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_Petunjuk" sheetId="1" state="visible" r:id="rId3"/>
    <sheet name="O_Outlook" sheetId="2" state="visible" r:id="rId4"/>
    <sheet name="O_PnL" sheetId="3" state="visible" r:id="rId5"/>
    <sheet name="O_BS" sheetId="4" state="visible" r:id="rId6"/>
    <sheet name="O_CF" sheetId="5" state="visible" r:id="rId7"/>
    <sheet name="O_Stok" sheetId="6" state="visible" r:id="rId8"/>
    <sheet name="Z_Kontrol" sheetId="7" state="visible" r:id="rId9"/>
    <sheet name="I_Parameter" sheetId="8" state="visible" r:id="rId10"/>
    <sheet name="T_Penjualan" sheetId="9" state="visible" r:id="rId11"/>
    <sheet name="T_Penerimaan" sheetId="10" state="visible" r:id="rId12"/>
    <sheet name="T_Batch" sheetId="11" state="visible" r:id="rId13"/>
    <sheet name="T_GL" sheetId="12" state="visible" r:id="rId14"/>
    <sheet name="T_Kas_Rencana" sheetId="13" state="visible" r:id="rId15"/>
    <sheet name="I_RunRate" sheetId="14" state="visible" r:id="rId16"/>
    <sheet name="I_Stok_Awal" sheetId="15" state="visible" r:id="rId17"/>
    <sheet name="I_TB" sheetId="16" state="visible" r:id="rId18"/>
    <sheet name="I_Master" sheetId="17" state="visible" r:id="rId19"/>
    <sheet name="I_Item" sheetId="18" state="visible" r:id="rId20"/>
    <sheet name="I_COA" sheetId="19" state="visible" r:id="rId21"/>
    <sheet name="L_List" sheetId="20" state="hidden" r:id="rId22"/>
  </sheets>
  <definedNames>
    <definedName function="false" hidden="false" localSheetId="1" name="_xlnm.Print_Area" vbProcedure="false">O_Outlook!$A$1:$N$86</definedName>
    <definedName function="false" hidden="true" localSheetId="11" name="_xlnm._FilterDatabase" vbProcedure="false">T_GL!$A$5:$S$4005</definedName>
    <definedName function="false" hidden="true" localSheetId="9" name="_xlnm._FilterDatabase" vbProcedure="false">T_Penerimaan!$A$5:$M$1005</definedName>
    <definedName function="false" hidden="true" localSheetId="8" name="_xlnm._FilterDatabase" vbProcedure="false">T_Penjualan!$A$5:$P$1505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<sst xmlns="http://schemas.openxmlformats.org/spreadsheetml/2006/main" count="13197" uniqueCount="2489">
  <si>
    <t xml:space="preserve">KGR WEEKLY OUTLOOK — PETUNJUK</t>
  </si>
  <si>
    <t xml:space="preserve">Tujuan</t>
  </si>
  <si>
    <t xml:space="preserve">Satu file per minggu (Senin–Minggu), diupdate setiap pagi, untuk keputusan harian: potong berapa dan beli live bird di harga berapa (RPA), beli apa dan berapa (Trading), stok mana yang harus dijual, dan berapa kas keluar. Halaman utama: O_Outlook.</t>
  </si>
  <si>
    <t xml:space="preserve">Setiap pagi (±30 menit)</t>
  </si>
  <si>
    <t xml:space="preserve">1) I_Parameter: ganti Tanggal update dan Harga live bird hari ini.
2) T_Penjualan: tempel penjualan kemarin dari Accurate (Status = Aktual, isi HPP aktual dari DO kalau ada); ubah order yang sudah terkirim jadi Aktual; tambah order baru dari sales (Status = Order, tanggal kirim rencana).
3) T_Penerimaan: tempel GRN kemarin (Aktual); perbarui rencana terima trading (Rencana).
4) T_Batch: isi batch kemarin dari data ops (Aktual); perbarui rencana potong (Rencana).
5) Cek Z_Kontrol = LULUS, lalu kirim O_Outlook.</t>
  </si>
  <si>
    <t xml:space="preserve">Setiap Senin</t>
  </si>
  <si>
    <t xml:space="preserve">Buat file minggu baru: isi I_Stok_Awal dari Inventory Valuation Accurate (kg, nilai, umur), isi baris "Minggu lalu" di I_Parameter dari ringkasan outlook minggu sebelumnya, kosongkan T_Penjualan / T_Penerimaan / T_Batch, perbarui harga acuan di I_Master.</t>
  </si>
  <si>
    <t xml:space="preserve">Siapa mengisi</t>
  </si>
  <si>
    <t xml:space="preserve">Senior Inventory Accounting: aktual dari Accurate (penjualan, GRN, stok awal). Sales: order. PPIC: rencana potong (T_Batch Rencana). Purchasing / Manajer Operasional: harga LB, rencana beli trading, harga beli pengganti.</t>
  </si>
  <si>
    <t xml:space="preserve">Cara hitung</t>
  </si>
  <si>
    <t xml:space="preserve">GP produk = revenue − HPP. Penjualan aktual pakai HPP dari Accurate; order dinilai di biaya rata-rata stok minggu ini (stok awal + penerimaan). Cost of sales others (angkut, blasting) dan opex tidak termasuk.
Breakeven live bird = (1 − shrink) × (yield karkas × harga karkas + Σ yield by-product × harga) − angkut − maklon × (1 − shrink). Porsi fresh rencana = kebutuhan karkas fresh ÷ karkas dari potong rencana.
Stok per hari = stok kemarin + terima − jual (aktual untuk hari lewat, rencana/order mulai hari ini).</t>
  </si>
  <si>
    <t xml:space="preserve">Warna</t>
  </si>
  <si>
    <t xml:space="preserve">Biru di latar krem = input. Hijau = link dari sheet lain. Hitam = rumus. Merah = peringatan.</t>
  </si>
  <si>
    <t xml:space="preserve">Contoh isi</t>
  </si>
  <si>
    <t xml:space="preserve">File ini berisi contoh minggu 24–30 Agustus 2026, update 27 Agustus: aktual dari Accurate (DO, GRN, inventory valuation), order = pengiriman aktual 27–30 Agu, rencana potong = batch ops 27–28 Agu, harga = rata-rata Agustus. Ganti dengan data minggu berjalan.</t>
  </si>
  <si>
    <t xml:space="preserve">Laporan keuangan mingguan</t>
  </si>
  <si>
    <t xml:space="preserve">O_PnL, O_BS, O_CF. Aktual dari jurnal Accurate (T_GL) di atas neraca saldo awal (I_TB). Sisa minggu: revenue dan HPP dari order, biaya lain dari run-rate (I_RunRate), kas dari T_Kas_Rencana plus pembayaran live bird / trading / angkut-maklon yang jatuh tempo sesuai termin di I_Parameter.
Setiap pagi: tempel jurnal kemarin ke T_GL. Setiap awal bulan: perbarui I_RunRate dengan aktual bulan lalu. I_TB diganti bila tanggal saldo awal diganti (mis. TB akhir bulan lalu).</t>
  </si>
  <si>
    <t xml:space="preserve">Arus kas aktual</t>
  </si>
  <si>
    <t xml:space="preserve">Setiap baris kas diberi kategori dari akun lawan terbesar dalam voucher yang sama (I_COA kolom F). Kalau salah, isi Override di T_GL kolom R.</t>
  </si>
  <si>
    <t xml:space="preserve">KGR — WEEKLY OUTLOOK DAN KEPUTUSAN HARIAN</t>
  </si>
  <si>
    <t xml:space="preserve">Minggu (Senin – Minggu):</t>
  </si>
  <si>
    <t xml:space="preserve">Update:</t>
  </si>
  <si>
    <t xml:space="preserve">Aktual = transaksi s.d. kemarin; sisa minggu = order + rencana mulai hari ini.</t>
  </si>
  <si>
    <t xml:space="preserve">1.  RINGKASAN MINGGU — GP produk (HPP dari Accurate; order dinilai di biaya rata-rata stok minggu ini; cost of sales others tidak termasuk)</t>
  </si>
  <si>
    <t xml:space="preserve">Segmen</t>
  </si>
  <si>
    <t xml:space="preserve">kg aktual
s.d. kemarin</t>
  </si>
  <si>
    <t xml:space="preserve">Revenue aktual
Rp</t>
  </si>
  <si>
    <t xml:space="preserve">GP aktual
Rp</t>
  </si>
  <si>
    <t xml:space="preserve">kg order
sisa minggu</t>
  </si>
  <si>
    <t xml:space="preserve">Revenue order
Rp</t>
  </si>
  <si>
    <t xml:space="preserve">GP order
Rp</t>
  </si>
  <si>
    <t xml:space="preserve">kg proyeksi
minggu</t>
  </si>
  <si>
    <t xml:space="preserve">Revenue proyeksi
Rp</t>
  </si>
  <si>
    <t xml:space="preserve">GP proyeksi
Rp</t>
  </si>
  <si>
    <t xml:space="preserve">GP/kg
proyeksi</t>
  </si>
  <si>
    <t xml:space="preserve">GP %
proyeksi</t>
  </si>
  <si>
    <t xml:space="preserve">GP/kg
minggu lalu</t>
  </si>
  <si>
    <t xml:space="preserve">Δ GP/kg</t>
  </si>
  <si>
    <t xml:space="preserve">RPA</t>
  </si>
  <si>
    <t xml:space="preserve">Trading</t>
  </si>
  <si>
    <t xml:space="preserve">TOTAL KGR</t>
  </si>
  <si>
    <t xml:space="preserve">2.  KEPUTUSAN RPA — potong berapa, beli live bird di harga berapa</t>
  </si>
  <si>
    <t xml:space="preserve">Indikator</t>
  </si>
  <si>
    <t xml:space="preserve">Nilai</t>
  </si>
  <si>
    <t xml:space="preserve">Satuan</t>
  </si>
  <si>
    <t xml:space="preserve">Harga live bird hari ini (penawaran)</t>
  </si>
  <si>
    <t xml:space="preserve">Rp/kg LB</t>
  </si>
  <si>
    <t xml:space="preserve">I_Parameter</t>
  </si>
  <si>
    <t xml:space="preserve">Order karkas fresh — hari ini s.d. horizon</t>
  </si>
  <si>
    <t xml:space="preserve">kg</t>
  </si>
  <si>
    <t xml:space="preserve">T_Penjualan: order RPA|Karkas|Fresh dalam horizon</t>
  </si>
  <si>
    <t xml:space="preserve">Stok karkas fresh hari ini</t>
  </si>
  <si>
    <t xml:space="preserve">O_Stok</t>
  </si>
  <si>
    <t xml:space="preserve">Kebutuhan bersih karkas fresh</t>
  </si>
  <si>
    <t xml:space="preserve">order − stok</t>
  </si>
  <si>
    <t xml:space="preserve">Live bird maksimum tanpa menambah karkas frozen</t>
  </si>
  <si>
    <t xml:space="preserve">kg LB</t>
  </si>
  <si>
    <t xml:space="preserve">kebutuhan bersih ÷ ((1 − shrink) × yield karkas)</t>
  </si>
  <si>
    <t xml:space="preserve">Live bird yang sudah direncanakan potong (horizon)</t>
  </si>
  <si>
    <t xml:space="preserve">T_Batch: Rencana</t>
  </si>
  <si>
    <t xml:space="preserve">Karkas yang berpotensi jadi frozen</t>
  </si>
  <si>
    <t xml:space="preserve">kelebihan potong × (1 − shrink) × yield karkas</t>
  </si>
  <si>
    <t xml:space="preserve">Porsi karkas fresh dari potong rencana</t>
  </si>
  <si>
    <t xml:space="preserve">%</t>
  </si>
  <si>
    <t xml:space="preserve">Nilai output per kg live bird (porsi fresh rencana)</t>
  </si>
  <si>
    <t xml:space="preserve">harga acuan × yield parameter</t>
  </si>
  <si>
    <t xml:space="preserve">Breakeven live bird — porsi fresh rencana</t>
  </si>
  <si>
    <t xml:space="preserve">nilai output − angkut − maklon</t>
  </si>
  <si>
    <t xml:space="preserve">Breakeven live bird — 100% karkas fresh</t>
  </si>
  <si>
    <t xml:space="preserve">batas atas</t>
  </si>
  <si>
    <t xml:space="preserve">Margin per kg live bird di harga hari ini</t>
  </si>
  <si>
    <t xml:space="preserve">breakeven − harga</t>
  </si>
  <si>
    <t xml:space="preserve">Perkiraan margin potong rencana</t>
  </si>
  <si>
    <t xml:space="preserve">Rp</t>
  </si>
  <si>
    <t xml:space="preserve">margin/kg × kg LB rencana</t>
  </si>
  <si>
    <t xml:space="preserve">Potensi selisih harga karkas yang jadi frozen</t>
  </si>
  <si>
    <t xml:space="preserve">kg frozen × (harga fresh − frozen)</t>
  </si>
  <si>
    <t xml:space="preserve">REKOMENDASI RPA</t>
  </si>
  <si>
    <t xml:space="preserve">3.  KEPUTUSAN TRADING — beli apa, berapa, di spread berapa</t>
  </si>
  <si>
    <t xml:space="preserve">SKU (key)</t>
  </si>
  <si>
    <t xml:space="preserve">Stok hari ini
kg</t>
  </si>
  <si>
    <t xml:space="preserve">Order sisa
minggu kg</t>
  </si>
  <si>
    <t xml:space="preserve">Rencana terima
sisa minggu kg</t>
  </si>
  <si>
    <t xml:space="preserve">Kebutuhan
bersih kg</t>
  </si>
  <si>
    <t xml:space="preserve">Harga jual
order Rp/kg</t>
  </si>
  <si>
    <t xml:space="preserve">Harga beli
pengganti Rp/kg</t>
  </si>
  <si>
    <t xml:space="preserve">Spread
Rp/kg</t>
  </si>
  <si>
    <t xml:space="preserve">Spread %</t>
  </si>
  <si>
    <t xml:space="preserve">Biaya stok
rata-rata Rp/kg</t>
  </si>
  <si>
    <t xml:space="preserve">REKOMENDASI</t>
  </si>
  <si>
    <t xml:space="preserve">BLD|Frozen</t>
  </si>
  <si>
    <t xml:space="preserve">BLD|n/a</t>
  </si>
  <si>
    <t xml:space="preserve">BLP|Frozen</t>
  </si>
  <si>
    <t xml:space="preserve">BLPK|Frozen</t>
  </si>
  <si>
    <t xml:space="preserve">HJA (Hati/Jantung/Ampela)|n/a</t>
  </si>
  <si>
    <t xml:space="preserve">KRK (Kerangka)|n/a</t>
  </si>
  <si>
    <t xml:space="preserve">Karkas|n/a</t>
  </si>
  <si>
    <t xml:space="preserve">Kulit|Frozen</t>
  </si>
  <si>
    <t xml:space="preserve">Kulit|n/a</t>
  </si>
  <si>
    <t xml:space="preserve">Sayap|n/a</t>
  </si>
  <si>
    <t xml:space="preserve">Usus|Fresh</t>
  </si>
  <si>
    <t xml:space="preserve">4.  STOK — yang harus dijual / dibeli (detail per SKU di sheet O_Stok kolom Z)</t>
  </si>
  <si>
    <t xml:space="preserve">Status</t>
  </si>
  <si>
    <t xml:space="preserve">Jumlah SKU</t>
  </si>
  <si>
    <t xml:space="preserve">kg hari ini</t>
  </si>
  <si>
    <t xml:space="preserve">Nilai Rp</t>
  </si>
  <si>
    <t xml:space="preserve">KURANG (stok minus di minggu ini)</t>
  </si>
  <si>
    <t xml:space="preserve">JUAL (tanpa order minggu ini)</t>
  </si>
  <si>
    <t xml:space="preserve">PERHATIAN (di atas batas umur)</t>
  </si>
  <si>
    <t xml:space="preserve">5.  KAS KELUAR — live bird dan pembelian trading (sesuai termin di I_Parameter)</t>
  </si>
  <si>
    <t xml:space="preserve">Tanggal</t>
  </si>
  <si>
    <t xml:space="preserve">Bayar live bird
Rp</t>
  </si>
  <si>
    <t xml:space="preserve">Bayar pembelian
trading Rp</t>
  </si>
  <si>
    <t xml:space="preserve">Total Rp</t>
  </si>
  <si>
    <t xml:space="preserve">Basis</t>
  </si>
  <si>
    <t xml:space="preserve">Total minggu</t>
  </si>
  <si>
    <t xml:space="preserve">Penerimaan kas dari pelanggan belum dimodelkan</t>
  </si>
  <si>
    <t xml:space="preserve">6.  BATCH RPA MINGGU INI — aktual vs rencana</t>
  </si>
  <si>
    <t xml:space="preserve">Jumlah batch</t>
  </si>
  <si>
    <t xml:space="preserve">Harga LB
rata-rata</t>
  </si>
  <si>
    <t xml:space="preserve">Shrink</t>
  </si>
  <si>
    <t xml:space="preserve">Yield karkas
÷ diproses</t>
  </si>
  <si>
    <t xml:space="preserve">Karkas fresh %</t>
  </si>
  <si>
    <t xml:space="preserve">Margin batch Rp</t>
  </si>
  <si>
    <t xml:space="preserve">Margin per
kg LB</t>
  </si>
  <si>
    <t xml:space="preserve">Biaya per kg
output</t>
  </si>
  <si>
    <t xml:space="preserve">Nilai per kg
output</t>
  </si>
  <si>
    <t xml:space="preserve">Breakeven LB
Rp/kg</t>
  </si>
  <si>
    <t xml:space="preserve">Aktual</t>
  </si>
  <si>
    <t xml:space="preserve">Rencana</t>
  </si>
  <si>
    <t xml:space="preserve">Target / benchmark</t>
  </si>
  <si>
    <t xml:space="preserve">7.  PERINGATAN</t>
  </si>
  <si>
    <t xml:space="preserve">8.  LAPORAN KEUANGAN MINGGU INI — ringkasan (detail di O_PnL, O_BS, O_CF)</t>
  </si>
  <si>
    <t xml:space="preserve">Minggu lalu</t>
  </si>
  <si>
    <t xml:space="preserve">Proyeksi
minggu ini</t>
  </si>
  <si>
    <t xml:space="preserve">Δ</t>
  </si>
  <si>
    <t xml:space="preserve">Revenue</t>
  </si>
  <si>
    <t xml:space="preserve">Gross profit</t>
  </si>
  <si>
    <t xml:space="preserve">Total operating expenses (excl. D&amp;A)</t>
  </si>
  <si>
    <t xml:space="preserve">NIBT (before D&amp;A)</t>
  </si>
  <si>
    <t xml:space="preserve">Net income</t>
  </si>
  <si>
    <t xml:space="preserve">Saldo kas akhir minggu</t>
  </si>
  <si>
    <t xml:space="preserve">Piutang usaha (pihak ketiga)</t>
  </si>
  <si>
    <t xml:space="preserve">Persediaan (produk + trading)</t>
  </si>
  <si>
    <t xml:space="preserve">Utang usaha + biaya masih harus dibayar</t>
  </si>
  <si>
    <t xml:space="preserve">Utang afiliasi (pinjaman + utang dagang afiliasi)</t>
  </si>
  <si>
    <t xml:space="preserve">Saldo kas terendah minggu ini (harian)</t>
  </si>
  <si>
    <t xml:space="preserve">LABA RUGI MINGGUAN (format P&amp;L deck) — Rp</t>
  </si>
  <si>
    <t xml:space="preserve">Aktual = jurnal Accurate (T_GL). Sisa minggu = order × harga (revenue), order × biaya rata-rata stok (COGS), run-rate untuk biaya lain. Biaya ditampilkan negatif.</t>
  </si>
  <si>
    <t xml:space="preserve">Baris</t>
  </si>
  <si>
    <t xml:space="preserve">Minggu lalu
(aktual)</t>
  </si>
  <si>
    <t xml:space="preserve">Minggu ini
aktual s.d. kemarin</t>
  </si>
  <si>
    <t xml:space="preserve">Sisa minggu
(outlook)</t>
  </si>
  <si>
    <t xml:space="preserve">Δ vs
minggu lalu</t>
  </si>
  <si>
    <t xml:space="preserve">Bulan berjalan
aktual (MTD)</t>
  </si>
  <si>
    <t xml:space="preserve">MTD + sisa
minggu</t>
  </si>
  <si>
    <t xml:space="preserve">Basis sisa minggu</t>
  </si>
  <si>
    <t xml:space="preserve">Revenue - LB Main Product</t>
  </si>
  <si>
    <t xml:space="preserve">order RPA (non by-product) × harga</t>
  </si>
  <si>
    <t xml:space="preserve">Revenue - LB By Product</t>
  </si>
  <si>
    <t xml:space="preserve">order by-product × harga</t>
  </si>
  <si>
    <t xml:space="preserve">Revenue - Trading</t>
  </si>
  <si>
    <t xml:space="preserve">order Trading × harga</t>
  </si>
  <si>
    <t xml:space="preserve">TOTAL REVENUE</t>
  </si>
  <si>
    <t xml:space="preserve">COGS - Live Bird</t>
  </si>
  <si>
    <t xml:space="preserve">order × biaya rata-rata stok RPA</t>
  </si>
  <si>
    <t xml:space="preserve">COGS - Trading</t>
  </si>
  <si>
    <t xml:space="preserve">order × biaya rata-rata stok Trading</t>
  </si>
  <si>
    <t xml:space="preserve">Other COGS - Expedition</t>
  </si>
  <si>
    <t xml:space="preserve">run-rate (I_RunRate)</t>
  </si>
  <si>
    <t xml:space="preserve">COGS - Blasting</t>
  </si>
  <si>
    <t xml:space="preserve">TOTAL COST OF SALES</t>
  </si>
  <si>
    <t xml:space="preserve">GROSS PROFIT</t>
  </si>
  <si>
    <t xml:space="preserve">GP margin</t>
  </si>
  <si>
    <t xml:space="preserve">Delivery Expenses</t>
  </si>
  <si>
    <t xml:space="preserve">Commission Expenses</t>
  </si>
  <si>
    <t xml:space="preserve">Packaging</t>
  </si>
  <si>
    <t xml:space="preserve">Salaries and allowance</t>
  </si>
  <si>
    <t xml:space="preserve">Storage Expenses</t>
  </si>
  <si>
    <t xml:space="preserve">Office Transportation expenses</t>
  </si>
  <si>
    <t xml:space="preserve">Rent Expenses</t>
  </si>
  <si>
    <t xml:space="preserve">Professional Fee</t>
  </si>
  <si>
    <t xml:space="preserve">Office Supplies &amp; Utilities</t>
  </si>
  <si>
    <t xml:space="preserve">Maintenance Expenses</t>
  </si>
  <si>
    <t xml:space="preserve">Tax expenses</t>
  </si>
  <si>
    <t xml:space="preserve">Other operating expenses</t>
  </si>
  <si>
    <t xml:space="preserve">TOTAL OPERATING EXPENSES (excl. D&amp;A)</t>
  </si>
  <si>
    <t xml:space="preserve">OPERATING INCOME</t>
  </si>
  <si>
    <t xml:space="preserve">Interest Expense</t>
  </si>
  <si>
    <t xml:space="preserve">Other Income</t>
  </si>
  <si>
    <t xml:space="preserve">Other Expense</t>
  </si>
  <si>
    <t xml:space="preserve">TOTAL OTHER INCOME (EXPENSE)</t>
  </si>
  <si>
    <t xml:space="preserve">Depreciation &amp; amortisation</t>
  </si>
  <si>
    <t xml:space="preserve">NET INCOME</t>
  </si>
  <si>
    <t xml:space="preserve">Catatan: aktual = jurnal Accurate (tanggal SI/PI); blok 1 O_Outlook = pengiriman (DO). Jurnal akhir bulan (unbilled, penyesuaian) baru masuk setelah diposting.</t>
  </si>
  <si>
    <t xml:space="preserve">NERACA MINGGUAN — Rp</t>
  </si>
  <si>
    <t xml:space="preserve">Aktual = saldo awal TB + jurnal s.d. tanggal. Proyeksi akhir minggu = saldo kemarin + arus rencana (lihat blok "Arus rencana minggu ini" di bawah).</t>
  </si>
  <si>
    <t xml:space="preserve">Pos</t>
  </si>
  <si>
    <t xml:space="preserve">Saldo awal (TB)</t>
  </si>
  <si>
    <t xml:space="preserve">Akhir minggu lalu</t>
  </si>
  <si>
    <t xml:space="preserve">Kemarin (aktual)</t>
  </si>
  <si>
    <t xml:space="preserve">Proyeksi akhir
minggu ini</t>
  </si>
  <si>
    <t xml:space="preserve">Δ minggu ini
(proyeksi − akhir minggu lalu)</t>
  </si>
  <si>
    <t xml:space="preserve">Δ rencana
(debit +)</t>
  </si>
  <si>
    <t xml:space="preserve">ASSETS</t>
  </si>
  <si>
    <t xml:space="preserve">Cash and cash equivalents</t>
  </si>
  <si>
    <t xml:space="preserve">Trade Receivables - Third Parties</t>
  </si>
  <si>
    <t xml:space="preserve">Trade Receivables - Related Parties</t>
  </si>
  <si>
    <t xml:space="preserve">Other Receivable - Third Party</t>
  </si>
  <si>
    <t xml:space="preserve">Other Receivable - Affiliated Party</t>
  </si>
  <si>
    <t xml:space="preserve">Advance Payment</t>
  </si>
  <si>
    <t xml:space="preserve">Inventory - Product</t>
  </si>
  <si>
    <t xml:space="preserve">Inventory - Trading</t>
  </si>
  <si>
    <t xml:space="preserve">Prepaid Tax</t>
  </si>
  <si>
    <t xml:space="preserve">Prepaid Expenses</t>
  </si>
  <si>
    <t xml:space="preserve">Other assets</t>
  </si>
  <si>
    <t xml:space="preserve">Fixed assets - cost</t>
  </si>
  <si>
    <t xml:space="preserve">Accumulated depreciation</t>
  </si>
  <si>
    <t xml:space="preserve">TOTAL ASSETS</t>
  </si>
  <si>
    <t xml:space="preserve">LIABILITIES</t>
  </si>
  <si>
    <t xml:space="preserve">Trade Payables - Third Parties</t>
  </si>
  <si>
    <t xml:space="preserve">Trade Payables - Affiliates</t>
  </si>
  <si>
    <t xml:space="preserve">Other Payable - Third Parties</t>
  </si>
  <si>
    <t xml:space="preserve">Other Payable - Related Parties</t>
  </si>
  <si>
    <t xml:space="preserve">Accrued Expenses - Third Parties</t>
  </si>
  <si>
    <t xml:space="preserve">Unearned Revenue</t>
  </si>
  <si>
    <t xml:space="preserve">Taxes Payable</t>
  </si>
  <si>
    <t xml:space="preserve">Temporary account (to reclassify)</t>
  </si>
  <si>
    <t xml:space="preserve">TOTAL LIABILITIES</t>
  </si>
  <si>
    <t xml:space="preserve">EQUITY</t>
  </si>
  <si>
    <t xml:space="preserve">Shareholder Equity</t>
  </si>
  <si>
    <t xml:space="preserve">Retained earnings</t>
  </si>
  <si>
    <t xml:space="preserve">Current year profit</t>
  </si>
  <si>
    <t xml:space="preserve">TOTAL EQUITY</t>
  </si>
  <si>
    <t xml:space="preserve">TOTAL LIABILITIES AND EQUITY</t>
  </si>
  <si>
    <t xml:space="preserve">Kontrol: aset − (liabilitas + ekuitas) (harus 0)</t>
  </si>
  <si>
    <t xml:space="preserve">ARUS RENCANA MINGGU INI (dipakai untuk proyeksi neraca dan arus kas)</t>
  </si>
  <si>
    <t xml:space="preserve">Biaya produksi rencana (LB + angkut + maklon)</t>
  </si>
  <si>
    <t xml:space="preserve">Pembelian live bird rencana</t>
  </si>
  <si>
    <t xml:space="preserve">Angkut + maklon rencana</t>
  </si>
  <si>
    <t xml:space="preserve">Pembelian trading rencana</t>
  </si>
  <si>
    <t xml:space="preserve">Bayar live bird jatuh tempo minggu ini (rencana)</t>
  </si>
  <si>
    <t xml:space="preserve">Bayar pembelian trading jatuh tempo minggu ini (rencana)</t>
  </si>
  <si>
    <t xml:space="preserve">Bayar angkut + maklon jatuh tempo minggu ini (rencana)</t>
  </si>
  <si>
    <t xml:space="preserve">Revenue sisa minggu</t>
  </si>
  <si>
    <t xml:space="preserve">COGS live bird sisa minggu</t>
  </si>
  <si>
    <t xml:space="preserve">COGS trading sisa minggu</t>
  </si>
  <si>
    <t xml:space="preserve">Biaya run-rate (excl. D&amp;A), net</t>
  </si>
  <si>
    <t xml:space="preserve">D&amp;A sisa minggu</t>
  </si>
  <si>
    <t xml:space="preserve">Laba bersih sisa minggu</t>
  </si>
  <si>
    <t xml:space="preserve">Arus kas bersih sisa minggu (O_CF)</t>
  </si>
  <si>
    <t xml:space="preserve">ARUS KAS MINGGUAN (metode langsung) — Rp</t>
  </si>
  <si>
    <t xml:space="preserve">Aktual = baris kas di jurnal Accurate, dikategorikan dari akun lawan. Sisa minggu = T_Kas_Rencana + pembayaran live bird / trading / angkut-maklon yang jatuh tempo (dari rencana).</t>
  </si>
  <si>
    <t xml:space="preserve">Kategori</t>
  </si>
  <si>
    <t xml:space="preserve">Sisa minggu
(rencana)</t>
  </si>
  <si>
    <t xml:space="preserve">Penerimaan dari pelanggan</t>
  </si>
  <si>
    <t xml:space="preserve">Penerimaan lain</t>
  </si>
  <si>
    <t xml:space="preserve">Bayar pemasok barang (live bird &amp; trading)</t>
  </si>
  <si>
    <t xml:space="preserve">Bayar jasa (maklon, angkut, cold storage, sewa)</t>
  </si>
  <si>
    <t xml:space="preserve">Bayar karyawan</t>
  </si>
  <si>
    <t xml:space="preserve">Bayar biaya operasional lain</t>
  </si>
  <si>
    <t xml:space="preserve">Bayar pajak</t>
  </si>
  <si>
    <t xml:space="preserve">Bunga &amp; biaya bank</t>
  </si>
  <si>
    <t xml:space="preserve">Belanja aset tetap</t>
  </si>
  <si>
    <t xml:space="preserve">Pinjaman afiliasi (net)</t>
  </si>
  <si>
    <t xml:space="preserve">Setoran modal</t>
  </si>
  <si>
    <t xml:space="preserve">Transfer antar rekening</t>
  </si>
  <si>
    <t xml:space="preserve">ARUS KAS BERSIH</t>
  </si>
  <si>
    <t xml:space="preserve">Saldo kas awal</t>
  </si>
  <si>
    <t xml:space="preserve">Arus kas bersih</t>
  </si>
  <si>
    <t xml:space="preserve">Saldo kas akhir</t>
  </si>
  <si>
    <t xml:space="preserve">Kontrol: saldo kas akhir = neraca (harus 0)</t>
  </si>
  <si>
    <t xml:space="preserve">SALDO KAS HARIAN — minggu ini</t>
  </si>
  <si>
    <t xml:space="preserve">Saldo akhir hari</t>
  </si>
  <si>
    <t xml:space="preserve">Saldo kas terendah minggu ini</t>
  </si>
  <si>
    <t xml:space="preserve">STOK PER HARI DAN DAFTAR STOK YANG HARUS DIJUAL</t>
  </si>
  <si>
    <t xml:space="preserve">Stok akhir hari = stok kemarin + terima − jual. Hari yang sudah lewat pakai aktual; hari ini dan seterusnya pakai rencana terima + order.</t>
  </si>
  <si>
    <t xml:space="preserve">Key</t>
  </si>
  <si>
    <t xml:space="preserve">Kelompok</t>
  </si>
  <si>
    <t xml:space="preserve">Stok awal
minggu kg</t>
  </si>
  <si>
    <t xml:space="preserve">Nilai stok
awal Rp</t>
  </si>
  <si>
    <t xml:space="preserve">Umur rata
-rata (hari)</t>
  </si>
  <si>
    <t xml:space="preserve">kg di atas
batas umur</t>
  </si>
  <si>
    <t xml:space="preserve">Stok akhir
hari 1</t>
  </si>
  <si>
    <t xml:space="preserve">Stok akhir
hari 2</t>
  </si>
  <si>
    <t xml:space="preserve">Stok akhir
hari 3</t>
  </si>
  <si>
    <t xml:space="preserve">Stok akhir
hari 4</t>
  </si>
  <si>
    <t xml:space="preserve">Stok akhir
hari 5</t>
  </si>
  <si>
    <t xml:space="preserve">Stok akhir
hari 6</t>
  </si>
  <si>
    <t xml:space="preserve">Stok akhir
hari 7</t>
  </si>
  <si>
    <t xml:space="preserve">Terima minggu
ini kg</t>
  </si>
  <si>
    <t xml:space="preserve">Nilai terima Rp</t>
  </si>
  <si>
    <t xml:space="preserve">Biaya rata-rata
Rp/kg</t>
  </si>
  <si>
    <t xml:space="preserve">Jual + order
minggu kg</t>
  </si>
  <si>
    <t xml:space="preserve">Stok − order
sisa kg</t>
  </si>
  <si>
    <t xml:space="preserve">Stok terendah
minggu kg</t>
  </si>
  <si>
    <t xml:space="preserve">Harga acuan
Rp/kg</t>
  </si>
  <si>
    <t xml:space="preserve">Margin/kg di
harga acuan</t>
  </si>
  <si>
    <t xml:space="preserve">Nilai stok
hari ini Rp</t>
  </si>
  <si>
    <t xml:space="preserve">STATUS / TINDAKAN</t>
  </si>
  <si>
    <t xml:space="preserve">KONTROL — cek sebelum outlook dikirim</t>
  </si>
  <si>
    <t xml:space="preserve">#</t>
  </si>
  <si>
    <t xml:space="preserve">Kontrol</t>
  </si>
  <si>
    <t xml:space="preserve">Pembanding</t>
  </si>
  <si>
    <t xml:space="preserve">Selisih</t>
  </si>
  <si>
    <t xml:space="preserve">Tindakan kalau GAGAL</t>
  </si>
  <si>
    <t xml:space="preserve">Semua baris penjualan punya key yang terdaftar</t>
  </si>
  <si>
    <t xml:space="preserve">Tambah kode di I_Item / key di I_Master</t>
  </si>
  <si>
    <t xml:space="preserve">Semua baris penerimaan punya key yang terdaftar</t>
  </si>
  <si>
    <t xml:space="preserve">Semua baris stok awal punya key yang terdaftar</t>
  </si>
  <si>
    <t xml:space="preserve">Tambah kode di I_Item</t>
  </si>
  <si>
    <t xml:space="preserve">Status penjualan terisi (Aktual/Order)</t>
  </si>
  <si>
    <t xml:space="preserve">Isi kolom Status</t>
  </si>
  <si>
    <t xml:space="preserve">Status penerimaan terisi (Aktual/Rencana)</t>
  </si>
  <si>
    <t xml:space="preserve">Baris di luar minggu berjalan (tidak dihitung)</t>
  </si>
  <si>
    <t xml:space="preserve">Hapus atau pindahkan ke file minggu yang benar</t>
  </si>
  <si>
    <t xml:space="preserve">Order lewat tanggal belum terkirim</t>
  </si>
  <si>
    <t xml:space="preserve">Ubah jadi Aktual atau geser tanggal kirim</t>
  </si>
  <si>
    <t xml:space="preserve">kg penjualan aktual minggu ini = laporan Accurate</t>
  </si>
  <si>
    <t xml:space="preserve">Cek baris yang belum ditempel</t>
  </si>
  <si>
    <t xml:space="preserve">Nilai stok awal = Inventory Valuation Accurate</t>
  </si>
  <si>
    <t xml:space="preserve">Cek stok awal per item</t>
  </si>
  <si>
    <t xml:space="preserve">Output batch aktual = penerimaan produksi aktual (kg)</t>
  </si>
  <si>
    <t xml:space="preserve">Beda tanggal GRN vs tanggal potong wajar 1 hari; selisih besar = GRN belum diinput</t>
  </si>
  <si>
    <t xml:space="preserve">SKU dengan stok proyeksi minus</t>
  </si>
  <si>
    <t xml:space="preserve">Peringatan — keputusan beli/potong/geser order</t>
  </si>
  <si>
    <t xml:space="preserve">Neraca saldo awal seimbang (I_TB total)</t>
  </si>
  <si>
    <t xml:space="preserve">Cek tempelan TB</t>
  </si>
  <si>
    <t xml:space="preserve">Jurnal seimbang (total debit − kredit)</t>
  </si>
  <si>
    <t xml:space="preserve">Ada voucher yang terpotong saat ditempel</t>
  </si>
  <si>
    <t xml:space="preserve">Akun di jurnal / TB tanpa mapping</t>
  </si>
  <si>
    <t xml:space="preserve">Tambah akun di I_COA</t>
  </si>
  <si>
    <t xml:space="preserve">Neraca seimbang — akhir minggu lalu, kemarin, proyeksi</t>
  </si>
  <si>
    <t xml:space="preserve">Cek mapping I_COA dan pos lawan T_Kas_Rencana</t>
  </si>
  <si>
    <t xml:space="preserve">Saldo kas akhir arus kas = neraca</t>
  </si>
  <si>
    <t xml:space="preserve">Cek kategori arus kas / akun kas</t>
  </si>
  <si>
    <t xml:space="preserve">Baris kas tanpa kategori arus kas</t>
  </si>
  <si>
    <t xml:space="preserve">Isi kategori di I_COA atau override di T_GL</t>
  </si>
  <si>
    <t xml:space="preserve">Pos lawan T_Kas_Rencana kosong</t>
  </si>
  <si>
    <t xml:space="preserve">Isi pos neraca lawan</t>
  </si>
  <si>
    <t xml:space="preserve">Akun sementara terpakai (910004 / 1102008)</t>
  </si>
  <si>
    <t xml:space="preserve">Minta accounting reklas ke akun yang benar</t>
  </si>
  <si>
    <t xml:space="preserve">Ringkasan</t>
  </si>
  <si>
    <t xml:space="preserve">PARAMETER — diisi/dicek setiap pagi</t>
  </si>
  <si>
    <t xml:space="preserve">Biru di latar krem = input. Hijau = link dari sheet lain. Hitam = rumus.</t>
  </si>
  <si>
    <t xml:space="preserve">Parameter</t>
  </si>
  <si>
    <t xml:space="preserve">Keterangan</t>
  </si>
  <si>
    <t xml:space="preserve">Tanggal update (hari ini)</t>
  </si>
  <si>
    <t xml:space="preserve">tanggal</t>
  </si>
  <si>
    <t xml:space="preserve">Ganti setiap pagi. Data aktual = transaksi sampai kemarin.</t>
  </si>
  <si>
    <t xml:space="preserve">Awal minggu (Senin)</t>
  </si>
  <si>
    <t xml:space="preserve">Minggu berjalan Senin–Minggu</t>
  </si>
  <si>
    <t xml:space="preserve">Akhir minggu (Minggu)</t>
  </si>
  <si>
    <t xml:space="preserve">Horizon kebutuhan karkas fresh</t>
  </si>
  <si>
    <t xml:space="preserve">hari</t>
  </si>
  <si>
    <t xml:space="preserve">Order karkas fresh yang dihitung mulai hari ini (hari ini + 2 hari)</t>
  </si>
  <si>
    <t xml:space="preserve">Target shrink (kg dibeli → kg diproses)</t>
  </si>
  <si>
    <t xml:space="preserve">Target susut 3% (open nota). Aktual Agustus 6,3%.</t>
  </si>
  <si>
    <t xml:space="preserve">Angkut live bird (rencana)</t>
  </si>
  <si>
    <t xml:space="preserve">Benchmark batch terbaik Agustus; aktual Agustus Rp1.289/kg</t>
  </si>
  <si>
    <t xml:space="preserve">Maklon</t>
  </si>
  <si>
    <t xml:space="preserve">Rp/kg diproses</t>
  </si>
  <si>
    <t xml:space="preserve">Tarif ISA</t>
  </si>
  <si>
    <t xml:space="preserve">Rp/kg</t>
  </si>
  <si>
    <t xml:space="preserve">Harga penawaran supplier untuk potong berikutnya</t>
  </si>
  <si>
    <t xml:space="preserve">Spread minimum trading</t>
  </si>
  <si>
    <t xml:space="preserve">Selisih harga jual − harga beli minimum supaya pembelian trading dilanjutkan (asumsi, bisa diubah)</t>
  </si>
  <si>
    <t xml:space="preserve">Batas umur stok</t>
  </si>
  <si>
    <t xml:space="preserve">Stok di atas umur ini masuk daftar "harus dijual"</t>
  </si>
  <si>
    <t xml:space="preserve">Termin bayar live bird</t>
  </si>
  <si>
    <t xml:space="preserve">0 = tunai saat potong. Contoh: 7 hari</t>
  </si>
  <si>
    <t xml:space="preserve">Termin bayar pembelian trading</t>
  </si>
  <si>
    <t xml:space="preserve">Contoh: 14 hari</t>
  </si>
  <si>
    <t xml:space="preserve">YIELD (÷ kg diproses) — dipakai untuk breakeven dan kebutuhan potong</t>
  </si>
  <si>
    <t xml:space="preserve">Produk</t>
  </si>
  <si>
    <t xml:space="preserve">Dipakai</t>
  </si>
  <si>
    <t xml:space="preserve">Default</t>
  </si>
  <si>
    <t xml:space="preserve">Aktual minggu ini (batch Aktual)</t>
  </si>
  <si>
    <t xml:space="preserve">Karkas</t>
  </si>
  <si>
    <t xml:space="preserve">Kepala</t>
  </si>
  <si>
    <t xml:space="preserve">Ceker</t>
  </si>
  <si>
    <t xml:space="preserve">Usus</t>
  </si>
  <si>
    <t xml:space="preserve">HJA</t>
  </si>
  <si>
    <t xml:space="preserve">Lemak</t>
  </si>
  <si>
    <t xml:space="preserve">Default = rata-rata 12 batch Agustus 2026. Begitu ada batch Aktual di minggu ini, yield aktual minggu ini yang dipakai.</t>
  </si>
  <si>
    <t xml:space="preserve">HARGA ACUAN OUTPUT RPA (link dari I_Master)</t>
  </si>
  <si>
    <t xml:space="preserve">Karkas fresh</t>
  </si>
  <si>
    <t xml:space="preserve">RPA|Karkas|Fresh</t>
  </si>
  <si>
    <t xml:space="preserve">Karkas frozen</t>
  </si>
  <si>
    <t xml:space="preserve">RPA|Karkas|Frozen</t>
  </si>
  <si>
    <t xml:space="preserve">RPA|Kepala|Fresh</t>
  </si>
  <si>
    <t xml:space="preserve">RPA|Ceker|Fresh</t>
  </si>
  <si>
    <t xml:space="preserve">RPA|Usus|Fresh</t>
  </si>
  <si>
    <t xml:space="preserve">RPA|HJA (Hati/Jantung/Ampela)|Fresh</t>
  </si>
  <si>
    <t xml:space="preserve">RPA|Lemak|Frozen</t>
  </si>
  <si>
    <t xml:space="preserve">MINGGU LALU — untuk pembanding (isi dari outlook minggu lalu)</t>
  </si>
  <si>
    <t xml:space="preserve">kg terjual</t>
  </si>
  <si>
    <t xml:space="preserve">Revenue Rp</t>
  </si>
  <si>
    <t xml:space="preserve">GP produk Rp</t>
  </si>
  <si>
    <t xml:space="preserve">Contoh: 17–23 Agu 2026 dihitung dari DO Accurate × harga rata-rata Agustus.</t>
  </si>
  <si>
    <t xml:space="preserve">KONTROL KE ACCURATE (isi dari laporan Accurate; dipakai sheet Z_Kontrol)</t>
  </si>
  <si>
    <t xml:space="preserve">Total kg penjualan aktual minggu ini per laporan Accurate</t>
  </si>
  <si>
    <t xml:space="preserve">Kosongkan kalau belum dicek</t>
  </si>
  <si>
    <t xml:space="preserve">Total nilai stok awal minggu per Inventory Valuation Accurate</t>
  </si>
  <si>
    <t xml:space="preserve">LAPORAN KEUANGAN MINGGUAN</t>
  </si>
  <si>
    <t xml:space="preserve">Tanggal saldo awal (TB Accurate)</t>
  </si>
  <si>
    <t xml:space="preserve">Tanggal neraca saldo di I_TB. T_GL berisi jurnal SETELAH tanggal ini sampai kemarin.</t>
  </si>
  <si>
    <t xml:space="preserve">Termin bayar angkut &amp; maklon</t>
  </si>
  <si>
    <t xml:space="preserve">Contoh: 30 hari</t>
  </si>
  <si>
    <t xml:space="preserve">PENJUALAN — aktual (dari Accurate) dan order (dari sales)</t>
  </si>
  <si>
    <t xml:space="preserve">Aktual = sudah dikirim/diinvoice. Order = order pelanggan yang belum dikirim (tanggal kirim rencana). Order yang lewat tanggal dan belum dikirim tidak dihitung (lihat Z_Kontrol).</t>
  </si>
  <si>
    <t xml:space="preserve">No. dokumen</t>
  </si>
  <si>
    <t xml:space="preserve">Pelanggan</t>
  </si>
  <si>
    <t xml:space="preserve">Kode item</t>
  </si>
  <si>
    <t xml:space="preserve">Key manual
(opsional)</t>
  </si>
  <si>
    <t xml:space="preserve">Key dipakai</t>
  </si>
  <si>
    <t xml:space="preserve">Harga
Rp/kg</t>
  </si>
  <si>
    <t xml:space="preserve">HPP aktual Rp
(Accurate, opsional)</t>
  </si>
  <si>
    <t xml:space="preserve">HPP dipakai Rp</t>
  </si>
  <si>
    <t xml:space="preserve">GP Rp</t>
  </si>
  <si>
    <t xml:space="preserve">Dihitung</t>
  </si>
  <si>
    <t xml:space="preserve">Inv 316 (unbilled)</t>
  </si>
  <si>
    <t xml:space="preserve">TRD0024</t>
  </si>
  <si>
    <t xml:space="preserve">TRD0025</t>
  </si>
  <si>
    <t xml:space="preserve">TRD0027</t>
  </si>
  <si>
    <t xml:space="preserve">TRD0028</t>
  </si>
  <si>
    <t xml:space="preserve">TRD0032</t>
  </si>
  <si>
    <t xml:space="preserve">TRD0036</t>
  </si>
  <si>
    <t xml:space="preserve">KGR26.00317</t>
  </si>
  <si>
    <t xml:space="preserve">ALBI YUNUS</t>
  </si>
  <si>
    <t xml:space="preserve">TRD0019</t>
  </si>
  <si>
    <t xml:space="preserve">KGR26.00318</t>
  </si>
  <si>
    <t xml:space="preserve">RIZKI RAMADHAN</t>
  </si>
  <si>
    <t xml:space="preserve">JLB1867</t>
  </si>
  <si>
    <t xml:space="preserve">TRD0021</t>
  </si>
  <si>
    <t xml:space="preserve">TRD0022</t>
  </si>
  <si>
    <t xml:space="preserve">KGR26.00319</t>
  </si>
  <si>
    <t xml:space="preserve">HARTINI</t>
  </si>
  <si>
    <t xml:space="preserve">TRD0008</t>
  </si>
  <si>
    <t xml:space="preserve">KGR26.00320</t>
  </si>
  <si>
    <t xml:space="preserve">PT RISMAWAN PRATAMA BERSINAR</t>
  </si>
  <si>
    <t xml:space="preserve">JLB0078</t>
  </si>
  <si>
    <t xml:space="preserve">JLB0080</t>
  </si>
  <si>
    <t xml:space="preserve">JLB0092</t>
  </si>
  <si>
    <t xml:space="preserve">JLB0135</t>
  </si>
  <si>
    <t xml:space="preserve">KGR26.00321</t>
  </si>
  <si>
    <t xml:space="preserve">KGR26.00322</t>
  </si>
  <si>
    <t xml:space="preserve">KGR26.00323</t>
  </si>
  <si>
    <t xml:space="preserve">JLB0468</t>
  </si>
  <si>
    <t xml:space="preserve">JLB0663</t>
  </si>
  <si>
    <t xml:space="preserve">KGR26.00324</t>
  </si>
  <si>
    <t xml:space="preserve">ERWIN ALAMSYAH</t>
  </si>
  <si>
    <t xml:space="preserve">TRD0034</t>
  </si>
  <si>
    <t xml:space="preserve">KGR26.00325</t>
  </si>
  <si>
    <t xml:space="preserve">KGR26.00326</t>
  </si>
  <si>
    <t xml:space="preserve">TRD0020</t>
  </si>
  <si>
    <t xml:space="preserve">KGR26.00327</t>
  </si>
  <si>
    <t xml:space="preserve">MUHAMAD HARISUDDIN</t>
  </si>
  <si>
    <t xml:space="preserve">JLB0790</t>
  </si>
  <si>
    <t xml:space="preserve">JLB0856</t>
  </si>
  <si>
    <t xml:space="preserve">JLB0922</t>
  </si>
  <si>
    <t xml:space="preserve">JLB0988</t>
  </si>
  <si>
    <t xml:space="preserve">Order</t>
  </si>
  <si>
    <t xml:space="preserve">KGR26.00328</t>
  </si>
  <si>
    <t xml:space="preserve">KGR26.00329</t>
  </si>
  <si>
    <t xml:space="preserve">NATALIA PRIHATI</t>
  </si>
  <si>
    <t xml:space="preserve">JLB1857</t>
  </si>
  <si>
    <t xml:space="preserve">JLB1859</t>
  </si>
  <si>
    <t xml:space="preserve">TRD0010</t>
  </si>
  <si>
    <t xml:space="preserve">KGR26.00330</t>
  </si>
  <si>
    <t xml:space="preserve">KGR26.00331</t>
  </si>
  <si>
    <t xml:space="preserve">JLB0690</t>
  </si>
  <si>
    <t xml:space="preserve">JLB0756</t>
  </si>
  <si>
    <t xml:space="preserve">JLB0822</t>
  </si>
  <si>
    <t xml:space="preserve">JLB1858</t>
  </si>
  <si>
    <t xml:space="preserve">KGR26.00332</t>
  </si>
  <si>
    <t xml:space="preserve">JLB0658</t>
  </si>
  <si>
    <t xml:space="preserve">KGR26.00333</t>
  </si>
  <si>
    <t xml:space="preserve">CLARA SARI</t>
  </si>
  <si>
    <t xml:space="preserve">KGR26.00334</t>
  </si>
  <si>
    <t xml:space="preserve">TRD0003</t>
  </si>
  <si>
    <t xml:space="preserve">TRD0039</t>
  </si>
  <si>
    <t xml:space="preserve">KGR26.00335</t>
  </si>
  <si>
    <t xml:space="preserve">KGR26.00336</t>
  </si>
  <si>
    <t xml:space="preserve">KGR26.00337</t>
  </si>
  <si>
    <t xml:space="preserve">JLB0593</t>
  </si>
  <si>
    <t xml:space="preserve">JLB1020</t>
  </si>
  <si>
    <t xml:space="preserve">KGR26.00340</t>
  </si>
  <si>
    <t xml:space="preserve">KGR26.00341</t>
  </si>
  <si>
    <t xml:space="preserve">JLB0888</t>
  </si>
  <si>
    <t xml:space="preserve">JLB1866</t>
  </si>
  <si>
    <t xml:space="preserve">KGR26.00342</t>
  </si>
  <si>
    <t xml:space="preserve">KGR26.00343</t>
  </si>
  <si>
    <t xml:space="preserve">KGR26.00344</t>
  </si>
  <si>
    <t xml:space="preserve">KGR26.00345</t>
  </si>
  <si>
    <t xml:space="preserve">KGR26.00346</t>
  </si>
  <si>
    <t xml:space="preserve">KGR26.00347</t>
  </si>
  <si>
    <t xml:space="preserve">JLB0795</t>
  </si>
  <si>
    <t xml:space="preserve">KGR26.00348</t>
  </si>
  <si>
    <t xml:space="preserve">KGR26.00349</t>
  </si>
  <si>
    <t xml:space="preserve">KGR26.00350</t>
  </si>
  <si>
    <t xml:space="preserve">KGR26.00351</t>
  </si>
  <si>
    <t xml:space="preserve">KGR26.00352</t>
  </si>
  <si>
    <t xml:space="preserve">KGR26.00353</t>
  </si>
  <si>
    <t xml:space="preserve">KGR26.00354</t>
  </si>
  <si>
    <t xml:space="preserve">KGR26.00355</t>
  </si>
  <si>
    <t xml:space="preserve">KGR26.00357</t>
  </si>
  <si>
    <t xml:space="preserve">PENERIMAAN BARANG — hasil potong RPA dan pembelian Trading</t>
  </si>
  <si>
    <t xml:space="preserve">Aktual = sudah GRN di Accurate. Rencana = jadwal terima (potong yang direncanakan / PO trading yang sudah disepakati).</t>
  </si>
  <si>
    <t xml:space="preserve">Sumber</t>
  </si>
  <si>
    <t xml:space="preserve">No. dokumen / PO</t>
  </si>
  <si>
    <t xml:space="preserve">Pemasok</t>
  </si>
  <si>
    <t xml:space="preserve">Beli Trading</t>
  </si>
  <si>
    <t xml:space="preserve">124/PO/KGR/08/2026</t>
  </si>
  <si>
    <t xml:space="preserve">Produksi RPA</t>
  </si>
  <si>
    <t xml:space="preserve">125/PO/KGR/08/2026</t>
  </si>
  <si>
    <t xml:space="preserve">Alberus</t>
  </si>
  <si>
    <t xml:space="preserve">JLB0177</t>
  </si>
  <si>
    <t xml:space="preserve">JLB0403</t>
  </si>
  <si>
    <t xml:space="preserve">JLB0598</t>
  </si>
  <si>
    <t xml:space="preserve">JLB0729</t>
  </si>
  <si>
    <t xml:space="preserve">JLB0861</t>
  </si>
  <si>
    <t xml:space="preserve">JLB0927</t>
  </si>
  <si>
    <t xml:space="preserve">JLB0993</t>
  </si>
  <si>
    <t xml:space="preserve">JLB1054</t>
  </si>
  <si>
    <t xml:space="preserve">JLB1059</t>
  </si>
  <si>
    <t xml:space="preserve">JLB1125</t>
  </si>
  <si>
    <t xml:space="preserve">JLB1152</t>
  </si>
  <si>
    <t xml:space="preserve">126/PO/KGR/08/2026</t>
  </si>
  <si>
    <t xml:space="preserve">JLB0533</t>
  </si>
  <si>
    <t xml:space="preserve">JLB1086</t>
  </si>
  <si>
    <t xml:space="preserve">JLB1218</t>
  </si>
  <si>
    <t xml:space="preserve">127/PO/KGR/08/2026</t>
  </si>
  <si>
    <t xml:space="preserve">128/PO/KGR/08/2026</t>
  </si>
  <si>
    <t xml:space="preserve">129/PO/KGR/08/2026</t>
  </si>
  <si>
    <t xml:space="preserve">BATCH POTONG RPA — aktual dan rencana</t>
  </si>
  <si>
    <t xml:space="preserve">Aktual dari Batch Costing / data ops. Rencana = potong yang dijadwalkan (isi kg LB, harga penawaran, dan output perkiraan; output perkiraan boleh dari yield parameter).</t>
  </si>
  <si>
    <t xml:space="preserve">Tanggal
potong</t>
  </si>
  <si>
    <t xml:space="preserve">No. PO /
batch</t>
  </si>
  <si>
    <t xml:space="preserve">kg LB
dibeli</t>
  </si>
  <si>
    <t xml:space="preserve">Harga LB
Rp/kg</t>
  </si>
  <si>
    <t xml:space="preserve">Angkut Rp</t>
  </si>
  <si>
    <t xml:space="preserve">Maklon Rp</t>
  </si>
  <si>
    <t xml:space="preserve">kg
diproses</t>
  </si>
  <si>
    <t xml:space="preserve">Karkas
fresh kg</t>
  </si>
  <si>
    <t xml:space="preserve">Karkas
frozen kg</t>
  </si>
  <si>
    <t xml:space="preserve">Kepala
kg</t>
  </si>
  <si>
    <t xml:space="preserve">Ceker
kg</t>
  </si>
  <si>
    <t xml:space="preserve">Usus
kg</t>
  </si>
  <si>
    <t xml:space="preserve">HJA
kg</t>
  </si>
  <si>
    <t xml:space="preserve">Lemak
kg</t>
  </si>
  <si>
    <t xml:space="preserve">Lainnya
kg</t>
  </si>
  <si>
    <t xml:space="preserve">Nilai LB Rp</t>
  </si>
  <si>
    <t xml:space="preserve">Total biaya
Rp</t>
  </si>
  <si>
    <t xml:space="preserve">Output kg</t>
  </si>
  <si>
    <t xml:space="preserve">Yield output
÷ diproses</t>
  </si>
  <si>
    <t xml:space="preserve">Karkas
fresh %</t>
  </si>
  <si>
    <t xml:space="preserve">Nilai output
harga acuan Rp</t>
  </si>
  <si>
    <t xml:space="preserve">Margin batch
Rp</t>
  </si>
  <si>
    <t xml:space="preserve">Breakeven
LB Rp/kg</t>
  </si>
  <si>
    <t xml:space="preserve">JURNAL UMUM (Buku Besar Accurate) — setelah tanggal saldo awal sampai kemarin</t>
  </si>
  <si>
    <t xml:space="preserve">Tempel export jurnal per baris (tanggal, no sumber, akun, debit, kredit, pihak). Kolom hijau/hitam terhitung otomatis. Arus kas: tiap baris kas diberi kategori dari akun lawan terbesar di voucher yang sama; bisa di-override.</t>
  </si>
  <si>
    <t xml:space="preserve">No. sumber</t>
  </si>
  <si>
    <t xml:space="preserve">Tipe</t>
  </si>
  <si>
    <t xml:space="preserve">Akun</t>
  </si>
  <si>
    <t xml:space="preserve">Nama akun</t>
  </si>
  <si>
    <t xml:space="preserve">Debit</t>
  </si>
  <si>
    <t xml:space="preserve">Kredit</t>
  </si>
  <si>
    <t xml:space="preserve">Pihak</t>
  </si>
  <si>
    <t xml:space="preserve">Dr − Cr</t>
  </si>
  <si>
    <t xml:space="preserve">Tipe akun</t>
  </si>
  <si>
    <t xml:space="preserve">Baris laba rugi</t>
  </si>
  <si>
    <t xml:space="preserve">Baris neraca</t>
  </si>
  <si>
    <t xml:space="preserve">Kas?</t>
  </si>
  <si>
    <t xml:space="preserve">|Nilai|
non-kas</t>
  </si>
  <si>
    <t xml:space="preserve">Kunci</t>
  </si>
  <si>
    <t xml:space="preserve">Akun lawan
(baris kas)</t>
  </si>
  <si>
    <t xml:space="preserve">Override
kategori kas</t>
  </si>
  <si>
    <t xml:space="preserve">Kategori arus kas</t>
  </si>
  <si>
    <t xml:space="preserve">B5926080001</t>
  </si>
  <si>
    <t xml:space="preserve">Journal Voucher</t>
  </si>
  <si>
    <t xml:space="preserve">Bank Administration and Provision - KGR</t>
  </si>
  <si>
    <t xml:space="preserve">Biaya adm. bulan Agustus 2026</t>
  </si>
  <si>
    <t xml:space="preserve">Permata 702-214-459</t>
  </si>
  <si>
    <t xml:space="preserve">B7626080001</t>
  </si>
  <si>
    <t xml:space="preserve">Sales Receipt</t>
  </si>
  <si>
    <t xml:space="preserve">BCA 484-0348-577</t>
  </si>
  <si>
    <t xml:space="preserve">0194/INV/KGR/07/2026 Erwin Ripki Moh Abdul </t>
  </si>
  <si>
    <t xml:space="preserve">RIPKI MOH ABDUL RIFAI</t>
  </si>
  <si>
    <t xml:space="preserve">Account Receivable - Third Party</t>
  </si>
  <si>
    <t xml:space="preserve">B7626080002</t>
  </si>
  <si>
    <t xml:space="preserve">0195/INV/KGR/07/2026 Erwin Agus Dudi</t>
  </si>
  <si>
    <t xml:space="preserve">AGUS DUDI</t>
  </si>
  <si>
    <t xml:space="preserve">B8526080001</t>
  </si>
  <si>
    <t xml:space="preserve">Purchase Payment</t>
  </si>
  <si>
    <t xml:space="preserve">Account Payable - Third Party - KGR</t>
  </si>
  <si>
    <t xml:space="preserve">KARKAS MIX 14361.9KGxRP. 29.500, KARKAS 0.9, 1.0, 1.1 20249KGxRP. 32.500, BLD 67</t>
  </si>
  <si>
    <t xml:space="preserve">ALBERTUS CONDRO RUDY KURNIAWAN</t>
  </si>
  <si>
    <t xml:space="preserve">BCA 484-0348-585</t>
  </si>
  <si>
    <t xml:space="preserve">KGR26.00196A</t>
  </si>
  <si>
    <t xml:space="preserve">Delivery Order</t>
  </si>
  <si>
    <t xml:space="preserve">Inventory In Transit - KGR</t>
  </si>
  <si>
    <t xml:space="preserve">Delivery Order : KGR26.00196A</t>
  </si>
  <si>
    <t xml:space="preserve">YULIANA</t>
  </si>
  <si>
    <t xml:space="preserve">KGR26.00197</t>
  </si>
  <si>
    <t xml:space="preserve">Delivery Order : KGR26.00197</t>
  </si>
  <si>
    <t xml:space="preserve">PT NUSANTARA ONE SATU</t>
  </si>
  <si>
    <t xml:space="preserve">KGR26.00198</t>
  </si>
  <si>
    <t xml:space="preserve">Delivery Order : KGR26.00198</t>
  </si>
  <si>
    <t xml:space="preserve">RIAN SAEPUL BAHRI</t>
  </si>
  <si>
    <t xml:space="preserve">KGR26.00199</t>
  </si>
  <si>
    <t xml:space="preserve">Delivery Order : KGR26.00199</t>
  </si>
  <si>
    <t xml:space="preserve">PT SINAR HORECA SUKSES</t>
  </si>
  <si>
    <t xml:space="preserve">Inventory Live Bird</t>
  </si>
  <si>
    <t xml:space="preserve">KGR26.00200</t>
  </si>
  <si>
    <t xml:space="preserve">Delivery Order : KGR26.00200</t>
  </si>
  <si>
    <t xml:space="preserve">KGR26/0196A</t>
  </si>
  <si>
    <t xml:space="preserve">Sales Invoice</t>
  </si>
  <si>
    <t xml:space="preserve">Sales Invoice : KGR26/0196A</t>
  </si>
  <si>
    <t xml:space="preserve">Sales - Trading KGR</t>
  </si>
  <si>
    <t xml:space="preserve">KGR26/0197</t>
  </si>
  <si>
    <t xml:space="preserve">Sales Invoice : KGR26/0197</t>
  </si>
  <si>
    <t xml:space="preserve">KGR26/0198</t>
  </si>
  <si>
    <t xml:space="preserve">Sales Invoice : KGR26/0198</t>
  </si>
  <si>
    <t xml:space="preserve">KGR26/0199</t>
  </si>
  <si>
    <t xml:space="preserve">Sales Invoice : KGR26/0199</t>
  </si>
  <si>
    <t xml:space="preserve">Sales Live Bird</t>
  </si>
  <si>
    <t xml:space="preserve">COGS Live Bird</t>
  </si>
  <si>
    <t xml:space="preserve">KGR26/0200</t>
  </si>
  <si>
    <t xml:space="preserve">Sales Invoice : KGR26/0200</t>
  </si>
  <si>
    <t xml:space="preserve">MJ26080001</t>
  </si>
  <si>
    <t xml:space="preserve">Other COGS - Handling In</t>
  </si>
  <si>
    <t xml:space="preserve">Egi Feriyansyah, Uang Bongkar LDN 20/07/26</t>
  </si>
  <si>
    <t xml:space="preserve">Tax Payable WHT 21 - KGR</t>
  </si>
  <si>
    <t xml:space="preserve">Pph 21(2.5%) Egi Feriyansyah, Uang Bongkar LDN 20/07/26</t>
  </si>
  <si>
    <t xml:space="preserve">Sales Commission - KGR</t>
  </si>
  <si>
    <t xml:space="preserve">Nahnu, Komisi Penjualan</t>
  </si>
  <si>
    <t xml:space="preserve">Pph 21(2.5%) Nahnu, Komisi Penjualan</t>
  </si>
  <si>
    <t xml:space="preserve">Mohamad Rohmatulloh, Overtime Loading ISA, 21/07/26</t>
  </si>
  <si>
    <t xml:space="preserve">Pph 21(2.5%) Mohamad Rohmatulloh, Overtime Loading ISA, 21/07/26</t>
  </si>
  <si>
    <t xml:space="preserve">Cash Advance</t>
  </si>
  <si>
    <t xml:space="preserve">Realisasi PC 06/KGR-PC/VII/2026</t>
  </si>
  <si>
    <t xml:space="preserve">PT KARYA GUDANG RABAT</t>
  </si>
  <si>
    <t xml:space="preserve">MJ26080002</t>
  </si>
  <si>
    <t xml:space="preserve">Egi Feriyansah, Uang Bongkar LDN, 03/08/26</t>
  </si>
  <si>
    <t xml:space="preserve">Pph 21(2.5%) Egi Feriyansah, Uang Bongkar LDN, 03/08/26</t>
  </si>
  <si>
    <t xml:space="preserve">Realisasi CA 07/KGR-PC/VII/2026</t>
  </si>
  <si>
    <t xml:space="preserve">MJ26080003</t>
  </si>
  <si>
    <t xml:space="preserve">Accrued Other - KGR</t>
  </si>
  <si>
    <t xml:space="preserve">Reimbursement Pembelian Karung &amp; ATK</t>
  </si>
  <si>
    <t xml:space="preserve">MJ26080014</t>
  </si>
  <si>
    <t xml:space="preserve">Unearned Income</t>
  </si>
  <si>
    <t xml:space="preserve">Invoice agstus 26 (2103.012 Unearned Income), B7626070042 - 28/07/26</t>
  </si>
  <si>
    <t xml:space="preserve">Down Payment From 3rd Parties - KGR</t>
  </si>
  <si>
    <t xml:space="preserve">B7626080003</t>
  </si>
  <si>
    <t xml:space="preserve">0185/INV/KGR/07/2026  (135.915.000), 0200/INV/KGR/07/2026 (163.304.600) YULIANA </t>
  </si>
  <si>
    <t xml:space="preserve">B7626080004</t>
  </si>
  <si>
    <t xml:space="preserve">0198/INV/KGR/08/2026  RIAN SAEPUL BAHRI </t>
  </si>
  <si>
    <t xml:space="preserve">B7626080005</t>
  </si>
  <si>
    <t xml:space="preserve">0201/INV/KGR/08/2026 RIZKI RAMADHAN  </t>
  </si>
  <si>
    <t xml:space="preserve">Pelanggan Umum</t>
  </si>
  <si>
    <t xml:space="preserve">B7726080001</t>
  </si>
  <si>
    <t xml:space="preserve">Biaya Admin Periode Juli 2026 </t>
  </si>
  <si>
    <t xml:space="preserve">Biaya Admin Periode Juli 2026</t>
  </si>
  <si>
    <t xml:space="preserve">B7626080006</t>
  </si>
  <si>
    <t xml:space="preserve">1103120 Cash Advance (pph LDN)</t>
  </si>
  <si>
    <t xml:space="preserve">B7626080007</t>
  </si>
  <si>
    <t xml:space="preserve">0197/INV/KGR/08/2026  BOGA MAXIMA INDONE  </t>
  </si>
  <si>
    <t xml:space="preserve">B7626080008</t>
  </si>
  <si>
    <t xml:space="preserve">0204/INV/KGR/08/2026 KHASANATUL MASRURO  </t>
  </si>
  <si>
    <t xml:space="preserve">NAHNU ULUM ALANSOR TRI K</t>
  </si>
  <si>
    <t xml:space="preserve">B7626080009</t>
  </si>
  <si>
    <t xml:space="preserve">0199/INV/KGR/08/2026  SINAR HORECA SUKSE </t>
  </si>
  <si>
    <t xml:space="preserve">B7626080010</t>
  </si>
  <si>
    <t xml:space="preserve">0203/INV/KGR/08/2026  INDRA MUHARY </t>
  </si>
  <si>
    <t xml:space="preserve">INDRA MUHARY</t>
  </si>
  <si>
    <t xml:space="preserve">B8526080002</t>
  </si>
  <si>
    <t xml:space="preserve">Biaya Admin Periode Agustus 2026</t>
  </si>
  <si>
    <t xml:space="preserve">B8526080003A</t>
  </si>
  <si>
    <t xml:space="preserve">Others Payable - Third Party - KGR</t>
  </si>
  <si>
    <t xml:space="preserve">KRISWANTININGSIH, BIAYA EXPEDISI 3 MOBIL 1LOTxRp. 8.800.000</t>
  </si>
  <si>
    <t xml:space="preserve">KRISWANTININGSIH</t>
  </si>
  <si>
    <t xml:space="preserve">B8526080003B</t>
  </si>
  <si>
    <t xml:space="preserve">Other Expenses - KGR</t>
  </si>
  <si>
    <t xml:space="preserve">B8526080003C</t>
  </si>
  <si>
    <t xml:space="preserve">PT KGR Advance Payment</t>
  </si>
  <si>
    <t xml:space="preserve">B8526080003D</t>
  </si>
  <si>
    <t xml:space="preserve">KRISWANTININGSIH, BIAYA EXPEDISI 3 MOBIL 1LOTxRp. 8.800.000, MATERAI</t>
  </si>
  <si>
    <t xml:space="preserve">Stamp duty - KGR</t>
  </si>
  <si>
    <t xml:space="preserve">GR26080001</t>
  </si>
  <si>
    <t xml:space="preserve">Receive Items</t>
  </si>
  <si>
    <t xml:space="preserve">Karkas Uk 0.5 - 1.2 - LDN</t>
  </si>
  <si>
    <t xml:space="preserve">RATNA KURNIA LIMANTARI</t>
  </si>
  <si>
    <t xml:space="preserve">Unbilled Vendor</t>
  </si>
  <si>
    <t xml:space="preserve">KGR26.00202</t>
  </si>
  <si>
    <t xml:space="preserve">Delivery Order : KGR26.00202</t>
  </si>
  <si>
    <t xml:space="preserve">KGR26.00203</t>
  </si>
  <si>
    <t xml:space="preserve">Delivery Order : KGR26.00203</t>
  </si>
  <si>
    <t xml:space="preserve">KGR26.00204</t>
  </si>
  <si>
    <t xml:space="preserve">Delivery Order : KGR26.00204</t>
  </si>
  <si>
    <t xml:space="preserve">KGR26/0202</t>
  </si>
  <si>
    <t xml:space="preserve">Sales Invoice : KGR26/0202</t>
  </si>
  <si>
    <t xml:space="preserve">KGR26/0203</t>
  </si>
  <si>
    <t xml:space="preserve">Sales Invoice : KGR26/0203</t>
  </si>
  <si>
    <t xml:space="preserve">KGR26/0204</t>
  </si>
  <si>
    <t xml:space="preserve">Sales Invoice : KGR26/0204</t>
  </si>
  <si>
    <t xml:space="preserve">PI26080001</t>
  </si>
  <si>
    <t xml:space="preserve">Purchase Invoice</t>
  </si>
  <si>
    <t xml:space="preserve">Other COGS Expedition</t>
  </si>
  <si>
    <t xml:space="preserve">Biaya Kirim Ayam 14.361,90 Kg ke LDN</t>
  </si>
  <si>
    <t xml:space="preserve">Pph 21(2.5%) Biaya Kirim Ayam 14.361,90 Kg ke LDN</t>
  </si>
  <si>
    <t xml:space="preserve">PI26080002</t>
  </si>
  <si>
    <t xml:space="preserve">PI26080003</t>
  </si>
  <si>
    <t xml:space="preserve">Other COGS Packaging</t>
  </si>
  <si>
    <t xml:space="preserve">Jasa Repack 503 Kg</t>
  </si>
  <si>
    <t xml:space="preserve">Pph 21(2.5%) Jasa Repack 503 Kg</t>
  </si>
  <si>
    <t xml:space="preserve">PI26080007</t>
  </si>
  <si>
    <t xml:space="preserve">Freight Out - KGR</t>
  </si>
  <si>
    <t xml:space="preserve">Sewa Mobil Kirim Ayam 01-03/08/26</t>
  </si>
  <si>
    <t xml:space="preserve">PT JAYA MANDIRI EXPEDISI</t>
  </si>
  <si>
    <t xml:space="preserve">VAT IN - KGR</t>
  </si>
  <si>
    <t xml:space="preserve">PPN Masukan</t>
  </si>
  <si>
    <t xml:space="preserve">Tax Payable WHT 23 - KGR</t>
  </si>
  <si>
    <t xml:space="preserve">Pph 23(2%) Sewa Mobil Kirim Ayam 01-03/08/26</t>
  </si>
  <si>
    <t xml:space="preserve">Sewa Mobil Kirim Ayam 01-03/08/26 (Inv 197,196A,199,198, 201,202)</t>
  </si>
  <si>
    <t xml:space="preserve">B7626080011</t>
  </si>
  <si>
    <t xml:space="preserve">0205/INV/KGR/08/2026RIZKI RAMADHAN  </t>
  </si>
  <si>
    <t xml:space="preserve">B7626080012</t>
  </si>
  <si>
    <t xml:space="preserve">0202/INV/KGR/08/2026  BOGA MAXIMA INDONE  </t>
  </si>
  <si>
    <t xml:space="preserve">B7626080013</t>
  </si>
  <si>
    <t xml:space="preserve">0207/INV/KGR/08/2026 RIZKI RAMADHAN  </t>
  </si>
  <si>
    <t xml:space="preserve">B8526080004</t>
  </si>
  <si>
    <t xml:space="preserve">Highway, Parking &amp; Oil for Backend Team - KGR</t>
  </si>
  <si>
    <t xml:space="preserve">Bensin</t>
  </si>
  <si>
    <t xml:space="preserve">Toll</t>
  </si>
  <si>
    <t xml:space="preserve">Bensin,Toll</t>
  </si>
  <si>
    <t xml:space="preserve">Bensin,Toll,Parkir</t>
  </si>
  <si>
    <t xml:space="preserve">Office Supplies - KGR</t>
  </si>
  <si>
    <t xml:space="preserve">Uang Konsumsi</t>
  </si>
  <si>
    <t xml:space="preserve">Uang Bongkar</t>
  </si>
  <si>
    <t xml:space="preserve">PETTY CASH 17/7-04/26</t>
  </si>
  <si>
    <t xml:space="preserve">B8526080005</t>
  </si>
  <si>
    <t xml:space="preserve">ALBERTUS CONDRO, KARKAS MIX 14361.9KGxRP. 29.500, KARKAS 0.9, 1.0, 1.1 20249KGxR</t>
  </si>
  <si>
    <t xml:space="preserve">GR26080002</t>
  </si>
  <si>
    <t xml:space="preserve">Karkas Uk 0.3 - Karkas Uk 1.1, BLD Frozen, BLP Frozen</t>
  </si>
  <si>
    <t xml:space="preserve">KGR26.00205A</t>
  </si>
  <si>
    <t xml:space="preserve">Delivery Order : KGR26.00205A</t>
  </si>
  <si>
    <t xml:space="preserve">KGR26.00206</t>
  </si>
  <si>
    <t xml:space="preserve">Delivery Order : KGR26.00206</t>
  </si>
  <si>
    <t xml:space="preserve">KGR26.00207</t>
  </si>
  <si>
    <t xml:space="preserve">Delivery Order : KGR26.00207</t>
  </si>
  <si>
    <t xml:space="preserve">KGR26.00208</t>
  </si>
  <si>
    <t xml:space="preserve">Delivery Order : KGR26.00208</t>
  </si>
  <si>
    <t xml:space="preserve">KGR26/0205A</t>
  </si>
  <si>
    <t xml:space="preserve">Sales Invoice : KGR26/0205A</t>
  </si>
  <si>
    <t xml:space="preserve">Sales Discount - KGR</t>
  </si>
  <si>
    <t xml:space="preserve">KGR26/0206</t>
  </si>
  <si>
    <t xml:space="preserve">Sales Invoice : KGR26/0206</t>
  </si>
  <si>
    <t xml:space="preserve">KGR26/0207</t>
  </si>
  <si>
    <t xml:space="preserve">Sales Invoice : KGR26/0207</t>
  </si>
  <si>
    <t xml:space="preserve">KGR26/0208</t>
  </si>
  <si>
    <t xml:space="preserve">Sales Invoice : KGR26/0208</t>
  </si>
  <si>
    <t xml:space="preserve">PI26080005</t>
  </si>
  <si>
    <t xml:space="preserve">PI26080014</t>
  </si>
  <si>
    <t xml:space="preserve">Pembelian Plastik 100 Pcs</t>
  </si>
  <si>
    <t xml:space="preserve">KURNIAWAN ARIEFKA</t>
  </si>
  <si>
    <t xml:space="preserve">B7626080014</t>
  </si>
  <si>
    <t xml:space="preserve">0206/INV/KGR/08/2026  HANI M HASAN BAJAM  </t>
  </si>
  <si>
    <t xml:space="preserve">B7626080015</t>
  </si>
  <si>
    <t xml:space="preserve">0208/INV/KGR/08/2026  YULIANA </t>
  </si>
  <si>
    <t xml:space="preserve">B7626080016</t>
  </si>
  <si>
    <t xml:space="preserve">0210/INV/KGR/08/2026 RIZKI RAMADHAN  </t>
  </si>
  <si>
    <t xml:space="preserve">B7626080017</t>
  </si>
  <si>
    <t xml:space="preserve">0211/INV/KGR/08/2026  JOKO PURNOMO  </t>
  </si>
  <si>
    <t xml:space="preserve">JOKO PURNOMO</t>
  </si>
  <si>
    <t xml:space="preserve">B7626080018</t>
  </si>
  <si>
    <t xml:space="preserve">B7626080019</t>
  </si>
  <si>
    <t xml:space="preserve">0213/INV/KGR/08/2026 RIZKI RAMADHAN  </t>
  </si>
  <si>
    <t xml:space="preserve">B7626080020</t>
  </si>
  <si>
    <t xml:space="preserve">0214/INV/KGR/08/2026  RIZKI RAMADHAN  (inv 89.448.000)</t>
  </si>
  <si>
    <t xml:space="preserve">B7726080002</t>
  </si>
  <si>
    <t xml:space="preserve">Temporary Account</t>
  </si>
  <si>
    <t xml:space="preserve">PB Dari BCA 8577 KE BCA 8585</t>
  </si>
  <si>
    <t xml:space="preserve">B8426080002</t>
  </si>
  <si>
    <t xml:space="preserve">PB dari bca 8577</t>
  </si>
  <si>
    <t xml:space="preserve">B842608001</t>
  </si>
  <si>
    <t xml:space="preserve">Ratna Kurnia Liman 11.247,50 kg Karkas  05-12 @ 31.000 , di tf tgl 5 agst 3.750.</t>
  </si>
  <si>
    <t xml:space="preserve">B842608003</t>
  </si>
  <si>
    <t xml:space="preserve">BI-FAST CR TRANSFER   DR 535 NAHNU ULUM ALANSOR</t>
  </si>
  <si>
    <t xml:space="preserve">B8526080007</t>
  </si>
  <si>
    <t xml:space="preserve">50%, PT RISMAWAN PRATAMA BERSINAR - ISA, JASA PENYIMPANAN 30/05/2026-28/07/2026 </t>
  </si>
  <si>
    <t xml:space="preserve">B8526080009</t>
  </si>
  <si>
    <t xml:space="preserve">PT JAYA MANDIRI EXPEDISI, SEWA MOBIL 1LOTxRp.1.500.000, SEWA MOBIL 1LOTxRP.3.200</t>
  </si>
  <si>
    <t xml:space="preserve">B8526080010</t>
  </si>
  <si>
    <t xml:space="preserve">KRISWANTININGSIH, BIAYA EXPEDISI 2 MOBIL 1LOTxRP. 34.000.000, -PPH, -MATERAI 10.</t>
  </si>
  <si>
    <t xml:space="preserve">B8526080011</t>
  </si>
  <si>
    <t xml:space="preserve">ALBERTUS CONDRO, KARKAS 0.5 508.10KGxRP.32.500, KARKAS 0.6 820.10KGxRP. 32.500, </t>
  </si>
  <si>
    <t xml:space="preserve">B8526080012</t>
  </si>
  <si>
    <t xml:space="preserve">ALBERTUS CONDRO, BLD 9021.3KGxRP. 42.000, BONELESS PAHA 11006.2KGxRP. 41.000, -M</t>
  </si>
  <si>
    <t xml:space="preserve">B8526080013</t>
  </si>
  <si>
    <t xml:space="preserve">INV'RPBRPA26VII00152, PT RISMAWAN PRATAMA BERSINAR - ISA, JASA PEMBEKUAN NON MAK</t>
  </si>
  <si>
    <t xml:space="preserve">B852608006</t>
  </si>
  <si>
    <t xml:space="preserve">Pembayaran Pembelian : B852608006</t>
  </si>
  <si>
    <t xml:space="preserve">B852608008</t>
  </si>
  <si>
    <t xml:space="preserve">PT RISMAWAN PRATAMA BERSINAR-ISA, JASA PENYIMPANAN 14/06-21/06, 10654.20KG Rp.38</t>
  </si>
  <si>
    <t xml:space="preserve">KGR26.00210</t>
  </si>
  <si>
    <t xml:space="preserve">Delivery Order : KGR26.00210</t>
  </si>
  <si>
    <t xml:space="preserve">KGR26.00211</t>
  </si>
  <si>
    <t xml:space="preserve">Delivery Order : KGR26.00211</t>
  </si>
  <si>
    <t xml:space="preserve">KGR26.00212</t>
  </si>
  <si>
    <t xml:space="preserve">Delivery Order : KGR26.00212</t>
  </si>
  <si>
    <t xml:space="preserve">KGR26.00213</t>
  </si>
  <si>
    <t xml:space="preserve">Delivery Order : KGR26.00213</t>
  </si>
  <si>
    <t xml:space="preserve">KGR26.00214.</t>
  </si>
  <si>
    <t xml:space="preserve">Delivery Order : KGR26.00214.</t>
  </si>
  <si>
    <t xml:space="preserve">KGR26/0210</t>
  </si>
  <si>
    <t xml:space="preserve">Sales Invoice : KGR26/0210</t>
  </si>
  <si>
    <t xml:space="preserve">KGR26/0211</t>
  </si>
  <si>
    <t xml:space="preserve">Sales Invoice : KGR26/0211</t>
  </si>
  <si>
    <t xml:space="preserve">KGR26/0212</t>
  </si>
  <si>
    <t xml:space="preserve">Sales Invoice : KGR26/0212</t>
  </si>
  <si>
    <t xml:space="preserve">KGR26/0213</t>
  </si>
  <si>
    <t xml:space="preserve">Sales Invoice : KGR26/0213</t>
  </si>
  <si>
    <t xml:space="preserve">KGR26/0214</t>
  </si>
  <si>
    <t xml:space="preserve">Sales Invoice : KGR26/0214</t>
  </si>
  <si>
    <t xml:space="preserve">PI26080008</t>
  </si>
  <si>
    <t xml:space="preserve">Biaya Kirim Ayam 35.400 Kg ke LDN</t>
  </si>
  <si>
    <t xml:space="preserve">Pph 21(2.5%) Biaya Kirim Ayam 35.400 Kg ke LDN</t>
  </si>
  <si>
    <t xml:space="preserve">PP26080001</t>
  </si>
  <si>
    <t xml:space="preserve">Purchase Payment : PP26080001</t>
  </si>
  <si>
    <t xml:space="preserve">PP26080002</t>
  </si>
  <si>
    <t xml:space="preserve">Purchase Payment : PP26080002</t>
  </si>
  <si>
    <t xml:space="preserve">SR26080001</t>
  </si>
  <si>
    <t xml:space="preserve">Sales Receipt : SR26080001</t>
  </si>
  <si>
    <t xml:space="preserve">B7626080021</t>
  </si>
  <si>
    <t xml:space="preserve">0216/INV/KGR/08/2026 CLARA SARI    </t>
  </si>
  <si>
    <t xml:space="preserve">B7626080022</t>
  </si>
  <si>
    <t xml:space="preserve">0217/INV/KGR/08/2026 RIZKI RAMADHAN  </t>
  </si>
  <si>
    <t xml:space="preserve">B7626080023</t>
  </si>
  <si>
    <t xml:space="preserve">B7626080024</t>
  </si>
  <si>
    <t xml:space="preserve">0215/INV/KGR/08/2026 JAGAD FROZEN FOODS </t>
  </si>
  <si>
    <t xml:space="preserve">PT JAGAD FROZEN FOODS</t>
  </si>
  <si>
    <t xml:space="preserve">KGR26.00215</t>
  </si>
  <si>
    <t xml:space="preserve">Delivery Order : KGR26.00215</t>
  </si>
  <si>
    <t xml:space="preserve">KGR26.00216</t>
  </si>
  <si>
    <t xml:space="preserve">Delivery Order : KGR26.00216</t>
  </si>
  <si>
    <t xml:space="preserve">KGR26.00217</t>
  </si>
  <si>
    <t xml:space="preserve">Delivery Order : KGR26.00217</t>
  </si>
  <si>
    <t xml:space="preserve">KGR26.00218</t>
  </si>
  <si>
    <t xml:space="preserve">Delivery Order : KGR26.00218</t>
  </si>
  <si>
    <t xml:space="preserve">KGR26/0215</t>
  </si>
  <si>
    <t xml:space="preserve">Sales Invoice : KGR26/0215</t>
  </si>
  <si>
    <t xml:space="preserve">KGR26/0216</t>
  </si>
  <si>
    <t xml:space="preserve">Sales Invoice : KGR26/0216</t>
  </si>
  <si>
    <t xml:space="preserve">KGR26/0217</t>
  </si>
  <si>
    <t xml:space="preserve">Sales Invoice : KGR26/0217</t>
  </si>
  <si>
    <t xml:space="preserve">KGR26/0218</t>
  </si>
  <si>
    <t xml:space="preserve">Sales Invoice : KGR26/0218</t>
  </si>
  <si>
    <t xml:space="preserve">B7626080025</t>
  </si>
  <si>
    <t xml:space="preserve">0218/INV/KGR/08/2026  BOGA MAXIMA INDONE  </t>
  </si>
  <si>
    <t xml:space="preserve">B7626080026</t>
  </si>
  <si>
    <t xml:space="preserve">0220/INV/KGR/08/2026 RIZKI RAMADHAN  </t>
  </si>
  <si>
    <t xml:space="preserve">B7626080027</t>
  </si>
  <si>
    <t xml:space="preserve">0223/INV/KGR/08/2026 RIZKI RAMADHAN  </t>
  </si>
  <si>
    <t xml:space="preserve">B7626080028</t>
  </si>
  <si>
    <t xml:space="preserve">B7626080029</t>
  </si>
  <si>
    <t xml:space="preserve">0222/INV/KGR/08/2026 YULIANA  </t>
  </si>
  <si>
    <t xml:space="preserve">B7626080030</t>
  </si>
  <si>
    <t xml:space="preserve">0221/INV/KGR/08/2026JAGAD FROZEN FOODS  </t>
  </si>
  <si>
    <t xml:space="preserve">B7726080003</t>
  </si>
  <si>
    <t xml:space="preserve">PB Dari BCA 8577 KE BCA 8585 </t>
  </si>
  <si>
    <t xml:space="preserve">B8426080004</t>
  </si>
  <si>
    <t xml:space="preserve">B8526080014</t>
  </si>
  <si>
    <t xml:space="preserve">ISMAYAWATI, REIMBRUISE PEMBELIAN KARUNG, ATK</t>
  </si>
  <si>
    <t xml:space="preserve">B8526080015</t>
  </si>
  <si>
    <t xml:space="preserve">ISMAYAWATI, ALBI YUNUS, REIMBRUISE PEMBAYARAN JASA REPACK 515.90KGxRP. 7.000, -P</t>
  </si>
  <si>
    <t xml:space="preserve">B8526080016</t>
  </si>
  <si>
    <t xml:space="preserve">Purchase Payment : B8526080016</t>
  </si>
  <si>
    <t xml:space="preserve">B8526080017</t>
  </si>
  <si>
    <t xml:space="preserve">Others Payable - Affiliates - KGR</t>
  </si>
  <si>
    <t xml:space="preserve">PT BOGA MAKMUR GRACIA, Bunga pinjaman mei 2026</t>
  </si>
  <si>
    <t xml:space="preserve">PT BOGA MAKMUR GRACIA</t>
  </si>
  <si>
    <t xml:space="preserve">B8526080018</t>
  </si>
  <si>
    <t xml:space="preserve">PT BOGA MAKMUR GRACIA,Bunga pinjaman juli 2026</t>
  </si>
  <si>
    <t xml:space="preserve">B8526080019</t>
  </si>
  <si>
    <t xml:space="preserve">PT BOGA MAKMUR GRACIA,Bunga pinjaman juni 2026</t>
  </si>
  <si>
    <t xml:space="preserve">B8526080020</t>
  </si>
  <si>
    <t xml:space="preserve">PRIYONO, LB 7000KGxRP.24.100, 7/8/26</t>
  </si>
  <si>
    <t xml:space="preserve">PRIYONO</t>
  </si>
  <si>
    <t xml:space="preserve">B8526080021</t>
  </si>
  <si>
    <t xml:space="preserve">Biaya Admin</t>
  </si>
  <si>
    <t xml:space="preserve">PRIYONO, LB 7000KGxRP.24.100, 7/8/26, Biaya Admin</t>
  </si>
  <si>
    <t xml:space="preserve">B8526080022</t>
  </si>
  <si>
    <t xml:space="preserve">KRISWANTININGSIH, BIAYA EXPEDISI 2 MOBIL 2LOTxRP. 4.500.000, -PPH 2.5%, -MATERAI</t>
  </si>
  <si>
    <t xml:space="preserve">B8526080023</t>
  </si>
  <si>
    <t xml:space="preserve">PELUNASAN INV 34/8/26, ALBERTUS CONDRO, BLD 9021.3KGxRP. 42.000, BONELESS PAHA 1</t>
  </si>
  <si>
    <t xml:space="preserve">B8526080024</t>
  </si>
  <si>
    <t xml:space="preserve">PELUNASAN,  ALBERTUS CONDRO, KARKAS 0.5 508.10KGxRP.32.500, KARKAS 0.6 820.10KGx</t>
  </si>
  <si>
    <t xml:space="preserve">B8526080025</t>
  </si>
  <si>
    <t xml:space="preserve">'PT AGRO INTAN PRATAMA, BIAYA EXPEDISI 1LOTxRP. 820.000, -PPH 2%, 7/8/26 (kirim </t>
  </si>
  <si>
    <t xml:space="preserve">PT AGRO INTAN PRATAMA INDONESIA</t>
  </si>
  <si>
    <t xml:space="preserve">B8526080026</t>
  </si>
  <si>
    <t xml:space="preserve">PT. DS SOLUTIONS INTERNATIONAL, DEPOSIT SEWA ARTICBLAST (ABF) 20FT 2BULANxRp.20.</t>
  </si>
  <si>
    <t xml:space="preserve">PT DS SOLUTIONS INTERNATIONAL</t>
  </si>
  <si>
    <t xml:space="preserve">B8526080027</t>
  </si>
  <si>
    <t xml:space="preserve"> Biaya Admin</t>
  </si>
  <si>
    <t xml:space="preserve">B8526080028</t>
  </si>
  <si>
    <t xml:space="preserve">PT. DS SOLUTIONS INTERNATIONAL, DEPOSIT SEWA ATIC BLAST FREEZER 20FT 2BULANxRp.9</t>
  </si>
  <si>
    <t xml:space="preserve">B8526080029</t>
  </si>
  <si>
    <t xml:space="preserve">B8526080030</t>
  </si>
  <si>
    <t xml:space="preserve">PT. DS SOLUTIONS INTERNATIONAL, SEWA ARTICBLAST (ABF) 20FT 1BULANxRp.20.500.000,</t>
  </si>
  <si>
    <t xml:space="preserve">B8526080031</t>
  </si>
  <si>
    <t xml:space="preserve">B8526080032</t>
  </si>
  <si>
    <t xml:space="preserve">PT. DS SOLUTIONS INTERNATIONAL, SEWA PORTABLE COLD STORAGE ARTICSTORE 20FT 1BULA</t>
  </si>
  <si>
    <t xml:space="preserve">B8526080033</t>
  </si>
  <si>
    <t xml:space="preserve">GR26080007</t>
  </si>
  <si>
    <t xml:space="preserve">Pembelian Live Bird 7.000 Kg</t>
  </si>
  <si>
    <t xml:space="preserve">Inventory Other Products</t>
  </si>
  <si>
    <t xml:space="preserve">KGR26.00220</t>
  </si>
  <si>
    <t xml:space="preserve">Delivery Order : KGR26.00220</t>
  </si>
  <si>
    <t xml:space="preserve">KGR26.00221</t>
  </si>
  <si>
    <t xml:space="preserve">Delivery Order : KGR26.00221</t>
  </si>
  <si>
    <t xml:space="preserve">KGR26.00222</t>
  </si>
  <si>
    <t xml:space="preserve">Delivery Order : KGR26.00222</t>
  </si>
  <si>
    <t xml:space="preserve">KGR26.00223</t>
  </si>
  <si>
    <t xml:space="preserve">Delivery Order : KGR26.00223</t>
  </si>
  <si>
    <t xml:space="preserve">KGR26/0220</t>
  </si>
  <si>
    <t xml:space="preserve">Sales Invoice : KGR26/0220</t>
  </si>
  <si>
    <t xml:space="preserve">KGR26/0221</t>
  </si>
  <si>
    <t xml:space="preserve">Sales Invoice : KGR26/0221</t>
  </si>
  <si>
    <t xml:space="preserve">KGR26/0222</t>
  </si>
  <si>
    <t xml:space="preserve">Sales Invoice : KGR26/0222</t>
  </si>
  <si>
    <t xml:space="preserve">KGR26/0223</t>
  </si>
  <si>
    <t xml:space="preserve">Sales Invoice : KGR26/0223</t>
  </si>
  <si>
    <t xml:space="preserve">PI26080013</t>
  </si>
  <si>
    <t xml:space="preserve">Stationery - KGR</t>
  </si>
  <si>
    <t xml:space="preserve">Pembelian ATK</t>
  </si>
  <si>
    <t xml:space="preserve">TOKO DWITAMA SERASI</t>
  </si>
  <si>
    <t xml:space="preserve">PI26080018</t>
  </si>
  <si>
    <t xml:space="preserve">Sewa Mobil Kirim Ayam dari PT ISA - LDN</t>
  </si>
  <si>
    <t xml:space="preserve">Sewa Mobil Kirim Ayam LDN - PUM</t>
  </si>
  <si>
    <t xml:space="preserve">Pph 23(2%) Sewa Mobil</t>
  </si>
  <si>
    <t xml:space="preserve">Sewa Mobil Kirim Ayam dari PT ISA - LDN, Sewa Mobil Kirim Ayam LDN - PUM</t>
  </si>
  <si>
    <t xml:space="preserve">PI26080019</t>
  </si>
  <si>
    <t xml:space="preserve">Biaya Kirim Ayam PT ISA - Dunia Ayam</t>
  </si>
  <si>
    <t xml:space="preserve">Pph 23(2%) Biaya Kirim Ayam PT ISA - Dunia Ayam</t>
  </si>
  <si>
    <t xml:space="preserve">PI26080026</t>
  </si>
  <si>
    <t xml:space="preserve">Biaya Kirim Ayam 7.000 Kg</t>
  </si>
  <si>
    <t xml:space="preserve">Pph 21(2.5%) Biaya Kirim Ayam 7.000 Kg</t>
  </si>
  <si>
    <t xml:space="preserve">PI26080028</t>
  </si>
  <si>
    <t xml:space="preserve">Other COGS Labor</t>
  </si>
  <si>
    <t xml:space="preserve">Jasa Maklon Karkas 6.563 Kg</t>
  </si>
  <si>
    <t xml:space="preserve">Rounding - KGR</t>
  </si>
  <si>
    <t xml:space="preserve">Tax Expense - KGR</t>
  </si>
  <si>
    <t xml:space="preserve">Pph 22(0.25%) Pembelian Live Bird 7.000 Kg</t>
  </si>
  <si>
    <t xml:space="preserve">Tax Payable WHT 22 - KGR</t>
  </si>
  <si>
    <t xml:space="preserve">B7626080031</t>
  </si>
  <si>
    <t xml:space="preserve">Sales Receipt : B7626080031</t>
  </si>
  <si>
    <t xml:space="preserve">B7626080032</t>
  </si>
  <si>
    <t xml:space="preserve">0226/INV/KGR/08/2026 RIZKI RAMADHAN  (inv 90526500)</t>
  </si>
  <si>
    <t xml:space="preserve">B7626080033</t>
  </si>
  <si>
    <t xml:space="preserve">0229/INV/KGR/08/2026 HARTINI  </t>
  </si>
  <si>
    <t xml:space="preserve">B7626080034</t>
  </si>
  <si>
    <t xml:space="preserve">0230/INV/KGR/08/2026  YULIANA  </t>
  </si>
  <si>
    <t xml:space="preserve">GR26080004</t>
  </si>
  <si>
    <t xml:space="preserve">BLD Frozen, BLP Frozen - ASN2608000075 (LDN)</t>
  </si>
  <si>
    <t xml:space="preserve">KGR26.00224</t>
  </si>
  <si>
    <t xml:space="preserve">Delivery Order : KGR26.00224</t>
  </si>
  <si>
    <t xml:space="preserve">HENDRA</t>
  </si>
  <si>
    <t xml:space="preserve">KGR26.00225</t>
  </si>
  <si>
    <t xml:space="preserve">Delivery Order : KGR26.00225</t>
  </si>
  <si>
    <t xml:space="preserve">KGR26.00227</t>
  </si>
  <si>
    <t xml:space="preserve">Delivery Order : KGR26.00227</t>
  </si>
  <si>
    <t xml:space="preserve">KGR26.00228</t>
  </si>
  <si>
    <t xml:space="preserve">Delivery Order : KGR26.00228</t>
  </si>
  <si>
    <t xml:space="preserve">KGR26.00229</t>
  </si>
  <si>
    <t xml:space="preserve">Delivery Order : KGR26.00229</t>
  </si>
  <si>
    <t xml:space="preserve">KGR26.00230</t>
  </si>
  <si>
    <t xml:space="preserve">Delivery Order : KGR26.00230</t>
  </si>
  <si>
    <t xml:space="preserve">KGR26/0224</t>
  </si>
  <si>
    <t xml:space="preserve">Sales Invoice : KGR26/0224</t>
  </si>
  <si>
    <t xml:space="preserve">KGR26/0225</t>
  </si>
  <si>
    <t xml:space="preserve">Sales Invoice : KGR26/0225</t>
  </si>
  <si>
    <t xml:space="preserve">KGR26/0227</t>
  </si>
  <si>
    <t xml:space="preserve">Sales Invoice : KGR26/0227</t>
  </si>
  <si>
    <t xml:space="preserve">Sales Other Products</t>
  </si>
  <si>
    <t xml:space="preserve">COGS Other Products</t>
  </si>
  <si>
    <t xml:space="preserve">KGR26/0228</t>
  </si>
  <si>
    <t xml:space="preserve">Sales Invoice : KGR26/0228</t>
  </si>
  <si>
    <t xml:space="preserve">KGR26/0229</t>
  </si>
  <si>
    <t xml:space="preserve">Sales Invoice : KGR26/0229</t>
  </si>
  <si>
    <t xml:space="preserve">KGR26/0230</t>
  </si>
  <si>
    <t xml:space="preserve">Sales Invoice : KGR26/0230</t>
  </si>
  <si>
    <t xml:space="preserve">PI26080015</t>
  </si>
  <si>
    <t xml:space="preserve">Jasa Repack 240 Kg</t>
  </si>
  <si>
    <t xml:space="preserve">Pph 21(2.5%) Jasa Repack 240 Kg</t>
  </si>
  <si>
    <t xml:space="preserve">PI26080017</t>
  </si>
  <si>
    <t xml:space="preserve">PI26080027</t>
  </si>
  <si>
    <t xml:space="preserve">Pph 23(2%) Jasa Maklon Karkas 6.563 Kg</t>
  </si>
  <si>
    <t xml:space="preserve">B7626080035</t>
  </si>
  <si>
    <t xml:space="preserve">0224/INV/KGR/08/2026HENDRA  </t>
  </si>
  <si>
    <t xml:space="preserve">B7626080036</t>
  </si>
  <si>
    <t xml:space="preserve">PI26080012</t>
  </si>
  <si>
    <t xml:space="preserve">Other COGS Blasting</t>
  </si>
  <si>
    <t xml:space="preserve">Jasa Blasting 1.132,10 Kg</t>
  </si>
  <si>
    <t xml:space="preserve">CV JATIASIH COLD STORAGE</t>
  </si>
  <si>
    <t xml:space="preserve">Pemakaian Karung</t>
  </si>
  <si>
    <t xml:space="preserve">Sarana</t>
  </si>
  <si>
    <t xml:space="preserve">Jasa Repack 1.132,10 Kg</t>
  </si>
  <si>
    <t xml:space="preserve">Pph 23(2%) Jasa Blasting &amp; Repack</t>
  </si>
  <si>
    <t xml:space="preserve">Jasa Blasting &amp; Repack 1.132,10 Kg</t>
  </si>
  <si>
    <t xml:space="preserve">PI26080029</t>
  </si>
  <si>
    <t xml:space="preserve">Biaya Kirim Ayam 11.241,10 Kg</t>
  </si>
  <si>
    <t xml:space="preserve">Pph 21(2.5%) Biaya Kirim Ayam 11.241,10 Kg</t>
  </si>
  <si>
    <t xml:space="preserve">Penerimaan Penjualan : B7626080036</t>
  </si>
  <si>
    <t xml:space="preserve">B7626080038</t>
  </si>
  <si>
    <t xml:space="preserve">0233/INV/KGR/08/2026  HARTINI  </t>
  </si>
  <si>
    <t xml:space="preserve">B7626080039</t>
  </si>
  <si>
    <t xml:space="preserve">0234/INV/KGR/08/2026 RIZKI RAMADHAN  </t>
  </si>
  <si>
    <t xml:space="preserve">B7626080040</t>
  </si>
  <si>
    <t xml:space="preserve">0237/INV/KGR/08/2026  HARTINI  </t>
  </si>
  <si>
    <t xml:space="preserve">B7726080004</t>
  </si>
  <si>
    <t xml:space="preserve">B8426080005</t>
  </si>
  <si>
    <t xml:space="preserve">B8526080034</t>
  </si>
  <si>
    <t xml:space="preserve">ALBERTUS CONDRO, REMBRUISE PEMBELIAN LB 4002.6KGxRP. 21.700, -MATERAI 10.000, 10</t>
  </si>
  <si>
    <t xml:space="preserve">B8526080035</t>
  </si>
  <si>
    <t xml:space="preserve">ALBERTUS CONDRO, REIMBRUISE PEMBELIAN LB 3317KGxRP. 21.700, -MATERAI 10.000, 10/</t>
  </si>
  <si>
    <t xml:space="preserve">B8526080036</t>
  </si>
  <si>
    <t xml:space="preserve">ALBERTUS CONDRO, REIMBRUISE PEMBELIAN LB 3921.5KGxRP. 21.700, -MATERAI 10.000, 1</t>
  </si>
  <si>
    <t xml:space="preserve">B8526080037</t>
  </si>
  <si>
    <t xml:space="preserve">10/08/2026</t>
  </si>
  <si>
    <t xml:space="preserve">PT PAPUA UTAMA MITRA</t>
  </si>
  <si>
    <t xml:space="preserve">B8526080038</t>
  </si>
  <si>
    <t xml:space="preserve">PT PAPUA UTAMA MITRA, COLD STORAGE 1LOTxRp.1.176.732, +PPN, -PPH 2%, 31/7/26, Bi</t>
  </si>
  <si>
    <t xml:space="preserve">B8526080039</t>
  </si>
  <si>
    <t xml:space="preserve">ISMAYAWATI, REIMBRUISE PEMBAYARAN JASA REPACK 240PCSxRP. 7.180, -PPH2.5%</t>
  </si>
  <si>
    <t xml:space="preserve">B8526080040</t>
  </si>
  <si>
    <t xml:space="preserve">ISMAYAWATI, CV JATIASIH COLD STORAGE, REIMBRUISE PEMBAYARAN KE JATIASIH COLD STO</t>
  </si>
  <si>
    <t xml:space="preserve">B8526080041</t>
  </si>
  <si>
    <t xml:space="preserve">PT JAYA MANDIRI EXPEDISI, SEWA MOBIL B 9740 BEV 1LOTxRP. 3.500.000 (6/8/26), SEW</t>
  </si>
  <si>
    <t xml:space="preserve">B8526080042</t>
  </si>
  <si>
    <t xml:space="preserve">KURNIAWAN ARIEFKA, PEMBELIAN PLASTIK 100PCSxRP. 29.750, 04/08/26, 'INV001082026</t>
  </si>
  <si>
    <t xml:space="preserve">B8526080043</t>
  </si>
  <si>
    <t xml:space="preserve">KURNIAWAN ARIEFKA, PEMBELIAN PLASTIK 100PCSxRP. 29.750, 04/08/26, 'INV001082026,</t>
  </si>
  <si>
    <t xml:space="preserve">B8526080044</t>
  </si>
  <si>
    <t xml:space="preserve">PT BOUNTY SEGAR DISTRIBUTION, 7000kg LB BOUNTY SEGAR DISTR  (potong di ISA), inv</t>
  </si>
  <si>
    <t xml:space="preserve">PT BOUNTY SEGAR DISTRIBUTION</t>
  </si>
  <si>
    <t xml:space="preserve">B8526080045</t>
  </si>
  <si>
    <t xml:space="preserve">KRISWANTININGSIH, BIAYA EXPEDISI 1LOTxRP. 9.000.000, BIAYA EXPEDISI 1LOTxRP. 7.0</t>
  </si>
  <si>
    <t xml:space="preserve">GR26080003</t>
  </si>
  <si>
    <t xml:space="preserve">Karkas Uk 0.5 -  Karkas Uk 0.9 - ASN2608000095</t>
  </si>
  <si>
    <t xml:space="preserve">GR26080008</t>
  </si>
  <si>
    <t xml:space="preserve">Pembelian Live Bird 11.214,10 Kg</t>
  </si>
  <si>
    <t xml:space="preserve">GR26080009</t>
  </si>
  <si>
    <t xml:space="preserve">Pembelian Live Bird 7.000,00 Kg</t>
  </si>
  <si>
    <t xml:space="preserve">IA26080001</t>
  </si>
  <si>
    <t xml:space="preserve">Inventory Adjustment</t>
  </si>
  <si>
    <t xml:space="preserve">Penyesuaian Persediaan</t>
  </si>
  <si>
    <t xml:space="preserve">Inventory Opname Adjustment - KGR</t>
  </si>
  <si>
    <t xml:space="preserve">IA26080003</t>
  </si>
  <si>
    <t xml:space="preserve">Adjustment stock KGR26/00235 SKU TRD0021 ke JLB1859</t>
  </si>
  <si>
    <t xml:space="preserve">KGR26.00231</t>
  </si>
  <si>
    <t xml:space="preserve">Pengiriman Pesanan : KGR26.00231</t>
  </si>
  <si>
    <t xml:space="preserve">KGR26.00233</t>
  </si>
  <si>
    <t xml:space="preserve">Delivery Order : KGR26.00233</t>
  </si>
  <si>
    <t xml:space="preserve">KGR26.00234</t>
  </si>
  <si>
    <t xml:space="preserve">Delivery Order : KGR26.00234</t>
  </si>
  <si>
    <t xml:space="preserve">KGR26.00235</t>
  </si>
  <si>
    <t xml:space="preserve">Delivery Order : KGR26.00235</t>
  </si>
  <si>
    <t xml:space="preserve">KGR26.00236</t>
  </si>
  <si>
    <t xml:space="preserve">Delivery Order : KGR26.00236</t>
  </si>
  <si>
    <t xml:space="preserve">KGR26.00237</t>
  </si>
  <si>
    <t xml:space="preserve">Delivery Order : KGR26.00237</t>
  </si>
  <si>
    <t xml:space="preserve">KGR26.00238</t>
  </si>
  <si>
    <t xml:space="preserve">Delivery Order : KGR26.00238</t>
  </si>
  <si>
    <t xml:space="preserve">KGR26.00239</t>
  </si>
  <si>
    <t xml:space="preserve">Delivery Order : KGR26.00239</t>
  </si>
  <si>
    <t xml:space="preserve">KGR26.00240</t>
  </si>
  <si>
    <t xml:space="preserve">Delivery Order : KGR26.00240</t>
  </si>
  <si>
    <t xml:space="preserve">KGR26.00241</t>
  </si>
  <si>
    <t xml:space="preserve">Delivery Order : KGR26.00241</t>
  </si>
  <si>
    <t xml:space="preserve">KGR26.00242</t>
  </si>
  <si>
    <t xml:space="preserve">Delivery Order : KGR26.00242</t>
  </si>
  <si>
    <t xml:space="preserve">KGR26/0231</t>
  </si>
  <si>
    <t xml:space="preserve">Faktur Penjualan : KGR26/0231</t>
  </si>
  <si>
    <t xml:space="preserve">KGR26/0233</t>
  </si>
  <si>
    <t xml:space="preserve">Sales Invoice : KGR26/0233</t>
  </si>
  <si>
    <t xml:space="preserve">KGR26/0234</t>
  </si>
  <si>
    <t xml:space="preserve">Sales Invoice : KGR26/0234</t>
  </si>
  <si>
    <t xml:space="preserve">KGR26/0235</t>
  </si>
  <si>
    <t xml:space="preserve">Faktur Penjualan : KGR26/0235</t>
  </si>
  <si>
    <t xml:space="preserve">KGR26/0236</t>
  </si>
  <si>
    <t xml:space="preserve">Sales Invoice : KGR26/0236</t>
  </si>
  <si>
    <t xml:space="preserve">KGR26/0237</t>
  </si>
  <si>
    <t xml:space="preserve">Sales Invoice : KGR26/0237</t>
  </si>
  <si>
    <t xml:space="preserve">KGR26/0238</t>
  </si>
  <si>
    <t xml:space="preserve">Sales Invoice : KGR26/0238</t>
  </si>
  <si>
    <t xml:space="preserve">KGR26/0239</t>
  </si>
  <si>
    <t xml:space="preserve">Sales Invoice : KGR26/0239</t>
  </si>
  <si>
    <t xml:space="preserve">KGR26/0240</t>
  </si>
  <si>
    <t xml:space="preserve">Sales Invoice : KGR26/0240</t>
  </si>
  <si>
    <t xml:space="preserve">KGR26/0241</t>
  </si>
  <si>
    <t xml:space="preserve">Sales Invoice : KGR26/0241</t>
  </si>
  <si>
    <t xml:space="preserve">KGR26/0242</t>
  </si>
  <si>
    <t xml:space="preserve">Sales Invoice : KGR26/0242</t>
  </si>
  <si>
    <t xml:space="preserve">PI26080004</t>
  </si>
  <si>
    <t xml:space="preserve">Mesin MDM T 1000, Mesin Tumbler Uk 50Kg, Mesin Parting, Loya</t>
  </si>
  <si>
    <t xml:space="preserve">PT TEKO NUSANTARA ADITIA</t>
  </si>
  <si>
    <t xml:space="preserve">PI26080009</t>
  </si>
  <si>
    <t xml:space="preserve">Pembayaran Registrasi Email</t>
  </si>
  <si>
    <t xml:space="preserve">PT DEWAWEB</t>
  </si>
  <si>
    <t xml:space="preserve">Pph 23(2%) Pembayaran Registrasi Email</t>
  </si>
  <si>
    <t xml:space="preserve">PPN Masukan 04002600346449076</t>
  </si>
  <si>
    <t xml:space="preserve">Pembayaran Registrasi Email - FP 04002600346449076</t>
  </si>
  <si>
    <t xml:space="preserve">PI26080016</t>
  </si>
  <si>
    <t xml:space="preserve">PI26080030</t>
  </si>
  <si>
    <t xml:space="preserve">Jasa Maklon Karkas 10.148,70 Kg</t>
  </si>
  <si>
    <t xml:space="preserve">Jasa Blasting 1.252,40 Kg</t>
  </si>
  <si>
    <t xml:space="preserve">Pph 23(2%) Jasa Maklon &amp; Blasting</t>
  </si>
  <si>
    <t xml:space="preserve">PPN  Masukan</t>
  </si>
  <si>
    <t xml:space="preserve">Jasa Maklon Karkas 10.148,70 Kg, Jasa Blasting 1.252,40 Kg</t>
  </si>
  <si>
    <t xml:space="preserve">PI26080031</t>
  </si>
  <si>
    <t xml:space="preserve">Pph 22(0.25%) Pembelian Live Bird 11.214,10 Kg</t>
  </si>
  <si>
    <t xml:space="preserve">B7626080041</t>
  </si>
  <si>
    <t xml:space="preserve">0238/INV/KGR/08/2026 NATALIA PRIHATI  </t>
  </si>
  <si>
    <t xml:space="preserve">B7626080042</t>
  </si>
  <si>
    <t xml:space="preserve">0236/INV/KGR/08/2026 RIZKI RAMADHAN  </t>
  </si>
  <si>
    <t xml:space="preserve">B7626080043</t>
  </si>
  <si>
    <t xml:space="preserve">0239/INV/KGR/08/2026 AGUS DUDI  </t>
  </si>
  <si>
    <t xml:space="preserve">B7626080044</t>
  </si>
  <si>
    <t xml:space="preserve">0235/INV/KGR/08/2026  JAGAD FROZEN FOODS  </t>
  </si>
  <si>
    <t xml:space="preserve">B7626080045</t>
  </si>
  <si>
    <t xml:space="preserve">0240/INV/KGR/08/2026 JOKO PURNOMO  </t>
  </si>
  <si>
    <t xml:space="preserve">B7626080046</t>
  </si>
  <si>
    <t xml:space="preserve">0242/INV/KGR/08/2026  HARTINI  </t>
  </si>
  <si>
    <t xml:space="preserve">B7626080047</t>
  </si>
  <si>
    <t xml:space="preserve">0241/INV/KGR/08/2026 HARTINI  </t>
  </si>
  <si>
    <t xml:space="preserve">B7626080048</t>
  </si>
  <si>
    <t xml:space="preserve">0244/INV/KGR/08/2026 RIZKI RAMADHAN  </t>
  </si>
  <si>
    <t xml:space="preserve">B7626080049</t>
  </si>
  <si>
    <t xml:space="preserve">0245/INV/KGR/08/2026 RIAN SAEPUL BAHRI  </t>
  </si>
  <si>
    <t xml:space="preserve">B7626080050</t>
  </si>
  <si>
    <t xml:space="preserve">0246/INV/KGR/08/2026  HARTINI  (119.436.970)</t>
  </si>
  <si>
    <t xml:space="preserve">B7626080051</t>
  </si>
  <si>
    <t xml:space="preserve">B7626080052</t>
  </si>
  <si>
    <t xml:space="preserve">0247/INV/KGR/08/2026  NATALIA PRIHATI  </t>
  </si>
  <si>
    <t xml:space="preserve">B7726080005</t>
  </si>
  <si>
    <t xml:space="preserve">B8426080006</t>
  </si>
  <si>
    <t xml:space="preserve">B8526080046</t>
  </si>
  <si>
    <t xml:space="preserve">ALBERTUS CONDRO, KARKAS MIX 31067.1KGxRP. 29.000, KERONGKONG 15579.4KGxRP. 9.500</t>
  </si>
  <si>
    <t xml:space="preserve">B8526080047</t>
  </si>
  <si>
    <t xml:space="preserve">Bensin Toll</t>
  </si>
  <si>
    <t xml:space="preserve">Toll Parkir</t>
  </si>
  <si>
    <t xml:space="preserve">Biaya Overtime dan Kawal</t>
  </si>
  <si>
    <t xml:space="preserve">Konsumsi</t>
  </si>
  <si>
    <t xml:space="preserve">Biaya Lalamove</t>
  </si>
  <si>
    <t xml:space="preserve">bENSIN</t>
  </si>
  <si>
    <t xml:space="preserve">bIAYA Lalamove</t>
  </si>
  <si>
    <t xml:space="preserve">Ekspedisi</t>
  </si>
  <si>
    <t xml:space="preserve">Petty Cash 04/08-11/08/2026</t>
  </si>
  <si>
    <t xml:space="preserve">KGR26.00244</t>
  </si>
  <si>
    <t xml:space="preserve">Delivery Order : KGR26.00244</t>
  </si>
  <si>
    <t xml:space="preserve">KGR26.00245</t>
  </si>
  <si>
    <t xml:space="preserve">Delivery Order : KGR26.00245</t>
  </si>
  <si>
    <t xml:space="preserve">KGR26.00246</t>
  </si>
  <si>
    <t xml:space="preserve">Delivery Order : KGR26.00246</t>
  </si>
  <si>
    <t xml:space="preserve">KGR26.00247</t>
  </si>
  <si>
    <t xml:space="preserve">Delivery Order : KGR26.00247</t>
  </si>
  <si>
    <t xml:space="preserve">KGR26/0244</t>
  </si>
  <si>
    <t xml:space="preserve">Sales Invoice : KGR26/0244</t>
  </si>
  <si>
    <t xml:space="preserve">KGR26/0245</t>
  </si>
  <si>
    <t xml:space="preserve">Sales Invoice : KGR26/0245</t>
  </si>
  <si>
    <t xml:space="preserve">KGR26/0246</t>
  </si>
  <si>
    <t xml:space="preserve">Sales Invoice : KGR26/0246</t>
  </si>
  <si>
    <t xml:space="preserve">KGR26/0247</t>
  </si>
  <si>
    <t xml:space="preserve">Sales Invoice : KGR26/0247</t>
  </si>
  <si>
    <t xml:space="preserve">PI26080010</t>
  </si>
  <si>
    <t xml:space="preserve">Pembelian Plastik 1000 Pcs</t>
  </si>
  <si>
    <t xml:space="preserve">PI26080032</t>
  </si>
  <si>
    <t xml:space="preserve">PI26080033</t>
  </si>
  <si>
    <t xml:space="preserve">Jasa Maklon Karkas Fresh 6.595,70 Kg</t>
  </si>
  <si>
    <t xml:space="preserve">Jasa Blasting 2.202,70 Kg</t>
  </si>
  <si>
    <t xml:space="preserve">Jasa Maklon Karkas Fresh 6.595,70 Kg, Jasa Blasting 2.202,70 Kg</t>
  </si>
  <si>
    <t xml:space="preserve">PI26080034</t>
  </si>
  <si>
    <t xml:space="preserve">Pph 22(0.25%) Pembelian Live Bird 7.000,00 Kg</t>
  </si>
  <si>
    <t xml:space="preserve">PI26080070</t>
  </si>
  <si>
    <t xml:space="preserve">Sewa Mobil Kirim Ayam dari LDN, 10/08/26</t>
  </si>
  <si>
    <t xml:space="preserve">Sewa Mobil Kirim Ayam dari PUM, 10/08/26</t>
  </si>
  <si>
    <t xml:space="preserve">Pph 23(2%) Sewa Mobil Kirim Ayam</t>
  </si>
  <si>
    <t xml:space="preserve">Sewa Mobil Kirim Ayam dari LDN, 10/08/26, Sewa Mobil Kirim Ayam dari PUM, 10/08/</t>
  </si>
  <si>
    <t xml:space="preserve">B7626080053</t>
  </si>
  <si>
    <t xml:space="preserve">0243/INV/KGR/08/2026</t>
  </si>
  <si>
    <t xml:space="preserve">B7626080054</t>
  </si>
  <si>
    <t xml:space="preserve">0256/INV/KGR/08/2026 Anto ARMUNANTO</t>
  </si>
  <si>
    <t xml:space="preserve">ARMUNANTO</t>
  </si>
  <si>
    <t xml:space="preserve">B7626080055</t>
  </si>
  <si>
    <t xml:space="preserve">0257/INV/KGR/08/2026RIZKI RAMADHAN</t>
  </si>
  <si>
    <t xml:space="preserve">B7626080056</t>
  </si>
  <si>
    <t xml:space="preserve">0254/INV/KGR/08/2026 ERIEN</t>
  </si>
  <si>
    <t xml:space="preserve">B7726080006</t>
  </si>
  <si>
    <t xml:space="preserve">B8426080007</t>
  </si>
  <si>
    <t xml:space="preserve">B8526080048</t>
  </si>
  <si>
    <t xml:space="preserve">YULIANA , Refund Yuliana SI 0175/KGR/07/2026</t>
  </si>
  <si>
    <t xml:space="preserve">B8526080049</t>
  </si>
  <si>
    <t xml:space="preserve">CV TEKO NUSANTARA ADITIA, MESIN MDM T1000 1UITxRp.275.000.000, TUMBLER uk 50kg 2</t>
  </si>
  <si>
    <t xml:space="preserve">IA26080005</t>
  </si>
  <si>
    <t xml:space="preserve">Adjustment stock KGR26/00254 SKU JLB0988 ke JLB0856, JLB0922
, JLB1054</t>
  </si>
  <si>
    <t xml:space="preserve">KGR26.00248</t>
  </si>
  <si>
    <t xml:space="preserve">Delivery Order : KGR26.00248</t>
  </si>
  <si>
    <t xml:space="preserve">KGR26.00249</t>
  </si>
  <si>
    <t xml:space="preserve">Delivery Order : KGR26.00249</t>
  </si>
  <si>
    <t xml:space="preserve">KGR26.00250</t>
  </si>
  <si>
    <t xml:space="preserve">Delivery Order : KGR26.00250</t>
  </si>
  <si>
    <t xml:space="preserve">KGR26.00251</t>
  </si>
  <si>
    <t xml:space="preserve">Delivery Order : KGR26.00251</t>
  </si>
  <si>
    <t xml:space="preserve">KGR26.00252</t>
  </si>
  <si>
    <t xml:space="preserve">Delivery Order : KGR26.00252</t>
  </si>
  <si>
    <t xml:space="preserve">KGR26.00253</t>
  </si>
  <si>
    <t xml:space="preserve">Delivery Order : KGR26.00253</t>
  </si>
  <si>
    <t xml:space="preserve">KGR26.00254</t>
  </si>
  <si>
    <t xml:space="preserve">Delivery Order : KGR26.00254</t>
  </si>
  <si>
    <t xml:space="preserve">KGR26.00255</t>
  </si>
  <si>
    <t xml:space="preserve">Delivery Order : KGR26.00255</t>
  </si>
  <si>
    <t xml:space="preserve">CV WANGUN UNGGAS PERKASA</t>
  </si>
  <si>
    <t xml:space="preserve">KGR26.00256</t>
  </si>
  <si>
    <t xml:space="preserve">Delivery Order : KGR26.00256</t>
  </si>
  <si>
    <t xml:space="preserve">KGR26.00356</t>
  </si>
  <si>
    <t xml:space="preserve">Delivery Order : KGR26.00356</t>
  </si>
  <si>
    <t xml:space="preserve">KGR26/0248</t>
  </si>
  <si>
    <t xml:space="preserve">Sales Invoice : KGR26/0248</t>
  </si>
  <si>
    <t xml:space="preserve">KGR26/0249</t>
  </si>
  <si>
    <t xml:space="preserve">Sales Invoice : KGR26/0249</t>
  </si>
  <si>
    <t xml:space="preserve">KGR26/0250</t>
  </si>
  <si>
    <t xml:space="preserve">Sales Invoice : KGR26/0250</t>
  </si>
  <si>
    <t xml:space="preserve">KGR26/0251</t>
  </si>
  <si>
    <t xml:space="preserve">Sales Invoice : KGR26/0251</t>
  </si>
  <si>
    <t xml:space="preserve">KGR26/0252</t>
  </si>
  <si>
    <t xml:space="preserve">Sales Invoice : KGR26/0252</t>
  </si>
  <si>
    <t xml:space="preserve">KGR26/0253</t>
  </si>
  <si>
    <t xml:space="preserve">Sales Invoice : KGR26/0253</t>
  </si>
  <si>
    <t xml:space="preserve">KGR26/0254</t>
  </si>
  <si>
    <t xml:space="preserve">Sales Invoice : KGR26/0254</t>
  </si>
  <si>
    <t xml:space="preserve">KGR26/0255</t>
  </si>
  <si>
    <t xml:space="preserve">Sales Invoice : KGR26/0255</t>
  </si>
  <si>
    <t xml:space="preserve">KGR26/0256</t>
  </si>
  <si>
    <t xml:space="preserve">Sales Invoice : KGR26/0256</t>
  </si>
  <si>
    <t xml:space="preserve">KGR26/0356</t>
  </si>
  <si>
    <t xml:space="preserve">Sales Invoice : KGR26/0356</t>
  </si>
  <si>
    <t xml:space="preserve">B7626080057</t>
  </si>
  <si>
    <t xml:space="preserve">0258/INV/KGR/08/2026RIZKI RAMADHAN</t>
  </si>
  <si>
    <t xml:space="preserve">B7626080058</t>
  </si>
  <si>
    <t xml:space="preserve">0260/INV/KGR/08/2026  HARTINI  </t>
  </si>
  <si>
    <t xml:space="preserve">B7626080059</t>
  </si>
  <si>
    <t xml:space="preserve">0262/INV/KGR/08/2026  JOKO PURNOMO  </t>
  </si>
  <si>
    <t xml:space="preserve">B8526080050</t>
  </si>
  <si>
    <t xml:space="preserve">PPh psl 23</t>
  </si>
  <si>
    <t xml:space="preserve">Tax Payable WHT 4  (2) - KGR</t>
  </si>
  <si>
    <t xml:space="preserve"> pph 4(2) masa juli 2026</t>
  </si>
  <si>
    <t xml:space="preserve">PPh psl 23, pph 4(2) masa juli 2026</t>
  </si>
  <si>
    <t xml:space="preserve">B8526080051</t>
  </si>
  <si>
    <t xml:space="preserve">PPh psl 21 masa juli 2026</t>
  </si>
  <si>
    <t xml:space="preserve">B8526080052A</t>
  </si>
  <si>
    <t xml:space="preserve">Priyono LB 4.000 kg LB @ 25.600 (102.390.000)</t>
  </si>
  <si>
    <t xml:space="preserve">B8526080052B</t>
  </si>
  <si>
    <t xml:space="preserve">Albertus condro 7.588,94 kg LB @ 25.300 (191.990.182)</t>
  </si>
  <si>
    <t xml:space="preserve">KGR26.00258</t>
  </si>
  <si>
    <t xml:space="preserve">Delivery Order : KGR26.00258</t>
  </si>
  <si>
    <t xml:space="preserve">KGR26.00259</t>
  </si>
  <si>
    <t xml:space="preserve">Delivery Order : KGR26.00259</t>
  </si>
  <si>
    <t xml:space="preserve">ABDI WAHID</t>
  </si>
  <si>
    <t xml:space="preserve">KGR26.00260</t>
  </si>
  <si>
    <t xml:space="preserve">Delivery Order : KGR26.00260</t>
  </si>
  <si>
    <t xml:space="preserve">KGR26.00261</t>
  </si>
  <si>
    <t xml:space="preserve">Delivery Order : KGR26.00261</t>
  </si>
  <si>
    <t xml:space="preserve">KGR26.00262</t>
  </si>
  <si>
    <t xml:space="preserve">Delivery Order : KGR26.00262</t>
  </si>
  <si>
    <t xml:space="preserve">KGR26/0258</t>
  </si>
  <si>
    <t xml:space="preserve">Sales Invoice : KGR26/0258</t>
  </si>
  <si>
    <t xml:space="preserve">KGR26/0259</t>
  </si>
  <si>
    <t xml:space="preserve">Sales Invoice : KGR26/0259</t>
  </si>
  <si>
    <t xml:space="preserve">KGR26/0260</t>
  </si>
  <si>
    <t xml:space="preserve">Sales Invoice : KGR26/0260</t>
  </si>
  <si>
    <t xml:space="preserve">KGR26/0261</t>
  </si>
  <si>
    <t xml:space="preserve">Sales Invoice : KGR26/0261</t>
  </si>
  <si>
    <t xml:space="preserve">Sales Discount Live Bird</t>
  </si>
  <si>
    <t xml:space="preserve">KGR26/0262</t>
  </si>
  <si>
    <t xml:space="preserve">Sales Invoice : KGR26/0262</t>
  </si>
  <si>
    <t xml:space="preserve">MJ26080018</t>
  </si>
  <si>
    <t xml:space="preserve">Unbilled AR</t>
  </si>
  <si>
    <t xml:space="preserve">Inv 263</t>
  </si>
  <si>
    <t xml:space="preserve">Unbilled Revenue</t>
  </si>
  <si>
    <t xml:space="preserve">PI26080011</t>
  </si>
  <si>
    <t xml:space="preserve">Blasting 20,90 Kg @ 800, 10/08/2026</t>
  </si>
  <si>
    <t xml:space="preserve">Blasting 147,90 Kg @ 800, 11/08/2026</t>
  </si>
  <si>
    <t xml:space="preserve">Blasting 899,50 Kg @ 800, 12/08/2026</t>
  </si>
  <si>
    <t xml:space="preserve">Blasting 113,40 Kg @ 800, 13/08/2026</t>
  </si>
  <si>
    <t xml:space="preserve">Pph 23(2%) Blasting 1.181,70 Kg @ 800, 10-13/08/2026</t>
  </si>
  <si>
    <t xml:space="preserve">Blasting 1.181,70 Kg @ 800, 10-13/08/2026</t>
  </si>
  <si>
    <t xml:space="preserve">PI26080048</t>
  </si>
  <si>
    <t xml:space="preserve">Printing &amp; Photocopy - KGR</t>
  </si>
  <si>
    <t xml:space="preserve">Biaya Fotocopy 01-31 Mei 26</t>
  </si>
  <si>
    <t xml:space="preserve">PT SARANA ABADI MAKMUR BERSAMA</t>
  </si>
  <si>
    <t xml:space="preserve">PPN Masukan FP 0400042600792127</t>
  </si>
  <si>
    <t xml:space="preserve">Pph 23(2%) Biaya Fotocopy 01-31 Mei 26</t>
  </si>
  <si>
    <t xml:space="preserve">PI26080049</t>
  </si>
  <si>
    <t xml:space="preserve">Biaya Fotocopy 01-30 Juni 26</t>
  </si>
  <si>
    <t xml:space="preserve">PPN Masukan FP 0400042600792128</t>
  </si>
  <si>
    <t xml:space="preserve">Pph 23(2%) Biaya Fotocopy 01-30 Juni 26</t>
  </si>
  <si>
    <t xml:space="preserve">B7626080060</t>
  </si>
  <si>
    <t xml:space="preserve">0263/INV/KGR/08/2026 Izhar</t>
  </si>
  <si>
    <t xml:space="preserve">B7626080061</t>
  </si>
  <si>
    <t xml:space="preserve">B7626080062</t>
  </si>
  <si>
    <t xml:space="preserve">Sales Receipt : B7626080062</t>
  </si>
  <si>
    <t xml:space="preserve">B7626080063</t>
  </si>
  <si>
    <t xml:space="preserve">0266/INV/KGR/08/2026  NATALIA PRIHATI  </t>
  </si>
  <si>
    <t xml:space="preserve">B7626080064</t>
  </si>
  <si>
    <t xml:space="preserve">TRSF E-BANKING CR 1408/FTSCY/WS95031 5000000.00  cicil tagihan nota ENI SURYANI </t>
  </si>
  <si>
    <t xml:space="preserve">B7626080065</t>
  </si>
  <si>
    <t xml:space="preserve">0267/INV/KGR/08/2026  NATALIA PRIHATI  </t>
  </si>
  <si>
    <t xml:space="preserve">B7626080066</t>
  </si>
  <si>
    <t xml:space="preserve">0268/INV/KGR/07/2026  HARTINI  </t>
  </si>
  <si>
    <t xml:space="preserve">B7626080067</t>
  </si>
  <si>
    <t xml:space="preserve">0265/INV/KGR/08/2026 IDZHAR DASA WIGUNA  </t>
  </si>
  <si>
    <t xml:space="preserve">B7626080068</t>
  </si>
  <si>
    <t xml:space="preserve">0269/INV/KGR/08/2026</t>
  </si>
  <si>
    <t xml:space="preserve">B7726080007</t>
  </si>
  <si>
    <t xml:space="preserve">B8426080008</t>
  </si>
  <si>
    <t xml:space="preserve">B8526080053</t>
  </si>
  <si>
    <t xml:space="preserve"> INV 04108INVALBERTUS2026 , ALBERTUS CONDRO, KARKAS MIX 31067.1KGxRP. 29.000, KE</t>
  </si>
  <si>
    <t xml:space="preserve">B8526080054</t>
  </si>
  <si>
    <t xml:space="preserve">KRISWANTININGSIH, BIAYA EXPEDISI 1 MOBILxRP. 11.000.000, BIAYA EXPEDISI 1 MOBILx</t>
  </si>
  <si>
    <t xml:space="preserve">B8526080055</t>
  </si>
  <si>
    <t xml:space="preserve"> KRISWANTININGSIH, BIAYA EXPEDISI 2 MOBILxRP.3.500.000, -PPH 2.5%, -MATERAI 10.0</t>
  </si>
  <si>
    <t xml:space="preserve">B8526080056</t>
  </si>
  <si>
    <t xml:space="preserve"> INV 39-40INV,Albertus condro 3.800 kg LB @ 2530</t>
  </si>
  <si>
    <t xml:space="preserve">B8526080057</t>
  </si>
  <si>
    <t xml:space="preserve">KRISWANTININGSIH, BIAYA EXPEDISI 4 MOBILxRP.4.500.000, -PPH 2.5%, -MATERAI 10.00</t>
  </si>
  <si>
    <t xml:space="preserve">GR26080010</t>
  </si>
  <si>
    <t xml:space="preserve">Pembelian Live Bird 15.388,94 Kg</t>
  </si>
  <si>
    <t xml:space="preserve">IA26080006</t>
  </si>
  <si>
    <t xml:space="preserve">Adjustment Stock KGR26/00266 SKU TRD0023 ke JLB0690</t>
  </si>
  <si>
    <t xml:space="preserve">KGR26.00265</t>
  </si>
  <si>
    <t xml:space="preserve">Delivery Order : KGR26.00265</t>
  </si>
  <si>
    <t xml:space="preserve">KGR26.00266</t>
  </si>
  <si>
    <t xml:space="preserve">Delivery Order : KGR26.00266</t>
  </si>
  <si>
    <t xml:space="preserve">KGR26.00267</t>
  </si>
  <si>
    <t xml:space="preserve">Delivery Order : KGR26.00267</t>
  </si>
  <si>
    <t xml:space="preserve">KGR26.00268</t>
  </si>
  <si>
    <t xml:space="preserve">Delivery Order : KGR26.00268</t>
  </si>
  <si>
    <t xml:space="preserve">KGR26.00269</t>
  </si>
  <si>
    <t xml:space="preserve">Delivery Order : KGR26.00269</t>
  </si>
  <si>
    <t xml:space="preserve">KGR26.00270</t>
  </si>
  <si>
    <t xml:space="preserve">Delivery Order : KGR26.00270</t>
  </si>
  <si>
    <t xml:space="preserve">KGR26.00271</t>
  </si>
  <si>
    <t xml:space="preserve">Delivery Order : KGR26.00271</t>
  </si>
  <si>
    <t xml:space="preserve">KGR26/0265</t>
  </si>
  <si>
    <t xml:space="preserve">Sales Invoice : KGR26/0265</t>
  </si>
  <si>
    <t xml:space="preserve">KGR26/0266</t>
  </si>
  <si>
    <t xml:space="preserve">Sales Invoice : KGR26/0266</t>
  </si>
  <si>
    <t xml:space="preserve">KGR26/0267</t>
  </si>
  <si>
    <t xml:space="preserve">Sales Invoice : KGR26/0267</t>
  </si>
  <si>
    <t xml:space="preserve">KGR26/0268</t>
  </si>
  <si>
    <t xml:space="preserve">Sales Invoice : KGR26/0268</t>
  </si>
  <si>
    <t xml:space="preserve">KGR26/0269</t>
  </si>
  <si>
    <t xml:space="preserve">Sales Invoice : KGR26/0269</t>
  </si>
  <si>
    <t xml:space="preserve">KGR26/0270</t>
  </si>
  <si>
    <t xml:space="preserve">Sales Invoice : KGR26/0270</t>
  </si>
  <si>
    <t xml:space="preserve">KGR26/0271</t>
  </si>
  <si>
    <t xml:space="preserve">Sales Invoice : KGR26/0271</t>
  </si>
  <si>
    <t xml:space="preserve">MJ26080017</t>
  </si>
  <si>
    <t xml:space="preserve">Inv 276</t>
  </si>
  <si>
    <t xml:space="preserve">PI26080021</t>
  </si>
  <si>
    <t xml:space="preserve">Transportation for Sales Team - KGR</t>
  </si>
  <si>
    <t xml:space="preserve">Sewa Mobil Avanza AB 1764 ZO Periode Agustus 2026</t>
  </si>
  <si>
    <t xml:space="preserve">PT WADAH BERKAH NUSANTARA JAYA</t>
  </si>
  <si>
    <t xml:space="preserve">Pph 23(2%) Sewa Mobil Avanza AB 1764 ZO Periode Agustus 2026</t>
  </si>
  <si>
    <t xml:space="preserve">PI26080022</t>
  </si>
  <si>
    <t xml:space="preserve">Sewa Mobil Gmax Pick Up AB 8240 LH Periode Agustus 26</t>
  </si>
  <si>
    <t xml:space="preserve">Pph 23(2%) Sewa Mobil Gmax Pick Up AB 8240 LH Periode Agustu</t>
  </si>
  <si>
    <t xml:space="preserve">PI26080023</t>
  </si>
  <si>
    <t xml:space="preserve">Sewa Mobil Gmax Van AB 1854 OJ Periode Agustus 26</t>
  </si>
  <si>
    <t xml:space="preserve">Pph 23(2%) Sewa Mobil Gmax Van AB 1854 OJ Periode Agustus 26</t>
  </si>
  <si>
    <t xml:space="preserve">PI26080024</t>
  </si>
  <si>
    <t xml:space="preserve">Plastik Hygie 0.50x20x35, Plastik Hygie 0.50x17x35</t>
  </si>
  <si>
    <t xml:space="preserve">PT BERKAH PLASTIK INDONESIA</t>
  </si>
  <si>
    <t xml:space="preserve">PI26080035</t>
  </si>
  <si>
    <t xml:space="preserve">Biaya Kirim Ayam 15.388,94 Kg</t>
  </si>
  <si>
    <t xml:space="preserve">Pph 21(2.5%) Biaya Kirim Ayam 15.388,94 Kg</t>
  </si>
  <si>
    <t xml:space="preserve">PI26080036</t>
  </si>
  <si>
    <t xml:space="preserve">Jasa Maklon Karkas Fresh 14.723,30</t>
  </si>
  <si>
    <t xml:space="preserve">Jasa Blasting 3.218,30 Kg</t>
  </si>
  <si>
    <t xml:space="preserve">Jasa Maklon Karkas Fresh 14.723,30, Jasa Blasting 3.218,30 Kg</t>
  </si>
  <si>
    <t xml:space="preserve">PI26080037</t>
  </si>
  <si>
    <t xml:space="preserve">Pembelian LB 4.000 Kg</t>
  </si>
  <si>
    <t xml:space="preserve">PI26080038</t>
  </si>
  <si>
    <t xml:space="preserve">Priyono Pembelian LB 4.000 Kg</t>
  </si>
  <si>
    <t xml:space="preserve">Pph 22(0.25%) Priyono, Pembelian LB 4.000 Kg</t>
  </si>
  <si>
    <t xml:space="preserve">Pph 22(0.25%) Albertus, Pembelian Live Bird 11.388,94 Kg</t>
  </si>
  <si>
    <t xml:space="preserve">PI26080050</t>
  </si>
  <si>
    <t xml:space="preserve">OTHER COGS - Freight In - KGR</t>
  </si>
  <si>
    <t xml:space="preserve">Biaya Kirim Ayam Ke LDN</t>
  </si>
  <si>
    <t xml:space="preserve">Pph 21(2.5%) Biaya Kirim Ayam</t>
  </si>
  <si>
    <t xml:space="preserve">0276/INV/KGR/08/2026  ERIEN  </t>
  </si>
  <si>
    <t xml:space="preserve">B7626080069</t>
  </si>
  <si>
    <t xml:space="preserve">0271/INV/KGR/08/2026</t>
  </si>
  <si>
    <t xml:space="preserve">B7626080070</t>
  </si>
  <si>
    <t xml:space="preserve">0270/INV/KGR/08/2026  BERLI  </t>
  </si>
  <si>
    <t xml:space="preserve">B7626080071</t>
  </si>
  <si>
    <t xml:space="preserve">0272/INV/KGR/08/2026 ALBI YUNUS  </t>
  </si>
  <si>
    <t xml:space="preserve">B7626080072</t>
  </si>
  <si>
    <t xml:space="preserve">0273/INV/KGR/08/2026 Obay OBAY BAEHAKI  </t>
  </si>
  <si>
    <t xml:space="preserve">OBAY BAEHAKI</t>
  </si>
  <si>
    <t xml:space="preserve">B7626080073</t>
  </si>
  <si>
    <t xml:space="preserve">0274/INV/KGR/08/2026 RIZKI RAMADHAN  </t>
  </si>
  <si>
    <t xml:space="preserve">B7626080074</t>
  </si>
  <si>
    <t xml:space="preserve">0275/INV/KGR/08/2026 ALBI YUNUS  </t>
  </si>
  <si>
    <t xml:space="preserve">GR26080018</t>
  </si>
  <si>
    <t xml:space="preserve">Karkas Mix, Kerongkong - LDN (ASN-2608000139, ASN-2608000121, ASN-2608000136, AS</t>
  </si>
  <si>
    <t xml:space="preserve">KGR26.00257</t>
  </si>
  <si>
    <t xml:space="preserve">Delivery Order : KGR26.00257</t>
  </si>
  <si>
    <t xml:space="preserve">KGR26.00272</t>
  </si>
  <si>
    <t xml:space="preserve">Delivery Order : KGR26.00272</t>
  </si>
  <si>
    <t xml:space="preserve">KGR26.00273</t>
  </si>
  <si>
    <t xml:space="preserve">Delivery Order : KGR26.00273</t>
  </si>
  <si>
    <t xml:space="preserve">KGR26.00274</t>
  </si>
  <si>
    <t xml:space="preserve">Delivery Order : KGR26.00274</t>
  </si>
  <si>
    <t xml:space="preserve">KGR26.00275</t>
  </si>
  <si>
    <t xml:space="preserve">Delivery Order : KGR26.00275</t>
  </si>
  <si>
    <t xml:space="preserve">KGR26/0272</t>
  </si>
  <si>
    <t xml:space="preserve">Sales Invoice : KGR26/0272</t>
  </si>
  <si>
    <t xml:space="preserve">KGR26/0273</t>
  </si>
  <si>
    <t xml:space="preserve">Sales Invoice : KGR26/0273</t>
  </si>
  <si>
    <t xml:space="preserve">KGR26/0274</t>
  </si>
  <si>
    <t xml:space="preserve">Sales Invoice : KGR26/0274</t>
  </si>
  <si>
    <t xml:space="preserve">KGR26/0275</t>
  </si>
  <si>
    <t xml:space="preserve">Sales Invoice : KGR26/0275</t>
  </si>
  <si>
    <t xml:space="preserve">MJ26080004</t>
  </si>
  <si>
    <t xml:space="preserve">Other COGS - Handling Out</t>
  </si>
  <si>
    <t xml:space="preserve">Biaya Overtime Bongkar &amp; Kawal di PT ISA, 05/08/26</t>
  </si>
  <si>
    <t xml:space="preserve">Pph 21(2.5%) Mohamad Rohmatulloh, Biaya Overtime Bongkar &amp; Kawal di PT ISA</t>
  </si>
  <si>
    <t xml:space="preserve">Biaya Bongkar Muat di LDN</t>
  </si>
  <si>
    <t xml:space="preserve">Pph 21(2.5%) Egi Feriyansyah, Biaya Bongkar Muat di LDN</t>
  </si>
  <si>
    <t xml:space="preserve">Biaya Kirim Ayam ke Dunia Ayam - Tangerang</t>
  </si>
  <si>
    <t xml:space="preserve">Pph 23(2%)) PT Agro Intan Pratama Indonesia, Biaya Kirim Ayam ke Dunia Ayam - Ta</t>
  </si>
  <si>
    <t xml:space="preserve">Realisasi Petty Cash 04-11/08/26</t>
  </si>
  <si>
    <t xml:space="preserve">PI26080071</t>
  </si>
  <si>
    <t xml:space="preserve">Other COGS - Storage Expenses</t>
  </si>
  <si>
    <t xml:space="preserve">Cod Storage 193.970,32 kg, 01-15/08/26</t>
  </si>
  <si>
    <t xml:space="preserve">Handling In 12.979,24 Kg</t>
  </si>
  <si>
    <t xml:space="preserve">Handling Out 15.847,07  Kg</t>
  </si>
  <si>
    <t xml:space="preserve">Materai</t>
  </si>
  <si>
    <t xml:space="preserve">Pph 23(2%) Cod Storage, Handling In &amp; Out</t>
  </si>
  <si>
    <t xml:space="preserve">Cod Storage 193.970,32 kg, 01-15/08/26, Handling In 12.979,24 Kg, Handling Out 1</t>
  </si>
  <si>
    <t xml:space="preserve">PI26080082</t>
  </si>
  <si>
    <t xml:space="preserve">PI26080053</t>
  </si>
  <si>
    <t xml:space="preserve">PI26080052</t>
  </si>
  <si>
    <t xml:space="preserve">Pph 21(2.5%) Biaya Kirim Ayam Ke LDN</t>
  </si>
  <si>
    <t xml:space="preserve">B7626080076</t>
  </si>
  <si>
    <t xml:space="preserve">0284/INV/KGR/08/2026  NATALIA PRIHATI  </t>
  </si>
  <si>
    <t xml:space="preserve">B7626080077</t>
  </si>
  <si>
    <t xml:space="preserve">0285/INV/KGR/08/2026 RIZKI RAMADHAN  </t>
  </si>
  <si>
    <t xml:space="preserve">B7626080078</t>
  </si>
  <si>
    <t xml:space="preserve">0289/INV/KGR/08/2026 RIZKI RAMADHAN  </t>
  </si>
  <si>
    <t xml:space="preserve">B7726080008</t>
  </si>
  <si>
    <t xml:space="preserve">B7726080009</t>
  </si>
  <si>
    <t xml:space="preserve">B8426080009</t>
  </si>
  <si>
    <t xml:space="preserve">B8426080010</t>
  </si>
  <si>
    <t xml:space="preserve">B8526080058</t>
  </si>
  <si>
    <t xml:space="preserve">B8526080059</t>
  </si>
  <si>
    <t xml:space="preserve">KRISWANTININGSIH, BIAYA EKSPEDISI 1MOBILxRP.11.000.000, -PPH 2.5%, -MATERAI 10.0</t>
  </si>
  <si>
    <t xml:space="preserve">B8526080060</t>
  </si>
  <si>
    <t xml:space="preserve">DP 80% 603.8 kg BLD DG @ 38.000, 6.031 kg BLD DG @ 37.000. 3.002,7 kg BLP P @ 48</t>
  </si>
  <si>
    <t xml:space="preserve">B8526080061</t>
  </si>
  <si>
    <t xml:space="preserve">KRISWANTININGSIH , BIAYA EKSPEDISI 1 MOBILxRP.18.000.000, EKSPEDISI 1MOBILxRP.11</t>
  </si>
  <si>
    <t xml:space="preserve">B8526080062A</t>
  </si>
  <si>
    <t xml:space="preserve">Albertus Condro 16.862,70 kg LB (potong di ISA) 8.861,5 kg @ 25.100 (222.423.650</t>
  </si>
  <si>
    <t xml:space="preserve">B8526080062B</t>
  </si>
  <si>
    <t xml:space="preserve">ebih bayar 7.057.910</t>
  </si>
  <si>
    <t xml:space="preserve">INV 4528INV Albertus Condro 16.862,70 kg LB (potong di ISA) 8.861,5 kg @ 25.100 </t>
  </si>
  <si>
    <t xml:space="preserve">B8526080063</t>
  </si>
  <si>
    <t xml:space="preserve">KRISWANTININGSIH , BIAYA EKSPEDISI 1MOBILxRP.18.000.000, -PPH 2.5%, -MATERAI 10.</t>
  </si>
  <si>
    <t xml:space="preserve">B8526080064</t>
  </si>
  <si>
    <t xml:space="preserve">Wadah Berkah Nusantara, SEWA MOBIL AVANZA AB 1764 ZO PERIODE AGUSTUS 2026, 14/8/</t>
  </si>
  <si>
    <t xml:space="preserve">B8526080065</t>
  </si>
  <si>
    <t xml:space="preserve">PT. Wadah Berkah Nusantara, SEWA MOBIL AVANZA AB 1764 ZO PERIODE AGUSTUS 2026, 1</t>
  </si>
  <si>
    <t xml:space="preserve">B8526080066</t>
  </si>
  <si>
    <t xml:space="preserve">PT WADAH BERKAH NUSANTARA, SEWA MOBIL GRANDMAX PICK UP AB 8240 LH AGUSTUS 2026, </t>
  </si>
  <si>
    <t xml:space="preserve">B8526080067</t>
  </si>
  <si>
    <t xml:space="preserve">B8526080068</t>
  </si>
  <si>
    <t xml:space="preserve">PT WADAH BERKAH NUSANTARA, SEWA MOBIL GRANMAX VAN AB 1854 OJ AGUSTUS 2026, 14/8/</t>
  </si>
  <si>
    <t xml:space="preserve">B8526080069</t>
  </si>
  <si>
    <t xml:space="preserve">B8526080070</t>
  </si>
  <si>
    <t xml:space="preserve">Tambah angin</t>
  </si>
  <si>
    <t xml:space="preserve">Bensin Toll
Bensin, Toll</t>
  </si>
  <si>
    <t xml:space="preserve">Biaya Bongkar Muat</t>
  </si>
  <si>
    <t xml:space="preserve">ATK</t>
  </si>
  <si>
    <t xml:space="preserve">Transportation for Backend Team - KGR</t>
  </si>
  <si>
    <t xml:space="preserve">Transport</t>
  </si>
  <si>
    <t xml:space="preserve">Sewa Mobil</t>
  </si>
  <si>
    <t xml:space="preserve">Upah Bongkar Muat</t>
  </si>
  <si>
    <t xml:space="preserve">Uang Pengawalan</t>
  </si>
  <si>
    <t xml:space="preserve">Lalmove</t>
  </si>
  <si>
    <t xml:space="preserve">Uang pngawalan</t>
  </si>
  <si>
    <t xml:space="preserve">Biaya Overtime</t>
  </si>
  <si>
    <t xml:space="preserve">PETTY CASH 07/8/26-18/8/26</t>
  </si>
  <si>
    <t xml:space="preserve">GR26080013</t>
  </si>
  <si>
    <t xml:space="preserve">Inventory Packaging</t>
  </si>
  <si>
    <t xml:space="preserve">Plastik PE Bening (20 x 35), Plastik PE Bening (15 x 30 )</t>
  </si>
  <si>
    <t xml:space="preserve">PT MAJU JAYA MITRA PLASTINDO</t>
  </si>
  <si>
    <t xml:space="preserve">KGR26.00277</t>
  </si>
  <si>
    <t xml:space="preserve">Delivery Order : KGR26.00277</t>
  </si>
  <si>
    <t xml:space="preserve">KGR26.00278</t>
  </si>
  <si>
    <t xml:space="preserve">Delivery Order : KGR26.00278</t>
  </si>
  <si>
    <t xml:space="preserve">KGR26.00279</t>
  </si>
  <si>
    <t xml:space="preserve">Delivery Order : KGR26.00279</t>
  </si>
  <si>
    <t xml:space="preserve">KGR26.00280</t>
  </si>
  <si>
    <t xml:space="preserve">Delivery Order : KGR26.00280</t>
  </si>
  <si>
    <t xml:space="preserve">KGR26.00281</t>
  </si>
  <si>
    <t xml:space="preserve">Delivery Order : KGR26.00281</t>
  </si>
  <si>
    <t xml:space="preserve">KGR26.00282</t>
  </si>
  <si>
    <t xml:space="preserve">Delivery Order : KGR26.00282</t>
  </si>
  <si>
    <t xml:space="preserve">KGR26.00283</t>
  </si>
  <si>
    <t xml:space="preserve">Delivery Order : KGR26.00283</t>
  </si>
  <si>
    <t xml:space="preserve">KGR26.00284</t>
  </si>
  <si>
    <t xml:space="preserve">Delivery Order : KGR26.00284</t>
  </si>
  <si>
    <t xml:space="preserve">KGR26.00285</t>
  </si>
  <si>
    <t xml:space="preserve">Delivery Order : KGR26.00285</t>
  </si>
  <si>
    <t xml:space="preserve">KGR26.00286</t>
  </si>
  <si>
    <t xml:space="preserve">Delivery Order : KGR26.00286</t>
  </si>
  <si>
    <t xml:space="preserve">KGR26.00287</t>
  </si>
  <si>
    <t xml:space="preserve">Delivery Order : KGR26.00287</t>
  </si>
  <si>
    <t xml:space="preserve">KGR26/0277</t>
  </si>
  <si>
    <t xml:space="preserve">Sales Invoice : KGR26/0277</t>
  </si>
  <si>
    <t xml:space="preserve">KGR26/0278</t>
  </si>
  <si>
    <t xml:space="preserve">Sales Invoice : KGR26/0278</t>
  </si>
  <si>
    <t xml:space="preserve">KGR26/0279</t>
  </si>
  <si>
    <t xml:space="preserve">Sales Invoice : KGR26/0279</t>
  </si>
  <si>
    <t xml:space="preserve">KGR26/0280</t>
  </si>
  <si>
    <t xml:space="preserve">Sales Invoice : KGR26/0280</t>
  </si>
  <si>
    <t xml:space="preserve">KGR26/0281</t>
  </si>
  <si>
    <t xml:space="preserve">Sales Invoice : KGR26/0281</t>
  </si>
  <si>
    <t xml:space="preserve">KGR26/0282</t>
  </si>
  <si>
    <t xml:space="preserve">Sales Invoice : KGR26/0282</t>
  </si>
  <si>
    <t xml:space="preserve">KGR26/0283</t>
  </si>
  <si>
    <t xml:space="preserve">Sales Invoice : KGR26/0283</t>
  </si>
  <si>
    <t xml:space="preserve">KGR26/0284</t>
  </si>
  <si>
    <t xml:space="preserve">Sales Invoice : KGR26/0284</t>
  </si>
  <si>
    <t xml:space="preserve">KGR26/0285</t>
  </si>
  <si>
    <t xml:space="preserve">Sales Invoice : KGR26/0285</t>
  </si>
  <si>
    <t xml:space="preserve">KGR26/0286</t>
  </si>
  <si>
    <t xml:space="preserve">Sales Invoice : KGR26/0286</t>
  </si>
  <si>
    <t xml:space="preserve">KGR26/0287</t>
  </si>
  <si>
    <t xml:space="preserve">Sales Invoice : KGR26/0287</t>
  </si>
  <si>
    <t xml:space="preserve">MJ26080005</t>
  </si>
  <si>
    <t xml:space="preserve">Biaya Bongkar Muat di PUM, LDN, ISA</t>
  </si>
  <si>
    <t xml:space="preserve">Pph 21(2.5%) Egi Feriyansyah, Biaya Bongkar Muat di PUM, LDN, ISA</t>
  </si>
  <si>
    <t xml:space="preserve">Biaya Bongkar Muat Di Cigombong</t>
  </si>
  <si>
    <t xml:space="preserve">Pph 21(2.5%) Egi Feriyansyah, Biaya Bongkar Muat Di Cigombong</t>
  </si>
  <si>
    <t xml:space="preserve">Sewa Mobil Kirim Ayam Ke Bandung</t>
  </si>
  <si>
    <t xml:space="preserve">Pph 23(2%) Subur Sunarya, Sewa Mobil Kirim Ayam Ke Bandung</t>
  </si>
  <si>
    <t xml:space="preserve">Pph 21(2.5%) Erwin Alamsyah, Biaya Bongkar Muat Di Cigombong</t>
  </si>
  <si>
    <t xml:space="preserve">Biaya Kawal Kirim Keranjang ke Cigombong</t>
  </si>
  <si>
    <t xml:space="preserve">Pph 21(2.5%) Erwin Alamsyah, Biaya Kawal Kirim Keranjang ke Cigombong</t>
  </si>
  <si>
    <t xml:space="preserve">Biaya Kawal Kirim Karkas ke Cigombong</t>
  </si>
  <si>
    <t xml:space="preserve">Pph 21(2.5%) Biaya Erwin Alamsyah, Kawal Kirim Karkas ke Cigombong</t>
  </si>
  <si>
    <t xml:space="preserve">Biaya Overtime loading di PT ISA</t>
  </si>
  <si>
    <t xml:space="preserve">Pph 21(2.5%) Mohamad Rohmatulloh, Biaya Overtime loading di PT ISA</t>
  </si>
  <si>
    <t xml:space="preserve">Realisasi PC 09/KGR-PC/VIII/2026</t>
  </si>
  <si>
    <t xml:space="preserve">PI26080043</t>
  </si>
  <si>
    <t xml:space="preserve">Biaya Kirim Ayam 4.157,9 Kg &amp; 4.019,7 Kg</t>
  </si>
  <si>
    <t xml:space="preserve">Pph 21(2.5%) Biaya Kirim Ayam 4.157,9 Kg &amp; 4.019,7 Kg</t>
  </si>
  <si>
    <t xml:space="preserve">PI26080054</t>
  </si>
  <si>
    <t xml:space="preserve">Biaya Kirim Ayam 20 Ton</t>
  </si>
  <si>
    <t xml:space="preserve">Biaya Kirim Ayam 12 Ton</t>
  </si>
  <si>
    <t xml:space="preserve">PI26080058</t>
  </si>
  <si>
    <t xml:space="preserve">Professional Fee - KGR</t>
  </si>
  <si>
    <t xml:space="preserve">Biaya Jasa Notaris </t>
  </si>
  <si>
    <t xml:space="preserve">ELIZABETH KARINA LEONITA P, SH, MKN</t>
  </si>
  <si>
    <t xml:space="preserve">Pph 21(2.5%) Biaya Jasa Notaris</t>
  </si>
  <si>
    <t xml:space="preserve">PI26080076</t>
  </si>
  <si>
    <t xml:space="preserve">PI26080094</t>
  </si>
  <si>
    <t xml:space="preserve">Cold Storage 1.461.942,- Kg, 20 Juli - 31 Juli 2026</t>
  </si>
  <si>
    <t xml:space="preserve">PT LINTAS DIRGA NUSANTARA</t>
  </si>
  <si>
    <t xml:space="preserve">Handling In 47.373 Kg</t>
  </si>
  <si>
    <t xml:space="preserve">Handling Out 70.471 Kg</t>
  </si>
  <si>
    <t xml:space="preserve">Cold Storage 1.461.942,- Kg, 20 Juli - 31 Juli 2026, Handling In 47.373 Kg, Hand</t>
  </si>
  <si>
    <t xml:space="preserve">PI26080095</t>
  </si>
  <si>
    <t xml:space="preserve">Cold Storage 1.330.037 Kg, 01 Agustus - 15 Agustus 2026</t>
  </si>
  <si>
    <t xml:space="preserve">Handling In 112.316 Kg</t>
  </si>
  <si>
    <t xml:space="preserve">Handling Out 127.789 Kg</t>
  </si>
  <si>
    <t xml:space="preserve">Cold Storage 1.330.037 Kg, 01 Agustus - 15 Agustus 2026, Handling In 112.316 Kg,</t>
  </si>
  <si>
    <t xml:space="preserve">B7626080079</t>
  </si>
  <si>
    <t xml:space="preserve">0286/INV/KGR/08/2026 RIZKI RAMADHAN  </t>
  </si>
  <si>
    <t xml:space="preserve">B7626080080</t>
  </si>
  <si>
    <t xml:space="preserve">0290/INV/KGR/08/2026 RIZKI RAMADHAN  </t>
  </si>
  <si>
    <t xml:space="preserve">B7626080081</t>
  </si>
  <si>
    <t xml:space="preserve">0286/INV/KGR/08/2026 RIZKI RAMADHAN  (18.000), 0289/INV/KGR/08/2026 RIZKI RAMADH</t>
  </si>
  <si>
    <t xml:space="preserve">B7626080082</t>
  </si>
  <si>
    <t xml:space="preserve">0287/INV/KGR/08/2026 LILIS TRI HASMANTO  </t>
  </si>
  <si>
    <t xml:space="preserve">B7626080083</t>
  </si>
  <si>
    <t xml:space="preserve">B7626080084</t>
  </si>
  <si>
    <t xml:space="preserve">0259/INV/KGR/08/2026 HASANUDIN </t>
  </si>
  <si>
    <t xml:space="preserve">B7626080085</t>
  </si>
  <si>
    <t xml:space="preserve">0288/INV/KGR/08/2026 KURNIAWAN ARIEFKA    </t>
  </si>
  <si>
    <t xml:space="preserve">KURNIAWAN ARIEFKA, SE. MM</t>
  </si>
  <si>
    <t xml:space="preserve">B7626080086</t>
  </si>
  <si>
    <t xml:space="preserve">0292/INV/KGR/08/2026 RIZKI RAMADHAN  </t>
  </si>
  <si>
    <t xml:space="preserve">B7626080087</t>
  </si>
  <si>
    <t xml:space="preserve">B7626080088</t>
  </si>
  <si>
    <t xml:space="preserve">0295/INV/KGR/08/2026 RIZKI RAMADHAN  </t>
  </si>
  <si>
    <t xml:space="preserve">B7626080089</t>
  </si>
  <si>
    <t xml:space="preserve">0294/INV/KGR/08/2026  RIZKI RAMADHAN  </t>
  </si>
  <si>
    <t xml:space="preserve">B7726080010</t>
  </si>
  <si>
    <t xml:space="preserve">B8426080011</t>
  </si>
  <si>
    <t xml:space="preserve">B8526080071</t>
  </si>
  <si>
    <t xml:space="preserve">PT BERKAH PLASTIK INDONESIA , PLASTIK HYGIE 600xRP. 38.000, +PPN11%, -MATERAI 10</t>
  </si>
  <si>
    <t xml:space="preserve">B8526080072</t>
  </si>
  <si>
    <t xml:space="preserve">INV 4208INV, 603.8 kg BLD DG @ 38.000, 6.031 kg BLD DG @ 37.000. 3.002,7 kg BLP </t>
  </si>
  <si>
    <t xml:space="preserve">B8526080073</t>
  </si>
  <si>
    <t xml:space="preserve">KRISWANTININGSIH, BIAYA EKSPEDISI 2 MOBILxRP. 8.000.000, -PPH 2.5%, -MATERAI RP.</t>
  </si>
  <si>
    <t xml:space="preserve">B8526080074</t>
  </si>
  <si>
    <t xml:space="preserve">KRISWANTININGSIH, BIAYA EKSPEDISI 2 MOBILxRP. 4.500.000, -PPH 2.5%, -MATERAI RP.</t>
  </si>
  <si>
    <t xml:space="preserve">B8526080075</t>
  </si>
  <si>
    <t xml:space="preserve">PT MAJU JAYA MITRA PLASTINDO, PLASTIK PE BENING 100UNITxRP. 46.000, PLASTIK PE B</t>
  </si>
  <si>
    <t xml:space="preserve">B8526080076</t>
  </si>
  <si>
    <t xml:space="preserve">PT PAPUA UTAMA MITRA, COLD STORAGE 1LOTxRP. 6.125.182, +PPN,+MATERAI, -PPH2%, 15</t>
  </si>
  <si>
    <t xml:space="preserve">B8526080077</t>
  </si>
  <si>
    <t xml:space="preserve">B8526080078</t>
  </si>
  <si>
    <t xml:space="preserve">PT JAYA MANDIRI EXPEDISI , SEWA MOBIL B 9365 BXT 1LOTxRP. 1.100.000, SEWA MOBIL </t>
  </si>
  <si>
    <t xml:space="preserve">B8526080079</t>
  </si>
  <si>
    <t xml:space="preserve">PT. AGRO INTAN PRATAMA INDONESIA, BIAYA EXPEDISI 1 MOBILxRP.900.000, -PPH 2%, 19</t>
  </si>
  <si>
    <t xml:space="preserve">B8526080080A</t>
  </si>
  <si>
    <t xml:space="preserve">Albertus Pembelian Live Bird 8.177,60 Kg, Inv 043/08/INV/ALBERTUS/2026</t>
  </si>
  <si>
    <t xml:space="preserve">B8526080080B</t>
  </si>
  <si>
    <t xml:space="preserve">lebih bayar 20.652.240 </t>
  </si>
  <si>
    <t xml:space="preserve">INV 04308INV, Albertus condro  8177,60 kg LB @ 25.100 (205.247.760) lebih bayar </t>
  </si>
  <si>
    <t xml:space="preserve">GR26080011</t>
  </si>
  <si>
    <t xml:space="preserve">Pembelian Live Bird 16.862,70 Kg</t>
  </si>
  <si>
    <t xml:space="preserve">KGR26.00288</t>
  </si>
  <si>
    <t xml:space="preserve">Delivery Order : KGR26.00288</t>
  </si>
  <si>
    <t xml:space="preserve">KGR26.00289</t>
  </si>
  <si>
    <t xml:space="preserve">Delivery Order : KGR26.00289</t>
  </si>
  <si>
    <t xml:space="preserve">KGR26.00290</t>
  </si>
  <si>
    <t xml:space="preserve">Delivery Order : KGR26.00290</t>
  </si>
  <si>
    <t xml:space="preserve">KGR26.00291</t>
  </si>
  <si>
    <t xml:space="preserve">Delivery Order : KGR26.00291</t>
  </si>
  <si>
    <t xml:space="preserve">KGR26.00292</t>
  </si>
  <si>
    <t xml:space="preserve">Delivery Order : KGR26.00292</t>
  </si>
  <si>
    <t xml:space="preserve">KGR26.00293</t>
  </si>
  <si>
    <t xml:space="preserve">Delivery Order : KGR26.00293</t>
  </si>
  <si>
    <t xml:space="preserve">KGR26.00294</t>
  </si>
  <si>
    <t xml:space="preserve">Delivery Order : KGR26.00294</t>
  </si>
  <si>
    <t xml:space="preserve">KGR26/0288</t>
  </si>
  <si>
    <t xml:space="preserve">Sales Invoice : KGR26/0288</t>
  </si>
  <si>
    <t xml:space="preserve">KGR26/0289</t>
  </si>
  <si>
    <t xml:space="preserve">Sales Invoice : KGR26/0289</t>
  </si>
  <si>
    <t xml:space="preserve">KGR26/0290</t>
  </si>
  <si>
    <t xml:space="preserve">Sales Invoice : KGR26/0290</t>
  </si>
  <si>
    <t xml:space="preserve">KGR26/0291</t>
  </si>
  <si>
    <t xml:space="preserve">Sales Invoice : KGR26/0291</t>
  </si>
  <si>
    <t xml:space="preserve">KGR26/0292</t>
  </si>
  <si>
    <t xml:space="preserve">Sales Invoice : KGR26/0292</t>
  </si>
  <si>
    <t xml:space="preserve">KGR26/0293</t>
  </si>
  <si>
    <t xml:space="preserve">Sales Invoice : KGR26/0293</t>
  </si>
  <si>
    <t xml:space="preserve">KGR26/0294</t>
  </si>
  <si>
    <t xml:space="preserve">Sales Invoice : KGR26/0294</t>
  </si>
  <si>
    <t xml:space="preserve">PI26080039</t>
  </si>
  <si>
    <t xml:space="preserve">Biaya Kirim Ayam (LB)</t>
  </si>
  <si>
    <t xml:space="preserve">Pph 21(2.5%) Biaya Kirim Ayam (LB)</t>
  </si>
  <si>
    <t xml:space="preserve">PI26080041</t>
  </si>
  <si>
    <t xml:space="preserve">Jasa Maklon Karkas Fresh 15.580,70 Kg</t>
  </si>
  <si>
    <t xml:space="preserve">Jasa Blasting 3.114,10 Kg</t>
  </si>
  <si>
    <t xml:space="preserve">Jasa Maklon Karkas Fresh 15.580,70 Kg, Jasa Blasting 3.114,10 Kg</t>
  </si>
  <si>
    <t xml:space="preserve">PI26080042</t>
  </si>
  <si>
    <t xml:space="preserve">Pph 22(0.25%) Pembelian Live Bird 16.862,70 Kg</t>
  </si>
  <si>
    <t xml:space="preserve">PI26080072</t>
  </si>
  <si>
    <t xml:space="preserve">Biaya Kirim Ayam dari ISA - Dunia Ayam (Tangerang)</t>
  </si>
  <si>
    <t xml:space="preserve">Pph 23(2%) Biaya Kirim Ayam dari ISA - Dunia Ayam (Tangerang</t>
  </si>
  <si>
    <t xml:space="preserve">B7626080090</t>
  </si>
  <si>
    <t xml:space="preserve">Albertus condro  8177,60 kg LB @ 25.100 (205.247.760) lebih bayar 20.642.240</t>
  </si>
  <si>
    <t xml:space="preserve">B7626080091</t>
  </si>
  <si>
    <t xml:space="preserve">0232/INV/KGR/08/2026 WANGUN UNGGAS PERK  </t>
  </si>
  <si>
    <t xml:space="preserve">B7626080092</t>
  </si>
  <si>
    <t xml:space="preserve">0296/INV/KGR/08/2026RIZKI RAMADHAN  </t>
  </si>
  <si>
    <t xml:space="preserve">B7626080093</t>
  </si>
  <si>
    <t xml:space="preserve">B7626080094</t>
  </si>
  <si>
    <t xml:space="preserve">0298/INV/KGR/08/2026  JOKO PURNOMO  </t>
  </si>
  <si>
    <t xml:space="preserve">B7726080011</t>
  </si>
  <si>
    <t xml:space="preserve">B8426080012</t>
  </si>
  <si>
    <t xml:space="preserve">B8526080081</t>
  </si>
  <si>
    <t xml:space="preserve">kekurangan LB DENI JAKARIA  </t>
  </si>
  <si>
    <t xml:space="preserve">B8526080082A</t>
  </si>
  <si>
    <t xml:space="preserve">Albertus condro 4.261,2 kg , 3.519,4kg LB (195.283.060)</t>
  </si>
  <si>
    <t xml:space="preserve">B8526080082B</t>
  </si>
  <si>
    <t xml:space="preserve">ebih bayar 15.546.940.</t>
  </si>
  <si>
    <t xml:space="preserve">INV 04408INV, Albertus condro 4.261,2 kg , 3.519,4kg LB (195.283.060) lebih baya</t>
  </si>
  <si>
    <t xml:space="preserve">B8526080083</t>
  </si>
  <si>
    <t xml:space="preserve">KRISWANTININGSIH , BIAYA EKSPEDISI 2 MOBILxRP.4.500.000, -PPH2.5%, -MATERAI 10.0</t>
  </si>
  <si>
    <t xml:space="preserve">B8526080084</t>
  </si>
  <si>
    <t xml:space="preserve">Kriswatiningsih Armada LB  Albertus condro 4.261,2 kg , 3.519,4kg LB (195.283.06</t>
  </si>
  <si>
    <t xml:space="preserve">GR26080012</t>
  </si>
  <si>
    <t xml:space="preserve">Pembelian Live Bird 8.177,60 Kg</t>
  </si>
  <si>
    <t xml:space="preserve">GR26080015</t>
  </si>
  <si>
    <t xml:space="preserve">BLD Frozen, BLD Frozen (Grade), BLP Frozen (Grade), KRK - LDN (ASN2608000158 - A</t>
  </si>
  <si>
    <t xml:space="preserve">KGR26.00264</t>
  </si>
  <si>
    <t xml:space="preserve">Delivery Order : KGR26.00264</t>
  </si>
  <si>
    <t xml:space="preserve">KGR26.00295</t>
  </si>
  <si>
    <t xml:space="preserve">Delivery Order : KGR26.00295</t>
  </si>
  <si>
    <t xml:space="preserve">KGR26.00296</t>
  </si>
  <si>
    <t xml:space="preserve">Delivery Order : KGR26.00296</t>
  </si>
  <si>
    <t xml:space="preserve">KGR26.00297</t>
  </si>
  <si>
    <t xml:space="preserve">Delivery Order : KGR26.00297</t>
  </si>
  <si>
    <t xml:space="preserve">KGR26.00298</t>
  </si>
  <si>
    <t xml:space="preserve">Delivery Order : KGR26.00298</t>
  </si>
  <si>
    <t xml:space="preserve">KGR26/0264</t>
  </si>
  <si>
    <t xml:space="preserve">Sales Invoice : KGR26/0264</t>
  </si>
  <si>
    <t xml:space="preserve">KGR26/0295</t>
  </si>
  <si>
    <t xml:space="preserve">Sales Invoice : KGR26/0295</t>
  </si>
  <si>
    <t xml:space="preserve">KGR26/0296</t>
  </si>
  <si>
    <t xml:space="preserve">Sales Invoice : KGR26/0296</t>
  </si>
  <si>
    <t xml:space="preserve">KGR26/0297</t>
  </si>
  <si>
    <t xml:space="preserve">Sales Invoice : KGR26/0297</t>
  </si>
  <si>
    <t xml:space="preserve">KGR26/0298</t>
  </si>
  <si>
    <t xml:space="preserve">Sales Invoice : KGR26/0298</t>
  </si>
  <si>
    <t xml:space="preserve">PI26080040</t>
  </si>
  <si>
    <t xml:space="preserve">PI26080044</t>
  </si>
  <si>
    <t xml:space="preserve">Jasa Maklon Karkas Fresh 7.772,60 Kg</t>
  </si>
  <si>
    <t xml:space="preserve">Jasa Blasting 4.095,90 Kg</t>
  </si>
  <si>
    <t xml:space="preserve">Jasa Maklon Karkas Fresh 7.772,60 Kg, Jasa Blasting 4.095,90 Kg</t>
  </si>
  <si>
    <t xml:space="preserve">PI26080045</t>
  </si>
  <si>
    <t xml:space="preserve">Rounding</t>
  </si>
  <si>
    <t xml:space="preserve">PI26080079</t>
  </si>
  <si>
    <t xml:space="preserve">B7626080095</t>
  </si>
  <si>
    <t xml:space="preserve">0295/INV/KGR/08/2026 Petik Segar</t>
  </si>
  <si>
    <t xml:space="preserve">B7626080096</t>
  </si>
  <si>
    <t xml:space="preserve">0264/INV/KGR/08/2026 IDZHAR DASA WIGUNA  </t>
  </si>
  <si>
    <t xml:space="preserve">B7626080097</t>
  </si>
  <si>
    <t xml:space="preserve">Albertus condro 4.261,2 kg , 3.519,4kg LB (195.283.060) lebih bayar 15.546.695</t>
  </si>
  <si>
    <t xml:space="preserve">B7626080098</t>
  </si>
  <si>
    <t xml:space="preserve">0299/INV/KGR/07/2026 Petik Segar </t>
  </si>
  <si>
    <t xml:space="preserve">B7626080099</t>
  </si>
  <si>
    <t xml:space="preserve">0308/INV/KGR/08/2026 RIZKI RAMADHAN  </t>
  </si>
  <si>
    <t xml:space="preserve">B7726080012</t>
  </si>
  <si>
    <t xml:space="preserve">B7726080013</t>
  </si>
  <si>
    <t xml:space="preserve">B8426080013</t>
  </si>
  <si>
    <t xml:space="preserve">B8426080014</t>
  </si>
  <si>
    <t xml:space="preserve">B8526080085</t>
  </si>
  <si>
    <t xml:space="preserve">Accrued Social Security Payable - KGR</t>
  </si>
  <si>
    <t xml:space="preserve">BPJS TK agstus 2026</t>
  </si>
  <si>
    <t xml:space="preserve">B8526080086</t>
  </si>
  <si>
    <t xml:space="preserve">CV MITRA TRANSPORTASI INDONESIA, BIAYA SEWA HINO 130HD B 9811 JXS 24/8-23/9/26, </t>
  </si>
  <si>
    <t xml:space="preserve">CV MITRA TRANSPORTASI INDONESIA</t>
  </si>
  <si>
    <t xml:space="preserve">B8526080087</t>
  </si>
  <si>
    <t xml:space="preserve">PT RISMAWAN PRATAMA BERSINAR, JASA MAKLOON KARKAS FRESH 15580.70KGxRP.1.600, PEM</t>
  </si>
  <si>
    <t xml:space="preserve">B8526080088</t>
  </si>
  <si>
    <t xml:space="preserve">PT RISMAWAN PRATAMA BERSINAR, JASA MAKLOON KARKAS FRESH 7772.60KGxRP.1.600, PEMB</t>
  </si>
  <si>
    <t xml:space="preserve">B8526080089</t>
  </si>
  <si>
    <t xml:space="preserve">Albertus Condro 4.448,6kg, 3.739kg, 3902kg LB (291.931.360), Albertus 4.011,6kg,</t>
  </si>
  <si>
    <t xml:space="preserve">B8526080090</t>
  </si>
  <si>
    <t xml:space="preserve">PT JAYA MANDIRI EXPEDISI, SEWA MOBIL B 9568 BXT 1 LOTxRP.2.500.000, -PPH 2%, inv</t>
  </si>
  <si>
    <t xml:space="preserve">B8526080091</t>
  </si>
  <si>
    <t xml:space="preserve">Bayar CJS</t>
  </si>
  <si>
    <t xml:space="preserve">Bensin, Toll</t>
  </si>
  <si>
    <t xml:space="preserve">DP Ekspedisi</t>
  </si>
  <si>
    <t xml:space="preserve">Pelunasan Ekspedisi</t>
  </si>
  <si>
    <t xml:space="preserve">LB</t>
  </si>
  <si>
    <t xml:space="preserve">PETTY CASH 15/8-21/8/26</t>
  </si>
  <si>
    <t xml:space="preserve">B8526080092</t>
  </si>
  <si>
    <t xml:space="preserve">ALBERTUS CONDRO 4.001,7kg BLP 48.000, kulit dada 2.972,7 kg 28.000</t>
  </si>
  <si>
    <t xml:space="preserve">GR26080019</t>
  </si>
  <si>
    <t xml:space="preserve">Pembelian Live Bird 7.780,60 Kg</t>
  </si>
  <si>
    <t xml:space="preserve">IA26080002</t>
  </si>
  <si>
    <t xml:space="preserve">KGR26.00299</t>
  </si>
  <si>
    <t xml:space="preserve">Delivery Order : KGR26.00299</t>
  </si>
  <si>
    <t xml:space="preserve">KGR26.00300</t>
  </si>
  <si>
    <t xml:space="preserve">Delivery Order : KGR26.00300</t>
  </si>
  <si>
    <t xml:space="preserve">KGR26.00301</t>
  </si>
  <si>
    <t xml:space="preserve">Delivery Order : KGR26.00301</t>
  </si>
  <si>
    <t xml:space="preserve">KGR26.00302</t>
  </si>
  <si>
    <t xml:space="preserve">Delivery Order : KGR26.00302</t>
  </si>
  <si>
    <t xml:space="preserve">KGR26.00303</t>
  </si>
  <si>
    <t xml:space="preserve">Delivery Order : KGR26.00303</t>
  </si>
  <si>
    <t xml:space="preserve">KGR26.00304</t>
  </si>
  <si>
    <t xml:space="preserve">Delivery Order : KGR26.00304</t>
  </si>
  <si>
    <t xml:space="preserve">KGR26.00305</t>
  </si>
  <si>
    <t xml:space="preserve">Delivery Order : KGR26.00305</t>
  </si>
  <si>
    <t xml:space="preserve">KGR26.00306</t>
  </si>
  <si>
    <t xml:space="preserve">Delivery Order : KGR26.00306</t>
  </si>
  <si>
    <t xml:space="preserve">KGR26.00307</t>
  </si>
  <si>
    <t xml:space="preserve">Delivery Order : KGR26.00307</t>
  </si>
  <si>
    <t xml:space="preserve">KGR26.00308</t>
  </si>
  <si>
    <t xml:space="preserve">Delivery Order : KGR26.00308</t>
  </si>
  <si>
    <t xml:space="preserve">KGR26.00309</t>
  </si>
  <si>
    <t xml:space="preserve">Delivery Order : KGR26.00309</t>
  </si>
  <si>
    <t xml:space="preserve">KGR26.00310</t>
  </si>
  <si>
    <t xml:space="preserve">Delivery Order : KGR26.00310</t>
  </si>
  <si>
    <t xml:space="preserve">KGR26.00312</t>
  </si>
  <si>
    <t xml:space="preserve">Delivery Order : KGR26.00312</t>
  </si>
  <si>
    <t xml:space="preserve">KGR26.00313</t>
  </si>
  <si>
    <t xml:space="preserve">Delivery Order : KGR26.00313</t>
  </si>
  <si>
    <t xml:space="preserve">KGR26/0299</t>
  </si>
  <si>
    <t xml:space="preserve">Sales Invoice : KGR26/0299</t>
  </si>
  <si>
    <t xml:space="preserve">KGR26/0300</t>
  </si>
  <si>
    <t xml:space="preserve">Sales Invoice : KGR26/0300</t>
  </si>
  <si>
    <t xml:space="preserve">KGR26/0301</t>
  </si>
  <si>
    <t xml:space="preserve">Sales Invoice : KGR26/0301</t>
  </si>
  <si>
    <t xml:space="preserve">KGR26/0302</t>
  </si>
  <si>
    <t xml:space="preserve">Sales Invoice : KGR26/0302</t>
  </si>
  <si>
    <t xml:space="preserve">KGR26/0303</t>
  </si>
  <si>
    <t xml:space="preserve">Sales Invoice : KGR26/0303</t>
  </si>
  <si>
    <t xml:space="preserve">KGR26/0304</t>
  </si>
  <si>
    <t xml:space="preserve">Sales Invoice : KGR26/0304</t>
  </si>
  <si>
    <t xml:space="preserve">KGR26/0305</t>
  </si>
  <si>
    <t xml:space="preserve">Sales Invoice : KGR26/0305</t>
  </si>
  <si>
    <t xml:space="preserve">KGR26/0306</t>
  </si>
  <si>
    <t xml:space="preserve">Sales Invoice : KGR26/0306</t>
  </si>
  <si>
    <t xml:space="preserve">KGR26/0307</t>
  </si>
  <si>
    <t xml:space="preserve">Sales Invoice : KGR26/0307</t>
  </si>
  <si>
    <t xml:space="preserve">KGR26/0308</t>
  </si>
  <si>
    <t xml:space="preserve">Sales Invoice : KGR26/0308</t>
  </si>
  <si>
    <t xml:space="preserve">KGR26/0309</t>
  </si>
  <si>
    <t xml:space="preserve">Sales Invoice : KGR26/0309</t>
  </si>
  <si>
    <t xml:space="preserve">KGR26/0310</t>
  </si>
  <si>
    <t xml:space="preserve">Sales Invoice : KGR26/0310</t>
  </si>
  <si>
    <t xml:space="preserve">KGR26/0312</t>
  </si>
  <si>
    <t xml:space="preserve">Sales Invoice : KGR26/0312</t>
  </si>
  <si>
    <t xml:space="preserve">KGR26/0313</t>
  </si>
  <si>
    <t xml:space="preserve">Sales Invoice : KGR26/0313</t>
  </si>
  <si>
    <t xml:space="preserve">MJ26080008</t>
  </si>
  <si>
    <t xml:space="preserve">Material Sekat Gudang, Lampu &amp; Taang Gudang, 19/08/2026</t>
  </si>
  <si>
    <t xml:space="preserve">MJ26080009</t>
  </si>
  <si>
    <t xml:space="preserve">Jati Asih Cold Storage, Jasa Blasting 1.132,10 Kg</t>
  </si>
  <si>
    <t xml:space="preserve">Pph 23(2%) Jati Asih Cold Storage, Jasa Blasting 1.132,10 Kg</t>
  </si>
  <si>
    <t xml:space="preserve">Biaya Kirim Ayam Cigombong, 16/08/26</t>
  </si>
  <si>
    <t xml:space="preserve">Pph 21(2.5%) Biaya Kirim Ayam Cigombong, 16/08/26</t>
  </si>
  <si>
    <t xml:space="preserve">Biaya Bongkar di ISA, 19/08/26</t>
  </si>
  <si>
    <t xml:space="preserve">Pph 21(2.5%) Mohamad Rohmatulloh , Biaya Bongkar di ISA, 19/08/26</t>
  </si>
  <si>
    <t xml:space="preserve">Biaya Kirim Ayam ke Dunia Ayam ( Tangerang ), 21/08/26</t>
  </si>
  <si>
    <t xml:space="preserve">Pph 23(2%) PT Agro Intan Pratama Indonesia, Biaya Kirim Ayam ke Dunia Ayam ( Tan</t>
  </si>
  <si>
    <t xml:space="preserve">Realisasi PC 10/KGR-PC/VIII/2026</t>
  </si>
  <si>
    <t xml:space="preserve">PI26080055</t>
  </si>
  <si>
    <t xml:space="preserve">Biaya Kirim Ayam</t>
  </si>
  <si>
    <t xml:space="preserve">PI26080066</t>
  </si>
  <si>
    <t xml:space="preserve">Biaya Kirim Ayam 7.780,60 Kg</t>
  </si>
  <si>
    <t xml:space="preserve">Pph 21(2.5%) Biaya Kirim Ayam 7.780,60 Kg</t>
  </si>
  <si>
    <t xml:space="preserve">PI26080067</t>
  </si>
  <si>
    <t xml:space="preserve">Jasa Maklon Karkas Frersh 7.303,60 Kg</t>
  </si>
  <si>
    <t xml:space="preserve">Jasa Blasting 4.073,60 Kg</t>
  </si>
  <si>
    <t xml:space="preserve">Jasa Maklon Karkas Frersh 7.303,60 Kg, Jasa Blasting 4.073,60 Kg</t>
  </si>
  <si>
    <t xml:space="preserve">PI26080073</t>
  </si>
  <si>
    <t xml:space="preserve">Sewa Kirim Ayam 20/08/2026(Inv. 0264/INV/KGR/08/2026)</t>
  </si>
  <si>
    <t xml:space="preserve">Pph 23(2%) Sewa Kirim Ayam 20/08/2026(Inv. 0264/INV/KGR/08/2</t>
  </si>
  <si>
    <t xml:space="preserve">PI26080083</t>
  </si>
  <si>
    <t xml:space="preserve">Pph 22(0.25%) Pembelian Live Bird 7.780,60 Kg</t>
  </si>
  <si>
    <t xml:space="preserve">B76260800101</t>
  </si>
  <si>
    <t xml:space="preserve">Sales Receipt : B76260800101</t>
  </si>
  <si>
    <t xml:space="preserve">B7626080100</t>
  </si>
  <si>
    <t xml:space="preserve">0300/INV/KGR/08/2026 DAL Joko Purnomo</t>
  </si>
  <si>
    <t xml:space="preserve">B7626080102</t>
  </si>
  <si>
    <t xml:space="preserve">0310/INV/KGR/08/2026 Nathalia</t>
  </si>
  <si>
    <t xml:space="preserve">B7626080103</t>
  </si>
  <si>
    <t xml:space="preserve">0311/INV/KGR/08/2026 Rizki Ramadhan</t>
  </si>
  <si>
    <t xml:space="preserve">B7626080104</t>
  </si>
  <si>
    <t xml:space="preserve">0312/INV/KGR/08/2026 Rizki Ramadhan</t>
  </si>
  <si>
    <t xml:space="preserve">B7626080105</t>
  </si>
  <si>
    <t xml:space="preserve">0313/INV/KGR/08/2026 HArtini</t>
  </si>
  <si>
    <t xml:space="preserve">B7626080106</t>
  </si>
  <si>
    <t xml:space="preserve">0314/INV/KGR/08/2026  RIZKI RAMADHAN  </t>
  </si>
  <si>
    <t xml:space="preserve">B7626080107</t>
  </si>
  <si>
    <t xml:space="preserve">KGR26.00314</t>
  </si>
  <si>
    <t xml:space="preserve">Delivery Order : KGR26.00314</t>
  </si>
  <si>
    <t xml:space="preserve">KGR26.00315</t>
  </si>
  <si>
    <t xml:space="preserve">Delivery Order : KGR26.00315</t>
  </si>
  <si>
    <t xml:space="preserve">KGR26/0314</t>
  </si>
  <si>
    <t xml:space="preserve">Sales Invoice : KGR26/0314</t>
  </si>
  <si>
    <t xml:space="preserve">KGR26/0315</t>
  </si>
  <si>
    <t xml:space="preserve">Sales Invoice : KGR26/0315</t>
  </si>
  <si>
    <t xml:space="preserve">PI26080074</t>
  </si>
  <si>
    <t xml:space="preserve">Jasa Blasting 520 Kg</t>
  </si>
  <si>
    <t xml:space="preserve">Pph 23(2%) Jasa Blasting 520 Kg</t>
  </si>
  <si>
    <t xml:space="preserve">0316/INV/KGR/08/2026NATALIA PRIHATI  </t>
  </si>
  <si>
    <t xml:space="preserve">B7626080109</t>
  </si>
  <si>
    <t xml:space="preserve">0317/INV/KGR/08/2026 ALBI YUNUS  </t>
  </si>
  <si>
    <t xml:space="preserve">B7626080110</t>
  </si>
  <si>
    <t xml:space="preserve">0315/INV/KGR/08/2026 Dunia Ayam Joko Purnomo</t>
  </si>
  <si>
    <t xml:space="preserve">GR26080016</t>
  </si>
  <si>
    <t xml:space="preserve">BLP Frozen, Kulit Body Frozen -LDN (ASN2608000171)</t>
  </si>
  <si>
    <t xml:space="preserve">Delivery Order : KGR26.00317</t>
  </si>
  <si>
    <t xml:space="preserve">Delivery Order : KGR26.00318</t>
  </si>
  <si>
    <t xml:space="preserve">KGR26/0317</t>
  </si>
  <si>
    <t xml:space="preserve">Sales Invoice : KGR26/0317</t>
  </si>
  <si>
    <t xml:space="preserve">KGR26/0318</t>
  </si>
  <si>
    <t xml:space="preserve">Sales Invoice : KGR26/0318</t>
  </si>
  <si>
    <t xml:space="preserve">MJ26080016</t>
  </si>
  <si>
    <t xml:space="preserve">Inv 316</t>
  </si>
  <si>
    <t xml:space="preserve">PI26080006</t>
  </si>
  <si>
    <t xml:space="preserve">Biaya Sewa HINO D130HD B9811JXS 24/8-23/9/26</t>
  </si>
  <si>
    <t xml:space="preserve">Pph 23(2%) Biaya Sewa HINO D130HD B9811JXS 24/8-23/9/26</t>
  </si>
  <si>
    <t xml:space="preserve">PI26080025</t>
  </si>
  <si>
    <t xml:space="preserve">Prepaid Rent - KGR</t>
  </si>
  <si>
    <t xml:space="preserve">Sewa RPA Rawa Terate 1 Tahun</t>
  </si>
  <si>
    <t xml:space="preserve">PUSPEL KESEHATAN HEWAN DAN PETERNAKAN</t>
  </si>
  <si>
    <t xml:space="preserve">PI26080047</t>
  </si>
  <si>
    <t xml:space="preserve">Sewa Mobil Kirim Ayam 20/08/26 (Inv 300/08/2026)</t>
  </si>
  <si>
    <t xml:space="preserve">Pph 23(2%) Sewa Mobil Kirim Ayam 20/08/26 (Inv 300/08/2026)</t>
  </si>
  <si>
    <t xml:space="preserve">PI26080080</t>
  </si>
  <si>
    <t xml:space="preserve">B7626080111</t>
  </si>
  <si>
    <t xml:space="preserve">0318/INV/KGR/08/2026 RIZKI RAMADHAN  </t>
  </si>
  <si>
    <t xml:space="preserve">GR26080020</t>
  </si>
  <si>
    <t xml:space="preserve">Pembelian Live Bird 12.211,60 Kg</t>
  </si>
  <si>
    <t xml:space="preserve">PI26080051</t>
  </si>
  <si>
    <t xml:space="preserve">Biaya Kirim Ayam (Sayap) 7.000,00 Kg</t>
  </si>
  <si>
    <t xml:space="preserve">Pph 21(2.5%) Biaya Kirim Ayam (Sayap) 7.000,00 Kg</t>
  </si>
  <si>
    <t xml:space="preserve">PI26080063</t>
  </si>
  <si>
    <t xml:space="preserve">PI26080064</t>
  </si>
  <si>
    <t xml:space="preserve">Jasa Maklon Karkas Fresh 11.666,80 Kg</t>
  </si>
  <si>
    <t xml:space="preserve">Jasa Blasting 2.422,90 Kg</t>
  </si>
  <si>
    <t xml:space="preserve">Jasa Maklon Karkas Fresh 11.666,80 Kg, Jasa Blasting 2.422,90 Kg</t>
  </si>
  <si>
    <t xml:space="preserve">PI26080078</t>
  </si>
  <si>
    <t xml:space="preserve">Biaya Tambahan Jasa Maklon Tgl 25/08/2026</t>
  </si>
  <si>
    <t xml:space="preserve">Pph 23(2%) Biaya Tambahan Jasa Maklon Tgl 25/08/2026</t>
  </si>
  <si>
    <t xml:space="preserve">PPN Masukan - RPB-RPA/26/VIII/00198</t>
  </si>
  <si>
    <t xml:space="preserve">PI26080084</t>
  </si>
  <si>
    <t xml:space="preserve">Pph 22(0.25%) Pembelian Live Bird 12.211,60 Kg</t>
  </si>
  <si>
    <t xml:space="preserve">B7626080113</t>
  </si>
  <si>
    <t xml:space="preserve">0319/INV/KGR/08/2026 HARTINI</t>
  </si>
  <si>
    <t xml:space="preserve">B7626080114</t>
  </si>
  <si>
    <t xml:space="preserve">0326/INV/KGR/08/2026 RIZKI RAMADHAN</t>
  </si>
  <si>
    <t xml:space="preserve">B762608112</t>
  </si>
  <si>
    <t xml:space="preserve">Pinjaman dari PT. BMG</t>
  </si>
  <si>
    <t xml:space="preserve">B7726080014</t>
  </si>
  <si>
    <t xml:space="preserve">B7726080015</t>
  </si>
  <si>
    <t xml:space="preserve">B8426080015</t>
  </si>
  <si>
    <t xml:space="preserve">B8426080016</t>
  </si>
  <si>
    <t xml:space="preserve">B8526080093</t>
  </si>
  <si>
    <t xml:space="preserve">Albertus Condro 6.985kg Sayap @ 27.000, JADI YANG DIBAYAR Rp 144.180.000, karena</t>
  </si>
  <si>
    <t xml:space="preserve">B8526080094</t>
  </si>
  <si>
    <t xml:space="preserve">KRISWANTININGSIH armada ALBERTUS CONDRO 4.001,7kg BLP 48.000, kulit dada 2.972,7</t>
  </si>
  <si>
    <t xml:space="preserve">B8526080095</t>
  </si>
  <si>
    <t xml:space="preserve">KRISWANTININGSIH armada albertus 7.000kg sayap</t>
  </si>
  <si>
    <t xml:space="preserve">B8526080096</t>
  </si>
  <si>
    <t xml:space="preserve">INV 47 &amp; 48, Albertus Condro 4.448,6kg, 3.739kg, 3902kg LB (291.931.360), Albert</t>
  </si>
  <si>
    <t xml:space="preserve">B8526080097A</t>
  </si>
  <si>
    <t xml:space="preserve">Albertus Condro 4.113,8kg,, 3.967,2kg, 3.600,4kg LB 287.352.440</t>
  </si>
  <si>
    <t xml:space="preserve">B8526080097B</t>
  </si>
  <si>
    <t xml:space="preserve"> (lebih bayar 20.087.560,SUDAH DIKEMBALIKAN TGL 27/8/26 KE 8577</t>
  </si>
  <si>
    <t xml:space="preserve">INV 50, Albertus Condro 4.113,8kg,, 3.967,2kg, 3.600,4kg LB 287.352.440 (lebih b</t>
  </si>
  <si>
    <t xml:space="preserve">B8526080098</t>
  </si>
  <si>
    <t xml:space="preserve">KRISWANTININGSIH, BIAYA EXPEDISI 3MOBILxRP. 4.500.000, BIAYA EXPEDISI 3MOBILxPRP</t>
  </si>
  <si>
    <t xml:space="preserve">GR26080021</t>
  </si>
  <si>
    <t xml:space="preserve">Pembelian Live Bird 12.089,60 Kg</t>
  </si>
  <si>
    <t xml:space="preserve">Delivery Order : KGR26.00319</t>
  </si>
  <si>
    <t xml:space="preserve">Delivery Order : KGR26.00320</t>
  </si>
  <si>
    <t xml:space="preserve">Delivery Order : KGR26.00321</t>
  </si>
  <si>
    <t xml:space="preserve">Delivery Order : KGR26.00322</t>
  </si>
  <si>
    <t xml:space="preserve">Delivery Order : KGR26.00323</t>
  </si>
  <si>
    <t xml:space="preserve">Delivery Order : KGR26.00324</t>
  </si>
  <si>
    <t xml:space="preserve">Delivery Order : KGR26.00325</t>
  </si>
  <si>
    <t xml:space="preserve">Delivery Order : KGR26.00326</t>
  </si>
  <si>
    <t xml:space="preserve">Delivery Order : KGR26.00327</t>
  </si>
  <si>
    <t xml:space="preserve">KGR26/0319</t>
  </si>
  <si>
    <t xml:space="preserve">Sales Invoice : KGR26/0319</t>
  </si>
  <si>
    <t xml:space="preserve">KGR26/0320</t>
  </si>
  <si>
    <t xml:space="preserve">Sales Invoice : KGR26/0320</t>
  </si>
  <si>
    <t xml:space="preserve">KGR26/0321</t>
  </si>
  <si>
    <t xml:space="preserve">Sales Invoice : KGR26/0321</t>
  </si>
  <si>
    <t xml:space="preserve">KGR26/0322</t>
  </si>
  <si>
    <t xml:space="preserve">Sales Invoice : KGR26/0322</t>
  </si>
  <si>
    <t xml:space="preserve">KGR26/0323</t>
  </si>
  <si>
    <t xml:space="preserve">Sales Invoice : KGR26/0323</t>
  </si>
  <si>
    <t xml:space="preserve">KGR26/0324</t>
  </si>
  <si>
    <t xml:space="preserve">Sales Invoice : KGR26/0324</t>
  </si>
  <si>
    <t xml:space="preserve">KGR26/0325</t>
  </si>
  <si>
    <t xml:space="preserve">Sales Invoice : KGR26/0325</t>
  </si>
  <si>
    <t xml:space="preserve">KGR26/0326</t>
  </si>
  <si>
    <t xml:space="preserve">Sales Invoice : KGR26/0326</t>
  </si>
  <si>
    <t xml:space="preserve">KGR26/0327</t>
  </si>
  <si>
    <t xml:space="preserve">Sales Invoice : KGR26/0327</t>
  </si>
  <si>
    <t xml:space="preserve">PI26080057</t>
  </si>
  <si>
    <t xml:space="preserve">Biaya Jasa Notaris Akta Perubahan Pengurus</t>
  </si>
  <si>
    <t xml:space="preserve">Pph 21(2.5%) Biaya Jasa Notaris Akta Perubahan Pengurus</t>
  </si>
  <si>
    <t xml:space="preserve">PI26080065</t>
  </si>
  <si>
    <t xml:space="preserve">Jasa Maklon Karkas Fresh 11.101,30 Kg</t>
  </si>
  <si>
    <t xml:space="preserve">Jasa Blasting 3.234,50 Kg</t>
  </si>
  <si>
    <t xml:space="preserve">Pph 23(2%) Jasa Maklon &amp; Karkas</t>
  </si>
  <si>
    <t xml:space="preserve">Jasa Maklon Karkas Fresh 11.101,30 Kg, Jasa Blasting 3.234,50 Kg</t>
  </si>
  <si>
    <t xml:space="preserve">PI26080085</t>
  </si>
  <si>
    <t xml:space="preserve">Pph 22(0.25%) Pembelian Live Bird 12.089,60 Kg</t>
  </si>
  <si>
    <t xml:space="preserve">PI26080097</t>
  </si>
  <si>
    <t xml:space="preserve">Pinjaman dari PT BMG </t>
  </si>
  <si>
    <t xml:space="preserve">RENCANA KAS — penerimaan dan pembayaran di luar model (penagihan pelanggan, gaji, pajak, bunga, pinjaman, utang lama)</t>
  </si>
  <si>
    <t xml:space="preserve">Pembayaran live bird, pembelian trading, angkut dan maklon untuk rencana minggu ini sudah dihitung dari T_Batch / T_Penerimaan sesuai termin — jangan diinput lagi di sini.</t>
  </si>
  <si>
    <t xml:space="preserve">Pos neraca lawan</t>
  </si>
  <si>
    <t xml:space="preserve">Jumlah Rp
(+ masuk / − keluar)</t>
  </si>
  <si>
    <t xml:space="preserve">KRISWANTININGSIH — KRISWANTININGSIH, BIAYA EXPEDISI 3MOBILxRP.4.800.000, -PPH 2.</t>
  </si>
  <si>
    <t xml:space="preserve">Pelanggan Umum — Albertus Condro 4.113,8kg,, 3.967,2kg, 3.600,4kg LB 287.352.440</t>
  </si>
  <si>
    <t xml:space="preserve">Pelanggan Umum — Lebih Bayar </t>
  </si>
  <si>
    <t xml:space="preserve">ALBERTUS CONDRO RUDY KURNIAWAN — Albertus Condro 3.534,7kg, 4.000kg, 4001 kg, 40</t>
  </si>
  <si>
    <t xml:space="preserve">ALBI YUNUS — 0328/INV/KGR/08/2026 ALBI YUNUS  </t>
  </si>
  <si>
    <t xml:space="preserve">ERWIN ALAMSYAH — 0324/INV/KGR/08/2026 FEBRINA YOLANDA SU  (kurang 6.712.350)</t>
  </si>
  <si>
    <t xml:space="preserve">ERWIN ALAMSYAH — 0325/INV/KGR/08/2026 AYU ATIKAH    </t>
  </si>
  <si>
    <t xml:space="preserve">MUHAMAD HARISUDDIN — 0327/INV/KGR/08/2026 Petik Segar </t>
  </si>
  <si>
    <t xml:space="preserve">NATALIA PRIHATI — 0329/INV/KGR/08/2026 NATALIA PRIHATI  </t>
  </si>
  <si>
    <t xml:space="preserve">Pelanggan Umum — BI-FAST CR TRANSFER   DR 009 AYU ATIKAH    </t>
  </si>
  <si>
    <t xml:space="preserve"> — PB Dari BCA 8577 KE BCA 8585</t>
  </si>
  <si>
    <t xml:space="preserve"> — PB dari bca 8577</t>
  </si>
  <si>
    <t xml:space="preserve">KRISWANTININGSIH — KRISWANTININGSIH, BIAYA EXPEDISI 2 MOBILxRP.4.500.000, BIAYA </t>
  </si>
  <si>
    <t xml:space="preserve">PT AGRO INTAN PRATAMA INDONESIA — PT AGRO INTAN PRATAMA INDONESIA, BIAYA EXPEDIS</t>
  </si>
  <si>
    <t xml:space="preserve">PT DEWAWEB — PT DEWAWEB, PEMBAYARAN REGISTRASI EMAIL RP.333.000, -PPH 2%, 10/8/2</t>
  </si>
  <si>
    <t xml:space="preserve">PT JAYA MANDIRI EXPEDISI — PT JAYA MANDIRI EXPEDISI, SEWA MOBIL B 9212 BXT 1LOTx</t>
  </si>
  <si>
    <t xml:space="preserve">PT LINTAS DIRGA NUSANTARA — PT LINTAS DIRGA NUSANTARA, OVERTIME HARI KERJA 38872</t>
  </si>
  <si>
    <t xml:space="preserve">PT SARANA ABADI MAKMUR BERSAMA — SARANA ABADI MAKMU2700027183, Biaya Foto Copy</t>
  </si>
  <si>
    <t xml:space="preserve">PUSPEL KESEHATAN HEWAN DAN PETERNAKAN — PUSPEL KHP RPU RAWA TERATE, Sewa RPA jan</t>
  </si>
  <si>
    <t xml:space="preserve">TOKO DWITAMA SERASI — DICKY FEBRIAN, DWITAMA SERASI, PEMBELIAN ATK RP.253.000 (1</t>
  </si>
  <si>
    <t xml:space="preserve"> — Salary Agustus 2026 </t>
  </si>
  <si>
    <t xml:space="preserve">Pelanggan Umum — Albertus Condro 3.534,7kg, 4.000kg, 4001 kg, 4001.5kg LB (394.8</t>
  </si>
  <si>
    <t xml:space="preserve">ALBERTUS CONDRO RUDY KURNIAWAN — Albertus Condro 3.748,3 kg, 4.000 kg, 4.000 kg,</t>
  </si>
  <si>
    <t xml:space="preserve"> —  Biaya Admin</t>
  </si>
  <si>
    <t xml:space="preserve"> — Biaya Admin</t>
  </si>
  <si>
    <t xml:space="preserve"> — Biaya Admin </t>
  </si>
  <si>
    <t xml:space="preserve"> — SARANA ABADI MAKMU2700027183, Biaya Foto Copy, Biaya Admn </t>
  </si>
  <si>
    <t xml:space="preserve">CLARA SARI — 0333/INV/KGR/08/2026 CLARA SARI    </t>
  </si>
  <si>
    <t xml:space="preserve">CV WANGUN UNGGAS PERKASA — 0255/INV/KGR/07/2026  WANGUN UNGGAS PER</t>
  </si>
  <si>
    <t xml:space="preserve">ERWIN ALAMSYAH — 0331/INV/KGR/08/2026 RIZKI RAMADHAN  </t>
  </si>
  <si>
    <t xml:space="preserve">ERWIN ALAMSYAH — 0334/INV/KGR/08/2026 AGRO INTAN PRATAMA    </t>
  </si>
  <si>
    <t xml:space="preserve">ERWIN ALAMSYAH — 0335/INV/KGR/08/2026  AGUS DUDI  </t>
  </si>
  <si>
    <t xml:space="preserve">MUHAMAD HARISUDDIN — 0330/INV/KGR/08/2026 petik segar</t>
  </si>
  <si>
    <t xml:space="preserve">MUHAMAD HARISUDDIN — 0332/INV/KGR/08/2026 Petik segar</t>
  </si>
  <si>
    <t xml:space="preserve"> — PB DARI 8585</t>
  </si>
  <si>
    <t xml:space="preserve"> — PB ke bank Permata (salary) </t>
  </si>
  <si>
    <t xml:space="preserve">HARTINI — 0342/INV/KGR/08/2026  HARTINI  </t>
  </si>
  <si>
    <t xml:space="preserve">HARTINI — 0343/INV/KGR/08/2026  HARTINI  </t>
  </si>
  <si>
    <t xml:space="preserve">MUHAMAD HARISUDDIN — 0336/INV/KGR/08/2026 petik segar</t>
  </si>
  <si>
    <t xml:space="preserve">MUHAMAD HARISUDDIN — 0337/INV/KGR/08/2026 Petik segar</t>
  </si>
  <si>
    <t xml:space="preserve">MUHAMAD HARISUDDIN — 0340/INV/KGR/08/2026 petik segar</t>
  </si>
  <si>
    <t xml:space="preserve">RIZKI RAMADHAN — 0341/INV/KGR/08/2026 RIZKI RAMADHAN  </t>
  </si>
  <si>
    <t xml:space="preserve">NATALIA PRIHATI — 0338/INV/KGR/08/2026 NATALIA PRIHATI  131482730</t>
  </si>
  <si>
    <t xml:space="preserve">RUN-RATE BIAYA — untuk outlook laba rugi sisa minggu</t>
  </si>
  <si>
    <t xml:space="preserve">Outlook = run-rate bulanan × (hari tersisa minggu ini ÷ hari dalam bulan) + penyesuaian minggu ini. Isi angka positif (biaya positif; untuk Other Income: pendapatan positif).</t>
  </si>
  <si>
    <t xml:space="preserve">Run-rate bulanan Rp</t>
  </si>
  <si>
    <t xml:space="preserve">Penyesuaian
minggu ini Rp</t>
  </si>
  <si>
    <t xml:space="preserve">Contoh: aktual Juli 2026 per GL (bulan lalu)</t>
  </si>
  <si>
    <t xml:space="preserve">STOK AWAL MINGGU (Senin pagi) — dari Inventory Valuation Accurate per item</t>
  </si>
  <si>
    <t xml:space="preserve">Umur = rata-rata umur kg yang tersisa (FIFO dari tanggal terima). Isi ulang setiap Senin.</t>
  </si>
  <si>
    <t xml:space="preserve">Nama item</t>
  </si>
  <si>
    <t xml:space="preserve">Umur rata-rata
(hari)</t>
  </si>
  <si>
    <t xml:space="preserve">Catatan</t>
  </si>
  <si>
    <t xml:space="preserve">JLB0200</t>
  </si>
  <si>
    <t xml:space="preserve">Boneless BLD Frozen Grade B</t>
  </si>
  <si>
    <t xml:space="preserve">dormant (tidak bergerak Jul–Agu)</t>
  </si>
  <si>
    <t xml:space="preserve">JLB0216</t>
  </si>
  <si>
    <t xml:space="preserve">Boneless BLPK Fresh Premium</t>
  </si>
  <si>
    <t xml:space="preserve">JLB0212</t>
  </si>
  <si>
    <t xml:space="preserve">Boneless BLP Frozen Grade D</t>
  </si>
  <si>
    <t xml:space="preserve">Boneless BL Fresh Ceker</t>
  </si>
  <si>
    <t xml:space="preserve">JLB0138</t>
  </si>
  <si>
    <t xml:space="preserve">Boneless BL Frozen Ceker</t>
  </si>
  <si>
    <t xml:space="preserve">stok sejak 1 Jul: umur minimum</t>
  </si>
  <si>
    <t xml:space="preserve">JLB1855</t>
  </si>
  <si>
    <t xml:space="preserve">Boneless BL Frozen Ceker Grade B</t>
  </si>
  <si>
    <t xml:space="preserve">Boneless BL Fresh HJA</t>
  </si>
  <si>
    <t xml:space="preserve">JLB0087</t>
  </si>
  <si>
    <t xml:space="preserve">Boneless BL Fresh HJA - Jantung</t>
  </si>
  <si>
    <t xml:space="preserve">JLB0081</t>
  </si>
  <si>
    <t xml:space="preserve">Boneless BL Fresh HJA - Ampela</t>
  </si>
  <si>
    <t xml:space="preserve">JLB0084</t>
  </si>
  <si>
    <t xml:space="preserve">Boneless BL Fresh HJA - Hati</t>
  </si>
  <si>
    <t xml:space="preserve">JLB0140</t>
  </si>
  <si>
    <t xml:space="preserve">Boneless BL Frozen HJA</t>
  </si>
  <si>
    <t xml:space="preserve">JLB0144</t>
  </si>
  <si>
    <t xml:space="preserve">Boneless BL Frozen HJA - Hati</t>
  </si>
  <si>
    <t xml:space="preserve">JLB0147</t>
  </si>
  <si>
    <t xml:space="preserve">Boneless BL Frozen HJA - Jantung</t>
  </si>
  <si>
    <t xml:space="preserve">JLB0141</t>
  </si>
  <si>
    <t xml:space="preserve">Boneless BL Frozen HJA - Ampela</t>
  </si>
  <si>
    <t xml:space="preserve">JLB0104</t>
  </si>
  <si>
    <t xml:space="preserve">Boneless BL Fresh KRK</t>
  </si>
  <si>
    <t xml:space="preserve">JLB0113</t>
  </si>
  <si>
    <t xml:space="preserve">Boneless BL Fresh KRK - Tungir KRK</t>
  </si>
  <si>
    <t xml:space="preserve">JLB0172</t>
  </si>
  <si>
    <t xml:space="preserve">Boneless BL Frozen KRK - Tungir KRK</t>
  </si>
  <si>
    <t xml:space="preserve">Karkas Uk 0.9 Karkas Uk 0.9 Fresh Premium</t>
  </si>
  <si>
    <t xml:space="preserve">Karkas Uk 1.0 Karkas Uk 1.0 Fresh Premium</t>
  </si>
  <si>
    <t xml:space="preserve">JLB0724</t>
  </si>
  <si>
    <t xml:space="preserve">Karkas Uk 1.1 Karkas Uk 1.1 Fresh Premium</t>
  </si>
  <si>
    <t xml:space="preserve">JLB0763</t>
  </si>
  <si>
    <t xml:space="preserve">Karkas Uk 1.2 Karkas Uk 1.2 Fresh Grade A</t>
  </si>
  <si>
    <t xml:space="preserve">Karkas Uk 1.2 Karkas Uk 1.2 Fresh Premium</t>
  </si>
  <si>
    <t xml:space="preserve">JLB0829</t>
  </si>
  <si>
    <t xml:space="preserve">Karkas Uk 1.3 Karkas Uk 1.3 Fresh Grade A</t>
  </si>
  <si>
    <t xml:space="preserve">Karkas Uk 1.3 Karkas Uk 1.3 Fresh Premium</t>
  </si>
  <si>
    <t xml:space="preserve">Karkas Uk 1.4 Karkas Uk 1.4 Fresh Premium</t>
  </si>
  <si>
    <t xml:space="preserve">Karkas Uk 1.5 Karkas Uk 1.5 Fresh Premium</t>
  </si>
  <si>
    <t xml:space="preserve">Karkas Uk 1.6 Karkas Uk 1.6 Fresh Premium</t>
  </si>
  <si>
    <t xml:space="preserve">JLB1120</t>
  </si>
  <si>
    <t xml:space="preserve">Karkas Uk 1.7 Karkas Uk 1.7 Fresh Premium</t>
  </si>
  <si>
    <t xml:space="preserve">JLB0272</t>
  </si>
  <si>
    <t xml:space="preserve">Karkas Uk 0.4 Karkas Uk 0.4 Frozen Grade A</t>
  </si>
  <si>
    <t xml:space="preserve">JLB0338</t>
  </si>
  <si>
    <t xml:space="preserve">Karkas Uk 0.5 Karkas Uk 0.5 Frozen Grade A</t>
  </si>
  <si>
    <t xml:space="preserve">Karkas Uk 0.6 Karkas Uk 0.6 Frozen Grade A</t>
  </si>
  <si>
    <t xml:space="preserve">Karkas Uk 0.7 Karkas Uk 0.7 Frozen Grade A</t>
  </si>
  <si>
    <t xml:space="preserve">Karkas Uk 0.8 Karkas Uk 0.8 Frozen Grade A</t>
  </si>
  <si>
    <t xml:space="preserve">Karkas Uk 0.9 Karkas Uk 0.9 Frozen Grade A</t>
  </si>
  <si>
    <t xml:space="preserve">Karkas Uk 1.0 Karkas Uk 1.0 Frozen Grade A</t>
  </si>
  <si>
    <t xml:space="preserve">Karkas Uk 1.0 Karkas Uk 1.0 Frozen Premium</t>
  </si>
  <si>
    <t xml:space="preserve">Karkas Uk 1.1 Karkas Uk 1.1 Frozen Grade A</t>
  </si>
  <si>
    <t xml:space="preserve">Karkas Uk 1.1 Karkas Uk 1.1 Frozen Premium</t>
  </si>
  <si>
    <t xml:space="preserve">Karkas Uk 1.2 Karkas Uk 1.2 Frozen Grade A</t>
  </si>
  <si>
    <t xml:space="preserve">Karkas Uk 1.2 Karkas Uk 1.2 Frozen Premium</t>
  </si>
  <si>
    <t xml:space="preserve">Karkas Uk 1.3 Karkas Uk 1.3 Frozen Grade A</t>
  </si>
  <si>
    <t xml:space="preserve">Karkas Uk 1.3 Karkas Uk 1.3 Frozen Premium</t>
  </si>
  <si>
    <t xml:space="preserve">Karkas Uk 1.4 Karkas Uk 1.4 Frozen Grade A</t>
  </si>
  <si>
    <t xml:space="preserve">JLB0954</t>
  </si>
  <si>
    <t xml:space="preserve">Karkas Uk 1.4 Karkas Uk 1.4 Frozen Premium</t>
  </si>
  <si>
    <t xml:space="preserve">Karkas Uk 1.5 Karkas Uk 1.5 Frozen Grade A</t>
  </si>
  <si>
    <t xml:space="preserve">Karkas Uk 1.5 Karkas Uk 1.5 Frozen Premium</t>
  </si>
  <si>
    <t xml:space="preserve">Karkas Uk 1.6 Karkas Uk 1.6 Frozen Grade A</t>
  </si>
  <si>
    <t xml:space="preserve">Karkas Uk 1.7 Karkas Uk 1.7 Frozen Grade A</t>
  </si>
  <si>
    <t xml:space="preserve">Karkas Uk 1.7 Karkas Uk 1.7 Frozen Premium</t>
  </si>
  <si>
    <t xml:space="preserve">JLB1192</t>
  </si>
  <si>
    <t xml:space="preserve">Karkas Uk 1.8 Karkas Uk 1.8 Frozen Grade A</t>
  </si>
  <si>
    <t xml:space="preserve">Karkas Uk 1.8 Karkas Uk 1.8 Frozen Premium</t>
  </si>
  <si>
    <t xml:space="preserve">JLB1257</t>
  </si>
  <si>
    <t xml:space="preserve">Karkas Uk 1.9 Karkas Uk 1.9 Frozen Grade A</t>
  </si>
  <si>
    <t xml:space="preserve">JLB1284</t>
  </si>
  <si>
    <t xml:space="preserve">Karkas Uk 1.9 Karkas Uk 1.9 Frozen Premium</t>
  </si>
  <si>
    <t xml:space="preserve">JLB1323</t>
  </si>
  <si>
    <t xml:space="preserve">Karkas Uk 2.0 Karkas Uk 2.0 Frozen Grade A</t>
  </si>
  <si>
    <t xml:space="preserve">JLB1350</t>
  </si>
  <si>
    <t xml:space="preserve">Karkas Uk 2.0 Karkas Uk 2.0 Frozen Premium</t>
  </si>
  <si>
    <t xml:space="preserve">Karkas Uk 0.9 Frozen Premium</t>
  </si>
  <si>
    <t xml:space="preserve">Karkas Uk 0.8 Frozen Premium</t>
  </si>
  <si>
    <t xml:space="preserve">JLB1865</t>
  </si>
  <si>
    <t xml:space="preserve">Karkas Uk 0.5 Karkas Uk 0.5 Frozen Premium</t>
  </si>
  <si>
    <t xml:space="preserve">Karkas Uk 0.6 Karkas Uk 0.6 Frozen Premium</t>
  </si>
  <si>
    <t xml:space="preserve">Karkas Uk 0.7 Karkas Uk 0.7 Frozen Premium</t>
  </si>
  <si>
    <t xml:space="preserve">JLB1864</t>
  </si>
  <si>
    <t xml:space="preserve">Karkas Uk 0.4 Karkas Uk 0.4 Frozen Premium</t>
  </si>
  <si>
    <t xml:space="preserve">Ayam Karkas Mix</t>
  </si>
  <si>
    <t xml:space="preserve">Boneless BL Fresh Kepala</t>
  </si>
  <si>
    <t xml:space="preserve">JLB0152</t>
  </si>
  <si>
    <t xml:space="preserve">Boneless BL Frozen Kepala</t>
  </si>
  <si>
    <t xml:space="preserve">JLB0116</t>
  </si>
  <si>
    <t xml:space="preserve">Boneless BL Fresh Kulit</t>
  </si>
  <si>
    <t xml:space="preserve">JLB0175</t>
  </si>
  <si>
    <t xml:space="preserve">Boneless BL Frozen Kulit</t>
  </si>
  <si>
    <t xml:space="preserve">JLB0118</t>
  </si>
  <si>
    <t xml:space="preserve">Boneless BL Fresh Lemak</t>
  </si>
  <si>
    <t xml:space="preserve">Boneless BL Frozen Lemak</t>
  </si>
  <si>
    <t xml:space="preserve">JLB0055</t>
  </si>
  <si>
    <t xml:space="preserve">Parting Parting 10 Fresh Premium</t>
  </si>
  <si>
    <t xml:space="preserve">JLB1850</t>
  </si>
  <si>
    <t xml:space="preserve">Paha Bawah Frozen</t>
  </si>
  <si>
    <t xml:space="preserve">JLB1862</t>
  </si>
  <si>
    <t xml:space="preserve">Paha Atas Frozen</t>
  </si>
  <si>
    <t xml:space="preserve">JLB0124</t>
  </si>
  <si>
    <t xml:space="preserve">Boneless BL Fresh Sayap Premium</t>
  </si>
  <si>
    <t xml:space="preserve">JLB0122</t>
  </si>
  <si>
    <t xml:space="preserve">Boneless BL Fresh Sayap Grade C</t>
  </si>
  <si>
    <t xml:space="preserve">JLB0120</t>
  </si>
  <si>
    <t xml:space="preserve">Boneless BL Fresh Sayap Grade A</t>
  </si>
  <si>
    <t xml:space="preserve">JLB0179</t>
  </si>
  <si>
    <t xml:space="preserve">Boneless BL Frozen Sayap Grade A</t>
  </si>
  <si>
    <t xml:space="preserve">JLB0183</t>
  </si>
  <si>
    <t xml:space="preserve">Boneless BL Frozen Sayap Premium</t>
  </si>
  <si>
    <t xml:space="preserve">JLB0181</t>
  </si>
  <si>
    <t xml:space="preserve">Boneless BL Frozen Sayap Grade C</t>
  </si>
  <si>
    <t xml:space="preserve">JLB0184</t>
  </si>
  <si>
    <t xml:space="preserve">Boneless BL Frozen TLP</t>
  </si>
  <si>
    <t xml:space="preserve">Boneless BL Fresh Usus Kotor</t>
  </si>
  <si>
    <t xml:space="preserve">JLB0194</t>
  </si>
  <si>
    <t xml:space="preserve">Boneless BL Frozen Usus Kotor</t>
  </si>
  <si>
    <t xml:space="preserve">BLD Frozen</t>
  </si>
  <si>
    <t xml:space="preserve">TRD0006</t>
  </si>
  <si>
    <t xml:space="preserve">Boneless Dada</t>
  </si>
  <si>
    <t xml:space="preserve">TRD0012</t>
  </si>
  <si>
    <t xml:space="preserve">BLPK Frozen</t>
  </si>
  <si>
    <t xml:space="preserve">BLP Frozen</t>
  </si>
  <si>
    <t xml:space="preserve">TRD0004</t>
  </si>
  <si>
    <t xml:space="preserve">Hati Bersih</t>
  </si>
  <si>
    <t xml:space="preserve">TRD0005</t>
  </si>
  <si>
    <t xml:space="preserve">Ampela Bersih</t>
  </si>
  <si>
    <t xml:space="preserve">TRD0018</t>
  </si>
  <si>
    <t xml:space="preserve">Jantung Bersih</t>
  </si>
  <si>
    <t xml:space="preserve">KRK</t>
  </si>
  <si>
    <t xml:space="preserve">Karkas Uk 0.6</t>
  </si>
  <si>
    <t xml:space="preserve">Karkas Uk 0.7</t>
  </si>
  <si>
    <t xml:space="preserve">Karkas Uk 0.8</t>
  </si>
  <si>
    <t xml:space="preserve">Karkas Uk 0.9</t>
  </si>
  <si>
    <t xml:space="preserve">TRD0023</t>
  </si>
  <si>
    <t xml:space="preserve">Karkas Uk 1.0</t>
  </si>
  <si>
    <t xml:space="preserve">Karkas Uk 1.1</t>
  </si>
  <si>
    <t xml:space="preserve">Karkas Uk 1.2</t>
  </si>
  <si>
    <t xml:space="preserve">TRD0026</t>
  </si>
  <si>
    <t xml:space="preserve">Karkas Uk 1.3</t>
  </si>
  <si>
    <t xml:space="preserve">Karkas Uk 1.4</t>
  </si>
  <si>
    <t xml:space="preserve">Karkas Uk 1.5</t>
  </si>
  <si>
    <t xml:space="preserve">TRD0029</t>
  </si>
  <si>
    <t xml:space="preserve">Karkas Uk 1.6</t>
  </si>
  <si>
    <t xml:space="preserve">TRD0030</t>
  </si>
  <si>
    <t xml:space="preserve">Karkas Uk 1.7</t>
  </si>
  <si>
    <t xml:space="preserve">TRD0031</t>
  </si>
  <si>
    <t xml:space="preserve">Karkas Uk 1.8</t>
  </si>
  <si>
    <t xml:space="preserve">Karkas Uk 1.9</t>
  </si>
  <si>
    <t xml:space="preserve">Karkas Uk 0.5</t>
  </si>
  <si>
    <t xml:space="preserve">TRD0037</t>
  </si>
  <si>
    <t xml:space="preserve">Karkas Uk 0.3</t>
  </si>
  <si>
    <t xml:space="preserve">TRD0038</t>
  </si>
  <si>
    <t xml:space="preserve">Karkas Uk 0.4</t>
  </si>
  <si>
    <t xml:space="preserve">Kulit Body Frozen</t>
  </si>
  <si>
    <t xml:space="preserve">TRD0001</t>
  </si>
  <si>
    <t xml:space="preserve">Kulit Leher</t>
  </si>
  <si>
    <t xml:space="preserve">TOTAL</t>
  </si>
  <si>
    <t xml:space="preserve">NERACA SALDO AWAL (TB Accurate) — per tanggal di I_Parameter</t>
  </si>
  <si>
    <t xml:space="preserve">Saldo debit positif, kredit negatif. Akun laba rugi berisi saldo year-to-date.</t>
  </si>
  <si>
    <t xml:space="preserve">Saldo Rp
(debit +)</t>
  </si>
  <si>
    <t xml:space="preserve">CASH</t>
  </si>
  <si>
    <t xml:space="preserve">Petty Cash - IDR</t>
  </si>
  <si>
    <t xml:space="preserve">BANK</t>
  </si>
  <si>
    <t xml:space="preserve">Permata 702-214-173</t>
  </si>
  <si>
    <t xml:space="preserve">BRI 186-0100-2495-300</t>
  </si>
  <si>
    <t xml:space="preserve">Mandiri 120-0051-680-168</t>
  </si>
  <si>
    <t xml:space="preserve">Cash On Hand</t>
  </si>
  <si>
    <t xml:space="preserve">Time Deposit</t>
  </si>
  <si>
    <t xml:space="preserve">Receivable ( Customer )</t>
  </si>
  <si>
    <t xml:space="preserve">Account Receivable - Affiliates</t>
  </si>
  <si>
    <t xml:space="preserve">Others Receivable - Affiliates</t>
  </si>
  <si>
    <t xml:space="preserve">Employee Receivable</t>
  </si>
  <si>
    <t xml:space="preserve">Uncollectibe Accounts</t>
  </si>
  <si>
    <t xml:space="preserve">Rental Deposit</t>
  </si>
  <si>
    <t xml:space="preserve">Inventory</t>
  </si>
  <si>
    <t xml:space="preserve">Inventory - KGR</t>
  </si>
  <si>
    <t xml:space="preserve">Inventory Trading</t>
  </si>
  <si>
    <t xml:space="preserve">Prepayment</t>
  </si>
  <si>
    <t xml:space="preserve">Prepaid Insurance - KGR</t>
  </si>
  <si>
    <t xml:space="preserve">Prepaid Income - KGR</t>
  </si>
  <si>
    <t xml:space="preserve">Prepaid Other - KGR</t>
  </si>
  <si>
    <t xml:space="preserve">Prepaid WHT 21 - KGR</t>
  </si>
  <si>
    <t xml:space="preserve">Prepaid WHT 22 - KGR</t>
  </si>
  <si>
    <t xml:space="preserve">Prepaid WHT 23 - KGR</t>
  </si>
  <si>
    <t xml:space="preserve">Prepaid WHT 25 - KGR</t>
  </si>
  <si>
    <t xml:space="preserve">Prepaid WHT 4 (2) - KGR</t>
  </si>
  <si>
    <t xml:space="preserve">Other Current Asset</t>
  </si>
  <si>
    <t xml:space="preserve">Fixed Asset Transaction</t>
  </si>
  <si>
    <t xml:space="preserve">Fixed Assets</t>
  </si>
  <si>
    <t xml:space="preserve">Cost Land - KGR</t>
  </si>
  <si>
    <t xml:space="preserve">Cost Building - KGR</t>
  </si>
  <si>
    <t xml:space="preserve">Cost Vehicle - KGR</t>
  </si>
  <si>
    <t xml:space="preserve">Cost Tools &amp; Equipment 1 - KGR</t>
  </si>
  <si>
    <t xml:space="preserve">Cost Tools &amp; Equipment 2 - KGR</t>
  </si>
  <si>
    <t xml:space="preserve">Cost Computer Equipment 1 - KGR</t>
  </si>
  <si>
    <t xml:space="preserve">Cost Computer Equipment 2 - KGR</t>
  </si>
  <si>
    <t xml:space="preserve">Cost Software - KGR</t>
  </si>
  <si>
    <t xml:space="preserve">Accumulated Depreciation of Fixed Asset</t>
  </si>
  <si>
    <t xml:space="preserve">Accumulated Building Depreciation - KGR</t>
  </si>
  <si>
    <t xml:space="preserve">Accumulated Depreciation Vehicles - KGR</t>
  </si>
  <si>
    <t xml:space="preserve">Accumulated Depreciation Tools &amp; Equipment 1 - KGR</t>
  </si>
  <si>
    <t xml:space="preserve">Accumulated Depreciation Tools &amp; Equipment 2 - KGR</t>
  </si>
  <si>
    <t xml:space="preserve">Accumulated Depreciation Computer Equipment 1 - KGR</t>
  </si>
  <si>
    <t xml:space="preserve">Accumulated Depreciation Computer Equipment 2 - KGR</t>
  </si>
  <si>
    <t xml:space="preserve">Accumulated Depreciation Software - KGR</t>
  </si>
  <si>
    <t xml:space="preserve">Account Payable [Vendor]</t>
  </si>
  <si>
    <t xml:space="preserve">Account Payable - Affiliates - KGR</t>
  </si>
  <si>
    <t xml:space="preserve">Employee Others Payable</t>
  </si>
  <si>
    <t xml:space="preserve">Unknown Receipt</t>
  </si>
  <si>
    <t xml:space="preserve">Tax Payable</t>
  </si>
  <si>
    <t xml:space="preserve">VAT OUT - KGR</t>
  </si>
  <si>
    <t xml:space="preserve">Tax Payable WHT 29 - KGR</t>
  </si>
  <si>
    <t xml:space="preserve">Tax Payable WHT Final</t>
  </si>
  <si>
    <t xml:space="preserve">Accrued Payable</t>
  </si>
  <si>
    <t xml:space="preserve">Salary, THR, Gratification Payable - KGR</t>
  </si>
  <si>
    <t xml:space="preserve">Accrued Electricity - KGR</t>
  </si>
  <si>
    <t xml:space="preserve">Accrued Telecommunication and Internet - KGR</t>
  </si>
  <si>
    <t xml:space="preserve">Accrued Water - KGR</t>
  </si>
  <si>
    <t xml:space="preserve">Accrued Cleanliness &amp; Security - KGR</t>
  </si>
  <si>
    <t xml:space="preserve">Deposit Rental From Customer</t>
  </si>
  <si>
    <t xml:space="preserve">Bank Loan - KGR</t>
  </si>
  <si>
    <t xml:space="preserve">Non Bank Loan - KGR</t>
  </si>
  <si>
    <t xml:space="preserve">Equity</t>
  </si>
  <si>
    <t xml:space="preserve">Paid In Capital - KGR</t>
  </si>
  <si>
    <t xml:space="preserve">Deviden - KGR</t>
  </si>
  <si>
    <t xml:space="preserve">Retained Earning - KGR</t>
  </si>
  <si>
    <t xml:space="preserve">Current Year Earning - KGR</t>
  </si>
  <si>
    <t xml:space="preserve">Sales</t>
  </si>
  <si>
    <t xml:space="preserve">Sales - KGR</t>
  </si>
  <si>
    <t xml:space="preserve">Service Fee - KGR</t>
  </si>
  <si>
    <t xml:space="preserve">Sales Returns - KGR</t>
  </si>
  <si>
    <t xml:space="preserve">Other Sales - KGR</t>
  </si>
  <si>
    <t xml:space="preserve">Sales Return Live Bird</t>
  </si>
  <si>
    <t xml:space="preserve">Sales Return Other Products</t>
  </si>
  <si>
    <t xml:space="preserve">Sales Discount Other Products</t>
  </si>
  <si>
    <t xml:space="preserve">Sales Trading</t>
  </si>
  <si>
    <t xml:space="preserve">COGS</t>
  </si>
  <si>
    <t xml:space="preserve">COGS - KGR</t>
  </si>
  <si>
    <t xml:space="preserve">OTHER COGS - Logistic Cost - KGR</t>
  </si>
  <si>
    <t xml:space="preserve">Other COGS Highway, Parking &amp; Oil For Delivery</t>
  </si>
  <si>
    <t xml:space="preserve">Operating Costs</t>
  </si>
  <si>
    <t xml:space="preserve">Sales &amp; Marketing Expenses</t>
  </si>
  <si>
    <t xml:space="preserve">Salary, THR, and Gratification for Sales Team - KGR</t>
  </si>
  <si>
    <t xml:space="preserve">Social Security for Sales Team - KGR</t>
  </si>
  <si>
    <t xml:space="preserve">Advertising &amp; Promotion - KGR</t>
  </si>
  <si>
    <t xml:space="preserve">Entertainment, Gift &amp; Donation for Sales Team - KGR</t>
  </si>
  <si>
    <t xml:space="preserve">Snack and Comsumption for Sales Team - KGR</t>
  </si>
  <si>
    <t xml:space="preserve">Highway, Parking &amp; Oil for Sales Team - KGR</t>
  </si>
  <si>
    <t xml:space="preserve">Travelling &amp; Accomodation for Sales Team - KGR</t>
  </si>
  <si>
    <t xml:space="preserve">General &amp; Administrative Expenses</t>
  </si>
  <si>
    <t xml:space="preserve">Salary, THR, and Gratification for Backend Team - KGR</t>
  </si>
  <si>
    <t xml:space="preserve">Social Security for Backend Team - KGR</t>
  </si>
  <si>
    <t xml:space="preserve">Snack and Consumption for Backend Team - KGR</t>
  </si>
  <si>
    <t xml:space="preserve">Travelling &amp; Accomodation for Backend Team - KGR</t>
  </si>
  <si>
    <t xml:space="preserve">Entertainment, Gift &amp; Donation for Management - KGR</t>
  </si>
  <si>
    <t xml:space="preserve">Electricity - KGR</t>
  </si>
  <si>
    <t xml:space="preserve">Telecommunication and Internet - KGR</t>
  </si>
  <si>
    <t xml:space="preserve">Water - KGR</t>
  </si>
  <si>
    <t xml:space="preserve">Rental Building - KGR</t>
  </si>
  <si>
    <t xml:space="preserve">Rental Space - KGR</t>
  </si>
  <si>
    <t xml:space="preserve">Rental - Other - KGR</t>
  </si>
  <si>
    <t xml:space="preserve">Post and Courier - KGR</t>
  </si>
  <si>
    <t xml:space="preserve">Pantry - KGR</t>
  </si>
  <si>
    <t xml:space="preserve">Cleanliness and Environment Security - KGR</t>
  </si>
  <si>
    <t xml:space="preserve">Retribution - KGR</t>
  </si>
  <si>
    <t xml:space="preserve">Donation - KGR</t>
  </si>
  <si>
    <t xml:space="preserve">Outsourcing Management fee - KGR</t>
  </si>
  <si>
    <t xml:space="preserve">Commission Fee - KGR</t>
  </si>
  <si>
    <t xml:space="preserve">Miscellaneous General/Adm Expense</t>
  </si>
  <si>
    <t xml:space="preserve">Maintenance Expense - Building - KGR</t>
  </si>
  <si>
    <t xml:space="preserve">Maintenance Expense - Vehicles - KGR</t>
  </si>
  <si>
    <t xml:space="preserve">Maintenance Expense - Office Equipment - KGR</t>
  </si>
  <si>
    <t xml:space="preserve">Maintenance Expense - Computer Software - KGR</t>
  </si>
  <si>
    <t xml:space="preserve">Uniform</t>
  </si>
  <si>
    <t xml:space="preserve">Repair &amp; Maintenance Expense</t>
  </si>
  <si>
    <t xml:space="preserve">Depreciation &amp; Amortization Expenses</t>
  </si>
  <si>
    <t xml:space="preserve">Depreciation Expense - Building - KGR</t>
  </si>
  <si>
    <t xml:space="preserve">Depreciation Expense - Vehicles - KGR</t>
  </si>
  <si>
    <t xml:space="preserve">Depreciation Expense - Office Equipment 1 - KGR</t>
  </si>
  <si>
    <t xml:space="preserve">Depreciation Expense - Office Equipment 2 - KGR</t>
  </si>
  <si>
    <t xml:space="preserve">Depreciation Expense - Computer Equipment - KGR</t>
  </si>
  <si>
    <t xml:space="preserve">Amortization Software  - KGR</t>
  </si>
  <si>
    <t xml:space="preserve">Stock Difference Expenses</t>
  </si>
  <si>
    <t xml:space="preserve">Depreciation RoU Building</t>
  </si>
  <si>
    <t xml:space="preserve">Non-operating income</t>
  </si>
  <si>
    <t xml:space="preserve">Interest Income - Deposit - KGR</t>
  </si>
  <si>
    <t xml:space="preserve">Interest Income - Saving - KGR</t>
  </si>
  <si>
    <t xml:space="preserve">Gain on Portfolio Investment - KGR</t>
  </si>
  <si>
    <t xml:space="preserve">Gain of Fixed Asset Disposal - KGR</t>
  </si>
  <si>
    <t xml:space="preserve">Write-off Inventory - KGR</t>
  </si>
  <si>
    <t xml:space="preserve">Rental Income</t>
  </si>
  <si>
    <t xml:space="preserve">Other Income Blasting</t>
  </si>
  <si>
    <t xml:space="preserve">Non-operating  expenditure</t>
  </si>
  <si>
    <t xml:space="preserve">Bank Loan Interest - KGR</t>
  </si>
  <si>
    <t xml:space="preserve">Interest Expense - KGR</t>
  </si>
  <si>
    <t xml:space="preserve">Losses on Portfolio Investment - KGR</t>
  </si>
  <si>
    <t xml:space="preserve">Losses of Fixed Asset Disposal - KGR</t>
  </si>
  <si>
    <t xml:space="preserve">Realized Gain or Loss Exchange Rate IDR - KGR</t>
  </si>
  <si>
    <t xml:space="preserve">UN Realized Gain or Loss Exchange Rate IDR - KGR</t>
  </si>
  <si>
    <t xml:space="preserve">Non Bank Loan Interest - KGR</t>
  </si>
  <si>
    <t xml:space="preserve">Realize Gain or Loss IDR</t>
  </si>
  <si>
    <t xml:space="preserve">Unrealize Gain or Loss IDR</t>
  </si>
  <si>
    <t xml:space="preserve">TOTAL (harus 0)</t>
  </si>
  <si>
    <t xml:space="preserve">MASTER SKU — kunci analisa (Segmen | SKU | Bentuk) dan harga acuan</t>
  </si>
  <si>
    <t xml:space="preserve">Harga jual acuan = harga laku rata-rata 7 hari terakhir atau price list terbaru. Harga beli pengganti = harga beli terakhir/penawaran supplier (Trading).</t>
  </si>
  <si>
    <t xml:space="preserve">SKU</t>
  </si>
  <si>
    <t xml:space="preserve">Bentuk</t>
  </si>
  <si>
    <t xml:space="preserve">Kelompok keputusan</t>
  </si>
  <si>
    <t xml:space="preserve">Harga jual acuan
Rp/kg</t>
  </si>
  <si>
    <t xml:space="preserve">Harga beli pengganti
Rp/kg (Trading)</t>
  </si>
  <si>
    <t xml:space="preserve">RPA|BLDK|Fresh</t>
  </si>
  <si>
    <t xml:space="preserve">BLDK</t>
  </si>
  <si>
    <t xml:space="preserve">Fresh</t>
  </si>
  <si>
    <t xml:space="preserve">Boneless &amp; parting</t>
  </si>
  <si>
    <t xml:space="preserve">contoh: harga rata-rata Agustus</t>
  </si>
  <si>
    <t xml:space="preserve">RPA|BLD|Fresh</t>
  </si>
  <si>
    <t xml:space="preserve">BLD</t>
  </si>
  <si>
    <t xml:space="preserve">RPA|BLD|Frozen</t>
  </si>
  <si>
    <t xml:space="preserve">Frozen</t>
  </si>
  <si>
    <t xml:space="preserve">RPA|BLPK|Fresh</t>
  </si>
  <si>
    <t xml:space="preserve">BLPK</t>
  </si>
  <si>
    <t xml:space="preserve">RPA|BLPK|Frozen</t>
  </si>
  <si>
    <t xml:space="preserve">RPA|BLP|Fresh</t>
  </si>
  <si>
    <t xml:space="preserve">BLP</t>
  </si>
  <si>
    <t xml:space="preserve">RPA|BLP|Frozen</t>
  </si>
  <si>
    <t xml:space="preserve">RPA|KRK (Kerangka)|Fresh</t>
  </si>
  <si>
    <t xml:space="preserve">KRK (Kerangka)</t>
  </si>
  <si>
    <t xml:space="preserve">RPA|KRK (Kerangka)|Frozen</t>
  </si>
  <si>
    <t xml:space="preserve">RPA|Kulit|Fresh</t>
  </si>
  <si>
    <t xml:space="preserve">Kulit</t>
  </si>
  <si>
    <t xml:space="preserve">RPA|Kulit|Frozen</t>
  </si>
  <si>
    <t xml:space="preserve">RPA|Paha (parting)|Fresh</t>
  </si>
  <si>
    <t xml:space="preserve">Paha (parting)</t>
  </si>
  <si>
    <t xml:space="preserve">RPA|Paha (parting)|Frozen</t>
  </si>
  <si>
    <t xml:space="preserve">RPA|Sayap|Fresh</t>
  </si>
  <si>
    <t xml:space="preserve">Sayap</t>
  </si>
  <si>
    <t xml:space="preserve">RPA|Sayap|Frozen</t>
  </si>
  <si>
    <t xml:space="preserve">RPA|TLP|Fresh</t>
  </si>
  <si>
    <t xml:space="preserve">TLP</t>
  </si>
  <si>
    <t xml:space="preserve">RPA|TLP|Frozen</t>
  </si>
  <si>
    <t xml:space="preserve">By-product</t>
  </si>
  <si>
    <t xml:space="preserve">RPA|Ceker|Frozen</t>
  </si>
  <si>
    <t xml:space="preserve">HJA (Hati/Jantung/Ampela)</t>
  </si>
  <si>
    <t xml:space="preserve">RPA|HJA (Hati/Jantung/Ampela)|Frozen</t>
  </si>
  <si>
    <t xml:space="preserve">RPA|Kepala|Frozen</t>
  </si>
  <si>
    <t xml:space="preserve">RPA|Lemak|Fresh</t>
  </si>
  <si>
    <t xml:space="preserve">ISI harga acuan</t>
  </si>
  <si>
    <t xml:space="preserve">RPA|Usus|Frozen</t>
  </si>
  <si>
    <t xml:space="preserve">RPA|Karkas|n/a</t>
  </si>
  <si>
    <t xml:space="preserve">n/a</t>
  </si>
  <si>
    <t xml:space="preserve">Karkas mix</t>
  </si>
  <si>
    <t xml:space="preserve">Trading|BLD|Frozen</t>
  </si>
  <si>
    <t xml:space="preserve">Trading|BLD|n/a</t>
  </si>
  <si>
    <t xml:space="preserve">Trading|BLP|Frozen</t>
  </si>
  <si>
    <t xml:space="preserve">Trading|BLPK|Frozen</t>
  </si>
  <si>
    <t xml:space="preserve">Trading|HJA (Hati/Jantung/Ampela)|n/a</t>
  </si>
  <si>
    <t xml:space="preserve">Trading|KRK (Kerangka)|n/a</t>
  </si>
  <si>
    <t xml:space="preserve">Trading|Karkas|n/a</t>
  </si>
  <si>
    <t xml:space="preserve">Trading|Kulit|Frozen</t>
  </si>
  <si>
    <t xml:space="preserve">Trading|Kulit|n/a</t>
  </si>
  <si>
    <t xml:space="preserve">Trading|Sayap|n/a</t>
  </si>
  <si>
    <t xml:space="preserve">Trading|Usus|Fresh</t>
  </si>
  <si>
    <t xml:space="preserve">PEMETAAN KODE ITEM ACCURATE → KEY</t>
  </si>
  <si>
    <t xml:space="preserve">Tambah baris kalau ada kode item baru. Key harus ada di I_Master.</t>
  </si>
  <si>
    <t xml:space="preserve">Nama item (Accurate)</t>
  </si>
  <si>
    <t xml:space="preserve">JLB0125</t>
  </si>
  <si>
    <t xml:space="preserve">Boneless BL Fresh TLP</t>
  </si>
  <si>
    <t xml:space="preserve">JLB0164</t>
  </si>
  <si>
    <t xml:space="preserve">Boneless BL Frozen KRK</t>
  </si>
  <si>
    <t xml:space="preserve">JLB0170</t>
  </si>
  <si>
    <t xml:space="preserve">Boneless BL Frozen KRK - Tulang Muda</t>
  </si>
  <si>
    <t xml:space="preserve">JLB0198</t>
  </si>
  <si>
    <t xml:space="preserve">Boneless BLD Fresh Premium</t>
  </si>
  <si>
    <t xml:space="preserve">JLB0201</t>
  </si>
  <si>
    <t xml:space="preserve">Boneless BLD Frozen Premium</t>
  </si>
  <si>
    <t xml:space="preserve">JLB0204</t>
  </si>
  <si>
    <t xml:space="preserve">Boneless BLDK Fresh Premium</t>
  </si>
  <si>
    <t xml:space="preserve">JLB0210</t>
  </si>
  <si>
    <t xml:space="preserve">Boneless BLP Fresh Premium</t>
  </si>
  <si>
    <t xml:space="preserve">JLB0211</t>
  </si>
  <si>
    <t xml:space="preserve">Boneless BLP Frozen Grade A</t>
  </si>
  <si>
    <t xml:space="preserve">JLB0213</t>
  </si>
  <si>
    <t xml:space="preserve">Boneless BLP Frozen Premium</t>
  </si>
  <si>
    <t xml:space="preserve">JLB0219</t>
  </si>
  <si>
    <t xml:space="preserve">Boneless BLPK Frozen Premium</t>
  </si>
  <si>
    <t xml:space="preserve">JLB0599</t>
  </si>
  <si>
    <t xml:space="preserve">Karkas Uk 0.9 Karkas Uk 0.9 Frozen Grade B</t>
  </si>
  <si>
    <t xml:space="preserve">JLB0697</t>
  </si>
  <si>
    <t xml:space="preserve">Karkas Uk 1.1 Karkas Uk 1.1 Fresh Grade A</t>
  </si>
  <si>
    <t xml:space="preserve">Karkas Uk 1.6 Karkas Uk 1.6 Frozen Premium</t>
  </si>
  <si>
    <t xml:space="preserve">JLB1795</t>
  </si>
  <si>
    <t xml:space="preserve">usus bersih Usus bersih Fresh</t>
  </si>
  <si>
    <t xml:space="preserve">JLB1847-FRS</t>
  </si>
  <si>
    <t xml:space="preserve">Paha Utuh Fresh</t>
  </si>
  <si>
    <t xml:space="preserve">JLB1848</t>
  </si>
  <si>
    <t xml:space="preserve">Paha Bawah Fresh</t>
  </si>
  <si>
    <t xml:space="preserve">TRD0007</t>
  </si>
  <si>
    <t xml:space="preserve">Usus Bersih Fresh</t>
  </si>
  <si>
    <t xml:space="preserve">PEMETAAN AKUN → LAPORAN KEUANGAN MINGGUAN</t>
  </si>
  <si>
    <t xml:space="preserve">Tambah baris untuk akun baru. Kolom H = mapping di FS accounting (referensi); beberapa baris dikoreksi sesuai nama akun (komisi, professional fee, office supplies, stamp duty).</t>
  </si>
  <si>
    <t xml:space="preserve">Kategori arus kas
(bila jadi lawan kas)</t>
  </si>
  <si>
    <t xml:space="preserve">Mapping FS accounting</t>
  </si>
  <si>
    <t xml:space="preserve">Header</t>
  </si>
  <si>
    <t xml:space="preserve">Y</t>
  </si>
  <si>
    <t xml:space="preserve">N</t>
  </si>
  <si>
    <t xml:space="preserve">LabaRugi</t>
  </si>
  <si>
    <t xml:space="preserve">Neraca</t>
  </si>
  <si>
    <t xml:space="preserve">Land</t>
  </si>
  <si>
    <t xml:space="preserve">Buildings</t>
  </si>
  <si>
    <t xml:space="preserve">Vehicle</t>
  </si>
  <si>
    <t xml:space="preserve">Office Furniture and Equipment</t>
  </si>
  <si>
    <t xml:space="preserve">Acc. Depreciation - Buildings</t>
  </si>
  <si>
    <t xml:space="preserve">Acc. Depreciation - Vehicle</t>
  </si>
  <si>
    <t xml:space="preserve">Acc. Depreciation - Office Furniture and Equipment</t>
  </si>
  <si>
    <t xml:space="preserve">Acc. Depreciation - Software</t>
  </si>
  <si>
    <t xml:space="preserve">- Beginning retained earnings</t>
  </si>
  <si>
    <t xml:space="preserve">- Current profit or loss</t>
  </si>
  <si>
    <t xml:space="preserve">Service Fee</t>
  </si>
  <si>
    <t xml:space="preserve">Sales Return </t>
  </si>
  <si>
    <t xml:space="preserve">Other Sales</t>
  </si>
  <si>
    <t xml:space="preserve">Cost of Sales</t>
  </si>
  <si>
    <t xml:space="preserve">Live Bird</t>
  </si>
  <si>
    <t xml:space="preserve">COGS - Labor</t>
  </si>
  <si>
    <t xml:space="preserve">Salaries and allowance - Sales</t>
  </si>
  <si>
    <t xml:space="preserve">Delivery Expenses - SE</t>
  </si>
  <si>
    <t xml:space="preserve">Water and Electricity</t>
  </si>
  <si>
    <t xml:space="preserve">Telecomunication and Internet</t>
  </si>
  <si>
    <t xml:space="preserve">Office Supplies Expenses</t>
  </si>
  <si>
    <t xml:space="preserve">Representation and Donation</t>
  </si>
  <si>
    <t xml:space="preserve">Depreciation ROU Building</t>
  </si>
  <si>
    <t xml:space="preserve">Depreciation Expenses</t>
  </si>
  <si>
    <t xml:space="preserve">Finance Expenses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</si>
</sst>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#,##0;\(#,##0\);\-"/>
    <numFmt numFmtId="167" formatCode="0.0%;\(0.0%\);\-"/>
    <numFmt numFmtId="168" formatCode="0"/>
    <numFmt numFmtId="169" formatCode="ddd\ dd\-mmm"/>
    <numFmt numFmtId="170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9E6"/>
      </patternFill>
    </fill>
    <fill>
      <patternFill patternType="solid">
        <fgColor rgb="FFD9E1F2"/>
        <bgColor rgb="FFE2EFDA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DE2E1"/>
        </patternFill>
      </fill>
    </dxf>
    <dxf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6"/>
  </cols>
  <sheetData>
    <row r="1" customFormat="false" ht="16.15" hidden="false" customHeight="false" outlineLevel="0" collapsed="false">
      <c r="A1" s="1" t="s">
        <v>0</v>
      </c>
    </row>
    <row r="4" customFormat="false" ht="42" hidden="false" customHeight="true" outlineLevel="0" collapsed="false">
      <c r="B4" s="2" t="s">
        <v>1</v>
      </c>
      <c r="C4" s="3" t="s">
        <v>2</v>
      </c>
    </row>
    <row r="5" customFormat="false" ht="126" hidden="false" customHeight="true" outlineLevel="0" collapsed="false">
      <c r="B5" s="2" t="s">
        <v>3</v>
      </c>
      <c r="C5" s="3" t="s">
        <v>4</v>
      </c>
    </row>
    <row r="6" customFormat="false" ht="42" hidden="false" customHeight="true" outlineLevel="0" collapsed="false">
      <c r="B6" s="2" t="s">
        <v>5</v>
      </c>
      <c r="C6" s="3" t="s">
        <v>6</v>
      </c>
    </row>
    <row r="7" customFormat="false" ht="42" hidden="false" customHeight="true" outlineLevel="0" collapsed="false">
      <c r="B7" s="2" t="s">
        <v>7</v>
      </c>
      <c r="C7" s="3" t="s">
        <v>8</v>
      </c>
    </row>
    <row r="8" customFormat="false" ht="97.5" hidden="false" customHeight="true" outlineLevel="0" collapsed="false">
      <c r="B8" s="2" t="s">
        <v>9</v>
      </c>
      <c r="C8" s="3" t="s">
        <v>10</v>
      </c>
    </row>
    <row r="9" customFormat="false" ht="30" hidden="false" customHeight="true" outlineLevel="0" collapsed="false">
      <c r="B9" s="2" t="s">
        <v>11</v>
      </c>
      <c r="C9" s="3" t="s">
        <v>12</v>
      </c>
    </row>
    <row r="10" customFormat="false" ht="42" hidden="false" customHeight="true" outlineLevel="0" collapsed="false">
      <c r="B10" s="2" t="s">
        <v>13</v>
      </c>
      <c r="C10" s="3" t="s">
        <v>14</v>
      </c>
    </row>
    <row r="11" customFormat="false" ht="84" hidden="false" customHeight="true" outlineLevel="0" collapsed="false">
      <c r="B11" s="2" t="s">
        <v>15</v>
      </c>
      <c r="C11" s="3" t="s">
        <v>16</v>
      </c>
    </row>
    <row r="12" customFormat="false" ht="30" hidden="false" customHeight="true" outlineLevel="0" collapsed="false">
      <c r="B12" s="2" t="s">
        <v>17</v>
      </c>
      <c r="C12" s="3" t="s">
        <v>18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0" min="2" style="0" width="13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2"/>
  </cols>
  <sheetData>
    <row r="1" customFormat="false" ht="16.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  <c r="B2" s="5" t="n">
        <f aca="false">I_Parameter!$C$5</f>
        <v>46258</v>
      </c>
      <c r="C2" s="5" t="n">
        <f aca="false">I_Parameter!$C$6</f>
        <v>46264</v>
      </c>
      <c r="E2" s="4" t="s">
        <v>21</v>
      </c>
      <c r="F2" s="5" t="n">
        <f aca="false">I_Parameter!$C$4</f>
        <v>46261</v>
      </c>
      <c r="H2" s="6" t="s">
        <v>22</v>
      </c>
    </row>
    <row r="4" customFormat="false" ht="15" hidden="false" customHeight="false" outlineLevel="0" collapsed="false">
      <c r="A4" s="7" t="s">
        <v>23</v>
      </c>
    </row>
    <row r="5" customFormat="false" ht="39.75" hidden="false" customHeight="true" outlineLevel="0" collapsed="false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37</v>
      </c>
    </row>
    <row r="6" customFormat="false" ht="15" hidden="false" customHeight="false" outlineLevel="0" collapsed="false">
      <c r="A6" s="9" t="s">
        <v>38</v>
      </c>
      <c r="B6" s="10" t="n">
        <f aca="false">SUMIFS(T_Penjualan!$H$6:$H$1505,T_Penjualan!$N$6:$N$1505,"RPA",T_Penjualan!$B$6:$B$1505,"Aktual",T_Penjualan!$P$6:$P$1505,1)</f>
        <v>7942.69</v>
      </c>
      <c r="C6" s="10" t="n">
        <f aca="false">SUMIFS(T_Penjualan!$J$6:$J$1505,T_Penjualan!$N$6:$N$1505,"RPA",T_Penjualan!$B$6:$B$1505,"Aktual",T_Penjualan!$P$6:$P$1505,1)</f>
        <v>224006578.17</v>
      </c>
      <c r="D6" s="10" t="n">
        <f aca="false">SUMIFS(T_Penjualan!$M$6:$M$1505,T_Penjualan!$N$6:$N$1505,"RPA",T_Penjualan!$B$6:$B$1505,"Aktual",T_Penjualan!$P$6:$P$1505,1)</f>
        <v>-10279044.83</v>
      </c>
      <c r="E6" s="10" t="n">
        <f aca="false">SUMIFS(T_Penjualan!$H$6:$H$1505,T_Penjualan!$N$6:$N$1505,"RPA",T_Penjualan!$B$6:$B$1505,"Order",T_Penjualan!$P$6:$P$1505,1)</f>
        <v>23783.76</v>
      </c>
      <c r="F6" s="10" t="n">
        <f aca="false">SUMIFS(T_Penjualan!$J$6:$J$1505,T_Penjualan!$N$6:$N$1505,"RPA",T_Penjualan!$B$6:$B$1505,"Order",T_Penjualan!$P$6:$P$1505,1)</f>
        <v>631613193.01</v>
      </c>
      <c r="G6" s="10" t="n">
        <f aca="false">SUMIFS(T_Penjualan!$M$6:$M$1505,T_Penjualan!$N$6:$N$1505,"RPA",T_Penjualan!$B$6:$B$1505,"Order",T_Penjualan!$P$6:$P$1505,1)</f>
        <v>-52292800.8552491</v>
      </c>
      <c r="H6" s="11" t="n">
        <f aca="false">B6+E6</f>
        <v>31726.45</v>
      </c>
      <c r="I6" s="11" t="n">
        <f aca="false">C6+F6</f>
        <v>855619771.18</v>
      </c>
      <c r="J6" s="12" t="n">
        <f aca="false">D6+G6</f>
        <v>-62571845.6852491</v>
      </c>
      <c r="K6" s="12" t="n">
        <f aca="false">IF(H6=0,0,J6/H6)</f>
        <v>-1972.22965964516</v>
      </c>
      <c r="L6" s="13" t="n">
        <f aca="false">IF(I6=0,0,J6/I6)</f>
        <v>-0.0731304345608508</v>
      </c>
      <c r="M6" s="10" t="n">
        <f aca="false">IF(I_Parameter!C38=0,0,I_Parameter!E38/I_Parameter!C38)</f>
        <v>-154.724642563066</v>
      </c>
      <c r="N6" s="12" t="n">
        <f aca="false">K6-M6</f>
        <v>-1817.50501708209</v>
      </c>
    </row>
    <row r="7" customFormat="false" ht="15" hidden="false" customHeight="false" outlineLevel="0" collapsed="false">
      <c r="A7" s="9" t="s">
        <v>39</v>
      </c>
      <c r="B7" s="10" t="n">
        <f aca="false">SUMIFS(T_Penjualan!$H$6:$H$1505,T_Penjualan!$N$6:$N$1505,"Trading",T_Penjualan!$B$6:$B$1505,"Aktual",T_Penjualan!$P$6:$P$1505,1)</f>
        <v>15645.28</v>
      </c>
      <c r="C7" s="10" t="n">
        <f aca="false">SUMIFS(T_Penjualan!$J$6:$J$1505,T_Penjualan!$N$6:$N$1505,"Trading",T_Penjualan!$B$6:$B$1505,"Aktual",T_Penjualan!$P$6:$P$1505,1)</f>
        <v>347125125.16</v>
      </c>
      <c r="D7" s="10" t="n">
        <f aca="false">SUMIFS(T_Penjualan!$M$6:$M$1505,T_Penjualan!$N$6:$N$1505,"Trading",T_Penjualan!$B$6:$B$1505,"Aktual",T_Penjualan!$P$6:$P$1505,1)</f>
        <v>15239014.16</v>
      </c>
      <c r="E7" s="10" t="n">
        <f aca="false">SUMIFS(T_Penjualan!$H$6:$H$1505,T_Penjualan!$N$6:$N$1505,"Trading",T_Penjualan!$B$6:$B$1505,"Order",T_Penjualan!$P$6:$P$1505,1)</f>
        <v>16653.64</v>
      </c>
      <c r="F7" s="10" t="n">
        <f aca="false">SUMIFS(T_Penjualan!$J$6:$J$1505,T_Penjualan!$N$6:$N$1505,"Trading",T_Penjualan!$B$6:$B$1505,"Order",T_Penjualan!$P$6:$P$1505,1)</f>
        <v>436212267.39</v>
      </c>
      <c r="G7" s="10" t="n">
        <f aca="false">SUMIFS(T_Penjualan!$M$6:$M$1505,T_Penjualan!$N$6:$N$1505,"Trading",T_Penjualan!$B$6:$B$1505,"Order",T_Penjualan!$P$6:$P$1505,1)</f>
        <v>-244556.716397075</v>
      </c>
      <c r="H7" s="11" t="n">
        <f aca="false">B7+E7</f>
        <v>32298.92</v>
      </c>
      <c r="I7" s="11" t="n">
        <f aca="false">C7+F7</f>
        <v>783337392.55</v>
      </c>
      <c r="J7" s="12" t="n">
        <f aca="false">D7+G7</f>
        <v>14994457.4436029</v>
      </c>
      <c r="K7" s="12" t="n">
        <f aca="false">IF(H7=0,0,J7/H7)</f>
        <v>464.240211239352</v>
      </c>
      <c r="L7" s="13" t="n">
        <f aca="false">IF(I7=0,0,J7/I7)</f>
        <v>0.0191417613741015</v>
      </c>
      <c r="M7" s="10" t="n">
        <f aca="false">IF(I_Parameter!C39=0,0,I_Parameter!E39/I_Parameter!C39)</f>
        <v>1972.68909312282</v>
      </c>
      <c r="N7" s="12" t="n">
        <f aca="false">K7-M7</f>
        <v>-1508.44888188346</v>
      </c>
    </row>
    <row r="8" customFormat="false" ht="15" hidden="false" customHeight="false" outlineLevel="0" collapsed="false">
      <c r="A8" s="14" t="s">
        <v>40</v>
      </c>
      <c r="B8" s="15" t="n">
        <f aca="false">B6+B7</f>
        <v>23587.97</v>
      </c>
      <c r="C8" s="15" t="n">
        <f aca="false">C6+C7</f>
        <v>571131703.33</v>
      </c>
      <c r="D8" s="15" t="n">
        <f aca="false">D6+D7</f>
        <v>4959969.33000001</v>
      </c>
      <c r="E8" s="15" t="n">
        <f aca="false">E6+E7</f>
        <v>40437.4</v>
      </c>
      <c r="F8" s="15" t="n">
        <f aca="false">F6+F7</f>
        <v>1067825460.4</v>
      </c>
      <c r="G8" s="15" t="n">
        <f aca="false">G6+G7</f>
        <v>-52537357.5716462</v>
      </c>
      <c r="H8" s="15" t="n">
        <f aca="false">H6+H7</f>
        <v>64025.37</v>
      </c>
      <c r="I8" s="15" t="n">
        <f aca="false">I6+I7</f>
        <v>1638957163.73</v>
      </c>
      <c r="J8" s="15" t="n">
        <f aca="false">J6+J7</f>
        <v>-47577388.2416462</v>
      </c>
      <c r="K8" s="15" t="n">
        <f aca="false">IF(H8=0,0,J8/H8)</f>
        <v>-743.102120950588</v>
      </c>
      <c r="L8" s="16" t="n">
        <f aca="false">IF(I8=0,0,J8/I8)</f>
        <v>-0.0290290614633074</v>
      </c>
      <c r="M8" s="17" t="n">
        <f aca="false">IF(I_Parameter!C38+I_Parameter!C39=0,0,(I_Parameter!E38+I_Parameter!E39)/(I_Parameter!C38+I_Parameter!C39))</f>
        <v>883.357365990149</v>
      </c>
      <c r="N8" s="15" t="n">
        <f aca="false">K8-M8</f>
        <v>-1626.45948694074</v>
      </c>
    </row>
    <row r="10" customFormat="false" ht="15" hidden="false" customHeight="false" outlineLevel="0" collapsed="false">
      <c r="A10" s="7" t="s">
        <v>41</v>
      </c>
    </row>
    <row r="11" customFormat="false" ht="19.5" hidden="false" customHeight="true" outlineLevel="0" collapsed="false">
      <c r="A11" s="8" t="s">
        <v>42</v>
      </c>
      <c r="B11" s="8" t="s">
        <v>43</v>
      </c>
      <c r="C11" s="8" t="s">
        <v>44</v>
      </c>
      <c r="D11" s="8" t="s">
        <v>9</v>
      </c>
    </row>
    <row r="12" customFormat="false" ht="15" hidden="false" customHeight="false" outlineLevel="0" collapsed="false">
      <c r="A12" s="18" t="s">
        <v>45</v>
      </c>
      <c r="B12" s="10" t="n">
        <f aca="false">I_Parameter!$C$11</f>
        <v>24600</v>
      </c>
      <c r="C12" s="18" t="s">
        <v>46</v>
      </c>
      <c r="D12" s="19" t="s">
        <v>47</v>
      </c>
      <c r="E12" s="19"/>
      <c r="F12" s="19"/>
      <c r="G12" s="19"/>
      <c r="H12" s="19"/>
    </row>
    <row r="13" customFormat="false" ht="15" hidden="false" customHeight="false" outlineLevel="0" collapsed="false">
      <c r="A13" s="18" t="s">
        <v>48</v>
      </c>
      <c r="B13" s="10" t="n">
        <f aca="false">SUMIFS(T_Penjualan!$H$6:$H$1505,T_Penjualan!$G$6:$G$1505,"RPA|Karkas|Fresh",T_Penjualan!$B$6:$B$1505,"Order",T_Penjualan!$A$6:$A$1505,"&gt;="&amp;I_Parameter!$C$4,T_Penjualan!$A$6:$A$1505,"&lt;="&amp;(I_Parameter!$C$4+I_Parameter!$C$7-1))</f>
        <v>12307.15</v>
      </c>
      <c r="C13" s="18" t="s">
        <v>49</v>
      </c>
      <c r="D13" s="19" t="s">
        <v>50</v>
      </c>
      <c r="E13" s="19"/>
      <c r="F13" s="19"/>
      <c r="G13" s="19"/>
      <c r="H13" s="19"/>
    </row>
    <row r="14" customFormat="false" ht="15" hidden="false" customHeight="false" outlineLevel="0" collapsed="false">
      <c r="A14" s="18" t="s">
        <v>51</v>
      </c>
      <c r="B14" s="10" t="n">
        <f aca="false">IFERROR(INDEX(O_Stok!$S$6:$S$85,MATCH("RPA|Karkas|Fresh",O_Stok!$A$6:$A$85,0)),0)</f>
        <v>18768.21</v>
      </c>
      <c r="C14" s="18" t="s">
        <v>49</v>
      </c>
      <c r="D14" s="19" t="s">
        <v>52</v>
      </c>
      <c r="E14" s="19"/>
      <c r="F14" s="19"/>
      <c r="G14" s="19"/>
      <c r="H14" s="19"/>
    </row>
    <row r="15" customFormat="false" ht="15" hidden="false" customHeight="false" outlineLevel="0" collapsed="false">
      <c r="A15" s="18" t="s">
        <v>53</v>
      </c>
      <c r="B15" s="11" t="n">
        <f aca="false">MAX(0,B13-B14)</f>
        <v>0</v>
      </c>
      <c r="C15" s="18" t="s">
        <v>49</v>
      </c>
      <c r="D15" s="19" t="s">
        <v>54</v>
      </c>
      <c r="E15" s="19"/>
      <c r="F15" s="19"/>
      <c r="G15" s="19"/>
      <c r="H15" s="19"/>
    </row>
    <row r="16" customFormat="false" ht="15" hidden="false" customHeight="false" outlineLevel="0" collapsed="false">
      <c r="A16" s="18" t="s">
        <v>55</v>
      </c>
      <c r="B16" s="10" t="n">
        <f aca="false">IF(I_Parameter!$C$19*(1-I_Parameter!$C$8)=0,0,B15/((1-I_Parameter!$C$8)*I_Parameter!$C$19))</f>
        <v>0</v>
      </c>
      <c r="C16" s="18" t="s">
        <v>56</v>
      </c>
      <c r="D16" s="19" t="s">
        <v>57</v>
      </c>
      <c r="E16" s="19"/>
      <c r="F16" s="19"/>
      <c r="G16" s="19"/>
      <c r="H16" s="19"/>
    </row>
    <row r="17" customFormat="false" ht="15" hidden="false" customHeight="false" outlineLevel="0" collapsed="false">
      <c r="A17" s="18" t="s">
        <v>58</v>
      </c>
      <c r="B17" s="10" t="n">
        <f aca="false">SUMIFS(T_Batch!$E$6:$E$55,T_Batch!$B$6:$B$55,"Rencana",T_Batch!$A$6:$A$55,"&gt;="&amp;I_Parameter!$C$4,T_Batch!$A$6:$A$55,"&lt;="&amp;(I_Parameter!$C$4+I_Parameter!$C$7-1))</f>
        <v>27218.6</v>
      </c>
      <c r="C17" s="18" t="s">
        <v>56</v>
      </c>
      <c r="D17" s="19" t="s">
        <v>59</v>
      </c>
      <c r="E17" s="19"/>
      <c r="F17" s="19"/>
      <c r="G17" s="19"/>
      <c r="H17" s="19"/>
    </row>
    <row r="18" customFormat="false" ht="15" hidden="false" customHeight="false" outlineLevel="0" collapsed="false">
      <c r="A18" s="18" t="s">
        <v>60</v>
      </c>
      <c r="B18" s="10" t="n">
        <f aca="false">MAX(0,B17-B16)*(1-I_Parameter!$C$8)*I_Parameter!$C$19</f>
        <v>19474.899274195</v>
      </c>
      <c r="C18" s="18" t="s">
        <v>49</v>
      </c>
      <c r="D18" s="19" t="s">
        <v>61</v>
      </c>
      <c r="E18" s="19"/>
      <c r="F18" s="19"/>
      <c r="G18" s="19"/>
      <c r="H18" s="19"/>
    </row>
    <row r="19" customFormat="false" ht="15" hidden="false" customHeight="false" outlineLevel="0" collapsed="false">
      <c r="A19" s="18" t="s">
        <v>62</v>
      </c>
      <c r="B19" s="20" t="n">
        <f aca="false">IF(B17=0,1,MIN(1,B15/(B17*(1-I_Parameter!$C$8)*I_Parameter!$C$19)))</f>
        <v>0</v>
      </c>
      <c r="C19" s="18" t="s">
        <v>63</v>
      </c>
      <c r="D19" s="19"/>
      <c r="E19" s="19"/>
      <c r="F19" s="19"/>
      <c r="G19" s="19"/>
      <c r="H19" s="19"/>
    </row>
    <row r="20" customFormat="false" ht="15" hidden="false" customHeight="false" outlineLevel="0" collapsed="false">
      <c r="A20" s="18" t="s">
        <v>64</v>
      </c>
      <c r="B20" s="10" t="n">
        <f aca="false">(1-I_Parameter!$C$8)*(I_Parameter!$C$19*(B19*I_Parameter!$C$28+(1-B19)*I_Parameter!$C$29)+I_Parameter!$C$20*I_Parameter!$C$30+I_Parameter!$C$21*I_Parameter!$C$31+I_Parameter!$C$22*I_Parameter!$C$32+I_Parameter!$C$23*I_Parameter!$C$33+I_Parameter!$C$24*I_Parameter!$C$34)</f>
        <v>23277.6574568805</v>
      </c>
      <c r="C20" s="18" t="s">
        <v>46</v>
      </c>
      <c r="D20" s="19" t="s">
        <v>65</v>
      </c>
      <c r="E20" s="19"/>
      <c r="F20" s="19"/>
      <c r="G20" s="19"/>
      <c r="H20" s="19"/>
    </row>
    <row r="21" customFormat="false" ht="15" hidden="false" customHeight="false" outlineLevel="0" collapsed="false">
      <c r="A21" s="18" t="s">
        <v>66</v>
      </c>
      <c r="B21" s="10" t="n">
        <f aca="false">B20-I_Parameter!$C$9-I_Parameter!$C$10*(1-I_Parameter!$C$8)</f>
        <v>20725.6574568805</v>
      </c>
      <c r="C21" s="18" t="s">
        <v>46</v>
      </c>
      <c r="D21" s="19" t="s">
        <v>67</v>
      </c>
      <c r="E21" s="19"/>
      <c r="F21" s="19"/>
      <c r="G21" s="19"/>
      <c r="H21" s="19"/>
    </row>
    <row r="22" customFormat="false" ht="15" hidden="false" customHeight="false" outlineLevel="0" collapsed="false">
      <c r="A22" s="18" t="s">
        <v>68</v>
      </c>
      <c r="B22" s="10" t="n">
        <f aca="false">(1-I_Parameter!$C$8)*(I_Parameter!$C$19*I_Parameter!$C$28+I_Parameter!$C$20*I_Parameter!$C$30+I_Parameter!$C$21*I_Parameter!$C$31+I_Parameter!$C$22*I_Parameter!$C$32+I_Parameter!$C$23*I_Parameter!$C$33+I_Parameter!$C$24*I_Parameter!$C$34)-I_Parameter!$C$9-I_Parameter!$C$10*(1-I_Parameter!$C$8)</f>
        <v>24336.7842832735</v>
      </c>
      <c r="C22" s="18" t="s">
        <v>46</v>
      </c>
      <c r="D22" s="19" t="s">
        <v>69</v>
      </c>
      <c r="E22" s="19"/>
      <c r="F22" s="19"/>
      <c r="G22" s="19"/>
      <c r="H22" s="19"/>
    </row>
    <row r="23" customFormat="false" ht="15" hidden="false" customHeight="false" outlineLevel="0" collapsed="false">
      <c r="A23" s="18" t="s">
        <v>70</v>
      </c>
      <c r="B23" s="11" t="n">
        <f aca="false">B21-B12</f>
        <v>-3874.34254311954</v>
      </c>
      <c r="C23" s="18" t="s">
        <v>46</v>
      </c>
      <c r="D23" s="19" t="s">
        <v>71</v>
      </c>
      <c r="E23" s="19"/>
      <c r="F23" s="19"/>
      <c r="G23" s="19"/>
      <c r="H23" s="19"/>
    </row>
    <row r="24" customFormat="false" ht="15" hidden="false" customHeight="false" outlineLevel="0" collapsed="false">
      <c r="A24" s="18" t="s">
        <v>72</v>
      </c>
      <c r="B24" s="11" t="n">
        <f aca="false">B23*B17</f>
        <v>-105454179.944153</v>
      </c>
      <c r="C24" s="18" t="s">
        <v>73</v>
      </c>
      <c r="D24" s="19" t="s">
        <v>74</v>
      </c>
      <c r="E24" s="19"/>
      <c r="F24" s="19"/>
      <c r="G24" s="19"/>
      <c r="H24" s="19"/>
    </row>
    <row r="25" customFormat="false" ht="15" hidden="false" customHeight="false" outlineLevel="0" collapsed="false">
      <c r="A25" s="18" t="s">
        <v>75</v>
      </c>
      <c r="B25" s="10" t="n">
        <f aca="false">B18*(I_Parameter!$C$28-I_Parameter!$C$29)</f>
        <v>98289816.6368624</v>
      </c>
      <c r="C25" s="18" t="s">
        <v>73</v>
      </c>
      <c r="D25" s="19" t="s">
        <v>76</v>
      </c>
      <c r="E25" s="19"/>
      <c r="F25" s="19"/>
      <c r="G25" s="19"/>
      <c r="H25" s="19"/>
    </row>
    <row r="26" customFormat="false" ht="27.75" hidden="false" customHeight="true" outlineLevel="0" collapsed="false">
      <c r="A26" s="21" t="s">
        <v>77</v>
      </c>
      <c r="B26" s="22" t="str">
        <f aca="false">IF(B12&gt;B22,"TUNDA / NEGOSIASI: harga LB "&amp;FIXED(B12,0)&amp;" di atas breakeven 100% fresh "&amp;FIXED(B22,0)&amp;" — setiap kg LB rugi walau semua karkas laku fresh",IF(B17&gt;B16+0.5,"KURANGI potong ke maksimum "&amp;FIXED(B16,0)&amp;" kg LB (rencana "&amp;FIXED(B17,0)&amp;" kg) supaya karkas tidak jadi frozen",IF(B23&lt;0,"POTONG HANYA SESUAI ORDER: margin per kg LB negatif ("&amp;FIXED(B23,0)&amp;")","LANJUT sesuai rencana: harga LB di bawah breakeven dan kebutuhan fresh tertutup")))</f>
        <v>TUNDA / NEGOSIASI: harga LB 24,600 di atas breakeven 100% fresh 24,337 — setiap kg LB rugi walau semua karkas laku fresh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8" customFormat="false" ht="15" hidden="false" customHeight="false" outlineLevel="0" collapsed="false">
      <c r="A28" s="7" t="s">
        <v>78</v>
      </c>
    </row>
    <row r="29" customFormat="false" ht="39.75" hidden="false" customHeight="true" outlineLevel="0" collapsed="false">
      <c r="A29" s="8" t="s">
        <v>79</v>
      </c>
      <c r="B29" s="8" t="s">
        <v>80</v>
      </c>
      <c r="C29" s="8" t="s">
        <v>81</v>
      </c>
      <c r="D29" s="8" t="s">
        <v>82</v>
      </c>
      <c r="E29" s="8" t="s">
        <v>83</v>
      </c>
      <c r="F29" s="8" t="s">
        <v>84</v>
      </c>
      <c r="G29" s="8" t="s">
        <v>85</v>
      </c>
      <c r="H29" s="8" t="s">
        <v>86</v>
      </c>
      <c r="I29" s="8" t="s">
        <v>87</v>
      </c>
      <c r="J29" s="8" t="s">
        <v>88</v>
      </c>
      <c r="K29" s="8" t="s">
        <v>89</v>
      </c>
      <c r="L29" s="8"/>
      <c r="M29" s="8"/>
      <c r="N29" s="8"/>
    </row>
    <row r="30" customFormat="false" ht="15" hidden="false" customHeight="false" outlineLevel="0" collapsed="false">
      <c r="A30" s="18" t="s">
        <v>90</v>
      </c>
      <c r="B30" s="10" t="n">
        <f aca="false">IFERROR(INDEX(O_Stok!$S$6:$S$85,MATCH("Trading|BLD|Frozen",O_Stok!$A$6:$A$85,0)),0)</f>
        <v>4848.44</v>
      </c>
      <c r="C30" s="10" t="n">
        <f aca="false">IFERROR(INDEX(O_Stok!$T$6:$T$85,MATCH("Trading|BLD|Frozen",O_Stok!$A$6:$A$85,0)),0)</f>
        <v>0</v>
      </c>
      <c r="D30" s="10" t="n">
        <f aca="false">SUMIFS(T_Penerimaan!$I$6:$I$1005,T_Penerimaan!$H$6:$H$1005,"Trading|BLD|Frozen",T_Penerimaan!$B$6:$B$1005,"Rencana",T_Penerimaan!$A$6:$A$1005,"&gt;="&amp;I_Parameter!$C$4,T_Penerimaan!$A$6:$A$1005,"&lt;="&amp;I_Parameter!$C$6)</f>
        <v>0</v>
      </c>
      <c r="E30" s="12" t="n">
        <f aca="false">MAX(0,C30-B30-D30)</f>
        <v>0</v>
      </c>
      <c r="F30" s="10" t="n">
        <f aca="false">IFERROR(SUMIFS(T_Penjualan!$J$6:$J$1505,T_Penjualan!$G$6:$G$1505,"Trading|BLD|Frozen",T_Penjualan!$B$6:$B$1505,"Order",T_Penjualan!$A$6:$A$1505,"&gt;="&amp;I_Parameter!$C$4)/SUMIFS(T_Penjualan!$H$6:$H$1505,T_Penjualan!$G$6:$G$1505,"Trading|BLD|Frozen",T_Penjualan!$B$6:$B$1505,"Order",T_Penjualan!$A$6:$A$1505,"&gt;="&amp;I_Parameter!$C$4),IFERROR(INDEX(I_Master!$F$6:$F$85,MATCH("Trading|BLD|Frozen",I_Master!$A$6:$A$85,0)),0))</f>
        <v>42083</v>
      </c>
      <c r="G30" s="10" t="n">
        <f aca="false">IFERROR(INDEX(I_Master!$G$6:$G$85,MATCH("Trading|BLD|Frozen",I_Master!$A$6:$A$85,0)),"")</f>
        <v>38169</v>
      </c>
      <c r="H30" s="11" t="n">
        <f aca="false">IF(OR(G30="",G30=0,F30=0),"",F30-G30)</f>
        <v>3914</v>
      </c>
      <c r="I30" s="13" t="n">
        <f aca="false">IF(H30="","",H30/F30)</f>
        <v>0.0930066772806121</v>
      </c>
      <c r="J30" s="10" t="n">
        <f aca="false">IFERROR(INDEX(O_Stok!$Q$6:$Q$85,MATCH("Trading|BLD|Frozen",O_Stok!$A$6:$A$85,0)),0)</f>
        <v>39097.080621034</v>
      </c>
      <c r="K30" s="9" t="str">
        <f aca="false">IF(E30&gt;0.5,IF(H30="","BELI "&amp;FIXED(E30,0)&amp;" kg — isi harga beli pengganti",IF(H30&gt;=I_Parameter!$C$12,"BELI "&amp;FIXED(E30,0)&amp;" kg (spread "&amp;FIXED(H30,0)&amp;"/kg)","TAHAN: spread "&amp;FIXED(H30,0)&amp;"/kg di bawah minimum — naikkan harga jual atau cari pemasok")),IF(AND(B30&gt;0.5,C30&lt;=0.5),"JUAL STOK: "&amp;FIXED(B30,0)&amp;" kg tanpa order",IF(AND(C30&gt;0.5,J30&gt;0,F30&lt;J30),"CEK HARGA: order "&amp;FIXED(F30,0)&amp;"/kg di bawah biaya stok "&amp;FIXED(J30,0)&amp;"/kg",IF(B30&gt;0.5,"Cukup — sisa "&amp;FIXED(B30-C30+D30,0)&amp;" kg setelah order","-"))))</f>
        <v>JUAL STOK: 4,848 kg tanpa order</v>
      </c>
      <c r="L30" s="9"/>
      <c r="M30" s="9"/>
      <c r="N30" s="9"/>
    </row>
    <row r="31" customFormat="false" ht="15" hidden="false" customHeight="false" outlineLevel="0" collapsed="false">
      <c r="A31" s="18" t="s">
        <v>91</v>
      </c>
      <c r="B31" s="10" t="n">
        <f aca="false">IFERROR(INDEX(O_Stok!$S$6:$S$85,MATCH("Trading|BLD|n/a",O_Stok!$A$6:$A$85,0)),0)</f>
        <v>10.2</v>
      </c>
      <c r="C31" s="10" t="n">
        <f aca="false">IFERROR(INDEX(O_Stok!$T$6:$T$85,MATCH("Trading|BLD|n/a",O_Stok!$A$6:$A$85,0)),0)</f>
        <v>0</v>
      </c>
      <c r="D31" s="10" t="n">
        <f aca="false">SUMIFS(T_Penerimaan!$I$6:$I$1005,T_Penerimaan!$H$6:$H$1005,"Trading|BLD|n/a",T_Penerimaan!$B$6:$B$1005,"Rencana",T_Penerimaan!$A$6:$A$1005,"&gt;="&amp;I_Parameter!$C$4,T_Penerimaan!$A$6:$A$1005,"&lt;="&amp;I_Parameter!$C$6)</f>
        <v>0</v>
      </c>
      <c r="E31" s="12" t="n">
        <f aca="false">MAX(0,C31-B31-D31)</f>
        <v>0</v>
      </c>
      <c r="F31" s="10" t="n">
        <f aca="false">IFERROR(SUMIFS(T_Penjualan!$J$6:$J$1505,T_Penjualan!$G$6:$G$1505,"Trading|BLD|n/a",T_Penjualan!$B$6:$B$1505,"Order",T_Penjualan!$A$6:$A$1505,"&gt;="&amp;I_Parameter!$C$4)/SUMIFS(T_Penjualan!$H$6:$H$1505,T_Penjualan!$G$6:$G$1505,"Trading|BLD|n/a",T_Penjualan!$B$6:$B$1505,"Order",T_Penjualan!$A$6:$A$1505,"&gt;="&amp;I_Parameter!$C$4),IFERROR(INDEX(I_Master!$F$6:$F$85,MATCH("Trading|BLD|n/a",I_Master!$A$6:$A$85,0)),0))</f>
        <v>45000</v>
      </c>
      <c r="G31" s="10" t="n">
        <f aca="false">IFERROR(INDEX(I_Master!$G$6:$G$85,MATCH("Trading|BLD|n/a",I_Master!$A$6:$A$85,0)),"")</f>
        <v>0</v>
      </c>
      <c r="H31" s="11" t="str">
        <f aca="false">IF(OR(G31="",G31=0,F31=0),"",F31-G31)</f>
        <v/>
      </c>
      <c r="I31" s="13" t="str">
        <f aca="false">IF(H31="","",H31/F31)</f>
        <v/>
      </c>
      <c r="J31" s="10" t="n">
        <f aca="false">IFERROR(INDEX(O_Stok!$Q$6:$Q$85,MATCH("Trading|BLD|n/a",O_Stok!$A$6:$A$85,0)),0)</f>
        <v>43000</v>
      </c>
      <c r="K31" s="9" t="str">
        <f aca="false">IF(E31&gt;0.5,IF(H31="","BELI "&amp;FIXED(E31,0)&amp;" kg — isi harga beli pengganti",IF(H31&gt;=I_Parameter!$C$12,"BELI "&amp;FIXED(E31,0)&amp;" kg (spread "&amp;FIXED(H31,0)&amp;"/kg)","TAHAN: spread "&amp;FIXED(H31,0)&amp;"/kg di bawah minimum — naikkan harga jual atau cari pemasok")),IF(AND(B31&gt;0.5,C31&lt;=0.5),"JUAL STOK: "&amp;FIXED(B31,0)&amp;" kg tanpa order",IF(AND(C31&gt;0.5,J31&gt;0,F31&lt;J31),"CEK HARGA: order "&amp;FIXED(F31,0)&amp;"/kg di bawah biaya stok "&amp;FIXED(J31,0)&amp;"/kg",IF(B31&gt;0.5,"Cukup — sisa "&amp;FIXED(B31-C31+D31,0)&amp;" kg setelah order","-"))))</f>
        <v>JUAL STOK: 10 kg tanpa order</v>
      </c>
      <c r="L31" s="9"/>
      <c r="M31" s="9"/>
      <c r="N31" s="9"/>
    </row>
    <row r="32" customFormat="false" ht="15" hidden="false" customHeight="false" outlineLevel="0" collapsed="false">
      <c r="A32" s="18" t="s">
        <v>92</v>
      </c>
      <c r="B32" s="10" t="n">
        <f aca="false">IFERROR(INDEX(O_Stok!$S$6:$S$85,MATCH("Trading|BLP|Frozen",O_Stok!$A$6:$A$85,0)),0)</f>
        <v>10141</v>
      </c>
      <c r="C32" s="10" t="n">
        <f aca="false">IFERROR(INDEX(O_Stok!$T$6:$T$85,MATCH("Trading|BLP|Frozen",O_Stok!$A$6:$A$85,0)),0)</f>
        <v>3229.2</v>
      </c>
      <c r="D32" s="10" t="n">
        <f aca="false">SUMIFS(T_Penerimaan!$I$6:$I$1005,T_Penerimaan!$H$6:$H$1005,"Trading|BLP|Frozen",T_Penerimaan!$B$6:$B$1005,"Rencana",T_Penerimaan!$A$6:$A$1005,"&gt;="&amp;I_Parameter!$C$4,T_Penerimaan!$A$6:$A$1005,"&lt;="&amp;I_Parameter!$C$6)</f>
        <v>0</v>
      </c>
      <c r="E32" s="12" t="n">
        <f aca="false">MAX(0,C32-B32-D32)</f>
        <v>0</v>
      </c>
      <c r="F32" s="10" t="n">
        <f aca="false">IFERROR(SUMIFS(T_Penjualan!$J$6:$J$1505,T_Penjualan!$G$6:$G$1505,"Trading|BLP|Frozen",T_Penjualan!$B$6:$B$1505,"Order",T_Penjualan!$A$6:$A$1505,"&gt;="&amp;I_Parameter!$C$4)/SUMIFS(T_Penjualan!$H$6:$H$1505,T_Penjualan!$G$6:$G$1505,"Trading|BLP|Frozen",T_Penjualan!$B$6:$B$1505,"Order",T_Penjualan!$A$6:$A$1505,"&gt;="&amp;I_Parameter!$C$4),IFERROR(INDEX(I_Master!$F$6:$F$85,MATCH("Trading|BLP|Frozen",I_Master!$A$6:$A$85,0)),0))</f>
        <v>43086</v>
      </c>
      <c r="G32" s="10" t="n">
        <f aca="false">IFERROR(INDEX(I_Master!$G$6:$G$85,MATCH("Trading|BLP|Frozen",I_Master!$A$6:$A$85,0)),"")</f>
        <v>49577</v>
      </c>
      <c r="H32" s="11" t="n">
        <f aca="false">IF(OR(G32="",G32=0,F32=0),"",F32-G32)</f>
        <v>-6491</v>
      </c>
      <c r="I32" s="13" t="n">
        <f aca="false">IF(H32="","",H32/F32)</f>
        <v>-0.150652184004085</v>
      </c>
      <c r="J32" s="10" t="n">
        <f aca="false">IFERROR(INDEX(O_Stok!$Q$6:$Q$85,MATCH("Trading|BLP|Frozen",O_Stok!$A$6:$A$85,0)),0)</f>
        <v>47198.571170496</v>
      </c>
      <c r="K32" s="9" t="str">
        <f aca="false">IF(E32&gt;0.5,IF(H32="","BELI "&amp;FIXED(E32,0)&amp;" kg — isi harga beli pengganti",IF(H32&gt;=I_Parameter!$C$12,"BELI "&amp;FIXED(E32,0)&amp;" kg (spread "&amp;FIXED(H32,0)&amp;"/kg)","TAHAN: spread "&amp;FIXED(H32,0)&amp;"/kg di bawah minimum — naikkan harga jual atau cari pemasok")),IF(AND(B32&gt;0.5,C32&lt;=0.5),"JUAL STOK: "&amp;FIXED(B32,0)&amp;" kg tanpa order",IF(AND(C32&gt;0.5,J32&gt;0,F32&lt;J32),"CEK HARGA: order "&amp;FIXED(F32,0)&amp;"/kg di bawah biaya stok "&amp;FIXED(J32,0)&amp;"/kg",IF(B32&gt;0.5,"Cukup — sisa "&amp;FIXED(B32-C32+D32,0)&amp;" kg setelah order","-"))))</f>
        <v>CEK HARGA: order 43,086/kg di bawah biaya stok 47,199/kg</v>
      </c>
      <c r="L32" s="9"/>
      <c r="M32" s="9"/>
      <c r="N32" s="9"/>
    </row>
    <row r="33" customFormat="false" ht="15" hidden="false" customHeight="false" outlineLevel="0" collapsed="false">
      <c r="A33" s="18" t="s">
        <v>93</v>
      </c>
      <c r="B33" s="10" t="n">
        <f aca="false">IFERROR(INDEX(O_Stok!$S$6:$S$85,MATCH("Trading|BLPK|Frozen",O_Stok!$A$6:$A$85,0)),0)</f>
        <v>8.53</v>
      </c>
      <c r="C33" s="10" t="n">
        <f aca="false">IFERROR(INDEX(O_Stok!$T$6:$T$85,MATCH("Trading|BLPK|Frozen",O_Stok!$A$6:$A$85,0)),0)</f>
        <v>0</v>
      </c>
      <c r="D33" s="10" t="n">
        <f aca="false">SUMIFS(T_Penerimaan!$I$6:$I$1005,T_Penerimaan!$H$6:$H$1005,"Trading|BLPK|Frozen",T_Penerimaan!$B$6:$B$1005,"Rencana",T_Penerimaan!$A$6:$A$1005,"&gt;="&amp;I_Parameter!$C$4,T_Penerimaan!$A$6:$A$1005,"&lt;="&amp;I_Parameter!$C$6)</f>
        <v>0</v>
      </c>
      <c r="E33" s="12" t="n">
        <f aca="false">MAX(0,C33-B33-D33)</f>
        <v>0</v>
      </c>
      <c r="F33" s="10" t="n">
        <f aca="false">IFERROR(SUMIFS(T_Penjualan!$J$6:$J$1505,T_Penjualan!$G$6:$G$1505,"Trading|BLPK|Frozen",T_Penjualan!$B$6:$B$1505,"Order",T_Penjualan!$A$6:$A$1505,"&gt;="&amp;I_Parameter!$C$4)/SUMIFS(T_Penjualan!$H$6:$H$1505,T_Penjualan!$G$6:$G$1505,"Trading|BLPK|Frozen",T_Penjualan!$B$6:$B$1505,"Order",T_Penjualan!$A$6:$A$1505,"&gt;="&amp;I_Parameter!$C$4),IFERROR(INDEX(I_Master!$F$6:$F$85,MATCH("Trading|BLPK|Frozen",I_Master!$A$6:$A$85,0)),0))</f>
        <v>34000</v>
      </c>
      <c r="G33" s="10" t="n">
        <f aca="false">IFERROR(INDEX(I_Master!$G$6:$G$85,MATCH("Trading|BLPK|Frozen",I_Master!$A$6:$A$85,0)),"")</f>
        <v>0</v>
      </c>
      <c r="H33" s="11" t="str">
        <f aca="false">IF(OR(G33="",G33=0,F33=0),"",F33-G33)</f>
        <v/>
      </c>
      <c r="I33" s="13" t="str">
        <f aca="false">IF(H33="","",H33/F33)</f>
        <v/>
      </c>
      <c r="J33" s="10" t="n">
        <f aca="false">IFERROR(INDEX(O_Stok!$Q$6:$Q$85,MATCH("Trading|BLPK|Frozen",O_Stok!$A$6:$A$85,0)),0)</f>
        <v>32000</v>
      </c>
      <c r="K33" s="9" t="str">
        <f aca="false">IF(E33&gt;0.5,IF(H33="","BELI "&amp;FIXED(E33,0)&amp;" kg — isi harga beli pengganti",IF(H33&gt;=I_Parameter!$C$12,"BELI "&amp;FIXED(E33,0)&amp;" kg (spread "&amp;FIXED(H33,0)&amp;"/kg)","TAHAN: spread "&amp;FIXED(H33,0)&amp;"/kg di bawah minimum — naikkan harga jual atau cari pemasok")),IF(AND(B33&gt;0.5,C33&lt;=0.5),"JUAL STOK: "&amp;FIXED(B33,0)&amp;" kg tanpa order",IF(AND(C33&gt;0.5,J33&gt;0,F33&lt;J33),"CEK HARGA: order "&amp;FIXED(F33,0)&amp;"/kg di bawah biaya stok "&amp;FIXED(J33,0)&amp;"/kg",IF(B33&gt;0.5,"Cukup — sisa "&amp;FIXED(B33-C33+D33,0)&amp;" kg setelah order","-"))))</f>
        <v>JUAL STOK: 9 kg tanpa order</v>
      </c>
      <c r="L33" s="9"/>
      <c r="M33" s="9"/>
      <c r="N33" s="9"/>
    </row>
    <row r="34" customFormat="false" ht="15" hidden="false" customHeight="false" outlineLevel="0" collapsed="false">
      <c r="A34" s="18" t="s">
        <v>94</v>
      </c>
      <c r="B34" s="10" t="n">
        <f aca="false">IFERROR(INDEX(O_Stok!$S$6:$S$85,MATCH("Trading|HJA (Hati/Jantung/Ampela)|n/a",O_Stok!$A$6:$A$85,0)),0)</f>
        <v>4300.37</v>
      </c>
      <c r="C34" s="10" t="n">
        <f aca="false">IFERROR(INDEX(O_Stok!$T$6:$T$85,MATCH("Trading|HJA (Hati/Jantung/Ampela)|n/a",O_Stok!$A$6:$A$85,0)),0)</f>
        <v>0</v>
      </c>
      <c r="D34" s="10" t="n">
        <f aca="false">SUMIFS(T_Penerimaan!$I$6:$I$1005,T_Penerimaan!$H$6:$H$1005,"Trading|HJA (Hati/Jantung/Ampela)|n/a",T_Penerimaan!$B$6:$B$1005,"Rencana",T_Penerimaan!$A$6:$A$1005,"&gt;="&amp;I_Parameter!$C$4,T_Penerimaan!$A$6:$A$1005,"&lt;="&amp;I_Parameter!$C$6)</f>
        <v>0</v>
      </c>
      <c r="E34" s="12" t="n">
        <f aca="false">MAX(0,C34-B34-D34)</f>
        <v>0</v>
      </c>
      <c r="F34" s="10" t="n">
        <f aca="false">IFERROR(SUMIFS(T_Penjualan!$J$6:$J$1505,T_Penjualan!$G$6:$G$1505,"Trading|HJA (Hati/Jantung/Ampela)|n/a",T_Penjualan!$B$6:$B$1505,"Order",T_Penjualan!$A$6:$A$1505,"&gt;="&amp;I_Parameter!$C$4)/SUMIFS(T_Penjualan!$H$6:$H$1505,T_Penjualan!$G$6:$G$1505,"Trading|HJA (Hati/Jantung/Ampela)|n/a",T_Penjualan!$B$6:$B$1505,"Order",T_Penjualan!$A$6:$A$1505,"&gt;="&amp;I_Parameter!$C$4),IFERROR(INDEX(I_Master!$F$6:$F$85,MATCH("Trading|HJA (Hati/Jantung/Ampela)|n/a",I_Master!$A$6:$A$85,0)),0))</f>
        <v>15500</v>
      </c>
      <c r="G34" s="10" t="n">
        <f aca="false">IFERROR(INDEX(I_Master!$G$6:$G$85,MATCH("Trading|HJA (Hati/Jantung/Ampela)|n/a",I_Master!$A$6:$A$85,0)),"")</f>
        <v>0</v>
      </c>
      <c r="H34" s="11" t="str">
        <f aca="false">IF(OR(G34="",G34=0,F34=0),"",F34-G34)</f>
        <v/>
      </c>
      <c r="I34" s="13" t="str">
        <f aca="false">IF(H34="","",H34/F34)</f>
        <v/>
      </c>
      <c r="J34" s="10" t="n">
        <f aca="false">IFERROR(INDEX(O_Stok!$Q$6:$Q$85,MATCH("Trading|HJA (Hati/Jantung/Ampela)|n/a",O_Stok!$A$6:$A$85,0)),0)</f>
        <v>4860.46177421943</v>
      </c>
      <c r="K34" s="9" t="str">
        <f aca="false">IF(E34&gt;0.5,IF(H34="","BELI "&amp;FIXED(E34,0)&amp;" kg — isi harga beli pengganti",IF(H34&gt;=I_Parameter!$C$12,"BELI "&amp;FIXED(E34,0)&amp;" kg (spread "&amp;FIXED(H34,0)&amp;"/kg)","TAHAN: spread "&amp;FIXED(H34,0)&amp;"/kg di bawah minimum — naikkan harga jual atau cari pemasok")),IF(AND(B34&gt;0.5,C34&lt;=0.5),"JUAL STOK: "&amp;FIXED(B34,0)&amp;" kg tanpa order",IF(AND(C34&gt;0.5,J34&gt;0,F34&lt;J34),"CEK HARGA: order "&amp;FIXED(F34,0)&amp;"/kg di bawah biaya stok "&amp;FIXED(J34,0)&amp;"/kg",IF(B34&gt;0.5,"Cukup — sisa "&amp;FIXED(B34-C34+D34,0)&amp;" kg setelah order","-"))))</f>
        <v>JUAL STOK: 4,300 kg tanpa order</v>
      </c>
      <c r="L34" s="9"/>
      <c r="M34" s="9"/>
      <c r="N34" s="9"/>
    </row>
    <row r="35" customFormat="false" ht="15" hidden="false" customHeight="false" outlineLevel="0" collapsed="false">
      <c r="A35" s="18" t="s">
        <v>95</v>
      </c>
      <c r="B35" s="10" t="n">
        <f aca="false">IFERROR(INDEX(O_Stok!$S$6:$S$85,MATCH("Trading|KRK (Kerangka)|n/a",O_Stok!$A$6:$A$85,0)),0)</f>
        <v>25815.44</v>
      </c>
      <c r="C35" s="10" t="n">
        <f aca="false">IFERROR(INDEX(O_Stok!$T$6:$T$85,MATCH("Trading|KRK (Kerangka)|n/a",O_Stok!$A$6:$A$85,0)),0)</f>
        <v>6011.3</v>
      </c>
      <c r="D35" s="10" t="n">
        <f aca="false">SUMIFS(T_Penerimaan!$I$6:$I$1005,T_Penerimaan!$H$6:$H$1005,"Trading|KRK (Kerangka)|n/a",T_Penerimaan!$B$6:$B$1005,"Rencana",T_Penerimaan!$A$6:$A$1005,"&gt;="&amp;I_Parameter!$C$4,T_Penerimaan!$A$6:$A$1005,"&lt;="&amp;I_Parameter!$C$6)</f>
        <v>0</v>
      </c>
      <c r="E35" s="12" t="n">
        <f aca="false">MAX(0,C35-B35-D35)</f>
        <v>0</v>
      </c>
      <c r="F35" s="10" t="n">
        <f aca="false">IFERROR(SUMIFS(T_Penjualan!$J$6:$J$1505,T_Penjualan!$G$6:$G$1505,"Trading|KRK (Kerangka)|n/a",T_Penjualan!$B$6:$B$1505,"Order",T_Penjualan!$A$6:$A$1505,"&gt;="&amp;I_Parameter!$C$4)/SUMIFS(T_Penjualan!$H$6:$H$1505,T_Penjualan!$G$6:$G$1505,"Trading|KRK (Kerangka)|n/a",T_Penjualan!$B$6:$B$1505,"Order",T_Penjualan!$A$6:$A$1505,"&gt;="&amp;I_Parameter!$C$4),IFERROR(INDEX(I_Master!$F$6:$F$85,MATCH("Trading|KRK (Kerangka)|n/a",I_Master!$A$6:$A$85,0)),0))</f>
        <v>10903</v>
      </c>
      <c r="G35" s="10" t="n">
        <f aca="false">IFERROR(INDEX(I_Master!$G$6:$G$85,MATCH("Trading|KRK (Kerangka)|n/a",I_Master!$A$6:$A$85,0)),"")</f>
        <v>11169</v>
      </c>
      <c r="H35" s="11" t="n">
        <f aca="false">IF(OR(G35="",G35=0,F35=0),"",F35-G35)</f>
        <v>-266</v>
      </c>
      <c r="I35" s="13" t="n">
        <f aca="false">IF(H35="","",H35/F35)</f>
        <v>-0.024396954966523</v>
      </c>
      <c r="J35" s="10" t="n">
        <f aca="false">IFERROR(INDEX(O_Stok!$Q$6:$Q$85,MATCH("Trading|KRK (Kerangka)|n/a",O_Stok!$A$6:$A$85,0)),0)</f>
        <v>10310.8720267723</v>
      </c>
      <c r="K35" s="9" t="str">
        <f aca="false">IF(E35&gt;0.5,IF(H35="","BELI "&amp;FIXED(E35,0)&amp;" kg — isi harga beli pengganti",IF(H35&gt;=I_Parameter!$C$12,"BELI "&amp;FIXED(E35,0)&amp;" kg (spread "&amp;FIXED(H35,0)&amp;"/kg)","TAHAN: spread "&amp;FIXED(H35,0)&amp;"/kg di bawah minimum — naikkan harga jual atau cari pemasok")),IF(AND(B35&gt;0.5,C35&lt;=0.5),"JUAL STOK: "&amp;FIXED(B35,0)&amp;" kg tanpa order",IF(AND(C35&gt;0.5,J35&gt;0,F35&lt;J35),"CEK HARGA: order "&amp;FIXED(F35,0)&amp;"/kg di bawah biaya stok "&amp;FIXED(J35,0)&amp;"/kg",IF(B35&gt;0.5,"Cukup — sisa "&amp;FIXED(B35-C35+D35,0)&amp;" kg setelah order","-"))))</f>
        <v>Cukup — sisa 19,804 kg setelah order</v>
      </c>
      <c r="L35" s="9"/>
      <c r="M35" s="9"/>
      <c r="N35" s="9"/>
    </row>
    <row r="36" customFormat="false" ht="15" hidden="false" customHeight="false" outlineLevel="0" collapsed="false">
      <c r="A36" s="18" t="s">
        <v>96</v>
      </c>
      <c r="B36" s="10" t="n">
        <f aca="false">IFERROR(INDEX(O_Stok!$S$6:$S$85,MATCH("Trading|Karkas|n/a",O_Stok!$A$6:$A$85,0)),0)</f>
        <v>46572.5</v>
      </c>
      <c r="C36" s="10" t="n">
        <f aca="false">IFERROR(INDEX(O_Stok!$T$6:$T$85,MATCH("Trading|Karkas|n/a",O_Stok!$A$6:$A$85,0)),0)</f>
        <v>7007.77</v>
      </c>
      <c r="D36" s="10" t="n">
        <f aca="false">SUMIFS(T_Penerimaan!$I$6:$I$1005,T_Penerimaan!$H$6:$H$1005,"Trading|Karkas|n/a",T_Penerimaan!$B$6:$B$1005,"Rencana",T_Penerimaan!$A$6:$A$1005,"&gt;="&amp;I_Parameter!$C$4,T_Penerimaan!$A$6:$A$1005,"&lt;="&amp;I_Parameter!$C$6)</f>
        <v>0</v>
      </c>
      <c r="E36" s="12" t="n">
        <f aca="false">MAX(0,C36-B36-D36)</f>
        <v>0</v>
      </c>
      <c r="F36" s="10" t="n">
        <f aca="false">IFERROR(SUMIFS(T_Penjualan!$J$6:$J$1505,T_Penjualan!$G$6:$G$1505,"Trading|Karkas|n/a",T_Penjualan!$B$6:$B$1505,"Order",T_Penjualan!$A$6:$A$1505,"&gt;="&amp;I_Parameter!$C$4)/SUMIFS(T_Penjualan!$H$6:$H$1505,T_Penjualan!$G$6:$G$1505,"Trading|Karkas|n/a",T_Penjualan!$B$6:$B$1505,"Order",T_Penjualan!$A$6:$A$1505,"&gt;="&amp;I_Parameter!$C$4),IFERROR(INDEX(I_Master!$F$6:$F$85,MATCH("Trading|Karkas|n/a",I_Master!$A$6:$A$85,0)),0))</f>
        <v>31277</v>
      </c>
      <c r="G36" s="10" t="n">
        <f aca="false">IFERROR(INDEX(I_Master!$G$6:$G$85,MATCH("Trading|Karkas|n/a",I_Master!$A$6:$A$85,0)),"")</f>
        <v>30050</v>
      </c>
      <c r="H36" s="11" t="n">
        <f aca="false">IF(OR(G36="",G36=0,F36=0),"",F36-G36)</f>
        <v>1227</v>
      </c>
      <c r="I36" s="13" t="n">
        <f aca="false">IF(H36="","",H36/F36)</f>
        <v>0.0392301051891166</v>
      </c>
      <c r="J36" s="10" t="n">
        <f aca="false">IFERROR(INDEX(O_Stok!$Q$6:$Q$85,MATCH("Trading|Karkas|n/a",O_Stok!$A$6:$A$85,0)),0)</f>
        <v>30065.4641676947</v>
      </c>
      <c r="K36" s="9" t="str">
        <f aca="false">IF(E36&gt;0.5,IF(H36="","BELI "&amp;FIXED(E36,0)&amp;" kg — isi harga beli pengganti",IF(H36&gt;=I_Parameter!$C$12,"BELI "&amp;FIXED(E36,0)&amp;" kg (spread "&amp;FIXED(H36,0)&amp;"/kg)","TAHAN: spread "&amp;FIXED(H36,0)&amp;"/kg di bawah minimum — naikkan harga jual atau cari pemasok")),IF(AND(B36&gt;0.5,C36&lt;=0.5),"JUAL STOK: "&amp;FIXED(B36,0)&amp;" kg tanpa order",IF(AND(C36&gt;0.5,J36&gt;0,F36&lt;J36),"CEK HARGA: order "&amp;FIXED(F36,0)&amp;"/kg di bawah biaya stok "&amp;FIXED(J36,0)&amp;"/kg",IF(B36&gt;0.5,"Cukup — sisa "&amp;FIXED(B36-C36+D36,0)&amp;" kg setelah order","-"))))</f>
        <v>Cukup — sisa 39,565 kg setelah order</v>
      </c>
      <c r="L36" s="9"/>
      <c r="M36" s="9"/>
      <c r="N36" s="9"/>
    </row>
    <row r="37" customFormat="false" ht="15" hidden="false" customHeight="false" outlineLevel="0" collapsed="false">
      <c r="A37" s="18" t="s">
        <v>97</v>
      </c>
      <c r="B37" s="10" t="n">
        <f aca="false">IFERROR(INDEX(O_Stok!$S$6:$S$85,MATCH("Trading|Kulit|Frozen",O_Stok!$A$6:$A$85,0)),0)</f>
        <v>4067.31</v>
      </c>
      <c r="C37" s="10" t="n">
        <f aca="false">IFERROR(INDEX(O_Stok!$T$6:$T$85,MATCH("Trading|Kulit|Frozen",O_Stok!$A$6:$A$85,0)),0)</f>
        <v>105.37</v>
      </c>
      <c r="D37" s="10" t="n">
        <f aca="false">SUMIFS(T_Penerimaan!$I$6:$I$1005,T_Penerimaan!$H$6:$H$1005,"Trading|Kulit|Frozen",T_Penerimaan!$B$6:$B$1005,"Rencana",T_Penerimaan!$A$6:$A$1005,"&gt;="&amp;I_Parameter!$C$4,T_Penerimaan!$A$6:$A$1005,"&lt;="&amp;I_Parameter!$C$6)</f>
        <v>0</v>
      </c>
      <c r="E37" s="12" t="n">
        <f aca="false">MAX(0,C37-B37-D37)</f>
        <v>0</v>
      </c>
      <c r="F37" s="10" t="n">
        <f aca="false">IFERROR(SUMIFS(T_Penjualan!$J$6:$J$1505,T_Penjualan!$G$6:$G$1505,"Trading|Kulit|Frozen",T_Penjualan!$B$6:$B$1505,"Order",T_Penjualan!$A$6:$A$1505,"&gt;="&amp;I_Parameter!$C$4)/SUMIFS(T_Penjualan!$H$6:$H$1505,T_Penjualan!$G$6:$G$1505,"Trading|Kulit|Frozen",T_Penjualan!$B$6:$B$1505,"Order",T_Penjualan!$A$6:$A$1505,"&gt;="&amp;I_Parameter!$C$4),IFERROR(INDEX(I_Master!$F$6:$F$85,MATCH("Trading|Kulit|Frozen",I_Master!$A$6:$A$85,0)),0))</f>
        <v>29000</v>
      </c>
      <c r="G37" s="10" t="n">
        <f aca="false">IFERROR(INDEX(I_Master!$G$6:$G$85,MATCH("Trading|Kulit|Frozen",I_Master!$A$6:$A$85,0)),"")</f>
        <v>29577</v>
      </c>
      <c r="H37" s="11" t="n">
        <f aca="false">IF(OR(G37="",G37=0,F37=0),"",F37-G37)</f>
        <v>-577</v>
      </c>
      <c r="I37" s="13" t="n">
        <f aca="false">IF(H37="","",H37/F37)</f>
        <v>-0.0198965517241379</v>
      </c>
      <c r="J37" s="10" t="n">
        <f aca="false">IFERROR(INDEX(O_Stok!$Q$6:$Q$85,MATCH("Trading|Kulit|Frozen",O_Stok!$A$6:$A$85,0)),0)</f>
        <v>26380.9550882524</v>
      </c>
      <c r="K37" s="9" t="str">
        <f aca="false">IF(E37&gt;0.5,IF(H37="","BELI "&amp;FIXED(E37,0)&amp;" kg — isi harga beli pengganti",IF(H37&gt;=I_Parameter!$C$12,"BELI "&amp;FIXED(E37,0)&amp;" kg (spread "&amp;FIXED(H37,0)&amp;"/kg)","TAHAN: spread "&amp;FIXED(H37,0)&amp;"/kg di bawah minimum — naikkan harga jual atau cari pemasok")),IF(AND(B37&gt;0.5,C37&lt;=0.5),"JUAL STOK: "&amp;FIXED(B37,0)&amp;" kg tanpa order",IF(AND(C37&gt;0.5,J37&gt;0,F37&lt;J37),"CEK HARGA: order "&amp;FIXED(F37,0)&amp;"/kg di bawah biaya stok "&amp;FIXED(J37,0)&amp;"/kg",IF(B37&gt;0.5,"Cukup — sisa "&amp;FIXED(B37-C37+D37,0)&amp;" kg setelah order","-"))))</f>
        <v>Cukup — sisa 3,962 kg setelah order</v>
      </c>
      <c r="L37" s="9"/>
      <c r="M37" s="9"/>
      <c r="N37" s="9"/>
    </row>
    <row r="38" customFormat="false" ht="15" hidden="false" customHeight="false" outlineLevel="0" collapsed="false">
      <c r="A38" s="18" t="s">
        <v>98</v>
      </c>
      <c r="B38" s="10" t="n">
        <f aca="false">IFERROR(INDEX(O_Stok!$S$6:$S$85,MATCH("Trading|Kulit|n/a",O_Stok!$A$6:$A$85,0)),0)</f>
        <v>1395.69</v>
      </c>
      <c r="C38" s="10" t="n">
        <f aca="false">IFERROR(INDEX(O_Stok!$T$6:$T$85,MATCH("Trading|Kulit|n/a",O_Stok!$A$6:$A$85,0)),0)</f>
        <v>0</v>
      </c>
      <c r="D38" s="10" t="n">
        <f aca="false">SUMIFS(T_Penerimaan!$I$6:$I$1005,T_Penerimaan!$H$6:$H$1005,"Trading|Kulit|n/a",T_Penerimaan!$B$6:$B$1005,"Rencana",T_Penerimaan!$A$6:$A$1005,"&gt;="&amp;I_Parameter!$C$4,T_Penerimaan!$A$6:$A$1005,"&lt;="&amp;I_Parameter!$C$6)</f>
        <v>0</v>
      </c>
      <c r="E38" s="12" t="n">
        <f aca="false">MAX(0,C38-B38-D38)</f>
        <v>0</v>
      </c>
      <c r="F38" s="10" t="n">
        <f aca="false">IFERROR(SUMIFS(T_Penjualan!$J$6:$J$1505,T_Penjualan!$G$6:$G$1505,"Trading|Kulit|n/a",T_Penjualan!$B$6:$B$1505,"Order",T_Penjualan!$A$6:$A$1505,"&gt;="&amp;I_Parameter!$C$4)/SUMIFS(T_Penjualan!$H$6:$H$1505,T_Penjualan!$G$6:$G$1505,"Trading|Kulit|n/a",T_Penjualan!$B$6:$B$1505,"Order",T_Penjualan!$A$6:$A$1505,"&gt;="&amp;I_Parameter!$C$4),IFERROR(INDEX(I_Master!$F$6:$F$85,MATCH("Trading|Kulit|n/a",I_Master!$A$6:$A$85,0)),0))</f>
        <v>26261</v>
      </c>
      <c r="G38" s="10" t="n">
        <f aca="false">IFERROR(INDEX(I_Master!$G$6:$G$85,MATCH("Trading|Kulit|n/a",I_Master!$A$6:$A$85,0)),"")</f>
        <v>0</v>
      </c>
      <c r="H38" s="11" t="str">
        <f aca="false">IF(OR(G38="",G38=0,F38=0),"",F38-G38)</f>
        <v/>
      </c>
      <c r="I38" s="13" t="str">
        <f aca="false">IF(H38="","",H38/F38)</f>
        <v/>
      </c>
      <c r="J38" s="10" t="n">
        <f aca="false">IFERROR(INDEX(O_Stok!$Q$6:$Q$85,MATCH("Trading|Kulit|n/a",O_Stok!$A$6:$A$85,0)),0)</f>
        <v>21000</v>
      </c>
      <c r="K38" s="9" t="str">
        <f aca="false">IF(E38&gt;0.5,IF(H38="","BELI "&amp;FIXED(E38,0)&amp;" kg — isi harga beli pengganti",IF(H38&gt;=I_Parameter!$C$12,"BELI "&amp;FIXED(E38,0)&amp;" kg (spread "&amp;FIXED(H38,0)&amp;"/kg)","TAHAN: spread "&amp;FIXED(H38,0)&amp;"/kg di bawah minimum — naikkan harga jual atau cari pemasok")),IF(AND(B38&gt;0.5,C38&lt;=0.5),"JUAL STOK: "&amp;FIXED(B38,0)&amp;" kg tanpa order",IF(AND(C38&gt;0.5,J38&gt;0,F38&lt;J38),"CEK HARGA: order "&amp;FIXED(F38,0)&amp;"/kg di bawah biaya stok "&amp;FIXED(J38,0)&amp;"/kg",IF(B38&gt;0.5,"Cukup — sisa "&amp;FIXED(B38-C38+D38,0)&amp;" kg setelah order","-"))))</f>
        <v>JUAL STOK: 1,396 kg tanpa order</v>
      </c>
      <c r="L38" s="9"/>
      <c r="M38" s="9"/>
      <c r="N38" s="9"/>
    </row>
    <row r="39" customFormat="false" ht="15" hidden="false" customHeight="false" outlineLevel="0" collapsed="false">
      <c r="A39" s="18" t="s">
        <v>99</v>
      </c>
      <c r="B39" s="10" t="n">
        <f aca="false">IFERROR(INDEX(O_Stok!$S$6:$S$85,MATCH("Trading|Sayap|n/a",O_Stok!$A$6:$A$85,0)),0)</f>
        <v>0</v>
      </c>
      <c r="C39" s="10" t="n">
        <f aca="false">IFERROR(INDEX(O_Stok!$T$6:$T$85,MATCH("Trading|Sayap|n/a",O_Stok!$A$6:$A$85,0)),0)</f>
        <v>300</v>
      </c>
      <c r="D39" s="10" t="n">
        <f aca="false">SUMIFS(T_Penerimaan!$I$6:$I$1005,T_Penerimaan!$H$6:$H$1005,"Trading|Sayap|n/a",T_Penerimaan!$B$6:$B$1005,"Rencana",T_Penerimaan!$A$6:$A$1005,"&gt;="&amp;I_Parameter!$C$4,T_Penerimaan!$A$6:$A$1005,"&lt;="&amp;I_Parameter!$C$6)</f>
        <v>6985</v>
      </c>
      <c r="E39" s="12" t="n">
        <f aca="false">MAX(0,C39-B39-D39)</f>
        <v>0</v>
      </c>
      <c r="F39" s="10" t="n">
        <f aca="false">IFERROR(SUMIFS(T_Penjualan!$J$6:$J$1505,T_Penjualan!$G$6:$G$1505,"Trading|Sayap|n/a",T_Penjualan!$B$6:$B$1505,"Order",T_Penjualan!$A$6:$A$1505,"&gt;="&amp;I_Parameter!$C$4)/SUMIFS(T_Penjualan!$H$6:$H$1505,T_Penjualan!$G$6:$G$1505,"Trading|Sayap|n/a",T_Penjualan!$B$6:$B$1505,"Order",T_Penjualan!$A$6:$A$1505,"&gt;="&amp;I_Parameter!$C$4),IFERROR(INDEX(I_Master!$F$6:$F$85,MATCH("Trading|Sayap|n/a",I_Master!$A$6:$A$85,0)),0))</f>
        <v>31000</v>
      </c>
      <c r="G39" s="10" t="n">
        <f aca="false">IFERROR(INDEX(I_Master!$G$6:$G$85,MATCH("Trading|Sayap|n/a",I_Master!$A$6:$A$85,0)),"")</f>
        <v>0</v>
      </c>
      <c r="H39" s="11" t="str">
        <f aca="false">IF(OR(G39="",G39=0,F39=0),"",F39-G39)</f>
        <v/>
      </c>
      <c r="I39" s="13" t="str">
        <f aca="false">IF(H39="","",H39/F39)</f>
        <v/>
      </c>
      <c r="J39" s="10" t="n">
        <f aca="false">IFERROR(INDEX(O_Stok!$Q$6:$Q$85,MATCH("Trading|Sayap|n/a",O_Stok!$A$6:$A$85,0)),0)</f>
        <v>28632.78</v>
      </c>
      <c r="K39" s="9" t="str">
        <f aca="false">IF(E39&gt;0.5,IF(H39="","BELI "&amp;FIXED(E39,0)&amp;" kg — isi harga beli pengganti",IF(H39&gt;=I_Parameter!$C$12,"BELI "&amp;FIXED(E39,0)&amp;" kg (spread "&amp;FIXED(H39,0)&amp;"/kg)","TAHAN: spread "&amp;FIXED(H39,0)&amp;"/kg di bawah minimum — naikkan harga jual atau cari pemasok")),IF(AND(B39&gt;0.5,C39&lt;=0.5),"JUAL STOK: "&amp;FIXED(B39,0)&amp;" kg tanpa order",IF(AND(C39&gt;0.5,J39&gt;0,F39&lt;J39),"CEK HARGA: order "&amp;FIXED(F39,0)&amp;"/kg di bawah biaya stok "&amp;FIXED(J39,0)&amp;"/kg",IF(B39&gt;0.5,"Cukup — sisa "&amp;FIXED(B39-C39+D39,0)&amp;" kg setelah order","-"))))</f>
        <v>-</v>
      </c>
      <c r="L39" s="9"/>
      <c r="M39" s="9"/>
      <c r="N39" s="9"/>
    </row>
    <row r="40" customFormat="false" ht="15" hidden="false" customHeight="false" outlineLevel="0" collapsed="false">
      <c r="A40" s="18" t="s">
        <v>100</v>
      </c>
      <c r="B40" s="10" t="n">
        <f aca="false">IFERROR(INDEX(O_Stok!$S$6:$S$85,MATCH("Trading|Usus|Fresh",O_Stok!$A$6:$A$85,0)),0)</f>
        <v>0</v>
      </c>
      <c r="C40" s="10" t="n">
        <f aca="false">IFERROR(INDEX(O_Stok!$T$6:$T$85,MATCH("Trading|Usus|Fresh",O_Stok!$A$6:$A$85,0)),0)</f>
        <v>0</v>
      </c>
      <c r="D40" s="10" t="n">
        <f aca="false">SUMIFS(T_Penerimaan!$I$6:$I$1005,T_Penerimaan!$H$6:$H$1005,"Trading|Usus|Fresh",T_Penerimaan!$B$6:$B$1005,"Rencana",T_Penerimaan!$A$6:$A$1005,"&gt;="&amp;I_Parameter!$C$4,T_Penerimaan!$A$6:$A$1005,"&lt;="&amp;I_Parameter!$C$6)</f>
        <v>0</v>
      </c>
      <c r="E40" s="12" t="n">
        <f aca="false">MAX(0,C40-B40-D40)</f>
        <v>0</v>
      </c>
      <c r="F40" s="10" t="n">
        <f aca="false">IFERROR(SUMIFS(T_Penjualan!$J$6:$J$1505,T_Penjualan!$G$6:$G$1505,"Trading|Usus|Fresh",T_Penjualan!$B$6:$B$1505,"Order",T_Penjualan!$A$6:$A$1505,"&gt;="&amp;I_Parameter!$C$4)/SUMIFS(T_Penjualan!$H$6:$H$1505,T_Penjualan!$G$6:$G$1505,"Trading|Usus|Fresh",T_Penjualan!$B$6:$B$1505,"Order",T_Penjualan!$A$6:$A$1505,"&gt;="&amp;I_Parameter!$C$4),IFERROR(INDEX(I_Master!$F$6:$F$85,MATCH("Trading|Usus|Fresh",I_Master!$A$6:$A$85,0)),0))</f>
        <v>14000</v>
      </c>
      <c r="G40" s="10" t="n">
        <f aca="false">IFERROR(INDEX(I_Master!$G$6:$G$85,MATCH("Trading|Usus|Fresh",I_Master!$A$6:$A$85,0)),"")</f>
        <v>0</v>
      </c>
      <c r="H40" s="11" t="str">
        <f aca="false">IF(OR(G40="",G40=0,F40=0),"",F40-G40)</f>
        <v/>
      </c>
      <c r="I40" s="13" t="str">
        <f aca="false">IF(H40="","",H40/F40)</f>
        <v/>
      </c>
      <c r="J40" s="10" t="n">
        <f aca="false">IFERROR(INDEX(O_Stok!$Q$6:$Q$85,MATCH("Trading|Usus|Fresh",O_Stok!$A$6:$A$85,0)),0)</f>
        <v>0</v>
      </c>
      <c r="K40" s="9" t="str">
        <f aca="false">IF(E40&gt;0.5,IF(H40="","BELI "&amp;FIXED(E40,0)&amp;" kg — isi harga beli pengganti",IF(H40&gt;=I_Parameter!$C$12,"BELI "&amp;FIXED(E40,0)&amp;" kg (spread "&amp;FIXED(H40,0)&amp;"/kg)","TAHAN: spread "&amp;FIXED(H40,0)&amp;"/kg di bawah minimum — naikkan harga jual atau cari pemasok")),IF(AND(B40&gt;0.5,C40&lt;=0.5),"JUAL STOK: "&amp;FIXED(B40,0)&amp;" kg tanpa order",IF(AND(C40&gt;0.5,J40&gt;0,F40&lt;J40),"CEK HARGA: order "&amp;FIXED(F40,0)&amp;"/kg di bawah biaya stok "&amp;FIXED(J40,0)&amp;"/kg",IF(B40&gt;0.5,"Cukup — sisa "&amp;FIXED(B40-C40+D40,0)&amp;" kg setelah order","-"))))</f>
        <v>-</v>
      </c>
      <c r="L40" s="9"/>
      <c r="M40" s="9"/>
      <c r="N40" s="9"/>
    </row>
    <row r="42" customFormat="false" ht="15" hidden="false" customHeight="false" outlineLevel="0" collapsed="false">
      <c r="A42" s="7" t="s">
        <v>101</v>
      </c>
    </row>
    <row r="43" customFormat="false" ht="19.5" hidden="false" customHeight="true" outlineLevel="0" collapsed="false">
      <c r="A43" s="8" t="s">
        <v>102</v>
      </c>
      <c r="B43" s="8" t="s">
        <v>103</v>
      </c>
      <c r="C43" s="8" t="s">
        <v>104</v>
      </c>
      <c r="D43" s="8" t="s">
        <v>105</v>
      </c>
    </row>
    <row r="44" customFormat="false" ht="15" hidden="false" customHeight="false" outlineLevel="0" collapsed="false">
      <c r="A44" s="18" t="s">
        <v>106</v>
      </c>
      <c r="B44" s="23" t="n">
        <f aca="false">COUNTIF(O_Stok!$Z$6:$Z$85,"KURANG*")</f>
        <v>0</v>
      </c>
      <c r="C44" s="10" t="n">
        <f aca="false">SUMIFS(O_Stok!$S$6:$S$85,O_Stok!$Z$6:$Z$85,"KURANG*")</f>
        <v>0</v>
      </c>
      <c r="D44" s="10" t="n">
        <f aca="false">SUMIFS(O_Stok!$Y$6:$Y$85,O_Stok!$Z$6:$Z$85,"KURANG*")</f>
        <v>0</v>
      </c>
    </row>
    <row r="45" customFormat="false" ht="15" hidden="false" customHeight="false" outlineLevel="0" collapsed="false">
      <c r="A45" s="18" t="s">
        <v>107</v>
      </c>
      <c r="B45" s="23" t="n">
        <f aca="false">COUNTIF(O_Stok!$Z$6:$Z$85,"JUAL*")</f>
        <v>23</v>
      </c>
      <c r="C45" s="10" t="n">
        <f aca="false">SUMIFS(O_Stok!$S$6:$S$85,O_Stok!$Z$6:$Z$85,"JUAL*")</f>
        <v>17834.26</v>
      </c>
      <c r="D45" s="10" t="n">
        <f aca="false">SUMIFS(O_Stok!$Y$6:$Y$85,O_Stok!$Z$6:$Z$85,"JUAL*")</f>
        <v>333319515.772827</v>
      </c>
    </row>
    <row r="46" customFormat="false" ht="15" hidden="false" customHeight="false" outlineLevel="0" collapsed="false">
      <c r="A46" s="18" t="s">
        <v>108</v>
      </c>
      <c r="B46" s="23" t="n">
        <f aca="false">COUNTIF(O_Stok!$Z$6:$Z$85,"PERHATIAN*")</f>
        <v>7</v>
      </c>
      <c r="C46" s="10" t="n">
        <f aca="false">SUMIFS(O_Stok!$S$6:$S$85,O_Stok!$Z$6:$Z$85,"PERHATIAN*")</f>
        <v>116289.84</v>
      </c>
      <c r="D46" s="10" t="n">
        <f aca="false">SUMIFS(O_Stok!$Y$6:$Y$85,O_Stok!$Z$6:$Z$85,"PERHATIAN*")</f>
        <v>2782158915.97822</v>
      </c>
    </row>
    <row r="48" customFormat="false" ht="15" hidden="false" customHeight="false" outlineLevel="0" collapsed="false">
      <c r="A48" s="7" t="s">
        <v>109</v>
      </c>
    </row>
    <row r="49" customFormat="false" ht="33.75" hidden="false" customHeight="true" outlineLevel="0" collapsed="false">
      <c r="A49" s="8" t="s">
        <v>110</v>
      </c>
      <c r="B49" s="8" t="s">
        <v>111</v>
      </c>
      <c r="C49" s="8" t="s">
        <v>112</v>
      </c>
      <c r="D49" s="8" t="s">
        <v>113</v>
      </c>
      <c r="E49" s="8" t="s">
        <v>114</v>
      </c>
    </row>
    <row r="50" customFormat="false" ht="15" hidden="false" customHeight="false" outlineLevel="0" collapsed="false">
      <c r="A50" s="24" t="n">
        <f aca="false">I_Parameter!$C$5+0</f>
        <v>46258</v>
      </c>
      <c r="B50" s="10" t="n">
        <f aca="false">SUMIFS(T_Batch!$R$6:$R$55,T_Batch!$A$6:$A$55,A50-I_Parameter!$C$14)</f>
        <v>0</v>
      </c>
      <c r="C50" s="10" t="n">
        <f aca="false">SUMIFS(T_Penerimaan!$K$6:$K$1005,T_Penerimaan!$C$6:$C$1005,"Beli Trading",T_Penerimaan!$A$6:$A$1005,A50-I_Parameter!$C$15,T_Penerimaan!$M$6:$M$1005,1)</f>
        <v>0</v>
      </c>
      <c r="D50" s="12" t="n">
        <f aca="false">B50+C50</f>
        <v>0</v>
      </c>
      <c r="E50" s="18" t="str">
        <f aca="false">IF(A50&lt;I_Parameter!$C$4,"aktual","rencana")</f>
        <v>aktual</v>
      </c>
    </row>
    <row r="51" customFormat="false" ht="15" hidden="false" customHeight="false" outlineLevel="0" collapsed="false">
      <c r="A51" s="24" t="n">
        <f aca="false">I_Parameter!$C$5+1</f>
        <v>46259</v>
      </c>
      <c r="B51" s="10" t="n">
        <f aca="false">SUMIFS(T_Batch!$R$6:$R$55,T_Batch!$A$6:$A$55,A51-I_Parameter!$C$14)</f>
        <v>0</v>
      </c>
      <c r="C51" s="10" t="n">
        <f aca="false">SUMIFS(T_Penerimaan!$K$6:$K$1005,T_Penerimaan!$C$6:$C$1005,"Beli Trading",T_Penerimaan!$A$6:$A$1005,A51-I_Parameter!$C$15,T_Penerimaan!$M$6:$M$1005,1)</f>
        <v>0</v>
      </c>
      <c r="D51" s="12" t="n">
        <f aca="false">B51+C51</f>
        <v>0</v>
      </c>
      <c r="E51" s="18" t="str">
        <f aca="false">IF(A51&lt;I_Parameter!$C$4,"aktual","rencana")</f>
        <v>aktual</v>
      </c>
    </row>
    <row r="52" customFormat="false" ht="15" hidden="false" customHeight="false" outlineLevel="0" collapsed="false">
      <c r="A52" s="24" t="n">
        <f aca="false">I_Parameter!$C$5+2</f>
        <v>46260</v>
      </c>
      <c r="B52" s="10" t="n">
        <f aca="false">SUMIFS(T_Batch!$R$6:$R$55,T_Batch!$A$6:$A$55,A52-I_Parameter!$C$14)</f>
        <v>0</v>
      </c>
      <c r="C52" s="10" t="n">
        <f aca="false">SUMIFS(T_Penerimaan!$K$6:$K$1005,T_Penerimaan!$C$6:$C$1005,"Beli Trading",T_Penerimaan!$A$6:$A$1005,A52-I_Parameter!$C$15,T_Penerimaan!$M$6:$M$1005,1)</f>
        <v>0</v>
      </c>
      <c r="D52" s="12" t="n">
        <f aca="false">B52+C52</f>
        <v>0</v>
      </c>
      <c r="E52" s="18" t="str">
        <f aca="false">IF(A52&lt;I_Parameter!$C$4,"aktual","rencana")</f>
        <v>aktual</v>
      </c>
    </row>
    <row r="53" customFormat="false" ht="15" hidden="false" customHeight="false" outlineLevel="0" collapsed="false">
      <c r="A53" s="24" t="n">
        <f aca="false">I_Parameter!$C$5+3</f>
        <v>46261</v>
      </c>
      <c r="B53" s="10" t="n">
        <f aca="false">SUMIFS(T_Batch!$R$6:$R$55,T_Batch!$A$6:$A$55,A53-I_Parameter!$C$14)</f>
        <v>0</v>
      </c>
      <c r="C53" s="10" t="n">
        <f aca="false">SUMIFS(T_Penerimaan!$K$6:$K$1005,T_Penerimaan!$C$6:$C$1005,"Beli Trading",T_Penerimaan!$A$6:$A$1005,A53-I_Parameter!$C$15,T_Penerimaan!$M$6:$M$1005,1)</f>
        <v>0</v>
      </c>
      <c r="D53" s="12" t="n">
        <f aca="false">B53+C53</f>
        <v>0</v>
      </c>
      <c r="E53" s="18" t="str">
        <f aca="false">IF(A53&lt;I_Parameter!$C$4,"aktual","rencana")</f>
        <v>rencana</v>
      </c>
    </row>
    <row r="54" customFormat="false" ht="15" hidden="false" customHeight="false" outlineLevel="0" collapsed="false">
      <c r="A54" s="24" t="n">
        <f aca="false">I_Parameter!$C$5+4</f>
        <v>46262</v>
      </c>
      <c r="B54" s="10" t="n">
        <f aca="false">SUMIFS(T_Batch!$R$6:$R$55,T_Batch!$A$6:$A$55,A54-I_Parameter!$C$14)</f>
        <v>0</v>
      </c>
      <c r="C54" s="10" t="n">
        <f aca="false">SUMIFS(T_Penerimaan!$K$6:$K$1005,T_Penerimaan!$C$6:$C$1005,"Beli Trading",T_Penerimaan!$A$6:$A$1005,A54-I_Parameter!$C$15,T_Penerimaan!$M$6:$M$1005,1)</f>
        <v>0</v>
      </c>
      <c r="D54" s="12" t="n">
        <f aca="false">B54+C54</f>
        <v>0</v>
      </c>
      <c r="E54" s="18" t="str">
        <f aca="false">IF(A54&lt;I_Parameter!$C$4,"aktual","rencana")</f>
        <v>rencana</v>
      </c>
    </row>
    <row r="55" customFormat="false" ht="15" hidden="false" customHeight="false" outlineLevel="0" collapsed="false">
      <c r="A55" s="24" t="n">
        <f aca="false">I_Parameter!$C$5+5</f>
        <v>46263</v>
      </c>
      <c r="B55" s="10" t="n">
        <f aca="false">SUMIFS(T_Batch!$R$6:$R$55,T_Batch!$A$6:$A$55,A55-I_Parameter!$C$14)</f>
        <v>0</v>
      </c>
      <c r="C55" s="10" t="n">
        <f aca="false">SUMIFS(T_Penerimaan!$K$6:$K$1005,T_Penerimaan!$C$6:$C$1005,"Beli Trading",T_Penerimaan!$A$6:$A$1005,A55-I_Parameter!$C$15,T_Penerimaan!$M$6:$M$1005,1)</f>
        <v>0</v>
      </c>
      <c r="D55" s="12" t="n">
        <f aca="false">B55+C55</f>
        <v>0</v>
      </c>
      <c r="E55" s="18" t="str">
        <f aca="false">IF(A55&lt;I_Parameter!$C$4,"aktual","rencana")</f>
        <v>rencana</v>
      </c>
    </row>
    <row r="56" customFormat="false" ht="15" hidden="false" customHeight="false" outlineLevel="0" collapsed="false">
      <c r="A56" s="24" t="n">
        <f aca="false">I_Parameter!$C$5+6</f>
        <v>46264</v>
      </c>
      <c r="B56" s="10" t="n">
        <f aca="false">SUMIFS(T_Batch!$R$6:$R$55,T_Batch!$A$6:$A$55,A56-I_Parameter!$C$14)</f>
        <v>0</v>
      </c>
      <c r="C56" s="10" t="n">
        <f aca="false">SUMIFS(T_Penerimaan!$K$6:$K$1005,T_Penerimaan!$C$6:$C$1005,"Beli Trading",T_Penerimaan!$A$6:$A$1005,A56-I_Parameter!$C$15,T_Penerimaan!$M$6:$M$1005,1)</f>
        <v>0</v>
      </c>
      <c r="D56" s="12" t="n">
        <f aca="false">B56+C56</f>
        <v>0</v>
      </c>
      <c r="E56" s="18" t="str">
        <f aca="false">IF(A56&lt;I_Parameter!$C$4,"aktual","rencana")</f>
        <v>rencana</v>
      </c>
    </row>
    <row r="57" customFormat="false" ht="15" hidden="false" customHeight="false" outlineLevel="0" collapsed="false">
      <c r="A57" s="14" t="s">
        <v>115</v>
      </c>
      <c r="B57" s="15" t="n">
        <f aca="false">SUM(B50:B56)</f>
        <v>0</v>
      </c>
      <c r="C57" s="15" t="n">
        <f aca="false">SUM(C50:C56)</f>
        <v>0</v>
      </c>
      <c r="D57" s="15" t="n">
        <f aca="false">SUM(D50:D56)</f>
        <v>0</v>
      </c>
      <c r="E57" s="19" t="s">
        <v>116</v>
      </c>
    </row>
    <row r="59" customFormat="false" ht="15" hidden="false" customHeight="false" outlineLevel="0" collapsed="false">
      <c r="A59" s="7" t="s">
        <v>117</v>
      </c>
    </row>
    <row r="60" customFormat="false" ht="33.75" hidden="false" customHeight="true" outlineLevel="0" collapsed="false">
      <c r="A60" s="8" t="s">
        <v>102</v>
      </c>
      <c r="B60" s="8" t="s">
        <v>118</v>
      </c>
      <c r="C60" s="8" t="s">
        <v>56</v>
      </c>
      <c r="D60" s="8" t="s">
        <v>119</v>
      </c>
      <c r="E60" s="8" t="s">
        <v>120</v>
      </c>
      <c r="F60" s="8" t="s">
        <v>121</v>
      </c>
      <c r="G60" s="8" t="s">
        <v>122</v>
      </c>
      <c r="H60" s="8" t="s">
        <v>123</v>
      </c>
      <c r="I60" s="8" t="s">
        <v>124</v>
      </c>
      <c r="J60" s="8" t="s">
        <v>125</v>
      </c>
      <c r="K60" s="8" t="s">
        <v>126</v>
      </c>
      <c r="L60" s="8" t="s">
        <v>127</v>
      </c>
    </row>
    <row r="61" customFormat="false" ht="15" hidden="false" customHeight="false" outlineLevel="0" collapsed="false">
      <c r="A61" s="9" t="s">
        <v>128</v>
      </c>
      <c r="B61" s="23" t="n">
        <f aca="false">COUNTIFS(T_Batch!$B$6:$B$55,"Aktual",T_Batch!$A$6:$A$55,"&gt;="&amp;I_Parameter!$C$5,T_Batch!$A$6:$A$55,"&lt;="&amp;I_Parameter!$C$6)</f>
        <v>2</v>
      </c>
      <c r="C61" s="10" t="n">
        <f aca="false">SUMIFS(T_Batch!$E$6:$E$55,T_Batch!$B$6:$B$55,"Aktual",T_Batch!$A$6:$A$55,"&gt;="&amp;I_Parameter!$C$5,T_Batch!$A$6:$A$55,"&lt;="&amp;I_Parameter!$C$6)</f>
        <v>24301.2</v>
      </c>
      <c r="D61" s="10" t="n">
        <f aca="false">IF(C61=0,"",SUMIFS(T_Batch!$R$6:$R$55,T_Batch!$B$6:$B$55,"Aktual",T_Batch!$A$6:$A$55,"&gt;="&amp;I_Parameter!$C$5,T_Batch!$A$6:$A$55,"&lt;="&amp;I_Parameter!$C$6)/C61)</f>
        <v>23902.799462578</v>
      </c>
      <c r="E61" s="20" t="n">
        <f aca="false">IF(C61=0,"",1-SUMIFS(T_Batch!$I$6:$I$55,T_Batch!$B$6:$B$55,"Aktual",T_Batch!$A$6:$A$55,"&gt;="&amp;I_Parameter!$C$5,T_Batch!$A$6:$A$55,"&lt;="&amp;I_Parameter!$C$6)/C61)</f>
        <v>0.0630874195512979</v>
      </c>
      <c r="F61" s="20" t="n">
        <f aca="false">IFERROR((SUMIFS(T_Batch!$J$6:$J$55,T_Batch!$B$6:$B$55,"Aktual",T_Batch!$A$6:$A$55,"&gt;="&amp;I_Parameter!$C$5,T_Batch!$A$6:$A$55,"&lt;="&amp;I_Parameter!$C$6)+SUMIFS(T_Batch!$K$6:$K$55,T_Batch!$B$6:$B$55,"Aktual",T_Batch!$A$6:$A$55,"&gt;="&amp;I_Parameter!$C$5,T_Batch!$A$6:$A$55,"&lt;="&amp;I_Parameter!$C$6))/SUMIFS(T_Batch!$I$6:$I$55,T_Batch!$B$6:$B$55,"Aktual",T_Batch!$A$6:$A$55,"&gt;="&amp;I_Parameter!$C$5,T_Batch!$A$6:$A$55,"&lt;="&amp;I_Parameter!$C$6),"")</f>
        <v>0.737628524119272</v>
      </c>
      <c r="G61" s="20" t="n">
        <f aca="false">IFERROR(SUMIFS(T_Batch!$J$6:$J$55,T_Batch!$B$6:$B$55,"Aktual",T_Batch!$A$6:$A$55,"&gt;="&amp;I_Parameter!$C$5,T_Batch!$A$6:$A$55,"&lt;="&amp;I_Parameter!$C$6)/(SUMIFS(T_Batch!$J$6:$J$55,T_Batch!$B$6:$B$55,"Aktual",T_Batch!$A$6:$A$55,"&gt;="&amp;I_Parameter!$C$5,T_Batch!$A$6:$A$55,"&lt;="&amp;I_Parameter!$C$6)+SUMIFS(T_Batch!$K$6:$K$55,T_Batch!$B$6:$B$55,"Aktual",T_Batch!$A$6:$A$55,"&gt;="&amp;I_Parameter!$C$5,T_Batch!$A$6:$A$55,"&lt;="&amp;I_Parameter!$C$6)),"")</f>
        <v>0.666353070070976</v>
      </c>
      <c r="H61" s="10" t="n">
        <f aca="false">SUMIFS(T_Batch!$Z$6:$Z$55,T_Batch!$B$6:$B$55,"Aktual",T_Batch!$A$6:$A$55,"&gt;="&amp;I_Parameter!$C$5,T_Batch!$A$6:$A$55,"&lt;="&amp;I_Parameter!$C$6)</f>
        <v>-57435278.1</v>
      </c>
      <c r="I61" s="11" t="n">
        <f aca="false">IF(C61=0,"",H61/C61)</f>
        <v>-2363.47497654437</v>
      </c>
      <c r="J61" s="10" t="n">
        <f aca="false">IFERROR(SUMIFS(T_Batch!$S$6:$S$55,T_Batch!$B$6:$B$55,"Aktual",T_Batch!$A$6:$A$55,"&gt;="&amp;I_Parameter!$C$5,T_Batch!$A$6:$A$55,"&lt;="&amp;I_Parameter!$C$6)/SUMIFS(T_Batch!$U$6:$U$55,T_Batch!$B$6:$B$55,"Aktual",T_Batch!$A$6:$A$55,"&gt;="&amp;I_Parameter!$C$5,T_Batch!$A$6:$A$55,"&lt;="&amp;I_Parameter!$C$6),"")</f>
        <v>31859.7097384331</v>
      </c>
      <c r="K61" s="10" t="n">
        <f aca="false">IFERROR(SUMIFS(T_Batch!$Y$6:$Y$55,T_Batch!$B$6:$B$55,"Aktual",T_Batch!$A$6:$A$55,"&gt;="&amp;I_Parameter!$C$5,T_Batch!$A$6:$A$55,"&lt;="&amp;I_Parameter!$C$6)/SUMIFS(T_Batch!$U$6:$U$55,T_Batch!$B$6:$B$55,"Aktual",T_Batch!$A$6:$A$55,"&gt;="&amp;I_Parameter!$C$5,T_Batch!$A$6:$A$55,"&lt;="&amp;I_Parameter!$C$6),"")</f>
        <v>29088.4189798843</v>
      </c>
      <c r="L61" s="10" t="n">
        <f aca="false">IF(C61=0,"",(SUMIFS(T_Batch!$Y$6:$Y$55,T_Batch!$B$6:$B$55,"Aktual",T_Batch!$A$6:$A$55,"&gt;="&amp;I_Parameter!$C$5,T_Batch!$A$6:$A$55,"&lt;="&amp;I_Parameter!$C$6)-SUMIFS(T_Batch!$G$6:$G$55,T_Batch!$B$6:$B$55,"Aktual",T_Batch!$A$6:$A$55,"&gt;="&amp;I_Parameter!$C$5,T_Batch!$A$6:$A$55,"&lt;="&amp;I_Parameter!$C$6)-SUMIFS(T_Batch!$H$6:$H$55,T_Batch!$B$6:$B$55,"Aktual",T_Batch!$A$6:$A$55,"&gt;="&amp;I_Parameter!$C$5,T_Batch!$A$6:$A$55,"&lt;="&amp;I_Parameter!$C$6))/C61)</f>
        <v>21539.3244860336</v>
      </c>
    </row>
    <row r="62" customFormat="false" ht="15" hidden="false" customHeight="false" outlineLevel="0" collapsed="false">
      <c r="A62" s="9" t="s">
        <v>129</v>
      </c>
      <c r="B62" s="23" t="n">
        <f aca="false">COUNTIFS(T_Batch!$B$6:$B$55,"Rencana",T_Batch!$A$6:$A$55,"&gt;="&amp;I_Parameter!$C$5,T_Batch!$A$6:$A$55,"&lt;="&amp;I_Parameter!$C$6)</f>
        <v>2</v>
      </c>
      <c r="C62" s="10" t="n">
        <f aca="false">SUMIFS(T_Batch!$E$6:$E$55,T_Batch!$B$6:$B$55,"Rencana",T_Batch!$A$6:$A$55,"&gt;="&amp;I_Parameter!$C$5,T_Batch!$A$6:$A$55,"&lt;="&amp;I_Parameter!$C$6)</f>
        <v>27218.6</v>
      </c>
      <c r="D62" s="10" t="n">
        <f aca="false">IF(C62=0,"",SUMIFS(T_Batch!$R$6:$R$55,T_Batch!$B$6:$B$55,"Rencana",T_Batch!$A$6:$A$55,"&gt;="&amp;I_Parameter!$C$5,T_Batch!$A$6:$A$55,"&lt;="&amp;I_Parameter!$C$6)/C62)</f>
        <v>25063.5369889708</v>
      </c>
      <c r="E62" s="20" t="n">
        <f aca="false">IF(C62=0,"",1-SUMIFS(T_Batch!$I$6:$I$55,T_Batch!$B$6:$B$55,"Rencana",T_Batch!$A$6:$A$55,"&gt;="&amp;I_Parameter!$C$5,T_Batch!$A$6:$A$55,"&lt;="&amp;I_Parameter!$C$6)/C62)</f>
        <v>0.0594189267633163</v>
      </c>
      <c r="F62" s="20" t="n">
        <f aca="false">IFERROR((SUMIFS(T_Batch!$J$6:$J$55,T_Batch!$B$6:$B$55,"Rencana",T_Batch!$A$6:$A$55,"&gt;="&amp;I_Parameter!$C$5,T_Batch!$A$6:$A$55,"&lt;="&amp;I_Parameter!$C$6)+SUMIFS(T_Batch!$K$6:$K$55,T_Batch!$B$6:$B$55,"Rencana",T_Batch!$A$6:$A$55,"&gt;="&amp;I_Parameter!$C$5,T_Batch!$A$6:$A$55,"&lt;="&amp;I_Parameter!$C$6))/SUMIFS(T_Batch!$I$6:$I$55,T_Batch!$B$6:$B$55,"Rencana",T_Batch!$A$6:$A$55,"&gt;="&amp;I_Parameter!$C$5,T_Batch!$A$6:$A$55,"&lt;="&amp;I_Parameter!$C$6),"")</f>
        <v>0.744270798748501</v>
      </c>
      <c r="G62" s="20" t="n">
        <f aca="false">IFERROR(SUMIFS(T_Batch!$J$6:$J$55,T_Batch!$B$6:$B$55,"Rencana",T_Batch!$A$6:$A$55,"&gt;="&amp;I_Parameter!$C$5,T_Batch!$A$6:$A$55,"&lt;="&amp;I_Parameter!$C$6)/(SUMIFS(T_Batch!$J$6:$J$55,T_Batch!$B$6:$B$55,"Rencana",T_Batch!$A$6:$A$55,"&gt;="&amp;I_Parameter!$C$5,T_Batch!$A$6:$A$55,"&lt;="&amp;I_Parameter!$C$6)+SUMIFS(T_Batch!$K$6:$K$55,T_Batch!$B$6:$B$55,"Rencana",T_Batch!$A$6:$A$55,"&gt;="&amp;I_Parameter!$C$5,T_Batch!$A$6:$A$55,"&lt;="&amp;I_Parameter!$C$6)),"")</f>
        <v>0.530216276640968</v>
      </c>
      <c r="H62" s="10" t="n">
        <f aca="false">SUMIFS(T_Batch!$Z$6:$Z$55,T_Batch!$B$6:$B$55,"Rencana",T_Batch!$A$6:$A$55,"&gt;="&amp;I_Parameter!$C$5,T_Batch!$A$6:$A$55,"&lt;="&amp;I_Parameter!$C$6)</f>
        <v>-81242184.988</v>
      </c>
      <c r="I62" s="11" t="n">
        <f aca="false">IF(C62=0,"",H62/C62)</f>
        <v>-2984.80395714695</v>
      </c>
      <c r="J62" s="10" t="n">
        <f aca="false">IFERROR(SUMIFS(T_Batch!$S$6:$S$55,T_Batch!$B$6:$B$55,"Rencana",T_Batch!$A$6:$A$55,"&gt;="&amp;I_Parameter!$C$5,T_Batch!$A$6:$A$55,"&lt;="&amp;I_Parameter!$C$6)/SUMIFS(T_Batch!$U$6:$U$55,T_Batch!$B$6:$B$55,"Rencana",T_Batch!$A$6:$A$55,"&gt;="&amp;I_Parameter!$C$5,T_Batch!$A$6:$A$55,"&lt;="&amp;I_Parameter!$C$6),"")</f>
        <v>31875.8298906349</v>
      </c>
      <c r="K62" s="10" t="n">
        <f aca="false">IFERROR(SUMIFS(T_Batch!$Y$6:$Y$55,T_Batch!$B$6:$B$55,"Rencana",T_Batch!$A$6:$A$55,"&gt;="&amp;I_Parameter!$C$5,T_Batch!$A$6:$A$55,"&lt;="&amp;I_Parameter!$C$6)/SUMIFS(T_Batch!$U$6:$U$55,T_Batch!$B$6:$B$55,"Rencana",T_Batch!$A$6:$A$55,"&gt;="&amp;I_Parameter!$C$5,T_Batch!$A$6:$A$55,"&lt;="&amp;I_Parameter!$C$6),"")</f>
        <v>28434.6767292134</v>
      </c>
      <c r="L62" s="10" t="n">
        <f aca="false">IF(C62=0,"",(SUMIFS(T_Batch!$Y$6:$Y$55,T_Batch!$B$6:$B$55,"Rencana",T_Batch!$A$6:$A$55,"&gt;="&amp;I_Parameter!$C$5,T_Batch!$A$6:$A$55,"&lt;="&amp;I_Parameter!$C$6)-SUMIFS(T_Batch!$G$6:$G$55,T_Batch!$B$6:$B$55,"Rencana",T_Batch!$A$6:$A$55,"&gt;="&amp;I_Parameter!$C$5,T_Batch!$A$6:$A$55,"&lt;="&amp;I_Parameter!$C$6)-SUMIFS(T_Batch!$H$6:$H$55,T_Batch!$B$6:$B$55,"Rencana",T_Batch!$A$6:$A$55,"&gt;="&amp;I_Parameter!$C$5,T_Batch!$A$6:$A$55,"&lt;="&amp;I_Parameter!$C$6))/C62)</f>
        <v>22078.7330318238</v>
      </c>
    </row>
    <row r="63" customFormat="false" ht="15" hidden="false" customHeight="false" outlineLevel="0" collapsed="false">
      <c r="A63" s="14" t="s">
        <v>130</v>
      </c>
      <c r="B63" s="25"/>
      <c r="C63" s="25"/>
      <c r="D63" s="25"/>
      <c r="E63" s="26" t="n">
        <f aca="false">I_Parameter!$C$8</f>
        <v>0.03</v>
      </c>
      <c r="F63" s="26" t="n">
        <f aca="false">I_Parameter!D19</f>
        <v>0.7367</v>
      </c>
      <c r="G63" s="25"/>
      <c r="H63" s="25"/>
      <c r="I63" s="25"/>
      <c r="J63" s="25"/>
      <c r="K63" s="25"/>
      <c r="L63" s="17" t="n">
        <f aca="false">B22</f>
        <v>24336.7842832735</v>
      </c>
    </row>
    <row r="65" customFormat="false" ht="15" hidden="false" customHeight="false" outlineLevel="0" collapsed="false">
      <c r="A65" s="7" t="s">
        <v>131</v>
      </c>
    </row>
    <row r="66" customFormat="false" ht="15" hidden="false" customHeight="false" outlineLevel="0" collapsed="false">
      <c r="A66" s="27" t="str">
        <f aca="false">IF(COUNTIFS(T_Penjualan!$B$6:$B$1505,"Order",T_Penjualan!$A$6:$A$1505,"&lt;"&amp;I_Parameter!$C$4,T_Penjualan!$H$6:$H$1505,"&gt;0")&gt;0,COUNTIFS(T_Penjualan!$B$6:$B$1505,"Order",T_Penjualan!$A$6:$A$1505,"&lt;"&amp;I_Parameter!$C$4,T_Penjualan!$H$6:$H$1505,"&gt;0")&amp;" baris order sudah lewat tanggal tapi belum terkirim — ubah jadi Aktual atau geser tanggal","")</f>
        <v/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customFormat="false" ht="15" hidden="false" customHeight="false" outlineLevel="0" collapsed="false">
      <c r="A67" s="27" t="str">
        <f aca="false">IF(COUNTIF(T_Penjualan!$G$6:$G$1505,"KODE BARU")+COUNTIF(T_Penerimaan!$H$6:$H$1005,"KODE BARU")+COUNTIF(I_Stok_Awal!$C$6:$C$305,"KODE BARU")&gt;0,"Ada kode item baru — tambahkan ke I_Item","")</f>
        <v/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customFormat="false" ht="15" hidden="false" customHeight="false" outlineLevel="0" collapsed="false">
      <c r="A68" s="27" t="str">
        <f aca="false">IF(COUNTIF(O_Stok!$V$6:$V$85,"&lt;-0.5")&gt;0,COUNTIF(O_Stok!$V$6:$V$85,"&lt;-0.5")&amp;" SKU diproyeksikan stok minus — lihat O_Stok","")</f>
        <v/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customFormat="false" ht="15" hidden="false" customHeight="false" outlineLevel="0" collapsed="false">
      <c r="A69" s="27" t="str">
        <f aca="false">IF(SUMPRODUCT((O_Stok!$S$6:$S$85&gt;0.5)*((O_Stok!$W$6:$W$85="")+(O_Stok!$W$6:$W$85=0)))&gt;0,"Harga acuan kosong untuk SKU yang masih ada stok — isi di I_Master","")</f>
        <v>Harga acuan kosong untuk SKU yang masih ada stok — isi di I_Master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customFormat="false" ht="15" hidden="false" customHeight="false" outlineLevel="0" collapsed="false">
      <c r="A70" s="27" t="str">
        <f aca="false">IF(AND(B61&gt;0,E61&lt;&gt;"",E61&gt;I_Parameter!$C$8),"Shrink aktual minggu ini "&amp;FIXED(E61*100,1)&amp;"% di atas target "&amp;FIXED(I_Parameter!$C$8*100,1)&amp;"%","")</f>
        <v>Shrink aktual minggu ini 6.3% di atas target 3.0%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customFormat="false" ht="15" hidden="false" customHeight="false" outlineLevel="0" collapsed="false">
      <c r="A71" s="27" t="str">
        <f aca="false">IF(B12&gt;B22,"Harga LB hari ini di atas breakeven 100% fresh","")</f>
        <v>Harga LB hari ini di atas breakeven 100% fresh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customFormat="false" ht="15" hidden="false" customHeight="false" outlineLevel="0" collapsed="false">
      <c r="A72" s="27" t="str">
        <f aca="false">IF(COUNTIF(K30:K40,"TAHAN*")&gt;0,COUNTIF(K30:K40,"TAHAN*")&amp;" SKU trading butuh stok tapi spread di bawah minimum","")</f>
        <v/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4" customFormat="false" ht="15" hidden="false" customHeight="false" outlineLevel="0" collapsed="false">
      <c r="A74" s="7" t="s">
        <v>132</v>
      </c>
    </row>
    <row r="75" customFormat="false" ht="30" hidden="false" customHeight="true" outlineLevel="0" collapsed="false">
      <c r="A75" s="8" t="s">
        <v>42</v>
      </c>
      <c r="B75" s="8" t="s">
        <v>133</v>
      </c>
      <c r="C75" s="8" t="s">
        <v>134</v>
      </c>
      <c r="D75" s="8" t="s">
        <v>135</v>
      </c>
    </row>
    <row r="76" customFormat="false" ht="15" hidden="false" customHeight="false" outlineLevel="0" collapsed="false">
      <c r="A76" s="18" t="s">
        <v>136</v>
      </c>
      <c r="B76" s="10" t="n">
        <f aca="false">O_PnL!B9</f>
        <v>1572306370</v>
      </c>
      <c r="C76" s="10" t="n">
        <f aca="false">O_PnL!E9</f>
        <v>1656798330.4</v>
      </c>
      <c r="D76" s="11" t="n">
        <f aca="false">C76-B76</f>
        <v>84491960.4000001</v>
      </c>
    </row>
    <row r="77" customFormat="false" ht="15" hidden="false" customHeight="false" outlineLevel="0" collapsed="false">
      <c r="A77" s="18" t="s">
        <v>137</v>
      </c>
      <c r="B77" s="10" t="n">
        <f aca="false">O_PnL!B15</f>
        <v>-4182480.38999987</v>
      </c>
      <c r="C77" s="10" t="n">
        <f aca="false">O_PnL!E15</f>
        <v>-67528109.292614</v>
      </c>
      <c r="D77" s="11" t="n">
        <f aca="false">C77-B77</f>
        <v>-63345628.9026141</v>
      </c>
    </row>
    <row r="78" customFormat="false" ht="15" hidden="false" customHeight="false" outlineLevel="0" collapsed="false">
      <c r="A78" s="18" t="s">
        <v>138</v>
      </c>
      <c r="B78" s="10" t="n">
        <f aca="false">O_PnL!B29</f>
        <v>-106792694</v>
      </c>
      <c r="C78" s="10" t="n">
        <f aca="false">O_PnL!E29</f>
        <v>-38907586.6451613</v>
      </c>
      <c r="D78" s="11" t="n">
        <f aca="false">C78-B78</f>
        <v>67885107.3548387</v>
      </c>
    </row>
    <row r="79" customFormat="false" ht="15" hidden="false" customHeight="false" outlineLevel="0" collapsed="false">
      <c r="A79" s="18" t="s">
        <v>139</v>
      </c>
      <c r="B79" s="10" t="n">
        <f aca="false">O_PnL!B35</f>
        <v>-110967765.88</v>
      </c>
      <c r="C79" s="10" t="n">
        <f aca="false">O_PnL!E35</f>
        <v>-106235037.180033</v>
      </c>
      <c r="D79" s="11" t="n">
        <f aca="false">C79-B79</f>
        <v>4732728.69996652</v>
      </c>
    </row>
    <row r="80" customFormat="false" ht="15" hidden="false" customHeight="false" outlineLevel="0" collapsed="false">
      <c r="A80" s="9" t="s">
        <v>140</v>
      </c>
      <c r="B80" s="10" t="n">
        <f aca="false">O_PnL!B37</f>
        <v>-110967765.88</v>
      </c>
      <c r="C80" s="10" t="n">
        <f aca="false">O_PnL!E37</f>
        <v>-107576128.921969</v>
      </c>
      <c r="D80" s="11" t="n">
        <f aca="false">C80-B80</f>
        <v>3391636.95803104</v>
      </c>
    </row>
    <row r="81" customFormat="false" ht="15" hidden="false" customHeight="false" outlineLevel="0" collapsed="false">
      <c r="A81" s="9" t="s">
        <v>141</v>
      </c>
      <c r="B81" s="10" t="n">
        <f aca="false">O_CF!B22</f>
        <v>379091165.68</v>
      </c>
      <c r="C81" s="10" t="n">
        <f aca="false">O_CF!E22</f>
        <v>818198229.68</v>
      </c>
      <c r="D81" s="11" t="n">
        <f aca="false">C81-B81</f>
        <v>439107064</v>
      </c>
    </row>
    <row r="82" customFormat="false" ht="15" hidden="false" customHeight="false" outlineLevel="0" collapsed="false">
      <c r="A82" s="18" t="s">
        <v>142</v>
      </c>
      <c r="B82" s="10" t="n">
        <f aca="false">O_BS!C8</f>
        <v>637472980</v>
      </c>
      <c r="C82" s="10" t="n">
        <f aca="false">O_BS!E8</f>
        <v>625183962.4</v>
      </c>
      <c r="D82" s="11" t="n">
        <f aca="false">C82-B82</f>
        <v>-12289017.5999999</v>
      </c>
    </row>
    <row r="83" customFormat="false" ht="15" hidden="false" customHeight="false" outlineLevel="0" collapsed="false">
      <c r="A83" s="18" t="s">
        <v>143</v>
      </c>
      <c r="B83" s="10" t="n">
        <f aca="false">O_BS!C13+O_BS!C14</f>
        <v>3780606405.14</v>
      </c>
      <c r="C83" s="10" t="n">
        <f aca="false">O_BS!E13+O_BS!E14</f>
        <v>3992408037.29635</v>
      </c>
      <c r="D83" s="11" t="n">
        <f aca="false">C83-B83</f>
        <v>211801632.156353</v>
      </c>
    </row>
    <row r="84" customFormat="false" ht="15" hidden="false" customHeight="false" outlineLevel="0" collapsed="false">
      <c r="A84" s="18" t="s">
        <v>144</v>
      </c>
      <c r="B84" s="10" t="n">
        <f aca="false">O_BS!C23+O_BS!C27</f>
        <v>-665529954.6</v>
      </c>
      <c r="C84" s="10" t="n">
        <f aca="false">O_BS!E23+O_BS!E27</f>
        <v>143472825.136387</v>
      </c>
      <c r="D84" s="11" t="n">
        <f aca="false">C84-B84</f>
        <v>809002779.736387</v>
      </c>
    </row>
    <row r="85" customFormat="false" ht="15" hidden="false" customHeight="false" outlineLevel="0" collapsed="false">
      <c r="A85" s="18" t="s">
        <v>145</v>
      </c>
      <c r="B85" s="10" t="n">
        <f aca="false">O_BS!C26+O_BS!C24</f>
        <v>4400000000</v>
      </c>
      <c r="C85" s="10" t="n">
        <f aca="false">O_BS!E26+O_BS!E24</f>
        <v>5238800000</v>
      </c>
      <c r="D85" s="11" t="n">
        <f aca="false">C85-B85</f>
        <v>838800000</v>
      </c>
    </row>
    <row r="86" customFormat="false" ht="15" hidden="false" customHeight="false" outlineLevel="0" collapsed="false">
      <c r="A86" s="28" t="s">
        <v>146</v>
      </c>
      <c r="C86" s="10" t="n">
        <f aca="false">O_CF!C35</f>
        <v>289672109.68</v>
      </c>
    </row>
  </sheetData>
  <mergeCells count="34"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B26:N26"/>
    <mergeCell ref="K29:N29"/>
    <mergeCell ref="K30:N30"/>
    <mergeCell ref="K31:N31"/>
    <mergeCell ref="K32:N32"/>
    <mergeCell ref="K33:N33"/>
    <mergeCell ref="K34:N34"/>
    <mergeCell ref="K35:N35"/>
    <mergeCell ref="K36:N36"/>
    <mergeCell ref="K37:N37"/>
    <mergeCell ref="K38:N38"/>
    <mergeCell ref="K39:N39"/>
    <mergeCell ref="K40:N40"/>
    <mergeCell ref="A66:N66"/>
    <mergeCell ref="A67:N67"/>
    <mergeCell ref="A68:N68"/>
    <mergeCell ref="A69:N69"/>
    <mergeCell ref="A70:N70"/>
    <mergeCell ref="A71:N71"/>
    <mergeCell ref="A72:N72"/>
  </mergeCells>
  <conditionalFormatting sqref="K30:K40">
    <cfRule type="expression" priority="2" aboveAverage="0" equalAverage="0" bottom="0" percent="0" rank="0" text="" dxfId="0">
      <formula>LEFT(K30,4)="BELI"</formula>
    </cfRule>
    <cfRule type="expression" priority="3" aboveAverage="0" equalAverage="0" bottom="0" percent="0" rank="0" text="" dxfId="1">
      <formula>LEFT(K30,5)="TAHAN"</formula>
    </cfRule>
    <cfRule type="expression" priority="4" aboveAverage="0" equalAverage="0" bottom="0" percent="0" rank="0" text="" dxfId="2">
      <formula>LEFT(K30,4)="JUAL"</formula>
    </cfRule>
    <cfRule type="expression" priority="5" aboveAverage="0" equalAverage="0" bottom="0" percent="0" rank="0" text="" dxfId="1">
      <formula>LEFT(K30,3)="CEK"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7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6" t="s">
        <v>148</v>
      </c>
    </row>
    <row r="5" customFormat="false" ht="43.5" hidden="false" customHeight="true" outlineLevel="0" collapsed="false">
      <c r="A5" s="8" t="s">
        <v>149</v>
      </c>
      <c r="B5" s="8" t="s">
        <v>150</v>
      </c>
      <c r="C5" s="8" t="s">
        <v>151</v>
      </c>
      <c r="D5" s="8" t="s">
        <v>152</v>
      </c>
      <c r="E5" s="8" t="s">
        <v>134</v>
      </c>
      <c r="F5" s="8" t="s">
        <v>153</v>
      </c>
      <c r="G5" s="8" t="s">
        <v>154</v>
      </c>
      <c r="H5" s="8" t="s">
        <v>155</v>
      </c>
      <c r="I5" s="8" t="s">
        <v>156</v>
      </c>
    </row>
    <row r="6" customFormat="false" ht="15" hidden="false" customHeight="false" outlineLevel="0" collapsed="false">
      <c r="A6" s="18" t="s">
        <v>157</v>
      </c>
      <c r="B6" s="10" t="n">
        <f aca="false">-SUMIFS(T_GL!$J$6:$J$4005,T_GL!$L$6:$L$4005,"Revenue - LB Main Product",T_GL!$A$6:$A$4005,"&gt;="&amp;(I_Parameter!$C$5-7),T_GL!$A$6:$A$4005,"&lt;="&amp;(I_Parameter!$C$5-1))</f>
        <v>687779970</v>
      </c>
      <c r="C6" s="10" t="n">
        <f aca="false">-SUMIFS(T_GL!$J$6:$J$4005,T_GL!$L$6:$L$4005,"Revenue - LB Main Product",T_GL!$A$6:$A$4005,"&gt;="&amp;I_Parameter!$C$5,T_GL!$A$6:$A$4005,"&lt;="&amp;(I_Parameter!$C$4-1))</f>
        <v>342934170</v>
      </c>
      <c r="D6" s="10" t="n">
        <f aca="false">SUMIFS(T_Penjualan!$J$6:$J$1505,T_Penjualan!$N$6:$N$1505,"RPA",T_Penjualan!$O$6:$O$1505,"&lt;&gt;By-product",T_Penjualan!$B$6:$B$1505,"Order",T_Penjualan!$P$6:$P$1505,1)</f>
        <v>609920132.11</v>
      </c>
      <c r="E6" s="11" t="n">
        <f aca="false">C6+D6</f>
        <v>952854302.11</v>
      </c>
      <c r="F6" s="11" t="n">
        <f aca="false">E6-B6</f>
        <v>265074332.11</v>
      </c>
      <c r="G6" s="10" t="n">
        <f aca="false">-SUMIFS(T_GL!$J$6:$J$4005,T_GL!$L$6:$L$4005,"Revenue - LB Main Product",T_GL!$A$6:$A$4005,"&gt;="&amp;DATE(YEAR(I_Parameter!$C$4),MONTH(I_Parameter!$C$4),1),T_GL!$A$6:$A$4005,"&lt;="&amp;(I_Parameter!$C$4-1))</f>
        <v>1808448555</v>
      </c>
      <c r="H6" s="11" t="n">
        <f aca="false">G6+D6</f>
        <v>2418368687.11</v>
      </c>
      <c r="I6" s="19" t="s">
        <v>158</v>
      </c>
      <c r="J6" s="29"/>
    </row>
    <row r="7" customFormat="false" ht="15" hidden="false" customHeight="false" outlineLevel="0" collapsed="false">
      <c r="A7" s="18" t="s">
        <v>159</v>
      </c>
      <c r="B7" s="10" t="n">
        <f aca="false">-SUMIFS(T_GL!$J$6:$J$4005,T_GL!$L$6:$L$4005,"Revenue - LB By Product",T_GL!$A$6:$A$4005,"&gt;="&amp;(I_Parameter!$C$5-7),T_GL!$A$6:$A$4005,"&lt;="&amp;(I_Parameter!$C$5-1))</f>
        <v>22934700</v>
      </c>
      <c r="C7" s="10" t="n">
        <f aca="false">-SUMIFS(T_GL!$J$6:$J$4005,T_GL!$L$6:$L$4005,"Revenue - LB By Product",T_GL!$A$6:$A$4005,"&gt;="&amp;I_Parameter!$C$5,T_GL!$A$6:$A$4005,"&lt;="&amp;(I_Parameter!$C$4-1))</f>
        <v>6237550</v>
      </c>
      <c r="D7" s="10" t="n">
        <f aca="false">SUMIFS(T_Penjualan!$J$6:$J$1505,T_Penjualan!$N$6:$N$1505,"RPA",T_Penjualan!$O$6:$O$1505,"By-product",T_Penjualan!$B$6:$B$1505,"Order",T_Penjualan!$P$6:$P$1505,1)</f>
        <v>21693060.9</v>
      </c>
      <c r="E7" s="11" t="n">
        <f aca="false">C7+D7</f>
        <v>27930610.9</v>
      </c>
      <c r="F7" s="11" t="n">
        <f aca="false">E7-B7</f>
        <v>4995910.9</v>
      </c>
      <c r="G7" s="10" t="n">
        <f aca="false">-SUMIFS(T_GL!$J$6:$J$4005,T_GL!$L$6:$L$4005,"Revenue - LB By Product",T_GL!$A$6:$A$4005,"&gt;="&amp;DATE(YEAR(I_Parameter!$C$4),MONTH(I_Parameter!$C$4),1),T_GL!$A$6:$A$4005,"&lt;="&amp;(I_Parameter!$C$4-1))</f>
        <v>44484650</v>
      </c>
      <c r="H7" s="11" t="n">
        <f aca="false">G7+D7</f>
        <v>66177710.9</v>
      </c>
      <c r="I7" s="19" t="s">
        <v>160</v>
      </c>
    </row>
    <row r="8" customFormat="false" ht="15" hidden="false" customHeight="false" outlineLevel="0" collapsed="false">
      <c r="A8" s="18" t="s">
        <v>161</v>
      </c>
      <c r="B8" s="10" t="n">
        <f aca="false">-SUMIFS(T_GL!$J$6:$J$4005,T_GL!$L$6:$L$4005,"Revenue - Trading",T_GL!$A$6:$A$4005,"&gt;="&amp;(I_Parameter!$C$5-7),T_GL!$A$6:$A$4005,"&lt;="&amp;(I_Parameter!$C$5-1))</f>
        <v>861591700</v>
      </c>
      <c r="C8" s="10" t="n">
        <f aca="false">-SUMIFS(T_GL!$J$6:$J$4005,T_GL!$L$6:$L$4005,"Revenue - Trading",T_GL!$A$6:$A$4005,"&gt;="&amp;I_Parameter!$C$5,T_GL!$A$6:$A$4005,"&lt;="&amp;(I_Parameter!$C$4-1))</f>
        <v>239801150</v>
      </c>
      <c r="D8" s="10" t="n">
        <f aca="false">SUMIFS(T_Penjualan!$J$6:$J$1505,T_Penjualan!$N$6:$N$1505,"Trading",T_Penjualan!$B$6:$B$1505,"Order",T_Penjualan!$P$6:$P$1505,1)</f>
        <v>436212267.39</v>
      </c>
      <c r="E8" s="11" t="n">
        <f aca="false">C8+D8</f>
        <v>676013417.39</v>
      </c>
      <c r="F8" s="11" t="n">
        <f aca="false">E8-B8</f>
        <v>-185578282.61</v>
      </c>
      <c r="G8" s="10" t="n">
        <f aca="false">-SUMIFS(T_GL!$J$6:$J$4005,T_GL!$L$6:$L$4005,"Revenue - Trading",T_GL!$A$6:$A$4005,"&gt;="&amp;DATE(YEAR(I_Parameter!$C$4),MONTH(I_Parameter!$C$4),1),T_GL!$A$6:$A$4005,"&lt;="&amp;(I_Parameter!$C$4-1))</f>
        <v>4532942834</v>
      </c>
      <c r="H8" s="11" t="n">
        <f aca="false">G8+D8</f>
        <v>4969155101.39</v>
      </c>
      <c r="I8" s="19" t="s">
        <v>162</v>
      </c>
    </row>
    <row r="9" customFormat="false" ht="15" hidden="false" customHeight="false" outlineLevel="0" collapsed="false">
      <c r="A9" s="14" t="s">
        <v>163</v>
      </c>
      <c r="B9" s="15" t="n">
        <f aca="false">SUM(B6:B8)</f>
        <v>1572306370</v>
      </c>
      <c r="C9" s="15" t="n">
        <f aca="false">SUM(C6:C8)</f>
        <v>588972870</v>
      </c>
      <c r="D9" s="15" t="n">
        <f aca="false">SUM(D6:D8)</f>
        <v>1067825460.4</v>
      </c>
      <c r="E9" s="15" t="n">
        <f aca="false">SUM(E6:E8)</f>
        <v>1656798330.4</v>
      </c>
      <c r="F9" s="15" t="n">
        <f aca="false">SUM(F6:F8)</f>
        <v>84491960.4000001</v>
      </c>
      <c r="G9" s="15" t="n">
        <f aca="false">SUM(G6:G8)</f>
        <v>6385876039</v>
      </c>
      <c r="H9" s="15" t="n">
        <f aca="false">SUM(H6:H8)</f>
        <v>7453701499.4</v>
      </c>
    </row>
    <row r="10" customFormat="false" ht="15" hidden="false" customHeight="false" outlineLevel="0" collapsed="false">
      <c r="A10" s="18" t="s">
        <v>164</v>
      </c>
      <c r="B10" s="10" t="n">
        <f aca="false">-SUMIFS(T_GL!$J$6:$J$4005,T_GL!$L$6:$L$4005,"COGS - Live Bird",T_GL!$A$6:$A$4005,"&gt;="&amp;(I_Parameter!$C$5-7),T_GL!$A$6:$A$4005,"&lt;="&amp;(I_Parameter!$C$5-1))</f>
        <v>-710684738.72</v>
      </c>
      <c r="C10" s="10" t="n">
        <f aca="false">-SUMIFS(T_GL!$J$6:$J$4005,T_GL!$L$6:$L$4005,"COGS - Live Bird",T_GL!$A$6:$A$4005,"&gt;="&amp;I_Parameter!$C$5,T_GL!$A$6:$A$4005,"&lt;="&amp;(I_Parameter!$C$4-1))</f>
        <v>-354214950.93</v>
      </c>
      <c r="D10" s="10" t="n">
        <f aca="false">-SUMIFS(T_Penjualan!$L$6:$L$1505,T_Penjualan!$N$6:$N$1505,"RPA",T_Penjualan!$B$6:$B$1505,"Order",T_Penjualan!$P$6:$P$1505,1)</f>
        <v>-683905993.865249</v>
      </c>
      <c r="E10" s="11" t="n">
        <f aca="false">C10+D10</f>
        <v>-1038120944.79525</v>
      </c>
      <c r="F10" s="11" t="n">
        <f aca="false">E10-B10</f>
        <v>-327436206.075249</v>
      </c>
      <c r="G10" s="10" t="n">
        <f aca="false">-SUMIFS(T_GL!$J$6:$J$4005,T_GL!$L$6:$L$4005,"COGS - Live Bird",T_GL!$A$6:$A$4005,"&gt;="&amp;DATE(YEAR(I_Parameter!$C$4),MONTH(I_Parameter!$C$4),1),T_GL!$A$6:$A$4005,"&lt;="&amp;(I_Parameter!$C$4-1))</f>
        <v>-1855198086.52</v>
      </c>
      <c r="H10" s="11" t="n">
        <f aca="false">G10+D10</f>
        <v>-2539104080.38525</v>
      </c>
      <c r="I10" s="19" t="s">
        <v>165</v>
      </c>
    </row>
    <row r="11" customFormat="false" ht="15" hidden="false" customHeight="false" outlineLevel="0" collapsed="false">
      <c r="A11" s="18" t="s">
        <v>166</v>
      </c>
      <c r="B11" s="10" t="n">
        <f aca="false">-SUMIFS(T_GL!$J$6:$J$4005,T_GL!$L$6:$L$4005,"COGS - Trading",T_GL!$A$6:$A$4005,"&gt;="&amp;(I_Parameter!$C$5-7),T_GL!$A$6:$A$4005,"&lt;="&amp;(I_Parameter!$C$5-1))</f>
        <v>-825946106.67</v>
      </c>
      <c r="C11" s="10" t="n">
        <f aca="false">-SUMIFS(T_GL!$J$6:$J$4005,T_GL!$L$6:$L$4005,"COGS - Trading",T_GL!$A$6:$A$4005,"&gt;="&amp;I_Parameter!$C$5,T_GL!$A$6:$A$4005,"&lt;="&amp;(I_Parameter!$C$4-1))</f>
        <v>-212789914.92</v>
      </c>
      <c r="D11" s="10" t="n">
        <f aca="false">-SUMIFS(T_Penjualan!$L$6:$L$1505,T_Penjualan!$N$6:$N$1505,"Trading",T_Penjualan!$B$6:$B$1505,"Order",T_Penjualan!$P$6:$P$1505,1)</f>
        <v>-436456824.106397</v>
      </c>
      <c r="E11" s="11" t="n">
        <f aca="false">C11+D11</f>
        <v>-649246739.026397</v>
      </c>
      <c r="F11" s="11" t="n">
        <f aca="false">E11-B11</f>
        <v>176699367.643603</v>
      </c>
      <c r="G11" s="10" t="n">
        <f aca="false">-SUMIFS(T_GL!$J$6:$J$4005,T_GL!$L$6:$L$4005,"COGS - Trading",T_GL!$A$6:$A$4005,"&gt;="&amp;DATE(YEAR(I_Parameter!$C$4),MONTH(I_Parameter!$C$4),1),T_GL!$A$6:$A$4005,"&lt;="&amp;(I_Parameter!$C$4-1))</f>
        <v>-4083271967.64</v>
      </c>
      <c r="H11" s="11" t="n">
        <f aca="false">G11+D11</f>
        <v>-4519728791.7464</v>
      </c>
      <c r="I11" s="19" t="s">
        <v>167</v>
      </c>
    </row>
    <row r="12" customFormat="false" ht="15" hidden="false" customHeight="false" outlineLevel="0" collapsed="false">
      <c r="A12" s="18" t="s">
        <v>168</v>
      </c>
      <c r="B12" s="10" t="n">
        <f aca="false">-SUMIFS(T_GL!$J$6:$J$4005,T_GL!$L$6:$L$4005,"Other COGS - Expedition",T_GL!$A$6:$A$4005,"&gt;="&amp;(I_Parameter!$C$5-7),T_GL!$A$6:$A$4005,"&lt;="&amp;(I_Parameter!$C$5-1))</f>
        <v>-29000000</v>
      </c>
      <c r="C12" s="10" t="n">
        <f aca="false">-SUMIFS(T_GL!$J$6:$J$4005,T_GL!$L$6:$L$4005,"Other COGS - Expedition",T_GL!$A$6:$A$4005,"&gt;="&amp;I_Parameter!$C$5,T_GL!$A$6:$A$4005,"&lt;="&amp;(I_Parameter!$C$4-1))</f>
        <v>-17000000</v>
      </c>
      <c r="D12" s="10" t="n">
        <f aca="false">-(I_RunRate!$B$6*((I_Parameter!$C$6-I_Parameter!$C$4+1)/DAY(EOMONTH(I_Parameter!$C$4,0)))+I_RunRate!$C$6)</f>
        <v>-3592975.22580645</v>
      </c>
      <c r="E12" s="11" t="n">
        <f aca="false">C12+D12</f>
        <v>-20592975.2258065</v>
      </c>
      <c r="F12" s="11" t="n">
        <f aca="false">E12-B12</f>
        <v>8407024.77419355</v>
      </c>
      <c r="G12" s="10" t="n">
        <f aca="false">-SUMIFS(T_GL!$J$6:$J$4005,T_GL!$L$6:$L$4005,"Other COGS - Expedition",T_GL!$A$6:$A$4005,"&gt;="&amp;DATE(YEAR(I_Parameter!$C$4),MONTH(I_Parameter!$C$4),1),T_GL!$A$6:$A$4005,"&lt;="&amp;(I_Parameter!$C$4-1))</f>
        <v>-76800000</v>
      </c>
      <c r="H12" s="11" t="n">
        <f aca="false">G12+D12</f>
        <v>-80392975.2258064</v>
      </c>
      <c r="I12" s="19" t="s">
        <v>169</v>
      </c>
    </row>
    <row r="13" customFormat="false" ht="15" hidden="false" customHeight="false" outlineLevel="0" collapsed="false">
      <c r="A13" s="18" t="s">
        <v>170</v>
      </c>
      <c r="B13" s="10" t="n">
        <f aca="false">-SUMIFS(T_GL!$J$6:$J$4005,T_GL!$L$6:$L$4005,"COGS - Blasting",T_GL!$A$6:$A$4005,"&gt;="&amp;(I_Parameter!$C$5-7),T_GL!$A$6:$A$4005,"&lt;="&amp;(I_Parameter!$C$5-1))</f>
        <v>-10858005</v>
      </c>
      <c r="C13" s="10" t="n">
        <f aca="false">-SUMIFS(T_GL!$J$6:$J$4005,T_GL!$L$6:$L$4005,"COGS - Blasting",T_GL!$A$6:$A$4005,"&gt;="&amp;I_Parameter!$C$5,T_GL!$A$6:$A$4005,"&lt;="&amp;(I_Parameter!$C$4-1))</f>
        <v>-4525920</v>
      </c>
      <c r="D13" s="10" t="n">
        <f aca="false">-(I_RunRate!$B$7*((I_Parameter!$C$6-I_Parameter!$C$4+1)/DAY(EOMONTH(I_Parameter!$C$4,0)))+I_RunRate!$C$7)</f>
        <v>-11839860.6451613</v>
      </c>
      <c r="E13" s="11" t="n">
        <f aca="false">C13+D13</f>
        <v>-16365780.6451613</v>
      </c>
      <c r="F13" s="11" t="n">
        <f aca="false">E13-B13</f>
        <v>-5507775.64516129</v>
      </c>
      <c r="G13" s="10" t="n">
        <f aca="false">-SUMIFS(T_GL!$J$6:$J$4005,T_GL!$L$6:$L$4005,"COGS - Blasting",T_GL!$A$6:$A$4005,"&gt;="&amp;DATE(YEAR(I_Parameter!$C$4),MONTH(I_Parameter!$C$4),1),T_GL!$A$6:$A$4005,"&lt;="&amp;(I_Parameter!$C$4-1))</f>
        <v>-23202730</v>
      </c>
      <c r="H13" s="11" t="n">
        <f aca="false">G13+D13</f>
        <v>-35042590.6451613</v>
      </c>
      <c r="I13" s="19" t="s">
        <v>169</v>
      </c>
    </row>
    <row r="14" customFormat="false" ht="15" hidden="false" customHeight="false" outlineLevel="0" collapsed="false">
      <c r="A14" s="14" t="s">
        <v>171</v>
      </c>
      <c r="B14" s="15" t="n">
        <f aca="false">SUM(B10:B13)</f>
        <v>-1576488850.39</v>
      </c>
      <c r="C14" s="15" t="n">
        <f aca="false">SUM(C10:C13)</f>
        <v>-588530785.85</v>
      </c>
      <c r="D14" s="15" t="n">
        <f aca="false">SUM(D10:D13)</f>
        <v>-1135795653.84261</v>
      </c>
      <c r="E14" s="15" t="n">
        <f aca="false">SUM(E10:E13)</f>
        <v>-1724326439.69261</v>
      </c>
      <c r="F14" s="15" t="n">
        <f aca="false">SUM(F10:F13)</f>
        <v>-147837589.302614</v>
      </c>
      <c r="G14" s="15" t="n">
        <f aca="false">SUM(G10:G13)</f>
        <v>-6038472784.16</v>
      </c>
      <c r="H14" s="15" t="n">
        <f aca="false">SUM(H10:H13)</f>
        <v>-7174268438.00261</v>
      </c>
    </row>
    <row r="15" customFormat="false" ht="15" hidden="false" customHeight="false" outlineLevel="0" collapsed="false">
      <c r="A15" s="21" t="s">
        <v>172</v>
      </c>
      <c r="B15" s="30" t="n">
        <f aca="false">B9+B14</f>
        <v>-4182480.38999987</v>
      </c>
      <c r="C15" s="30" t="n">
        <f aca="false">C9+C14</f>
        <v>442084.149999976</v>
      </c>
      <c r="D15" s="30" t="n">
        <f aca="false">D9+D14</f>
        <v>-67970193.4426141</v>
      </c>
      <c r="E15" s="30" t="n">
        <f aca="false">E9+E14</f>
        <v>-67528109.292614</v>
      </c>
      <c r="F15" s="30" t="n">
        <f aca="false">F9+F14</f>
        <v>-63345628.902614</v>
      </c>
      <c r="G15" s="30" t="n">
        <f aca="false">G9+G14</f>
        <v>347403254.84</v>
      </c>
      <c r="H15" s="30" t="n">
        <f aca="false">H9+H14</f>
        <v>279433061.397387</v>
      </c>
    </row>
    <row r="16" customFormat="false" ht="15" hidden="false" customHeight="false" outlineLevel="0" collapsed="false">
      <c r="A16" s="18" t="s">
        <v>173</v>
      </c>
      <c r="B16" s="13" t="n">
        <f aca="false">IF(B9=0,0,B15/B9)</f>
        <v>-0.00266009250474503</v>
      </c>
      <c r="C16" s="13" t="n">
        <f aca="false">IF(C9=0,0,C15/C9)</f>
        <v>0.00075060189105141</v>
      </c>
      <c r="D16" s="13" t="n">
        <f aca="false">IF(D9=0,0,D15/D9)</f>
        <v>-0.0636529058008721</v>
      </c>
      <c r="E16" s="13" t="n">
        <f aca="false">IF(E9=0,0,E15/E9)</f>
        <v>-0.0407581949194207</v>
      </c>
      <c r="F16" s="13" t="n">
        <f aca="false">IF(F9=0,0,F15/F9)</f>
        <v>-0.749723744161272</v>
      </c>
      <c r="G16" s="13" t="n">
        <f aca="false">IF(G9=0,0,G15/G9)</f>
        <v>0.0544018162454657</v>
      </c>
      <c r="H16" s="13" t="n">
        <f aca="false">IF(H9=0,0,H15/H9)</f>
        <v>0.0374891671500234</v>
      </c>
    </row>
    <row r="17" customFormat="false" ht="15" hidden="false" customHeight="false" outlineLevel="0" collapsed="false">
      <c r="A17" s="18" t="s">
        <v>174</v>
      </c>
      <c r="B17" s="10" t="n">
        <f aca="false">-SUMIFS(T_GL!$J$6:$J$4005,T_GL!$L$6:$L$4005,"Delivery Expenses",T_GL!$A$6:$A$4005,"&gt;="&amp;(I_Parameter!$C$5-7),T_GL!$A$6:$A$4005,"&lt;="&amp;(I_Parameter!$C$5-1))</f>
        <v>-10976006</v>
      </c>
      <c r="C17" s="10" t="n">
        <f aca="false">-SUMIFS(T_GL!$J$6:$J$4005,T_GL!$L$6:$L$4005,"Delivery Expenses",T_GL!$A$6:$A$4005,"&gt;="&amp;I_Parameter!$C$5,T_GL!$A$6:$A$4005,"&lt;="&amp;(I_Parameter!$C$4-1))</f>
        <v>-1400000</v>
      </c>
      <c r="D17" s="10" t="n">
        <f aca="false">-(I_RunRate!$B$8*((I_Parameter!$C$6-I_Parameter!$C$4+1)/DAY(EOMONTH(I_Parameter!$C$4,0)))+I_RunRate!$C$8)</f>
        <v>-1987096.77419355</v>
      </c>
      <c r="E17" s="11" t="n">
        <f aca="false">C17+D17</f>
        <v>-3387096.77419355</v>
      </c>
      <c r="F17" s="11" t="n">
        <f aca="false">E17-B17</f>
        <v>7588909.22580645</v>
      </c>
      <c r="G17" s="10" t="n">
        <f aca="false">-SUMIFS(T_GL!$J$6:$J$4005,T_GL!$L$6:$L$4005,"Delivery Expenses",T_GL!$A$6:$A$4005,"&gt;="&amp;DATE(YEAR(I_Parameter!$C$4),MONTH(I_Parameter!$C$4),1),T_GL!$A$6:$A$4005,"&lt;="&amp;(I_Parameter!$C$4-1))</f>
        <v>-38821994</v>
      </c>
      <c r="H17" s="11" t="n">
        <f aca="false">G17+D17</f>
        <v>-40809090.7741936</v>
      </c>
      <c r="I17" s="19" t="s">
        <v>169</v>
      </c>
    </row>
    <row r="18" customFormat="false" ht="15" hidden="false" customHeight="false" outlineLevel="0" collapsed="false">
      <c r="A18" s="18" t="s">
        <v>175</v>
      </c>
      <c r="B18" s="10" t="n">
        <f aca="false">-SUMIFS(T_GL!$J$6:$J$4005,T_GL!$L$6:$L$4005,"Commission Expenses",T_GL!$A$6:$A$4005,"&gt;="&amp;(I_Parameter!$C$5-7),T_GL!$A$6:$A$4005,"&lt;="&amp;(I_Parameter!$C$5-1))</f>
        <v>-0</v>
      </c>
      <c r="C18" s="10" t="n">
        <f aca="false">-SUMIFS(T_GL!$J$6:$J$4005,T_GL!$L$6:$L$4005,"Commission Expenses",T_GL!$A$6:$A$4005,"&gt;="&amp;I_Parameter!$C$5,T_GL!$A$6:$A$4005,"&lt;="&amp;(I_Parameter!$C$4-1))</f>
        <v>-0</v>
      </c>
      <c r="D18" s="10" t="n">
        <f aca="false">-(I_RunRate!$B$9*((I_Parameter!$C$6-I_Parameter!$C$4+1)/DAY(EOMONTH(I_Parameter!$C$4,0)))+I_RunRate!$C$9)</f>
        <v>-467040.774193548</v>
      </c>
      <c r="E18" s="11" t="n">
        <f aca="false">C18+D18</f>
        <v>-467040.774193548</v>
      </c>
      <c r="F18" s="11" t="n">
        <f aca="false">E18-B18</f>
        <v>-467040.774193548</v>
      </c>
      <c r="G18" s="10" t="n">
        <f aca="false">-SUMIFS(T_GL!$J$6:$J$4005,T_GL!$L$6:$L$4005,"Commission Expenses",T_GL!$A$6:$A$4005,"&gt;="&amp;DATE(YEAR(I_Parameter!$C$4),MONTH(I_Parameter!$C$4),1),T_GL!$A$6:$A$4005,"&lt;="&amp;(I_Parameter!$C$4-1))</f>
        <v>-962000</v>
      </c>
      <c r="H18" s="11" t="n">
        <f aca="false">G18+D18</f>
        <v>-1429040.77419355</v>
      </c>
      <c r="I18" s="19" t="s">
        <v>169</v>
      </c>
    </row>
    <row r="19" customFormat="false" ht="15" hidden="false" customHeight="false" outlineLevel="0" collapsed="false">
      <c r="A19" s="18" t="s">
        <v>176</v>
      </c>
      <c r="B19" s="10" t="n">
        <f aca="false">-SUMIFS(T_GL!$J$6:$J$4005,T_GL!$L$6:$L$4005,"Packaging",T_GL!$A$6:$A$4005,"&gt;="&amp;(I_Parameter!$C$5-7),T_GL!$A$6:$A$4005,"&lt;="&amp;(I_Parameter!$C$5-1))</f>
        <v>-742255</v>
      </c>
      <c r="C19" s="10" t="n">
        <f aca="false">-SUMIFS(T_GL!$J$6:$J$4005,T_GL!$L$6:$L$4005,"Packaging",T_GL!$A$6:$A$4005,"&gt;="&amp;I_Parameter!$C$5,T_GL!$A$6:$A$4005,"&lt;="&amp;(I_Parameter!$C$4-1))</f>
        <v>-0</v>
      </c>
      <c r="D19" s="10" t="n">
        <f aca="false">-(I_RunRate!$B$10*((I_Parameter!$C$6-I_Parameter!$C$4+1)/DAY(EOMONTH(I_Parameter!$C$4,0)))+I_RunRate!$C$10)</f>
        <v>-5021905.29032258</v>
      </c>
      <c r="E19" s="11" t="n">
        <f aca="false">C19+D19</f>
        <v>-5021905.29032258</v>
      </c>
      <c r="F19" s="11" t="n">
        <f aca="false">E19-B19</f>
        <v>-4279650.29032258</v>
      </c>
      <c r="G19" s="10" t="n">
        <f aca="false">-SUMIFS(T_GL!$J$6:$J$4005,T_GL!$L$6:$L$4005,"Packaging",T_GL!$A$6:$A$4005,"&gt;="&amp;DATE(YEAR(I_Parameter!$C$4),MONTH(I_Parameter!$C$4),1),T_GL!$A$6:$A$4005,"&lt;="&amp;(I_Parameter!$C$4-1))</f>
        <v>-11226650</v>
      </c>
      <c r="H19" s="11" t="n">
        <f aca="false">G19+D19</f>
        <v>-16248555.2903226</v>
      </c>
      <c r="I19" s="19" t="s">
        <v>169</v>
      </c>
    </row>
    <row r="20" customFormat="false" ht="15" hidden="false" customHeight="false" outlineLevel="0" collapsed="false">
      <c r="A20" s="18" t="s">
        <v>177</v>
      </c>
      <c r="B20" s="10" t="n">
        <f aca="false">-SUMIFS(T_GL!$J$6:$J$4005,T_GL!$L$6:$L$4005,"Salaries and allowance",T_GL!$A$6:$A$4005,"&gt;="&amp;(I_Parameter!$C$5-7),T_GL!$A$6:$A$4005,"&lt;="&amp;(I_Parameter!$C$5-1))</f>
        <v>-0</v>
      </c>
      <c r="C20" s="10" t="n">
        <f aca="false">-SUMIFS(T_GL!$J$6:$J$4005,T_GL!$L$6:$L$4005,"Salaries and allowance",T_GL!$A$6:$A$4005,"&gt;="&amp;I_Parameter!$C$5,T_GL!$A$6:$A$4005,"&lt;="&amp;(I_Parameter!$C$4-1))</f>
        <v>-0</v>
      </c>
      <c r="D20" s="10" t="n">
        <f aca="false">-(I_RunRate!$B$11*((I_Parameter!$C$6-I_Parameter!$C$4+1)/DAY(EOMONTH(I_Parameter!$C$4,0)))+I_RunRate!$C$11)</f>
        <v>-6733725.03225806</v>
      </c>
      <c r="E20" s="11" t="n">
        <f aca="false">C20+D20</f>
        <v>-6733725.03225806</v>
      </c>
      <c r="F20" s="11" t="n">
        <f aca="false">E20-B20</f>
        <v>-6733725.03225806</v>
      </c>
      <c r="G20" s="10" t="n">
        <f aca="false">-SUMIFS(T_GL!$J$6:$J$4005,T_GL!$L$6:$L$4005,"Salaries and allowance",T_GL!$A$6:$A$4005,"&gt;="&amp;DATE(YEAR(I_Parameter!$C$4),MONTH(I_Parameter!$C$4),1),T_GL!$A$6:$A$4005,"&lt;="&amp;(I_Parameter!$C$4-1))</f>
        <v>-0</v>
      </c>
      <c r="H20" s="11" t="n">
        <f aca="false">G20+D20</f>
        <v>-6733725.03225806</v>
      </c>
      <c r="I20" s="19" t="s">
        <v>169</v>
      </c>
    </row>
    <row r="21" customFormat="false" ht="15" hidden="false" customHeight="false" outlineLevel="0" collapsed="false">
      <c r="A21" s="18" t="s">
        <v>178</v>
      </c>
      <c r="B21" s="10" t="n">
        <f aca="false">-SUMIFS(T_GL!$J$6:$J$4005,T_GL!$L$6:$L$4005,"Storage Expenses",T_GL!$A$6:$A$4005,"&gt;="&amp;(I_Parameter!$C$5-7),T_GL!$A$6:$A$4005,"&lt;="&amp;(I_Parameter!$C$5-1))</f>
        <v>-81094312</v>
      </c>
      <c r="C21" s="10" t="n">
        <f aca="false">-SUMIFS(T_GL!$J$6:$J$4005,T_GL!$L$6:$L$4005,"Storage Expenses",T_GL!$A$6:$A$4005,"&gt;="&amp;I_Parameter!$C$5,T_GL!$A$6:$A$4005,"&lt;="&amp;(I_Parameter!$C$4-1))</f>
        <v>-0</v>
      </c>
      <c r="D21" s="10" t="n">
        <f aca="false">-(I_RunRate!$B$12*((I_Parameter!$C$6-I_Parameter!$C$4+1)/DAY(EOMONTH(I_Parameter!$C$4,0)))+I_RunRate!$C$12)</f>
        <v>-10620867.8709677</v>
      </c>
      <c r="E21" s="11" t="n">
        <f aca="false">C21+D21</f>
        <v>-10620867.8709677</v>
      </c>
      <c r="F21" s="11" t="n">
        <f aca="false">E21-B21</f>
        <v>70473444.1290323</v>
      </c>
      <c r="G21" s="10" t="n">
        <f aca="false">-SUMIFS(T_GL!$J$6:$J$4005,T_GL!$L$6:$L$4005,"Storage Expenses",T_GL!$A$6:$A$4005,"&gt;="&amp;DATE(YEAR(I_Parameter!$C$4),MONTH(I_Parameter!$C$4),1),T_GL!$A$6:$A$4005,"&lt;="&amp;(I_Parameter!$C$4-1))</f>
        <v>-89014384</v>
      </c>
      <c r="H21" s="11" t="n">
        <f aca="false">G21+D21</f>
        <v>-99635251.8709678</v>
      </c>
      <c r="I21" s="19" t="s">
        <v>169</v>
      </c>
    </row>
    <row r="22" customFormat="false" ht="15" hidden="false" customHeight="false" outlineLevel="0" collapsed="false">
      <c r="A22" s="18" t="s">
        <v>179</v>
      </c>
      <c r="B22" s="10" t="n">
        <f aca="false">-SUMIFS(T_GL!$J$6:$J$4005,T_GL!$L$6:$L$4005,"Office Transportation expenses",T_GL!$A$6:$A$4005,"&gt;="&amp;(I_Parameter!$C$5-7),T_GL!$A$6:$A$4005,"&lt;="&amp;(I_Parameter!$C$5-1))</f>
        <v>-7012864</v>
      </c>
      <c r="C22" s="10" t="n">
        <f aca="false">-SUMIFS(T_GL!$J$6:$J$4005,T_GL!$L$6:$L$4005,"Office Transportation expenses",T_GL!$A$6:$A$4005,"&gt;="&amp;I_Parameter!$C$5,T_GL!$A$6:$A$4005,"&lt;="&amp;(I_Parameter!$C$4-1))</f>
        <v>-0</v>
      </c>
      <c r="D22" s="10" t="n">
        <f aca="false">-(I_RunRate!$B$13*((I_Parameter!$C$6-I_Parameter!$C$4+1)/DAY(EOMONTH(I_Parameter!$C$4,0)))+I_RunRate!$C$13)</f>
        <v>-2433326.96774194</v>
      </c>
      <c r="E22" s="11" t="n">
        <f aca="false">C22+D22</f>
        <v>-2433326.96774194</v>
      </c>
      <c r="F22" s="11" t="n">
        <f aca="false">E22-B22</f>
        <v>4579537.03225806</v>
      </c>
      <c r="G22" s="10" t="n">
        <f aca="false">-SUMIFS(T_GL!$J$6:$J$4005,T_GL!$L$6:$L$4005,"Office Transportation expenses",T_GL!$A$6:$A$4005,"&gt;="&amp;DATE(YEAR(I_Parameter!$C$4),MONTH(I_Parameter!$C$4),1),T_GL!$A$6:$A$4005,"&lt;="&amp;(I_Parameter!$C$4-1))</f>
        <v>-23102127</v>
      </c>
      <c r="H22" s="11" t="n">
        <f aca="false">G22+D22</f>
        <v>-25535453.9677419</v>
      </c>
      <c r="I22" s="19" t="s">
        <v>169</v>
      </c>
    </row>
    <row r="23" customFormat="false" ht="15" hidden="false" customHeight="false" outlineLevel="0" collapsed="false">
      <c r="A23" s="18" t="s">
        <v>180</v>
      </c>
      <c r="B23" s="10" t="n">
        <f aca="false">-SUMIFS(T_GL!$J$6:$J$4005,T_GL!$L$6:$L$4005,"Rent Expenses",T_GL!$A$6:$A$4005,"&gt;="&amp;(I_Parameter!$C$5-7),T_GL!$A$6:$A$4005,"&lt;="&amp;(I_Parameter!$C$5-1))</f>
        <v>-0</v>
      </c>
      <c r="C23" s="10" t="n">
        <f aca="false">-SUMIFS(T_GL!$J$6:$J$4005,T_GL!$L$6:$L$4005,"Rent Expenses",T_GL!$A$6:$A$4005,"&gt;="&amp;I_Parameter!$C$5,T_GL!$A$6:$A$4005,"&lt;="&amp;(I_Parameter!$C$4-1))</f>
        <v>-0</v>
      </c>
      <c r="D23" s="10" t="n">
        <f aca="false">-(I_RunRate!$B$14*((I_Parameter!$C$6-I_Parameter!$C$4+1)/DAY(EOMONTH(I_Parameter!$C$4,0)))+I_RunRate!$C$14)</f>
        <v>-424196.903225806</v>
      </c>
      <c r="E23" s="11" t="n">
        <f aca="false">C23+D23</f>
        <v>-424196.903225806</v>
      </c>
      <c r="F23" s="11" t="n">
        <f aca="false">E23-B23</f>
        <v>-424196.903225806</v>
      </c>
      <c r="G23" s="10" t="n">
        <f aca="false">-SUMIFS(T_GL!$J$6:$J$4005,T_GL!$L$6:$L$4005,"Rent Expenses",T_GL!$A$6:$A$4005,"&gt;="&amp;DATE(YEAR(I_Parameter!$C$4),MONTH(I_Parameter!$C$4),1),T_GL!$A$6:$A$4005,"&lt;="&amp;(I_Parameter!$C$4-1))</f>
        <v>-0</v>
      </c>
      <c r="H23" s="11" t="n">
        <f aca="false">G23+D23</f>
        <v>-424196.903225806</v>
      </c>
      <c r="I23" s="19" t="s">
        <v>169</v>
      </c>
    </row>
    <row r="24" customFormat="false" ht="15" hidden="false" customHeight="false" outlineLevel="0" collapsed="false">
      <c r="A24" s="18" t="s">
        <v>181</v>
      </c>
      <c r="B24" s="10" t="n">
        <f aca="false">-SUMIFS(T_GL!$J$6:$J$4005,T_GL!$L$6:$L$4005,"Professional Fee",T_GL!$A$6:$A$4005,"&gt;="&amp;(I_Parameter!$C$5-7),T_GL!$A$6:$A$4005,"&lt;="&amp;(I_Parameter!$C$5-1))</f>
        <v>-2564102</v>
      </c>
      <c r="C24" s="10" t="n">
        <f aca="false">-SUMIFS(T_GL!$J$6:$J$4005,T_GL!$L$6:$L$4005,"Professional Fee",T_GL!$A$6:$A$4005,"&gt;="&amp;I_Parameter!$C$5,T_GL!$A$6:$A$4005,"&lt;="&amp;(I_Parameter!$C$4-1))</f>
        <v>-7692308</v>
      </c>
      <c r="D24" s="10" t="n">
        <f aca="false">-(I_RunRate!$B$15*((I_Parameter!$C$6-I_Parameter!$C$4+1)/DAY(EOMONTH(I_Parameter!$C$4,0)))+I_RunRate!$C$15)</f>
        <v>-0</v>
      </c>
      <c r="E24" s="11" t="n">
        <f aca="false">C24+D24</f>
        <v>-7692308</v>
      </c>
      <c r="F24" s="11" t="n">
        <f aca="false">E24-B24</f>
        <v>-5128206</v>
      </c>
      <c r="G24" s="10" t="n">
        <f aca="false">-SUMIFS(T_GL!$J$6:$J$4005,T_GL!$L$6:$L$4005,"Professional Fee",T_GL!$A$6:$A$4005,"&gt;="&amp;DATE(YEAR(I_Parameter!$C$4),MONTH(I_Parameter!$C$4),1),T_GL!$A$6:$A$4005,"&lt;="&amp;(I_Parameter!$C$4-1))</f>
        <v>-10256410</v>
      </c>
      <c r="H24" s="11" t="n">
        <f aca="false">G24+D24</f>
        <v>-10256410</v>
      </c>
      <c r="I24" s="19" t="s">
        <v>169</v>
      </c>
    </row>
    <row r="25" customFormat="false" ht="15" hidden="false" customHeight="false" outlineLevel="0" collapsed="false">
      <c r="A25" s="18" t="s">
        <v>182</v>
      </c>
      <c r="B25" s="10" t="n">
        <f aca="false">-SUMIFS(T_GL!$J$6:$J$4005,T_GL!$L$6:$L$4005,"Office Supplies &amp; Utilities",T_GL!$A$6:$A$4005,"&gt;="&amp;(I_Parameter!$C$5-7),T_GL!$A$6:$A$4005,"&lt;="&amp;(I_Parameter!$C$5-1))</f>
        <v>-3034793</v>
      </c>
      <c r="C25" s="10" t="n">
        <f aca="false">-SUMIFS(T_GL!$J$6:$J$4005,T_GL!$L$6:$L$4005,"Office Supplies &amp; Utilities",T_GL!$A$6:$A$4005,"&gt;="&amp;I_Parameter!$C$5,T_GL!$A$6:$A$4005,"&lt;="&amp;(I_Parameter!$C$4-1))</f>
        <v>-0</v>
      </c>
      <c r="D25" s="10" t="n">
        <f aca="false">-(I_RunRate!$B$16*((I_Parameter!$C$6-I_Parameter!$C$4+1)/DAY(EOMONTH(I_Parameter!$C$4,0)))+I_RunRate!$C$16)</f>
        <v>-805045.161290323</v>
      </c>
      <c r="E25" s="11" t="n">
        <f aca="false">C25+D25</f>
        <v>-805045.161290323</v>
      </c>
      <c r="F25" s="11" t="n">
        <f aca="false">E25-B25</f>
        <v>2229747.83870968</v>
      </c>
      <c r="G25" s="10" t="n">
        <f aca="false">-SUMIFS(T_GL!$J$6:$J$4005,T_GL!$L$6:$L$4005,"Office Supplies &amp; Utilities",T_GL!$A$6:$A$4005,"&gt;="&amp;DATE(YEAR(I_Parameter!$C$4),MONTH(I_Parameter!$C$4),1),T_GL!$A$6:$A$4005,"&lt;="&amp;(I_Parameter!$C$4-1))</f>
        <v>-5508133</v>
      </c>
      <c r="H25" s="11" t="n">
        <f aca="false">G25+D25</f>
        <v>-6313178.16129032</v>
      </c>
      <c r="I25" s="19" t="s">
        <v>169</v>
      </c>
    </row>
    <row r="26" customFormat="false" ht="15" hidden="false" customHeight="false" outlineLevel="0" collapsed="false">
      <c r="A26" s="18" t="s">
        <v>183</v>
      </c>
      <c r="B26" s="10" t="n">
        <f aca="false">-SUMIFS(T_GL!$J$6:$J$4005,T_GL!$L$6:$L$4005,"Maintenance Expenses",T_GL!$A$6:$A$4005,"&gt;="&amp;(I_Parameter!$C$5-7),T_GL!$A$6:$A$4005,"&lt;="&amp;(I_Parameter!$C$5-1))</f>
        <v>-0</v>
      </c>
      <c r="C26" s="10" t="n">
        <f aca="false">-SUMIFS(T_GL!$J$6:$J$4005,T_GL!$L$6:$L$4005,"Maintenance Expenses",T_GL!$A$6:$A$4005,"&gt;="&amp;I_Parameter!$C$5,T_GL!$A$6:$A$4005,"&lt;="&amp;(I_Parameter!$C$4-1))</f>
        <v>-0</v>
      </c>
      <c r="D26" s="10" t="n">
        <f aca="false">-(I_RunRate!$B$17*((I_Parameter!$C$6-I_Parameter!$C$4+1)/DAY(EOMONTH(I_Parameter!$C$4,0)))+I_RunRate!$C$17)</f>
        <v>-0</v>
      </c>
      <c r="E26" s="11" t="n">
        <f aca="false">C26+D26</f>
        <v>-0</v>
      </c>
      <c r="F26" s="11" t="n">
        <f aca="false">E26-B26</f>
        <v>0</v>
      </c>
      <c r="G26" s="10" t="n">
        <f aca="false">-SUMIFS(T_GL!$J$6:$J$4005,T_GL!$L$6:$L$4005,"Maintenance Expenses",T_GL!$A$6:$A$4005,"&gt;="&amp;DATE(YEAR(I_Parameter!$C$4),MONTH(I_Parameter!$C$4),1),T_GL!$A$6:$A$4005,"&lt;="&amp;(I_Parameter!$C$4-1))</f>
        <v>-0</v>
      </c>
      <c r="H26" s="11" t="n">
        <f aca="false">G26+D26</f>
        <v>-0</v>
      </c>
      <c r="I26" s="19" t="s">
        <v>169</v>
      </c>
    </row>
    <row r="27" customFormat="false" ht="15" hidden="false" customHeight="false" outlineLevel="0" collapsed="false">
      <c r="A27" s="18" t="s">
        <v>184</v>
      </c>
      <c r="B27" s="10" t="n">
        <f aca="false">-SUMIFS(T_GL!$J$6:$J$4005,T_GL!$L$6:$L$4005,"Tax expenses",T_GL!$A$6:$A$4005,"&gt;="&amp;(I_Parameter!$C$5-7),T_GL!$A$6:$A$4005,"&lt;="&amp;(I_Parameter!$C$5-1))</f>
        <v>-1368362</v>
      </c>
      <c r="C27" s="10" t="n">
        <f aca="false">-SUMIFS(T_GL!$J$6:$J$4005,T_GL!$L$6:$L$4005,"Tax expenses",T_GL!$A$6:$A$4005,"&gt;="&amp;I_Parameter!$C$5,T_GL!$A$6:$A$4005,"&lt;="&amp;(I_Parameter!$C$4-1))</f>
        <v>-1392166</v>
      </c>
      <c r="D27" s="10" t="n">
        <f aca="false">-(I_RunRate!$B$18*((I_Parameter!$C$6-I_Parameter!$C$4+1)/DAY(EOMONTH(I_Parameter!$C$4,0)))+I_RunRate!$C$18)</f>
        <v>70092.1290322581</v>
      </c>
      <c r="E27" s="11" t="n">
        <f aca="false">C27+D27</f>
        <v>-1322073.87096774</v>
      </c>
      <c r="F27" s="11" t="n">
        <f aca="false">E27-B27</f>
        <v>46288.1290322579</v>
      </c>
      <c r="G27" s="10" t="n">
        <f aca="false">-SUMIFS(T_GL!$J$6:$J$4005,T_GL!$L$6:$L$4005,"Tax expenses",T_GL!$A$6:$A$4005,"&gt;="&amp;DATE(YEAR(I_Parameter!$C$4),MONTH(I_Parameter!$C$4),1),T_GL!$A$6:$A$4005,"&lt;="&amp;(I_Parameter!$C$4-1))</f>
        <v>-4998457.67</v>
      </c>
      <c r="H27" s="11" t="n">
        <f aca="false">G27+D27</f>
        <v>-4928365.54096774</v>
      </c>
      <c r="I27" s="19" t="s">
        <v>169</v>
      </c>
    </row>
    <row r="28" customFormat="false" ht="15" hidden="false" customHeight="false" outlineLevel="0" collapsed="false">
      <c r="A28" s="18" t="s">
        <v>185</v>
      </c>
      <c r="B28" s="10" t="n">
        <f aca="false">-SUMIFS(T_GL!$J$6:$J$4005,T_GL!$L$6:$L$4005,"Other operating expenses",T_GL!$A$6:$A$4005,"&gt;="&amp;(I_Parameter!$C$5-7),T_GL!$A$6:$A$4005,"&lt;="&amp;(I_Parameter!$C$5-1))</f>
        <v>-0</v>
      </c>
      <c r="C28" s="10" t="n">
        <f aca="false">-SUMIFS(T_GL!$J$6:$J$4005,T_GL!$L$6:$L$4005,"Other operating expenses",T_GL!$A$6:$A$4005,"&gt;="&amp;I_Parameter!$C$5,T_GL!$A$6:$A$4005,"&lt;="&amp;(I_Parameter!$C$4-1))</f>
        <v>-0</v>
      </c>
      <c r="D28" s="10" t="n">
        <f aca="false">-(I_RunRate!$B$19*((I_Parameter!$C$6-I_Parameter!$C$4+1)/DAY(EOMONTH(I_Parameter!$C$4,0)))+I_RunRate!$C$19)</f>
        <v>-0</v>
      </c>
      <c r="E28" s="11" t="n">
        <f aca="false">C28+D28</f>
        <v>-0</v>
      </c>
      <c r="F28" s="11" t="n">
        <f aca="false">E28-B28</f>
        <v>0</v>
      </c>
      <c r="G28" s="10" t="n">
        <f aca="false">-SUMIFS(T_GL!$J$6:$J$4005,T_GL!$L$6:$L$4005,"Other operating expenses",T_GL!$A$6:$A$4005,"&gt;="&amp;DATE(YEAR(I_Parameter!$C$4),MONTH(I_Parameter!$C$4),1),T_GL!$A$6:$A$4005,"&lt;="&amp;(I_Parameter!$C$4-1))</f>
        <v>-0</v>
      </c>
      <c r="H28" s="11" t="n">
        <f aca="false">G28+D28</f>
        <v>-0</v>
      </c>
      <c r="I28" s="19" t="s">
        <v>169</v>
      </c>
    </row>
    <row r="29" customFormat="false" ht="15" hidden="false" customHeight="false" outlineLevel="0" collapsed="false">
      <c r="A29" s="14" t="s">
        <v>186</v>
      </c>
      <c r="B29" s="15" t="n">
        <f aca="false">SUM(B17:B28)</f>
        <v>-106792694</v>
      </c>
      <c r="C29" s="15" t="n">
        <f aca="false">SUM(C17:C28)</f>
        <v>-10484474</v>
      </c>
      <c r="D29" s="15" t="n">
        <f aca="false">SUM(D17:D28)</f>
        <v>-28423112.6451613</v>
      </c>
      <c r="E29" s="15" t="n">
        <f aca="false">SUM(E17:E28)</f>
        <v>-38907586.6451613</v>
      </c>
      <c r="F29" s="15" t="n">
        <f aca="false">SUM(F17:F28)</f>
        <v>67885107.3548387</v>
      </c>
      <c r="G29" s="15" t="n">
        <f aca="false">SUM(G17:G28)</f>
        <v>-183890155.67</v>
      </c>
      <c r="H29" s="15" t="n">
        <f aca="false">SUM(H17:H28)</f>
        <v>-212313268.315161</v>
      </c>
    </row>
    <row r="30" customFormat="false" ht="15" hidden="false" customHeight="false" outlineLevel="0" collapsed="false">
      <c r="A30" s="21" t="s">
        <v>187</v>
      </c>
      <c r="B30" s="30" t="n">
        <f aca="false">B15+B29</f>
        <v>-110975174.39</v>
      </c>
      <c r="C30" s="30" t="n">
        <f aca="false">C15+C29</f>
        <v>-10042389.85</v>
      </c>
      <c r="D30" s="30" t="n">
        <f aca="false">D15+D29</f>
        <v>-96393306.0877754</v>
      </c>
      <c r="E30" s="30" t="n">
        <f aca="false">E15+E29</f>
        <v>-106435695.937775</v>
      </c>
      <c r="F30" s="30" t="n">
        <f aca="false">F15+F29</f>
        <v>4539478.4522247</v>
      </c>
      <c r="G30" s="30" t="n">
        <f aca="false">G15+G29</f>
        <v>163513099.17</v>
      </c>
      <c r="H30" s="30" t="n">
        <f aca="false">H15+H29</f>
        <v>67119793.0822253</v>
      </c>
    </row>
    <row r="31" customFormat="false" ht="15" hidden="false" customHeight="false" outlineLevel="0" collapsed="false">
      <c r="A31" s="18" t="s">
        <v>188</v>
      </c>
      <c r="B31" s="10" t="n">
        <f aca="false">-SUMIFS(T_GL!$J$6:$J$4005,T_GL!$L$6:$L$4005,"Interest Expense",T_GL!$A$6:$A$4005,"&gt;="&amp;(I_Parameter!$C$5-7),T_GL!$A$6:$A$4005,"&lt;="&amp;(I_Parameter!$C$5-1))</f>
        <v>-0</v>
      </c>
      <c r="C31" s="10" t="n">
        <f aca="false">-SUMIFS(T_GL!$J$6:$J$4005,T_GL!$L$6:$L$4005,"Interest Expense",T_GL!$A$6:$A$4005,"&gt;="&amp;I_Parameter!$C$5,T_GL!$A$6:$A$4005,"&lt;="&amp;(I_Parameter!$C$4-1))</f>
        <v>-0</v>
      </c>
      <c r="D31" s="10" t="n">
        <f aca="false">-(I_RunRate!$B$20*((I_Parameter!$C$6-I_Parameter!$C$4+1)/DAY(EOMONTH(I_Parameter!$C$4,0)))+I_RunRate!$C$20)</f>
        <v>-3153763.35483871</v>
      </c>
      <c r="E31" s="11" t="n">
        <f aca="false">C31+D31</f>
        <v>-3153763.35483871</v>
      </c>
      <c r="F31" s="11" t="n">
        <f aca="false">E31-B31</f>
        <v>-3153763.35483871</v>
      </c>
      <c r="G31" s="10" t="n">
        <f aca="false">-SUMIFS(T_GL!$J$6:$J$4005,T_GL!$L$6:$L$4005,"Interest Expense",T_GL!$A$6:$A$4005,"&gt;="&amp;DATE(YEAR(I_Parameter!$C$4),MONTH(I_Parameter!$C$4),1),T_GL!$A$6:$A$4005,"&lt;="&amp;(I_Parameter!$C$4-1))</f>
        <v>-0</v>
      </c>
      <c r="H31" s="11" t="n">
        <f aca="false">G31+D31</f>
        <v>-3153763.35483871</v>
      </c>
      <c r="I31" s="19" t="s">
        <v>169</v>
      </c>
    </row>
    <row r="32" customFormat="false" ht="15" hidden="false" customHeight="false" outlineLevel="0" collapsed="false">
      <c r="A32" s="18" t="s">
        <v>189</v>
      </c>
      <c r="B32" s="10" t="n">
        <f aca="false">-SUMIFS(T_GL!$J$6:$J$4005,T_GL!$L$6:$L$4005,"Other Income",T_GL!$A$6:$A$4005,"&gt;="&amp;(I_Parameter!$C$5-7),T_GL!$A$6:$A$4005,"&lt;="&amp;(I_Parameter!$C$5-1))</f>
        <v>19058.51</v>
      </c>
      <c r="C32" s="10" t="n">
        <f aca="false">-SUMIFS(T_GL!$J$6:$J$4005,T_GL!$L$6:$L$4005,"Other Income",T_GL!$A$6:$A$4005,"&gt;="&amp;I_Parameter!$C$5,T_GL!$A$6:$A$4005,"&lt;="&amp;(I_Parameter!$C$4-1))</f>
        <v>-0.21</v>
      </c>
      <c r="D32" s="10" t="n">
        <f aca="false">(I_RunRate!$B$21*((I_Parameter!$C$6-I_Parameter!$C$4+1)/DAY(EOMONTH(I_Parameter!$C$4,0)))+I_RunRate!$C$21)</f>
        <v>3401693.03225806</v>
      </c>
      <c r="E32" s="11" t="n">
        <f aca="false">C32+D32</f>
        <v>3401692.82225806</v>
      </c>
      <c r="F32" s="11" t="n">
        <f aca="false">E32-B32</f>
        <v>3382634.31225806</v>
      </c>
      <c r="G32" s="10" t="n">
        <f aca="false">-SUMIFS(T_GL!$J$6:$J$4005,T_GL!$L$6:$L$4005,"Other Income",T_GL!$A$6:$A$4005,"&gt;="&amp;DATE(YEAR(I_Parameter!$C$4),MONTH(I_Parameter!$C$4),1),T_GL!$A$6:$A$4005,"&lt;="&amp;(I_Parameter!$C$4-1))</f>
        <v>1753081.53</v>
      </c>
      <c r="H32" s="11" t="n">
        <f aca="false">G32+D32</f>
        <v>5154774.56225807</v>
      </c>
      <c r="I32" s="19" t="s">
        <v>169</v>
      </c>
    </row>
    <row r="33" customFormat="false" ht="15" hidden="false" customHeight="false" outlineLevel="0" collapsed="false">
      <c r="A33" s="18" t="s">
        <v>190</v>
      </c>
      <c r="B33" s="10" t="n">
        <f aca="false">-SUMIFS(T_GL!$J$6:$J$4005,T_GL!$L$6:$L$4005,"Other Expense",T_GL!$A$6:$A$4005,"&gt;="&amp;(I_Parameter!$C$5-7),T_GL!$A$6:$A$4005,"&lt;="&amp;(I_Parameter!$C$5-1))</f>
        <v>-11650</v>
      </c>
      <c r="C33" s="10" t="n">
        <f aca="false">-SUMIFS(T_GL!$J$6:$J$4005,T_GL!$L$6:$L$4005,"Other Expense",T_GL!$A$6:$A$4005,"&gt;="&amp;I_Parameter!$C$5,T_GL!$A$6:$A$4005,"&lt;="&amp;(I_Parameter!$C$4-1))</f>
        <v>-0</v>
      </c>
      <c r="D33" s="10" t="n">
        <f aca="false">-(I_RunRate!$B$22*((I_Parameter!$C$6-I_Parameter!$C$4+1)/DAY(EOMONTH(I_Parameter!$C$4,0)))+I_RunRate!$C$22)</f>
        <v>-47270.7096774194</v>
      </c>
      <c r="E33" s="11" t="n">
        <f aca="false">C33+D33</f>
        <v>-47270.7096774194</v>
      </c>
      <c r="F33" s="11" t="n">
        <f aca="false">E33-B33</f>
        <v>-35620.7096774194</v>
      </c>
      <c r="G33" s="10" t="n">
        <f aca="false">-SUMIFS(T_GL!$J$6:$J$4005,T_GL!$L$6:$L$4005,"Other Expense",T_GL!$A$6:$A$4005,"&gt;="&amp;DATE(YEAR(I_Parameter!$C$4),MONTH(I_Parameter!$C$4),1),T_GL!$A$6:$A$4005,"&lt;="&amp;(I_Parameter!$C$4-1))</f>
        <v>-16400</v>
      </c>
      <c r="H33" s="11" t="n">
        <f aca="false">G33+D33</f>
        <v>-63670.7096774194</v>
      </c>
      <c r="I33" s="19" t="s">
        <v>169</v>
      </c>
    </row>
    <row r="34" customFormat="false" ht="15" hidden="false" customHeight="false" outlineLevel="0" collapsed="false">
      <c r="A34" s="14" t="s">
        <v>191</v>
      </c>
      <c r="B34" s="15" t="n">
        <f aca="false">SUM(B31:B33)</f>
        <v>7408.51</v>
      </c>
      <c r="C34" s="15" t="n">
        <f aca="false">SUM(C31:C33)</f>
        <v>-0.21</v>
      </c>
      <c r="D34" s="15" t="n">
        <f aca="false">SUM(D31:D33)</f>
        <v>200658.967741935</v>
      </c>
      <c r="E34" s="15" t="n">
        <f aca="false">SUM(E31:E33)</f>
        <v>200658.757741935</v>
      </c>
      <c r="F34" s="15" t="n">
        <f aca="false">SUM(F31:F33)</f>
        <v>193250.247741936</v>
      </c>
      <c r="G34" s="15" t="n">
        <f aca="false">SUM(G31:G33)</f>
        <v>1736681.53</v>
      </c>
      <c r="H34" s="15" t="n">
        <f aca="false">SUM(H31:H33)</f>
        <v>1937340.49774194</v>
      </c>
    </row>
    <row r="35" customFormat="false" ht="15" hidden="false" customHeight="false" outlineLevel="0" collapsed="false">
      <c r="A35" s="21" t="s">
        <v>139</v>
      </c>
      <c r="B35" s="30" t="n">
        <f aca="false">B30+B34</f>
        <v>-110967765.88</v>
      </c>
      <c r="C35" s="30" t="n">
        <f aca="false">C30+C34</f>
        <v>-10042390.06</v>
      </c>
      <c r="D35" s="30" t="n">
        <f aca="false">D30+D34</f>
        <v>-96192647.1200334</v>
      </c>
      <c r="E35" s="30" t="n">
        <f aca="false">E30+E34</f>
        <v>-106235037.180033</v>
      </c>
      <c r="F35" s="30" t="n">
        <f aca="false">F30+F34</f>
        <v>4732728.69996664</v>
      </c>
      <c r="G35" s="30" t="n">
        <f aca="false">G30+G34</f>
        <v>165249780.7</v>
      </c>
      <c r="H35" s="30" t="n">
        <f aca="false">H30+H34</f>
        <v>69057133.5799672</v>
      </c>
    </row>
    <row r="36" customFormat="false" ht="15" hidden="false" customHeight="false" outlineLevel="0" collapsed="false">
      <c r="A36" s="18" t="s">
        <v>192</v>
      </c>
      <c r="B36" s="10" t="n">
        <f aca="false">-SUMIFS(T_GL!$J$6:$J$4005,T_GL!$L$6:$L$4005,"Depreciation &amp; amortisation",T_GL!$A$6:$A$4005,"&gt;="&amp;(I_Parameter!$C$5-7),T_GL!$A$6:$A$4005,"&lt;="&amp;(I_Parameter!$C$5-1))</f>
        <v>-0</v>
      </c>
      <c r="C36" s="10" t="n">
        <f aca="false">-SUMIFS(T_GL!$J$6:$J$4005,T_GL!$L$6:$L$4005,"Depreciation &amp; amortisation",T_GL!$A$6:$A$4005,"&gt;="&amp;I_Parameter!$C$5,T_GL!$A$6:$A$4005,"&lt;="&amp;(I_Parameter!$C$4-1))</f>
        <v>-0</v>
      </c>
      <c r="D36" s="10" t="n">
        <f aca="false">-(I_RunRate!$B$23*((I_Parameter!$C$6-I_Parameter!$C$4+1)/DAY(EOMONTH(I_Parameter!$C$4,0)))+I_RunRate!$C$23)</f>
        <v>-1341091.74193548</v>
      </c>
      <c r="E36" s="11" t="n">
        <f aca="false">C36+D36</f>
        <v>-1341091.74193548</v>
      </c>
      <c r="F36" s="11" t="n">
        <f aca="false">E36-B36</f>
        <v>-1341091.74193548</v>
      </c>
      <c r="G36" s="10" t="n">
        <f aca="false">-SUMIFS(T_GL!$J$6:$J$4005,T_GL!$L$6:$L$4005,"Depreciation &amp; amortisation",T_GL!$A$6:$A$4005,"&gt;="&amp;DATE(YEAR(I_Parameter!$C$4),MONTH(I_Parameter!$C$4),1),T_GL!$A$6:$A$4005,"&lt;="&amp;(I_Parameter!$C$4-1))</f>
        <v>-0</v>
      </c>
      <c r="H36" s="11" t="n">
        <f aca="false">G36+D36</f>
        <v>-1341091.74193548</v>
      </c>
      <c r="I36" s="19" t="s">
        <v>169</v>
      </c>
    </row>
    <row r="37" customFormat="false" ht="15" hidden="false" customHeight="false" outlineLevel="0" collapsed="false">
      <c r="A37" s="21" t="s">
        <v>193</v>
      </c>
      <c r="B37" s="30" t="n">
        <f aca="false">B35+B36</f>
        <v>-110967765.88</v>
      </c>
      <c r="C37" s="30" t="n">
        <f aca="false">C35+C36</f>
        <v>-10042390.06</v>
      </c>
      <c r="D37" s="30" t="n">
        <f aca="false">D35+D36</f>
        <v>-97533738.8619689</v>
      </c>
      <c r="E37" s="30" t="n">
        <f aca="false">E35+E36</f>
        <v>-107576128.921969</v>
      </c>
      <c r="F37" s="30" t="n">
        <f aca="false">F35+F36</f>
        <v>3391636.95803115</v>
      </c>
      <c r="G37" s="30" t="n">
        <f aca="false">G35+G36</f>
        <v>165249780.7</v>
      </c>
      <c r="H37" s="30" t="n">
        <f aca="false">H35+H36</f>
        <v>67716041.8380317</v>
      </c>
    </row>
    <row r="39" customFormat="false" ht="15" hidden="false" customHeight="false" outlineLevel="0" collapsed="false">
      <c r="A39" s="6" t="s">
        <v>194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7"/>
    <col collapsed="false" customWidth="true" hidden="false" outlineLevel="0" max="7" min="6" style="0" width="16"/>
    <col collapsed="false" customWidth="true" hidden="false" outlineLevel="0" max="8" min="8" style="0" width="4"/>
    <col collapsed="false" customWidth="true" hidden="false" outlineLevel="0" max="9" min="9" style="0" width="44"/>
  </cols>
  <sheetData>
    <row r="1" customFormat="false" ht="16.1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6" t="s">
        <v>196</v>
      </c>
    </row>
    <row r="4" customFormat="false" ht="18" hidden="false" customHeight="true" outlineLevel="0" collapsed="false">
      <c r="B4" s="31" t="n">
        <f aca="false">I_Parameter!$C$47</f>
        <v>46234</v>
      </c>
      <c r="C4" s="31" t="n">
        <f aca="false">I_Parameter!$C$5-1</f>
        <v>46257</v>
      </c>
      <c r="D4" s="31" t="n">
        <f aca="false">I_Parameter!$C$4-1</f>
        <v>46260</v>
      </c>
      <c r="E4" s="31" t="n">
        <f aca="false">I_Parameter!$C$6</f>
        <v>46264</v>
      </c>
    </row>
    <row r="5" customFormat="false" ht="43.5" hidden="false" customHeight="true" outlineLevel="0" collapsed="false">
      <c r="A5" s="8" t="s">
        <v>197</v>
      </c>
      <c r="B5" s="8" t="s">
        <v>198</v>
      </c>
      <c r="C5" s="8" t="s">
        <v>199</v>
      </c>
      <c r="D5" s="8" t="s">
        <v>200</v>
      </c>
      <c r="E5" s="8" t="s">
        <v>201</v>
      </c>
      <c r="F5" s="8" t="s">
        <v>202</v>
      </c>
      <c r="G5" s="8" t="s">
        <v>203</v>
      </c>
    </row>
    <row r="6" customFormat="false" ht="15" hidden="false" customHeight="false" outlineLevel="0" collapsed="false">
      <c r="A6" s="21" t="s">
        <v>204</v>
      </c>
      <c r="B6" s="32"/>
      <c r="C6" s="32"/>
      <c r="D6" s="32"/>
      <c r="E6" s="32"/>
      <c r="F6" s="32"/>
      <c r="G6" s="32"/>
    </row>
    <row r="7" customFormat="false" ht="15" hidden="false" customHeight="false" outlineLevel="0" collapsed="false">
      <c r="A7" s="18" t="s">
        <v>205</v>
      </c>
      <c r="B7" s="10" t="n">
        <f aca="false">(SUMIFS(I_TB!$C$6:$C$265,I_TB!$E$6:$E$265,"Cash and cash equivalents")+SUMIFS(T_GL!$J$6:$J$4005,T_GL!$M$6:$M$4005,"Cash and cash equivalents",T_GL!$A$6:$A$4005,"&lt;="&amp;B$4))</f>
        <v>599841423.68</v>
      </c>
      <c r="C7" s="10" t="n">
        <f aca="false">(SUMIFS(I_TB!$C$6:$C$265,I_TB!$E$6:$E$265,"Cash and cash equivalents")+SUMIFS(T_GL!$J$6:$J$4005,T_GL!$M$6:$M$4005,"Cash and cash equivalents",T_GL!$A$6:$A$4005,"&lt;="&amp;C$4))</f>
        <v>379091165.68</v>
      </c>
      <c r="D7" s="10" t="n">
        <f aca="false">(SUMIFS(I_TB!$C$6:$C$265,I_TB!$E$6:$E$265,"Cash and cash equivalents")+SUMIFS(T_GL!$J$6:$J$4005,T_GL!$M$6:$M$4005,"Cash and cash equivalents",T_GL!$A$6:$A$4005,"&lt;="&amp;D$4))</f>
        <v>1289251345.68</v>
      </c>
      <c r="E7" s="12" t="n">
        <f aca="false">D7+G7</f>
        <v>818198229.68</v>
      </c>
      <c r="F7" s="11" t="n">
        <f aca="false">E7-C7</f>
        <v>439107064</v>
      </c>
      <c r="G7" s="11" t="n">
        <f aca="false">-SUMIFS(T_Kas_Rencana!$E$6:$E$305,T_Kas_Rencana!$C$6:$C$305,"Cash and cash equivalents",T_Kas_Rencana!$F$6:$F$305,1)+$B$73</f>
        <v>-471053116</v>
      </c>
    </row>
    <row r="8" customFormat="false" ht="15" hidden="false" customHeight="false" outlineLevel="0" collapsed="false">
      <c r="A8" s="18" t="s">
        <v>206</v>
      </c>
      <c r="B8" s="10" t="n">
        <f aca="false">(SUMIFS(I_TB!$C$6:$C$265,I_TB!$E$6:$E$265,"Trade Receivables - Third Parties")+SUMIFS(T_GL!$J$6:$J$4005,T_GL!$M$6:$M$4005,"Trade Receivables - Third Parties",T_GL!$A$6:$A$4005,"&lt;="&amp;B$4))</f>
        <v>310674730</v>
      </c>
      <c r="C8" s="10" t="n">
        <f aca="false">(SUMIFS(I_TB!$C$6:$C$265,I_TB!$E$6:$E$265,"Trade Receivables - Third Parties")+SUMIFS(T_GL!$J$6:$J$4005,T_GL!$M$6:$M$4005,"Trade Receivables - Third Parties",T_GL!$A$6:$A$4005,"&lt;="&amp;C$4))</f>
        <v>637472980</v>
      </c>
      <c r="D8" s="10" t="n">
        <f aca="false">(SUMIFS(I_TB!$C$6:$C$265,I_TB!$E$6:$E$265,"Trade Receivables - Third Parties")+SUMIFS(T_GL!$J$6:$J$4005,T_GL!$M$6:$M$4005,"Trade Receivables - Third Parties",T_GL!$A$6:$A$4005,"&lt;="&amp;D$4))</f>
        <v>991265050</v>
      </c>
      <c r="E8" s="12" t="n">
        <f aca="false">D8+G8</f>
        <v>625183962.4</v>
      </c>
      <c r="F8" s="11" t="n">
        <f aca="false">E8-C8</f>
        <v>-12289017.5999999</v>
      </c>
      <c r="G8" s="11" t="n">
        <f aca="false">-SUMIFS(T_Kas_Rencana!$E$6:$E$305,T_Kas_Rencana!$C$6:$C$305,"Trade Receivables - Third Parties",T_Kas_Rencana!$F$6:$F$305,1)+$B$67</f>
        <v>-366081087.6</v>
      </c>
    </row>
    <row r="9" customFormat="false" ht="15" hidden="false" customHeight="false" outlineLevel="0" collapsed="false">
      <c r="A9" s="18" t="s">
        <v>207</v>
      </c>
      <c r="B9" s="10" t="n">
        <f aca="false">(SUMIFS(I_TB!$C$6:$C$265,I_TB!$E$6:$E$265,"Trade Receivables - Related Parties")+SUMIFS(T_GL!$J$6:$J$4005,T_GL!$M$6:$M$4005,"Trade Receivables - Related Parties",T_GL!$A$6:$A$4005,"&lt;="&amp;B$4))</f>
        <v>0</v>
      </c>
      <c r="C9" s="10" t="n">
        <f aca="false">(SUMIFS(I_TB!$C$6:$C$265,I_TB!$E$6:$E$265,"Trade Receivables - Related Parties")+SUMIFS(T_GL!$J$6:$J$4005,T_GL!$M$6:$M$4005,"Trade Receivables - Related Parties",T_GL!$A$6:$A$4005,"&lt;="&amp;C$4))</f>
        <v>0</v>
      </c>
      <c r="D9" s="10" t="n">
        <f aca="false">(SUMIFS(I_TB!$C$6:$C$265,I_TB!$E$6:$E$265,"Trade Receivables - Related Parties")+SUMIFS(T_GL!$J$6:$J$4005,T_GL!$M$6:$M$4005,"Trade Receivables - Related Parties",T_GL!$A$6:$A$4005,"&lt;="&amp;D$4))</f>
        <v>0</v>
      </c>
      <c r="E9" s="12" t="n">
        <f aca="false">D9+G9</f>
        <v>0</v>
      </c>
      <c r="F9" s="11" t="n">
        <f aca="false">E9-C9</f>
        <v>0</v>
      </c>
      <c r="G9" s="11" t="n">
        <f aca="false">-SUMIFS(T_Kas_Rencana!$E$6:$E$305,T_Kas_Rencana!$C$6:$C$305,"Trade Receivables - Related Parties",T_Kas_Rencana!$F$6:$F$305,1)+0</f>
        <v>0</v>
      </c>
    </row>
    <row r="10" customFormat="false" ht="15" hidden="false" customHeight="false" outlineLevel="0" collapsed="false">
      <c r="A10" s="18" t="s">
        <v>208</v>
      </c>
      <c r="B10" s="10" t="n">
        <f aca="false">(SUMIFS(I_TB!$C$6:$C$265,I_TB!$E$6:$E$265,"Other Receivable - Third Party")+SUMIFS(T_GL!$J$6:$J$4005,T_GL!$M$6:$M$4005,"Other Receivable - Third Party",T_GL!$A$6:$A$4005,"&lt;="&amp;B$4))</f>
        <v>0</v>
      </c>
      <c r="C10" s="10" t="n">
        <f aca="false">(SUMIFS(I_TB!$C$6:$C$265,I_TB!$E$6:$E$265,"Other Receivable - Third Party")+SUMIFS(T_GL!$J$6:$J$4005,T_GL!$M$6:$M$4005,"Other Receivable - Third Party",T_GL!$A$6:$A$4005,"&lt;="&amp;C$4))</f>
        <v>0</v>
      </c>
      <c r="D10" s="10" t="n">
        <f aca="false">(SUMIFS(I_TB!$C$6:$C$265,I_TB!$E$6:$E$265,"Other Receivable - Third Party")+SUMIFS(T_GL!$J$6:$J$4005,T_GL!$M$6:$M$4005,"Other Receivable - Third Party",T_GL!$A$6:$A$4005,"&lt;="&amp;D$4))</f>
        <v>0</v>
      </c>
      <c r="E10" s="12" t="n">
        <f aca="false">D10+G10</f>
        <v>0</v>
      </c>
      <c r="F10" s="11" t="n">
        <f aca="false">E10-C10</f>
        <v>0</v>
      </c>
      <c r="G10" s="11" t="n">
        <f aca="false">-SUMIFS(T_Kas_Rencana!$E$6:$E$305,T_Kas_Rencana!$C$6:$C$305,"Other Receivable - Third Party",T_Kas_Rencana!$F$6:$F$305,1)+0</f>
        <v>0</v>
      </c>
    </row>
    <row r="11" customFormat="false" ht="15" hidden="false" customHeight="false" outlineLevel="0" collapsed="false">
      <c r="A11" s="18" t="s">
        <v>209</v>
      </c>
      <c r="B11" s="10" t="n">
        <f aca="false">(SUMIFS(I_TB!$C$6:$C$265,I_TB!$E$6:$E$265,"Other Receivable - Affiliated Party")+SUMIFS(T_GL!$J$6:$J$4005,T_GL!$M$6:$M$4005,"Other Receivable - Affiliated Party",T_GL!$A$6:$A$4005,"&lt;="&amp;B$4))</f>
        <v>0</v>
      </c>
      <c r="C11" s="10" t="n">
        <f aca="false">(SUMIFS(I_TB!$C$6:$C$265,I_TB!$E$6:$E$265,"Other Receivable - Affiliated Party")+SUMIFS(T_GL!$J$6:$J$4005,T_GL!$M$6:$M$4005,"Other Receivable - Affiliated Party",T_GL!$A$6:$A$4005,"&lt;="&amp;C$4))</f>
        <v>0</v>
      </c>
      <c r="D11" s="10" t="n">
        <f aca="false">(SUMIFS(I_TB!$C$6:$C$265,I_TB!$E$6:$E$265,"Other Receivable - Affiliated Party")+SUMIFS(T_GL!$J$6:$J$4005,T_GL!$M$6:$M$4005,"Other Receivable - Affiliated Party",T_GL!$A$6:$A$4005,"&lt;="&amp;D$4))</f>
        <v>0</v>
      </c>
      <c r="E11" s="12" t="n">
        <f aca="false">D11+G11</f>
        <v>0</v>
      </c>
      <c r="F11" s="11" t="n">
        <f aca="false">E11-C11</f>
        <v>0</v>
      </c>
      <c r="G11" s="11" t="n">
        <f aca="false">-SUMIFS(T_Kas_Rencana!$E$6:$E$305,T_Kas_Rencana!$C$6:$C$305,"Other Receivable - Affiliated Party",T_Kas_Rencana!$F$6:$F$305,1)+0</f>
        <v>0</v>
      </c>
    </row>
    <row r="12" customFormat="false" ht="15" hidden="false" customHeight="false" outlineLevel="0" collapsed="false">
      <c r="A12" s="18" t="s">
        <v>210</v>
      </c>
      <c r="B12" s="10" t="n">
        <f aca="false">(SUMIFS(I_TB!$C$6:$C$265,I_TB!$E$6:$E$265,"Advance Payment")+SUMIFS(T_GL!$J$6:$J$4005,T_GL!$M$6:$M$4005,"Advance Payment",T_GL!$A$6:$A$4005,"&lt;="&amp;B$4))</f>
        <v>1472044497.55</v>
      </c>
      <c r="C12" s="10" t="n">
        <f aca="false">(SUMIFS(I_TB!$C$6:$C$265,I_TB!$E$6:$E$265,"Advance Payment")+SUMIFS(T_GL!$J$6:$J$4005,T_GL!$M$6:$M$4005,"Advance Payment",T_GL!$A$6:$A$4005,"&lt;="&amp;C$4))</f>
        <v>622221912.15</v>
      </c>
      <c r="D12" s="10" t="n">
        <f aca="false">(SUMIFS(I_TB!$C$6:$C$265,I_TB!$E$6:$E$265,"Advance Payment")+SUMIFS(T_GL!$J$6:$J$4005,T_GL!$M$6:$M$4005,"Advance Payment",T_GL!$A$6:$A$4005,"&lt;="&amp;D$4))</f>
        <v>642309472.15</v>
      </c>
      <c r="E12" s="12" t="n">
        <f aca="false">D12+G12</f>
        <v>622474112.15</v>
      </c>
      <c r="F12" s="11" t="n">
        <f aca="false">E12-C12</f>
        <v>252200</v>
      </c>
      <c r="G12" s="11" t="n">
        <f aca="false">-SUMIFS(T_Kas_Rencana!$E$6:$E$305,T_Kas_Rencana!$C$6:$C$305,"Advance Payment",T_Kas_Rencana!$F$6:$F$305,1)+0</f>
        <v>-19835360</v>
      </c>
    </row>
    <row r="13" customFormat="false" ht="15" hidden="false" customHeight="false" outlineLevel="0" collapsed="false">
      <c r="A13" s="18" t="s">
        <v>211</v>
      </c>
      <c r="B13" s="10" t="n">
        <f aca="false">(SUMIFS(I_TB!$C$6:$C$265,I_TB!$E$6:$E$265,"Inventory - Product")+SUMIFS(T_GL!$J$6:$J$4005,T_GL!$M$6:$M$4005,"Inventory - Product",T_GL!$A$6:$A$4005,"&lt;="&amp;B$4))</f>
        <v>771194644.21</v>
      </c>
      <c r="C13" s="10" t="n">
        <f aca="false">(SUMIFS(I_TB!$C$6:$C$265,I_TB!$E$6:$E$265,"Inventory - Product")+SUMIFS(T_GL!$J$6:$J$4005,T_GL!$M$6:$M$4005,"Inventory - Product",T_GL!$A$6:$A$4005,"&lt;="&amp;C$4))</f>
        <v>1262024159.66</v>
      </c>
      <c r="D13" s="10" t="n">
        <f aca="false">(SUMIFS(I_TB!$C$6:$C$265,I_TB!$E$6:$E$265,"Inventory - Product")+SUMIFS(T_GL!$J$6:$J$4005,T_GL!$M$6:$M$4005,"Inventory - Product",T_GL!$A$6:$A$4005,"&lt;="&amp;D$4))</f>
        <v>1568104888.56</v>
      </c>
      <c r="E13" s="12" t="n">
        <f aca="false">D13+G13</f>
        <v>1636755362.58275</v>
      </c>
      <c r="F13" s="11" t="n">
        <f aca="false">E13-C13</f>
        <v>374731202.922751</v>
      </c>
      <c r="G13" s="11" t="n">
        <f aca="false">-SUMIFS(T_Kas_Rencana!$E$6:$E$305,T_Kas_Rencana!$C$6:$C$305,"Inventory - Product",T_Kas_Rencana!$F$6:$F$305,1)+($B$60-$B$68)</f>
        <v>68650474.0227509</v>
      </c>
    </row>
    <row r="14" customFormat="false" ht="15" hidden="false" customHeight="false" outlineLevel="0" collapsed="false">
      <c r="A14" s="18" t="s">
        <v>212</v>
      </c>
      <c r="B14" s="10" t="n">
        <f aca="false">(SUMIFS(I_TB!$C$6:$C$265,I_TB!$E$6:$E$265,"Inventory - Trading")+SUMIFS(T_GL!$J$6:$J$4005,T_GL!$M$6:$M$4005,"Inventory - Trading",T_GL!$A$6:$A$4005,"&lt;="&amp;B$4))</f>
        <v>2124560080.04</v>
      </c>
      <c r="C14" s="10" t="n">
        <f aca="false">(SUMIFS(I_TB!$C$6:$C$265,I_TB!$E$6:$E$265,"Inventory - Trading")+SUMIFS(T_GL!$J$6:$J$4005,T_GL!$M$6:$M$4005,"Inventory - Trading",T_GL!$A$6:$A$4005,"&lt;="&amp;C$4))</f>
        <v>2518582245.48</v>
      </c>
      <c r="D14" s="10" t="n">
        <f aca="false">(SUMIFS(I_TB!$C$6:$C$265,I_TB!$E$6:$E$265,"Inventory - Trading")+SUMIFS(T_GL!$J$6:$J$4005,T_GL!$M$6:$M$4005,"Inventory - Trading",T_GL!$A$6:$A$4005,"&lt;="&amp;D$4))</f>
        <v>2592109530.52</v>
      </c>
      <c r="E14" s="12" t="n">
        <f aca="false">D14+G14</f>
        <v>2355652674.7136</v>
      </c>
      <c r="F14" s="11" t="n">
        <f aca="false">E14-C14</f>
        <v>-162929570.766397</v>
      </c>
      <c r="G14" s="11" t="n">
        <f aca="false">-SUMIFS(T_Kas_Rencana!$E$6:$E$305,T_Kas_Rencana!$C$6:$C$305,"Inventory - Trading",T_Kas_Rencana!$F$6:$F$305,1)+($B$63-$B$69)</f>
        <v>-236456855.806397</v>
      </c>
    </row>
    <row r="15" customFormat="false" ht="15" hidden="false" customHeight="false" outlineLevel="0" collapsed="false">
      <c r="A15" s="18" t="s">
        <v>213</v>
      </c>
      <c r="B15" s="10" t="n">
        <f aca="false">(SUMIFS(I_TB!$C$6:$C$265,I_TB!$E$6:$E$265,"Prepaid Tax")+SUMIFS(T_GL!$J$6:$J$4005,T_GL!$M$6:$M$4005,"Prepaid Tax",T_GL!$A$6:$A$4005,"&lt;="&amp;B$4))</f>
        <v>123668554.67</v>
      </c>
      <c r="C15" s="10" t="n">
        <f aca="false">(SUMIFS(I_TB!$C$6:$C$265,I_TB!$E$6:$E$265,"Prepaid Tax")+SUMIFS(T_GL!$J$6:$J$4005,T_GL!$M$6:$M$4005,"Prepaid Tax",T_GL!$A$6:$A$4005,"&lt;="&amp;C$4))</f>
        <v>150840897.69</v>
      </c>
      <c r="D15" s="10" t="n">
        <f aca="false">(SUMIFS(I_TB!$C$6:$C$265,I_TB!$E$6:$E$265,"Prepaid Tax")+SUMIFS(T_GL!$J$6:$J$4005,T_GL!$M$6:$M$4005,"Prepaid Tax",T_GL!$A$6:$A$4005,"&lt;="&amp;D$4))</f>
        <v>157809934.69</v>
      </c>
      <c r="E15" s="12" t="n">
        <f aca="false">D15+G15</f>
        <v>157809934.69</v>
      </c>
      <c r="F15" s="11" t="n">
        <f aca="false">E15-C15</f>
        <v>6969037</v>
      </c>
      <c r="G15" s="11" t="n">
        <f aca="false">-SUMIFS(T_Kas_Rencana!$E$6:$E$305,T_Kas_Rencana!$C$6:$C$305,"Prepaid Tax",T_Kas_Rencana!$F$6:$F$305,1)+0</f>
        <v>0</v>
      </c>
    </row>
    <row r="16" customFormat="false" ht="15" hidden="false" customHeight="false" outlineLevel="0" collapsed="false">
      <c r="A16" s="18" t="s">
        <v>214</v>
      </c>
      <c r="B16" s="10" t="n">
        <f aca="false">(SUMIFS(I_TB!$C$6:$C$265,I_TB!$E$6:$E$265,"Prepaid Expenses")+SUMIFS(T_GL!$J$6:$J$4005,T_GL!$M$6:$M$4005,"Prepaid Expenses",T_GL!$A$6:$A$4005,"&lt;="&amp;B$4))</f>
        <v>79400000</v>
      </c>
      <c r="C16" s="10" t="n">
        <f aca="false">(SUMIFS(I_TB!$C$6:$C$265,I_TB!$E$6:$E$265,"Prepaid Expenses")+SUMIFS(T_GL!$J$6:$J$4005,T_GL!$M$6:$M$4005,"Prepaid Expenses",T_GL!$A$6:$A$4005,"&lt;="&amp;C$4))</f>
        <v>79400000</v>
      </c>
      <c r="D16" s="10" t="n">
        <f aca="false">(SUMIFS(I_TB!$C$6:$C$265,I_TB!$E$6:$E$265,"Prepaid Expenses")+SUMIFS(T_GL!$J$6:$J$4005,T_GL!$M$6:$M$4005,"Prepaid Expenses",T_GL!$A$6:$A$4005,"&lt;="&amp;D$4))</f>
        <v>1213190000</v>
      </c>
      <c r="E16" s="12" t="n">
        <f aca="false">D16+G16</f>
        <v>1213190000</v>
      </c>
      <c r="F16" s="11" t="n">
        <f aca="false">E16-C16</f>
        <v>1133790000</v>
      </c>
      <c r="G16" s="11" t="n">
        <f aca="false">-SUMIFS(T_Kas_Rencana!$E$6:$E$305,T_Kas_Rencana!$C$6:$C$305,"Prepaid Expenses",T_Kas_Rencana!$F$6:$F$305,1)+0</f>
        <v>0</v>
      </c>
    </row>
    <row r="17" customFormat="false" ht="15" hidden="false" customHeight="false" outlineLevel="0" collapsed="false">
      <c r="A17" s="18" t="s">
        <v>215</v>
      </c>
      <c r="B17" s="10" t="n">
        <f aca="false">(SUMIFS(I_TB!$C$6:$C$265,I_TB!$E$6:$E$265,"Other assets")+SUMIFS(T_GL!$J$6:$J$4005,T_GL!$M$6:$M$4005,"Other assets",T_GL!$A$6:$A$4005,"&lt;="&amp;B$4))</f>
        <v>0</v>
      </c>
      <c r="C17" s="10" t="n">
        <f aca="false">(SUMIFS(I_TB!$C$6:$C$265,I_TB!$E$6:$E$265,"Other assets")+SUMIFS(T_GL!$J$6:$J$4005,T_GL!$M$6:$M$4005,"Other assets",T_GL!$A$6:$A$4005,"&lt;="&amp;C$4))</f>
        <v>0</v>
      </c>
      <c r="D17" s="10" t="n">
        <f aca="false">(SUMIFS(I_TB!$C$6:$C$265,I_TB!$E$6:$E$265,"Other assets")+SUMIFS(T_GL!$J$6:$J$4005,T_GL!$M$6:$M$4005,"Other assets",T_GL!$A$6:$A$4005,"&lt;="&amp;D$4))</f>
        <v>0</v>
      </c>
      <c r="E17" s="12" t="n">
        <f aca="false">D17+G17</f>
        <v>0</v>
      </c>
      <c r="F17" s="11" t="n">
        <f aca="false">E17-C17</f>
        <v>0</v>
      </c>
      <c r="G17" s="11" t="n">
        <f aca="false">-SUMIFS(T_Kas_Rencana!$E$6:$E$305,T_Kas_Rencana!$C$6:$C$305,"Other assets",T_Kas_Rencana!$F$6:$F$305,1)+0</f>
        <v>0</v>
      </c>
    </row>
    <row r="18" customFormat="false" ht="15" hidden="false" customHeight="false" outlineLevel="0" collapsed="false">
      <c r="A18" s="18" t="s">
        <v>216</v>
      </c>
      <c r="B18" s="10" t="n">
        <f aca="false">(SUMIFS(I_TB!$C$6:$C$265,I_TB!$E$6:$E$265,"Fixed assets - cost")+SUMIFS(T_GL!$J$6:$J$4005,T_GL!$M$6:$M$4005,"Fixed assets - cost",T_GL!$A$6:$A$4005,"&lt;="&amp;B$4))</f>
        <v>1531451153.61</v>
      </c>
      <c r="C18" s="10" t="n">
        <f aca="false">(SUMIFS(I_TB!$C$6:$C$265,I_TB!$E$6:$E$265,"Fixed assets - cost")+SUMIFS(T_GL!$J$6:$J$4005,T_GL!$M$6:$M$4005,"Fixed assets - cost",T_GL!$A$6:$A$4005,"&lt;="&amp;C$4))</f>
        <v>1531451153.61</v>
      </c>
      <c r="D18" s="10" t="n">
        <f aca="false">(SUMIFS(I_TB!$C$6:$C$265,I_TB!$E$6:$E$265,"Fixed assets - cost")+SUMIFS(T_GL!$J$6:$J$4005,T_GL!$M$6:$M$4005,"Fixed assets - cost",T_GL!$A$6:$A$4005,"&lt;="&amp;D$4))</f>
        <v>1531451153.61</v>
      </c>
      <c r="E18" s="12" t="n">
        <f aca="false">D18+G18</f>
        <v>1531451153.61</v>
      </c>
      <c r="F18" s="11" t="n">
        <f aca="false">E18-C18</f>
        <v>0</v>
      </c>
      <c r="G18" s="11" t="n">
        <f aca="false">-SUMIFS(T_Kas_Rencana!$E$6:$E$305,T_Kas_Rencana!$C$6:$C$305,"Fixed assets - cost",T_Kas_Rencana!$F$6:$F$305,1)+0</f>
        <v>0</v>
      </c>
    </row>
    <row r="19" customFormat="false" ht="15" hidden="false" customHeight="false" outlineLevel="0" collapsed="false">
      <c r="A19" s="18" t="s">
        <v>217</v>
      </c>
      <c r="B19" s="10" t="n">
        <f aca="false">(SUMIFS(I_TB!$C$6:$C$265,I_TB!$E$6:$E$265,"Accumulated depreciation")+SUMIFS(T_GL!$J$6:$J$4005,T_GL!$M$6:$M$4005,"Accumulated depreciation",T_GL!$A$6:$A$4005,"&lt;="&amp;B$4))</f>
        <v>-428085948.35</v>
      </c>
      <c r="C19" s="10" t="n">
        <f aca="false">(SUMIFS(I_TB!$C$6:$C$265,I_TB!$E$6:$E$265,"Accumulated depreciation")+SUMIFS(T_GL!$J$6:$J$4005,T_GL!$M$6:$M$4005,"Accumulated depreciation",T_GL!$A$6:$A$4005,"&lt;="&amp;C$4))</f>
        <v>-428085948.35</v>
      </c>
      <c r="D19" s="10" t="n">
        <f aca="false">(SUMIFS(I_TB!$C$6:$C$265,I_TB!$E$6:$E$265,"Accumulated depreciation")+SUMIFS(T_GL!$J$6:$J$4005,T_GL!$M$6:$M$4005,"Accumulated depreciation",T_GL!$A$6:$A$4005,"&lt;="&amp;D$4))</f>
        <v>-428085948.35</v>
      </c>
      <c r="E19" s="12" t="n">
        <f aca="false">D19+G19</f>
        <v>-429427040.091935</v>
      </c>
      <c r="F19" s="11" t="n">
        <f aca="false">E19-C19</f>
        <v>-1341091.74193549</v>
      </c>
      <c r="G19" s="11" t="n">
        <f aca="false">-SUMIFS(T_Kas_Rencana!$E$6:$E$305,T_Kas_Rencana!$C$6:$C$305,"Accumulated depreciation",T_Kas_Rencana!$F$6:$F$305,1)+(-$B$71)</f>
        <v>-1341091.74193548</v>
      </c>
    </row>
    <row r="20" customFormat="false" ht="15" hidden="false" customHeight="false" outlineLevel="0" collapsed="false">
      <c r="A20" s="14" t="s">
        <v>218</v>
      </c>
      <c r="B20" s="15" t="n">
        <f aca="false">SUM(B7:B19)</f>
        <v>6584749135.41</v>
      </c>
      <c r="C20" s="15" t="n">
        <f aca="false">SUM(C7:C19)</f>
        <v>6752998565.92</v>
      </c>
      <c r="D20" s="15" t="n">
        <f aca="false">SUM(D7:D19)</f>
        <v>9557405426.86</v>
      </c>
      <c r="E20" s="15" t="n">
        <f aca="false">SUM(E7:E19)</f>
        <v>8531288389.73442</v>
      </c>
      <c r="F20" s="15" t="n">
        <f aca="false">SUM(F7:F19)</f>
        <v>1778289823.81442</v>
      </c>
    </row>
    <row r="22" customFormat="false" ht="15" hidden="false" customHeight="false" outlineLevel="0" collapsed="false">
      <c r="A22" s="21" t="s">
        <v>219</v>
      </c>
      <c r="B22" s="32"/>
      <c r="C22" s="32"/>
      <c r="D22" s="32"/>
      <c r="E22" s="32"/>
      <c r="F22" s="32"/>
      <c r="G22" s="32"/>
    </row>
    <row r="23" customFormat="false" ht="15" hidden="false" customHeight="false" outlineLevel="0" collapsed="false">
      <c r="A23" s="18" t="s">
        <v>220</v>
      </c>
      <c r="B23" s="10" t="n">
        <f aca="false">-(SUMIFS(I_TB!$C$6:$C$265,I_TB!$E$6:$E$265,"Trade Payables - Third Parties")+SUMIFS(T_GL!$J$6:$J$4005,T_GL!$M$6:$M$4005,"Trade Payables - Third Parties",T_GL!$A$6:$A$4005,"&lt;="&amp;B$4))</f>
        <v>4172730</v>
      </c>
      <c r="C23" s="10" t="n">
        <f aca="false">-(SUMIFS(I_TB!$C$6:$C$265,I_TB!$E$6:$E$265,"Trade Payables - Third Parties")+SUMIFS(T_GL!$J$6:$J$4005,T_GL!$M$6:$M$4005,"Trade Payables - Third Parties",T_GL!$A$6:$A$4005,"&lt;="&amp;C$4))</f>
        <v>-707804509.6</v>
      </c>
      <c r="D23" s="10" t="n">
        <f aca="false">-(SUMIFS(I_TB!$C$6:$C$265,I_TB!$E$6:$E$265,"Trade Payables - Third Parties")+SUMIFS(T_GL!$J$6:$J$4005,T_GL!$M$6:$M$4005,"Trade Payables - Third Parties",T_GL!$A$6:$A$4005,"&lt;="&amp;D$4))</f>
        <v>-420329749.6</v>
      </c>
      <c r="E23" s="12" t="n">
        <f aca="false">D23-G23</f>
        <v>67042606.5879999</v>
      </c>
      <c r="F23" s="11" t="n">
        <f aca="false">E23-C23</f>
        <v>774847116.188</v>
      </c>
      <c r="G23" s="11" t="n">
        <f aca="false">-SUMIFS(T_Kas_Rencana!$E$6:$E$305,T_Kas_Rencana!$C$6:$C$305,"Trade Payables - Third Parties",T_Kas_Rencana!$F$6:$F$305,1)+(-$B$61-$B$63+$B$64+$B$65)</f>
        <v>-487372356.188</v>
      </c>
    </row>
    <row r="24" customFormat="false" ht="15" hidden="false" customHeight="false" outlineLevel="0" collapsed="false">
      <c r="A24" s="18" t="s">
        <v>221</v>
      </c>
      <c r="B24" s="10" t="n">
        <f aca="false">-(SUMIFS(I_TB!$C$6:$C$265,I_TB!$E$6:$E$265,"Trade Payables - Affiliates")+SUMIFS(T_GL!$J$6:$J$4005,T_GL!$M$6:$M$4005,"Trade Payables - Affiliates",T_GL!$A$6:$A$4005,"&lt;="&amp;B$4))</f>
        <v>-0</v>
      </c>
      <c r="C24" s="10" t="n">
        <f aca="false">-(SUMIFS(I_TB!$C$6:$C$265,I_TB!$E$6:$E$265,"Trade Payables - Affiliates")+SUMIFS(T_GL!$J$6:$J$4005,T_GL!$M$6:$M$4005,"Trade Payables - Affiliates",T_GL!$A$6:$A$4005,"&lt;="&amp;C$4))</f>
        <v>-0</v>
      </c>
      <c r="D24" s="10" t="n">
        <f aca="false">-(SUMIFS(I_TB!$C$6:$C$265,I_TB!$E$6:$E$265,"Trade Payables - Affiliates")+SUMIFS(T_GL!$J$6:$J$4005,T_GL!$M$6:$M$4005,"Trade Payables - Affiliates",T_GL!$A$6:$A$4005,"&lt;="&amp;D$4))</f>
        <v>-0</v>
      </c>
      <c r="E24" s="12" t="n">
        <f aca="false">D24-G24</f>
        <v>-361200000</v>
      </c>
      <c r="F24" s="11" t="n">
        <f aca="false">E24-C24</f>
        <v>-361200000</v>
      </c>
      <c r="G24" s="11" t="n">
        <f aca="false">-SUMIFS(T_Kas_Rencana!$E$6:$E$305,T_Kas_Rencana!$C$6:$C$305,"Trade Payables - Affiliates",T_Kas_Rencana!$F$6:$F$305,1)+0</f>
        <v>361200000</v>
      </c>
    </row>
    <row r="25" customFormat="false" ht="15" hidden="false" customHeight="false" outlineLevel="0" collapsed="false">
      <c r="A25" s="18" t="s">
        <v>222</v>
      </c>
      <c r="B25" s="10" t="n">
        <f aca="false">-(SUMIFS(I_TB!$C$6:$C$265,I_TB!$E$6:$E$265,"Other Payable - Third Parties")+SUMIFS(T_GL!$J$6:$J$4005,T_GL!$M$6:$M$4005,"Other Payable - Third Parties",T_GL!$A$6:$A$4005,"&lt;="&amp;B$4))</f>
        <v>316670549.13</v>
      </c>
      <c r="C25" s="10" t="n">
        <f aca="false">-(SUMIFS(I_TB!$C$6:$C$265,I_TB!$E$6:$E$265,"Other Payable - Third Parties")+SUMIFS(T_GL!$J$6:$J$4005,T_GL!$M$6:$M$4005,"Other Payable - Third Parties",T_GL!$A$6:$A$4005,"&lt;="&amp;C$4))</f>
        <v>462686203.27</v>
      </c>
      <c r="D25" s="10" t="n">
        <f aca="false">-(SUMIFS(I_TB!$C$6:$C$265,I_TB!$E$6:$E$265,"Other Payable - Third Parties")+SUMIFS(T_GL!$J$6:$J$4005,T_GL!$M$6:$M$4005,"Other Payable - Third Parties",T_GL!$A$6:$A$4005,"&lt;="&amp;D$4))</f>
        <v>1662308022.67</v>
      </c>
      <c r="E25" s="12" t="n">
        <f aca="false">D25-G25</f>
        <v>492796704.67</v>
      </c>
      <c r="F25" s="11" t="n">
        <f aca="false">E25-C25</f>
        <v>30110501.4000001</v>
      </c>
      <c r="G25" s="11" t="n">
        <f aca="false">-SUMIFS(T_Kas_Rencana!$E$6:$E$305,T_Kas_Rencana!$C$6:$C$305,"Other Payable - Third Parties",T_Kas_Rencana!$F$6:$F$305,1)+0</f>
        <v>1169511318</v>
      </c>
    </row>
    <row r="26" customFormat="false" ht="15" hidden="false" customHeight="false" outlineLevel="0" collapsed="false">
      <c r="A26" s="18" t="s">
        <v>223</v>
      </c>
      <c r="B26" s="10" t="n">
        <f aca="false">-(SUMIFS(I_TB!$C$6:$C$265,I_TB!$E$6:$E$265,"Other Payable - Related Parties")+SUMIFS(T_GL!$J$6:$J$4005,T_GL!$M$6:$M$4005,"Other Payable - Related Parties",T_GL!$A$6:$A$4005,"&lt;="&amp;B$4))</f>
        <v>4429890485.97</v>
      </c>
      <c r="C26" s="10" t="n">
        <f aca="false">-(SUMIFS(I_TB!$C$6:$C$265,I_TB!$E$6:$E$265,"Other Payable - Related Parties")+SUMIFS(T_GL!$J$6:$J$4005,T_GL!$M$6:$M$4005,"Other Payable - Related Parties",T_GL!$A$6:$A$4005,"&lt;="&amp;C$4))</f>
        <v>4400000000</v>
      </c>
      <c r="D26" s="10" t="n">
        <f aca="false">-(SUMIFS(I_TB!$C$6:$C$265,I_TB!$E$6:$E$265,"Other Payable - Related Parties")+SUMIFS(T_GL!$J$6:$J$4005,T_GL!$M$6:$M$4005,"Other Payable - Related Parties",T_GL!$A$6:$A$4005,"&lt;="&amp;D$4))</f>
        <v>5600000000</v>
      </c>
      <c r="E26" s="12" t="n">
        <f aca="false">D26-G26</f>
        <v>5600000000</v>
      </c>
      <c r="F26" s="11" t="n">
        <f aca="false">E26-C26</f>
        <v>1200000000</v>
      </c>
      <c r="G26" s="11" t="n">
        <f aca="false">-SUMIFS(T_Kas_Rencana!$E$6:$E$305,T_Kas_Rencana!$C$6:$C$305,"Other Payable - Related Parties",T_Kas_Rencana!$F$6:$F$305,1)+0</f>
        <v>0</v>
      </c>
    </row>
    <row r="27" customFormat="false" ht="15" hidden="false" customHeight="false" outlineLevel="0" collapsed="false">
      <c r="A27" s="18" t="s">
        <v>224</v>
      </c>
      <c r="B27" s="10" t="n">
        <f aca="false">-(SUMIFS(I_TB!$C$6:$C$265,I_TB!$E$6:$E$265,"Accrued Expenses - Third Parties")+SUMIFS(T_GL!$J$6:$J$4005,T_GL!$M$6:$M$4005,"Accrued Expenses - Third Parties",T_GL!$A$6:$A$4005,"&lt;="&amp;B$4))</f>
        <v>184202599</v>
      </c>
      <c r="C27" s="10" t="n">
        <f aca="false">-(SUMIFS(I_TB!$C$6:$C$265,I_TB!$E$6:$E$265,"Accrued Expenses - Third Parties")+SUMIFS(T_GL!$J$6:$J$4005,T_GL!$M$6:$M$4005,"Accrued Expenses - Third Parties",T_GL!$A$6:$A$4005,"&lt;="&amp;C$4))</f>
        <v>42274555</v>
      </c>
      <c r="D27" s="10" t="n">
        <f aca="false">-(SUMIFS(I_TB!$C$6:$C$265,I_TB!$E$6:$E$265,"Accrued Expenses - Third Parties")+SUMIFS(T_GL!$J$6:$J$4005,T_GL!$M$6:$M$4005,"Accrued Expenses - Third Parties",T_GL!$A$6:$A$4005,"&lt;="&amp;D$4))</f>
        <v>42274555</v>
      </c>
      <c r="E27" s="12" t="n">
        <f aca="false">D27-G27</f>
        <v>76430218.5483874</v>
      </c>
      <c r="F27" s="11" t="n">
        <f aca="false">E27-C27</f>
        <v>34155663.5483874</v>
      </c>
      <c r="G27" s="11" t="n">
        <f aca="false">-SUMIFS(T_Kas_Rencana!$E$6:$E$305,T_Kas_Rencana!$C$6:$C$305,"Accrued Expenses - Third Parties",T_Kas_Rencana!$F$6:$F$305,1)+(-$B$62+$B$66-$B$70)</f>
        <v>-34155663.5483874</v>
      </c>
    </row>
    <row r="28" customFormat="false" ht="15" hidden="false" customHeight="false" outlineLevel="0" collapsed="false">
      <c r="A28" s="18" t="s">
        <v>225</v>
      </c>
      <c r="B28" s="10" t="n">
        <f aca="false">-(SUMIFS(I_TB!$C$6:$C$265,I_TB!$E$6:$E$265,"Unearned Revenue")+SUMIFS(T_GL!$J$6:$J$4005,T_GL!$M$6:$M$4005,"Unearned Revenue",T_GL!$A$6:$A$4005,"&lt;="&amp;B$4))</f>
        <v>628415</v>
      </c>
      <c r="C28" s="10" t="n">
        <f aca="false">-(SUMIFS(I_TB!$C$6:$C$265,I_TB!$E$6:$E$265,"Unearned Revenue")+SUMIFS(T_GL!$J$6:$J$4005,T_GL!$M$6:$M$4005,"Unearned Revenue",T_GL!$A$6:$A$4005,"&lt;="&amp;C$4))</f>
        <v>727613568</v>
      </c>
      <c r="D28" s="10" t="n">
        <f aca="false">-(SUMIFS(I_TB!$C$6:$C$265,I_TB!$E$6:$E$265,"Unearned Revenue")+SUMIFS(T_GL!$J$6:$J$4005,T_GL!$M$6:$M$4005,"Unearned Revenue",T_GL!$A$6:$A$4005,"&lt;="&amp;D$4))</f>
        <v>850804668</v>
      </c>
      <c r="E28" s="12" t="n">
        <f aca="false">D28-G28</f>
        <v>931404668</v>
      </c>
      <c r="F28" s="11" t="n">
        <f aca="false">E28-C28</f>
        <v>203791100</v>
      </c>
      <c r="G28" s="11" t="n">
        <f aca="false">-SUMIFS(T_Kas_Rencana!$E$6:$E$305,T_Kas_Rencana!$C$6:$C$305,"Unearned Revenue",T_Kas_Rencana!$F$6:$F$305,1)+0</f>
        <v>-80600000</v>
      </c>
    </row>
    <row r="29" customFormat="false" ht="15" hidden="false" customHeight="false" outlineLevel="0" collapsed="false">
      <c r="A29" s="18" t="s">
        <v>226</v>
      </c>
      <c r="B29" s="10" t="n">
        <f aca="false">-(SUMIFS(I_TB!$C$6:$C$265,I_TB!$E$6:$E$265,"Taxes Payable")+SUMIFS(T_GL!$J$6:$J$4005,T_GL!$M$6:$M$4005,"Taxes Payable",T_GL!$A$6:$A$4005,"&lt;="&amp;B$4))</f>
        <v>10054483.85</v>
      </c>
      <c r="C29" s="10" t="n">
        <f aca="false">-(SUMIFS(I_TB!$C$6:$C$265,I_TB!$E$6:$E$265,"Taxes Payable")+SUMIFS(T_GL!$J$6:$J$4005,T_GL!$M$6:$M$4005,"Taxes Payable",T_GL!$A$6:$A$4005,"&lt;="&amp;C$4))</f>
        <v>13806706.01</v>
      </c>
      <c r="D29" s="10" t="n">
        <f aca="false">-(SUMIFS(I_TB!$C$6:$C$265,I_TB!$E$6:$E$265,"Taxes Payable")+SUMIFS(T_GL!$J$6:$J$4005,T_GL!$M$6:$M$4005,"Taxes Payable",T_GL!$A$6:$A$4005,"&lt;="&amp;D$4))</f>
        <v>17968277.61</v>
      </c>
      <c r="E29" s="12" t="n">
        <f aca="false">D29-G29</f>
        <v>17968277.61</v>
      </c>
      <c r="F29" s="11" t="n">
        <f aca="false">E29-C29</f>
        <v>4161571.6</v>
      </c>
      <c r="G29" s="11" t="n">
        <f aca="false">-SUMIFS(T_Kas_Rencana!$E$6:$E$305,T_Kas_Rencana!$C$6:$C$305,"Taxes Payable",T_Kas_Rencana!$F$6:$F$305,1)+0</f>
        <v>0</v>
      </c>
    </row>
    <row r="30" customFormat="false" ht="15" hidden="false" customHeight="false" outlineLevel="0" collapsed="false">
      <c r="A30" s="18" t="s">
        <v>227</v>
      </c>
      <c r="B30" s="10" t="n">
        <f aca="false">-(SUMIFS(I_TB!$C$6:$C$265,I_TB!$E$6:$E$265,"Temporary account (to reclassify)")+SUMIFS(T_GL!$J$6:$J$4005,T_GL!$M$6:$M$4005,"Temporary account (to reclassify)",T_GL!$A$6:$A$4005,"&lt;="&amp;B$4))</f>
        <v>-0</v>
      </c>
      <c r="C30" s="10" t="n">
        <f aca="false">-(SUMIFS(I_TB!$C$6:$C$265,I_TB!$E$6:$E$265,"Temporary account (to reclassify)")+SUMIFS(T_GL!$J$6:$J$4005,T_GL!$M$6:$M$4005,"Temporary account (to reclassify)",T_GL!$A$6:$A$4005,"&lt;="&amp;C$4))</f>
        <v>-0</v>
      </c>
      <c r="D30" s="10" t="n">
        <f aca="false">-(SUMIFS(I_TB!$C$6:$C$265,I_TB!$E$6:$E$265,"Temporary account (to reclassify)")+SUMIFS(T_GL!$J$6:$J$4005,T_GL!$M$6:$M$4005,"Temporary account (to reclassify)",T_GL!$A$6:$A$4005,"&lt;="&amp;D$4))</f>
        <v>-0</v>
      </c>
      <c r="E30" s="12" t="n">
        <f aca="false">D30-G30</f>
        <v>-0</v>
      </c>
      <c r="F30" s="11" t="n">
        <f aca="false">E30-C30</f>
        <v>0</v>
      </c>
      <c r="G30" s="11" t="n">
        <f aca="false">-SUMIFS(T_Kas_Rencana!$E$6:$E$305,T_Kas_Rencana!$C$6:$C$305,"Temporary account (to reclassify)",T_Kas_Rencana!$F$6:$F$305,1)+0</f>
        <v>0</v>
      </c>
    </row>
    <row r="31" customFormat="false" ht="15" hidden="false" customHeight="false" outlineLevel="0" collapsed="false">
      <c r="A31" s="14" t="s">
        <v>228</v>
      </c>
      <c r="B31" s="15" t="n">
        <f aca="false">SUM(B23:B30)</f>
        <v>4945619262.95</v>
      </c>
      <c r="C31" s="15" t="n">
        <f aca="false">SUM(C23:C30)</f>
        <v>4938576522.68</v>
      </c>
      <c r="D31" s="15" t="n">
        <f aca="false">SUM(D23:D30)</f>
        <v>7753025773.68</v>
      </c>
      <c r="E31" s="15" t="n">
        <f aca="false">SUM(E23:E30)</f>
        <v>6824442475.41639</v>
      </c>
      <c r="F31" s="15" t="n">
        <f aca="false">SUM(F23:F30)</f>
        <v>1885865952.73639</v>
      </c>
    </row>
    <row r="33" customFormat="false" ht="15" hidden="false" customHeight="false" outlineLevel="0" collapsed="false">
      <c r="A33" s="21" t="s">
        <v>229</v>
      </c>
      <c r="B33" s="32"/>
      <c r="C33" s="32"/>
      <c r="D33" s="32"/>
      <c r="E33" s="32"/>
      <c r="F33" s="32"/>
      <c r="G33" s="32"/>
    </row>
    <row r="34" customFormat="false" ht="15" hidden="false" customHeight="false" outlineLevel="0" collapsed="false">
      <c r="A34" s="18" t="s">
        <v>230</v>
      </c>
      <c r="B34" s="10" t="n">
        <f aca="false">-(SUMIFS(I_TB!$C$6:$C$265,I_TB!$E$6:$E$265,"Shareholder Equity")+SUMIFS(T_GL!$J$6:$J$4005,T_GL!$M$6:$M$4005,"Shareholder Equity",T_GL!$A$6:$A$4005,"&lt;="&amp;B$4))</f>
        <v>5000000000</v>
      </c>
      <c r="C34" s="10" t="n">
        <f aca="false">-(SUMIFS(I_TB!$C$6:$C$265,I_TB!$E$6:$E$265,"Shareholder Equity")+SUMIFS(T_GL!$J$6:$J$4005,T_GL!$M$6:$M$4005,"Shareholder Equity",T_GL!$A$6:$A$4005,"&lt;="&amp;C$4))</f>
        <v>5000000000</v>
      </c>
      <c r="D34" s="10" t="n">
        <f aca="false">-(SUMIFS(I_TB!$C$6:$C$265,I_TB!$E$6:$E$265,"Shareholder Equity")+SUMIFS(T_GL!$J$6:$J$4005,T_GL!$M$6:$M$4005,"Shareholder Equity",T_GL!$A$6:$A$4005,"&lt;="&amp;D$4))</f>
        <v>5000000000</v>
      </c>
      <c r="E34" s="12" t="n">
        <f aca="false">D34-G34</f>
        <v>5000000000</v>
      </c>
      <c r="F34" s="11" t="n">
        <f aca="false">E34-C34</f>
        <v>0</v>
      </c>
      <c r="G34" s="11" t="n">
        <f aca="false">-SUMIFS(T_Kas_Rencana!$E$6:$E$305,T_Kas_Rencana!$C$6:$C$305,"Shareholder Equity",T_Kas_Rencana!$F$6:$F$305,1)+0</f>
        <v>0</v>
      </c>
    </row>
    <row r="35" customFormat="false" ht="15" hidden="false" customHeight="false" outlineLevel="0" collapsed="false">
      <c r="A35" s="18" t="s">
        <v>231</v>
      </c>
      <c r="B35" s="10" t="n">
        <f aca="false">-(SUMIFS(I_TB!$C$6:$C$265,I_TB!$E$6:$E$265,"Retained earnings")+SUMIFS(T_GL!$J$6:$J$4005,T_GL!$M$6:$M$4005,"Retained earnings",T_GL!$A$6:$A$4005,"&lt;="&amp;B$4))</f>
        <v>-2698434668.62</v>
      </c>
      <c r="C35" s="10" t="n">
        <f aca="false">-(SUMIFS(I_TB!$C$6:$C$265,I_TB!$E$6:$E$265,"Retained earnings")+SUMIFS(T_GL!$J$6:$J$4005,T_GL!$M$6:$M$4005,"Retained earnings",T_GL!$A$6:$A$4005,"&lt;="&amp;C$4))</f>
        <v>-2698434668.62</v>
      </c>
      <c r="D35" s="10" t="n">
        <f aca="false">-(SUMIFS(I_TB!$C$6:$C$265,I_TB!$E$6:$E$265,"Retained earnings")+SUMIFS(T_GL!$J$6:$J$4005,T_GL!$M$6:$M$4005,"Retained earnings",T_GL!$A$6:$A$4005,"&lt;="&amp;D$4))</f>
        <v>-2698434668.62</v>
      </c>
      <c r="E35" s="12" t="n">
        <f aca="false">D35-G35</f>
        <v>-2698434668.62</v>
      </c>
      <c r="F35" s="11" t="n">
        <f aca="false">E35-C35</f>
        <v>0</v>
      </c>
      <c r="G35" s="11" t="n">
        <f aca="false">-SUMIFS(T_Kas_Rencana!$E$6:$E$305,T_Kas_Rencana!$C$6:$C$305,"Retained earnings",T_Kas_Rencana!$F$6:$F$305,1)+0</f>
        <v>0</v>
      </c>
    </row>
    <row r="36" customFormat="false" ht="15" hidden="false" customHeight="false" outlineLevel="0" collapsed="false">
      <c r="A36" s="18" t="s">
        <v>232</v>
      </c>
      <c r="B36" s="10" t="n">
        <f aca="false">-(SUMIFS(I_TB!$C$6:$C$265,I_TB!$D$6:$D$265,"LabaRugi")+SUMIFS(T_GL!$J$6:$J$4005,T_GL!$K$6:$K$4005,"LabaRugi",T_GL!$A$6:$A$4005,"&lt;="&amp;B$4))</f>
        <v>-662435458.95</v>
      </c>
      <c r="C36" s="10" t="n">
        <f aca="false">-(SUMIFS(I_TB!$C$6:$C$265,I_TB!$D$6:$D$265,"LabaRugi")+SUMIFS(T_GL!$J$6:$J$4005,T_GL!$K$6:$K$4005,"LabaRugi",T_GL!$A$6:$A$4005,"&lt;="&amp;C$4))</f>
        <v>-487143288.19</v>
      </c>
      <c r="D36" s="10" t="n">
        <f aca="false">-(SUMIFS(I_TB!$C$6:$C$265,I_TB!$D$6:$D$265,"LabaRugi")+SUMIFS(T_GL!$J$6:$J$4005,T_GL!$K$6:$K$4005,"LabaRugi",T_GL!$A$6:$A$4005,"&lt;="&amp;D$4))</f>
        <v>-497185678.25</v>
      </c>
      <c r="E36" s="12" t="n">
        <f aca="false">D36-G36</f>
        <v>-594719417.111969</v>
      </c>
      <c r="F36" s="11" t="n">
        <f aca="false">E36-C36</f>
        <v>-107576128.921969</v>
      </c>
      <c r="G36" s="11" t="n">
        <f aca="false">-$B$72</f>
        <v>97533738.8619689</v>
      </c>
    </row>
    <row r="37" customFormat="false" ht="15" hidden="false" customHeight="false" outlineLevel="0" collapsed="false">
      <c r="A37" s="14" t="s">
        <v>233</v>
      </c>
      <c r="B37" s="15" t="n">
        <f aca="false">SUM(B34:B36)</f>
        <v>1639129872.43</v>
      </c>
      <c r="C37" s="15" t="n">
        <f aca="false">SUM(C34:C36)</f>
        <v>1814422043.19</v>
      </c>
      <c r="D37" s="15" t="n">
        <f aca="false">SUM(D34:D36)</f>
        <v>1804379653.13</v>
      </c>
      <c r="E37" s="15" t="n">
        <f aca="false">SUM(E34:E36)</f>
        <v>1706845914.26803</v>
      </c>
      <c r="F37" s="15" t="n">
        <f aca="false">SUM(F34:F36)</f>
        <v>-107576128.921969</v>
      </c>
    </row>
    <row r="38" customFormat="false" ht="15" hidden="false" customHeight="false" outlineLevel="0" collapsed="false">
      <c r="A38" s="14" t="s">
        <v>234</v>
      </c>
      <c r="B38" s="15" t="n">
        <f aca="false">B31+B37</f>
        <v>6584749135.38</v>
      </c>
      <c r="C38" s="15" t="n">
        <f aca="false">C31+C37</f>
        <v>6752998565.87</v>
      </c>
      <c r="D38" s="15" t="n">
        <f aca="false">D31+D37</f>
        <v>9557405426.81</v>
      </c>
      <c r="E38" s="15" t="n">
        <f aca="false">E31+E37</f>
        <v>8531288389.68442</v>
      </c>
      <c r="F38" s="15" t="n">
        <f aca="false">F31+F37</f>
        <v>1778289823.81442</v>
      </c>
    </row>
    <row r="39" customFormat="false" ht="15" hidden="false" customHeight="false" outlineLevel="0" collapsed="false">
      <c r="A39" s="9" t="s">
        <v>235</v>
      </c>
      <c r="B39" s="12" t="n">
        <f aca="false">ROUND(B20-B38,0)</f>
        <v>0</v>
      </c>
      <c r="C39" s="12" t="n">
        <f aca="false">ROUND(C20-C38,0)</f>
        <v>0</v>
      </c>
      <c r="D39" s="12" t="n">
        <f aca="false">ROUND(D20-D38,0)</f>
        <v>0</v>
      </c>
      <c r="E39" s="12" t="n">
        <f aca="false">ROUND(E20-E38,0)</f>
        <v>0</v>
      </c>
      <c r="F39" s="12" t="n">
        <f aca="false">ROUND(F20-F38,0)</f>
        <v>0</v>
      </c>
    </row>
    <row r="59" customFormat="false" ht="15" hidden="false" customHeight="false" outlineLevel="0" collapsed="false">
      <c r="A59" s="7" t="s">
        <v>236</v>
      </c>
    </row>
    <row r="60" customFormat="false" ht="15" hidden="false" customHeight="false" outlineLevel="0" collapsed="false">
      <c r="A60" s="18" t="s">
        <v>237</v>
      </c>
      <c r="B60" s="10" t="n">
        <f aca="false">SUMIFS(T_Batch!$S$6:$S$55,T_Batch!$B$6:$B$55,"Rencana",T_Batch!$A$6:$A$55,"&gt;="&amp;I_Parameter!$C$4,T_Batch!$A$6:$A$55,"&lt;="&amp;I_Parameter!$C$6)</f>
        <v>752556467.888</v>
      </c>
    </row>
    <row r="61" customFormat="false" ht="15" hidden="false" customHeight="false" outlineLevel="0" collapsed="false">
      <c r="A61" s="18" t="s">
        <v>238</v>
      </c>
      <c r="B61" s="10" t="n">
        <f aca="false">SUMIFS(T_Batch!$R$6:$R$55,T_Batch!$B$6:$B$55,"Rencana",T_Batch!$A$6:$A$55,"&gt;="&amp;I_Parameter!$C$4,T_Batch!$A$6:$A$55,"&lt;="&amp;I_Parameter!$C$6)</f>
        <v>682194387.888</v>
      </c>
    </row>
    <row r="62" customFormat="false" ht="15" hidden="false" customHeight="false" outlineLevel="0" collapsed="false">
      <c r="A62" s="18" t="s">
        <v>239</v>
      </c>
      <c r="B62" s="10" t="n">
        <f aca="false">SUMIFS(T_Batch!$G$6:$G$55,T_Batch!$B$6:$B$55,"Rencana",T_Batch!$A$6:$A$55,"&gt;="&amp;I_Parameter!$C$4,T_Batch!$A$6:$A$55,"&lt;="&amp;I_Parameter!$C$6)+SUMIFS(T_Batch!$H$6:$H$55,T_Batch!$B$6:$B$55,"Rencana",T_Batch!$A$6:$A$55,"&gt;="&amp;I_Parameter!$C$4,T_Batch!$A$6:$A$55,"&lt;="&amp;I_Parameter!$C$6)</f>
        <v>70362080</v>
      </c>
    </row>
    <row r="63" customFormat="false" ht="15" hidden="false" customHeight="false" outlineLevel="0" collapsed="false">
      <c r="A63" s="18" t="s">
        <v>240</v>
      </c>
      <c r="B63" s="10" t="n">
        <f aca="false">SUMIFS(T_Penerimaan!$K$6:$K$1005,T_Penerimaan!$C$6:$C$1005,"Beli Trading",T_Penerimaan!$B$6:$B$1005,"Rencana",T_Penerimaan!$M$6:$M$1005,1)</f>
        <v>199999968.3</v>
      </c>
    </row>
    <row r="64" customFormat="false" ht="15" hidden="false" customHeight="false" outlineLevel="0" collapsed="false">
      <c r="A64" s="18" t="s">
        <v>241</v>
      </c>
      <c r="B64" s="10" t="n">
        <f aca="false">SUMIFS(T_Batch!$R$6:$R$55,T_Batch!$B$6:$B$55,"Rencana",T_Batch!$A$6:$A$55,"&gt;="&amp;(I_Parameter!$C$4-I_Parameter!$C$14),T_Batch!$A$6:$A$55,"&lt;="&amp;(I_Parameter!$C$6-I_Parameter!$C$14))</f>
        <v>0</v>
      </c>
    </row>
    <row r="65" customFormat="false" ht="15" hidden="false" customHeight="false" outlineLevel="0" collapsed="false">
      <c r="A65" s="18" t="s">
        <v>242</v>
      </c>
      <c r="B65" s="10" t="n">
        <f aca="false">SUMIFS(T_Penerimaan!$K$6:$K$1005,T_Penerimaan!$C$6:$C$1005,"Beli Trading",T_Penerimaan!$B$6:$B$1005,"Rencana",T_Penerimaan!$A$6:$A$1005,"&gt;="&amp;(I_Parameter!$C$4-I_Parameter!$C$15),T_Penerimaan!$A$6:$A$1005,"&lt;="&amp;(I_Parameter!$C$6-I_Parameter!$C$15))</f>
        <v>0</v>
      </c>
    </row>
    <row r="66" customFormat="false" ht="15" hidden="false" customHeight="false" outlineLevel="0" collapsed="false">
      <c r="A66" s="18" t="s">
        <v>243</v>
      </c>
      <c r="B66" s="10" t="n">
        <f aca="false">SUMIFS(T_Batch!$G$6:$G$55,T_Batch!$B$6:$B$55,"Rencana",T_Batch!$A$6:$A$55,"&gt;="&amp;(I_Parameter!$C$4-I_Parameter!$C$48),T_Batch!$A$6:$A$55,"&lt;="&amp;(I_Parameter!$C$6-I_Parameter!$C$48))+SUMIFS(T_Batch!$H$6:$H$55,T_Batch!$B$6:$B$55,"Rencana",T_Batch!$A$6:$A$55,"&gt;="&amp;(I_Parameter!$C$4-I_Parameter!$C$48),T_Batch!$A$6:$A$55,"&lt;="&amp;(I_Parameter!$C$6-I_Parameter!$C$48))</f>
        <v>0</v>
      </c>
    </row>
    <row r="67" customFormat="false" ht="15" hidden="false" customHeight="false" outlineLevel="0" collapsed="false">
      <c r="A67" s="18" t="s">
        <v>244</v>
      </c>
      <c r="B67" s="10" t="n">
        <f aca="false">O_PnL!D9</f>
        <v>1067825460.4</v>
      </c>
    </row>
    <row r="68" customFormat="false" ht="15" hidden="false" customHeight="false" outlineLevel="0" collapsed="false">
      <c r="A68" s="18" t="s">
        <v>245</v>
      </c>
      <c r="B68" s="10" t="n">
        <f aca="false">-O_PnL!D10</f>
        <v>683905993.865249</v>
      </c>
    </row>
    <row r="69" customFormat="false" ht="15" hidden="false" customHeight="false" outlineLevel="0" collapsed="false">
      <c r="A69" s="18" t="s">
        <v>246</v>
      </c>
      <c r="B69" s="10" t="n">
        <f aca="false">-O_PnL!D11</f>
        <v>436456824.106397</v>
      </c>
    </row>
    <row r="70" customFormat="false" ht="15" hidden="false" customHeight="false" outlineLevel="0" collapsed="false">
      <c r="A70" s="18" t="s">
        <v>247</v>
      </c>
      <c r="B70" s="10" t="n">
        <f aca="false">-(O_PnL!D35-O_PnL!D9-O_PnL!D10-O_PnL!D11)</f>
        <v>43655289.5483874</v>
      </c>
    </row>
    <row r="71" customFormat="false" ht="15" hidden="false" customHeight="false" outlineLevel="0" collapsed="false">
      <c r="A71" s="18" t="s">
        <v>248</v>
      </c>
      <c r="B71" s="10" t="n">
        <f aca="false">-O_PnL!D36</f>
        <v>1341091.74193548</v>
      </c>
    </row>
    <row r="72" customFormat="false" ht="15" hidden="false" customHeight="false" outlineLevel="0" collapsed="false">
      <c r="A72" s="18" t="s">
        <v>249</v>
      </c>
      <c r="B72" s="10" t="n">
        <f aca="false">O_PnL!D37</f>
        <v>-97533738.8619689</v>
      </c>
    </row>
    <row r="73" customFormat="false" ht="15" hidden="false" customHeight="false" outlineLevel="0" collapsed="false">
      <c r="A73" s="18" t="s">
        <v>250</v>
      </c>
      <c r="B73" s="10" t="n">
        <f aca="false">O_CF!D18</f>
        <v>-471053116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"/>
    <col collapsed="false" customWidth="true" hidden="false" outlineLevel="0" max="7" min="7" style="0" width="12"/>
    <col collapsed="false" customWidth="true" hidden="false" outlineLevel="0" max="10" min="8" style="0" width="16"/>
  </cols>
  <sheetData>
    <row r="1" customFormat="false" ht="16.1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6" t="s">
        <v>252</v>
      </c>
    </row>
    <row r="5" customFormat="false" ht="43.5" hidden="false" customHeight="true" outlineLevel="0" collapsed="false">
      <c r="A5" s="8" t="s">
        <v>253</v>
      </c>
      <c r="B5" s="8" t="s">
        <v>150</v>
      </c>
      <c r="C5" s="8" t="s">
        <v>151</v>
      </c>
      <c r="D5" s="8" t="s">
        <v>254</v>
      </c>
      <c r="E5" s="8" t="s">
        <v>134</v>
      </c>
    </row>
    <row r="6" customFormat="false" ht="15" hidden="false" customHeight="false" outlineLevel="0" collapsed="false">
      <c r="A6" s="18" t="s">
        <v>255</v>
      </c>
      <c r="B6" s="10" t="n">
        <f aca="false">SUMIFS(T_GL!$J$6:$J$4005,T_GL!$S$6:$S$4005,"Penerimaan dari pelanggan",T_GL!$A$6:$A$4005,"&gt;="&amp;(I_Parameter!$C$5-7),T_GL!$A$6:$A$4005,"&lt;="&amp;(I_Parameter!$C$5-1))</f>
        <v>1602851638</v>
      </c>
      <c r="C6" s="10" t="n">
        <f aca="false">SUMIFS(T_GL!$J$6:$J$4005,T_GL!$S$6:$S$4005,"Penerimaan dari pelanggan",T_GL!$A$6:$A$4005,"&gt;="&amp;I_Parameter!$C$5,T_GL!$A$6:$A$4005,"&lt;="&amp;(I_Parameter!$C$4-1))</f>
        <v>358371900</v>
      </c>
      <c r="D6" s="10" t="n">
        <f aca="false">SUMIFS(T_Kas_Rencana!$E$6:$E$305,T_Kas_Rencana!$B$6:$B$305,"Penerimaan dari pelanggan",T_Kas_Rencana!$F$6:$F$305,1)</f>
        <v>1514506548</v>
      </c>
      <c r="E6" s="11" t="n">
        <f aca="false">C6+D6</f>
        <v>1872878448</v>
      </c>
    </row>
    <row r="7" customFormat="false" ht="15" hidden="false" customHeight="false" outlineLevel="0" collapsed="false">
      <c r="A7" s="18" t="s">
        <v>256</v>
      </c>
      <c r="B7" s="10" t="n">
        <f aca="false">SUMIFS(T_GL!$J$6:$J$4005,T_GL!$S$6:$S$4005,"Penerimaan lain",T_GL!$A$6:$A$4005,"&gt;="&amp;(I_Parameter!$C$5-7),T_GL!$A$6:$A$4005,"&lt;="&amp;(I_Parameter!$C$5-1))</f>
        <v>0</v>
      </c>
      <c r="C7" s="10" t="n">
        <f aca="false">SUMIFS(T_GL!$J$6:$J$4005,T_GL!$S$6:$S$4005,"Penerimaan lain",T_GL!$A$6:$A$4005,"&gt;="&amp;I_Parameter!$C$5,T_GL!$A$6:$A$4005,"&lt;="&amp;(I_Parameter!$C$4-1))</f>
        <v>0</v>
      </c>
      <c r="D7" s="10" t="n">
        <f aca="false">SUMIFS(T_Kas_Rencana!$E$6:$E$305,T_Kas_Rencana!$B$6:$B$305,"Penerimaan lain",T_Kas_Rencana!$F$6:$F$305,1)</f>
        <v>0</v>
      </c>
      <c r="E7" s="11" t="n">
        <f aca="false">C7+D7</f>
        <v>0</v>
      </c>
    </row>
    <row r="8" customFormat="false" ht="15" hidden="false" customHeight="false" outlineLevel="0" collapsed="false">
      <c r="A8" s="18" t="s">
        <v>257</v>
      </c>
      <c r="B8" s="10" t="n">
        <f aca="false">SUMIFS(T_GL!$J$6:$J$4005,T_GL!$S$6:$S$4005,"Bayar pemasok barang (live bird &amp; trading)",T_GL!$A$6:$A$4005,"&gt;="&amp;(I_Parameter!$C$5-7),T_GL!$A$6:$A$4005,"&lt;="&amp;(I_Parameter!$C$5-1))</f>
        <v>-2131309780</v>
      </c>
      <c r="C8" s="10" t="n">
        <f aca="false">SUMIFS(T_GL!$J$6:$J$4005,T_GL!$S$6:$S$4005,"Bayar pemasok barang (live bird &amp; trading)",T_GL!$A$6:$A$4005,"&gt;="&amp;I_Parameter!$C$5,T_GL!$A$6:$A$4005,"&lt;="&amp;(I_Parameter!$C$4-1))</f>
        <v>-588766720</v>
      </c>
      <c r="D8" s="10" t="n">
        <f aca="false">SUMIFS(T_Kas_Rencana!$E$6:$E$305,T_Kas_Rencana!$B$6:$B$305,"Bayar pemasok barang (live bird &amp; trading)",T_Kas_Rencana!$F$6:$F$305,1)-O_BS!$B$64-O_BS!$B$65</f>
        <v>-736186640</v>
      </c>
      <c r="E8" s="11" t="n">
        <f aca="false">C8+D8</f>
        <v>-1324953360</v>
      </c>
    </row>
    <row r="9" customFormat="false" ht="15" hidden="false" customHeight="false" outlineLevel="0" collapsed="false">
      <c r="A9" s="18" t="s">
        <v>258</v>
      </c>
      <c r="B9" s="10" t="n">
        <f aca="false">SUMIFS(T_GL!$J$6:$J$4005,T_GL!$S$6:$S$4005,"Bayar jasa (maklon, angkut, cold storage, sewa)",T_GL!$A$6:$A$4005,"&gt;="&amp;(I_Parameter!$C$5-7),T_GL!$A$6:$A$4005,"&lt;="&amp;(I_Parameter!$C$5-1))</f>
        <v>-230971062</v>
      </c>
      <c r="C9" s="10" t="n">
        <f aca="false">SUMIFS(T_GL!$J$6:$J$4005,T_GL!$S$6:$S$4005,"Bayar jasa (maklon, angkut, cold storage, sewa)",T_GL!$A$6:$A$4005,"&gt;="&amp;I_Parameter!$C$5,T_GL!$A$6:$A$4005,"&lt;="&amp;(I_Parameter!$C$4-1))</f>
        <v>-59445000</v>
      </c>
      <c r="D9" s="10" t="n">
        <f aca="false">SUMIFS(T_Kas_Rencana!$E$6:$E$305,T_Kas_Rencana!$B$6:$B$305,"Bayar jasa (maklon, angkut, cold storage, sewa)",T_Kas_Rencana!$F$6:$F$305,1)-O_BS!$B$66</f>
        <v>-1169511318</v>
      </c>
      <c r="E9" s="11" t="n">
        <f aca="false">C9+D9</f>
        <v>-1228956318</v>
      </c>
    </row>
    <row r="10" customFormat="false" ht="15" hidden="false" customHeight="false" outlineLevel="0" collapsed="false">
      <c r="A10" s="18" t="s">
        <v>259</v>
      </c>
      <c r="B10" s="10" t="n">
        <f aca="false">SUMIFS(T_GL!$J$6:$J$4005,T_GL!$S$6:$S$4005,"Bayar karyawan",T_GL!$A$6:$A$4005,"&gt;="&amp;(I_Parameter!$C$5-7),T_GL!$A$6:$A$4005,"&lt;="&amp;(I_Parameter!$C$5-1))</f>
        <v>-5823844</v>
      </c>
      <c r="C10" s="10" t="n">
        <f aca="false">SUMIFS(T_GL!$J$6:$J$4005,T_GL!$S$6:$S$4005,"Bayar karyawan",T_GL!$A$6:$A$4005,"&gt;="&amp;I_Parameter!$C$5,T_GL!$A$6:$A$4005,"&lt;="&amp;(I_Parameter!$C$4-1))</f>
        <v>0</v>
      </c>
      <c r="D10" s="10" t="n">
        <f aca="false">SUMIFS(T_Kas_Rencana!$E$6:$E$305,T_Kas_Rencana!$B$6:$B$305,"Bayar karyawan",T_Kas_Rencana!$F$6:$F$305,1)</f>
        <v>-79741706</v>
      </c>
      <c r="E10" s="11" t="n">
        <f aca="false">C10+D10</f>
        <v>-79741706</v>
      </c>
    </row>
    <row r="11" customFormat="false" ht="15" hidden="false" customHeight="false" outlineLevel="0" collapsed="false">
      <c r="A11" s="18" t="s">
        <v>260</v>
      </c>
      <c r="B11" s="10" t="n">
        <f aca="false">SUMIFS(T_GL!$J$6:$J$4005,T_GL!$S$6:$S$4005,"Bayar biaya operasional lain",T_GL!$A$6:$A$4005,"&gt;="&amp;(I_Parameter!$C$5-7),T_GL!$A$6:$A$4005,"&lt;="&amp;(I_Parameter!$C$5-1))</f>
        <v>-20053416</v>
      </c>
      <c r="C11" s="10" t="n">
        <f aca="false">SUMIFS(T_GL!$J$6:$J$4005,T_GL!$S$6:$S$4005,"Bayar biaya operasional lain",T_GL!$A$6:$A$4005,"&gt;="&amp;I_Parameter!$C$5,T_GL!$A$6:$A$4005,"&lt;="&amp;(I_Parameter!$C$4-1))</f>
        <v>0</v>
      </c>
      <c r="D11" s="10" t="n">
        <f aca="false">SUMIFS(T_Kas_Rencana!$E$6:$E$305,T_Kas_Rencana!$B$6:$B$305,"Bayar biaya operasional lain",T_Kas_Rencana!$F$6:$F$305,1)</f>
        <v>0</v>
      </c>
      <c r="E11" s="11" t="n">
        <f aca="false">C11+D11</f>
        <v>0</v>
      </c>
    </row>
    <row r="12" customFormat="false" ht="15" hidden="false" customHeight="false" outlineLevel="0" collapsed="false">
      <c r="A12" s="18" t="s">
        <v>261</v>
      </c>
      <c r="B12" s="10" t="n">
        <f aca="false">SUMIFS(T_GL!$J$6:$J$4005,T_GL!$S$6:$S$4005,"Bayar pajak",T_GL!$A$6:$A$4005,"&gt;="&amp;(I_Parameter!$C$5-7),T_GL!$A$6:$A$4005,"&lt;="&amp;(I_Parameter!$C$5-1))</f>
        <v>0</v>
      </c>
      <c r="C12" s="10" t="n">
        <f aca="false">SUMIFS(T_GL!$J$6:$J$4005,T_GL!$S$6:$S$4005,"Bayar pajak",T_GL!$A$6:$A$4005,"&gt;="&amp;I_Parameter!$C$5,T_GL!$A$6:$A$4005,"&lt;="&amp;(I_Parameter!$C$4-1))</f>
        <v>0</v>
      </c>
      <c r="D12" s="10" t="n">
        <f aca="false">SUMIFS(T_Kas_Rencana!$E$6:$E$305,T_Kas_Rencana!$B$6:$B$305,"Bayar pajak",T_Kas_Rencana!$F$6:$F$305,1)</f>
        <v>0</v>
      </c>
      <c r="E12" s="11" t="n">
        <f aca="false">C12+D12</f>
        <v>0</v>
      </c>
    </row>
    <row r="13" customFormat="false" ht="15" hidden="false" customHeight="false" outlineLevel="0" collapsed="false">
      <c r="A13" s="18" t="s">
        <v>262</v>
      </c>
      <c r="B13" s="10" t="n">
        <f aca="false">SUMIFS(T_GL!$J$6:$J$4005,T_GL!$S$6:$S$4005,"Bunga &amp; biaya bank",T_GL!$A$6:$A$4005,"&gt;="&amp;(I_Parameter!$C$5-7),T_GL!$A$6:$A$4005,"&lt;="&amp;(I_Parameter!$C$5-1))</f>
        <v>-10000</v>
      </c>
      <c r="C13" s="10" t="n">
        <f aca="false">SUMIFS(T_GL!$J$6:$J$4005,T_GL!$S$6:$S$4005,"Bunga &amp; biaya bank",T_GL!$A$6:$A$4005,"&gt;="&amp;I_Parameter!$C$5,T_GL!$A$6:$A$4005,"&lt;="&amp;(I_Parameter!$C$4-1))</f>
        <v>0</v>
      </c>
      <c r="D13" s="10" t="n">
        <f aca="false">SUMIFS(T_Kas_Rencana!$E$6:$E$305,T_Kas_Rencana!$B$6:$B$305,"Bunga &amp; biaya bank",T_Kas_Rencana!$F$6:$F$305,1)</f>
        <v>-120000</v>
      </c>
      <c r="E13" s="11" t="n">
        <f aca="false">C13+D13</f>
        <v>-120000</v>
      </c>
    </row>
    <row r="14" customFormat="false" ht="15" hidden="false" customHeight="false" outlineLevel="0" collapsed="false">
      <c r="A14" s="18" t="s">
        <v>263</v>
      </c>
      <c r="B14" s="10" t="n">
        <f aca="false">SUMIFS(T_GL!$J$6:$J$4005,T_GL!$S$6:$S$4005,"Belanja aset tetap",T_GL!$A$6:$A$4005,"&gt;="&amp;(I_Parameter!$C$5-7),T_GL!$A$6:$A$4005,"&lt;="&amp;(I_Parameter!$C$5-1))</f>
        <v>0</v>
      </c>
      <c r="C14" s="10" t="n">
        <f aca="false">SUMIFS(T_GL!$J$6:$J$4005,T_GL!$S$6:$S$4005,"Belanja aset tetap",T_GL!$A$6:$A$4005,"&gt;="&amp;I_Parameter!$C$5,T_GL!$A$6:$A$4005,"&lt;="&amp;(I_Parameter!$C$4-1))</f>
        <v>0</v>
      </c>
      <c r="D14" s="10" t="n">
        <f aca="false">SUMIFS(T_Kas_Rencana!$E$6:$E$305,T_Kas_Rencana!$B$6:$B$305,"Belanja aset tetap",T_Kas_Rencana!$F$6:$F$305,1)</f>
        <v>0</v>
      </c>
      <c r="E14" s="11" t="n">
        <f aca="false">C14+D14</f>
        <v>0</v>
      </c>
    </row>
    <row r="15" customFormat="false" ht="15" hidden="false" customHeight="false" outlineLevel="0" collapsed="false">
      <c r="A15" s="18" t="s">
        <v>264</v>
      </c>
      <c r="B15" s="10" t="n">
        <f aca="false">SUMIFS(T_GL!$J$6:$J$4005,T_GL!$S$6:$S$4005,"Pinjaman afiliasi (net)",T_GL!$A$6:$A$4005,"&gt;="&amp;(I_Parameter!$C$5-7),T_GL!$A$6:$A$4005,"&lt;="&amp;(I_Parameter!$C$5-1))</f>
        <v>0</v>
      </c>
      <c r="C15" s="10" t="n">
        <f aca="false">SUMIFS(T_GL!$J$6:$J$4005,T_GL!$S$6:$S$4005,"Pinjaman afiliasi (net)",T_GL!$A$6:$A$4005,"&gt;="&amp;I_Parameter!$C$5,T_GL!$A$6:$A$4005,"&lt;="&amp;(I_Parameter!$C$4-1))</f>
        <v>1200000000</v>
      </c>
      <c r="D15" s="10" t="n">
        <f aca="false">SUMIFS(T_Kas_Rencana!$E$6:$E$305,T_Kas_Rencana!$B$6:$B$305,"Pinjaman afiliasi (net)",T_Kas_Rencana!$F$6:$F$305,1)</f>
        <v>0</v>
      </c>
      <c r="E15" s="11" t="n">
        <f aca="false">C15+D15</f>
        <v>1200000000</v>
      </c>
    </row>
    <row r="16" customFormat="false" ht="15" hidden="false" customHeight="false" outlineLevel="0" collapsed="false">
      <c r="A16" s="18" t="s">
        <v>265</v>
      </c>
      <c r="B16" s="10" t="n">
        <f aca="false">SUMIFS(T_GL!$J$6:$J$4005,T_GL!$S$6:$S$4005,"Setoran modal",T_GL!$A$6:$A$4005,"&gt;="&amp;(I_Parameter!$C$5-7),T_GL!$A$6:$A$4005,"&lt;="&amp;(I_Parameter!$C$5-1))</f>
        <v>0</v>
      </c>
      <c r="C16" s="10" t="n">
        <f aca="false">SUMIFS(T_GL!$J$6:$J$4005,T_GL!$S$6:$S$4005,"Setoran modal",T_GL!$A$6:$A$4005,"&gt;="&amp;I_Parameter!$C$5,T_GL!$A$6:$A$4005,"&lt;="&amp;(I_Parameter!$C$4-1))</f>
        <v>0</v>
      </c>
      <c r="D16" s="10" t="n">
        <f aca="false">SUMIFS(T_Kas_Rencana!$E$6:$E$305,T_Kas_Rencana!$B$6:$B$305,"Setoran modal",T_Kas_Rencana!$F$6:$F$305,1)</f>
        <v>0</v>
      </c>
      <c r="E16" s="11" t="n">
        <f aca="false">C16+D16</f>
        <v>0</v>
      </c>
    </row>
    <row r="17" customFormat="false" ht="15" hidden="false" customHeight="false" outlineLevel="0" collapsed="false">
      <c r="A17" s="18" t="s">
        <v>266</v>
      </c>
      <c r="B17" s="10" t="n">
        <f aca="false">SUMIFS(T_GL!$J$6:$J$4005,T_GL!$S$6:$S$4005,"Transfer antar rekening",T_GL!$A$6:$A$4005,"&gt;="&amp;(I_Parameter!$C$5-7),T_GL!$A$6:$A$4005,"&lt;="&amp;(I_Parameter!$C$5-1))</f>
        <v>0</v>
      </c>
      <c r="C17" s="10" t="n">
        <f aca="false">SUMIFS(T_GL!$J$6:$J$4005,T_GL!$S$6:$S$4005,"Transfer antar rekening",T_GL!$A$6:$A$4005,"&gt;="&amp;I_Parameter!$C$5,T_GL!$A$6:$A$4005,"&lt;="&amp;(I_Parameter!$C$4-1))</f>
        <v>0</v>
      </c>
      <c r="D17" s="10" t="n">
        <f aca="false">SUMIFS(T_Kas_Rencana!$E$6:$E$305,T_Kas_Rencana!$B$6:$B$305,"Transfer antar rekening",T_Kas_Rencana!$F$6:$F$305,1)</f>
        <v>0</v>
      </c>
      <c r="E17" s="11" t="n">
        <f aca="false">C17+D17</f>
        <v>0</v>
      </c>
    </row>
    <row r="18" customFormat="false" ht="15" hidden="false" customHeight="false" outlineLevel="0" collapsed="false">
      <c r="A18" s="14" t="s">
        <v>267</v>
      </c>
      <c r="B18" s="15" t="n">
        <f aca="false">SUM(B6:B17)</f>
        <v>-785316464</v>
      </c>
      <c r="C18" s="15" t="n">
        <f aca="false">SUM(C6:C17)</f>
        <v>910160180</v>
      </c>
      <c r="D18" s="15" t="n">
        <f aca="false">SUM(D6:D17)</f>
        <v>-471053116</v>
      </c>
      <c r="E18" s="15" t="n">
        <f aca="false">SUM(E6:E17)</f>
        <v>439107064</v>
      </c>
    </row>
    <row r="20" customFormat="false" ht="15" hidden="false" customHeight="false" outlineLevel="0" collapsed="false">
      <c r="A20" s="18" t="s">
        <v>268</v>
      </c>
      <c r="B20" s="10" t="n">
        <f aca="false">O_BS!C7-B18</f>
        <v>1164407629.68</v>
      </c>
      <c r="C20" s="10" t="n">
        <f aca="false">O_BS!C7</f>
        <v>379091165.68</v>
      </c>
      <c r="D20" s="10" t="n">
        <f aca="false">O_BS!D7</f>
        <v>1289251345.68</v>
      </c>
      <c r="E20" s="11" t="n">
        <f aca="false">C20</f>
        <v>379091165.68</v>
      </c>
    </row>
    <row r="21" customFormat="false" ht="15" hidden="false" customHeight="false" outlineLevel="0" collapsed="false">
      <c r="A21" s="18" t="s">
        <v>269</v>
      </c>
      <c r="B21" s="11" t="n">
        <f aca="false">B18</f>
        <v>-785316464</v>
      </c>
      <c r="C21" s="11" t="n">
        <f aca="false">C18</f>
        <v>910160180</v>
      </c>
      <c r="D21" s="11" t="n">
        <f aca="false">D18</f>
        <v>-471053116</v>
      </c>
      <c r="E21" s="11" t="n">
        <f aca="false">E18</f>
        <v>439107064</v>
      </c>
    </row>
    <row r="22" customFormat="false" ht="15" hidden="false" customHeight="false" outlineLevel="0" collapsed="false">
      <c r="A22" s="14" t="s">
        <v>270</v>
      </c>
      <c r="B22" s="15" t="n">
        <f aca="false">B20+B21</f>
        <v>379091165.68</v>
      </c>
      <c r="C22" s="15" t="n">
        <f aca="false">C20+C21</f>
        <v>1289251345.68</v>
      </c>
      <c r="D22" s="15" t="n">
        <f aca="false">D20+D21</f>
        <v>818198229.68</v>
      </c>
      <c r="E22" s="15" t="n">
        <f aca="false">E20+E21</f>
        <v>818198229.68</v>
      </c>
    </row>
    <row r="23" customFormat="false" ht="15" hidden="false" customHeight="false" outlineLevel="0" collapsed="false">
      <c r="A23" s="18" t="s">
        <v>271</v>
      </c>
      <c r="B23" s="11" t="n">
        <f aca="false">ROUND(B22-O_BS!C7,0)</f>
        <v>0</v>
      </c>
      <c r="C23" s="11" t="n">
        <f aca="false">ROUND(C22-O_BS!D7,0)</f>
        <v>0</v>
      </c>
      <c r="E23" s="11" t="n">
        <f aca="false">ROUND(E22-O_BS!E7,0)</f>
        <v>0</v>
      </c>
    </row>
    <row r="26" customFormat="false" ht="15" hidden="false" customHeight="false" outlineLevel="0" collapsed="false">
      <c r="A26" s="7" t="s">
        <v>272</v>
      </c>
    </row>
    <row r="27" customFormat="false" ht="19.5" hidden="false" customHeight="true" outlineLevel="0" collapsed="false">
      <c r="A27" s="8" t="s">
        <v>110</v>
      </c>
      <c r="B27" s="8" t="s">
        <v>269</v>
      </c>
      <c r="C27" s="8" t="s">
        <v>273</v>
      </c>
      <c r="D27" s="8" t="s">
        <v>114</v>
      </c>
    </row>
    <row r="28" customFormat="false" ht="15" hidden="false" customHeight="false" outlineLevel="0" collapsed="false">
      <c r="A28" s="24" t="n">
        <f aca="false">I_Parameter!$C$5+0</f>
        <v>46258</v>
      </c>
      <c r="B28" s="10" t="n">
        <f aca="false">IF(A28&lt;I_Parameter!$C$4,SUMIFS(T_GL!$J$6:$J$4005,T_GL!$N$6:$N$4005,"Y",T_GL!$A$6:$A$4005,A28),SUMIFS(T_Kas_Rencana!$E$6:$E$305,T_Kas_Rencana!$A$6:$A$305,A28)-SUMIFS(T_Batch!$R$6:$R$55,T_Batch!$B$6:$B$55,"Rencana",T_Batch!$A$6:$A$55,A28-I_Parameter!$C$14)-SUMIFS(T_Penerimaan!$K$6:$K$1005,T_Penerimaan!$C$6:$C$1005,"Beli Trading",T_Penerimaan!$B$6:$B$1005,"Rencana",T_Penerimaan!$A$6:$A$1005,A28-I_Parameter!$C$15)-SUMIFS(T_Batch!$G$6:$G$55,T_Batch!$B$6:$B$55,"Rencana",T_Batch!$A$6:$A$55,A28-I_Parameter!$C$48)-SUMIFS(T_Batch!$H$6:$H$55,T_Batch!$B$6:$B$55,"Rencana",T_Batch!$A$6:$A$55,A28-I_Parameter!$C$48))</f>
        <v>175957400</v>
      </c>
      <c r="C28" s="12" t="n">
        <f aca="false">O_BS!C7+B28</f>
        <v>555048565.68</v>
      </c>
      <c r="D28" s="18" t="str">
        <f aca="false">IF(A28&lt;I_Parameter!$C$4,"aktual","rencana")</f>
        <v>aktual</v>
      </c>
    </row>
    <row r="29" customFormat="false" ht="15" hidden="false" customHeight="false" outlineLevel="0" collapsed="false">
      <c r="A29" s="24" t="n">
        <f aca="false">I_Parameter!$C$5+1</f>
        <v>46259</v>
      </c>
      <c r="B29" s="10" t="n">
        <f aca="false">IF(A29&lt;I_Parameter!$C$4,SUMIFS(T_GL!$J$6:$J$4005,T_GL!$N$6:$N$4005,"Y",T_GL!$A$6:$A$4005,A29),SUMIFS(T_Kas_Rencana!$E$6:$E$305,T_Kas_Rencana!$A$6:$A$305,A29)-SUMIFS(T_Batch!$R$6:$R$55,T_Batch!$B$6:$B$55,"Rencana",T_Batch!$A$6:$A$55,A29-I_Parameter!$C$14)-SUMIFS(T_Penerimaan!$K$6:$K$1005,T_Penerimaan!$C$6:$C$1005,"Beli Trading",T_Penerimaan!$B$6:$B$1005,"Rencana",T_Penerimaan!$A$6:$A$1005,A29-I_Parameter!$C$15)-SUMIFS(T_Batch!$G$6:$G$55,T_Batch!$B$6:$B$55,"Rencana",T_Batch!$A$6:$A$55,A29-I_Parameter!$C$48)-SUMIFS(T_Batch!$H$6:$H$55,T_Batch!$B$6:$B$55,"Rencana",T_Batch!$A$6:$A$55,A29-I_Parameter!$C$48))</f>
        <v>96934100</v>
      </c>
      <c r="C29" s="12" t="n">
        <f aca="false">C28+B29</f>
        <v>651982665.68</v>
      </c>
      <c r="D29" s="18" t="str">
        <f aca="false">IF(A29&lt;I_Parameter!$C$4,"aktual","rencana")</f>
        <v>aktual</v>
      </c>
    </row>
    <row r="30" customFormat="false" ht="15" hidden="false" customHeight="false" outlineLevel="0" collapsed="false">
      <c r="A30" s="24" t="n">
        <f aca="false">I_Parameter!$C$5+2</f>
        <v>46260</v>
      </c>
      <c r="B30" s="10" t="n">
        <f aca="false">IF(A30&lt;I_Parameter!$C$4,SUMIFS(T_GL!$J$6:$J$4005,T_GL!$N$6:$N$4005,"Y",T_GL!$A$6:$A$4005,A30),SUMIFS(T_Kas_Rencana!$E$6:$E$305,T_Kas_Rencana!$A$6:$A$305,A30)-SUMIFS(T_Batch!$R$6:$R$55,T_Batch!$B$6:$B$55,"Rencana",T_Batch!$A$6:$A$55,A30-I_Parameter!$C$14)-SUMIFS(T_Penerimaan!$K$6:$K$1005,T_Penerimaan!$C$6:$C$1005,"Beli Trading",T_Penerimaan!$B$6:$B$1005,"Rencana",T_Penerimaan!$A$6:$A$1005,A30-I_Parameter!$C$15)-SUMIFS(T_Batch!$G$6:$G$55,T_Batch!$B$6:$B$55,"Rencana",T_Batch!$A$6:$A$55,A30-I_Parameter!$C$48)-SUMIFS(T_Batch!$H$6:$H$55,T_Batch!$B$6:$B$55,"Rencana",T_Batch!$A$6:$A$55,A30-I_Parameter!$C$48))</f>
        <v>637268680</v>
      </c>
      <c r="C30" s="12" t="n">
        <f aca="false">C29+B30</f>
        <v>1289251345.68</v>
      </c>
      <c r="D30" s="18" t="str">
        <f aca="false">IF(A30&lt;I_Parameter!$C$4,"aktual","rencana")</f>
        <v>aktual</v>
      </c>
    </row>
    <row r="31" customFormat="false" ht="15" hidden="false" customHeight="false" outlineLevel="0" collapsed="false">
      <c r="A31" s="24" t="n">
        <f aca="false">I_Parameter!$C$5+3</f>
        <v>46261</v>
      </c>
      <c r="B31" s="10" t="n">
        <f aca="false">IF(A31&lt;I_Parameter!$C$4,SUMIFS(T_GL!$J$6:$J$4005,T_GL!$N$6:$N$4005,"Y",T_GL!$A$6:$A$4005,A31),SUMIFS(T_Kas_Rencana!$E$6:$E$305,T_Kas_Rencana!$A$6:$A$305,A31)-SUMIFS(T_Batch!$R$6:$R$55,T_Batch!$B$6:$B$55,"Rencana",T_Batch!$A$6:$A$55,A31-I_Parameter!$C$14)-SUMIFS(T_Penerimaan!$K$6:$K$1005,T_Penerimaan!$C$6:$C$1005,"Beli Trading",T_Penerimaan!$B$6:$B$1005,"Rencana",T_Penerimaan!$A$6:$A$1005,A31-I_Parameter!$C$15)-SUMIFS(T_Batch!$G$6:$G$55,T_Batch!$B$6:$B$55,"Rencana",T_Batch!$A$6:$A$55,A31-I_Parameter!$C$48)-SUMIFS(T_Batch!$H$6:$H$55,T_Batch!$B$6:$B$55,"Rencana",T_Batch!$A$6:$A$55,A31-I_Parameter!$C$48))</f>
        <v>59620700</v>
      </c>
      <c r="C31" s="12" t="n">
        <f aca="false">C30+B31</f>
        <v>1348872045.68</v>
      </c>
      <c r="D31" s="18" t="str">
        <f aca="false">IF(A31&lt;I_Parameter!$C$4,"aktual","rencana")</f>
        <v>rencana</v>
      </c>
    </row>
    <row r="32" customFormat="false" ht="15" hidden="false" customHeight="false" outlineLevel="0" collapsed="false">
      <c r="A32" s="24" t="n">
        <f aca="false">I_Parameter!$C$5+4</f>
        <v>46262</v>
      </c>
      <c r="B32" s="10" t="n">
        <f aca="false">IF(A32&lt;I_Parameter!$C$4,SUMIFS(T_GL!$J$6:$J$4005,T_GL!$N$6:$N$4005,"Y",T_GL!$A$6:$A$4005,A32),SUMIFS(T_Kas_Rencana!$E$6:$E$305,T_Kas_Rencana!$A$6:$A$305,A32)-SUMIFS(T_Batch!$R$6:$R$55,T_Batch!$B$6:$B$55,"Rencana",T_Batch!$A$6:$A$55,A32-I_Parameter!$C$14)-SUMIFS(T_Penerimaan!$K$6:$K$1005,T_Penerimaan!$C$6:$C$1005,"Beli Trading",T_Penerimaan!$B$6:$B$1005,"Rencana",T_Penerimaan!$A$6:$A$1005,A32-I_Parameter!$C$15)-SUMIFS(T_Batch!$G$6:$G$55,T_Batch!$B$6:$B$55,"Rencana",T_Batch!$A$6:$A$55,A32-I_Parameter!$C$48)-SUMIFS(T_Batch!$H$6:$H$55,T_Batch!$B$6:$B$55,"Rencana",T_Batch!$A$6:$A$55,A32-I_Parameter!$C$48))</f>
        <v>-1059199936</v>
      </c>
      <c r="C32" s="12" t="n">
        <f aca="false">C31+B32</f>
        <v>289672109.68</v>
      </c>
      <c r="D32" s="18" t="str">
        <f aca="false">IF(A32&lt;I_Parameter!$C$4,"aktual","rencana")</f>
        <v>rencana</v>
      </c>
    </row>
    <row r="33" customFormat="false" ht="15" hidden="false" customHeight="false" outlineLevel="0" collapsed="false">
      <c r="A33" s="24" t="n">
        <f aca="false">I_Parameter!$C$5+5</f>
        <v>46263</v>
      </c>
      <c r="B33" s="10" t="n">
        <f aca="false">IF(A33&lt;I_Parameter!$C$4,SUMIFS(T_GL!$J$6:$J$4005,T_GL!$N$6:$N$4005,"Y",T_GL!$A$6:$A$4005,A33),SUMIFS(T_Kas_Rencana!$E$6:$E$305,T_Kas_Rencana!$A$6:$A$305,A33)-SUMIFS(T_Batch!$R$6:$R$55,T_Batch!$B$6:$B$55,"Rencana",T_Batch!$A$6:$A$55,A33-I_Parameter!$C$14)-SUMIFS(T_Penerimaan!$K$6:$K$1005,T_Penerimaan!$C$6:$C$1005,"Beli Trading",T_Penerimaan!$B$6:$B$1005,"Rencana",T_Penerimaan!$A$6:$A$1005,A33-I_Parameter!$C$15)-SUMIFS(T_Batch!$G$6:$G$55,T_Batch!$B$6:$B$55,"Rencana",T_Batch!$A$6:$A$55,A33-I_Parameter!$C$48)-SUMIFS(T_Batch!$H$6:$H$55,T_Batch!$B$6:$B$55,"Rencana",T_Batch!$A$6:$A$55,A33-I_Parameter!$C$48))</f>
        <v>528526120</v>
      </c>
      <c r="C33" s="12" t="n">
        <f aca="false">C32+B33</f>
        <v>818198229.68</v>
      </c>
      <c r="D33" s="18" t="str">
        <f aca="false">IF(A33&lt;I_Parameter!$C$4,"aktual","rencana")</f>
        <v>rencana</v>
      </c>
    </row>
    <row r="34" customFormat="false" ht="15" hidden="false" customHeight="false" outlineLevel="0" collapsed="false">
      <c r="A34" s="24" t="n">
        <f aca="false">I_Parameter!$C$5+6</f>
        <v>46264</v>
      </c>
      <c r="B34" s="10" t="n">
        <f aca="false">IF(A34&lt;I_Parameter!$C$4,SUMIFS(T_GL!$J$6:$J$4005,T_GL!$N$6:$N$4005,"Y",T_GL!$A$6:$A$4005,A34),SUMIFS(T_Kas_Rencana!$E$6:$E$305,T_Kas_Rencana!$A$6:$A$305,A34)-SUMIFS(T_Batch!$R$6:$R$55,T_Batch!$B$6:$B$55,"Rencana",T_Batch!$A$6:$A$55,A34-I_Parameter!$C$14)-SUMIFS(T_Penerimaan!$K$6:$K$1005,T_Penerimaan!$C$6:$C$1005,"Beli Trading",T_Penerimaan!$B$6:$B$1005,"Rencana",T_Penerimaan!$A$6:$A$1005,A34-I_Parameter!$C$15)-SUMIFS(T_Batch!$G$6:$G$55,T_Batch!$B$6:$B$55,"Rencana",T_Batch!$A$6:$A$55,A34-I_Parameter!$C$48)-SUMIFS(T_Batch!$H$6:$H$55,T_Batch!$B$6:$B$55,"Rencana",T_Batch!$A$6:$A$55,A34-I_Parameter!$C$48))</f>
        <v>0</v>
      </c>
      <c r="C34" s="12" t="n">
        <f aca="false">C33+B34</f>
        <v>818198229.68</v>
      </c>
      <c r="D34" s="18" t="str">
        <f aca="false">IF(A34&lt;I_Parameter!$C$4,"aktual","rencana")</f>
        <v>rencana</v>
      </c>
    </row>
    <row r="35" customFormat="false" ht="15" hidden="false" customHeight="false" outlineLevel="0" collapsed="false">
      <c r="A35" s="14" t="s">
        <v>274</v>
      </c>
      <c r="C35" s="15" t="n">
        <f aca="false">MIN(C28:C34)</f>
        <v>289672109.68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14" min="8" style="0" width="10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22" min="17" style="0" width="11"/>
    <col collapsed="false" customWidth="true" hidden="false" outlineLevel="0" max="24" min="23" style="0" width="12"/>
    <col collapsed="false" customWidth="true" hidden="false" outlineLevel="0" max="25" min="25" style="0" width="11"/>
    <col collapsed="false" customWidth="true" hidden="false" outlineLevel="0" max="26" min="26" style="0" width="30"/>
  </cols>
  <sheetData>
    <row r="1" customFormat="false" ht="16.1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6" t="s">
        <v>276</v>
      </c>
    </row>
    <row r="4" customFormat="false" ht="18" hidden="false" customHeight="true" outlineLevel="0" collapsed="false">
      <c r="H4" s="33" t="n">
        <f aca="false">I_Parameter!$C$5+0</f>
        <v>46258</v>
      </c>
      <c r="I4" s="33" t="n">
        <f aca="false">I_Parameter!$C$5+1</f>
        <v>46259</v>
      </c>
      <c r="J4" s="33" t="n">
        <f aca="false">I_Parameter!$C$5+2</f>
        <v>46260</v>
      </c>
      <c r="K4" s="33" t="n">
        <f aca="false">I_Parameter!$C$5+3</f>
        <v>46261</v>
      </c>
      <c r="L4" s="33" t="n">
        <f aca="false">I_Parameter!$C$5+4</f>
        <v>46262</v>
      </c>
      <c r="M4" s="33" t="n">
        <f aca="false">I_Parameter!$C$5+5</f>
        <v>46263</v>
      </c>
      <c r="N4" s="33" t="n">
        <f aca="false">I_Parameter!$C$5+6</f>
        <v>46264</v>
      </c>
    </row>
    <row r="5" customFormat="false" ht="43.5" hidden="false" customHeight="true" outlineLevel="0" collapsed="false">
      <c r="A5" s="8" t="s">
        <v>277</v>
      </c>
      <c r="B5" s="8" t="s">
        <v>278</v>
      </c>
      <c r="C5" s="8" t="s">
        <v>24</v>
      </c>
      <c r="D5" s="8" t="s">
        <v>279</v>
      </c>
      <c r="E5" s="8" t="s">
        <v>280</v>
      </c>
      <c r="F5" s="8" t="s">
        <v>281</v>
      </c>
      <c r="G5" s="8" t="s">
        <v>282</v>
      </c>
      <c r="H5" s="8" t="s">
        <v>283</v>
      </c>
      <c r="I5" s="8" t="s">
        <v>284</v>
      </c>
      <c r="J5" s="8" t="s">
        <v>285</v>
      </c>
      <c r="K5" s="8" t="s">
        <v>286</v>
      </c>
      <c r="L5" s="8" t="s">
        <v>287</v>
      </c>
      <c r="M5" s="8" t="s">
        <v>288</v>
      </c>
      <c r="N5" s="8" t="s">
        <v>289</v>
      </c>
      <c r="O5" s="8" t="s">
        <v>290</v>
      </c>
      <c r="P5" s="8" t="s">
        <v>291</v>
      </c>
      <c r="Q5" s="8" t="s">
        <v>292</v>
      </c>
      <c r="R5" s="8" t="s">
        <v>293</v>
      </c>
      <c r="S5" s="8" t="s">
        <v>80</v>
      </c>
      <c r="T5" s="8" t="s">
        <v>81</v>
      </c>
      <c r="U5" s="8" t="s">
        <v>294</v>
      </c>
      <c r="V5" s="8" t="s">
        <v>295</v>
      </c>
      <c r="W5" s="8" t="s">
        <v>296</v>
      </c>
      <c r="X5" s="8" t="s">
        <v>297</v>
      </c>
      <c r="Y5" s="8" t="s">
        <v>298</v>
      </c>
      <c r="Z5" s="8" t="s">
        <v>299</v>
      </c>
    </row>
    <row r="6" customFormat="false" ht="15" hidden="false" customHeight="false" outlineLevel="0" collapsed="false">
      <c r="A6" s="34" t="str">
        <f aca="false">I_Master!A6</f>
        <v>RPA|BLDK|Fresh</v>
      </c>
      <c r="B6" s="34" t="str">
        <f aca="false">IF(A6="","",INDEX(I_Master!$E$6:$E$85,MATCH(A6,I_Master!$A$6:$A$85,0)))</f>
        <v>Boneless &amp; parting</v>
      </c>
      <c r="C6" s="34" t="str">
        <f aca="false">IF(A6="","",INDEX(I_Master!$B$6:$B$85,MATCH(A6,I_Master!$A$6:$A$85,0)))</f>
        <v>RPA</v>
      </c>
      <c r="D6" s="10" t="n">
        <f aca="false">IF(A6="","",SUMIFS(I_Stok_Awal!$D$6:$D$305,I_Stok_Awal!$C$6:$C$305,A6))</f>
        <v>0</v>
      </c>
      <c r="E6" s="10" t="n">
        <f aca="false">IF(A6="","",SUMIFS(I_Stok_Awal!$E$6:$E$305,I_Stok_Awal!$C$6:$C$305,A6))</f>
        <v>0</v>
      </c>
      <c r="F6" s="35" t="str">
        <f aca="false">IF(OR(A6="",D6&lt;=0),"",SUMPRODUCT((I_Stok_Awal!$C$6:$C$305=A6)*I_Stok_Awal!$D$6:$D$305*I_Stok_Awal!$F$6:$F$305)/D6)</f>
        <v/>
      </c>
      <c r="G6" s="10" t="n">
        <f aca="false">IF(A6="","",SUMIFS(I_Stok_Awal!$G$6:$G$305,I_Stok_Awal!$C$6:$C$305,A6))</f>
        <v>0</v>
      </c>
      <c r="H6" s="11" t="n">
        <f aca="false">IF($A6="","",D6+SUMIFS(T_Penerimaan!$I$6:$I$1005,T_Penerimaan!$H$6:$H$1005,$A6,T_Penerimaan!$A$6:$A$1005,H$4,T_Penerimaan!$M$6:$M$1005,1)-SUMIFS(T_Penjualan!$H$6:$H$1505,T_Penjualan!$G$6:$G$1505,$A6,T_Penjualan!$A$6:$A$1505,H$4,T_Penjualan!$P$6:$P$1505,1))</f>
        <v>0</v>
      </c>
      <c r="I6" s="11" t="n">
        <f aca="false">IF($A6="","",H6+SUMIFS(T_Penerimaan!$I$6:$I$1005,T_Penerimaan!$H$6:$H$1005,$A6,T_Penerimaan!$A$6:$A$1005,I$4,T_Penerimaan!$M$6:$M$1005,1)-SUMIFS(T_Penjualan!$H$6:$H$1505,T_Penjualan!$G$6:$G$1505,$A6,T_Penjualan!$A$6:$A$1505,I$4,T_Penjualan!$P$6:$P$1505,1))</f>
        <v>0</v>
      </c>
      <c r="J6" s="11" t="n">
        <f aca="false">IF($A6="","",I6+SUMIFS(T_Penerimaan!$I$6:$I$1005,T_Penerimaan!$H$6:$H$1005,$A6,T_Penerimaan!$A$6:$A$1005,J$4,T_Penerimaan!$M$6:$M$1005,1)-SUMIFS(T_Penjualan!$H$6:$H$1505,T_Penjualan!$G$6:$G$1505,$A6,T_Penjualan!$A$6:$A$1505,J$4,T_Penjualan!$P$6:$P$1505,1))</f>
        <v>0</v>
      </c>
      <c r="K6" s="11" t="n">
        <f aca="false">IF($A6="","",J6+SUMIFS(T_Penerimaan!$I$6:$I$1005,T_Penerimaan!$H$6:$H$1005,$A6,T_Penerimaan!$A$6:$A$1005,K$4,T_Penerimaan!$M$6:$M$1005,1)-SUMIFS(T_Penjualan!$H$6:$H$1505,T_Penjualan!$G$6:$G$1505,$A6,T_Penjualan!$A$6:$A$1505,K$4,T_Penjualan!$P$6:$P$1505,1))</f>
        <v>0</v>
      </c>
      <c r="L6" s="11" t="n">
        <f aca="false">IF($A6="","",K6+SUMIFS(T_Penerimaan!$I$6:$I$1005,T_Penerimaan!$H$6:$H$1005,$A6,T_Penerimaan!$A$6:$A$1005,L$4,T_Penerimaan!$M$6:$M$1005,1)-SUMIFS(T_Penjualan!$H$6:$H$1505,T_Penjualan!$G$6:$G$1505,$A6,T_Penjualan!$A$6:$A$1505,L$4,T_Penjualan!$P$6:$P$1505,1))</f>
        <v>0</v>
      </c>
      <c r="M6" s="11" t="n">
        <f aca="false">IF($A6="","",L6+SUMIFS(T_Penerimaan!$I$6:$I$1005,T_Penerimaan!$H$6:$H$1005,$A6,T_Penerimaan!$A$6:$A$1005,M$4,T_Penerimaan!$M$6:$M$1005,1)-SUMIFS(T_Penjualan!$H$6:$H$1505,T_Penjualan!$G$6:$G$1505,$A6,T_Penjualan!$A$6:$A$1505,M$4,T_Penjualan!$P$6:$P$1505,1))</f>
        <v>0</v>
      </c>
      <c r="N6" s="11" t="n">
        <f aca="false">IF($A6="","",M6+SUMIFS(T_Penerimaan!$I$6:$I$1005,T_Penerimaan!$H$6:$H$1005,$A6,T_Penerimaan!$A$6:$A$1005,N$4,T_Penerimaan!$M$6:$M$1005,1)-SUMIFS(T_Penjualan!$H$6:$H$1505,T_Penjualan!$G$6:$G$1505,$A6,T_Penjualan!$A$6:$A$1505,N$4,T_Penjualan!$P$6:$P$1505,1))</f>
        <v>0</v>
      </c>
      <c r="O6" s="11" t="n">
        <f aca="false">IF(A6="","",SUMIFS(T_Penerimaan!$I$6:$I$1005,T_Penerimaan!$H$6:$H$1005,A6,T_Penerimaan!$M$6:$M$1005,1))</f>
        <v>0</v>
      </c>
      <c r="P6" s="11" t="n">
        <f aca="false">IF(A6="","",SUMIFS(T_Penerimaan!$K$6:$K$1005,T_Penerimaan!$H$6:$H$1005,A6,T_Penerimaan!$M$6:$M$1005,1))</f>
        <v>0</v>
      </c>
      <c r="Q6" s="11" t="n">
        <f aca="false">IF(A6="","",IF(D6+O6&lt;=0,0,(E6+P6)/(D6+O6)))</f>
        <v>0</v>
      </c>
      <c r="R6" s="11" t="n">
        <f aca="false">IF(A6="","",SUMIFS(T_Penjualan!$H$6:$H$1505,T_Penjualan!$G$6:$G$1505,A6,T_Penjualan!$P$6:$P$1505,1))</f>
        <v>0</v>
      </c>
      <c r="S6" s="12" t="n">
        <f aca="false">IF(A6="","",IF(I_Parameter!$C$4&lt;=I_Parameter!$C$5,D6,IF(I_Parameter!$C$4&gt;I_Parameter!$C$6,N6,INDEX(H6:N6,I_Parameter!$C$4-I_Parameter!$C$5))))</f>
        <v>0</v>
      </c>
      <c r="T6" s="11" t="n">
        <f aca="false">IF(A6="","",SUMIFS(T_Penjualan!$H$6:$H$1505,T_Penjualan!$G$6:$G$1505,A6,T_Penjualan!$B$6:$B$1505,"Order",T_Penjualan!$A$6:$A$1505,"&gt;="&amp;I_Parameter!$C$4,T_Penjualan!$A$6:$A$1505,"&lt;="&amp;I_Parameter!$C$6))</f>
        <v>0</v>
      </c>
      <c r="U6" s="11" t="n">
        <f aca="false">IF(A6="","",S6-T6)</f>
        <v>0</v>
      </c>
      <c r="V6" s="11" t="n">
        <f aca="false">IF(A6="","",MIN(H6:N6))</f>
        <v>0</v>
      </c>
      <c r="W6" s="10" t="n">
        <f aca="false">IF(A6="","",INDEX(I_Master!$F$6:$F$85,MATCH(A6,I_Master!$A$6:$A$85,0)))</f>
        <v>38000</v>
      </c>
      <c r="X6" s="11" t="n">
        <f aca="false">IF(OR(A6="",W6=""),"",W6-Q6)</f>
        <v>38000</v>
      </c>
      <c r="Y6" s="11" t="n">
        <f aca="false">IF(A6="","",S6*Q6)</f>
        <v>0</v>
      </c>
      <c r="Z6" s="9" t="str">
        <f aca="false">IF(A6="","",IF(V6&lt;-0.5,"KURANG: stok minus "&amp;ROUND(-V6,0)&amp;" kg — beli/potong atau geser order",IF(AND(S6&gt;0.5,T6&lt;=0,G6&gt;0.5),"JUAL: "&amp;ROUND(S6,0)&amp;" kg tanpa order, sebagian &gt; batas umur",IF(AND(S6&gt;0.5,T6&lt;=0),"JUAL: "&amp;ROUND(S6,0)&amp;" kg tanpa order minggu ini",IF(G6&gt;0.5,"PERHATIAN: "&amp;ROUND(G6,0)&amp;" kg di atas batas umur",IF(AND(X6&lt;&gt;"",X6&lt;0,T6&gt;0),"Order di bawah biaya rata-rata — cek harga","-"))))))</f>
        <v>-</v>
      </c>
    </row>
    <row r="7" customFormat="false" ht="15" hidden="false" customHeight="false" outlineLevel="0" collapsed="false">
      <c r="A7" s="34" t="str">
        <f aca="false">I_Master!A7</f>
        <v>RPA|BLD|Fresh</v>
      </c>
      <c r="B7" s="34" t="str">
        <f aca="false">IF(A7="","",INDEX(I_Master!$E$6:$E$85,MATCH(A7,I_Master!$A$6:$A$85,0)))</f>
        <v>Boneless &amp; parting</v>
      </c>
      <c r="C7" s="34" t="str">
        <f aca="false">IF(A7="","",INDEX(I_Master!$B$6:$B$85,MATCH(A7,I_Master!$A$6:$A$85,0)))</f>
        <v>RPA</v>
      </c>
      <c r="D7" s="10" t="n">
        <f aca="false">IF(A7="","",SUMIFS(I_Stok_Awal!$D$6:$D$305,I_Stok_Awal!$C$6:$C$305,A7))</f>
        <v>0</v>
      </c>
      <c r="E7" s="10" t="n">
        <f aca="false">IF(A7="","",SUMIFS(I_Stok_Awal!$E$6:$E$305,I_Stok_Awal!$C$6:$C$305,A7))</f>
        <v>0</v>
      </c>
      <c r="F7" s="35" t="str">
        <f aca="false">IF(OR(A7="",D7&lt;=0),"",SUMPRODUCT((I_Stok_Awal!$C$6:$C$305=A7)*I_Stok_Awal!$D$6:$D$305*I_Stok_Awal!$F$6:$F$305)/D7)</f>
        <v/>
      </c>
      <c r="G7" s="10" t="n">
        <f aca="false">IF(A7="","",SUMIFS(I_Stok_Awal!$G$6:$G$305,I_Stok_Awal!$C$6:$C$305,A7))</f>
        <v>0</v>
      </c>
      <c r="H7" s="11" t="n">
        <f aca="false">IF($A7="","",D7+SUMIFS(T_Penerimaan!$I$6:$I$1005,T_Penerimaan!$H$6:$H$1005,$A7,T_Penerimaan!$A$6:$A$1005,H$4,T_Penerimaan!$M$6:$M$1005,1)-SUMIFS(T_Penjualan!$H$6:$H$1505,T_Penjualan!$G$6:$G$1505,$A7,T_Penjualan!$A$6:$A$1505,H$4,T_Penjualan!$P$6:$P$1505,1))</f>
        <v>0</v>
      </c>
      <c r="I7" s="11" t="n">
        <f aca="false">IF($A7="","",H7+SUMIFS(T_Penerimaan!$I$6:$I$1005,T_Penerimaan!$H$6:$H$1005,$A7,T_Penerimaan!$A$6:$A$1005,I$4,T_Penerimaan!$M$6:$M$1005,1)-SUMIFS(T_Penjualan!$H$6:$H$1505,T_Penjualan!$G$6:$G$1505,$A7,T_Penjualan!$A$6:$A$1505,I$4,T_Penjualan!$P$6:$P$1505,1))</f>
        <v>0</v>
      </c>
      <c r="J7" s="11" t="n">
        <f aca="false">IF($A7="","",I7+SUMIFS(T_Penerimaan!$I$6:$I$1005,T_Penerimaan!$H$6:$H$1005,$A7,T_Penerimaan!$A$6:$A$1005,J$4,T_Penerimaan!$M$6:$M$1005,1)-SUMIFS(T_Penjualan!$H$6:$H$1505,T_Penjualan!$G$6:$G$1505,$A7,T_Penjualan!$A$6:$A$1505,J$4,T_Penjualan!$P$6:$P$1505,1))</f>
        <v>0</v>
      </c>
      <c r="K7" s="11" t="n">
        <f aca="false">IF($A7="","",J7+SUMIFS(T_Penerimaan!$I$6:$I$1005,T_Penerimaan!$H$6:$H$1005,$A7,T_Penerimaan!$A$6:$A$1005,K$4,T_Penerimaan!$M$6:$M$1005,1)-SUMIFS(T_Penjualan!$H$6:$H$1505,T_Penjualan!$G$6:$G$1505,$A7,T_Penjualan!$A$6:$A$1505,K$4,T_Penjualan!$P$6:$P$1505,1))</f>
        <v>0</v>
      </c>
      <c r="L7" s="11" t="n">
        <f aca="false">IF($A7="","",K7+SUMIFS(T_Penerimaan!$I$6:$I$1005,T_Penerimaan!$H$6:$H$1005,$A7,T_Penerimaan!$A$6:$A$1005,L$4,T_Penerimaan!$M$6:$M$1005,1)-SUMIFS(T_Penjualan!$H$6:$H$1505,T_Penjualan!$G$6:$G$1505,$A7,T_Penjualan!$A$6:$A$1505,L$4,T_Penjualan!$P$6:$P$1505,1))</f>
        <v>0</v>
      </c>
      <c r="M7" s="11" t="n">
        <f aca="false">IF($A7="","",L7+SUMIFS(T_Penerimaan!$I$6:$I$1005,T_Penerimaan!$H$6:$H$1005,$A7,T_Penerimaan!$A$6:$A$1005,M$4,T_Penerimaan!$M$6:$M$1005,1)-SUMIFS(T_Penjualan!$H$6:$H$1505,T_Penjualan!$G$6:$G$1505,$A7,T_Penjualan!$A$6:$A$1505,M$4,T_Penjualan!$P$6:$P$1505,1))</f>
        <v>0</v>
      </c>
      <c r="N7" s="11" t="n">
        <f aca="false">IF($A7="","",M7+SUMIFS(T_Penerimaan!$I$6:$I$1005,T_Penerimaan!$H$6:$H$1005,$A7,T_Penerimaan!$A$6:$A$1005,N$4,T_Penerimaan!$M$6:$M$1005,1)-SUMIFS(T_Penjualan!$H$6:$H$1505,T_Penjualan!$G$6:$G$1505,$A7,T_Penjualan!$A$6:$A$1505,N$4,T_Penjualan!$P$6:$P$1505,1))</f>
        <v>0</v>
      </c>
      <c r="O7" s="11" t="n">
        <f aca="false">IF(A7="","",SUMIFS(T_Penerimaan!$I$6:$I$1005,T_Penerimaan!$H$6:$H$1005,A7,T_Penerimaan!$M$6:$M$1005,1))</f>
        <v>0</v>
      </c>
      <c r="P7" s="11" t="n">
        <f aca="false">IF(A7="","",SUMIFS(T_Penerimaan!$K$6:$K$1005,T_Penerimaan!$H$6:$H$1005,A7,T_Penerimaan!$M$6:$M$1005,1))</f>
        <v>0</v>
      </c>
      <c r="Q7" s="11" t="n">
        <f aca="false">IF(A7="","",IF(D7+O7&lt;=0,0,(E7+P7)/(D7+O7)))</f>
        <v>0</v>
      </c>
      <c r="R7" s="11" t="n">
        <f aca="false">IF(A7="","",SUMIFS(T_Penjualan!$H$6:$H$1505,T_Penjualan!$G$6:$G$1505,A7,T_Penjualan!$P$6:$P$1505,1))</f>
        <v>0</v>
      </c>
      <c r="S7" s="12" t="n">
        <f aca="false">IF(A7="","",IF(I_Parameter!$C$4&lt;=I_Parameter!$C$5,D7,IF(I_Parameter!$C$4&gt;I_Parameter!$C$6,N7,INDEX(H7:N7,I_Parameter!$C$4-I_Parameter!$C$5))))</f>
        <v>0</v>
      </c>
      <c r="T7" s="11" t="n">
        <f aca="false">IF(A7="","",SUMIFS(T_Penjualan!$H$6:$H$1505,T_Penjualan!$G$6:$G$1505,A7,T_Penjualan!$B$6:$B$1505,"Order",T_Penjualan!$A$6:$A$1505,"&gt;="&amp;I_Parameter!$C$4,T_Penjualan!$A$6:$A$1505,"&lt;="&amp;I_Parameter!$C$6))</f>
        <v>0</v>
      </c>
      <c r="U7" s="11" t="n">
        <f aca="false">IF(A7="","",S7-T7)</f>
        <v>0</v>
      </c>
      <c r="V7" s="11" t="n">
        <f aca="false">IF(A7="","",MIN(H7:N7))</f>
        <v>0</v>
      </c>
      <c r="W7" s="10" t="n">
        <f aca="false">IF(A7="","",INDEX(I_Master!$F$6:$F$85,MATCH(A7,I_Master!$A$6:$A$85,0)))</f>
        <v>41000</v>
      </c>
      <c r="X7" s="11" t="n">
        <f aca="false">IF(OR(A7="",W7=""),"",W7-Q7)</f>
        <v>41000</v>
      </c>
      <c r="Y7" s="11" t="n">
        <f aca="false">IF(A7="","",S7*Q7)</f>
        <v>0</v>
      </c>
      <c r="Z7" s="9" t="str">
        <f aca="false">IF(A7="","",IF(V7&lt;-0.5,"KURANG: stok minus "&amp;ROUND(-V7,0)&amp;" kg — beli/potong atau geser order",IF(AND(S7&gt;0.5,T7&lt;=0,G7&gt;0.5),"JUAL: "&amp;ROUND(S7,0)&amp;" kg tanpa order, sebagian &gt; batas umur",IF(AND(S7&gt;0.5,T7&lt;=0),"JUAL: "&amp;ROUND(S7,0)&amp;" kg tanpa order minggu ini",IF(G7&gt;0.5,"PERHATIAN: "&amp;ROUND(G7,0)&amp;" kg di atas batas umur",IF(AND(X7&lt;&gt;"",X7&lt;0,T7&gt;0),"Order di bawah biaya rata-rata — cek harga","-"))))))</f>
        <v>-</v>
      </c>
    </row>
    <row r="8" customFormat="false" ht="15" hidden="false" customHeight="false" outlineLevel="0" collapsed="false">
      <c r="A8" s="34" t="str">
        <f aca="false">I_Master!A8</f>
        <v>RPA|BLD|Frozen</v>
      </c>
      <c r="B8" s="34" t="str">
        <f aca="false">IF(A8="","",INDEX(I_Master!$E$6:$E$85,MATCH(A8,I_Master!$A$6:$A$85,0)))</f>
        <v>Boneless &amp; parting</v>
      </c>
      <c r="C8" s="34" t="str">
        <f aca="false">IF(A8="","",INDEX(I_Master!$B$6:$B$85,MATCH(A8,I_Master!$A$6:$A$85,0)))</f>
        <v>RPA</v>
      </c>
      <c r="D8" s="10" t="n">
        <f aca="false">IF(A8="","",SUMIFS(I_Stok_Awal!$D$6:$D$305,I_Stok_Awal!$C$6:$C$305,A8))</f>
        <v>2.45</v>
      </c>
      <c r="E8" s="10" t="n">
        <f aca="false">IF(A8="","",SUMIFS(I_Stok_Awal!$E$6:$E$305,I_Stok_Awal!$C$6:$C$305,A8))</f>
        <v>70573</v>
      </c>
      <c r="F8" s="35" t="n">
        <f aca="false">IF(OR(A8="",D8&lt;=0),"",SUMPRODUCT((I_Stok_Awal!$C$6:$C$305=A8)*I_Stok_Awal!$D$6:$D$305*I_Stok_Awal!$F$6:$F$305)/D8)</f>
        <v>96</v>
      </c>
      <c r="G8" s="10" t="n">
        <f aca="false">IF(A8="","",SUMIFS(I_Stok_Awal!$G$6:$G$305,I_Stok_Awal!$C$6:$C$305,A8))</f>
        <v>2.45</v>
      </c>
      <c r="H8" s="11" t="n">
        <f aca="false">IF($A8="","",D8+SUMIFS(T_Penerimaan!$I$6:$I$1005,T_Penerimaan!$H$6:$H$1005,$A8,T_Penerimaan!$A$6:$A$1005,H$4,T_Penerimaan!$M$6:$M$1005,1)-SUMIFS(T_Penjualan!$H$6:$H$1505,T_Penjualan!$G$6:$G$1505,$A8,T_Penjualan!$A$6:$A$1505,H$4,T_Penjualan!$P$6:$P$1505,1))</f>
        <v>2.45</v>
      </c>
      <c r="I8" s="11" t="n">
        <f aca="false">IF($A8="","",H8+SUMIFS(T_Penerimaan!$I$6:$I$1005,T_Penerimaan!$H$6:$H$1005,$A8,T_Penerimaan!$A$6:$A$1005,I$4,T_Penerimaan!$M$6:$M$1005,1)-SUMIFS(T_Penjualan!$H$6:$H$1505,T_Penjualan!$G$6:$G$1505,$A8,T_Penjualan!$A$6:$A$1505,I$4,T_Penjualan!$P$6:$P$1505,1))</f>
        <v>2.45</v>
      </c>
      <c r="J8" s="11" t="n">
        <f aca="false">IF($A8="","",I8+SUMIFS(T_Penerimaan!$I$6:$I$1005,T_Penerimaan!$H$6:$H$1005,$A8,T_Penerimaan!$A$6:$A$1005,J$4,T_Penerimaan!$M$6:$M$1005,1)-SUMIFS(T_Penjualan!$H$6:$H$1505,T_Penjualan!$G$6:$G$1505,$A8,T_Penjualan!$A$6:$A$1505,J$4,T_Penjualan!$P$6:$P$1505,1))</f>
        <v>2.45</v>
      </c>
      <c r="K8" s="11" t="n">
        <f aca="false">IF($A8="","",J8+SUMIFS(T_Penerimaan!$I$6:$I$1005,T_Penerimaan!$H$6:$H$1005,$A8,T_Penerimaan!$A$6:$A$1005,K$4,T_Penerimaan!$M$6:$M$1005,1)-SUMIFS(T_Penjualan!$H$6:$H$1505,T_Penjualan!$G$6:$G$1505,$A8,T_Penjualan!$A$6:$A$1505,K$4,T_Penjualan!$P$6:$P$1505,1))</f>
        <v>2.45</v>
      </c>
      <c r="L8" s="11" t="n">
        <f aca="false">IF($A8="","",K8+SUMIFS(T_Penerimaan!$I$6:$I$1005,T_Penerimaan!$H$6:$H$1005,$A8,T_Penerimaan!$A$6:$A$1005,L$4,T_Penerimaan!$M$6:$M$1005,1)-SUMIFS(T_Penjualan!$H$6:$H$1505,T_Penjualan!$G$6:$G$1505,$A8,T_Penjualan!$A$6:$A$1505,L$4,T_Penjualan!$P$6:$P$1505,1))</f>
        <v>2.45</v>
      </c>
      <c r="M8" s="11" t="n">
        <f aca="false">IF($A8="","",L8+SUMIFS(T_Penerimaan!$I$6:$I$1005,T_Penerimaan!$H$6:$H$1005,$A8,T_Penerimaan!$A$6:$A$1005,M$4,T_Penerimaan!$M$6:$M$1005,1)-SUMIFS(T_Penjualan!$H$6:$H$1505,T_Penjualan!$G$6:$G$1505,$A8,T_Penjualan!$A$6:$A$1505,M$4,T_Penjualan!$P$6:$P$1505,1))</f>
        <v>2.45</v>
      </c>
      <c r="N8" s="11" t="n">
        <f aca="false">IF($A8="","",M8+SUMIFS(T_Penerimaan!$I$6:$I$1005,T_Penerimaan!$H$6:$H$1005,$A8,T_Penerimaan!$A$6:$A$1005,N$4,T_Penerimaan!$M$6:$M$1005,1)-SUMIFS(T_Penjualan!$H$6:$H$1505,T_Penjualan!$G$6:$G$1505,$A8,T_Penjualan!$A$6:$A$1505,N$4,T_Penjualan!$P$6:$P$1505,1))</f>
        <v>2.45</v>
      </c>
      <c r="O8" s="11" t="n">
        <f aca="false">IF(A8="","",SUMIFS(T_Penerimaan!$I$6:$I$1005,T_Penerimaan!$H$6:$H$1005,A8,T_Penerimaan!$M$6:$M$1005,1))</f>
        <v>0</v>
      </c>
      <c r="P8" s="11" t="n">
        <f aca="false">IF(A8="","",SUMIFS(T_Penerimaan!$K$6:$K$1005,T_Penerimaan!$H$6:$H$1005,A8,T_Penerimaan!$M$6:$M$1005,1))</f>
        <v>0</v>
      </c>
      <c r="Q8" s="11" t="n">
        <f aca="false">IF(A8="","",IF(D8+O8&lt;=0,0,(E8+P8)/(D8+O8)))</f>
        <v>28805.306122449</v>
      </c>
      <c r="R8" s="11" t="n">
        <f aca="false">IF(A8="","",SUMIFS(T_Penjualan!$H$6:$H$1505,T_Penjualan!$G$6:$G$1505,A8,T_Penjualan!$P$6:$P$1505,1))</f>
        <v>0</v>
      </c>
      <c r="S8" s="12" t="n">
        <f aca="false">IF(A8="","",IF(I_Parameter!$C$4&lt;=I_Parameter!$C$5,D8,IF(I_Parameter!$C$4&gt;I_Parameter!$C$6,N8,INDEX(H8:N8,I_Parameter!$C$4-I_Parameter!$C$5))))</f>
        <v>2.45</v>
      </c>
      <c r="T8" s="11" t="n">
        <f aca="false">IF(A8="","",SUMIFS(T_Penjualan!$H$6:$H$1505,T_Penjualan!$G$6:$G$1505,A8,T_Penjualan!$B$6:$B$1505,"Order",T_Penjualan!$A$6:$A$1505,"&gt;="&amp;I_Parameter!$C$4,T_Penjualan!$A$6:$A$1505,"&lt;="&amp;I_Parameter!$C$6))</f>
        <v>0</v>
      </c>
      <c r="U8" s="11" t="n">
        <f aca="false">IF(A8="","",S8-T8)</f>
        <v>2.45</v>
      </c>
      <c r="V8" s="11" t="n">
        <f aca="false">IF(A8="","",MIN(H8:N8))</f>
        <v>2.45</v>
      </c>
      <c r="W8" s="10" t="n">
        <f aca="false">IF(A8="","",INDEX(I_Master!$F$6:$F$85,MATCH(A8,I_Master!$A$6:$A$85,0)))</f>
        <v>41000</v>
      </c>
      <c r="X8" s="11" t="n">
        <f aca="false">IF(OR(A8="",W8=""),"",W8-Q8)</f>
        <v>12194.693877551</v>
      </c>
      <c r="Y8" s="11" t="n">
        <f aca="false">IF(A8="","",S8*Q8)</f>
        <v>70573</v>
      </c>
      <c r="Z8" s="9" t="str">
        <f aca="false">IF(A8="","",IF(V8&lt;-0.5,"KURANG: stok minus "&amp;ROUND(-V8,0)&amp;" kg — beli/potong atau geser order",IF(AND(S8&gt;0.5,T8&lt;=0,G8&gt;0.5),"JUAL: "&amp;ROUND(S8,0)&amp;" kg tanpa order, sebagian &gt; batas umur",IF(AND(S8&gt;0.5,T8&lt;=0),"JUAL: "&amp;ROUND(S8,0)&amp;" kg tanpa order minggu ini",IF(G8&gt;0.5,"PERHATIAN: "&amp;ROUND(G8,0)&amp;" kg di atas batas umur",IF(AND(X8&lt;&gt;"",X8&lt;0,T8&gt;0),"Order di bawah biaya rata-rata — cek harga","-"))))))</f>
        <v>JUAL: 2 kg tanpa order, sebagian &gt; batas umur</v>
      </c>
    </row>
    <row r="9" customFormat="false" ht="15" hidden="false" customHeight="false" outlineLevel="0" collapsed="false">
      <c r="A9" s="34" t="str">
        <f aca="false">I_Master!A9</f>
        <v>RPA|BLPK|Fresh</v>
      </c>
      <c r="B9" s="34" t="str">
        <f aca="false">IF(A9="","",INDEX(I_Master!$E$6:$E$85,MATCH(A9,I_Master!$A$6:$A$85,0)))</f>
        <v>Boneless &amp; parting</v>
      </c>
      <c r="C9" s="34" t="str">
        <f aca="false">IF(A9="","",INDEX(I_Master!$B$6:$B$85,MATCH(A9,I_Master!$A$6:$A$85,0)))</f>
        <v>RPA</v>
      </c>
      <c r="D9" s="10" t="n">
        <f aca="false">IF(A9="","",SUMIFS(I_Stok_Awal!$D$6:$D$305,I_Stok_Awal!$C$6:$C$305,A9))</f>
        <v>64.1</v>
      </c>
      <c r="E9" s="10" t="n">
        <f aca="false">IF(A9="","",SUMIFS(I_Stok_Awal!$E$6:$E$305,I_Stok_Awal!$C$6:$C$305,A9))</f>
        <v>2916133</v>
      </c>
      <c r="F9" s="35" t="n">
        <f aca="false">IF(OR(A9="",D9&lt;=0),"",SUMPRODUCT((I_Stok_Awal!$C$6:$C$305=A9)*I_Stok_Awal!$D$6:$D$305*I_Stok_Awal!$F$6:$F$305)/D9)</f>
        <v>139</v>
      </c>
      <c r="G9" s="10" t="n">
        <f aca="false">IF(A9="","",SUMIFS(I_Stok_Awal!$G$6:$G$305,I_Stok_Awal!$C$6:$C$305,A9))</f>
        <v>64.1</v>
      </c>
      <c r="H9" s="11" t="n">
        <f aca="false">IF($A9="","",D9+SUMIFS(T_Penerimaan!$I$6:$I$1005,T_Penerimaan!$H$6:$H$1005,$A9,T_Penerimaan!$A$6:$A$1005,H$4,T_Penerimaan!$M$6:$M$1005,1)-SUMIFS(T_Penjualan!$H$6:$H$1505,T_Penjualan!$G$6:$G$1505,$A9,T_Penjualan!$A$6:$A$1505,H$4,T_Penjualan!$P$6:$P$1505,1))</f>
        <v>64.1</v>
      </c>
      <c r="I9" s="11" t="n">
        <f aca="false">IF($A9="","",H9+SUMIFS(T_Penerimaan!$I$6:$I$1005,T_Penerimaan!$H$6:$H$1005,$A9,T_Penerimaan!$A$6:$A$1005,I$4,T_Penerimaan!$M$6:$M$1005,1)-SUMIFS(T_Penjualan!$H$6:$H$1505,T_Penjualan!$G$6:$G$1505,$A9,T_Penjualan!$A$6:$A$1505,I$4,T_Penjualan!$P$6:$P$1505,1))</f>
        <v>64.1</v>
      </c>
      <c r="J9" s="11" t="n">
        <f aca="false">IF($A9="","",I9+SUMIFS(T_Penerimaan!$I$6:$I$1005,T_Penerimaan!$H$6:$H$1005,$A9,T_Penerimaan!$A$6:$A$1005,J$4,T_Penerimaan!$M$6:$M$1005,1)-SUMIFS(T_Penjualan!$H$6:$H$1505,T_Penjualan!$G$6:$G$1505,$A9,T_Penjualan!$A$6:$A$1505,J$4,T_Penjualan!$P$6:$P$1505,1))</f>
        <v>64.1</v>
      </c>
      <c r="K9" s="11" t="n">
        <f aca="false">IF($A9="","",J9+SUMIFS(T_Penerimaan!$I$6:$I$1005,T_Penerimaan!$H$6:$H$1005,$A9,T_Penerimaan!$A$6:$A$1005,K$4,T_Penerimaan!$M$6:$M$1005,1)-SUMIFS(T_Penjualan!$H$6:$H$1505,T_Penjualan!$G$6:$G$1505,$A9,T_Penjualan!$A$6:$A$1505,K$4,T_Penjualan!$P$6:$P$1505,1))</f>
        <v>64.1</v>
      </c>
      <c r="L9" s="11" t="n">
        <f aca="false">IF($A9="","",K9+SUMIFS(T_Penerimaan!$I$6:$I$1005,T_Penerimaan!$H$6:$H$1005,$A9,T_Penerimaan!$A$6:$A$1005,L$4,T_Penerimaan!$M$6:$M$1005,1)-SUMIFS(T_Penjualan!$H$6:$H$1505,T_Penjualan!$G$6:$G$1505,$A9,T_Penjualan!$A$6:$A$1505,L$4,T_Penjualan!$P$6:$P$1505,1))</f>
        <v>64.1</v>
      </c>
      <c r="M9" s="11" t="n">
        <f aca="false">IF($A9="","",L9+SUMIFS(T_Penerimaan!$I$6:$I$1005,T_Penerimaan!$H$6:$H$1005,$A9,T_Penerimaan!$A$6:$A$1005,M$4,T_Penerimaan!$M$6:$M$1005,1)-SUMIFS(T_Penjualan!$H$6:$H$1505,T_Penjualan!$G$6:$G$1505,$A9,T_Penjualan!$A$6:$A$1505,M$4,T_Penjualan!$P$6:$P$1505,1))</f>
        <v>64.1</v>
      </c>
      <c r="N9" s="11" t="n">
        <f aca="false">IF($A9="","",M9+SUMIFS(T_Penerimaan!$I$6:$I$1005,T_Penerimaan!$H$6:$H$1005,$A9,T_Penerimaan!$A$6:$A$1005,N$4,T_Penerimaan!$M$6:$M$1005,1)-SUMIFS(T_Penjualan!$H$6:$H$1505,T_Penjualan!$G$6:$G$1505,$A9,T_Penjualan!$A$6:$A$1505,N$4,T_Penjualan!$P$6:$P$1505,1))</f>
        <v>64.1</v>
      </c>
      <c r="O9" s="11" t="n">
        <f aca="false">IF(A9="","",SUMIFS(T_Penerimaan!$I$6:$I$1005,T_Penerimaan!$H$6:$H$1005,A9,T_Penerimaan!$M$6:$M$1005,1))</f>
        <v>0</v>
      </c>
      <c r="P9" s="11" t="n">
        <f aca="false">IF(A9="","",SUMIFS(T_Penerimaan!$K$6:$K$1005,T_Penerimaan!$H$6:$H$1005,A9,T_Penerimaan!$M$6:$M$1005,1))</f>
        <v>0</v>
      </c>
      <c r="Q9" s="11" t="n">
        <f aca="false">IF(A9="","",IF(D9+O9&lt;=0,0,(E9+P9)/(D9+O9)))</f>
        <v>45493.4945397816</v>
      </c>
      <c r="R9" s="11" t="n">
        <f aca="false">IF(A9="","",SUMIFS(T_Penjualan!$H$6:$H$1505,T_Penjualan!$G$6:$G$1505,A9,T_Penjualan!$P$6:$P$1505,1))</f>
        <v>0</v>
      </c>
      <c r="S9" s="12" t="n">
        <f aca="false">IF(A9="","",IF(I_Parameter!$C$4&lt;=I_Parameter!$C$5,D9,IF(I_Parameter!$C$4&gt;I_Parameter!$C$6,N9,INDEX(H9:N9,I_Parameter!$C$4-I_Parameter!$C$5))))</f>
        <v>64.1</v>
      </c>
      <c r="T9" s="11" t="n">
        <f aca="false">IF(A9="","",SUMIFS(T_Penjualan!$H$6:$H$1505,T_Penjualan!$G$6:$G$1505,A9,T_Penjualan!$B$6:$B$1505,"Order",T_Penjualan!$A$6:$A$1505,"&gt;="&amp;I_Parameter!$C$4,T_Penjualan!$A$6:$A$1505,"&lt;="&amp;I_Parameter!$C$6))</f>
        <v>0</v>
      </c>
      <c r="U9" s="11" t="n">
        <f aca="false">IF(A9="","",S9-T9)</f>
        <v>64.1</v>
      </c>
      <c r="V9" s="11" t="n">
        <f aca="false">IF(A9="","",MIN(H9:N9))</f>
        <v>64.1</v>
      </c>
      <c r="W9" s="10" t="n">
        <f aca="false">IF(A9="","",INDEX(I_Master!$F$6:$F$85,MATCH(A9,I_Master!$A$6:$A$85,0)))</f>
        <v>45004</v>
      </c>
      <c r="X9" s="11" t="n">
        <f aca="false">IF(OR(A9="",W9=""),"",W9-Q9)</f>
        <v>-489.494539781597</v>
      </c>
      <c r="Y9" s="11" t="n">
        <f aca="false">IF(A9="","",S9*Q9)</f>
        <v>2916133</v>
      </c>
      <c r="Z9" s="9" t="str">
        <f aca="false">IF(A9="","",IF(V9&lt;-0.5,"KURANG: stok minus "&amp;ROUND(-V9,0)&amp;" kg — beli/potong atau geser order",IF(AND(S9&gt;0.5,T9&lt;=0,G9&gt;0.5),"JUAL: "&amp;ROUND(S9,0)&amp;" kg tanpa order, sebagian &gt; batas umur",IF(AND(S9&gt;0.5,T9&lt;=0),"JUAL: "&amp;ROUND(S9,0)&amp;" kg tanpa order minggu ini",IF(G9&gt;0.5,"PERHATIAN: "&amp;ROUND(G9,0)&amp;" kg di atas batas umur",IF(AND(X9&lt;&gt;"",X9&lt;0,T9&gt;0),"Order di bawah biaya rata-rata — cek harga","-"))))))</f>
        <v>JUAL: 64 kg tanpa order, sebagian &gt; batas umur</v>
      </c>
    </row>
    <row r="10" customFormat="false" ht="15" hidden="false" customHeight="false" outlineLevel="0" collapsed="false">
      <c r="A10" s="34" t="str">
        <f aca="false">I_Master!A10</f>
        <v>RPA|BLPK|Frozen</v>
      </c>
      <c r="B10" s="34" t="str">
        <f aca="false">IF(A10="","",INDEX(I_Master!$E$6:$E$85,MATCH(A10,I_Master!$A$6:$A$85,0)))</f>
        <v>Boneless &amp; parting</v>
      </c>
      <c r="C10" s="34" t="str">
        <f aca="false">IF(A10="","",INDEX(I_Master!$B$6:$B$85,MATCH(A10,I_Master!$A$6:$A$85,0)))</f>
        <v>RPA</v>
      </c>
      <c r="D10" s="10" t="n">
        <f aca="false">IF(A10="","",SUMIFS(I_Stok_Awal!$D$6:$D$305,I_Stok_Awal!$C$6:$C$305,A10))</f>
        <v>0</v>
      </c>
      <c r="E10" s="10" t="n">
        <f aca="false">IF(A10="","",SUMIFS(I_Stok_Awal!$E$6:$E$305,I_Stok_Awal!$C$6:$C$305,A10))</f>
        <v>0</v>
      </c>
      <c r="F10" s="35" t="str">
        <f aca="false">IF(OR(A10="",D10&lt;=0),"",SUMPRODUCT((I_Stok_Awal!$C$6:$C$305=A10)*I_Stok_Awal!$D$6:$D$305*I_Stok_Awal!$F$6:$F$305)/D10)</f>
        <v/>
      </c>
      <c r="G10" s="10" t="n">
        <f aca="false">IF(A10="","",SUMIFS(I_Stok_Awal!$G$6:$G$305,I_Stok_Awal!$C$6:$C$305,A10))</f>
        <v>0</v>
      </c>
      <c r="H10" s="11" t="n">
        <f aca="false">IF($A10="","",D10+SUMIFS(T_Penerimaan!$I$6:$I$1005,T_Penerimaan!$H$6:$H$1005,$A10,T_Penerimaan!$A$6:$A$1005,H$4,T_Penerimaan!$M$6:$M$1005,1)-SUMIFS(T_Penjualan!$H$6:$H$1505,T_Penjualan!$G$6:$G$1505,$A10,T_Penjualan!$A$6:$A$1505,H$4,T_Penjualan!$P$6:$P$1505,1))</f>
        <v>0</v>
      </c>
      <c r="I10" s="11" t="n">
        <f aca="false">IF($A10="","",H10+SUMIFS(T_Penerimaan!$I$6:$I$1005,T_Penerimaan!$H$6:$H$1005,$A10,T_Penerimaan!$A$6:$A$1005,I$4,T_Penerimaan!$M$6:$M$1005,1)-SUMIFS(T_Penjualan!$H$6:$H$1505,T_Penjualan!$G$6:$G$1505,$A10,T_Penjualan!$A$6:$A$1505,I$4,T_Penjualan!$P$6:$P$1505,1))</f>
        <v>0</v>
      </c>
      <c r="J10" s="11" t="n">
        <f aca="false">IF($A10="","",I10+SUMIFS(T_Penerimaan!$I$6:$I$1005,T_Penerimaan!$H$6:$H$1005,$A10,T_Penerimaan!$A$6:$A$1005,J$4,T_Penerimaan!$M$6:$M$1005,1)-SUMIFS(T_Penjualan!$H$6:$H$1505,T_Penjualan!$G$6:$G$1505,$A10,T_Penjualan!$A$6:$A$1505,J$4,T_Penjualan!$P$6:$P$1505,1))</f>
        <v>0</v>
      </c>
      <c r="K10" s="11" t="n">
        <f aca="false">IF($A10="","",J10+SUMIFS(T_Penerimaan!$I$6:$I$1005,T_Penerimaan!$H$6:$H$1005,$A10,T_Penerimaan!$A$6:$A$1005,K$4,T_Penerimaan!$M$6:$M$1005,1)-SUMIFS(T_Penjualan!$H$6:$H$1505,T_Penjualan!$G$6:$G$1505,$A10,T_Penjualan!$A$6:$A$1505,K$4,T_Penjualan!$P$6:$P$1505,1))</f>
        <v>0</v>
      </c>
      <c r="L10" s="11" t="n">
        <f aca="false">IF($A10="","",K10+SUMIFS(T_Penerimaan!$I$6:$I$1005,T_Penerimaan!$H$6:$H$1005,$A10,T_Penerimaan!$A$6:$A$1005,L$4,T_Penerimaan!$M$6:$M$1005,1)-SUMIFS(T_Penjualan!$H$6:$H$1505,T_Penjualan!$G$6:$G$1505,$A10,T_Penjualan!$A$6:$A$1505,L$4,T_Penjualan!$P$6:$P$1505,1))</f>
        <v>0</v>
      </c>
      <c r="M10" s="11" t="n">
        <f aca="false">IF($A10="","",L10+SUMIFS(T_Penerimaan!$I$6:$I$1005,T_Penerimaan!$H$6:$H$1005,$A10,T_Penerimaan!$A$6:$A$1005,M$4,T_Penerimaan!$M$6:$M$1005,1)-SUMIFS(T_Penjualan!$H$6:$H$1505,T_Penjualan!$G$6:$G$1505,$A10,T_Penjualan!$A$6:$A$1505,M$4,T_Penjualan!$P$6:$P$1505,1))</f>
        <v>0</v>
      </c>
      <c r="N10" s="11" t="n">
        <f aca="false">IF($A10="","",M10+SUMIFS(T_Penerimaan!$I$6:$I$1005,T_Penerimaan!$H$6:$H$1005,$A10,T_Penerimaan!$A$6:$A$1005,N$4,T_Penerimaan!$M$6:$M$1005,1)-SUMIFS(T_Penjualan!$H$6:$H$1505,T_Penjualan!$G$6:$G$1505,$A10,T_Penjualan!$A$6:$A$1505,N$4,T_Penjualan!$P$6:$P$1505,1))</f>
        <v>0</v>
      </c>
      <c r="O10" s="11" t="n">
        <f aca="false">IF(A10="","",SUMIFS(T_Penerimaan!$I$6:$I$1005,T_Penerimaan!$H$6:$H$1005,A10,T_Penerimaan!$M$6:$M$1005,1))</f>
        <v>0</v>
      </c>
      <c r="P10" s="11" t="n">
        <f aca="false">IF(A10="","",SUMIFS(T_Penerimaan!$K$6:$K$1005,T_Penerimaan!$H$6:$H$1005,A10,T_Penerimaan!$M$6:$M$1005,1))</f>
        <v>0</v>
      </c>
      <c r="Q10" s="11" t="n">
        <f aca="false">IF(A10="","",IF(D10+O10&lt;=0,0,(E10+P10)/(D10+O10)))</f>
        <v>0</v>
      </c>
      <c r="R10" s="11" t="n">
        <f aca="false">IF(A10="","",SUMIFS(T_Penjualan!$H$6:$H$1505,T_Penjualan!$G$6:$G$1505,A10,T_Penjualan!$P$6:$P$1505,1))</f>
        <v>0</v>
      </c>
      <c r="S10" s="12" t="n">
        <f aca="false">IF(A10="","",IF(I_Parameter!$C$4&lt;=I_Parameter!$C$5,D10,IF(I_Parameter!$C$4&gt;I_Parameter!$C$6,N10,INDEX(H10:N10,I_Parameter!$C$4-I_Parameter!$C$5))))</f>
        <v>0</v>
      </c>
      <c r="T10" s="11" t="n">
        <f aca="false">IF(A10="","",SUMIFS(T_Penjualan!$H$6:$H$1505,T_Penjualan!$G$6:$G$1505,A10,T_Penjualan!$B$6:$B$1505,"Order",T_Penjualan!$A$6:$A$1505,"&gt;="&amp;I_Parameter!$C$4,T_Penjualan!$A$6:$A$1505,"&lt;="&amp;I_Parameter!$C$6))</f>
        <v>0</v>
      </c>
      <c r="U10" s="11" t="n">
        <f aca="false">IF(A10="","",S10-T10)</f>
        <v>0</v>
      </c>
      <c r="V10" s="11" t="n">
        <f aca="false">IF(A10="","",MIN(H10:N10))</f>
        <v>0</v>
      </c>
      <c r="W10" s="10" t="n">
        <f aca="false">IF(A10="","",INDEX(I_Master!$F$6:$F$85,MATCH(A10,I_Master!$A$6:$A$85,0)))</f>
        <v>39520</v>
      </c>
      <c r="X10" s="11" t="n">
        <f aca="false">IF(OR(A10="",W10=""),"",W10-Q10)</f>
        <v>39520</v>
      </c>
      <c r="Y10" s="11" t="n">
        <f aca="false">IF(A10="","",S10*Q10)</f>
        <v>0</v>
      </c>
      <c r="Z10" s="9" t="str">
        <f aca="false">IF(A10="","",IF(V10&lt;-0.5,"KURANG: stok minus "&amp;ROUND(-V10,0)&amp;" kg — beli/potong atau geser order",IF(AND(S10&gt;0.5,T10&lt;=0,G10&gt;0.5),"JUAL: "&amp;ROUND(S10,0)&amp;" kg tanpa order, sebagian &gt; batas umur",IF(AND(S10&gt;0.5,T10&lt;=0),"JUAL: "&amp;ROUND(S10,0)&amp;" kg tanpa order minggu ini",IF(G10&gt;0.5,"PERHATIAN: "&amp;ROUND(G10,0)&amp;" kg di atas batas umur",IF(AND(X10&lt;&gt;"",X10&lt;0,T10&gt;0),"Order di bawah biaya rata-rata — cek harga","-"))))))</f>
        <v>-</v>
      </c>
    </row>
    <row r="11" customFormat="false" ht="15" hidden="false" customHeight="false" outlineLevel="0" collapsed="false">
      <c r="A11" s="34" t="str">
        <f aca="false">I_Master!A11</f>
        <v>RPA|BLP|Fresh</v>
      </c>
      <c r="B11" s="34" t="str">
        <f aca="false">IF(A11="","",INDEX(I_Master!$E$6:$E$85,MATCH(A11,I_Master!$A$6:$A$85,0)))</f>
        <v>Boneless &amp; parting</v>
      </c>
      <c r="C11" s="34" t="str">
        <f aca="false">IF(A11="","",INDEX(I_Master!$B$6:$B$85,MATCH(A11,I_Master!$A$6:$A$85,0)))</f>
        <v>RPA</v>
      </c>
      <c r="D11" s="10" t="n">
        <f aca="false">IF(A11="","",SUMIFS(I_Stok_Awal!$D$6:$D$305,I_Stok_Awal!$C$6:$C$305,A11))</f>
        <v>0</v>
      </c>
      <c r="E11" s="10" t="n">
        <f aca="false">IF(A11="","",SUMIFS(I_Stok_Awal!$E$6:$E$305,I_Stok_Awal!$C$6:$C$305,A11))</f>
        <v>0</v>
      </c>
      <c r="F11" s="35" t="str">
        <f aca="false">IF(OR(A11="",D11&lt;=0),"",SUMPRODUCT((I_Stok_Awal!$C$6:$C$305=A11)*I_Stok_Awal!$D$6:$D$305*I_Stok_Awal!$F$6:$F$305)/D11)</f>
        <v/>
      </c>
      <c r="G11" s="10" t="n">
        <f aca="false">IF(A11="","",SUMIFS(I_Stok_Awal!$G$6:$G$305,I_Stok_Awal!$C$6:$C$305,A11))</f>
        <v>0</v>
      </c>
      <c r="H11" s="11" t="n">
        <f aca="false">IF($A11="","",D11+SUMIFS(T_Penerimaan!$I$6:$I$1005,T_Penerimaan!$H$6:$H$1005,$A11,T_Penerimaan!$A$6:$A$1005,H$4,T_Penerimaan!$M$6:$M$1005,1)-SUMIFS(T_Penjualan!$H$6:$H$1505,T_Penjualan!$G$6:$G$1505,$A11,T_Penjualan!$A$6:$A$1505,H$4,T_Penjualan!$P$6:$P$1505,1))</f>
        <v>0</v>
      </c>
      <c r="I11" s="11" t="n">
        <f aca="false">IF($A11="","",H11+SUMIFS(T_Penerimaan!$I$6:$I$1005,T_Penerimaan!$H$6:$H$1005,$A11,T_Penerimaan!$A$6:$A$1005,I$4,T_Penerimaan!$M$6:$M$1005,1)-SUMIFS(T_Penjualan!$H$6:$H$1505,T_Penjualan!$G$6:$G$1505,$A11,T_Penjualan!$A$6:$A$1505,I$4,T_Penjualan!$P$6:$P$1505,1))</f>
        <v>0</v>
      </c>
      <c r="J11" s="11" t="n">
        <f aca="false">IF($A11="","",I11+SUMIFS(T_Penerimaan!$I$6:$I$1005,T_Penerimaan!$H$6:$H$1005,$A11,T_Penerimaan!$A$6:$A$1005,J$4,T_Penerimaan!$M$6:$M$1005,1)-SUMIFS(T_Penjualan!$H$6:$H$1505,T_Penjualan!$G$6:$G$1505,$A11,T_Penjualan!$A$6:$A$1505,J$4,T_Penjualan!$P$6:$P$1505,1))</f>
        <v>0</v>
      </c>
      <c r="K11" s="11" t="n">
        <f aca="false">IF($A11="","",J11+SUMIFS(T_Penerimaan!$I$6:$I$1005,T_Penerimaan!$H$6:$H$1005,$A11,T_Penerimaan!$A$6:$A$1005,K$4,T_Penerimaan!$M$6:$M$1005,1)-SUMIFS(T_Penjualan!$H$6:$H$1505,T_Penjualan!$G$6:$G$1505,$A11,T_Penjualan!$A$6:$A$1505,K$4,T_Penjualan!$P$6:$P$1505,1))</f>
        <v>0</v>
      </c>
      <c r="L11" s="11" t="n">
        <f aca="false">IF($A11="","",K11+SUMIFS(T_Penerimaan!$I$6:$I$1005,T_Penerimaan!$H$6:$H$1005,$A11,T_Penerimaan!$A$6:$A$1005,L$4,T_Penerimaan!$M$6:$M$1005,1)-SUMIFS(T_Penjualan!$H$6:$H$1505,T_Penjualan!$G$6:$G$1505,$A11,T_Penjualan!$A$6:$A$1505,L$4,T_Penjualan!$P$6:$P$1505,1))</f>
        <v>0</v>
      </c>
      <c r="M11" s="11" t="n">
        <f aca="false">IF($A11="","",L11+SUMIFS(T_Penerimaan!$I$6:$I$1005,T_Penerimaan!$H$6:$H$1005,$A11,T_Penerimaan!$A$6:$A$1005,M$4,T_Penerimaan!$M$6:$M$1005,1)-SUMIFS(T_Penjualan!$H$6:$H$1505,T_Penjualan!$G$6:$G$1505,$A11,T_Penjualan!$A$6:$A$1505,M$4,T_Penjualan!$P$6:$P$1505,1))</f>
        <v>0</v>
      </c>
      <c r="N11" s="11" t="n">
        <f aca="false">IF($A11="","",M11+SUMIFS(T_Penerimaan!$I$6:$I$1005,T_Penerimaan!$H$6:$H$1005,$A11,T_Penerimaan!$A$6:$A$1005,N$4,T_Penerimaan!$M$6:$M$1005,1)-SUMIFS(T_Penjualan!$H$6:$H$1505,T_Penjualan!$G$6:$G$1505,$A11,T_Penjualan!$A$6:$A$1505,N$4,T_Penjualan!$P$6:$P$1505,1))</f>
        <v>0</v>
      </c>
      <c r="O11" s="11" t="n">
        <f aca="false">IF(A11="","",SUMIFS(T_Penerimaan!$I$6:$I$1005,T_Penerimaan!$H$6:$H$1005,A11,T_Penerimaan!$M$6:$M$1005,1))</f>
        <v>0</v>
      </c>
      <c r="P11" s="11" t="n">
        <f aca="false">IF(A11="","",SUMIFS(T_Penerimaan!$K$6:$K$1005,T_Penerimaan!$H$6:$H$1005,A11,T_Penerimaan!$M$6:$M$1005,1))</f>
        <v>0</v>
      </c>
      <c r="Q11" s="11" t="n">
        <f aca="false">IF(A11="","",IF(D11+O11&lt;=0,0,(E11+P11)/(D11+O11)))</f>
        <v>0</v>
      </c>
      <c r="R11" s="11" t="n">
        <f aca="false">IF(A11="","",SUMIFS(T_Penjualan!$H$6:$H$1505,T_Penjualan!$G$6:$G$1505,A11,T_Penjualan!$P$6:$P$1505,1))</f>
        <v>0</v>
      </c>
      <c r="S11" s="12" t="n">
        <f aca="false">IF(A11="","",IF(I_Parameter!$C$4&lt;=I_Parameter!$C$5,D11,IF(I_Parameter!$C$4&gt;I_Parameter!$C$6,N11,INDEX(H11:N11,I_Parameter!$C$4-I_Parameter!$C$5))))</f>
        <v>0</v>
      </c>
      <c r="T11" s="11" t="n">
        <f aca="false">IF(A11="","",SUMIFS(T_Penjualan!$H$6:$H$1505,T_Penjualan!$G$6:$G$1505,A11,T_Penjualan!$B$6:$B$1505,"Order",T_Penjualan!$A$6:$A$1505,"&gt;="&amp;I_Parameter!$C$4,T_Penjualan!$A$6:$A$1505,"&lt;="&amp;I_Parameter!$C$6))</f>
        <v>0</v>
      </c>
      <c r="U11" s="11" t="n">
        <f aca="false">IF(A11="","",S11-T11)</f>
        <v>0</v>
      </c>
      <c r="V11" s="11" t="n">
        <f aca="false">IF(A11="","",MIN(H11:N11))</f>
        <v>0</v>
      </c>
      <c r="W11" s="10" t="n">
        <f aca="false">IF(A11="","",INDEX(I_Master!$F$6:$F$85,MATCH(A11,I_Master!$A$6:$A$85,0)))</f>
        <v>40000</v>
      </c>
      <c r="X11" s="11" t="n">
        <f aca="false">IF(OR(A11="",W11=""),"",W11-Q11)</f>
        <v>40000</v>
      </c>
      <c r="Y11" s="11" t="n">
        <f aca="false">IF(A11="","",S11*Q11)</f>
        <v>0</v>
      </c>
      <c r="Z11" s="9" t="str">
        <f aca="false">IF(A11="","",IF(V11&lt;-0.5,"KURANG: stok minus "&amp;ROUND(-V11,0)&amp;" kg — beli/potong atau geser order",IF(AND(S11&gt;0.5,T11&lt;=0,G11&gt;0.5),"JUAL: "&amp;ROUND(S11,0)&amp;" kg tanpa order, sebagian &gt; batas umur",IF(AND(S11&gt;0.5,T11&lt;=0),"JUAL: "&amp;ROUND(S11,0)&amp;" kg tanpa order minggu ini",IF(G11&gt;0.5,"PERHATIAN: "&amp;ROUND(G11,0)&amp;" kg di atas batas umur",IF(AND(X11&lt;&gt;"",X11&lt;0,T11&gt;0),"Order di bawah biaya rata-rata — cek harga","-"))))))</f>
        <v>-</v>
      </c>
    </row>
    <row r="12" customFormat="false" ht="15" hidden="false" customHeight="false" outlineLevel="0" collapsed="false">
      <c r="A12" s="34" t="str">
        <f aca="false">I_Master!A12</f>
        <v>RPA|BLP|Frozen</v>
      </c>
      <c r="B12" s="34" t="str">
        <f aca="false">IF(A12="","",INDEX(I_Master!$E$6:$E$85,MATCH(A12,I_Master!$A$6:$A$85,0)))</f>
        <v>Boneless &amp; parting</v>
      </c>
      <c r="C12" s="34" t="str">
        <f aca="false">IF(A12="","",INDEX(I_Master!$B$6:$B$85,MATCH(A12,I_Master!$A$6:$A$85,0)))</f>
        <v>RPA</v>
      </c>
      <c r="D12" s="10" t="n">
        <f aca="false">IF(A12="","",SUMIFS(I_Stok_Awal!$D$6:$D$305,I_Stok_Awal!$C$6:$C$305,A12))</f>
        <v>8.68</v>
      </c>
      <c r="E12" s="10" t="n">
        <f aca="false">IF(A12="","",SUMIFS(I_Stok_Awal!$E$6:$E$305,I_Stok_Awal!$C$6:$C$305,A12))</f>
        <v>250032</v>
      </c>
      <c r="F12" s="35" t="n">
        <f aca="false">IF(OR(A12="",D12&lt;=0),"",SUMPRODUCT((I_Stok_Awal!$C$6:$C$305=A12)*I_Stok_Awal!$D$6:$D$305*I_Stok_Awal!$F$6:$F$305)/D12)</f>
        <v>111</v>
      </c>
      <c r="G12" s="10" t="n">
        <f aca="false">IF(A12="","",SUMIFS(I_Stok_Awal!$G$6:$G$305,I_Stok_Awal!$C$6:$C$305,A12))</f>
        <v>8.68</v>
      </c>
      <c r="H12" s="11" t="n">
        <f aca="false">IF($A12="","",D12+SUMIFS(T_Penerimaan!$I$6:$I$1005,T_Penerimaan!$H$6:$H$1005,$A12,T_Penerimaan!$A$6:$A$1005,H$4,T_Penerimaan!$M$6:$M$1005,1)-SUMIFS(T_Penjualan!$H$6:$H$1505,T_Penjualan!$G$6:$G$1505,$A12,T_Penjualan!$A$6:$A$1505,H$4,T_Penjualan!$P$6:$P$1505,1))</f>
        <v>8.68</v>
      </c>
      <c r="I12" s="11" t="n">
        <f aca="false">IF($A12="","",H12+SUMIFS(T_Penerimaan!$I$6:$I$1005,T_Penerimaan!$H$6:$H$1005,$A12,T_Penerimaan!$A$6:$A$1005,I$4,T_Penerimaan!$M$6:$M$1005,1)-SUMIFS(T_Penjualan!$H$6:$H$1505,T_Penjualan!$G$6:$G$1505,$A12,T_Penjualan!$A$6:$A$1505,I$4,T_Penjualan!$P$6:$P$1505,1))</f>
        <v>8.68</v>
      </c>
      <c r="J12" s="11" t="n">
        <f aca="false">IF($A12="","",I12+SUMIFS(T_Penerimaan!$I$6:$I$1005,T_Penerimaan!$H$6:$H$1005,$A12,T_Penerimaan!$A$6:$A$1005,J$4,T_Penerimaan!$M$6:$M$1005,1)-SUMIFS(T_Penjualan!$H$6:$H$1505,T_Penjualan!$G$6:$G$1505,$A12,T_Penjualan!$A$6:$A$1505,J$4,T_Penjualan!$P$6:$P$1505,1))</f>
        <v>8.68</v>
      </c>
      <c r="K12" s="11" t="n">
        <f aca="false">IF($A12="","",J12+SUMIFS(T_Penerimaan!$I$6:$I$1005,T_Penerimaan!$H$6:$H$1005,$A12,T_Penerimaan!$A$6:$A$1005,K$4,T_Penerimaan!$M$6:$M$1005,1)-SUMIFS(T_Penjualan!$H$6:$H$1505,T_Penjualan!$G$6:$G$1505,$A12,T_Penjualan!$A$6:$A$1505,K$4,T_Penjualan!$P$6:$P$1505,1))</f>
        <v>8.68</v>
      </c>
      <c r="L12" s="11" t="n">
        <f aca="false">IF($A12="","",K12+SUMIFS(T_Penerimaan!$I$6:$I$1005,T_Penerimaan!$H$6:$H$1005,$A12,T_Penerimaan!$A$6:$A$1005,L$4,T_Penerimaan!$M$6:$M$1005,1)-SUMIFS(T_Penjualan!$H$6:$H$1505,T_Penjualan!$G$6:$G$1505,$A12,T_Penjualan!$A$6:$A$1505,L$4,T_Penjualan!$P$6:$P$1505,1))</f>
        <v>8.68</v>
      </c>
      <c r="M12" s="11" t="n">
        <f aca="false">IF($A12="","",L12+SUMIFS(T_Penerimaan!$I$6:$I$1005,T_Penerimaan!$H$6:$H$1005,$A12,T_Penerimaan!$A$6:$A$1005,M$4,T_Penerimaan!$M$6:$M$1005,1)-SUMIFS(T_Penjualan!$H$6:$H$1505,T_Penjualan!$G$6:$G$1505,$A12,T_Penjualan!$A$6:$A$1505,M$4,T_Penjualan!$P$6:$P$1505,1))</f>
        <v>8.68</v>
      </c>
      <c r="N12" s="11" t="n">
        <f aca="false">IF($A12="","",M12+SUMIFS(T_Penerimaan!$I$6:$I$1005,T_Penerimaan!$H$6:$H$1005,$A12,T_Penerimaan!$A$6:$A$1005,N$4,T_Penerimaan!$M$6:$M$1005,1)-SUMIFS(T_Penjualan!$H$6:$H$1505,T_Penjualan!$G$6:$G$1505,$A12,T_Penjualan!$A$6:$A$1505,N$4,T_Penjualan!$P$6:$P$1505,1))</f>
        <v>8.68</v>
      </c>
      <c r="O12" s="11" t="n">
        <f aca="false">IF(A12="","",SUMIFS(T_Penerimaan!$I$6:$I$1005,T_Penerimaan!$H$6:$H$1005,A12,T_Penerimaan!$M$6:$M$1005,1))</f>
        <v>0</v>
      </c>
      <c r="P12" s="11" t="n">
        <f aca="false">IF(A12="","",SUMIFS(T_Penerimaan!$K$6:$K$1005,T_Penerimaan!$H$6:$H$1005,A12,T_Penerimaan!$M$6:$M$1005,1))</f>
        <v>0</v>
      </c>
      <c r="Q12" s="11" t="n">
        <f aca="false">IF(A12="","",IF(D12+O12&lt;=0,0,(E12+P12)/(D12+O12)))</f>
        <v>28805.5299539171</v>
      </c>
      <c r="R12" s="11" t="n">
        <f aca="false">IF(A12="","",SUMIFS(T_Penjualan!$H$6:$H$1505,T_Penjualan!$G$6:$G$1505,A12,T_Penjualan!$P$6:$P$1505,1))</f>
        <v>0</v>
      </c>
      <c r="S12" s="12" t="n">
        <f aca="false">IF(A12="","",IF(I_Parameter!$C$4&lt;=I_Parameter!$C$5,D12,IF(I_Parameter!$C$4&gt;I_Parameter!$C$6,N12,INDEX(H12:N12,I_Parameter!$C$4-I_Parameter!$C$5))))</f>
        <v>8.68</v>
      </c>
      <c r="T12" s="11" t="n">
        <f aca="false">IF(A12="","",SUMIFS(T_Penjualan!$H$6:$H$1505,T_Penjualan!$G$6:$G$1505,A12,T_Penjualan!$B$6:$B$1505,"Order",T_Penjualan!$A$6:$A$1505,"&gt;="&amp;I_Parameter!$C$4,T_Penjualan!$A$6:$A$1505,"&lt;="&amp;I_Parameter!$C$6))</f>
        <v>0</v>
      </c>
      <c r="U12" s="11" t="n">
        <f aca="false">IF(A12="","",S12-T12)</f>
        <v>8.68</v>
      </c>
      <c r="V12" s="11" t="n">
        <f aca="false">IF(A12="","",MIN(H12:N12))</f>
        <v>8.68</v>
      </c>
      <c r="W12" s="10" t="n">
        <f aca="false">IF(A12="","",INDEX(I_Master!$F$6:$F$85,MATCH(A12,I_Master!$A$6:$A$85,0)))</f>
        <v>40000</v>
      </c>
      <c r="X12" s="11" t="n">
        <f aca="false">IF(OR(A12="",W12=""),"",W12-Q12)</f>
        <v>11194.4700460829</v>
      </c>
      <c r="Y12" s="11" t="n">
        <f aca="false">IF(A12="","",S12*Q12)</f>
        <v>250032</v>
      </c>
      <c r="Z12" s="9" t="str">
        <f aca="false">IF(A12="","",IF(V12&lt;-0.5,"KURANG: stok minus "&amp;ROUND(-V12,0)&amp;" kg — beli/potong atau geser order",IF(AND(S12&gt;0.5,T12&lt;=0,G12&gt;0.5),"JUAL: "&amp;ROUND(S12,0)&amp;" kg tanpa order, sebagian &gt; batas umur",IF(AND(S12&gt;0.5,T12&lt;=0),"JUAL: "&amp;ROUND(S12,0)&amp;" kg tanpa order minggu ini",IF(G12&gt;0.5,"PERHATIAN: "&amp;ROUND(G12,0)&amp;" kg di atas batas umur",IF(AND(X12&lt;&gt;"",X12&lt;0,T12&gt;0),"Order di bawah biaya rata-rata — cek harga","-"))))))</f>
        <v>JUAL: 9 kg tanpa order, sebagian &gt; batas umur</v>
      </c>
    </row>
    <row r="13" customFormat="false" ht="15" hidden="false" customHeight="false" outlineLevel="0" collapsed="false">
      <c r="A13" s="34" t="str">
        <f aca="false">I_Master!A13</f>
        <v>RPA|KRK (Kerangka)|Fresh</v>
      </c>
      <c r="B13" s="34" t="str">
        <f aca="false">IF(A13="","",INDEX(I_Master!$E$6:$E$85,MATCH(A13,I_Master!$A$6:$A$85,0)))</f>
        <v>Boneless &amp; parting</v>
      </c>
      <c r="C13" s="34" t="str">
        <f aca="false">IF(A13="","",INDEX(I_Master!$B$6:$B$85,MATCH(A13,I_Master!$A$6:$A$85,0)))</f>
        <v>RPA</v>
      </c>
      <c r="D13" s="10" t="n">
        <f aca="false">IF(A13="","",SUMIFS(I_Stok_Awal!$D$6:$D$305,I_Stok_Awal!$C$6:$C$305,A13))</f>
        <v>345.47</v>
      </c>
      <c r="E13" s="10" t="n">
        <f aca="false">IF(A13="","",SUMIFS(I_Stok_Awal!$E$6:$E$305,I_Stok_Awal!$C$6:$C$305,A13))</f>
        <v>1498591</v>
      </c>
      <c r="F13" s="35" t="n">
        <f aca="false">IF(OR(A13="",D13&lt;=0),"",SUMPRODUCT((I_Stok_Awal!$C$6:$C$305=A13)*I_Stok_Awal!$D$6:$D$305*I_Stok_Awal!$F$6:$F$305)/D13)</f>
        <v>104.456595362839</v>
      </c>
      <c r="G13" s="10" t="n">
        <f aca="false">IF(A13="","",SUMIFS(I_Stok_Awal!$G$6:$G$305,I_Stok_Awal!$C$6:$C$305,A13))</f>
        <v>345.47</v>
      </c>
      <c r="H13" s="11" t="n">
        <f aca="false">IF($A13="","",D13+SUMIFS(T_Penerimaan!$I$6:$I$1005,T_Penerimaan!$H$6:$H$1005,$A13,T_Penerimaan!$A$6:$A$1005,H$4,T_Penerimaan!$M$6:$M$1005,1)-SUMIFS(T_Penjualan!$H$6:$H$1505,T_Penjualan!$G$6:$G$1505,$A13,T_Penjualan!$A$6:$A$1505,H$4,T_Penjualan!$P$6:$P$1505,1))</f>
        <v>345.47</v>
      </c>
      <c r="I13" s="11" t="n">
        <f aca="false">IF($A13="","",H13+SUMIFS(T_Penerimaan!$I$6:$I$1005,T_Penerimaan!$H$6:$H$1005,$A13,T_Penerimaan!$A$6:$A$1005,I$4,T_Penerimaan!$M$6:$M$1005,1)-SUMIFS(T_Penjualan!$H$6:$H$1505,T_Penjualan!$G$6:$G$1505,$A13,T_Penjualan!$A$6:$A$1505,I$4,T_Penjualan!$P$6:$P$1505,1))</f>
        <v>345.47</v>
      </c>
      <c r="J13" s="11" t="n">
        <f aca="false">IF($A13="","",I13+SUMIFS(T_Penerimaan!$I$6:$I$1005,T_Penerimaan!$H$6:$H$1005,$A13,T_Penerimaan!$A$6:$A$1005,J$4,T_Penerimaan!$M$6:$M$1005,1)-SUMIFS(T_Penjualan!$H$6:$H$1505,T_Penjualan!$G$6:$G$1505,$A13,T_Penjualan!$A$6:$A$1505,J$4,T_Penjualan!$P$6:$P$1505,1))</f>
        <v>345.47</v>
      </c>
      <c r="K13" s="11" t="n">
        <f aca="false">IF($A13="","",J13+SUMIFS(T_Penerimaan!$I$6:$I$1005,T_Penerimaan!$H$6:$H$1005,$A13,T_Penerimaan!$A$6:$A$1005,K$4,T_Penerimaan!$M$6:$M$1005,1)-SUMIFS(T_Penjualan!$H$6:$H$1505,T_Penjualan!$G$6:$G$1505,$A13,T_Penjualan!$A$6:$A$1505,K$4,T_Penjualan!$P$6:$P$1505,1))</f>
        <v>345.47</v>
      </c>
      <c r="L13" s="11" t="n">
        <f aca="false">IF($A13="","",K13+SUMIFS(T_Penerimaan!$I$6:$I$1005,T_Penerimaan!$H$6:$H$1005,$A13,T_Penerimaan!$A$6:$A$1005,L$4,T_Penerimaan!$M$6:$M$1005,1)-SUMIFS(T_Penjualan!$H$6:$H$1505,T_Penjualan!$G$6:$G$1505,$A13,T_Penjualan!$A$6:$A$1505,L$4,T_Penjualan!$P$6:$P$1505,1))</f>
        <v>345.47</v>
      </c>
      <c r="M13" s="11" t="n">
        <f aca="false">IF($A13="","",L13+SUMIFS(T_Penerimaan!$I$6:$I$1005,T_Penerimaan!$H$6:$H$1005,$A13,T_Penerimaan!$A$6:$A$1005,M$4,T_Penerimaan!$M$6:$M$1005,1)-SUMIFS(T_Penjualan!$H$6:$H$1505,T_Penjualan!$G$6:$G$1505,$A13,T_Penjualan!$A$6:$A$1505,M$4,T_Penjualan!$P$6:$P$1505,1))</f>
        <v>345.47</v>
      </c>
      <c r="N13" s="11" t="n">
        <f aca="false">IF($A13="","",M13+SUMIFS(T_Penerimaan!$I$6:$I$1005,T_Penerimaan!$H$6:$H$1005,$A13,T_Penerimaan!$A$6:$A$1005,N$4,T_Penerimaan!$M$6:$M$1005,1)-SUMIFS(T_Penjualan!$H$6:$H$1505,T_Penjualan!$G$6:$G$1505,$A13,T_Penjualan!$A$6:$A$1505,N$4,T_Penjualan!$P$6:$P$1505,1))</f>
        <v>345.47</v>
      </c>
      <c r="O13" s="11" t="n">
        <f aca="false">IF(A13="","",SUMIFS(T_Penerimaan!$I$6:$I$1005,T_Penerimaan!$H$6:$H$1005,A13,T_Penerimaan!$M$6:$M$1005,1))</f>
        <v>0</v>
      </c>
      <c r="P13" s="11" t="n">
        <f aca="false">IF(A13="","",SUMIFS(T_Penerimaan!$K$6:$K$1005,T_Penerimaan!$H$6:$H$1005,A13,T_Penerimaan!$M$6:$M$1005,1))</f>
        <v>0</v>
      </c>
      <c r="Q13" s="11" t="n">
        <f aca="false">IF(A13="","",IF(D13+O13&lt;=0,0,(E13+P13)/(D13+O13)))</f>
        <v>4337.83251801893</v>
      </c>
      <c r="R13" s="11" t="n">
        <f aca="false">IF(A13="","",SUMIFS(T_Penjualan!$H$6:$H$1505,T_Penjualan!$G$6:$G$1505,A13,T_Penjualan!$P$6:$P$1505,1))</f>
        <v>0</v>
      </c>
      <c r="S13" s="12" t="n">
        <f aca="false">IF(A13="","",IF(I_Parameter!$C$4&lt;=I_Parameter!$C$5,D13,IF(I_Parameter!$C$4&gt;I_Parameter!$C$6,N13,INDEX(H13:N13,I_Parameter!$C$4-I_Parameter!$C$5))))</f>
        <v>345.47</v>
      </c>
      <c r="T13" s="11" t="n">
        <f aca="false">IF(A13="","",SUMIFS(T_Penjualan!$H$6:$H$1505,T_Penjualan!$G$6:$G$1505,A13,T_Penjualan!$B$6:$B$1505,"Order",T_Penjualan!$A$6:$A$1505,"&gt;="&amp;I_Parameter!$C$4,T_Penjualan!$A$6:$A$1505,"&lt;="&amp;I_Parameter!$C$6))</f>
        <v>0</v>
      </c>
      <c r="U13" s="11" t="n">
        <f aca="false">IF(A13="","",S13-T13)</f>
        <v>345.47</v>
      </c>
      <c r="V13" s="11" t="n">
        <f aca="false">IF(A13="","",MIN(H13:N13))</f>
        <v>345.47</v>
      </c>
      <c r="W13" s="10" t="n">
        <f aca="false">IF(A13="","",INDEX(I_Master!$F$6:$F$85,MATCH(A13,I_Master!$A$6:$A$85,0)))</f>
        <v>8961</v>
      </c>
      <c r="X13" s="11" t="n">
        <f aca="false">IF(OR(A13="",W13=""),"",W13-Q13)</f>
        <v>4623.16748198107</v>
      </c>
      <c r="Y13" s="11" t="n">
        <f aca="false">IF(A13="","",S13*Q13)</f>
        <v>1498591</v>
      </c>
      <c r="Z13" s="9" t="str">
        <f aca="false">IF(A13="","",IF(V13&lt;-0.5,"KURANG: stok minus "&amp;ROUND(-V13,0)&amp;" kg — beli/potong atau geser order",IF(AND(S13&gt;0.5,T13&lt;=0,G13&gt;0.5),"JUAL: "&amp;ROUND(S13,0)&amp;" kg tanpa order, sebagian &gt; batas umur",IF(AND(S13&gt;0.5,T13&lt;=0),"JUAL: "&amp;ROUND(S13,0)&amp;" kg tanpa order minggu ini",IF(G13&gt;0.5,"PERHATIAN: "&amp;ROUND(G13,0)&amp;" kg di atas batas umur",IF(AND(X13&lt;&gt;"",X13&lt;0,T13&gt;0),"Order di bawah biaya rata-rata — cek harga","-"))))))</f>
        <v>JUAL: 345 kg tanpa order, sebagian &gt; batas umur</v>
      </c>
    </row>
    <row r="14" customFormat="false" ht="15" hidden="false" customHeight="false" outlineLevel="0" collapsed="false">
      <c r="A14" s="34" t="str">
        <f aca="false">I_Master!A14</f>
        <v>RPA|KRK (Kerangka)|Frozen</v>
      </c>
      <c r="B14" s="34" t="str">
        <f aca="false">IF(A14="","",INDEX(I_Master!$E$6:$E$85,MATCH(A14,I_Master!$A$6:$A$85,0)))</f>
        <v>Boneless &amp; parting</v>
      </c>
      <c r="C14" s="34" t="str">
        <f aca="false">IF(A14="","",INDEX(I_Master!$B$6:$B$85,MATCH(A14,I_Master!$A$6:$A$85,0)))</f>
        <v>RPA</v>
      </c>
      <c r="D14" s="10" t="n">
        <f aca="false">IF(A14="","",SUMIFS(I_Stok_Awal!$D$6:$D$305,I_Stok_Awal!$C$6:$C$305,A14))</f>
        <v>119.49</v>
      </c>
      <c r="E14" s="10" t="n">
        <f aca="false">IF(A14="","",SUMIFS(I_Stok_Awal!$E$6:$E$305,I_Stok_Awal!$C$6:$C$305,A14))</f>
        <v>2529632</v>
      </c>
      <c r="F14" s="35" t="n">
        <f aca="false">IF(OR(A14="",D14&lt;=0),"",SUMPRODUCT((I_Stok_Awal!$C$6:$C$305=A14)*I_Stok_Awal!$D$6:$D$305*I_Stok_Awal!$F$6:$F$305)/D14)</f>
        <v>53.9</v>
      </c>
      <c r="G14" s="10" t="n">
        <f aca="false">IF(A14="","",SUMIFS(I_Stok_Awal!$G$6:$G$305,I_Stok_Awal!$C$6:$C$305,A14))</f>
        <v>119.49</v>
      </c>
      <c r="H14" s="11" t="n">
        <f aca="false">IF($A14="","",D14+SUMIFS(T_Penerimaan!$I$6:$I$1005,T_Penerimaan!$H$6:$H$1005,$A14,T_Penerimaan!$A$6:$A$1005,H$4,T_Penerimaan!$M$6:$M$1005,1)-SUMIFS(T_Penjualan!$H$6:$H$1505,T_Penjualan!$G$6:$G$1505,$A14,T_Penjualan!$A$6:$A$1505,H$4,T_Penjualan!$P$6:$P$1505,1))</f>
        <v>119.49</v>
      </c>
      <c r="I14" s="11" t="n">
        <f aca="false">IF($A14="","",H14+SUMIFS(T_Penerimaan!$I$6:$I$1005,T_Penerimaan!$H$6:$H$1005,$A14,T_Penerimaan!$A$6:$A$1005,I$4,T_Penerimaan!$M$6:$M$1005,1)-SUMIFS(T_Penjualan!$H$6:$H$1505,T_Penjualan!$G$6:$G$1505,$A14,T_Penjualan!$A$6:$A$1505,I$4,T_Penjualan!$P$6:$P$1505,1))</f>
        <v>119.49</v>
      </c>
      <c r="J14" s="11" t="n">
        <f aca="false">IF($A14="","",I14+SUMIFS(T_Penerimaan!$I$6:$I$1005,T_Penerimaan!$H$6:$H$1005,$A14,T_Penerimaan!$A$6:$A$1005,J$4,T_Penerimaan!$M$6:$M$1005,1)-SUMIFS(T_Penjualan!$H$6:$H$1505,T_Penjualan!$G$6:$G$1505,$A14,T_Penjualan!$A$6:$A$1505,J$4,T_Penjualan!$P$6:$P$1505,1))</f>
        <v>119.49</v>
      </c>
      <c r="K14" s="11" t="n">
        <f aca="false">IF($A14="","",J14+SUMIFS(T_Penerimaan!$I$6:$I$1005,T_Penerimaan!$H$6:$H$1005,$A14,T_Penerimaan!$A$6:$A$1005,K$4,T_Penerimaan!$M$6:$M$1005,1)-SUMIFS(T_Penjualan!$H$6:$H$1505,T_Penjualan!$G$6:$G$1505,$A14,T_Penjualan!$A$6:$A$1505,K$4,T_Penjualan!$P$6:$P$1505,1))</f>
        <v>119.49</v>
      </c>
      <c r="L14" s="11" t="n">
        <f aca="false">IF($A14="","",K14+SUMIFS(T_Penerimaan!$I$6:$I$1005,T_Penerimaan!$H$6:$H$1005,$A14,T_Penerimaan!$A$6:$A$1005,L$4,T_Penerimaan!$M$6:$M$1005,1)-SUMIFS(T_Penjualan!$H$6:$H$1505,T_Penjualan!$G$6:$G$1505,$A14,T_Penjualan!$A$6:$A$1505,L$4,T_Penjualan!$P$6:$P$1505,1))</f>
        <v>119.49</v>
      </c>
      <c r="M14" s="11" t="n">
        <f aca="false">IF($A14="","",L14+SUMIFS(T_Penerimaan!$I$6:$I$1005,T_Penerimaan!$H$6:$H$1005,$A14,T_Penerimaan!$A$6:$A$1005,M$4,T_Penerimaan!$M$6:$M$1005,1)-SUMIFS(T_Penjualan!$H$6:$H$1505,T_Penjualan!$G$6:$G$1505,$A14,T_Penjualan!$A$6:$A$1505,M$4,T_Penjualan!$P$6:$P$1505,1))</f>
        <v>119.49</v>
      </c>
      <c r="N14" s="11" t="n">
        <f aca="false">IF($A14="","",M14+SUMIFS(T_Penerimaan!$I$6:$I$1005,T_Penerimaan!$H$6:$H$1005,$A14,T_Penerimaan!$A$6:$A$1005,N$4,T_Penerimaan!$M$6:$M$1005,1)-SUMIFS(T_Penjualan!$H$6:$H$1505,T_Penjualan!$G$6:$G$1505,$A14,T_Penjualan!$A$6:$A$1505,N$4,T_Penjualan!$P$6:$P$1505,1))</f>
        <v>119.49</v>
      </c>
      <c r="O14" s="11" t="n">
        <f aca="false">IF(A14="","",SUMIFS(T_Penerimaan!$I$6:$I$1005,T_Penerimaan!$H$6:$H$1005,A14,T_Penerimaan!$M$6:$M$1005,1))</f>
        <v>0</v>
      </c>
      <c r="P14" s="11" t="n">
        <f aca="false">IF(A14="","",SUMIFS(T_Penerimaan!$K$6:$K$1005,T_Penerimaan!$H$6:$H$1005,A14,T_Penerimaan!$M$6:$M$1005,1))</f>
        <v>0</v>
      </c>
      <c r="Q14" s="11" t="n">
        <f aca="false">IF(A14="","",IF(D14+O14&lt;=0,0,(E14+P14)/(D14+O14)))</f>
        <v>21170.2401874634</v>
      </c>
      <c r="R14" s="11" t="n">
        <f aca="false">IF(A14="","",SUMIFS(T_Penjualan!$H$6:$H$1505,T_Penjualan!$G$6:$G$1505,A14,T_Penjualan!$P$6:$P$1505,1))</f>
        <v>0</v>
      </c>
      <c r="S14" s="12" t="n">
        <f aca="false">IF(A14="","",IF(I_Parameter!$C$4&lt;=I_Parameter!$C$5,D14,IF(I_Parameter!$C$4&gt;I_Parameter!$C$6,N14,INDEX(H14:N14,I_Parameter!$C$4-I_Parameter!$C$5))))</f>
        <v>119.49</v>
      </c>
      <c r="T14" s="11" t="n">
        <f aca="false">IF(A14="","",SUMIFS(T_Penjualan!$H$6:$H$1505,T_Penjualan!$G$6:$G$1505,A14,T_Penjualan!$B$6:$B$1505,"Order",T_Penjualan!$A$6:$A$1505,"&gt;="&amp;I_Parameter!$C$4,T_Penjualan!$A$6:$A$1505,"&lt;="&amp;I_Parameter!$C$6))</f>
        <v>0</v>
      </c>
      <c r="U14" s="11" t="n">
        <f aca="false">IF(A14="","",S14-T14)</f>
        <v>119.49</v>
      </c>
      <c r="V14" s="11" t="n">
        <f aca="false">IF(A14="","",MIN(H14:N14))</f>
        <v>119.49</v>
      </c>
      <c r="W14" s="10" t="n">
        <f aca="false">IF(A14="","",INDEX(I_Master!$F$6:$F$85,MATCH(A14,I_Master!$A$6:$A$85,0)))</f>
        <v>5000</v>
      </c>
      <c r="X14" s="11" t="n">
        <f aca="false">IF(OR(A14="",W14=""),"",W14-Q14)</f>
        <v>-16170.2401874634</v>
      </c>
      <c r="Y14" s="11" t="n">
        <f aca="false">IF(A14="","",S14*Q14)</f>
        <v>2529632</v>
      </c>
      <c r="Z14" s="9" t="str">
        <f aca="false">IF(A14="","",IF(V14&lt;-0.5,"KURANG: stok minus "&amp;ROUND(-V14,0)&amp;" kg — beli/potong atau geser order",IF(AND(S14&gt;0.5,T14&lt;=0,G14&gt;0.5),"JUAL: "&amp;ROUND(S14,0)&amp;" kg tanpa order, sebagian &gt; batas umur",IF(AND(S14&gt;0.5,T14&lt;=0),"JUAL: "&amp;ROUND(S14,0)&amp;" kg tanpa order minggu ini",IF(G14&gt;0.5,"PERHATIAN: "&amp;ROUND(G14,0)&amp;" kg di atas batas umur",IF(AND(X14&lt;&gt;"",X14&lt;0,T14&gt;0),"Order di bawah biaya rata-rata — cek harga","-"))))))</f>
        <v>JUAL: 119 kg tanpa order, sebagian &gt; batas umur</v>
      </c>
    </row>
    <row r="15" customFormat="false" ht="15" hidden="false" customHeight="false" outlineLevel="0" collapsed="false">
      <c r="A15" s="34" t="str">
        <f aca="false">I_Master!A15</f>
        <v>RPA|Kulit|Fresh</v>
      </c>
      <c r="B15" s="34" t="str">
        <f aca="false">IF(A15="","",INDEX(I_Master!$E$6:$E$85,MATCH(A15,I_Master!$A$6:$A$85,0)))</f>
        <v>Boneless &amp; parting</v>
      </c>
      <c r="C15" s="34" t="str">
        <f aca="false">IF(A15="","",INDEX(I_Master!$B$6:$B$85,MATCH(A15,I_Master!$A$6:$A$85,0)))</f>
        <v>RPA</v>
      </c>
      <c r="D15" s="10" t="n">
        <f aca="false">IF(A15="","",SUMIFS(I_Stok_Awal!$D$6:$D$305,I_Stok_Awal!$C$6:$C$305,A15))</f>
        <v>276.03</v>
      </c>
      <c r="E15" s="10" t="n">
        <f aca="false">IF(A15="","",SUMIFS(I_Stok_Awal!$E$6:$E$305,I_Stok_Awal!$C$6:$C$305,A15))</f>
        <v>1056932</v>
      </c>
      <c r="F15" s="35" t="n">
        <f aca="false">IF(OR(A15="",D15&lt;=0),"",SUMPRODUCT((I_Stok_Awal!$C$6:$C$305=A15)*I_Stok_Awal!$D$6:$D$305*I_Stok_Awal!$F$6:$F$305)/D15)</f>
        <v>87</v>
      </c>
      <c r="G15" s="10" t="n">
        <f aca="false">IF(A15="","",SUMIFS(I_Stok_Awal!$G$6:$G$305,I_Stok_Awal!$C$6:$C$305,A15))</f>
        <v>276.03</v>
      </c>
      <c r="H15" s="11" t="n">
        <f aca="false">IF($A15="","",D15+SUMIFS(T_Penerimaan!$I$6:$I$1005,T_Penerimaan!$H$6:$H$1005,$A15,T_Penerimaan!$A$6:$A$1005,H$4,T_Penerimaan!$M$6:$M$1005,1)-SUMIFS(T_Penjualan!$H$6:$H$1505,T_Penjualan!$G$6:$G$1505,$A15,T_Penjualan!$A$6:$A$1505,H$4,T_Penjualan!$P$6:$P$1505,1))</f>
        <v>276.03</v>
      </c>
      <c r="I15" s="11" t="n">
        <f aca="false">IF($A15="","",H15+SUMIFS(T_Penerimaan!$I$6:$I$1005,T_Penerimaan!$H$6:$H$1005,$A15,T_Penerimaan!$A$6:$A$1005,I$4,T_Penerimaan!$M$6:$M$1005,1)-SUMIFS(T_Penjualan!$H$6:$H$1505,T_Penjualan!$G$6:$G$1505,$A15,T_Penjualan!$A$6:$A$1505,I$4,T_Penjualan!$P$6:$P$1505,1))</f>
        <v>276.03</v>
      </c>
      <c r="J15" s="11" t="n">
        <f aca="false">IF($A15="","",I15+SUMIFS(T_Penerimaan!$I$6:$I$1005,T_Penerimaan!$H$6:$H$1005,$A15,T_Penerimaan!$A$6:$A$1005,J$4,T_Penerimaan!$M$6:$M$1005,1)-SUMIFS(T_Penjualan!$H$6:$H$1505,T_Penjualan!$G$6:$G$1505,$A15,T_Penjualan!$A$6:$A$1505,J$4,T_Penjualan!$P$6:$P$1505,1))</f>
        <v>276.03</v>
      </c>
      <c r="K15" s="11" t="n">
        <f aca="false">IF($A15="","",J15+SUMIFS(T_Penerimaan!$I$6:$I$1005,T_Penerimaan!$H$6:$H$1005,$A15,T_Penerimaan!$A$6:$A$1005,K$4,T_Penerimaan!$M$6:$M$1005,1)-SUMIFS(T_Penjualan!$H$6:$H$1505,T_Penjualan!$G$6:$G$1505,$A15,T_Penjualan!$A$6:$A$1505,K$4,T_Penjualan!$P$6:$P$1505,1))</f>
        <v>276.03</v>
      </c>
      <c r="L15" s="11" t="n">
        <f aca="false">IF($A15="","",K15+SUMIFS(T_Penerimaan!$I$6:$I$1005,T_Penerimaan!$H$6:$H$1005,$A15,T_Penerimaan!$A$6:$A$1005,L$4,T_Penerimaan!$M$6:$M$1005,1)-SUMIFS(T_Penjualan!$H$6:$H$1505,T_Penjualan!$G$6:$G$1505,$A15,T_Penjualan!$A$6:$A$1505,L$4,T_Penjualan!$P$6:$P$1505,1))</f>
        <v>276.03</v>
      </c>
      <c r="M15" s="11" t="n">
        <f aca="false">IF($A15="","",L15+SUMIFS(T_Penerimaan!$I$6:$I$1005,T_Penerimaan!$H$6:$H$1005,$A15,T_Penerimaan!$A$6:$A$1005,M$4,T_Penerimaan!$M$6:$M$1005,1)-SUMIFS(T_Penjualan!$H$6:$H$1505,T_Penjualan!$G$6:$G$1505,$A15,T_Penjualan!$A$6:$A$1505,M$4,T_Penjualan!$P$6:$P$1505,1))</f>
        <v>276.03</v>
      </c>
      <c r="N15" s="11" t="n">
        <f aca="false">IF($A15="","",M15+SUMIFS(T_Penerimaan!$I$6:$I$1005,T_Penerimaan!$H$6:$H$1005,$A15,T_Penerimaan!$A$6:$A$1005,N$4,T_Penerimaan!$M$6:$M$1005,1)-SUMIFS(T_Penjualan!$H$6:$H$1505,T_Penjualan!$G$6:$G$1505,$A15,T_Penjualan!$A$6:$A$1505,N$4,T_Penjualan!$P$6:$P$1505,1))</f>
        <v>276.03</v>
      </c>
      <c r="O15" s="11" t="n">
        <f aca="false">IF(A15="","",SUMIFS(T_Penerimaan!$I$6:$I$1005,T_Penerimaan!$H$6:$H$1005,A15,T_Penerimaan!$M$6:$M$1005,1))</f>
        <v>0</v>
      </c>
      <c r="P15" s="11" t="n">
        <f aca="false">IF(A15="","",SUMIFS(T_Penerimaan!$K$6:$K$1005,T_Penerimaan!$H$6:$H$1005,A15,T_Penerimaan!$M$6:$M$1005,1))</f>
        <v>0</v>
      </c>
      <c r="Q15" s="11" t="n">
        <f aca="false">IF(A15="","",IF(D15+O15&lt;=0,0,(E15+P15)/(D15+O15)))</f>
        <v>3829.04756729341</v>
      </c>
      <c r="R15" s="11" t="n">
        <f aca="false">IF(A15="","",SUMIFS(T_Penjualan!$H$6:$H$1505,T_Penjualan!$G$6:$G$1505,A15,T_Penjualan!$P$6:$P$1505,1))</f>
        <v>0</v>
      </c>
      <c r="S15" s="12" t="n">
        <f aca="false">IF(A15="","",IF(I_Parameter!$C$4&lt;=I_Parameter!$C$5,D15,IF(I_Parameter!$C$4&gt;I_Parameter!$C$6,N15,INDEX(H15:N15,I_Parameter!$C$4-I_Parameter!$C$5))))</f>
        <v>276.03</v>
      </c>
      <c r="T15" s="11" t="n">
        <f aca="false">IF(A15="","",SUMIFS(T_Penjualan!$H$6:$H$1505,T_Penjualan!$G$6:$G$1505,A15,T_Penjualan!$B$6:$B$1505,"Order",T_Penjualan!$A$6:$A$1505,"&gt;="&amp;I_Parameter!$C$4,T_Penjualan!$A$6:$A$1505,"&lt;="&amp;I_Parameter!$C$6))</f>
        <v>0</v>
      </c>
      <c r="U15" s="11" t="n">
        <f aca="false">IF(A15="","",S15-T15)</f>
        <v>276.03</v>
      </c>
      <c r="V15" s="11" t="n">
        <f aca="false">IF(A15="","",MIN(H15:N15))</f>
        <v>276.03</v>
      </c>
      <c r="W15" s="10" t="n">
        <f aca="false">IF(A15="","",INDEX(I_Master!$F$6:$F$85,MATCH(A15,I_Master!$A$6:$A$85,0)))</f>
        <v>22478</v>
      </c>
      <c r="X15" s="11" t="n">
        <f aca="false">IF(OR(A15="",W15=""),"",W15-Q15)</f>
        <v>18648.9524327066</v>
      </c>
      <c r="Y15" s="11" t="n">
        <f aca="false">IF(A15="","",S15*Q15)</f>
        <v>1056932</v>
      </c>
      <c r="Z15" s="9" t="str">
        <f aca="false">IF(A15="","",IF(V15&lt;-0.5,"KURANG: stok minus "&amp;ROUND(-V15,0)&amp;" kg — beli/potong atau geser order",IF(AND(S15&gt;0.5,T15&lt;=0,G15&gt;0.5),"JUAL: "&amp;ROUND(S15,0)&amp;" kg tanpa order, sebagian &gt; batas umur",IF(AND(S15&gt;0.5,T15&lt;=0),"JUAL: "&amp;ROUND(S15,0)&amp;" kg tanpa order minggu ini",IF(G15&gt;0.5,"PERHATIAN: "&amp;ROUND(G15,0)&amp;" kg di atas batas umur",IF(AND(X15&lt;&gt;"",X15&lt;0,T15&gt;0),"Order di bawah biaya rata-rata — cek harga","-"))))))</f>
        <v>JUAL: 276 kg tanpa order, sebagian &gt; batas umur</v>
      </c>
    </row>
    <row r="16" customFormat="false" ht="15" hidden="false" customHeight="false" outlineLevel="0" collapsed="false">
      <c r="A16" s="34" t="str">
        <f aca="false">I_Master!A16</f>
        <v>RPA|Kulit|Frozen</v>
      </c>
      <c r="B16" s="34" t="str">
        <f aca="false">IF(A16="","",INDEX(I_Master!$E$6:$E$85,MATCH(A16,I_Master!$A$6:$A$85,0)))</f>
        <v>Boneless &amp; parting</v>
      </c>
      <c r="C16" s="34" t="str">
        <f aca="false">IF(A16="","",INDEX(I_Master!$B$6:$B$85,MATCH(A16,I_Master!$A$6:$A$85,0)))</f>
        <v>RPA</v>
      </c>
      <c r="D16" s="10" t="n">
        <f aca="false">IF(A16="","",SUMIFS(I_Stok_Awal!$D$6:$D$305,I_Stok_Awal!$C$6:$C$305,A16))</f>
        <v>1033.78</v>
      </c>
      <c r="E16" s="10" t="n">
        <f aca="false">IF(A16="","",SUMIFS(I_Stok_Awal!$E$6:$E$305,I_Stok_Awal!$C$6:$C$305,A16))</f>
        <v>25074700</v>
      </c>
      <c r="F16" s="35" t="n">
        <f aca="false">IF(OR(A16="",D16&lt;=0),"",SUMPRODUCT((I_Stok_Awal!$C$6:$C$305=A16)*I_Stok_Awal!$D$6:$D$305*I_Stok_Awal!$F$6:$F$305)/D16)</f>
        <v>53.8</v>
      </c>
      <c r="G16" s="10" t="n">
        <f aca="false">IF(A16="","",SUMIFS(I_Stok_Awal!$G$6:$G$305,I_Stok_Awal!$C$6:$C$305,A16))</f>
        <v>1033.78</v>
      </c>
      <c r="H16" s="11" t="n">
        <f aca="false">IF($A16="","",D16+SUMIFS(T_Penerimaan!$I$6:$I$1005,T_Penerimaan!$H$6:$H$1005,$A16,T_Penerimaan!$A$6:$A$1005,H$4,T_Penerimaan!$M$6:$M$1005,1)-SUMIFS(T_Penjualan!$H$6:$H$1505,T_Penjualan!$G$6:$G$1505,$A16,T_Penjualan!$A$6:$A$1505,H$4,T_Penjualan!$P$6:$P$1505,1))</f>
        <v>1033.78</v>
      </c>
      <c r="I16" s="11" t="n">
        <f aca="false">IF($A16="","",H16+SUMIFS(T_Penerimaan!$I$6:$I$1005,T_Penerimaan!$H$6:$H$1005,$A16,T_Penerimaan!$A$6:$A$1005,I$4,T_Penerimaan!$M$6:$M$1005,1)-SUMIFS(T_Penjualan!$H$6:$H$1505,T_Penjualan!$G$6:$G$1505,$A16,T_Penjualan!$A$6:$A$1505,I$4,T_Penjualan!$P$6:$P$1505,1))</f>
        <v>1033.78</v>
      </c>
      <c r="J16" s="11" t="n">
        <f aca="false">IF($A16="","",I16+SUMIFS(T_Penerimaan!$I$6:$I$1005,T_Penerimaan!$H$6:$H$1005,$A16,T_Penerimaan!$A$6:$A$1005,J$4,T_Penerimaan!$M$6:$M$1005,1)-SUMIFS(T_Penjualan!$H$6:$H$1505,T_Penjualan!$G$6:$G$1505,$A16,T_Penjualan!$A$6:$A$1505,J$4,T_Penjualan!$P$6:$P$1505,1))</f>
        <v>1033.78</v>
      </c>
      <c r="K16" s="11" t="n">
        <f aca="false">IF($A16="","",J16+SUMIFS(T_Penerimaan!$I$6:$I$1005,T_Penerimaan!$H$6:$H$1005,$A16,T_Penerimaan!$A$6:$A$1005,K$4,T_Penerimaan!$M$6:$M$1005,1)-SUMIFS(T_Penjualan!$H$6:$H$1505,T_Penjualan!$G$6:$G$1505,$A16,T_Penjualan!$A$6:$A$1505,K$4,T_Penjualan!$P$6:$P$1505,1))</f>
        <v>1033.78</v>
      </c>
      <c r="L16" s="11" t="n">
        <f aca="false">IF($A16="","",K16+SUMIFS(T_Penerimaan!$I$6:$I$1005,T_Penerimaan!$H$6:$H$1005,$A16,T_Penerimaan!$A$6:$A$1005,L$4,T_Penerimaan!$M$6:$M$1005,1)-SUMIFS(T_Penjualan!$H$6:$H$1505,T_Penjualan!$G$6:$G$1505,$A16,T_Penjualan!$A$6:$A$1505,L$4,T_Penjualan!$P$6:$P$1505,1))</f>
        <v>1033.78</v>
      </c>
      <c r="M16" s="11" t="n">
        <f aca="false">IF($A16="","",L16+SUMIFS(T_Penerimaan!$I$6:$I$1005,T_Penerimaan!$H$6:$H$1005,$A16,T_Penerimaan!$A$6:$A$1005,M$4,T_Penerimaan!$M$6:$M$1005,1)-SUMIFS(T_Penjualan!$H$6:$H$1505,T_Penjualan!$G$6:$G$1505,$A16,T_Penjualan!$A$6:$A$1505,M$4,T_Penjualan!$P$6:$P$1505,1))</f>
        <v>1033.78</v>
      </c>
      <c r="N16" s="11" t="n">
        <f aca="false">IF($A16="","",M16+SUMIFS(T_Penerimaan!$I$6:$I$1005,T_Penerimaan!$H$6:$H$1005,$A16,T_Penerimaan!$A$6:$A$1005,N$4,T_Penerimaan!$M$6:$M$1005,1)-SUMIFS(T_Penjualan!$H$6:$H$1505,T_Penjualan!$G$6:$G$1505,$A16,T_Penjualan!$A$6:$A$1505,N$4,T_Penjualan!$P$6:$P$1505,1))</f>
        <v>1033.78</v>
      </c>
      <c r="O16" s="11" t="n">
        <f aca="false">IF(A16="","",SUMIFS(T_Penerimaan!$I$6:$I$1005,T_Penerimaan!$H$6:$H$1005,A16,T_Penerimaan!$M$6:$M$1005,1))</f>
        <v>0</v>
      </c>
      <c r="P16" s="11" t="n">
        <f aca="false">IF(A16="","",SUMIFS(T_Penerimaan!$K$6:$K$1005,T_Penerimaan!$H$6:$H$1005,A16,T_Penerimaan!$M$6:$M$1005,1))</f>
        <v>0</v>
      </c>
      <c r="Q16" s="11" t="n">
        <f aca="false">IF(A16="","",IF(D16+O16&lt;=0,0,(E16+P16)/(D16+O16)))</f>
        <v>24255.3541372439</v>
      </c>
      <c r="R16" s="11" t="n">
        <f aca="false">IF(A16="","",SUMIFS(T_Penjualan!$H$6:$H$1505,T_Penjualan!$G$6:$G$1505,A16,T_Penjualan!$P$6:$P$1505,1))</f>
        <v>0</v>
      </c>
      <c r="S16" s="12" t="n">
        <f aca="false">IF(A16="","",IF(I_Parameter!$C$4&lt;=I_Parameter!$C$5,D16,IF(I_Parameter!$C$4&gt;I_Parameter!$C$6,N16,INDEX(H16:N16,I_Parameter!$C$4-I_Parameter!$C$5))))</f>
        <v>1033.78</v>
      </c>
      <c r="T16" s="11" t="n">
        <f aca="false">IF(A16="","",SUMIFS(T_Penjualan!$H$6:$H$1505,T_Penjualan!$G$6:$G$1505,A16,T_Penjualan!$B$6:$B$1505,"Order",T_Penjualan!$A$6:$A$1505,"&gt;="&amp;I_Parameter!$C$4,T_Penjualan!$A$6:$A$1505,"&lt;="&amp;I_Parameter!$C$6))</f>
        <v>0</v>
      </c>
      <c r="U16" s="11" t="n">
        <f aca="false">IF(A16="","",S16-T16)</f>
        <v>1033.78</v>
      </c>
      <c r="V16" s="11" t="n">
        <f aca="false">IF(A16="","",MIN(H16:N16))</f>
        <v>1033.78</v>
      </c>
      <c r="W16" s="10" t="n">
        <f aca="false">IF(A16="","",INDEX(I_Master!$F$6:$F$85,MATCH(A16,I_Master!$A$6:$A$85,0)))</f>
        <v>23007</v>
      </c>
      <c r="X16" s="11" t="n">
        <f aca="false">IF(OR(A16="",W16=""),"",W16-Q16)</f>
        <v>-1248.3541372439</v>
      </c>
      <c r="Y16" s="11" t="n">
        <f aca="false">IF(A16="","",S16*Q16)</f>
        <v>25074700</v>
      </c>
      <c r="Z16" s="9" t="str">
        <f aca="false">IF(A16="","",IF(V16&lt;-0.5,"KURANG: stok minus "&amp;ROUND(-V16,0)&amp;" kg — beli/potong atau geser order",IF(AND(S16&gt;0.5,T16&lt;=0,G16&gt;0.5),"JUAL: "&amp;ROUND(S16,0)&amp;" kg tanpa order, sebagian &gt; batas umur",IF(AND(S16&gt;0.5,T16&lt;=0),"JUAL: "&amp;ROUND(S16,0)&amp;" kg tanpa order minggu ini",IF(G16&gt;0.5,"PERHATIAN: "&amp;ROUND(G16,0)&amp;" kg di atas batas umur",IF(AND(X16&lt;&gt;"",X16&lt;0,T16&gt;0),"Order di bawah biaya rata-rata — cek harga","-"))))))</f>
        <v>JUAL: 1034 kg tanpa order, sebagian &gt; batas umur</v>
      </c>
    </row>
    <row r="17" customFormat="false" ht="15" hidden="false" customHeight="false" outlineLevel="0" collapsed="false">
      <c r="A17" s="34" t="str">
        <f aca="false">I_Master!A17</f>
        <v>RPA|Paha (parting)|Fresh</v>
      </c>
      <c r="B17" s="34" t="str">
        <f aca="false">IF(A17="","",INDEX(I_Master!$E$6:$E$85,MATCH(A17,I_Master!$A$6:$A$85,0)))</f>
        <v>Boneless &amp; parting</v>
      </c>
      <c r="C17" s="34" t="str">
        <f aca="false">IF(A17="","",INDEX(I_Master!$B$6:$B$85,MATCH(A17,I_Master!$A$6:$A$85,0)))</f>
        <v>RPA</v>
      </c>
      <c r="D17" s="10" t="n">
        <f aca="false">IF(A17="","",SUMIFS(I_Stok_Awal!$D$6:$D$305,I_Stok_Awal!$C$6:$C$305,A17))</f>
        <v>19.77</v>
      </c>
      <c r="E17" s="10" t="n">
        <f aca="false">IF(A17="","",SUMIFS(I_Stok_Awal!$E$6:$E$305,I_Stok_Awal!$C$6:$C$305,A17))</f>
        <v>899406</v>
      </c>
      <c r="F17" s="35" t="n">
        <f aca="false">IF(OR(A17="",D17&lt;=0),"",SUMPRODUCT((I_Stok_Awal!$C$6:$C$305=A17)*I_Stok_Awal!$D$6:$D$305*I_Stok_Awal!$F$6:$F$305)/D17)</f>
        <v>126</v>
      </c>
      <c r="G17" s="10" t="n">
        <f aca="false">IF(A17="","",SUMIFS(I_Stok_Awal!$G$6:$G$305,I_Stok_Awal!$C$6:$C$305,A17))</f>
        <v>19.77</v>
      </c>
      <c r="H17" s="11" t="n">
        <f aca="false">IF($A17="","",D17+SUMIFS(T_Penerimaan!$I$6:$I$1005,T_Penerimaan!$H$6:$H$1005,$A17,T_Penerimaan!$A$6:$A$1005,H$4,T_Penerimaan!$M$6:$M$1005,1)-SUMIFS(T_Penjualan!$H$6:$H$1505,T_Penjualan!$G$6:$G$1505,$A17,T_Penjualan!$A$6:$A$1505,H$4,T_Penjualan!$P$6:$P$1505,1))</f>
        <v>19.77</v>
      </c>
      <c r="I17" s="11" t="n">
        <f aca="false">IF($A17="","",H17+SUMIFS(T_Penerimaan!$I$6:$I$1005,T_Penerimaan!$H$6:$H$1005,$A17,T_Penerimaan!$A$6:$A$1005,I$4,T_Penerimaan!$M$6:$M$1005,1)-SUMIFS(T_Penjualan!$H$6:$H$1505,T_Penjualan!$G$6:$G$1505,$A17,T_Penjualan!$A$6:$A$1505,I$4,T_Penjualan!$P$6:$P$1505,1))</f>
        <v>19.77</v>
      </c>
      <c r="J17" s="11" t="n">
        <f aca="false">IF($A17="","",I17+SUMIFS(T_Penerimaan!$I$6:$I$1005,T_Penerimaan!$H$6:$H$1005,$A17,T_Penerimaan!$A$6:$A$1005,J$4,T_Penerimaan!$M$6:$M$1005,1)-SUMIFS(T_Penjualan!$H$6:$H$1505,T_Penjualan!$G$6:$G$1505,$A17,T_Penjualan!$A$6:$A$1505,J$4,T_Penjualan!$P$6:$P$1505,1))</f>
        <v>19.77</v>
      </c>
      <c r="K17" s="11" t="n">
        <f aca="false">IF($A17="","",J17+SUMIFS(T_Penerimaan!$I$6:$I$1005,T_Penerimaan!$H$6:$H$1005,$A17,T_Penerimaan!$A$6:$A$1005,K$4,T_Penerimaan!$M$6:$M$1005,1)-SUMIFS(T_Penjualan!$H$6:$H$1505,T_Penjualan!$G$6:$G$1505,$A17,T_Penjualan!$A$6:$A$1505,K$4,T_Penjualan!$P$6:$P$1505,1))</f>
        <v>19.77</v>
      </c>
      <c r="L17" s="11" t="n">
        <f aca="false">IF($A17="","",K17+SUMIFS(T_Penerimaan!$I$6:$I$1005,T_Penerimaan!$H$6:$H$1005,$A17,T_Penerimaan!$A$6:$A$1005,L$4,T_Penerimaan!$M$6:$M$1005,1)-SUMIFS(T_Penjualan!$H$6:$H$1505,T_Penjualan!$G$6:$G$1505,$A17,T_Penjualan!$A$6:$A$1505,L$4,T_Penjualan!$P$6:$P$1505,1))</f>
        <v>19.77</v>
      </c>
      <c r="M17" s="11" t="n">
        <f aca="false">IF($A17="","",L17+SUMIFS(T_Penerimaan!$I$6:$I$1005,T_Penerimaan!$H$6:$H$1005,$A17,T_Penerimaan!$A$6:$A$1005,M$4,T_Penerimaan!$M$6:$M$1005,1)-SUMIFS(T_Penjualan!$H$6:$H$1505,T_Penjualan!$G$6:$G$1505,$A17,T_Penjualan!$A$6:$A$1505,M$4,T_Penjualan!$P$6:$P$1505,1))</f>
        <v>19.77</v>
      </c>
      <c r="N17" s="11" t="n">
        <f aca="false">IF($A17="","",M17+SUMIFS(T_Penerimaan!$I$6:$I$1005,T_Penerimaan!$H$6:$H$1005,$A17,T_Penerimaan!$A$6:$A$1005,N$4,T_Penerimaan!$M$6:$M$1005,1)-SUMIFS(T_Penjualan!$H$6:$H$1505,T_Penjualan!$G$6:$G$1505,$A17,T_Penjualan!$A$6:$A$1505,N$4,T_Penjualan!$P$6:$P$1505,1))</f>
        <v>19.77</v>
      </c>
      <c r="O17" s="11" t="n">
        <f aca="false">IF(A17="","",SUMIFS(T_Penerimaan!$I$6:$I$1005,T_Penerimaan!$H$6:$H$1005,A17,T_Penerimaan!$M$6:$M$1005,1))</f>
        <v>0</v>
      </c>
      <c r="P17" s="11" t="n">
        <f aca="false">IF(A17="","",SUMIFS(T_Penerimaan!$K$6:$K$1005,T_Penerimaan!$H$6:$H$1005,A17,T_Penerimaan!$M$6:$M$1005,1))</f>
        <v>0</v>
      </c>
      <c r="Q17" s="11" t="n">
        <f aca="false">IF(A17="","",IF(D17+O17&lt;=0,0,(E17+P17)/(D17+O17)))</f>
        <v>45493.4749620637</v>
      </c>
      <c r="R17" s="11" t="n">
        <f aca="false">IF(A17="","",SUMIFS(T_Penjualan!$H$6:$H$1505,T_Penjualan!$G$6:$G$1505,A17,T_Penjualan!$P$6:$P$1505,1))</f>
        <v>0</v>
      </c>
      <c r="S17" s="12" t="n">
        <f aca="false">IF(A17="","",IF(I_Parameter!$C$4&lt;=I_Parameter!$C$5,D17,IF(I_Parameter!$C$4&gt;I_Parameter!$C$6,N17,INDEX(H17:N17,I_Parameter!$C$4-I_Parameter!$C$5))))</f>
        <v>19.77</v>
      </c>
      <c r="T17" s="11" t="n">
        <f aca="false">IF(A17="","",SUMIFS(T_Penjualan!$H$6:$H$1505,T_Penjualan!$G$6:$G$1505,A17,T_Penjualan!$B$6:$B$1505,"Order",T_Penjualan!$A$6:$A$1505,"&gt;="&amp;I_Parameter!$C$4,T_Penjualan!$A$6:$A$1505,"&lt;="&amp;I_Parameter!$C$6))</f>
        <v>0</v>
      </c>
      <c r="U17" s="11" t="n">
        <f aca="false">IF(A17="","",S17-T17)</f>
        <v>19.77</v>
      </c>
      <c r="V17" s="11" t="n">
        <f aca="false">IF(A17="","",MIN(H17:N17))</f>
        <v>19.77</v>
      </c>
      <c r="W17" s="10" t="n">
        <f aca="false">IF(A17="","",INDEX(I_Master!$F$6:$F$85,MATCH(A17,I_Master!$A$6:$A$85,0)))</f>
        <v>35238</v>
      </c>
      <c r="X17" s="11" t="n">
        <f aca="false">IF(OR(A17="",W17=""),"",W17-Q17)</f>
        <v>-10255.4749620637</v>
      </c>
      <c r="Y17" s="11" t="n">
        <f aca="false">IF(A17="","",S17*Q17)</f>
        <v>899406</v>
      </c>
      <c r="Z17" s="9" t="str">
        <f aca="false">IF(A17="","",IF(V17&lt;-0.5,"KURANG: stok minus "&amp;ROUND(-V17,0)&amp;" kg — beli/potong atau geser order",IF(AND(S17&gt;0.5,T17&lt;=0,G17&gt;0.5),"JUAL: "&amp;ROUND(S17,0)&amp;" kg tanpa order, sebagian &gt; batas umur",IF(AND(S17&gt;0.5,T17&lt;=0),"JUAL: "&amp;ROUND(S17,0)&amp;" kg tanpa order minggu ini",IF(G17&gt;0.5,"PERHATIAN: "&amp;ROUND(G17,0)&amp;" kg di atas batas umur",IF(AND(X17&lt;&gt;"",X17&lt;0,T17&gt;0),"Order di bawah biaya rata-rata — cek harga","-"))))))</f>
        <v>JUAL: 20 kg tanpa order, sebagian &gt; batas umur</v>
      </c>
    </row>
    <row r="18" customFormat="false" ht="15" hidden="false" customHeight="false" outlineLevel="0" collapsed="false">
      <c r="A18" s="34" t="str">
        <f aca="false">I_Master!A18</f>
        <v>RPA|Paha (parting)|Frozen</v>
      </c>
      <c r="B18" s="34" t="str">
        <f aca="false">IF(A18="","",INDEX(I_Master!$E$6:$E$85,MATCH(A18,I_Master!$A$6:$A$85,0)))</f>
        <v>Boneless &amp; parting</v>
      </c>
      <c r="C18" s="34" t="str">
        <f aca="false">IF(A18="","",INDEX(I_Master!$B$6:$B$85,MATCH(A18,I_Master!$A$6:$A$85,0)))</f>
        <v>RPA</v>
      </c>
      <c r="D18" s="10" t="n">
        <f aca="false">IF(A18="","",SUMIFS(I_Stok_Awal!$D$6:$D$305,I_Stok_Awal!$C$6:$C$305,A18))</f>
        <v>51.18</v>
      </c>
      <c r="E18" s="10" t="n">
        <f aca="false">IF(A18="","",SUMIFS(I_Stok_Awal!$E$6:$E$305,I_Stok_Awal!$C$6:$C$305,A18))</f>
        <v>1598248</v>
      </c>
      <c r="F18" s="35" t="n">
        <f aca="false">IF(OR(A18="",D18&lt;=0),"",SUMPRODUCT((I_Stok_Awal!$C$6:$C$305=A18)*I_Stok_Awal!$D$6:$D$305*I_Stok_Awal!$F$6:$F$305)/D18)</f>
        <v>65.1440015631106</v>
      </c>
      <c r="G18" s="10" t="n">
        <f aca="false">IF(A18="","",SUMIFS(I_Stok_Awal!$G$6:$G$305,I_Stok_Awal!$C$6:$C$305,A18))</f>
        <v>51.18</v>
      </c>
      <c r="H18" s="11" t="n">
        <f aca="false">IF($A18="","",D18+SUMIFS(T_Penerimaan!$I$6:$I$1005,T_Penerimaan!$H$6:$H$1005,$A18,T_Penerimaan!$A$6:$A$1005,H$4,T_Penerimaan!$M$6:$M$1005,1)-SUMIFS(T_Penjualan!$H$6:$H$1505,T_Penjualan!$G$6:$G$1505,$A18,T_Penjualan!$A$6:$A$1505,H$4,T_Penjualan!$P$6:$P$1505,1))</f>
        <v>51.18</v>
      </c>
      <c r="I18" s="11" t="n">
        <f aca="false">IF($A18="","",H18+SUMIFS(T_Penerimaan!$I$6:$I$1005,T_Penerimaan!$H$6:$H$1005,$A18,T_Penerimaan!$A$6:$A$1005,I$4,T_Penerimaan!$M$6:$M$1005,1)-SUMIFS(T_Penjualan!$H$6:$H$1505,T_Penjualan!$G$6:$G$1505,$A18,T_Penjualan!$A$6:$A$1505,I$4,T_Penjualan!$P$6:$P$1505,1))</f>
        <v>51.18</v>
      </c>
      <c r="J18" s="11" t="n">
        <f aca="false">IF($A18="","",I18+SUMIFS(T_Penerimaan!$I$6:$I$1005,T_Penerimaan!$H$6:$H$1005,$A18,T_Penerimaan!$A$6:$A$1005,J$4,T_Penerimaan!$M$6:$M$1005,1)-SUMIFS(T_Penjualan!$H$6:$H$1505,T_Penjualan!$G$6:$G$1505,$A18,T_Penjualan!$A$6:$A$1505,J$4,T_Penjualan!$P$6:$P$1505,1))</f>
        <v>51.18</v>
      </c>
      <c r="K18" s="11" t="n">
        <f aca="false">IF($A18="","",J18+SUMIFS(T_Penerimaan!$I$6:$I$1005,T_Penerimaan!$H$6:$H$1005,$A18,T_Penerimaan!$A$6:$A$1005,K$4,T_Penerimaan!$M$6:$M$1005,1)-SUMIFS(T_Penjualan!$H$6:$H$1505,T_Penjualan!$G$6:$G$1505,$A18,T_Penjualan!$A$6:$A$1505,K$4,T_Penjualan!$P$6:$P$1505,1))</f>
        <v>51.18</v>
      </c>
      <c r="L18" s="11" t="n">
        <f aca="false">IF($A18="","",K18+SUMIFS(T_Penerimaan!$I$6:$I$1005,T_Penerimaan!$H$6:$H$1005,$A18,T_Penerimaan!$A$6:$A$1005,L$4,T_Penerimaan!$M$6:$M$1005,1)-SUMIFS(T_Penjualan!$H$6:$H$1505,T_Penjualan!$G$6:$G$1505,$A18,T_Penjualan!$A$6:$A$1505,L$4,T_Penjualan!$P$6:$P$1505,1))</f>
        <v>51.18</v>
      </c>
      <c r="M18" s="11" t="n">
        <f aca="false">IF($A18="","",L18+SUMIFS(T_Penerimaan!$I$6:$I$1005,T_Penerimaan!$H$6:$H$1005,$A18,T_Penerimaan!$A$6:$A$1005,M$4,T_Penerimaan!$M$6:$M$1005,1)-SUMIFS(T_Penjualan!$H$6:$H$1505,T_Penjualan!$G$6:$G$1505,$A18,T_Penjualan!$A$6:$A$1505,M$4,T_Penjualan!$P$6:$P$1505,1))</f>
        <v>51.18</v>
      </c>
      <c r="N18" s="11" t="n">
        <f aca="false">IF($A18="","",M18+SUMIFS(T_Penerimaan!$I$6:$I$1005,T_Penerimaan!$H$6:$H$1005,$A18,T_Penerimaan!$A$6:$A$1005,N$4,T_Penerimaan!$M$6:$M$1005,1)-SUMIFS(T_Penjualan!$H$6:$H$1505,T_Penjualan!$G$6:$G$1505,$A18,T_Penjualan!$A$6:$A$1505,N$4,T_Penjualan!$P$6:$P$1505,1))</f>
        <v>51.18</v>
      </c>
      <c r="O18" s="11" t="n">
        <f aca="false">IF(A18="","",SUMIFS(T_Penerimaan!$I$6:$I$1005,T_Penerimaan!$H$6:$H$1005,A18,T_Penerimaan!$M$6:$M$1005,1))</f>
        <v>0</v>
      </c>
      <c r="P18" s="11" t="n">
        <f aca="false">IF(A18="","",SUMIFS(T_Penerimaan!$K$6:$K$1005,T_Penerimaan!$H$6:$H$1005,A18,T_Penerimaan!$M$6:$M$1005,1))</f>
        <v>0</v>
      </c>
      <c r="Q18" s="11" t="n">
        <f aca="false">IF(A18="","",IF(D18+O18&lt;=0,0,(E18+P18)/(D18+O18)))</f>
        <v>31227.9796795623</v>
      </c>
      <c r="R18" s="11" t="n">
        <f aca="false">IF(A18="","",SUMIFS(T_Penjualan!$H$6:$H$1505,T_Penjualan!$G$6:$G$1505,A18,T_Penjualan!$P$6:$P$1505,1))</f>
        <v>0</v>
      </c>
      <c r="S18" s="12" t="n">
        <f aca="false">IF(A18="","",IF(I_Parameter!$C$4&lt;=I_Parameter!$C$5,D18,IF(I_Parameter!$C$4&gt;I_Parameter!$C$6,N18,INDEX(H18:N18,I_Parameter!$C$4-I_Parameter!$C$5))))</f>
        <v>51.18</v>
      </c>
      <c r="T18" s="11" t="n">
        <f aca="false">IF(A18="","",SUMIFS(T_Penjualan!$H$6:$H$1505,T_Penjualan!$G$6:$G$1505,A18,T_Penjualan!$B$6:$B$1505,"Order",T_Penjualan!$A$6:$A$1505,"&gt;="&amp;I_Parameter!$C$4,T_Penjualan!$A$6:$A$1505,"&lt;="&amp;I_Parameter!$C$6))</f>
        <v>0</v>
      </c>
      <c r="U18" s="11" t="n">
        <f aca="false">IF(A18="","",S18-T18)</f>
        <v>51.18</v>
      </c>
      <c r="V18" s="11" t="n">
        <f aca="false">IF(A18="","",MIN(H18:N18))</f>
        <v>51.18</v>
      </c>
      <c r="W18" s="10" t="n">
        <f aca="false">IF(A18="","",INDEX(I_Master!$F$6:$F$85,MATCH(A18,I_Master!$A$6:$A$85,0)))</f>
        <v>35000</v>
      </c>
      <c r="X18" s="11" t="n">
        <f aca="false">IF(OR(A18="",W18=""),"",W18-Q18)</f>
        <v>3772.02032043767</v>
      </c>
      <c r="Y18" s="11" t="n">
        <f aca="false">IF(A18="","",S18*Q18)</f>
        <v>1598248</v>
      </c>
      <c r="Z18" s="9" t="str">
        <f aca="false">IF(A18="","",IF(V18&lt;-0.5,"KURANG: stok minus "&amp;ROUND(-V18,0)&amp;" kg — beli/potong atau geser order",IF(AND(S18&gt;0.5,T18&lt;=0,G18&gt;0.5),"JUAL: "&amp;ROUND(S18,0)&amp;" kg tanpa order, sebagian &gt; batas umur",IF(AND(S18&gt;0.5,T18&lt;=0),"JUAL: "&amp;ROUND(S18,0)&amp;" kg tanpa order minggu ini",IF(G18&gt;0.5,"PERHATIAN: "&amp;ROUND(G18,0)&amp;" kg di atas batas umur",IF(AND(X18&lt;&gt;"",X18&lt;0,T18&gt;0),"Order di bawah biaya rata-rata — cek harga","-"))))))</f>
        <v>JUAL: 51 kg tanpa order, sebagian &gt; batas umur</v>
      </c>
    </row>
    <row r="19" customFormat="false" ht="15" hidden="false" customHeight="false" outlineLevel="0" collapsed="false">
      <c r="A19" s="34" t="str">
        <f aca="false">I_Master!A19</f>
        <v>RPA|Sayap|Fresh</v>
      </c>
      <c r="B19" s="34" t="str">
        <f aca="false">IF(A19="","",INDEX(I_Master!$E$6:$E$85,MATCH(A19,I_Master!$A$6:$A$85,0)))</f>
        <v>Boneless &amp; parting</v>
      </c>
      <c r="C19" s="34" t="str">
        <f aca="false">IF(A19="","",INDEX(I_Master!$B$6:$B$85,MATCH(A19,I_Master!$A$6:$A$85,0)))</f>
        <v>RPA</v>
      </c>
      <c r="D19" s="10" t="n">
        <f aca="false">IF(A19="","",SUMIFS(I_Stok_Awal!$D$6:$D$305,I_Stok_Awal!$C$6:$C$305,A19))</f>
        <v>383.05</v>
      </c>
      <c r="E19" s="10" t="n">
        <f aca="false">IF(A19="","",SUMIFS(I_Stok_Awal!$E$6:$E$305,I_Stok_Awal!$C$6:$C$305,A19))</f>
        <v>4548787</v>
      </c>
      <c r="F19" s="35" t="n">
        <f aca="false">IF(OR(A19="",D19&lt;=0),"",SUMPRODUCT((I_Stok_Awal!$C$6:$C$305=A19)*I_Stok_Awal!$D$6:$D$305*I_Stok_Awal!$F$6:$F$305)/D19)</f>
        <v>72.7416525257799</v>
      </c>
      <c r="G19" s="10" t="n">
        <f aca="false">IF(A19="","",SUMIFS(I_Stok_Awal!$G$6:$G$305,I_Stok_Awal!$C$6:$C$305,A19))</f>
        <v>383.05</v>
      </c>
      <c r="H19" s="11" t="n">
        <f aca="false">IF($A19="","",D19+SUMIFS(T_Penerimaan!$I$6:$I$1005,T_Penerimaan!$H$6:$H$1005,$A19,T_Penerimaan!$A$6:$A$1005,H$4,T_Penerimaan!$M$6:$M$1005,1)-SUMIFS(T_Penjualan!$H$6:$H$1505,T_Penjualan!$G$6:$G$1505,$A19,T_Penjualan!$A$6:$A$1505,H$4,T_Penjualan!$P$6:$P$1505,1))</f>
        <v>383.05</v>
      </c>
      <c r="I19" s="11" t="n">
        <f aca="false">IF($A19="","",H19+SUMIFS(T_Penerimaan!$I$6:$I$1005,T_Penerimaan!$H$6:$H$1005,$A19,T_Penerimaan!$A$6:$A$1005,I$4,T_Penerimaan!$M$6:$M$1005,1)-SUMIFS(T_Penjualan!$H$6:$H$1505,T_Penjualan!$G$6:$G$1505,$A19,T_Penjualan!$A$6:$A$1505,I$4,T_Penjualan!$P$6:$P$1505,1))</f>
        <v>383.05</v>
      </c>
      <c r="J19" s="11" t="n">
        <f aca="false">IF($A19="","",I19+SUMIFS(T_Penerimaan!$I$6:$I$1005,T_Penerimaan!$H$6:$H$1005,$A19,T_Penerimaan!$A$6:$A$1005,J$4,T_Penerimaan!$M$6:$M$1005,1)-SUMIFS(T_Penjualan!$H$6:$H$1505,T_Penjualan!$G$6:$G$1505,$A19,T_Penjualan!$A$6:$A$1505,J$4,T_Penjualan!$P$6:$P$1505,1))</f>
        <v>383.05</v>
      </c>
      <c r="K19" s="11" t="n">
        <f aca="false">IF($A19="","",J19+SUMIFS(T_Penerimaan!$I$6:$I$1005,T_Penerimaan!$H$6:$H$1005,$A19,T_Penerimaan!$A$6:$A$1005,K$4,T_Penerimaan!$M$6:$M$1005,1)-SUMIFS(T_Penjualan!$H$6:$H$1505,T_Penjualan!$G$6:$G$1505,$A19,T_Penjualan!$A$6:$A$1505,K$4,T_Penjualan!$P$6:$P$1505,1))</f>
        <v>383.05</v>
      </c>
      <c r="L19" s="11" t="n">
        <f aca="false">IF($A19="","",K19+SUMIFS(T_Penerimaan!$I$6:$I$1005,T_Penerimaan!$H$6:$H$1005,$A19,T_Penerimaan!$A$6:$A$1005,L$4,T_Penerimaan!$M$6:$M$1005,1)-SUMIFS(T_Penjualan!$H$6:$H$1505,T_Penjualan!$G$6:$G$1505,$A19,T_Penjualan!$A$6:$A$1505,L$4,T_Penjualan!$P$6:$P$1505,1))</f>
        <v>383.05</v>
      </c>
      <c r="M19" s="11" t="n">
        <f aca="false">IF($A19="","",L19+SUMIFS(T_Penerimaan!$I$6:$I$1005,T_Penerimaan!$H$6:$H$1005,$A19,T_Penerimaan!$A$6:$A$1005,M$4,T_Penerimaan!$M$6:$M$1005,1)-SUMIFS(T_Penjualan!$H$6:$H$1505,T_Penjualan!$G$6:$G$1505,$A19,T_Penjualan!$A$6:$A$1505,M$4,T_Penjualan!$P$6:$P$1505,1))</f>
        <v>383.05</v>
      </c>
      <c r="N19" s="11" t="n">
        <f aca="false">IF($A19="","",M19+SUMIFS(T_Penerimaan!$I$6:$I$1005,T_Penerimaan!$H$6:$H$1005,$A19,T_Penerimaan!$A$6:$A$1005,N$4,T_Penerimaan!$M$6:$M$1005,1)-SUMIFS(T_Penjualan!$H$6:$H$1505,T_Penjualan!$G$6:$G$1505,$A19,T_Penjualan!$A$6:$A$1505,N$4,T_Penjualan!$P$6:$P$1505,1))</f>
        <v>383.05</v>
      </c>
      <c r="O19" s="11" t="n">
        <f aca="false">IF(A19="","",SUMIFS(T_Penerimaan!$I$6:$I$1005,T_Penerimaan!$H$6:$H$1005,A19,T_Penerimaan!$M$6:$M$1005,1))</f>
        <v>0</v>
      </c>
      <c r="P19" s="11" t="n">
        <f aca="false">IF(A19="","",SUMIFS(T_Penerimaan!$K$6:$K$1005,T_Penerimaan!$H$6:$H$1005,A19,T_Penerimaan!$M$6:$M$1005,1))</f>
        <v>0</v>
      </c>
      <c r="Q19" s="11" t="n">
        <f aca="false">IF(A19="","",IF(D19+O19&lt;=0,0,(E19+P19)/(D19+O19)))</f>
        <v>11875.178175173</v>
      </c>
      <c r="R19" s="11" t="n">
        <f aca="false">IF(A19="","",SUMIFS(T_Penjualan!$H$6:$H$1505,T_Penjualan!$G$6:$G$1505,A19,T_Penjualan!$P$6:$P$1505,1))</f>
        <v>0</v>
      </c>
      <c r="S19" s="12" t="n">
        <f aca="false">IF(A19="","",IF(I_Parameter!$C$4&lt;=I_Parameter!$C$5,D19,IF(I_Parameter!$C$4&gt;I_Parameter!$C$6,N19,INDEX(H19:N19,I_Parameter!$C$4-I_Parameter!$C$5))))</f>
        <v>383.05</v>
      </c>
      <c r="T19" s="11" t="n">
        <f aca="false">IF(A19="","",SUMIFS(T_Penjualan!$H$6:$H$1505,T_Penjualan!$G$6:$G$1505,A19,T_Penjualan!$B$6:$B$1505,"Order",T_Penjualan!$A$6:$A$1505,"&gt;="&amp;I_Parameter!$C$4,T_Penjualan!$A$6:$A$1505,"&lt;="&amp;I_Parameter!$C$6))</f>
        <v>0</v>
      </c>
      <c r="U19" s="11" t="n">
        <f aca="false">IF(A19="","",S19-T19)</f>
        <v>383.05</v>
      </c>
      <c r="V19" s="11" t="n">
        <f aca="false">IF(A19="","",MIN(H19:N19))</f>
        <v>383.05</v>
      </c>
      <c r="W19" s="10" t="n">
        <f aca="false">IF(A19="","",INDEX(I_Master!$F$6:$F$85,MATCH(A19,I_Master!$A$6:$A$85,0)))</f>
        <v>27560</v>
      </c>
      <c r="X19" s="11" t="n">
        <f aca="false">IF(OR(A19="",W19=""),"",W19-Q19)</f>
        <v>15684.821824827</v>
      </c>
      <c r="Y19" s="11" t="n">
        <f aca="false">IF(A19="","",S19*Q19)</f>
        <v>4548787</v>
      </c>
      <c r="Z19" s="9" t="str">
        <f aca="false">IF(A19="","",IF(V19&lt;-0.5,"KURANG: stok minus "&amp;ROUND(-V19,0)&amp;" kg — beli/potong atau geser order",IF(AND(S19&gt;0.5,T19&lt;=0,G19&gt;0.5),"JUAL: "&amp;ROUND(S19,0)&amp;" kg tanpa order, sebagian &gt; batas umur",IF(AND(S19&gt;0.5,T19&lt;=0),"JUAL: "&amp;ROUND(S19,0)&amp;" kg tanpa order minggu ini",IF(G19&gt;0.5,"PERHATIAN: "&amp;ROUND(G19,0)&amp;" kg di atas batas umur",IF(AND(X19&lt;&gt;"",X19&lt;0,T19&gt;0),"Order di bawah biaya rata-rata — cek harga","-"))))))</f>
        <v>JUAL: 383 kg tanpa order, sebagian &gt; batas umur</v>
      </c>
    </row>
    <row r="20" customFormat="false" ht="15" hidden="false" customHeight="false" outlineLevel="0" collapsed="false">
      <c r="A20" s="34" t="str">
        <f aca="false">I_Master!A20</f>
        <v>RPA|Sayap|Frozen</v>
      </c>
      <c r="B20" s="34" t="str">
        <f aca="false">IF(A20="","",INDEX(I_Master!$E$6:$E$85,MATCH(A20,I_Master!$A$6:$A$85,0)))</f>
        <v>Boneless &amp; parting</v>
      </c>
      <c r="C20" s="34" t="str">
        <f aca="false">IF(A20="","",INDEX(I_Master!$B$6:$B$85,MATCH(A20,I_Master!$A$6:$A$85,0)))</f>
        <v>RPA</v>
      </c>
      <c r="D20" s="10" t="n">
        <f aca="false">IF(A20="","",SUMIFS(I_Stok_Awal!$D$6:$D$305,I_Stok_Awal!$C$6:$C$305,A20))</f>
        <v>611.37</v>
      </c>
      <c r="E20" s="10" t="n">
        <f aca="false">IF(A20="","",SUMIFS(I_Stok_Awal!$E$6:$E$305,I_Stok_Awal!$C$6:$C$305,A20))</f>
        <v>16078415</v>
      </c>
      <c r="F20" s="35" t="n">
        <f aca="false">IF(OR(A20="",D20&lt;=0),"",SUMPRODUCT((I_Stok_Awal!$C$6:$C$305=A20)*I_Stok_Awal!$D$6:$D$305*I_Stok_Awal!$F$6:$F$305)/D20)</f>
        <v>55.1312053257438</v>
      </c>
      <c r="G20" s="10" t="n">
        <f aca="false">IF(A20="","",SUMIFS(I_Stok_Awal!$G$6:$G$305,I_Stok_Awal!$C$6:$C$305,A20))</f>
        <v>611.37</v>
      </c>
      <c r="H20" s="11" t="n">
        <f aca="false">IF($A20="","",D20+SUMIFS(T_Penerimaan!$I$6:$I$1005,T_Penerimaan!$H$6:$H$1005,$A20,T_Penerimaan!$A$6:$A$1005,H$4,T_Penerimaan!$M$6:$M$1005,1)-SUMIFS(T_Penjualan!$H$6:$H$1505,T_Penjualan!$G$6:$G$1505,$A20,T_Penjualan!$A$6:$A$1505,H$4,T_Penjualan!$P$6:$P$1505,1))</f>
        <v>611.37</v>
      </c>
      <c r="I20" s="11" t="n">
        <f aca="false">IF($A20="","",H20+SUMIFS(T_Penerimaan!$I$6:$I$1005,T_Penerimaan!$H$6:$H$1005,$A20,T_Penerimaan!$A$6:$A$1005,I$4,T_Penerimaan!$M$6:$M$1005,1)-SUMIFS(T_Penjualan!$H$6:$H$1505,T_Penjualan!$G$6:$G$1505,$A20,T_Penjualan!$A$6:$A$1505,I$4,T_Penjualan!$P$6:$P$1505,1))</f>
        <v>611.37</v>
      </c>
      <c r="J20" s="11" t="n">
        <f aca="false">IF($A20="","",I20+SUMIFS(T_Penerimaan!$I$6:$I$1005,T_Penerimaan!$H$6:$H$1005,$A20,T_Penerimaan!$A$6:$A$1005,J$4,T_Penerimaan!$M$6:$M$1005,1)-SUMIFS(T_Penjualan!$H$6:$H$1505,T_Penjualan!$G$6:$G$1505,$A20,T_Penjualan!$A$6:$A$1505,J$4,T_Penjualan!$P$6:$P$1505,1))</f>
        <v>611.37</v>
      </c>
      <c r="K20" s="11" t="n">
        <f aca="false">IF($A20="","",J20+SUMIFS(T_Penerimaan!$I$6:$I$1005,T_Penerimaan!$H$6:$H$1005,$A20,T_Penerimaan!$A$6:$A$1005,K$4,T_Penerimaan!$M$6:$M$1005,1)-SUMIFS(T_Penjualan!$H$6:$H$1505,T_Penjualan!$G$6:$G$1505,$A20,T_Penjualan!$A$6:$A$1505,K$4,T_Penjualan!$P$6:$P$1505,1))</f>
        <v>611.37</v>
      </c>
      <c r="L20" s="11" t="n">
        <f aca="false">IF($A20="","",K20+SUMIFS(T_Penerimaan!$I$6:$I$1005,T_Penerimaan!$H$6:$H$1005,$A20,T_Penerimaan!$A$6:$A$1005,L$4,T_Penerimaan!$M$6:$M$1005,1)-SUMIFS(T_Penjualan!$H$6:$H$1505,T_Penjualan!$G$6:$G$1505,$A20,T_Penjualan!$A$6:$A$1505,L$4,T_Penjualan!$P$6:$P$1505,1))</f>
        <v>611.37</v>
      </c>
      <c r="M20" s="11" t="n">
        <f aca="false">IF($A20="","",L20+SUMIFS(T_Penerimaan!$I$6:$I$1005,T_Penerimaan!$H$6:$H$1005,$A20,T_Penerimaan!$A$6:$A$1005,M$4,T_Penerimaan!$M$6:$M$1005,1)-SUMIFS(T_Penjualan!$H$6:$H$1505,T_Penjualan!$G$6:$G$1505,$A20,T_Penjualan!$A$6:$A$1505,M$4,T_Penjualan!$P$6:$P$1505,1))</f>
        <v>611.37</v>
      </c>
      <c r="N20" s="11" t="n">
        <f aca="false">IF($A20="","",M20+SUMIFS(T_Penerimaan!$I$6:$I$1005,T_Penerimaan!$H$6:$H$1005,$A20,T_Penerimaan!$A$6:$A$1005,N$4,T_Penerimaan!$M$6:$M$1005,1)-SUMIFS(T_Penjualan!$H$6:$H$1505,T_Penjualan!$G$6:$G$1505,$A20,T_Penjualan!$A$6:$A$1505,N$4,T_Penjualan!$P$6:$P$1505,1))</f>
        <v>611.37</v>
      </c>
      <c r="O20" s="11" t="n">
        <f aca="false">IF(A20="","",SUMIFS(T_Penerimaan!$I$6:$I$1005,T_Penerimaan!$H$6:$H$1005,A20,T_Penerimaan!$M$6:$M$1005,1))</f>
        <v>0</v>
      </c>
      <c r="P20" s="11" t="n">
        <f aca="false">IF(A20="","",SUMIFS(T_Penerimaan!$K$6:$K$1005,T_Penerimaan!$H$6:$H$1005,A20,T_Penerimaan!$M$6:$M$1005,1))</f>
        <v>0</v>
      </c>
      <c r="Q20" s="11" t="n">
        <f aca="false">IF(A20="","",IF(D20+O20&lt;=0,0,(E20+P20)/(D20+O20)))</f>
        <v>26298.9924268446</v>
      </c>
      <c r="R20" s="11" t="n">
        <f aca="false">IF(A20="","",SUMIFS(T_Penjualan!$H$6:$H$1505,T_Penjualan!$G$6:$G$1505,A20,T_Penjualan!$P$6:$P$1505,1))</f>
        <v>0</v>
      </c>
      <c r="S20" s="12" t="n">
        <f aca="false">IF(A20="","",IF(I_Parameter!$C$4&lt;=I_Parameter!$C$5,D20,IF(I_Parameter!$C$4&gt;I_Parameter!$C$6,N20,INDEX(H20:N20,I_Parameter!$C$4-I_Parameter!$C$5))))</f>
        <v>611.37</v>
      </c>
      <c r="T20" s="11" t="n">
        <f aca="false">IF(A20="","",SUMIFS(T_Penjualan!$H$6:$H$1505,T_Penjualan!$G$6:$G$1505,A20,T_Penjualan!$B$6:$B$1505,"Order",T_Penjualan!$A$6:$A$1505,"&gt;="&amp;I_Parameter!$C$4,T_Penjualan!$A$6:$A$1505,"&lt;="&amp;I_Parameter!$C$6))</f>
        <v>0</v>
      </c>
      <c r="U20" s="11" t="n">
        <f aca="false">IF(A20="","",S20-T20)</f>
        <v>611.37</v>
      </c>
      <c r="V20" s="11" t="n">
        <f aca="false">IF(A20="","",MIN(H20:N20))</f>
        <v>611.37</v>
      </c>
      <c r="W20" s="10" t="n">
        <f aca="false">IF(A20="","",INDEX(I_Master!$F$6:$F$85,MATCH(A20,I_Master!$A$6:$A$85,0)))</f>
        <v>25736</v>
      </c>
      <c r="X20" s="11" t="n">
        <f aca="false">IF(OR(A20="",W20=""),"",W20-Q20)</f>
        <v>-562.992426844627</v>
      </c>
      <c r="Y20" s="11" t="n">
        <f aca="false">IF(A20="","",S20*Q20)</f>
        <v>16078415</v>
      </c>
      <c r="Z20" s="9" t="str">
        <f aca="false">IF(A20="","",IF(V20&lt;-0.5,"KURANG: stok minus "&amp;ROUND(-V20,0)&amp;" kg — beli/potong atau geser order",IF(AND(S20&gt;0.5,T20&lt;=0,G20&gt;0.5),"JUAL: "&amp;ROUND(S20,0)&amp;" kg tanpa order, sebagian &gt; batas umur",IF(AND(S20&gt;0.5,T20&lt;=0),"JUAL: "&amp;ROUND(S20,0)&amp;" kg tanpa order minggu ini",IF(G20&gt;0.5,"PERHATIAN: "&amp;ROUND(G20,0)&amp;" kg di atas batas umur",IF(AND(X20&lt;&gt;"",X20&lt;0,T20&gt;0),"Order di bawah biaya rata-rata — cek harga","-"))))))</f>
        <v>JUAL: 611 kg tanpa order, sebagian &gt; batas umur</v>
      </c>
    </row>
    <row r="21" customFormat="false" ht="15" hidden="false" customHeight="false" outlineLevel="0" collapsed="false">
      <c r="A21" s="34" t="str">
        <f aca="false">I_Master!A21</f>
        <v>RPA|TLP|Fresh</v>
      </c>
      <c r="B21" s="34" t="str">
        <f aca="false">IF(A21="","",INDEX(I_Master!$E$6:$E$85,MATCH(A21,I_Master!$A$6:$A$85,0)))</f>
        <v>Boneless &amp; parting</v>
      </c>
      <c r="C21" s="34" t="str">
        <f aca="false">IF(A21="","",INDEX(I_Master!$B$6:$B$85,MATCH(A21,I_Master!$A$6:$A$85,0)))</f>
        <v>RPA</v>
      </c>
      <c r="D21" s="10" t="n">
        <f aca="false">IF(A21="","",SUMIFS(I_Stok_Awal!$D$6:$D$305,I_Stok_Awal!$C$6:$C$305,A21))</f>
        <v>0</v>
      </c>
      <c r="E21" s="10" t="n">
        <f aca="false">IF(A21="","",SUMIFS(I_Stok_Awal!$E$6:$E$305,I_Stok_Awal!$C$6:$C$305,A21))</f>
        <v>0</v>
      </c>
      <c r="F21" s="35" t="str">
        <f aca="false">IF(OR(A21="",D21&lt;=0),"",SUMPRODUCT((I_Stok_Awal!$C$6:$C$305=A21)*I_Stok_Awal!$D$6:$D$305*I_Stok_Awal!$F$6:$F$305)/D21)</f>
        <v/>
      </c>
      <c r="G21" s="10" t="n">
        <f aca="false">IF(A21="","",SUMIFS(I_Stok_Awal!$G$6:$G$305,I_Stok_Awal!$C$6:$C$305,A21))</f>
        <v>0</v>
      </c>
      <c r="H21" s="11" t="n">
        <f aca="false">IF($A21="","",D21+SUMIFS(T_Penerimaan!$I$6:$I$1005,T_Penerimaan!$H$6:$H$1005,$A21,T_Penerimaan!$A$6:$A$1005,H$4,T_Penerimaan!$M$6:$M$1005,1)-SUMIFS(T_Penjualan!$H$6:$H$1505,T_Penjualan!$G$6:$G$1505,$A21,T_Penjualan!$A$6:$A$1505,H$4,T_Penjualan!$P$6:$P$1505,1))</f>
        <v>0</v>
      </c>
      <c r="I21" s="11" t="n">
        <f aca="false">IF($A21="","",H21+SUMIFS(T_Penerimaan!$I$6:$I$1005,T_Penerimaan!$H$6:$H$1005,$A21,T_Penerimaan!$A$6:$A$1005,I$4,T_Penerimaan!$M$6:$M$1005,1)-SUMIFS(T_Penjualan!$H$6:$H$1505,T_Penjualan!$G$6:$G$1505,$A21,T_Penjualan!$A$6:$A$1505,I$4,T_Penjualan!$P$6:$P$1505,1))</f>
        <v>0</v>
      </c>
      <c r="J21" s="11" t="n">
        <f aca="false">IF($A21="","",I21+SUMIFS(T_Penerimaan!$I$6:$I$1005,T_Penerimaan!$H$6:$H$1005,$A21,T_Penerimaan!$A$6:$A$1005,J$4,T_Penerimaan!$M$6:$M$1005,1)-SUMIFS(T_Penjualan!$H$6:$H$1505,T_Penjualan!$G$6:$G$1505,$A21,T_Penjualan!$A$6:$A$1505,J$4,T_Penjualan!$P$6:$P$1505,1))</f>
        <v>0</v>
      </c>
      <c r="K21" s="11" t="n">
        <f aca="false">IF($A21="","",J21+SUMIFS(T_Penerimaan!$I$6:$I$1005,T_Penerimaan!$H$6:$H$1005,$A21,T_Penerimaan!$A$6:$A$1005,K$4,T_Penerimaan!$M$6:$M$1005,1)-SUMIFS(T_Penjualan!$H$6:$H$1505,T_Penjualan!$G$6:$G$1505,$A21,T_Penjualan!$A$6:$A$1505,K$4,T_Penjualan!$P$6:$P$1505,1))</f>
        <v>0</v>
      </c>
      <c r="L21" s="11" t="n">
        <f aca="false">IF($A21="","",K21+SUMIFS(T_Penerimaan!$I$6:$I$1005,T_Penerimaan!$H$6:$H$1005,$A21,T_Penerimaan!$A$6:$A$1005,L$4,T_Penerimaan!$M$6:$M$1005,1)-SUMIFS(T_Penjualan!$H$6:$H$1505,T_Penjualan!$G$6:$G$1505,$A21,T_Penjualan!$A$6:$A$1505,L$4,T_Penjualan!$P$6:$P$1505,1))</f>
        <v>0</v>
      </c>
      <c r="M21" s="11" t="n">
        <f aca="false">IF($A21="","",L21+SUMIFS(T_Penerimaan!$I$6:$I$1005,T_Penerimaan!$H$6:$H$1005,$A21,T_Penerimaan!$A$6:$A$1005,M$4,T_Penerimaan!$M$6:$M$1005,1)-SUMIFS(T_Penjualan!$H$6:$H$1505,T_Penjualan!$G$6:$G$1505,$A21,T_Penjualan!$A$6:$A$1505,M$4,T_Penjualan!$P$6:$P$1505,1))</f>
        <v>0</v>
      </c>
      <c r="N21" s="11" t="n">
        <f aca="false">IF($A21="","",M21+SUMIFS(T_Penerimaan!$I$6:$I$1005,T_Penerimaan!$H$6:$H$1005,$A21,T_Penerimaan!$A$6:$A$1005,N$4,T_Penerimaan!$M$6:$M$1005,1)-SUMIFS(T_Penjualan!$H$6:$H$1505,T_Penjualan!$G$6:$G$1505,$A21,T_Penjualan!$A$6:$A$1505,N$4,T_Penjualan!$P$6:$P$1505,1))</f>
        <v>0</v>
      </c>
      <c r="O21" s="11" t="n">
        <f aca="false">IF(A21="","",SUMIFS(T_Penerimaan!$I$6:$I$1005,T_Penerimaan!$H$6:$H$1005,A21,T_Penerimaan!$M$6:$M$1005,1))</f>
        <v>0</v>
      </c>
      <c r="P21" s="11" t="n">
        <f aca="false">IF(A21="","",SUMIFS(T_Penerimaan!$K$6:$K$1005,T_Penerimaan!$H$6:$H$1005,A21,T_Penerimaan!$M$6:$M$1005,1))</f>
        <v>0</v>
      </c>
      <c r="Q21" s="11" t="n">
        <f aca="false">IF(A21="","",IF(D21+O21&lt;=0,0,(E21+P21)/(D21+O21)))</f>
        <v>0</v>
      </c>
      <c r="R21" s="11" t="n">
        <f aca="false">IF(A21="","",SUMIFS(T_Penjualan!$H$6:$H$1505,T_Penjualan!$G$6:$G$1505,A21,T_Penjualan!$P$6:$P$1505,1))</f>
        <v>0</v>
      </c>
      <c r="S21" s="12" t="n">
        <f aca="false">IF(A21="","",IF(I_Parameter!$C$4&lt;=I_Parameter!$C$5,D21,IF(I_Parameter!$C$4&gt;I_Parameter!$C$6,N21,INDEX(H21:N21,I_Parameter!$C$4-I_Parameter!$C$5))))</f>
        <v>0</v>
      </c>
      <c r="T21" s="11" t="n">
        <f aca="false">IF(A21="","",SUMIFS(T_Penjualan!$H$6:$H$1505,T_Penjualan!$G$6:$G$1505,A21,T_Penjualan!$B$6:$B$1505,"Order",T_Penjualan!$A$6:$A$1505,"&gt;="&amp;I_Parameter!$C$4,T_Penjualan!$A$6:$A$1505,"&lt;="&amp;I_Parameter!$C$6))</f>
        <v>0</v>
      </c>
      <c r="U21" s="11" t="n">
        <f aca="false">IF(A21="","",S21-T21)</f>
        <v>0</v>
      </c>
      <c r="V21" s="11" t="n">
        <f aca="false">IF(A21="","",MIN(H21:N21))</f>
        <v>0</v>
      </c>
      <c r="W21" s="10" t="n">
        <f aca="false">IF(A21="","",INDEX(I_Master!$F$6:$F$85,MATCH(A21,I_Master!$A$6:$A$85,0)))</f>
        <v>2500</v>
      </c>
      <c r="X21" s="11" t="n">
        <f aca="false">IF(OR(A21="",W21=""),"",W21-Q21)</f>
        <v>2500</v>
      </c>
      <c r="Y21" s="11" t="n">
        <f aca="false">IF(A21="","",S21*Q21)</f>
        <v>0</v>
      </c>
      <c r="Z21" s="9" t="str">
        <f aca="false">IF(A21="","",IF(V21&lt;-0.5,"KURANG: stok minus "&amp;ROUND(-V21,0)&amp;" kg — beli/potong atau geser order",IF(AND(S21&gt;0.5,T21&lt;=0,G21&gt;0.5),"JUAL: "&amp;ROUND(S21,0)&amp;" kg tanpa order, sebagian &gt; batas umur",IF(AND(S21&gt;0.5,T21&lt;=0),"JUAL: "&amp;ROUND(S21,0)&amp;" kg tanpa order minggu ini",IF(G21&gt;0.5,"PERHATIAN: "&amp;ROUND(G21,0)&amp;" kg di atas batas umur",IF(AND(X21&lt;&gt;"",X21&lt;0,T21&gt;0),"Order di bawah biaya rata-rata — cek harga","-"))))))</f>
        <v>-</v>
      </c>
    </row>
    <row r="22" customFormat="false" ht="15" hidden="false" customHeight="false" outlineLevel="0" collapsed="false">
      <c r="A22" s="34" t="str">
        <f aca="false">I_Master!A22</f>
        <v>RPA|TLP|Frozen</v>
      </c>
      <c r="B22" s="34" t="str">
        <f aca="false">IF(A22="","",INDEX(I_Master!$E$6:$E$85,MATCH(A22,I_Master!$A$6:$A$85,0)))</f>
        <v>Boneless &amp; parting</v>
      </c>
      <c r="C22" s="34" t="str">
        <f aca="false">IF(A22="","",INDEX(I_Master!$B$6:$B$85,MATCH(A22,I_Master!$A$6:$A$85,0)))</f>
        <v>RPA</v>
      </c>
      <c r="D22" s="10" t="n">
        <f aca="false">IF(A22="","",SUMIFS(I_Stok_Awal!$D$6:$D$305,I_Stok_Awal!$C$6:$C$305,A22))</f>
        <v>436.09</v>
      </c>
      <c r="E22" s="10" t="n">
        <f aca="false">IF(A22="","",SUMIFS(I_Stok_Awal!$E$6:$E$305,I_Stok_Awal!$C$6:$C$305,A22))</f>
        <v>840656</v>
      </c>
      <c r="F22" s="35" t="n">
        <f aca="false">IF(OR(A22="",D22&lt;=0),"",SUMPRODUCT((I_Stok_Awal!$C$6:$C$305=A22)*I_Stok_Awal!$D$6:$D$305*I_Stok_Awal!$F$6:$F$305)/D22)</f>
        <v>41.7</v>
      </c>
      <c r="G22" s="10" t="n">
        <f aca="false">IF(A22="","",SUMIFS(I_Stok_Awal!$G$6:$G$305,I_Stok_Awal!$C$6:$C$305,A22))</f>
        <v>256.9</v>
      </c>
      <c r="H22" s="11" t="n">
        <f aca="false">IF($A22="","",D22+SUMIFS(T_Penerimaan!$I$6:$I$1005,T_Penerimaan!$H$6:$H$1005,$A22,T_Penerimaan!$A$6:$A$1005,H$4,T_Penerimaan!$M$6:$M$1005,1)-SUMIFS(T_Penjualan!$H$6:$H$1505,T_Penjualan!$G$6:$G$1505,$A22,T_Penjualan!$A$6:$A$1505,H$4,T_Penjualan!$P$6:$P$1505,1))</f>
        <v>436.09</v>
      </c>
      <c r="I22" s="11" t="n">
        <f aca="false">IF($A22="","",H22+SUMIFS(T_Penerimaan!$I$6:$I$1005,T_Penerimaan!$H$6:$H$1005,$A22,T_Penerimaan!$A$6:$A$1005,I$4,T_Penerimaan!$M$6:$M$1005,1)-SUMIFS(T_Penjualan!$H$6:$H$1505,T_Penjualan!$G$6:$G$1505,$A22,T_Penjualan!$A$6:$A$1505,I$4,T_Penjualan!$P$6:$P$1505,1))</f>
        <v>436.09</v>
      </c>
      <c r="J22" s="11" t="n">
        <f aca="false">IF($A22="","",I22+SUMIFS(T_Penerimaan!$I$6:$I$1005,T_Penerimaan!$H$6:$H$1005,$A22,T_Penerimaan!$A$6:$A$1005,J$4,T_Penerimaan!$M$6:$M$1005,1)-SUMIFS(T_Penjualan!$H$6:$H$1505,T_Penjualan!$G$6:$G$1505,$A22,T_Penjualan!$A$6:$A$1505,J$4,T_Penjualan!$P$6:$P$1505,1))</f>
        <v>436.09</v>
      </c>
      <c r="K22" s="11" t="n">
        <f aca="false">IF($A22="","",J22+SUMIFS(T_Penerimaan!$I$6:$I$1005,T_Penerimaan!$H$6:$H$1005,$A22,T_Penerimaan!$A$6:$A$1005,K$4,T_Penerimaan!$M$6:$M$1005,1)-SUMIFS(T_Penjualan!$H$6:$H$1505,T_Penjualan!$G$6:$G$1505,$A22,T_Penjualan!$A$6:$A$1505,K$4,T_Penjualan!$P$6:$P$1505,1))</f>
        <v>436.09</v>
      </c>
      <c r="L22" s="11" t="n">
        <f aca="false">IF($A22="","",K22+SUMIFS(T_Penerimaan!$I$6:$I$1005,T_Penerimaan!$H$6:$H$1005,$A22,T_Penerimaan!$A$6:$A$1005,L$4,T_Penerimaan!$M$6:$M$1005,1)-SUMIFS(T_Penjualan!$H$6:$H$1505,T_Penjualan!$G$6:$G$1505,$A22,T_Penjualan!$A$6:$A$1505,L$4,T_Penjualan!$P$6:$P$1505,1))</f>
        <v>436.09</v>
      </c>
      <c r="M22" s="11" t="n">
        <f aca="false">IF($A22="","",L22+SUMIFS(T_Penerimaan!$I$6:$I$1005,T_Penerimaan!$H$6:$H$1005,$A22,T_Penerimaan!$A$6:$A$1005,M$4,T_Penerimaan!$M$6:$M$1005,1)-SUMIFS(T_Penjualan!$H$6:$H$1505,T_Penjualan!$G$6:$G$1505,$A22,T_Penjualan!$A$6:$A$1505,M$4,T_Penjualan!$P$6:$P$1505,1))</f>
        <v>436.09</v>
      </c>
      <c r="N22" s="11" t="n">
        <f aca="false">IF($A22="","",M22+SUMIFS(T_Penerimaan!$I$6:$I$1005,T_Penerimaan!$H$6:$H$1005,$A22,T_Penerimaan!$A$6:$A$1005,N$4,T_Penerimaan!$M$6:$M$1005,1)-SUMIFS(T_Penjualan!$H$6:$H$1505,T_Penjualan!$G$6:$G$1505,$A22,T_Penjualan!$A$6:$A$1505,N$4,T_Penjualan!$P$6:$P$1505,1))</f>
        <v>436.09</v>
      </c>
      <c r="O22" s="11" t="n">
        <f aca="false">IF(A22="","",SUMIFS(T_Penerimaan!$I$6:$I$1005,T_Penerimaan!$H$6:$H$1005,A22,T_Penerimaan!$M$6:$M$1005,1))</f>
        <v>0</v>
      </c>
      <c r="P22" s="11" t="n">
        <f aca="false">IF(A22="","",SUMIFS(T_Penerimaan!$K$6:$K$1005,T_Penerimaan!$H$6:$H$1005,A22,T_Penerimaan!$M$6:$M$1005,1))</f>
        <v>0</v>
      </c>
      <c r="Q22" s="11" t="n">
        <f aca="false">IF(A22="","",IF(D22+O22&lt;=0,0,(E22+P22)/(D22+O22)))</f>
        <v>1927.71216950629</v>
      </c>
      <c r="R22" s="11" t="n">
        <f aca="false">IF(A22="","",SUMIFS(T_Penjualan!$H$6:$H$1505,T_Penjualan!$G$6:$G$1505,A22,T_Penjualan!$P$6:$P$1505,1))</f>
        <v>0</v>
      </c>
      <c r="S22" s="12" t="n">
        <f aca="false">IF(A22="","",IF(I_Parameter!$C$4&lt;=I_Parameter!$C$5,D22,IF(I_Parameter!$C$4&gt;I_Parameter!$C$6,N22,INDEX(H22:N22,I_Parameter!$C$4-I_Parameter!$C$5))))</f>
        <v>436.09</v>
      </c>
      <c r="T22" s="11" t="n">
        <f aca="false">IF(A22="","",SUMIFS(T_Penjualan!$H$6:$H$1505,T_Penjualan!$G$6:$G$1505,A22,T_Penjualan!$B$6:$B$1505,"Order",T_Penjualan!$A$6:$A$1505,"&gt;="&amp;I_Parameter!$C$4,T_Penjualan!$A$6:$A$1505,"&lt;="&amp;I_Parameter!$C$6))</f>
        <v>0</v>
      </c>
      <c r="U22" s="11" t="n">
        <f aca="false">IF(A22="","",S22-T22)</f>
        <v>436.09</v>
      </c>
      <c r="V22" s="11" t="n">
        <f aca="false">IF(A22="","",MIN(H22:N22))</f>
        <v>436.09</v>
      </c>
      <c r="W22" s="10" t="n">
        <f aca="false">IF(A22="","",INDEX(I_Master!$F$6:$F$85,MATCH(A22,I_Master!$A$6:$A$85,0)))</f>
        <v>3067</v>
      </c>
      <c r="X22" s="11" t="n">
        <f aca="false">IF(OR(A22="",W22=""),"",W22-Q22)</f>
        <v>1139.28783049371</v>
      </c>
      <c r="Y22" s="11" t="n">
        <f aca="false">IF(A22="","",S22*Q22)</f>
        <v>840656</v>
      </c>
      <c r="Z22" s="9" t="str">
        <f aca="false">IF(A22="","",IF(V22&lt;-0.5,"KURANG: stok minus "&amp;ROUND(-V22,0)&amp;" kg — beli/potong atau geser order",IF(AND(S22&gt;0.5,T22&lt;=0,G22&gt;0.5),"JUAL: "&amp;ROUND(S22,0)&amp;" kg tanpa order, sebagian &gt; batas umur",IF(AND(S22&gt;0.5,T22&lt;=0),"JUAL: "&amp;ROUND(S22,0)&amp;" kg tanpa order minggu ini",IF(G22&gt;0.5,"PERHATIAN: "&amp;ROUND(G22,0)&amp;" kg di atas batas umur",IF(AND(X22&lt;&gt;"",X22&lt;0,T22&gt;0),"Order di bawah biaya rata-rata — cek harga","-"))))))</f>
        <v>JUAL: 436 kg tanpa order, sebagian &gt; batas umur</v>
      </c>
    </row>
    <row r="23" customFormat="false" ht="15" hidden="false" customHeight="false" outlineLevel="0" collapsed="false">
      <c r="A23" s="34" t="str">
        <f aca="false">I_Master!A23</f>
        <v>RPA|Ceker|Fresh</v>
      </c>
      <c r="B23" s="34" t="str">
        <f aca="false">IF(A23="","",INDEX(I_Master!$E$6:$E$85,MATCH(A23,I_Master!$A$6:$A$85,0)))</f>
        <v>By-product</v>
      </c>
      <c r="C23" s="34" t="str">
        <f aca="false">IF(A23="","",INDEX(I_Master!$B$6:$B$85,MATCH(A23,I_Master!$A$6:$A$85,0)))</f>
        <v>RPA</v>
      </c>
      <c r="D23" s="10" t="n">
        <f aca="false">IF(A23="","",SUMIFS(I_Stok_Awal!$D$6:$D$305,I_Stok_Awal!$C$6:$C$305,A23))</f>
        <v>1632.64</v>
      </c>
      <c r="E23" s="10" t="n">
        <f aca="false">IF(A23="","",SUMIFS(I_Stok_Awal!$E$6:$E$305,I_Stok_Awal!$C$6:$C$305,A23))</f>
        <v>23217648</v>
      </c>
      <c r="F23" s="35" t="n">
        <f aca="false">IF(OR(A23="",D23&lt;=0),"",SUMPRODUCT((I_Stok_Awal!$C$6:$C$305=A23)*I_Stok_Awal!$D$6:$D$305*I_Stok_Awal!$F$6:$F$305)/D23)</f>
        <v>7.5</v>
      </c>
      <c r="G23" s="10" t="n">
        <f aca="false">IF(A23="","",SUMIFS(I_Stok_Awal!$G$6:$G$305,I_Stok_Awal!$C$6:$C$305,A23))</f>
        <v>0</v>
      </c>
      <c r="H23" s="11" t="n">
        <f aca="false">IF($A23="","",D23+SUMIFS(T_Penerimaan!$I$6:$I$1005,T_Penerimaan!$H$6:$H$1005,$A23,T_Penerimaan!$A$6:$A$1005,H$4,T_Penerimaan!$M$6:$M$1005,1)-SUMIFS(T_Penjualan!$H$6:$H$1505,T_Penjualan!$G$6:$G$1505,$A23,T_Penjualan!$A$6:$A$1505,H$4,T_Penjualan!$P$6:$P$1505,1))</f>
        <v>1632.64</v>
      </c>
      <c r="I23" s="11" t="n">
        <f aca="false">IF($A23="","",H23+SUMIFS(T_Penerimaan!$I$6:$I$1005,T_Penerimaan!$H$6:$H$1005,$A23,T_Penerimaan!$A$6:$A$1005,I$4,T_Penerimaan!$M$6:$M$1005,1)-SUMIFS(T_Penjualan!$H$6:$H$1505,T_Penjualan!$G$6:$G$1505,$A23,T_Penjualan!$A$6:$A$1505,I$4,T_Penjualan!$P$6:$P$1505,1))</f>
        <v>1940.44</v>
      </c>
      <c r="J23" s="11" t="n">
        <f aca="false">IF($A23="","",I23+SUMIFS(T_Penerimaan!$I$6:$I$1005,T_Penerimaan!$H$6:$H$1005,$A23,T_Penerimaan!$A$6:$A$1005,J$4,T_Penerimaan!$M$6:$M$1005,1)-SUMIFS(T_Penjualan!$H$6:$H$1505,T_Penjualan!$G$6:$G$1505,$A23,T_Penjualan!$A$6:$A$1505,J$4,T_Penjualan!$P$6:$P$1505,1))</f>
        <v>1958.24</v>
      </c>
      <c r="K23" s="11" t="n">
        <f aca="false">IF($A23="","",J23+SUMIFS(T_Penerimaan!$I$6:$I$1005,T_Penerimaan!$H$6:$H$1005,$A23,T_Penerimaan!$A$6:$A$1005,K$4,T_Penerimaan!$M$6:$M$1005,1)-SUMIFS(T_Penjualan!$H$6:$H$1505,T_Penjualan!$G$6:$G$1505,$A23,T_Penjualan!$A$6:$A$1505,K$4,T_Penjualan!$P$6:$P$1505,1))</f>
        <v>2274.34</v>
      </c>
      <c r="L23" s="11" t="n">
        <f aca="false">IF($A23="","",K23+SUMIFS(T_Penerimaan!$I$6:$I$1005,T_Penerimaan!$H$6:$H$1005,$A23,T_Penerimaan!$A$6:$A$1005,L$4,T_Penerimaan!$M$6:$M$1005,1)-SUMIFS(T_Penjualan!$H$6:$H$1505,T_Penjualan!$G$6:$G$1505,$A23,T_Penjualan!$A$6:$A$1505,L$4,T_Penjualan!$P$6:$P$1505,1))</f>
        <v>2703.64</v>
      </c>
      <c r="M23" s="11" t="n">
        <f aca="false">IF($A23="","",L23+SUMIFS(T_Penerimaan!$I$6:$I$1005,T_Penerimaan!$H$6:$H$1005,$A23,T_Penerimaan!$A$6:$A$1005,M$4,T_Penerimaan!$M$6:$M$1005,1)-SUMIFS(T_Penjualan!$H$6:$H$1505,T_Penjualan!$G$6:$G$1505,$A23,T_Penjualan!$A$6:$A$1505,M$4,T_Penjualan!$P$6:$P$1505,1))</f>
        <v>1632.64</v>
      </c>
      <c r="N23" s="11" t="n">
        <f aca="false">IF($A23="","",M23+SUMIFS(T_Penerimaan!$I$6:$I$1005,T_Penerimaan!$H$6:$H$1005,$A23,T_Penerimaan!$A$6:$A$1005,N$4,T_Penerimaan!$M$6:$M$1005,1)-SUMIFS(T_Penjualan!$H$6:$H$1505,T_Penjualan!$G$6:$G$1505,$A23,T_Penjualan!$A$6:$A$1505,N$4,T_Penjualan!$P$6:$P$1505,1))</f>
        <v>1632.64</v>
      </c>
      <c r="O23" s="11" t="n">
        <f aca="false">IF(A23="","",SUMIFS(T_Penerimaan!$I$6:$I$1005,T_Penerimaan!$H$6:$H$1005,A23,T_Penerimaan!$M$6:$M$1005,1))</f>
        <v>1378.8</v>
      </c>
      <c r="P23" s="11" t="n">
        <f aca="false">IF(A23="","",SUMIFS(T_Penerimaan!$K$6:$K$1005,T_Penerimaan!$H$6:$H$1005,A23,T_Penerimaan!$M$6:$M$1005,1))</f>
        <v>24953170.786</v>
      </c>
      <c r="Q23" s="11" t="n">
        <f aca="false">IF(A23="","",IF(D23+O23&lt;=0,0,(E23+P23)/(D23+O23)))</f>
        <v>15995.9417375076</v>
      </c>
      <c r="R23" s="11" t="n">
        <f aca="false">IF(A23="","",SUMIFS(T_Penjualan!$H$6:$H$1505,T_Penjualan!$G$6:$G$1505,A23,T_Penjualan!$P$6:$P$1505,1))</f>
        <v>1378.8</v>
      </c>
      <c r="S23" s="12" t="n">
        <f aca="false">IF(A23="","",IF(I_Parameter!$C$4&lt;=I_Parameter!$C$5,D23,IF(I_Parameter!$C$4&gt;I_Parameter!$C$6,N23,INDEX(H23:N23,I_Parameter!$C$4-I_Parameter!$C$5))))</f>
        <v>1958.24</v>
      </c>
      <c r="T23" s="11" t="n">
        <f aca="false">IF(A23="","",SUMIFS(T_Penjualan!$H$6:$H$1505,T_Penjualan!$G$6:$G$1505,A23,T_Penjualan!$B$6:$B$1505,"Order",T_Penjualan!$A$6:$A$1505,"&gt;="&amp;I_Parameter!$C$4,T_Penjualan!$A$6:$A$1505,"&lt;="&amp;I_Parameter!$C$6))</f>
        <v>1071</v>
      </c>
      <c r="U23" s="11" t="n">
        <f aca="false">IF(A23="","",S23-T23)</f>
        <v>887.24</v>
      </c>
      <c r="V23" s="11" t="n">
        <f aca="false">IF(A23="","",MIN(H23:N23))</f>
        <v>1632.64</v>
      </c>
      <c r="W23" s="10" t="n">
        <f aca="false">IF(A23="","",INDEX(I_Master!$F$6:$F$85,MATCH(A23,I_Master!$A$6:$A$85,0)))</f>
        <v>3101</v>
      </c>
      <c r="X23" s="11" t="n">
        <f aca="false">IF(OR(A23="",W23=""),"",W23-Q23)</f>
        <v>-12894.9417375076</v>
      </c>
      <c r="Y23" s="11" t="n">
        <f aca="false">IF(A23="","",S23*Q23)</f>
        <v>31323892.9480569</v>
      </c>
      <c r="Z23" s="9" t="str">
        <f aca="false">IF(A23="","",IF(V23&lt;-0.5,"KURANG: stok minus "&amp;ROUND(-V23,0)&amp;" kg — beli/potong atau geser order",IF(AND(S23&gt;0.5,T23&lt;=0,G23&gt;0.5),"JUAL: "&amp;ROUND(S23,0)&amp;" kg tanpa order, sebagian &gt; batas umur",IF(AND(S23&gt;0.5,T23&lt;=0),"JUAL: "&amp;ROUND(S23,0)&amp;" kg tanpa order minggu ini",IF(G23&gt;0.5,"PERHATIAN: "&amp;ROUND(G23,0)&amp;" kg di atas batas umur",IF(AND(X23&lt;&gt;"",X23&lt;0,T23&gt;0),"Order di bawah biaya rata-rata — cek harga","-"))))))</f>
        <v>Order di bawah biaya rata-rata — cek harga</v>
      </c>
    </row>
    <row r="24" customFormat="false" ht="15" hidden="false" customHeight="false" outlineLevel="0" collapsed="false">
      <c r="A24" s="34" t="str">
        <f aca="false">I_Master!A24</f>
        <v>RPA|Ceker|Frozen</v>
      </c>
      <c r="B24" s="34" t="str">
        <f aca="false">IF(A24="","",INDEX(I_Master!$E$6:$E$85,MATCH(A24,I_Master!$A$6:$A$85,0)))</f>
        <v>By-product</v>
      </c>
      <c r="C24" s="34" t="str">
        <f aca="false">IF(A24="","",INDEX(I_Master!$B$6:$B$85,MATCH(A24,I_Master!$A$6:$A$85,0)))</f>
        <v>RPA</v>
      </c>
      <c r="D24" s="10" t="n">
        <f aca="false">IF(A24="","",SUMIFS(I_Stok_Awal!$D$6:$D$305,I_Stok_Awal!$C$6:$C$305,A24))</f>
        <v>1293.99</v>
      </c>
      <c r="E24" s="10" t="n">
        <f aca="false">IF(A24="","",SUMIFS(I_Stok_Awal!$E$6:$E$305,I_Stok_Awal!$C$6:$C$305,A24))</f>
        <v>10699758</v>
      </c>
      <c r="F24" s="35" t="n">
        <f aca="false">IF(OR(A24="",D24&lt;=0),"",SUMPRODUCT((I_Stok_Awal!$C$6:$C$305=A24)*I_Stok_Awal!$D$6:$D$305*I_Stok_Awal!$F$6:$F$305)/D24)</f>
        <v>54.6853314167807</v>
      </c>
      <c r="G24" s="10" t="n">
        <f aca="false">IF(A24="","",SUMIFS(I_Stok_Awal!$G$6:$G$305,I_Stok_Awal!$C$6:$C$305,A24))</f>
        <v>1293.99</v>
      </c>
      <c r="H24" s="11" t="n">
        <f aca="false">IF($A24="","",D24+SUMIFS(T_Penerimaan!$I$6:$I$1005,T_Penerimaan!$H$6:$H$1005,$A24,T_Penerimaan!$A$6:$A$1005,H$4,T_Penerimaan!$M$6:$M$1005,1)-SUMIFS(T_Penjualan!$H$6:$H$1505,T_Penjualan!$G$6:$G$1505,$A24,T_Penjualan!$A$6:$A$1505,H$4,T_Penjualan!$P$6:$P$1505,1))</f>
        <v>1293.99</v>
      </c>
      <c r="I24" s="11" t="n">
        <f aca="false">IF($A24="","",H24+SUMIFS(T_Penerimaan!$I$6:$I$1005,T_Penerimaan!$H$6:$H$1005,$A24,T_Penerimaan!$A$6:$A$1005,I$4,T_Penerimaan!$M$6:$M$1005,1)-SUMIFS(T_Penjualan!$H$6:$H$1505,T_Penjualan!$G$6:$G$1505,$A24,T_Penjualan!$A$6:$A$1505,I$4,T_Penjualan!$P$6:$P$1505,1))</f>
        <v>1293.99</v>
      </c>
      <c r="J24" s="11" t="n">
        <f aca="false">IF($A24="","",I24+SUMIFS(T_Penerimaan!$I$6:$I$1005,T_Penerimaan!$H$6:$H$1005,$A24,T_Penerimaan!$A$6:$A$1005,J$4,T_Penerimaan!$M$6:$M$1005,1)-SUMIFS(T_Penjualan!$H$6:$H$1505,T_Penjualan!$G$6:$G$1505,$A24,T_Penjualan!$A$6:$A$1505,J$4,T_Penjualan!$P$6:$P$1505,1))</f>
        <v>1293.99</v>
      </c>
      <c r="K24" s="11" t="n">
        <f aca="false">IF($A24="","",J24+SUMIFS(T_Penerimaan!$I$6:$I$1005,T_Penerimaan!$H$6:$H$1005,$A24,T_Penerimaan!$A$6:$A$1005,K$4,T_Penerimaan!$M$6:$M$1005,1)-SUMIFS(T_Penjualan!$H$6:$H$1505,T_Penjualan!$G$6:$G$1505,$A24,T_Penjualan!$A$6:$A$1505,K$4,T_Penjualan!$P$6:$P$1505,1))</f>
        <v>1293.99</v>
      </c>
      <c r="L24" s="11" t="n">
        <f aca="false">IF($A24="","",K24+SUMIFS(T_Penerimaan!$I$6:$I$1005,T_Penerimaan!$H$6:$H$1005,$A24,T_Penerimaan!$A$6:$A$1005,L$4,T_Penerimaan!$M$6:$M$1005,1)-SUMIFS(T_Penjualan!$H$6:$H$1505,T_Penjualan!$G$6:$G$1505,$A24,T_Penjualan!$A$6:$A$1505,L$4,T_Penjualan!$P$6:$P$1505,1))</f>
        <v>1293.99</v>
      </c>
      <c r="M24" s="11" t="n">
        <f aca="false">IF($A24="","",L24+SUMIFS(T_Penerimaan!$I$6:$I$1005,T_Penerimaan!$H$6:$H$1005,$A24,T_Penerimaan!$A$6:$A$1005,M$4,T_Penerimaan!$M$6:$M$1005,1)-SUMIFS(T_Penjualan!$H$6:$H$1505,T_Penjualan!$G$6:$G$1505,$A24,T_Penjualan!$A$6:$A$1505,M$4,T_Penjualan!$P$6:$P$1505,1))</f>
        <v>1293.99</v>
      </c>
      <c r="N24" s="11" t="n">
        <f aca="false">IF($A24="","",M24+SUMIFS(T_Penerimaan!$I$6:$I$1005,T_Penerimaan!$H$6:$H$1005,$A24,T_Penerimaan!$A$6:$A$1005,N$4,T_Penerimaan!$M$6:$M$1005,1)-SUMIFS(T_Penjualan!$H$6:$H$1505,T_Penjualan!$G$6:$G$1505,$A24,T_Penjualan!$A$6:$A$1505,N$4,T_Penjualan!$P$6:$P$1505,1))</f>
        <v>1293.99</v>
      </c>
      <c r="O24" s="11" t="n">
        <f aca="false">IF(A24="","",SUMIFS(T_Penerimaan!$I$6:$I$1005,T_Penerimaan!$H$6:$H$1005,A24,T_Penerimaan!$M$6:$M$1005,1))</f>
        <v>0</v>
      </c>
      <c r="P24" s="11" t="n">
        <f aca="false">IF(A24="","",SUMIFS(T_Penerimaan!$K$6:$K$1005,T_Penerimaan!$H$6:$H$1005,A24,T_Penerimaan!$M$6:$M$1005,1))</f>
        <v>0</v>
      </c>
      <c r="Q24" s="11" t="n">
        <f aca="false">IF(A24="","",IF(D24+O24&lt;=0,0,(E24+P24)/(D24+O24)))</f>
        <v>8268.8104235736</v>
      </c>
      <c r="R24" s="11" t="n">
        <f aca="false">IF(A24="","",SUMIFS(T_Penjualan!$H$6:$H$1505,T_Penjualan!$G$6:$G$1505,A24,T_Penjualan!$P$6:$P$1505,1))</f>
        <v>0</v>
      </c>
      <c r="S24" s="12" t="n">
        <f aca="false">IF(A24="","",IF(I_Parameter!$C$4&lt;=I_Parameter!$C$5,D24,IF(I_Parameter!$C$4&gt;I_Parameter!$C$6,N24,INDEX(H24:N24,I_Parameter!$C$4-I_Parameter!$C$5))))</f>
        <v>1293.99</v>
      </c>
      <c r="T24" s="11" t="n">
        <f aca="false">IF(A24="","",SUMIFS(T_Penjualan!$H$6:$H$1505,T_Penjualan!$G$6:$G$1505,A24,T_Penjualan!$B$6:$B$1505,"Order",T_Penjualan!$A$6:$A$1505,"&gt;="&amp;I_Parameter!$C$4,T_Penjualan!$A$6:$A$1505,"&lt;="&amp;I_Parameter!$C$6))</f>
        <v>0</v>
      </c>
      <c r="U24" s="11" t="n">
        <f aca="false">IF(A24="","",S24-T24)</f>
        <v>1293.99</v>
      </c>
      <c r="V24" s="11" t="n">
        <f aca="false">IF(A24="","",MIN(H24:N24))</f>
        <v>1293.99</v>
      </c>
      <c r="W24" s="10" t="n">
        <f aca="false">IF(A24="","",INDEX(I_Master!$F$6:$F$85,MATCH(A24,I_Master!$A$6:$A$85,0)))</f>
        <v>5000</v>
      </c>
      <c r="X24" s="11" t="n">
        <f aca="false">IF(OR(A24="",W24=""),"",W24-Q24)</f>
        <v>-3268.8104235736</v>
      </c>
      <c r="Y24" s="11" t="n">
        <f aca="false">IF(A24="","",S24*Q24)</f>
        <v>10699758</v>
      </c>
      <c r="Z24" s="9" t="str">
        <f aca="false">IF(A24="","",IF(V24&lt;-0.5,"KURANG: stok minus "&amp;ROUND(-V24,0)&amp;" kg — beli/potong atau geser order",IF(AND(S24&gt;0.5,T24&lt;=0,G24&gt;0.5),"JUAL: "&amp;ROUND(S24,0)&amp;" kg tanpa order, sebagian &gt; batas umur",IF(AND(S24&gt;0.5,T24&lt;=0),"JUAL: "&amp;ROUND(S24,0)&amp;" kg tanpa order minggu ini",IF(G24&gt;0.5,"PERHATIAN: "&amp;ROUND(G24,0)&amp;" kg di atas batas umur",IF(AND(X24&lt;&gt;"",X24&lt;0,T24&gt;0),"Order di bawah biaya rata-rata — cek harga","-"))))))</f>
        <v>JUAL: 1294 kg tanpa order, sebagian &gt; batas umur</v>
      </c>
    </row>
    <row r="25" customFormat="false" ht="15" hidden="false" customHeight="false" outlineLevel="0" collapsed="false">
      <c r="A25" s="34" t="str">
        <f aca="false">I_Master!A25</f>
        <v>RPA|HJA (Hati/Jantung/Ampela)|Fresh</v>
      </c>
      <c r="B25" s="34" t="str">
        <f aca="false">IF(A25="","",INDEX(I_Master!$E$6:$E$85,MATCH(A25,I_Master!$A$6:$A$85,0)))</f>
        <v>By-product</v>
      </c>
      <c r="C25" s="34" t="str">
        <f aca="false">IF(A25="","",INDEX(I_Master!$B$6:$B$85,MATCH(A25,I_Master!$A$6:$A$85,0)))</f>
        <v>RPA</v>
      </c>
      <c r="D25" s="10" t="n">
        <f aca="false">IF(A25="","",SUMIFS(I_Stok_Awal!$D$6:$D$305,I_Stok_Awal!$C$6:$C$305,A25))</f>
        <v>6079.43</v>
      </c>
      <c r="E25" s="10" t="n">
        <f aca="false">IF(A25="","",SUMIFS(I_Stok_Awal!$E$6:$E$305,I_Stok_Awal!$C$6:$C$305,A25))</f>
        <v>18306436</v>
      </c>
      <c r="F25" s="35" t="n">
        <f aca="false">IF(OR(A25="",D25&lt;=0),"",SUMPRODUCT((I_Stok_Awal!$C$6:$C$305=A25)*I_Stok_Awal!$D$6:$D$305*I_Stok_Awal!$F$6:$F$305)/D25)</f>
        <v>26.4105171043996</v>
      </c>
      <c r="G25" s="10" t="n">
        <f aca="false">IF(A25="","",SUMIFS(I_Stok_Awal!$G$6:$G$305,I_Stok_Awal!$C$6:$C$305,A25))</f>
        <v>2084.33</v>
      </c>
      <c r="H25" s="11" t="n">
        <f aca="false">IF($A25="","",D25+SUMIFS(T_Penerimaan!$I$6:$I$1005,T_Penerimaan!$H$6:$H$1005,$A25,T_Penerimaan!$A$6:$A$1005,H$4,T_Penerimaan!$M$6:$M$1005,1)-SUMIFS(T_Penjualan!$H$6:$H$1505,T_Penjualan!$G$6:$G$1505,$A25,T_Penjualan!$A$6:$A$1505,H$4,T_Penjualan!$P$6:$P$1505,1))</f>
        <v>6079.43</v>
      </c>
      <c r="I25" s="11" t="n">
        <f aca="false">IF($A25="","",H25+SUMIFS(T_Penerimaan!$I$6:$I$1005,T_Penerimaan!$H$6:$H$1005,$A25,T_Penerimaan!$A$6:$A$1005,I$4,T_Penerimaan!$M$6:$M$1005,1)-SUMIFS(T_Penjualan!$H$6:$H$1505,T_Penjualan!$G$6:$G$1505,$A25,T_Penjualan!$A$6:$A$1505,I$4,T_Penjualan!$P$6:$P$1505,1))</f>
        <v>6656.43</v>
      </c>
      <c r="J25" s="11" t="n">
        <f aca="false">IF($A25="","",I25+SUMIFS(T_Penerimaan!$I$6:$I$1005,T_Penerimaan!$H$6:$H$1005,$A25,T_Penerimaan!$A$6:$A$1005,J$4,T_Penerimaan!$M$6:$M$1005,1)-SUMIFS(T_Penjualan!$H$6:$H$1505,T_Penjualan!$G$6:$G$1505,$A25,T_Penjualan!$A$6:$A$1505,J$4,T_Penjualan!$P$6:$P$1505,1))</f>
        <v>6701.73</v>
      </c>
      <c r="K25" s="11" t="n">
        <f aca="false">IF($A25="","",J25+SUMIFS(T_Penerimaan!$I$6:$I$1005,T_Penerimaan!$H$6:$H$1005,$A25,T_Penerimaan!$A$6:$A$1005,K$4,T_Penerimaan!$M$6:$M$1005,1)-SUMIFS(T_Penjualan!$H$6:$H$1505,T_Penjualan!$G$6:$G$1505,$A25,T_Penjualan!$A$6:$A$1505,K$4,T_Penjualan!$P$6:$P$1505,1))</f>
        <v>7307.93</v>
      </c>
      <c r="L25" s="11" t="n">
        <f aca="false">IF($A25="","",K25+SUMIFS(T_Penerimaan!$I$6:$I$1005,T_Penerimaan!$H$6:$H$1005,$A25,T_Penerimaan!$A$6:$A$1005,L$4,T_Penerimaan!$M$6:$M$1005,1)-SUMIFS(T_Penjualan!$H$6:$H$1505,T_Penjualan!$G$6:$G$1505,$A25,T_Penjualan!$A$6:$A$1505,L$4,T_Penjualan!$P$6:$P$1505,1))</f>
        <v>8112.83</v>
      </c>
      <c r="M25" s="11" t="n">
        <f aca="false">IF($A25="","",L25+SUMIFS(T_Penerimaan!$I$6:$I$1005,T_Penerimaan!$H$6:$H$1005,$A25,T_Penerimaan!$A$6:$A$1005,M$4,T_Penerimaan!$M$6:$M$1005,1)-SUMIFS(T_Penjualan!$H$6:$H$1505,T_Penjualan!$G$6:$G$1505,$A25,T_Penjualan!$A$6:$A$1505,M$4,T_Penjualan!$P$6:$P$1505,1))</f>
        <v>6093.43</v>
      </c>
      <c r="N25" s="11" t="n">
        <f aca="false">IF($A25="","",M25+SUMIFS(T_Penerimaan!$I$6:$I$1005,T_Penerimaan!$H$6:$H$1005,$A25,T_Penerimaan!$A$6:$A$1005,N$4,T_Penerimaan!$M$6:$M$1005,1)-SUMIFS(T_Penjualan!$H$6:$H$1505,T_Penjualan!$G$6:$G$1505,$A25,T_Penjualan!$A$6:$A$1505,N$4,T_Penjualan!$P$6:$P$1505,1))</f>
        <v>6093.43</v>
      </c>
      <c r="O25" s="11" t="n">
        <f aca="false">IF(A25="","",SUMIFS(T_Penerimaan!$I$6:$I$1005,T_Penerimaan!$H$6:$H$1005,A25,T_Penerimaan!$M$6:$M$1005,1))</f>
        <v>2610.4</v>
      </c>
      <c r="P25" s="11" t="n">
        <f aca="false">IF(A25="","",SUMIFS(T_Penerimaan!$K$6:$K$1005,T_Penerimaan!$H$6:$H$1005,A25,T_Penerimaan!$M$6:$M$1005,1))</f>
        <v>14763560.524</v>
      </c>
      <c r="Q25" s="11" t="n">
        <f aca="false">IF(A25="","",IF(D25+O25&lt;=0,0,(E25+P25)/(D25+O25)))</f>
        <v>3805.59763815863</v>
      </c>
      <c r="R25" s="11" t="n">
        <f aca="false">IF(A25="","",SUMIFS(T_Penjualan!$H$6:$H$1505,T_Penjualan!$G$6:$G$1505,A25,T_Penjualan!$P$6:$P$1505,1))</f>
        <v>2596.4</v>
      </c>
      <c r="S25" s="12" t="n">
        <f aca="false">IF(A25="","",IF(I_Parameter!$C$4&lt;=I_Parameter!$C$5,D25,IF(I_Parameter!$C$4&gt;I_Parameter!$C$6,N25,INDEX(H25:N25,I_Parameter!$C$4-I_Parameter!$C$5))))</f>
        <v>6701.73</v>
      </c>
      <c r="T25" s="11" t="n">
        <f aca="false">IF(A25="","",SUMIFS(T_Penjualan!$H$6:$H$1505,T_Penjualan!$G$6:$G$1505,A25,T_Penjualan!$B$6:$B$1505,"Order",T_Penjualan!$A$6:$A$1505,"&gt;="&amp;I_Parameter!$C$4,T_Penjualan!$A$6:$A$1505,"&lt;="&amp;I_Parameter!$C$6))</f>
        <v>2019.4</v>
      </c>
      <c r="U25" s="11" t="n">
        <f aca="false">IF(A25="","",S25-T25)</f>
        <v>4682.33</v>
      </c>
      <c r="V25" s="11" t="n">
        <f aca="false">IF(A25="","",MIN(H25:N25))</f>
        <v>6079.43</v>
      </c>
      <c r="W25" s="10" t="n">
        <f aca="false">IF(A25="","",INDEX(I_Master!$F$6:$F$85,MATCH(A25,I_Master!$A$6:$A$85,0)))</f>
        <v>4515</v>
      </c>
      <c r="X25" s="11" t="n">
        <f aca="false">IF(OR(A25="",W25=""),"",W25-Q25)</f>
        <v>709.402361841371</v>
      </c>
      <c r="Y25" s="11" t="n">
        <f aca="false">IF(A25="","",S25*Q25)</f>
        <v>25504087.8595768</v>
      </c>
      <c r="Z25" s="9" t="str">
        <f aca="false">IF(A25="","",IF(V25&lt;-0.5,"KURANG: stok minus "&amp;ROUND(-V25,0)&amp;" kg — beli/potong atau geser order",IF(AND(S25&gt;0.5,T25&lt;=0,G25&gt;0.5),"JUAL: "&amp;ROUND(S25,0)&amp;" kg tanpa order, sebagian &gt; batas umur",IF(AND(S25&gt;0.5,T25&lt;=0),"JUAL: "&amp;ROUND(S25,0)&amp;" kg tanpa order minggu ini",IF(G25&gt;0.5,"PERHATIAN: "&amp;ROUND(G25,0)&amp;" kg di atas batas umur",IF(AND(X25&lt;&gt;"",X25&lt;0,T25&gt;0),"Order di bawah biaya rata-rata — cek harga","-"))))))</f>
        <v>PERHATIAN: 2084 kg di atas batas umur</v>
      </c>
    </row>
    <row r="26" customFormat="false" ht="15" hidden="false" customHeight="false" outlineLevel="0" collapsed="false">
      <c r="A26" s="34" t="str">
        <f aca="false">I_Master!A26</f>
        <v>RPA|HJA (Hati/Jantung/Ampela)|Frozen</v>
      </c>
      <c r="B26" s="34" t="str">
        <f aca="false">IF(A26="","",INDEX(I_Master!$E$6:$E$85,MATCH(A26,I_Master!$A$6:$A$85,0)))</f>
        <v>By-product</v>
      </c>
      <c r="C26" s="34" t="str">
        <f aca="false">IF(A26="","",INDEX(I_Master!$B$6:$B$85,MATCH(A26,I_Master!$A$6:$A$85,0)))</f>
        <v>RPA</v>
      </c>
      <c r="D26" s="10" t="n">
        <f aca="false">IF(A26="","",SUMIFS(I_Stok_Awal!$D$6:$D$305,I_Stok_Awal!$C$6:$C$305,A26))</f>
        <v>202.2</v>
      </c>
      <c r="E26" s="10" t="n">
        <f aca="false">IF(A26="","",SUMIFS(I_Stok_Awal!$E$6:$E$305,I_Stok_Awal!$C$6:$C$305,A26))</f>
        <v>72331</v>
      </c>
      <c r="F26" s="35" t="n">
        <f aca="false">IF(OR(A26="",D26&lt;=0),"",SUMPRODUCT((I_Stok_Awal!$C$6:$C$305=A26)*I_Stok_Awal!$D$6:$D$305*I_Stok_Awal!$F$6:$F$305)/D26)</f>
        <v>83.8278931750742</v>
      </c>
      <c r="G26" s="10" t="n">
        <f aca="false">IF(A26="","",SUMIFS(I_Stok_Awal!$G$6:$G$305,I_Stok_Awal!$C$6:$C$305,A26))</f>
        <v>202.2</v>
      </c>
      <c r="H26" s="11" t="n">
        <f aca="false">IF($A26="","",D26+SUMIFS(T_Penerimaan!$I$6:$I$1005,T_Penerimaan!$H$6:$H$1005,$A26,T_Penerimaan!$A$6:$A$1005,H$4,T_Penerimaan!$M$6:$M$1005,1)-SUMIFS(T_Penjualan!$H$6:$H$1505,T_Penjualan!$G$6:$G$1505,$A26,T_Penjualan!$A$6:$A$1505,H$4,T_Penjualan!$P$6:$P$1505,1))</f>
        <v>202.2</v>
      </c>
      <c r="I26" s="11" t="n">
        <f aca="false">IF($A26="","",H26+SUMIFS(T_Penerimaan!$I$6:$I$1005,T_Penerimaan!$H$6:$H$1005,$A26,T_Penerimaan!$A$6:$A$1005,I$4,T_Penerimaan!$M$6:$M$1005,1)-SUMIFS(T_Penjualan!$H$6:$H$1505,T_Penjualan!$G$6:$G$1505,$A26,T_Penjualan!$A$6:$A$1505,I$4,T_Penjualan!$P$6:$P$1505,1))</f>
        <v>202.2</v>
      </c>
      <c r="J26" s="11" t="n">
        <f aca="false">IF($A26="","",I26+SUMIFS(T_Penerimaan!$I$6:$I$1005,T_Penerimaan!$H$6:$H$1005,$A26,T_Penerimaan!$A$6:$A$1005,J$4,T_Penerimaan!$M$6:$M$1005,1)-SUMIFS(T_Penjualan!$H$6:$H$1505,T_Penjualan!$G$6:$G$1505,$A26,T_Penjualan!$A$6:$A$1505,J$4,T_Penjualan!$P$6:$P$1505,1))</f>
        <v>202.2</v>
      </c>
      <c r="K26" s="11" t="n">
        <f aca="false">IF($A26="","",J26+SUMIFS(T_Penerimaan!$I$6:$I$1005,T_Penerimaan!$H$6:$H$1005,$A26,T_Penerimaan!$A$6:$A$1005,K$4,T_Penerimaan!$M$6:$M$1005,1)-SUMIFS(T_Penjualan!$H$6:$H$1505,T_Penjualan!$G$6:$G$1505,$A26,T_Penjualan!$A$6:$A$1505,K$4,T_Penjualan!$P$6:$P$1505,1))</f>
        <v>202.2</v>
      </c>
      <c r="L26" s="11" t="n">
        <f aca="false">IF($A26="","",K26+SUMIFS(T_Penerimaan!$I$6:$I$1005,T_Penerimaan!$H$6:$H$1005,$A26,T_Penerimaan!$A$6:$A$1005,L$4,T_Penerimaan!$M$6:$M$1005,1)-SUMIFS(T_Penjualan!$H$6:$H$1505,T_Penjualan!$G$6:$G$1505,$A26,T_Penjualan!$A$6:$A$1505,L$4,T_Penjualan!$P$6:$P$1505,1))</f>
        <v>202.2</v>
      </c>
      <c r="M26" s="11" t="n">
        <f aca="false">IF($A26="","",L26+SUMIFS(T_Penerimaan!$I$6:$I$1005,T_Penerimaan!$H$6:$H$1005,$A26,T_Penerimaan!$A$6:$A$1005,M$4,T_Penerimaan!$M$6:$M$1005,1)-SUMIFS(T_Penjualan!$H$6:$H$1505,T_Penjualan!$G$6:$G$1505,$A26,T_Penjualan!$A$6:$A$1505,M$4,T_Penjualan!$P$6:$P$1505,1))</f>
        <v>202.2</v>
      </c>
      <c r="N26" s="11" t="n">
        <f aca="false">IF($A26="","",M26+SUMIFS(T_Penerimaan!$I$6:$I$1005,T_Penerimaan!$H$6:$H$1005,$A26,T_Penerimaan!$A$6:$A$1005,N$4,T_Penerimaan!$M$6:$M$1005,1)-SUMIFS(T_Penjualan!$H$6:$H$1505,T_Penjualan!$G$6:$G$1505,$A26,T_Penjualan!$A$6:$A$1505,N$4,T_Penjualan!$P$6:$P$1505,1))</f>
        <v>202.2</v>
      </c>
      <c r="O26" s="11" t="n">
        <f aca="false">IF(A26="","",SUMIFS(T_Penerimaan!$I$6:$I$1005,T_Penerimaan!$H$6:$H$1005,A26,T_Penerimaan!$M$6:$M$1005,1))</f>
        <v>0</v>
      </c>
      <c r="P26" s="11" t="n">
        <f aca="false">IF(A26="","",SUMIFS(T_Penerimaan!$K$6:$K$1005,T_Penerimaan!$H$6:$H$1005,A26,T_Penerimaan!$M$6:$M$1005,1))</f>
        <v>0</v>
      </c>
      <c r="Q26" s="11" t="n">
        <f aca="false">IF(A26="","",IF(D26+O26&lt;=0,0,(E26+P26)/(D26+O26)))</f>
        <v>357.720079129575</v>
      </c>
      <c r="R26" s="11" t="n">
        <f aca="false">IF(A26="","",SUMIFS(T_Penjualan!$H$6:$H$1505,T_Penjualan!$G$6:$G$1505,A26,T_Penjualan!$P$6:$P$1505,1))</f>
        <v>0</v>
      </c>
      <c r="S26" s="12" t="n">
        <f aca="false">IF(A26="","",IF(I_Parameter!$C$4&lt;=I_Parameter!$C$5,D26,IF(I_Parameter!$C$4&gt;I_Parameter!$C$6,N26,INDEX(H26:N26,I_Parameter!$C$4-I_Parameter!$C$5))))</f>
        <v>202.2</v>
      </c>
      <c r="T26" s="11" t="n">
        <f aca="false">IF(A26="","",SUMIFS(T_Penjualan!$H$6:$H$1505,T_Penjualan!$G$6:$G$1505,A26,T_Penjualan!$B$6:$B$1505,"Order",T_Penjualan!$A$6:$A$1505,"&gt;="&amp;I_Parameter!$C$4,T_Penjualan!$A$6:$A$1505,"&lt;="&amp;I_Parameter!$C$6))</f>
        <v>0</v>
      </c>
      <c r="U26" s="11" t="n">
        <f aca="false">IF(A26="","",S26-T26)</f>
        <v>202.2</v>
      </c>
      <c r="V26" s="11" t="n">
        <f aca="false">IF(A26="","",MIN(H26:N26))</f>
        <v>202.2</v>
      </c>
      <c r="W26" s="10" t="n">
        <f aca="false">IF(A26="","",INDEX(I_Master!$F$6:$F$85,MATCH(A26,I_Master!$A$6:$A$85,0)))</f>
        <v>5000</v>
      </c>
      <c r="X26" s="11" t="n">
        <f aca="false">IF(OR(A26="",W26=""),"",W26-Q26)</f>
        <v>4642.27992087043</v>
      </c>
      <c r="Y26" s="11" t="n">
        <f aca="false">IF(A26="","",S26*Q26)</f>
        <v>72331</v>
      </c>
      <c r="Z26" s="9" t="str">
        <f aca="false">IF(A26="","",IF(V26&lt;-0.5,"KURANG: stok minus "&amp;ROUND(-V26,0)&amp;" kg — beli/potong atau geser order",IF(AND(S26&gt;0.5,T26&lt;=0,G26&gt;0.5),"JUAL: "&amp;ROUND(S26,0)&amp;" kg tanpa order, sebagian &gt; batas umur",IF(AND(S26&gt;0.5,T26&lt;=0),"JUAL: "&amp;ROUND(S26,0)&amp;" kg tanpa order minggu ini",IF(G26&gt;0.5,"PERHATIAN: "&amp;ROUND(G26,0)&amp;" kg di atas batas umur",IF(AND(X26&lt;&gt;"",X26&lt;0,T26&gt;0),"Order di bawah biaya rata-rata — cek harga","-"))))))</f>
        <v>JUAL: 202 kg tanpa order, sebagian &gt; batas umur</v>
      </c>
    </row>
    <row r="27" customFormat="false" ht="15" hidden="false" customHeight="false" outlineLevel="0" collapsed="false">
      <c r="A27" s="34" t="str">
        <f aca="false">I_Master!A27</f>
        <v>RPA|Kepala|Fresh</v>
      </c>
      <c r="B27" s="34" t="str">
        <f aca="false">IF(A27="","",INDEX(I_Master!$E$6:$E$85,MATCH(A27,I_Master!$A$6:$A$85,0)))</f>
        <v>By-product</v>
      </c>
      <c r="C27" s="34" t="str">
        <f aca="false">IF(A27="","",INDEX(I_Master!$B$6:$B$85,MATCH(A27,I_Master!$A$6:$A$85,0)))</f>
        <v>RPA</v>
      </c>
      <c r="D27" s="10" t="n">
        <f aca="false">IF(A27="","",SUMIFS(I_Stok_Awal!$D$6:$D$305,I_Stok_Awal!$C$6:$C$305,A27))</f>
        <v>1289.5</v>
      </c>
      <c r="E27" s="10" t="n">
        <f aca="false">IF(A27="","",SUMIFS(I_Stok_Awal!$E$6:$E$305,I_Stok_Awal!$C$6:$C$305,A27))</f>
        <v>16794274</v>
      </c>
      <c r="F27" s="35" t="n">
        <f aca="false">IF(OR(A27="",D27&lt;=0),"",SUMPRODUCT((I_Stok_Awal!$C$6:$C$305=A27)*I_Stok_Awal!$D$6:$D$305*I_Stok_Awal!$F$6:$F$305)/D27)</f>
        <v>4.2</v>
      </c>
      <c r="G27" s="10" t="n">
        <f aca="false">IF(A27="","",SUMIFS(I_Stok_Awal!$G$6:$G$305,I_Stok_Awal!$C$6:$C$305,A27))</f>
        <v>0</v>
      </c>
      <c r="H27" s="11" t="n">
        <f aca="false">IF($A27="","",D27+SUMIFS(T_Penerimaan!$I$6:$I$1005,T_Penerimaan!$H$6:$H$1005,$A27,T_Penerimaan!$A$6:$A$1005,H$4,T_Penerimaan!$M$6:$M$1005,1)-SUMIFS(T_Penjualan!$H$6:$H$1505,T_Penjualan!$G$6:$G$1505,$A27,T_Penjualan!$A$6:$A$1505,H$4,T_Penjualan!$P$6:$P$1505,1))</f>
        <v>1289.5</v>
      </c>
      <c r="I27" s="11" t="n">
        <f aca="false">IF($A27="","",H27+SUMIFS(T_Penerimaan!$I$6:$I$1005,T_Penerimaan!$H$6:$H$1005,$A27,T_Penerimaan!$A$6:$A$1005,I$4,T_Penerimaan!$M$6:$M$1005,1)-SUMIFS(T_Penjualan!$H$6:$H$1505,T_Penjualan!$G$6:$G$1505,$A27,T_Penjualan!$A$6:$A$1505,I$4,T_Penjualan!$P$6:$P$1505,1))</f>
        <v>1781</v>
      </c>
      <c r="J27" s="11" t="n">
        <f aca="false">IF($A27="","",I27+SUMIFS(T_Penerimaan!$I$6:$I$1005,T_Penerimaan!$H$6:$H$1005,$A27,T_Penerimaan!$A$6:$A$1005,J$4,T_Penerimaan!$M$6:$M$1005,1)-SUMIFS(T_Penjualan!$H$6:$H$1505,T_Penjualan!$G$6:$G$1505,$A27,T_Penjualan!$A$6:$A$1505,J$4,T_Penjualan!$P$6:$P$1505,1))</f>
        <v>1807.9</v>
      </c>
      <c r="K27" s="11" t="n">
        <f aca="false">IF($A27="","",J27+SUMIFS(T_Penerimaan!$I$6:$I$1005,T_Penerimaan!$H$6:$H$1005,$A27,T_Penerimaan!$A$6:$A$1005,K$4,T_Penerimaan!$M$6:$M$1005,1)-SUMIFS(T_Penjualan!$H$6:$H$1505,T_Penjualan!$G$6:$G$1505,$A27,T_Penjualan!$A$6:$A$1505,K$4,T_Penjualan!$P$6:$P$1505,1))</f>
        <v>2297.8</v>
      </c>
      <c r="L27" s="11" t="n">
        <f aca="false">IF($A27="","",K27+SUMIFS(T_Penerimaan!$I$6:$I$1005,T_Penerimaan!$H$6:$H$1005,$A27,T_Penerimaan!$A$6:$A$1005,L$4,T_Penerimaan!$M$6:$M$1005,1)-SUMIFS(T_Penjualan!$H$6:$H$1505,T_Penjualan!$G$6:$G$1505,$A27,T_Penjualan!$A$6:$A$1505,L$4,T_Penjualan!$P$6:$P$1505,1))</f>
        <v>2963.6</v>
      </c>
      <c r="M27" s="11" t="n">
        <f aca="false">IF($A27="","",L27+SUMIFS(T_Penerimaan!$I$6:$I$1005,T_Penerimaan!$H$6:$H$1005,$A27,T_Penerimaan!$A$6:$A$1005,M$4,T_Penerimaan!$M$6:$M$1005,1)-SUMIFS(T_Penjualan!$H$6:$H$1505,T_Penjualan!$G$6:$G$1505,$A27,T_Penjualan!$A$6:$A$1505,M$4,T_Penjualan!$P$6:$P$1505,1))</f>
        <v>1289.5</v>
      </c>
      <c r="N27" s="11" t="n">
        <f aca="false">IF($A27="","",M27+SUMIFS(T_Penerimaan!$I$6:$I$1005,T_Penerimaan!$H$6:$H$1005,$A27,T_Penerimaan!$A$6:$A$1005,N$4,T_Penerimaan!$M$6:$M$1005,1)-SUMIFS(T_Penjualan!$H$6:$H$1505,T_Penjualan!$G$6:$G$1505,$A27,T_Penjualan!$A$6:$A$1505,N$4,T_Penjualan!$P$6:$P$1505,1))</f>
        <v>1289.5</v>
      </c>
      <c r="O27" s="11" t="n">
        <f aca="false">IF(A27="","",SUMIFS(T_Penerimaan!$I$6:$I$1005,T_Penerimaan!$H$6:$H$1005,A27,T_Penerimaan!$M$6:$M$1005,1))</f>
        <v>2165.6</v>
      </c>
      <c r="P27" s="11" t="n">
        <f aca="false">IF(A27="","",SUMIFS(T_Penerimaan!$K$6:$K$1005,T_Penerimaan!$H$6:$H$1005,A27,T_Penerimaan!$M$6:$M$1005,1))</f>
        <v>29393750.766</v>
      </c>
      <c r="Q27" s="11" t="n">
        <f aca="false">IF(A27="","",IF(D27+O27&lt;=0,0,(E27+P27)/(D27+O27)))</f>
        <v>13368.0717681109</v>
      </c>
      <c r="R27" s="11" t="n">
        <f aca="false">IF(A27="","",SUMIFS(T_Penjualan!$H$6:$H$1505,T_Penjualan!$G$6:$G$1505,A27,T_Penjualan!$P$6:$P$1505,1))</f>
        <v>2165.6</v>
      </c>
      <c r="S27" s="12" t="n">
        <f aca="false">IF(A27="","",IF(I_Parameter!$C$4&lt;=I_Parameter!$C$5,D27,IF(I_Parameter!$C$4&gt;I_Parameter!$C$6,N27,INDEX(H27:N27,I_Parameter!$C$4-I_Parameter!$C$5))))</f>
        <v>1807.9</v>
      </c>
      <c r="T27" s="11" t="n">
        <f aca="false">IF(A27="","",SUMIFS(T_Penjualan!$H$6:$H$1505,T_Penjualan!$G$6:$G$1505,A27,T_Penjualan!$B$6:$B$1505,"Order",T_Penjualan!$A$6:$A$1505,"&gt;="&amp;I_Parameter!$C$4,T_Penjualan!$A$6:$A$1505,"&lt;="&amp;I_Parameter!$C$6))</f>
        <v>1674.1</v>
      </c>
      <c r="U27" s="11" t="n">
        <f aca="false">IF(A27="","",S27-T27)</f>
        <v>133.8</v>
      </c>
      <c r="V27" s="11" t="n">
        <f aca="false">IF(A27="","",MIN(H27:N27))</f>
        <v>1289.5</v>
      </c>
      <c r="W27" s="10" t="n">
        <f aca="false">IF(A27="","",INDEX(I_Master!$F$6:$F$85,MATCH(A27,I_Master!$A$6:$A$85,0)))</f>
        <v>4029</v>
      </c>
      <c r="X27" s="11" t="n">
        <f aca="false">IF(OR(A27="",W27=""),"",W27-Q27)</f>
        <v>-9339.07176811091</v>
      </c>
      <c r="Y27" s="11" t="n">
        <f aca="false">IF(A27="","",S27*Q27)</f>
        <v>24168136.9495677</v>
      </c>
      <c r="Z27" s="9" t="str">
        <f aca="false">IF(A27="","",IF(V27&lt;-0.5,"KURANG: stok minus "&amp;ROUND(-V27,0)&amp;" kg — beli/potong atau geser order",IF(AND(S27&gt;0.5,T27&lt;=0,G27&gt;0.5),"JUAL: "&amp;ROUND(S27,0)&amp;" kg tanpa order, sebagian &gt; batas umur",IF(AND(S27&gt;0.5,T27&lt;=0),"JUAL: "&amp;ROUND(S27,0)&amp;" kg tanpa order minggu ini",IF(G27&gt;0.5,"PERHATIAN: "&amp;ROUND(G27,0)&amp;" kg di atas batas umur",IF(AND(X27&lt;&gt;"",X27&lt;0,T27&gt;0),"Order di bawah biaya rata-rata — cek harga","-"))))))</f>
        <v>Order di bawah biaya rata-rata — cek harga</v>
      </c>
    </row>
    <row r="28" customFormat="false" ht="15" hidden="false" customHeight="false" outlineLevel="0" collapsed="false">
      <c r="A28" s="34" t="str">
        <f aca="false">I_Master!A28</f>
        <v>RPA|Kepala|Frozen</v>
      </c>
      <c r="B28" s="34" t="str">
        <f aca="false">IF(A28="","",INDEX(I_Master!$E$6:$E$85,MATCH(A28,I_Master!$A$6:$A$85,0)))</f>
        <v>By-product</v>
      </c>
      <c r="C28" s="34" t="str">
        <f aca="false">IF(A28="","",INDEX(I_Master!$B$6:$B$85,MATCH(A28,I_Master!$A$6:$A$85,0)))</f>
        <v>RPA</v>
      </c>
      <c r="D28" s="10" t="n">
        <f aca="false">IF(A28="","",SUMIFS(I_Stok_Awal!$D$6:$D$305,I_Stok_Awal!$C$6:$C$305,A28))</f>
        <v>1811.2</v>
      </c>
      <c r="E28" s="10" t="n">
        <f aca="false">IF(A28="","",SUMIFS(I_Stok_Awal!$E$6:$E$305,I_Stok_Awal!$C$6:$C$305,A28))</f>
        <v>14122474</v>
      </c>
      <c r="F28" s="35" t="n">
        <f aca="false">IF(OR(A28="",D28&lt;=0),"",SUMPRODUCT((I_Stok_Awal!$C$6:$C$305=A28)*I_Stok_Awal!$D$6:$D$305*I_Stok_Awal!$F$6:$F$305)/D28)</f>
        <v>53.9</v>
      </c>
      <c r="G28" s="10" t="n">
        <f aca="false">IF(A28="","",SUMIFS(I_Stok_Awal!$G$6:$G$305,I_Stok_Awal!$C$6:$C$305,A28))</f>
        <v>1811.2</v>
      </c>
      <c r="H28" s="11" t="n">
        <f aca="false">IF($A28="","",D28+SUMIFS(T_Penerimaan!$I$6:$I$1005,T_Penerimaan!$H$6:$H$1005,$A28,T_Penerimaan!$A$6:$A$1005,H$4,T_Penerimaan!$M$6:$M$1005,1)-SUMIFS(T_Penjualan!$H$6:$H$1505,T_Penjualan!$G$6:$G$1505,$A28,T_Penjualan!$A$6:$A$1505,H$4,T_Penjualan!$P$6:$P$1505,1))</f>
        <v>1811.2</v>
      </c>
      <c r="I28" s="11" t="n">
        <f aca="false">IF($A28="","",H28+SUMIFS(T_Penerimaan!$I$6:$I$1005,T_Penerimaan!$H$6:$H$1005,$A28,T_Penerimaan!$A$6:$A$1005,I$4,T_Penerimaan!$M$6:$M$1005,1)-SUMIFS(T_Penjualan!$H$6:$H$1505,T_Penjualan!$G$6:$G$1505,$A28,T_Penjualan!$A$6:$A$1505,I$4,T_Penjualan!$P$6:$P$1505,1))</f>
        <v>1811.2</v>
      </c>
      <c r="J28" s="11" t="n">
        <f aca="false">IF($A28="","",I28+SUMIFS(T_Penerimaan!$I$6:$I$1005,T_Penerimaan!$H$6:$H$1005,$A28,T_Penerimaan!$A$6:$A$1005,J$4,T_Penerimaan!$M$6:$M$1005,1)-SUMIFS(T_Penjualan!$H$6:$H$1505,T_Penjualan!$G$6:$G$1505,$A28,T_Penjualan!$A$6:$A$1505,J$4,T_Penjualan!$P$6:$P$1505,1))</f>
        <v>1811.2</v>
      </c>
      <c r="K28" s="11" t="n">
        <f aca="false">IF($A28="","",J28+SUMIFS(T_Penerimaan!$I$6:$I$1005,T_Penerimaan!$H$6:$H$1005,$A28,T_Penerimaan!$A$6:$A$1005,K$4,T_Penerimaan!$M$6:$M$1005,1)-SUMIFS(T_Penjualan!$H$6:$H$1505,T_Penjualan!$G$6:$G$1505,$A28,T_Penjualan!$A$6:$A$1505,K$4,T_Penjualan!$P$6:$P$1505,1))</f>
        <v>1811.2</v>
      </c>
      <c r="L28" s="11" t="n">
        <f aca="false">IF($A28="","",K28+SUMIFS(T_Penerimaan!$I$6:$I$1005,T_Penerimaan!$H$6:$H$1005,$A28,T_Penerimaan!$A$6:$A$1005,L$4,T_Penerimaan!$M$6:$M$1005,1)-SUMIFS(T_Penjualan!$H$6:$H$1505,T_Penjualan!$G$6:$G$1505,$A28,T_Penjualan!$A$6:$A$1505,L$4,T_Penjualan!$P$6:$P$1505,1))</f>
        <v>1811.2</v>
      </c>
      <c r="M28" s="11" t="n">
        <f aca="false">IF($A28="","",L28+SUMIFS(T_Penerimaan!$I$6:$I$1005,T_Penerimaan!$H$6:$H$1005,$A28,T_Penerimaan!$A$6:$A$1005,M$4,T_Penerimaan!$M$6:$M$1005,1)-SUMIFS(T_Penjualan!$H$6:$H$1505,T_Penjualan!$G$6:$G$1505,$A28,T_Penjualan!$A$6:$A$1505,M$4,T_Penjualan!$P$6:$P$1505,1))</f>
        <v>1811.2</v>
      </c>
      <c r="N28" s="11" t="n">
        <f aca="false">IF($A28="","",M28+SUMIFS(T_Penerimaan!$I$6:$I$1005,T_Penerimaan!$H$6:$H$1005,$A28,T_Penerimaan!$A$6:$A$1005,N$4,T_Penerimaan!$M$6:$M$1005,1)-SUMIFS(T_Penjualan!$H$6:$H$1505,T_Penjualan!$G$6:$G$1505,$A28,T_Penjualan!$A$6:$A$1505,N$4,T_Penjualan!$P$6:$P$1505,1))</f>
        <v>1811.2</v>
      </c>
      <c r="O28" s="11" t="n">
        <f aca="false">IF(A28="","",SUMIFS(T_Penerimaan!$I$6:$I$1005,T_Penerimaan!$H$6:$H$1005,A28,T_Penerimaan!$M$6:$M$1005,1))</f>
        <v>0</v>
      </c>
      <c r="P28" s="11" t="n">
        <f aca="false">IF(A28="","",SUMIFS(T_Penerimaan!$K$6:$K$1005,T_Penerimaan!$H$6:$H$1005,A28,T_Penerimaan!$M$6:$M$1005,1))</f>
        <v>0</v>
      </c>
      <c r="Q28" s="11" t="n">
        <f aca="false">IF(A28="","",IF(D28+O28&lt;=0,0,(E28+P28)/(D28+O28)))</f>
        <v>7797.3023409894</v>
      </c>
      <c r="R28" s="11" t="n">
        <f aca="false">IF(A28="","",SUMIFS(T_Penjualan!$H$6:$H$1505,T_Penjualan!$G$6:$G$1505,A28,T_Penjualan!$P$6:$P$1505,1))</f>
        <v>0</v>
      </c>
      <c r="S28" s="12" t="n">
        <f aca="false">IF(A28="","",IF(I_Parameter!$C$4&lt;=I_Parameter!$C$5,D28,IF(I_Parameter!$C$4&gt;I_Parameter!$C$6,N28,INDEX(H28:N28,I_Parameter!$C$4-I_Parameter!$C$5))))</f>
        <v>1811.2</v>
      </c>
      <c r="T28" s="11" t="n">
        <f aca="false">IF(A28="","",SUMIFS(T_Penjualan!$H$6:$H$1505,T_Penjualan!$G$6:$G$1505,A28,T_Penjualan!$B$6:$B$1505,"Order",T_Penjualan!$A$6:$A$1505,"&gt;="&amp;I_Parameter!$C$4,T_Penjualan!$A$6:$A$1505,"&lt;="&amp;I_Parameter!$C$6))</f>
        <v>0</v>
      </c>
      <c r="U28" s="11" t="n">
        <f aca="false">IF(A28="","",S28-T28)</f>
        <v>1811.2</v>
      </c>
      <c r="V28" s="11" t="n">
        <f aca="false">IF(A28="","",MIN(H28:N28))</f>
        <v>1811.2</v>
      </c>
      <c r="W28" s="10" t="n">
        <f aca="false">IF(A28="","",INDEX(I_Master!$F$6:$F$85,MATCH(A28,I_Master!$A$6:$A$85,0)))</f>
        <v>5000</v>
      </c>
      <c r="X28" s="11" t="n">
        <f aca="false">IF(OR(A28="",W28=""),"",W28-Q28)</f>
        <v>-2797.3023409894</v>
      </c>
      <c r="Y28" s="11" t="n">
        <f aca="false">IF(A28="","",S28*Q28)</f>
        <v>14122474</v>
      </c>
      <c r="Z28" s="9" t="str">
        <f aca="false">IF(A28="","",IF(V28&lt;-0.5,"KURANG: stok minus "&amp;ROUND(-V28,0)&amp;" kg — beli/potong atau geser order",IF(AND(S28&gt;0.5,T28&lt;=0,G28&gt;0.5),"JUAL: "&amp;ROUND(S28,0)&amp;" kg tanpa order, sebagian &gt; batas umur",IF(AND(S28&gt;0.5,T28&lt;=0),"JUAL: "&amp;ROUND(S28,0)&amp;" kg tanpa order minggu ini",IF(G28&gt;0.5,"PERHATIAN: "&amp;ROUND(G28,0)&amp;" kg di atas batas umur",IF(AND(X28&lt;&gt;"",X28&lt;0,T28&gt;0),"Order di bawah biaya rata-rata — cek harga","-"))))))</f>
        <v>JUAL: 1811 kg tanpa order, sebagian &gt; batas umur</v>
      </c>
    </row>
    <row r="29" customFormat="false" ht="15" hidden="false" customHeight="false" outlineLevel="0" collapsed="false">
      <c r="A29" s="34" t="str">
        <f aca="false">I_Master!A29</f>
        <v>RPA|Lemak|Fresh</v>
      </c>
      <c r="B29" s="34" t="str">
        <f aca="false">IF(A29="","",INDEX(I_Master!$E$6:$E$85,MATCH(A29,I_Master!$A$6:$A$85,0)))</f>
        <v>By-product</v>
      </c>
      <c r="C29" s="34" t="str">
        <f aca="false">IF(A29="","",INDEX(I_Master!$B$6:$B$85,MATCH(A29,I_Master!$A$6:$A$85,0)))</f>
        <v>RPA</v>
      </c>
      <c r="D29" s="10" t="n">
        <f aca="false">IF(A29="","",SUMIFS(I_Stok_Awal!$D$6:$D$305,I_Stok_Awal!$C$6:$C$305,A29))</f>
        <v>225.9</v>
      </c>
      <c r="E29" s="10" t="n">
        <f aca="false">IF(A29="","",SUMIFS(I_Stok_Awal!$E$6:$E$305,I_Stok_Awal!$C$6:$C$305,A29))</f>
        <v>2343684</v>
      </c>
      <c r="F29" s="35" t="n">
        <f aca="false">IF(OR(A29="",D29&lt;=0),"",SUMPRODUCT((I_Stok_Awal!$C$6:$C$305=A29)*I_Stok_Awal!$D$6:$D$305*I_Stok_Awal!$F$6:$F$305)/D29)</f>
        <v>42.7</v>
      </c>
      <c r="G29" s="10" t="n">
        <f aca="false">IF(A29="","",SUMIFS(I_Stok_Awal!$G$6:$G$305,I_Stok_Awal!$C$6:$C$305,A29))</f>
        <v>161.5</v>
      </c>
      <c r="H29" s="11" t="n">
        <f aca="false">IF($A29="","",D29+SUMIFS(T_Penerimaan!$I$6:$I$1005,T_Penerimaan!$H$6:$H$1005,$A29,T_Penerimaan!$A$6:$A$1005,H$4,T_Penerimaan!$M$6:$M$1005,1)-SUMIFS(T_Penjualan!$H$6:$H$1505,T_Penjualan!$G$6:$G$1505,$A29,T_Penjualan!$A$6:$A$1505,H$4,T_Penjualan!$P$6:$P$1505,1))</f>
        <v>225.9</v>
      </c>
      <c r="I29" s="11" t="n">
        <f aca="false">IF($A29="","",H29+SUMIFS(T_Penerimaan!$I$6:$I$1005,T_Penerimaan!$H$6:$H$1005,$A29,T_Penerimaan!$A$6:$A$1005,I$4,T_Penerimaan!$M$6:$M$1005,1)-SUMIFS(T_Penjualan!$H$6:$H$1505,T_Penjualan!$G$6:$G$1505,$A29,T_Penjualan!$A$6:$A$1505,I$4,T_Penjualan!$P$6:$P$1505,1))</f>
        <v>225.9</v>
      </c>
      <c r="J29" s="11" t="n">
        <f aca="false">IF($A29="","",I29+SUMIFS(T_Penerimaan!$I$6:$I$1005,T_Penerimaan!$H$6:$H$1005,$A29,T_Penerimaan!$A$6:$A$1005,J$4,T_Penerimaan!$M$6:$M$1005,1)-SUMIFS(T_Penjualan!$H$6:$H$1505,T_Penjualan!$G$6:$G$1505,$A29,T_Penjualan!$A$6:$A$1505,J$4,T_Penjualan!$P$6:$P$1505,1))</f>
        <v>225.9</v>
      </c>
      <c r="K29" s="11" t="n">
        <f aca="false">IF($A29="","",J29+SUMIFS(T_Penerimaan!$I$6:$I$1005,T_Penerimaan!$H$6:$H$1005,$A29,T_Penerimaan!$A$6:$A$1005,K$4,T_Penerimaan!$M$6:$M$1005,1)-SUMIFS(T_Penjualan!$H$6:$H$1505,T_Penjualan!$G$6:$G$1505,$A29,T_Penjualan!$A$6:$A$1505,K$4,T_Penjualan!$P$6:$P$1505,1))</f>
        <v>225.9</v>
      </c>
      <c r="L29" s="11" t="n">
        <f aca="false">IF($A29="","",K29+SUMIFS(T_Penerimaan!$I$6:$I$1005,T_Penerimaan!$H$6:$H$1005,$A29,T_Penerimaan!$A$6:$A$1005,L$4,T_Penerimaan!$M$6:$M$1005,1)-SUMIFS(T_Penjualan!$H$6:$H$1505,T_Penjualan!$G$6:$G$1505,$A29,T_Penjualan!$A$6:$A$1505,L$4,T_Penjualan!$P$6:$P$1505,1))</f>
        <v>225.9</v>
      </c>
      <c r="M29" s="11" t="n">
        <f aca="false">IF($A29="","",L29+SUMIFS(T_Penerimaan!$I$6:$I$1005,T_Penerimaan!$H$6:$H$1005,$A29,T_Penerimaan!$A$6:$A$1005,M$4,T_Penerimaan!$M$6:$M$1005,1)-SUMIFS(T_Penjualan!$H$6:$H$1505,T_Penjualan!$G$6:$G$1505,$A29,T_Penjualan!$A$6:$A$1505,M$4,T_Penjualan!$P$6:$P$1505,1))</f>
        <v>225.9</v>
      </c>
      <c r="N29" s="11" t="n">
        <f aca="false">IF($A29="","",M29+SUMIFS(T_Penerimaan!$I$6:$I$1005,T_Penerimaan!$H$6:$H$1005,$A29,T_Penerimaan!$A$6:$A$1005,N$4,T_Penerimaan!$M$6:$M$1005,1)-SUMIFS(T_Penjualan!$H$6:$H$1505,T_Penjualan!$G$6:$G$1505,$A29,T_Penjualan!$A$6:$A$1505,N$4,T_Penjualan!$P$6:$P$1505,1))</f>
        <v>225.9</v>
      </c>
      <c r="O29" s="11" t="n">
        <f aca="false">IF(A29="","",SUMIFS(T_Penerimaan!$I$6:$I$1005,T_Penerimaan!$H$6:$H$1005,A29,T_Penerimaan!$M$6:$M$1005,1))</f>
        <v>0</v>
      </c>
      <c r="P29" s="11" t="n">
        <f aca="false">IF(A29="","",SUMIFS(T_Penerimaan!$K$6:$K$1005,T_Penerimaan!$H$6:$H$1005,A29,T_Penerimaan!$M$6:$M$1005,1))</f>
        <v>0</v>
      </c>
      <c r="Q29" s="11" t="n">
        <f aca="false">IF(A29="","",IF(D29+O29&lt;=0,0,(E29+P29)/(D29+O29)))</f>
        <v>10374.8738379814</v>
      </c>
      <c r="R29" s="11" t="n">
        <f aca="false">IF(A29="","",SUMIFS(T_Penjualan!$H$6:$H$1505,T_Penjualan!$G$6:$G$1505,A29,T_Penjualan!$P$6:$P$1505,1))</f>
        <v>0</v>
      </c>
      <c r="S29" s="12" t="n">
        <f aca="false">IF(A29="","",IF(I_Parameter!$C$4&lt;=I_Parameter!$C$5,D29,IF(I_Parameter!$C$4&gt;I_Parameter!$C$6,N29,INDEX(H29:N29,I_Parameter!$C$4-I_Parameter!$C$5))))</f>
        <v>225.9</v>
      </c>
      <c r="T29" s="11" t="n">
        <f aca="false">IF(A29="","",SUMIFS(T_Penjualan!$H$6:$H$1505,T_Penjualan!$G$6:$G$1505,A29,T_Penjualan!$B$6:$B$1505,"Order",T_Penjualan!$A$6:$A$1505,"&gt;="&amp;I_Parameter!$C$4,T_Penjualan!$A$6:$A$1505,"&lt;="&amp;I_Parameter!$C$6))</f>
        <v>0</v>
      </c>
      <c r="U29" s="11" t="n">
        <f aca="false">IF(A29="","",S29-T29)</f>
        <v>225.9</v>
      </c>
      <c r="V29" s="11" t="n">
        <f aca="false">IF(A29="","",MIN(H29:N29))</f>
        <v>225.9</v>
      </c>
      <c r="W29" s="10" t="n">
        <f aca="false">IF(A29="","",INDEX(I_Master!$F$6:$F$85,MATCH(A29,I_Master!$A$6:$A$85,0)))</f>
        <v>0</v>
      </c>
      <c r="X29" s="11" t="str">
        <f aca="false">IF(OR(A29="",W29=""),"",W29-Q29)</f>
        <v/>
      </c>
      <c r="Y29" s="11" t="n">
        <f aca="false">IF(A29="","",S29*Q29)</f>
        <v>2343684</v>
      </c>
      <c r="Z29" s="9" t="str">
        <f aca="false">IF(A29="","",IF(V29&lt;-0.5,"KURANG: stok minus "&amp;ROUND(-V29,0)&amp;" kg — beli/potong atau geser order",IF(AND(S29&gt;0.5,T29&lt;=0,G29&gt;0.5),"JUAL: "&amp;ROUND(S29,0)&amp;" kg tanpa order, sebagian &gt; batas umur",IF(AND(S29&gt;0.5,T29&lt;=0),"JUAL: "&amp;ROUND(S29,0)&amp;" kg tanpa order minggu ini",IF(G29&gt;0.5,"PERHATIAN: "&amp;ROUND(G29,0)&amp;" kg di atas batas umur",IF(AND(X29&lt;&gt;"",X29&lt;0,T29&gt;0),"Order di bawah biaya rata-rata — cek harga","-"))))))</f>
        <v>JUAL: 226 kg tanpa order, sebagian &gt; batas umur</v>
      </c>
    </row>
    <row r="30" customFormat="false" ht="15" hidden="false" customHeight="false" outlineLevel="0" collapsed="false">
      <c r="A30" s="34" t="str">
        <f aca="false">I_Master!A30</f>
        <v>RPA|Lemak|Frozen</v>
      </c>
      <c r="B30" s="34" t="str">
        <f aca="false">IF(A30="","",INDEX(I_Master!$E$6:$E$85,MATCH(A30,I_Master!$A$6:$A$85,0)))</f>
        <v>By-product</v>
      </c>
      <c r="C30" s="34" t="str">
        <f aca="false">IF(A30="","",INDEX(I_Master!$B$6:$B$85,MATCH(A30,I_Master!$A$6:$A$85,0)))</f>
        <v>RPA</v>
      </c>
      <c r="D30" s="10" t="n">
        <f aca="false">IF(A30="","",SUMIFS(I_Stok_Awal!$D$6:$D$305,I_Stok_Awal!$C$6:$C$305,A30))</f>
        <v>251.18</v>
      </c>
      <c r="E30" s="10" t="n">
        <f aca="false">IF(A30="","",SUMIFS(I_Stok_Awal!$E$6:$E$305,I_Stok_Awal!$C$6:$C$305,A30))</f>
        <v>6138943</v>
      </c>
      <c r="F30" s="35" t="n">
        <f aca="false">IF(OR(A30="",D30&lt;=0),"",SUMPRODUCT((I_Stok_Awal!$C$6:$C$305=A30)*I_Stok_Awal!$D$6:$D$305*I_Stok_Awal!$F$6:$F$305)/D30)</f>
        <v>22.1</v>
      </c>
      <c r="G30" s="10" t="n">
        <f aca="false">IF(A30="","",SUMIFS(I_Stok_Awal!$G$6:$G$305,I_Stok_Awal!$C$6:$C$305,A30))</f>
        <v>83.28</v>
      </c>
      <c r="H30" s="11" t="n">
        <f aca="false">IF($A30="","",D30+SUMIFS(T_Penerimaan!$I$6:$I$1005,T_Penerimaan!$H$6:$H$1005,$A30,T_Penerimaan!$A$6:$A$1005,H$4,T_Penerimaan!$M$6:$M$1005,1)-SUMIFS(T_Penjualan!$H$6:$H$1505,T_Penjualan!$G$6:$G$1505,$A30,T_Penjualan!$A$6:$A$1505,H$4,T_Penjualan!$P$6:$P$1505,1))</f>
        <v>251.18</v>
      </c>
      <c r="I30" s="11" t="n">
        <f aca="false">IF($A30="","",H30+SUMIFS(T_Penerimaan!$I$6:$I$1005,T_Penerimaan!$H$6:$H$1005,$A30,T_Penerimaan!$A$6:$A$1005,I$4,T_Penerimaan!$M$6:$M$1005,1)-SUMIFS(T_Penjualan!$H$6:$H$1505,T_Penjualan!$G$6:$G$1505,$A30,T_Penjualan!$A$6:$A$1505,I$4,T_Penjualan!$P$6:$P$1505,1))</f>
        <v>294.48</v>
      </c>
      <c r="J30" s="11" t="n">
        <f aca="false">IF($A30="","",I30+SUMIFS(T_Penerimaan!$I$6:$I$1005,T_Penerimaan!$H$6:$H$1005,$A30,T_Penerimaan!$A$6:$A$1005,J$4,T_Penerimaan!$M$6:$M$1005,1)-SUMIFS(T_Penjualan!$H$6:$H$1505,T_Penjualan!$G$6:$G$1505,$A30,T_Penjualan!$A$6:$A$1505,J$4,T_Penjualan!$P$6:$P$1505,1))</f>
        <v>323.28</v>
      </c>
      <c r="K30" s="11" t="n">
        <f aca="false">IF($A30="","",J30+SUMIFS(T_Penerimaan!$I$6:$I$1005,T_Penerimaan!$H$6:$H$1005,$A30,T_Penerimaan!$A$6:$A$1005,K$4,T_Penerimaan!$M$6:$M$1005,1)-SUMIFS(T_Penjualan!$H$6:$H$1505,T_Penjualan!$G$6:$G$1505,$A30,T_Penjualan!$A$6:$A$1505,K$4,T_Penjualan!$P$6:$P$1505,1))</f>
        <v>341.18</v>
      </c>
      <c r="L30" s="11" t="n">
        <f aca="false">IF($A30="","",K30+SUMIFS(T_Penerimaan!$I$6:$I$1005,T_Penerimaan!$H$6:$H$1005,$A30,T_Penerimaan!$A$6:$A$1005,L$4,T_Penerimaan!$M$6:$M$1005,1)-SUMIFS(T_Penjualan!$H$6:$H$1505,T_Penjualan!$G$6:$G$1505,$A30,T_Penjualan!$A$6:$A$1505,L$4,T_Penjualan!$P$6:$P$1505,1))</f>
        <v>407.78</v>
      </c>
      <c r="M30" s="11" t="n">
        <f aca="false">IF($A30="","",L30+SUMIFS(T_Penerimaan!$I$6:$I$1005,T_Penerimaan!$H$6:$H$1005,$A30,T_Penerimaan!$A$6:$A$1005,M$4,T_Penerimaan!$M$6:$M$1005,1)-SUMIFS(T_Penjualan!$H$6:$H$1505,T_Penjualan!$G$6:$G$1505,$A30,T_Penjualan!$A$6:$A$1505,M$4,T_Penjualan!$P$6:$P$1505,1))</f>
        <v>407.78</v>
      </c>
      <c r="N30" s="11" t="n">
        <f aca="false">IF($A30="","",M30+SUMIFS(T_Penerimaan!$I$6:$I$1005,T_Penerimaan!$H$6:$H$1005,$A30,T_Penerimaan!$A$6:$A$1005,N$4,T_Penerimaan!$M$6:$M$1005,1)-SUMIFS(T_Penjualan!$H$6:$H$1505,T_Penjualan!$G$6:$G$1505,$A30,T_Penjualan!$A$6:$A$1505,N$4,T_Penjualan!$P$6:$P$1505,1))</f>
        <v>407.78</v>
      </c>
      <c r="O30" s="11" t="n">
        <f aca="false">IF(A30="","",SUMIFS(T_Penerimaan!$I$6:$I$1005,T_Penerimaan!$H$6:$H$1005,A30,T_Penerimaan!$M$6:$M$1005,1))</f>
        <v>156.6</v>
      </c>
      <c r="P30" s="11" t="n">
        <f aca="false">IF(A30="","",SUMIFS(T_Penerimaan!$K$6:$K$1005,T_Penerimaan!$H$6:$H$1005,A30,T_Penerimaan!$M$6:$M$1005,1))</f>
        <v>4250415.756</v>
      </c>
      <c r="Q30" s="11" t="n">
        <f aca="false">IF(A30="","",IF(D30+O30&lt;=0,0,(E30+P30)/(D30+O30)))</f>
        <v>25477.8526558438</v>
      </c>
      <c r="R30" s="11" t="n">
        <f aca="false">IF(A30="","",SUMIFS(T_Penjualan!$H$6:$H$1505,T_Penjualan!$G$6:$G$1505,A30,T_Penjualan!$P$6:$P$1505,1))</f>
        <v>0</v>
      </c>
      <c r="S30" s="12" t="n">
        <f aca="false">IF(A30="","",IF(I_Parameter!$C$4&lt;=I_Parameter!$C$5,D30,IF(I_Parameter!$C$4&gt;I_Parameter!$C$6,N30,INDEX(H30:N30,I_Parameter!$C$4-I_Parameter!$C$5))))</f>
        <v>323.28</v>
      </c>
      <c r="T30" s="11" t="n">
        <f aca="false">IF(A30="","",SUMIFS(T_Penjualan!$H$6:$H$1505,T_Penjualan!$G$6:$G$1505,A30,T_Penjualan!$B$6:$B$1505,"Order",T_Penjualan!$A$6:$A$1505,"&gt;="&amp;I_Parameter!$C$4,T_Penjualan!$A$6:$A$1505,"&lt;="&amp;I_Parameter!$C$6))</f>
        <v>0</v>
      </c>
      <c r="U30" s="11" t="n">
        <f aca="false">IF(A30="","",S30-T30)</f>
        <v>323.28</v>
      </c>
      <c r="V30" s="11" t="n">
        <f aca="false">IF(A30="","",MIN(H30:N30))</f>
        <v>251.18</v>
      </c>
      <c r="W30" s="10" t="n">
        <f aca="false">IF(A30="","",INDEX(I_Master!$F$6:$F$85,MATCH(A30,I_Master!$A$6:$A$85,0)))</f>
        <v>24000</v>
      </c>
      <c r="X30" s="11" t="n">
        <f aca="false">IF(OR(A30="",W30=""),"",W30-Q30)</f>
        <v>-1477.85265584384</v>
      </c>
      <c r="Y30" s="11" t="n">
        <f aca="false">IF(A30="","",S30*Q30)</f>
        <v>8236480.2065812</v>
      </c>
      <c r="Z30" s="9" t="str">
        <f aca="false">IF(A30="","",IF(V30&lt;-0.5,"KURANG: stok minus "&amp;ROUND(-V30,0)&amp;" kg — beli/potong atau geser order",IF(AND(S30&gt;0.5,T30&lt;=0,G30&gt;0.5),"JUAL: "&amp;ROUND(S30,0)&amp;" kg tanpa order, sebagian &gt; batas umur",IF(AND(S30&gt;0.5,T30&lt;=0),"JUAL: "&amp;ROUND(S30,0)&amp;" kg tanpa order minggu ini",IF(G30&gt;0.5,"PERHATIAN: "&amp;ROUND(G30,0)&amp;" kg di atas batas umur",IF(AND(X30&lt;&gt;"",X30&lt;0,T30&gt;0),"Order di bawah biaya rata-rata — cek harga","-"))))))</f>
        <v>JUAL: 323 kg tanpa order, sebagian &gt; batas umur</v>
      </c>
    </row>
    <row r="31" customFormat="false" ht="15" hidden="false" customHeight="false" outlineLevel="0" collapsed="false">
      <c r="A31" s="34" t="str">
        <f aca="false">I_Master!A31</f>
        <v>RPA|Usus|Fresh</v>
      </c>
      <c r="B31" s="34" t="str">
        <f aca="false">IF(A31="","",INDEX(I_Master!$E$6:$E$85,MATCH(A31,I_Master!$A$6:$A$85,0)))</f>
        <v>By-product</v>
      </c>
      <c r="C31" s="34" t="str">
        <f aca="false">IF(A31="","",INDEX(I_Master!$B$6:$B$85,MATCH(A31,I_Master!$A$6:$A$85,0)))</f>
        <v>RPA</v>
      </c>
      <c r="D31" s="10" t="n">
        <f aca="false">IF(A31="","",SUMIFS(I_Stok_Awal!$D$6:$D$305,I_Stok_Awal!$C$6:$C$305,A31))</f>
        <v>4915.18</v>
      </c>
      <c r="E31" s="10" t="n">
        <f aca="false">IF(A31="","",SUMIFS(I_Stok_Awal!$E$6:$E$305,I_Stok_Awal!$C$6:$C$305,A31))</f>
        <v>12347050</v>
      </c>
      <c r="F31" s="35" t="n">
        <f aca="false">IF(OR(A31="",D31&lt;=0),"",SUMPRODUCT((I_Stok_Awal!$C$6:$C$305=A31)*I_Stok_Awal!$D$6:$D$305*I_Stok_Awal!$F$6:$F$305)/D31)</f>
        <v>27.2</v>
      </c>
      <c r="G31" s="10" t="n">
        <f aca="false">IF(A31="","",SUMIFS(I_Stok_Awal!$G$6:$G$305,I_Stok_Awal!$C$6:$C$305,A31))</f>
        <v>2024.18</v>
      </c>
      <c r="H31" s="11" t="n">
        <f aca="false">IF($A31="","",D31+SUMIFS(T_Penerimaan!$I$6:$I$1005,T_Penerimaan!$H$6:$H$1005,$A31,T_Penerimaan!$A$6:$A$1005,H$4,T_Penerimaan!$M$6:$M$1005,1)-SUMIFS(T_Penjualan!$H$6:$H$1505,T_Penjualan!$G$6:$G$1505,$A31,T_Penjualan!$A$6:$A$1505,H$4,T_Penjualan!$P$6:$P$1505,1))</f>
        <v>4915.18</v>
      </c>
      <c r="I31" s="11" t="n">
        <f aca="false">IF($A31="","",H31+SUMIFS(T_Penerimaan!$I$6:$I$1005,T_Penerimaan!$H$6:$H$1005,$A31,T_Penerimaan!$A$6:$A$1005,I$4,T_Penerimaan!$M$6:$M$1005,1)-SUMIFS(T_Penjualan!$H$6:$H$1505,T_Penjualan!$G$6:$G$1505,$A31,T_Penjualan!$A$6:$A$1505,I$4,T_Penjualan!$P$6:$P$1505,1))</f>
        <v>5416.28</v>
      </c>
      <c r="J31" s="11" t="n">
        <f aca="false">IF($A31="","",I31+SUMIFS(T_Penerimaan!$I$6:$I$1005,T_Penerimaan!$H$6:$H$1005,$A31,T_Penerimaan!$A$6:$A$1005,J$4,T_Penerimaan!$M$6:$M$1005,1)-SUMIFS(T_Penjualan!$H$6:$H$1505,T_Penjualan!$G$6:$G$1505,$A31,T_Penjualan!$A$6:$A$1505,J$4,T_Penjualan!$P$6:$P$1505,1))</f>
        <v>5430.08</v>
      </c>
      <c r="K31" s="11" t="n">
        <f aca="false">IF($A31="","",J31+SUMIFS(T_Penerimaan!$I$6:$I$1005,T_Penerimaan!$H$6:$H$1005,$A31,T_Penerimaan!$A$6:$A$1005,K$4,T_Penerimaan!$M$6:$M$1005,1)-SUMIFS(T_Penjualan!$H$6:$H$1505,T_Penjualan!$G$6:$G$1505,$A31,T_Penjualan!$A$6:$A$1505,K$4,T_Penjualan!$P$6:$P$1505,1))</f>
        <v>5947.48</v>
      </c>
      <c r="L31" s="11" t="n">
        <f aca="false">IF($A31="","",K31+SUMIFS(T_Penerimaan!$I$6:$I$1005,T_Penerimaan!$H$6:$H$1005,$A31,T_Penerimaan!$A$6:$A$1005,L$4,T_Penerimaan!$M$6:$M$1005,1)-SUMIFS(T_Penjualan!$H$6:$H$1505,T_Penjualan!$G$6:$G$1505,$A31,T_Penjualan!$A$6:$A$1505,L$4,T_Penjualan!$P$6:$P$1505,1))</f>
        <v>6588.08</v>
      </c>
      <c r="M31" s="11" t="n">
        <f aca="false">IF($A31="","",L31+SUMIFS(T_Penerimaan!$I$6:$I$1005,T_Penerimaan!$H$6:$H$1005,$A31,T_Penerimaan!$A$6:$A$1005,M$4,T_Penerimaan!$M$6:$M$1005,1)-SUMIFS(T_Penjualan!$H$6:$H$1505,T_Penjualan!$G$6:$G$1505,$A31,T_Penjualan!$A$6:$A$1505,M$4,T_Penjualan!$P$6:$P$1505,1))</f>
        <v>4915.18</v>
      </c>
      <c r="N31" s="11" t="n">
        <f aca="false">IF($A31="","",M31+SUMIFS(T_Penerimaan!$I$6:$I$1005,T_Penerimaan!$H$6:$H$1005,$A31,T_Penerimaan!$A$6:$A$1005,N$4,T_Penerimaan!$M$6:$M$1005,1)-SUMIFS(T_Penjualan!$H$6:$H$1505,T_Penjualan!$G$6:$G$1505,$A31,T_Penjualan!$A$6:$A$1505,N$4,T_Penjualan!$P$6:$P$1505,1))</f>
        <v>4915.18</v>
      </c>
      <c r="O31" s="11" t="n">
        <f aca="false">IF(A31="","",SUMIFS(T_Penerimaan!$I$6:$I$1005,T_Penerimaan!$H$6:$H$1005,A31,T_Penerimaan!$M$6:$M$1005,1))</f>
        <v>2174</v>
      </c>
      <c r="P31" s="11" t="n">
        <f aca="false">IF(A31="","",SUMIFS(T_Penerimaan!$K$6:$K$1005,T_Penerimaan!$H$6:$H$1005,A31,T_Penerimaan!$M$6:$M$1005,1))</f>
        <v>12292844.028</v>
      </c>
      <c r="Q31" s="11" t="n">
        <f aca="false">IF(A31="","",IF(D31+O31&lt;=0,0,(E31+P31)/(D31+O31)))</f>
        <v>3475.7043872493</v>
      </c>
      <c r="R31" s="11" t="n">
        <f aca="false">IF(A31="","",SUMIFS(T_Penjualan!$H$6:$H$1505,T_Penjualan!$G$6:$G$1505,A31,T_Penjualan!$P$6:$P$1505,1))</f>
        <v>2174</v>
      </c>
      <c r="S31" s="12" t="n">
        <f aca="false">IF(A31="","",IF(I_Parameter!$C$4&lt;=I_Parameter!$C$5,D31,IF(I_Parameter!$C$4&gt;I_Parameter!$C$6,N31,INDEX(H31:N31,I_Parameter!$C$4-I_Parameter!$C$5))))</f>
        <v>5430.08</v>
      </c>
      <c r="T31" s="11" t="n">
        <f aca="false">IF(A31="","",SUMIFS(T_Penjualan!$H$6:$H$1505,T_Penjualan!$G$6:$G$1505,A31,T_Penjualan!$B$6:$B$1505,"Order",T_Penjualan!$A$6:$A$1505,"&gt;="&amp;I_Parameter!$C$4,T_Penjualan!$A$6:$A$1505,"&lt;="&amp;I_Parameter!$C$6))</f>
        <v>1672.9</v>
      </c>
      <c r="U31" s="11" t="n">
        <f aca="false">IF(A31="","",S31-T31)</f>
        <v>3757.18</v>
      </c>
      <c r="V31" s="11" t="n">
        <f aca="false">IF(A31="","",MIN(H31:N31))</f>
        <v>4915.18</v>
      </c>
      <c r="W31" s="10" t="n">
        <f aca="false">IF(A31="","",INDEX(I_Master!$F$6:$F$85,MATCH(A31,I_Master!$A$6:$A$85,0)))</f>
        <v>1500</v>
      </c>
      <c r="X31" s="11" t="n">
        <f aca="false">IF(OR(A31="",W31=""),"",W31-Q31)</f>
        <v>-1975.7043872493</v>
      </c>
      <c r="Y31" s="11" t="n">
        <f aca="false">IF(A31="","",S31*Q31)</f>
        <v>18873352.8791147</v>
      </c>
      <c r="Z31" s="9" t="str">
        <f aca="false">IF(A31="","",IF(V31&lt;-0.5,"KURANG: stok minus "&amp;ROUND(-V31,0)&amp;" kg — beli/potong atau geser order",IF(AND(S31&gt;0.5,T31&lt;=0,G31&gt;0.5),"JUAL: "&amp;ROUND(S31,0)&amp;" kg tanpa order, sebagian &gt; batas umur",IF(AND(S31&gt;0.5,T31&lt;=0),"JUAL: "&amp;ROUND(S31,0)&amp;" kg tanpa order minggu ini",IF(G31&gt;0.5,"PERHATIAN: "&amp;ROUND(G31,0)&amp;" kg di atas batas umur",IF(AND(X31&lt;&gt;"",X31&lt;0,T31&gt;0),"Order di bawah biaya rata-rata — cek harga","-"))))))</f>
        <v>PERHATIAN: 2024 kg di atas batas umur</v>
      </c>
    </row>
    <row r="32" customFormat="false" ht="15" hidden="false" customHeight="false" outlineLevel="0" collapsed="false">
      <c r="A32" s="34" t="str">
        <f aca="false">I_Master!A32</f>
        <v>RPA|Usus|Frozen</v>
      </c>
      <c r="B32" s="34" t="str">
        <f aca="false">IF(A32="","",INDEX(I_Master!$E$6:$E$85,MATCH(A32,I_Master!$A$6:$A$85,0)))</f>
        <v>By-product</v>
      </c>
      <c r="C32" s="34" t="str">
        <f aca="false">IF(A32="","",INDEX(I_Master!$B$6:$B$85,MATCH(A32,I_Master!$A$6:$A$85,0)))</f>
        <v>RPA</v>
      </c>
      <c r="D32" s="10" t="n">
        <f aca="false">IF(A32="","",SUMIFS(I_Stok_Awal!$D$6:$D$305,I_Stok_Awal!$C$6:$C$305,A32))</f>
        <v>63</v>
      </c>
      <c r="E32" s="10" t="n">
        <f aca="false">IF(A32="","",SUMIFS(I_Stok_Awal!$E$6:$E$305,I_Stok_Awal!$C$6:$C$305,A32))</f>
        <v>0</v>
      </c>
      <c r="F32" s="35" t="n">
        <f aca="false">IF(OR(A32="",D32&lt;=0),"",SUMPRODUCT((I_Stok_Awal!$C$6:$C$305=A32)*I_Stok_Awal!$D$6:$D$305*I_Stok_Awal!$F$6:$F$305)/D32)</f>
        <v>53</v>
      </c>
      <c r="G32" s="10" t="n">
        <f aca="false">IF(A32="","",SUMIFS(I_Stok_Awal!$G$6:$G$305,I_Stok_Awal!$C$6:$C$305,A32))</f>
        <v>63</v>
      </c>
      <c r="H32" s="11" t="n">
        <f aca="false">IF($A32="","",D32+SUMIFS(T_Penerimaan!$I$6:$I$1005,T_Penerimaan!$H$6:$H$1005,$A32,T_Penerimaan!$A$6:$A$1005,H$4,T_Penerimaan!$M$6:$M$1005,1)-SUMIFS(T_Penjualan!$H$6:$H$1505,T_Penjualan!$G$6:$G$1505,$A32,T_Penjualan!$A$6:$A$1505,H$4,T_Penjualan!$P$6:$P$1505,1))</f>
        <v>63</v>
      </c>
      <c r="I32" s="11" t="n">
        <f aca="false">IF($A32="","",H32+SUMIFS(T_Penerimaan!$I$6:$I$1005,T_Penerimaan!$H$6:$H$1005,$A32,T_Penerimaan!$A$6:$A$1005,I$4,T_Penerimaan!$M$6:$M$1005,1)-SUMIFS(T_Penjualan!$H$6:$H$1505,T_Penjualan!$G$6:$G$1505,$A32,T_Penjualan!$A$6:$A$1505,I$4,T_Penjualan!$P$6:$P$1505,1))</f>
        <v>63</v>
      </c>
      <c r="J32" s="11" t="n">
        <f aca="false">IF($A32="","",I32+SUMIFS(T_Penerimaan!$I$6:$I$1005,T_Penerimaan!$H$6:$H$1005,$A32,T_Penerimaan!$A$6:$A$1005,J$4,T_Penerimaan!$M$6:$M$1005,1)-SUMIFS(T_Penjualan!$H$6:$H$1505,T_Penjualan!$G$6:$G$1505,$A32,T_Penjualan!$A$6:$A$1505,J$4,T_Penjualan!$P$6:$P$1505,1))</f>
        <v>63</v>
      </c>
      <c r="K32" s="11" t="n">
        <f aca="false">IF($A32="","",J32+SUMIFS(T_Penerimaan!$I$6:$I$1005,T_Penerimaan!$H$6:$H$1005,$A32,T_Penerimaan!$A$6:$A$1005,K$4,T_Penerimaan!$M$6:$M$1005,1)-SUMIFS(T_Penjualan!$H$6:$H$1505,T_Penjualan!$G$6:$G$1505,$A32,T_Penjualan!$A$6:$A$1505,K$4,T_Penjualan!$P$6:$P$1505,1))</f>
        <v>63</v>
      </c>
      <c r="L32" s="11" t="n">
        <f aca="false">IF($A32="","",K32+SUMIFS(T_Penerimaan!$I$6:$I$1005,T_Penerimaan!$H$6:$H$1005,$A32,T_Penerimaan!$A$6:$A$1005,L$4,T_Penerimaan!$M$6:$M$1005,1)-SUMIFS(T_Penjualan!$H$6:$H$1505,T_Penjualan!$G$6:$G$1505,$A32,T_Penjualan!$A$6:$A$1505,L$4,T_Penjualan!$P$6:$P$1505,1))</f>
        <v>63</v>
      </c>
      <c r="M32" s="11" t="n">
        <f aca="false">IF($A32="","",L32+SUMIFS(T_Penerimaan!$I$6:$I$1005,T_Penerimaan!$H$6:$H$1005,$A32,T_Penerimaan!$A$6:$A$1005,M$4,T_Penerimaan!$M$6:$M$1005,1)-SUMIFS(T_Penjualan!$H$6:$H$1505,T_Penjualan!$G$6:$G$1505,$A32,T_Penjualan!$A$6:$A$1505,M$4,T_Penjualan!$P$6:$P$1505,1))</f>
        <v>63</v>
      </c>
      <c r="N32" s="11" t="n">
        <f aca="false">IF($A32="","",M32+SUMIFS(T_Penerimaan!$I$6:$I$1005,T_Penerimaan!$H$6:$H$1005,$A32,T_Penerimaan!$A$6:$A$1005,N$4,T_Penerimaan!$M$6:$M$1005,1)-SUMIFS(T_Penjualan!$H$6:$H$1505,T_Penjualan!$G$6:$G$1505,$A32,T_Penjualan!$A$6:$A$1505,N$4,T_Penjualan!$P$6:$P$1505,1))</f>
        <v>63</v>
      </c>
      <c r="O32" s="11" t="n">
        <f aca="false">IF(A32="","",SUMIFS(T_Penerimaan!$I$6:$I$1005,T_Penerimaan!$H$6:$H$1005,A32,T_Penerimaan!$M$6:$M$1005,1))</f>
        <v>0</v>
      </c>
      <c r="P32" s="11" t="n">
        <f aca="false">IF(A32="","",SUMIFS(T_Penerimaan!$K$6:$K$1005,T_Penerimaan!$H$6:$H$1005,A32,T_Penerimaan!$M$6:$M$1005,1))</f>
        <v>0</v>
      </c>
      <c r="Q32" s="11" t="n">
        <f aca="false">IF(A32="","",IF(D32+O32&lt;=0,0,(E32+P32)/(D32+O32)))</f>
        <v>0</v>
      </c>
      <c r="R32" s="11" t="n">
        <f aca="false">IF(A32="","",SUMIFS(T_Penjualan!$H$6:$H$1505,T_Penjualan!$G$6:$G$1505,A32,T_Penjualan!$P$6:$P$1505,1))</f>
        <v>0</v>
      </c>
      <c r="S32" s="12" t="n">
        <f aca="false">IF(A32="","",IF(I_Parameter!$C$4&lt;=I_Parameter!$C$5,D32,IF(I_Parameter!$C$4&gt;I_Parameter!$C$6,N32,INDEX(H32:N32,I_Parameter!$C$4-I_Parameter!$C$5))))</f>
        <v>63</v>
      </c>
      <c r="T32" s="11" t="n">
        <f aca="false">IF(A32="","",SUMIFS(T_Penjualan!$H$6:$H$1505,T_Penjualan!$G$6:$G$1505,A32,T_Penjualan!$B$6:$B$1505,"Order",T_Penjualan!$A$6:$A$1505,"&gt;="&amp;I_Parameter!$C$4,T_Penjualan!$A$6:$A$1505,"&lt;="&amp;I_Parameter!$C$6))</f>
        <v>0</v>
      </c>
      <c r="U32" s="11" t="n">
        <f aca="false">IF(A32="","",S32-T32)</f>
        <v>63</v>
      </c>
      <c r="V32" s="11" t="n">
        <f aca="false">IF(A32="","",MIN(H32:N32))</f>
        <v>63</v>
      </c>
      <c r="W32" s="10" t="n">
        <f aca="false">IF(A32="","",INDEX(I_Master!$F$6:$F$85,MATCH(A32,I_Master!$A$6:$A$85,0)))</f>
        <v>0</v>
      </c>
      <c r="X32" s="11" t="str">
        <f aca="false">IF(OR(A32="",W32=""),"",W32-Q32)</f>
        <v/>
      </c>
      <c r="Y32" s="11" t="n">
        <f aca="false">IF(A32="","",S32*Q32)</f>
        <v>0</v>
      </c>
      <c r="Z32" s="9" t="str">
        <f aca="false">IF(A32="","",IF(V32&lt;-0.5,"KURANG: stok minus "&amp;ROUND(-V32,0)&amp;" kg — beli/potong atau geser order",IF(AND(S32&gt;0.5,T32&lt;=0,G32&gt;0.5),"JUAL: "&amp;ROUND(S32,0)&amp;" kg tanpa order, sebagian &gt; batas umur",IF(AND(S32&gt;0.5,T32&lt;=0),"JUAL: "&amp;ROUND(S32,0)&amp;" kg tanpa order minggu ini",IF(G32&gt;0.5,"PERHATIAN: "&amp;ROUND(G32,0)&amp;" kg di atas batas umur",IF(AND(X32&lt;&gt;"",X32&lt;0,T32&gt;0),"Order di bawah biaya rata-rata — cek harga","-"))))))</f>
        <v>JUAL: 63 kg tanpa order, sebagian &gt; batas umur</v>
      </c>
    </row>
    <row r="33" customFormat="false" ht="15" hidden="false" customHeight="false" outlineLevel="0" collapsed="false">
      <c r="A33" s="34" t="str">
        <f aca="false">I_Master!A33</f>
        <v>RPA|Karkas|Fresh</v>
      </c>
      <c r="B33" s="34" t="str">
        <f aca="false">IF(A33="","",INDEX(I_Master!$E$6:$E$85,MATCH(A33,I_Master!$A$6:$A$85,0)))</f>
        <v>Karkas fresh</v>
      </c>
      <c r="C33" s="34" t="str">
        <f aca="false">IF(A33="","",INDEX(I_Master!$B$6:$B$85,MATCH(A33,I_Master!$A$6:$A$85,0)))</f>
        <v>RPA</v>
      </c>
      <c r="D33" s="10" t="n">
        <f aca="false">IF(A33="","",SUMIFS(I_Stok_Awal!$D$6:$D$305,I_Stok_Awal!$C$6:$C$305,A33))</f>
        <v>12669.36</v>
      </c>
      <c r="E33" s="10" t="n">
        <f aca="false">IF(A33="","",SUMIFS(I_Stok_Awal!$E$6:$E$305,I_Stok_Awal!$C$6:$C$305,A33))</f>
        <v>476459247</v>
      </c>
      <c r="F33" s="35" t="n">
        <f aca="false">IF(OR(A33="",D33&lt;=0),"",SUMPRODUCT((I_Stok_Awal!$C$6:$C$305=A33)*I_Stok_Awal!$D$6:$D$305*I_Stok_Awal!$F$6:$F$305)/D33)</f>
        <v>6.91442543269747</v>
      </c>
      <c r="G33" s="10" t="n">
        <f aca="false">IF(A33="","",SUMIFS(I_Stok_Awal!$G$6:$G$305,I_Stok_Awal!$C$6:$C$305,A33))</f>
        <v>0</v>
      </c>
      <c r="H33" s="11" t="n">
        <f aca="false">IF($A33="","",D33+SUMIFS(T_Penerimaan!$I$6:$I$1005,T_Penerimaan!$H$6:$H$1005,$A33,T_Penerimaan!$A$6:$A$1005,H$4,T_Penerimaan!$M$6:$M$1005,1)-SUMIFS(T_Penjualan!$H$6:$H$1505,T_Penjualan!$G$6:$G$1505,$A33,T_Penjualan!$A$6:$A$1505,H$4,T_Penjualan!$P$6:$P$1505,1))</f>
        <v>12669.36</v>
      </c>
      <c r="I33" s="11" t="n">
        <f aca="false">IF($A33="","",H33+SUMIFS(T_Penerimaan!$I$6:$I$1005,T_Penerimaan!$H$6:$H$1005,$A33,T_Penerimaan!$A$6:$A$1005,I$4,T_Penerimaan!$M$6:$M$1005,1)-SUMIFS(T_Penjualan!$H$6:$H$1505,T_Penjualan!$G$6:$G$1505,$A33,T_Penjualan!$A$6:$A$1505,I$4,T_Penjualan!$P$6:$P$1505,1))</f>
        <v>18855.66</v>
      </c>
      <c r="J33" s="11" t="n">
        <f aca="false">IF($A33="","",I33+SUMIFS(T_Penerimaan!$I$6:$I$1005,T_Penerimaan!$H$6:$H$1005,$A33,T_Penerimaan!$A$6:$A$1005,J$4,T_Penerimaan!$M$6:$M$1005,1)-SUMIFS(T_Penjualan!$H$6:$H$1505,T_Penjualan!$G$6:$G$1505,$A33,T_Penjualan!$A$6:$A$1505,J$4,T_Penjualan!$P$6:$P$1505,1))</f>
        <v>18768.21</v>
      </c>
      <c r="K33" s="11" t="n">
        <f aca="false">IF($A33="","",J33+SUMIFS(T_Penerimaan!$I$6:$I$1005,T_Penerimaan!$H$6:$H$1005,$A33,T_Penerimaan!$A$6:$A$1005,K$4,T_Penerimaan!$M$6:$M$1005,1)-SUMIFS(T_Penjualan!$H$6:$H$1505,T_Penjualan!$G$6:$G$1505,$A33,T_Penjualan!$A$6:$A$1505,K$4,T_Penjualan!$P$6:$P$1505,1))</f>
        <v>19738.81</v>
      </c>
      <c r="L33" s="11" t="n">
        <f aca="false">IF($A33="","",K33+SUMIFS(T_Penerimaan!$I$6:$I$1005,T_Penerimaan!$H$6:$H$1005,$A33,T_Penerimaan!$A$6:$A$1005,L$4,T_Penerimaan!$M$6:$M$1005,1)-SUMIFS(T_Penjualan!$H$6:$H$1505,T_Penjualan!$G$6:$G$1505,$A33,T_Penjualan!$A$6:$A$1505,L$4,T_Penjualan!$P$6:$P$1505,1))</f>
        <v>21018.02</v>
      </c>
      <c r="M33" s="11" t="n">
        <f aca="false">IF($A33="","",L33+SUMIFS(T_Penerimaan!$I$6:$I$1005,T_Penerimaan!$H$6:$H$1005,$A33,T_Penerimaan!$A$6:$A$1005,M$4,T_Penerimaan!$M$6:$M$1005,1)-SUMIFS(T_Penjualan!$H$6:$H$1505,T_Penjualan!$G$6:$G$1505,$A33,T_Penjualan!$A$6:$A$1505,M$4,T_Penjualan!$P$6:$P$1505,1))</f>
        <v>16563.96</v>
      </c>
      <c r="N33" s="11" t="n">
        <f aca="false">IF($A33="","",M33+SUMIFS(T_Penerimaan!$I$6:$I$1005,T_Penerimaan!$H$6:$H$1005,$A33,T_Penerimaan!$A$6:$A$1005,N$4,T_Penerimaan!$M$6:$M$1005,1)-SUMIFS(T_Penjualan!$H$6:$H$1505,T_Penjualan!$G$6:$G$1505,$A33,T_Penjualan!$A$6:$A$1505,N$4,T_Penjualan!$P$6:$P$1505,1))</f>
        <v>16563.96</v>
      </c>
      <c r="O33" s="11" t="n">
        <f aca="false">IF(A33="","",SUMIFS(T_Penerimaan!$I$6:$I$1005,T_Penerimaan!$H$6:$H$1005,A33,T_Penerimaan!$M$6:$M$1005,1))</f>
        <v>21293.9</v>
      </c>
      <c r="P33" s="11" t="n">
        <f aca="false">IF(A33="","",SUMIFS(T_Penerimaan!$K$6:$K$1005,T_Penerimaan!$H$6:$H$1005,A33,T_Penerimaan!$M$6:$M$1005,1))</f>
        <v>793760046.954</v>
      </c>
      <c r="Q33" s="11" t="n">
        <f aca="false">IF(A33="","",IF(D33+O33&lt;=0,0,(E33+P33)/(D33+O33)))</f>
        <v>37399.8047877029</v>
      </c>
      <c r="R33" s="11" t="n">
        <f aca="false">IF(A33="","",SUMIFS(T_Penjualan!$H$6:$H$1505,T_Penjualan!$G$6:$G$1505,A33,T_Penjualan!$P$6:$P$1505,1))</f>
        <v>17399.3</v>
      </c>
      <c r="S33" s="12" t="n">
        <f aca="false">IF(A33="","",IF(I_Parameter!$C$4&lt;=I_Parameter!$C$5,D33,IF(I_Parameter!$C$4&gt;I_Parameter!$C$6,N33,INDEX(H33:N33,I_Parameter!$C$4-I_Parameter!$C$5))))</f>
        <v>18768.21</v>
      </c>
      <c r="T33" s="11" t="n">
        <f aca="false">IF(A33="","",SUMIFS(T_Penjualan!$H$6:$H$1505,T_Penjualan!$G$6:$G$1505,A33,T_Penjualan!$B$6:$B$1505,"Order",T_Penjualan!$A$6:$A$1505,"&gt;="&amp;I_Parameter!$C$4,T_Penjualan!$A$6:$A$1505,"&lt;="&amp;I_Parameter!$C$6))</f>
        <v>12307.15</v>
      </c>
      <c r="U33" s="11" t="n">
        <f aca="false">IF(A33="","",S33-T33)</f>
        <v>6461.06</v>
      </c>
      <c r="V33" s="11" t="n">
        <f aca="false">IF(A33="","",MIN(H33:N33))</f>
        <v>12669.36</v>
      </c>
      <c r="W33" s="10" t="n">
        <f aca="false">IF(A33="","",INDEX(I_Master!$F$6:$F$85,MATCH(A33,I_Master!$A$6:$A$85,0)))</f>
        <v>36705</v>
      </c>
      <c r="X33" s="11" t="n">
        <f aca="false">IF(OR(A33="",W33=""),"",W33-Q33)</f>
        <v>-694.804787702946</v>
      </c>
      <c r="Y33" s="11" t="n">
        <f aca="false">IF(A33="","",S33*Q33)</f>
        <v>701927390.214614</v>
      </c>
      <c r="Z33" s="9" t="str">
        <f aca="false">IF(A33="","",IF(V33&lt;-0.5,"KURANG: stok minus "&amp;ROUND(-V33,0)&amp;" kg — beli/potong atau geser order",IF(AND(S33&gt;0.5,T33&lt;=0,G33&gt;0.5),"JUAL: "&amp;ROUND(S33,0)&amp;" kg tanpa order, sebagian &gt; batas umur",IF(AND(S33&gt;0.5,T33&lt;=0),"JUAL: "&amp;ROUND(S33,0)&amp;" kg tanpa order minggu ini",IF(G33&gt;0.5,"PERHATIAN: "&amp;ROUND(G33,0)&amp;" kg di atas batas umur",IF(AND(X33&lt;&gt;"",X33&lt;0,T33&gt;0),"Order di bawah biaya rata-rata — cek harga","-"))))))</f>
        <v>Order di bawah biaya rata-rata — cek harga</v>
      </c>
    </row>
    <row r="34" customFormat="false" ht="15" hidden="false" customHeight="false" outlineLevel="0" collapsed="false">
      <c r="A34" s="34" t="str">
        <f aca="false">I_Master!A34</f>
        <v>RPA|Karkas|Frozen</v>
      </c>
      <c r="B34" s="34" t="str">
        <f aca="false">IF(A34="","",INDEX(I_Master!$E$6:$E$85,MATCH(A34,I_Master!$A$6:$A$85,0)))</f>
        <v>Karkas frozen</v>
      </c>
      <c r="C34" s="34" t="str">
        <f aca="false">IF(A34="","",INDEX(I_Master!$B$6:$B$85,MATCH(A34,I_Master!$A$6:$A$85,0)))</f>
        <v>RPA</v>
      </c>
      <c r="D34" s="10" t="n">
        <f aca="false">IF(A34="","",SUMIFS(I_Stok_Awal!$D$6:$D$305,I_Stok_Awal!$C$6:$C$305,A34))</f>
        <v>21859.72</v>
      </c>
      <c r="E34" s="10" t="n">
        <f aca="false">IF(A34="","",SUMIFS(I_Stok_Awal!$E$6:$E$305,I_Stok_Awal!$C$6:$C$305,A34))</f>
        <v>746657333</v>
      </c>
      <c r="F34" s="35" t="n">
        <f aca="false">IF(OR(A34="",D34&lt;=0),"",SUMPRODUCT((I_Stok_Awal!$C$6:$C$305=A34)*I_Stok_Awal!$D$6:$D$305*I_Stok_Awal!$F$6:$F$305)/D34)</f>
        <v>18.734261600789</v>
      </c>
      <c r="G34" s="10" t="n">
        <f aca="false">IF(A34="","",SUMIFS(I_Stok_Awal!$G$6:$G$305,I_Stok_Awal!$C$6:$C$305,A34))</f>
        <v>5567.15</v>
      </c>
      <c r="H34" s="11" t="n">
        <f aca="false">IF($A34="","",D34+SUMIFS(T_Penerimaan!$I$6:$I$1005,T_Penerimaan!$H$6:$H$1005,$A34,T_Penerimaan!$A$6:$A$1005,H$4,T_Penerimaan!$M$6:$M$1005,1)-SUMIFS(T_Penjualan!$H$6:$H$1505,T_Penjualan!$G$6:$G$1505,$A34,T_Penjualan!$A$6:$A$1505,H$4,T_Penjualan!$P$6:$P$1505,1))</f>
        <v>20895.88</v>
      </c>
      <c r="I34" s="11" t="n">
        <f aca="false">IF($A34="","",H34+SUMIFS(T_Penerimaan!$I$6:$I$1005,T_Penerimaan!$H$6:$H$1005,$A34,T_Penerimaan!$A$6:$A$1005,I$4,T_Penerimaan!$M$6:$M$1005,1)-SUMIFS(T_Penjualan!$H$6:$H$1505,T_Penjualan!$G$6:$G$1505,$A34,T_Penjualan!$A$6:$A$1505,I$4,T_Penjualan!$P$6:$P$1505,1))</f>
        <v>23284.78</v>
      </c>
      <c r="J34" s="11" t="n">
        <f aca="false">IF($A34="","",I34+SUMIFS(T_Penerimaan!$I$6:$I$1005,T_Penerimaan!$H$6:$H$1005,$A34,T_Penerimaan!$A$6:$A$1005,J$4,T_Penerimaan!$M$6:$M$1005,1)-SUMIFS(T_Penjualan!$H$6:$H$1505,T_Penjualan!$G$6:$G$1505,$A34,T_Penjualan!$A$6:$A$1505,J$4,T_Penjualan!$P$6:$P$1505,1))</f>
        <v>26489.98</v>
      </c>
      <c r="K34" s="11" t="n">
        <f aca="false">IF($A34="","",J34+SUMIFS(T_Penerimaan!$I$6:$I$1005,T_Penerimaan!$H$6:$H$1005,$A34,T_Penerimaan!$A$6:$A$1005,K$4,T_Penerimaan!$M$6:$M$1005,1)-SUMIFS(T_Penjualan!$H$6:$H$1505,T_Penjualan!$G$6:$G$1505,$A34,T_Penjualan!$A$6:$A$1505,K$4,T_Penjualan!$P$6:$P$1505,1))</f>
        <v>26552.03</v>
      </c>
      <c r="L34" s="11" t="n">
        <f aca="false">IF($A34="","",K34+SUMIFS(T_Penerimaan!$I$6:$I$1005,T_Penerimaan!$H$6:$H$1005,$A34,T_Penerimaan!$A$6:$A$1005,L$4,T_Penerimaan!$M$6:$M$1005,1)-SUMIFS(T_Penjualan!$H$6:$H$1505,T_Penjualan!$G$6:$G$1505,$A34,T_Penjualan!$A$6:$A$1505,L$4,T_Penjualan!$P$6:$P$1505,1))</f>
        <v>32866.33</v>
      </c>
      <c r="M34" s="11" t="n">
        <f aca="false">IF($A34="","",L34+SUMIFS(T_Penerimaan!$I$6:$I$1005,T_Penerimaan!$H$6:$H$1005,$A34,T_Penerimaan!$A$6:$A$1005,M$4,T_Penerimaan!$M$6:$M$1005,1)-SUMIFS(T_Penjualan!$H$6:$H$1505,T_Penjualan!$G$6:$G$1505,$A34,T_Penjualan!$A$6:$A$1505,M$4,T_Penjualan!$P$6:$P$1505,1))</f>
        <v>31213.46</v>
      </c>
      <c r="N34" s="11" t="n">
        <f aca="false">IF($A34="","",M34+SUMIFS(T_Penerimaan!$I$6:$I$1005,T_Penerimaan!$H$6:$H$1005,$A34,T_Penerimaan!$A$6:$A$1005,N$4,T_Penerimaan!$M$6:$M$1005,1)-SUMIFS(T_Penjualan!$H$6:$H$1505,T_Penjualan!$G$6:$G$1505,$A34,T_Penjualan!$A$6:$A$1505,N$4,T_Penjualan!$P$6:$P$1505,1))</f>
        <v>31213.46</v>
      </c>
      <c r="O34" s="11" t="n">
        <f aca="false">IF(A34="","",SUMIFS(T_Penerimaan!$I$6:$I$1005,T_Penerimaan!$H$6:$H$1005,A34,T_Penerimaan!$M$6:$M$1005,1))</f>
        <v>14554.8</v>
      </c>
      <c r="P34" s="11" t="n">
        <f aca="false">IF(A34="","",SUMIFS(T_Penerimaan!$K$6:$K$1005,T_Penerimaan!$H$6:$H$1005,A34,T_Penerimaan!$M$6:$M$1005,1))</f>
        <v>533438274.058</v>
      </c>
      <c r="Q34" s="11" t="n">
        <f aca="false">IF(A34="","",IF(D34+O34&lt;=0,0,(E34+P34)/(D34+O34)))</f>
        <v>35153.4389869206</v>
      </c>
      <c r="R34" s="11" t="n">
        <f aca="false">IF(A34="","",SUMIFS(T_Penjualan!$H$6:$H$1505,T_Penjualan!$G$6:$G$1505,A34,T_Penjualan!$P$6:$P$1505,1))</f>
        <v>5201.06</v>
      </c>
      <c r="S34" s="12" t="n">
        <f aca="false">IF(A34="","",IF(I_Parameter!$C$4&lt;=I_Parameter!$C$5,D34,IF(I_Parameter!$C$4&gt;I_Parameter!$C$6,N34,INDEX(H34:N34,I_Parameter!$C$4-I_Parameter!$C$5))))</f>
        <v>26489.98</v>
      </c>
      <c r="T34" s="11" t="n">
        <f aca="false">IF(A34="","",SUMIFS(T_Penjualan!$H$6:$H$1505,T_Penjualan!$G$6:$G$1505,A34,T_Penjualan!$B$6:$B$1505,"Order",T_Penjualan!$A$6:$A$1505,"&gt;="&amp;I_Parameter!$C$4,T_Penjualan!$A$6:$A$1505,"&lt;="&amp;I_Parameter!$C$6))</f>
        <v>4227.92</v>
      </c>
      <c r="U34" s="11" t="n">
        <f aca="false">IF(A34="","",S34-T34)</f>
        <v>22262.06</v>
      </c>
      <c r="V34" s="11" t="n">
        <f aca="false">IF(A34="","",MIN(H34:N34))</f>
        <v>20895.88</v>
      </c>
      <c r="W34" s="10" t="n">
        <f aca="false">IF(A34="","",INDEX(I_Master!$F$6:$F$85,MATCH(A34,I_Master!$A$6:$A$85,0)))</f>
        <v>31658</v>
      </c>
      <c r="X34" s="11" t="n">
        <f aca="false">IF(OR(A34="",W34=""),"",W34-Q34)</f>
        <v>-3495.4389869206</v>
      </c>
      <c r="Y34" s="11" t="n">
        <f aca="false">IF(A34="","",S34*Q34)</f>
        <v>931213895.694747</v>
      </c>
      <c r="Z34" s="9" t="str">
        <f aca="false">IF(A34="","",IF(V34&lt;-0.5,"KURANG: stok minus "&amp;ROUND(-V34,0)&amp;" kg — beli/potong atau geser order",IF(AND(S34&gt;0.5,T34&lt;=0,G34&gt;0.5),"JUAL: "&amp;ROUND(S34,0)&amp;" kg tanpa order, sebagian &gt; batas umur",IF(AND(S34&gt;0.5,T34&lt;=0),"JUAL: "&amp;ROUND(S34,0)&amp;" kg tanpa order minggu ini",IF(G34&gt;0.5,"PERHATIAN: "&amp;ROUND(G34,0)&amp;" kg di atas batas umur",IF(AND(X34&lt;&gt;"",X34&lt;0,T34&gt;0),"Order di bawah biaya rata-rata — cek harga","-"))))))</f>
        <v>PERHATIAN: 5567 kg di atas batas umur</v>
      </c>
    </row>
    <row r="35" customFormat="false" ht="15" hidden="false" customHeight="false" outlineLevel="0" collapsed="false">
      <c r="A35" s="34" t="str">
        <f aca="false">I_Master!A35</f>
        <v>RPA|Karkas|n/a</v>
      </c>
      <c r="B35" s="34" t="str">
        <f aca="false">IF(A35="","",INDEX(I_Master!$E$6:$E$85,MATCH(A35,I_Master!$A$6:$A$85,0)))</f>
        <v>Karkas mix</v>
      </c>
      <c r="C35" s="34" t="str">
        <f aca="false">IF(A35="","",INDEX(I_Master!$B$6:$B$85,MATCH(A35,I_Master!$A$6:$A$85,0)))</f>
        <v>RPA</v>
      </c>
      <c r="D35" s="10" t="n">
        <f aca="false">IF(A35="","",SUMIFS(I_Stok_Awal!$D$6:$D$305,I_Stok_Awal!$C$6:$C$305,A35))</f>
        <v>1212.8</v>
      </c>
      <c r="E35" s="10" t="n">
        <f aca="false">IF(A35="","",SUMIFS(I_Stok_Awal!$E$6:$E$305,I_Stok_Awal!$C$6:$C$305,A35))</f>
        <v>32864529</v>
      </c>
      <c r="F35" s="35" t="n">
        <f aca="false">IF(OR(A35="",D35&lt;=0),"",SUMPRODUCT((I_Stok_Awal!$C$6:$C$305=A35)*I_Stok_Awal!$D$6:$D$305*I_Stok_Awal!$F$6:$F$305)/D35)</f>
        <v>54</v>
      </c>
      <c r="G35" s="10" t="n">
        <f aca="false">IF(A35="","",SUMIFS(I_Stok_Awal!$G$6:$G$305,I_Stok_Awal!$C$6:$C$305,A35))</f>
        <v>1212.8</v>
      </c>
      <c r="H35" s="11" t="n">
        <f aca="false">IF($A35="","",D35+SUMIFS(T_Penerimaan!$I$6:$I$1005,T_Penerimaan!$H$6:$H$1005,$A35,T_Penerimaan!$A$6:$A$1005,H$4,T_Penerimaan!$M$6:$M$1005,1)-SUMIFS(T_Penjualan!$H$6:$H$1505,T_Penjualan!$G$6:$G$1505,$A35,T_Penjualan!$A$6:$A$1505,H$4,T_Penjualan!$P$6:$P$1505,1))</f>
        <v>1212.8</v>
      </c>
      <c r="I35" s="11" t="n">
        <f aca="false">IF($A35="","",H35+SUMIFS(T_Penerimaan!$I$6:$I$1005,T_Penerimaan!$H$6:$H$1005,$A35,T_Penerimaan!$A$6:$A$1005,I$4,T_Penerimaan!$M$6:$M$1005,1)-SUMIFS(T_Penjualan!$H$6:$H$1505,T_Penjualan!$G$6:$G$1505,$A35,T_Penjualan!$A$6:$A$1505,I$4,T_Penjualan!$P$6:$P$1505,1))</f>
        <v>1212.8</v>
      </c>
      <c r="J35" s="11" t="n">
        <f aca="false">IF($A35="","",I35+SUMIFS(T_Penerimaan!$I$6:$I$1005,T_Penerimaan!$H$6:$H$1005,$A35,T_Penerimaan!$A$6:$A$1005,J$4,T_Penerimaan!$M$6:$M$1005,1)-SUMIFS(T_Penjualan!$H$6:$H$1505,T_Penjualan!$G$6:$G$1505,$A35,T_Penjualan!$A$6:$A$1505,J$4,T_Penjualan!$P$6:$P$1505,1))</f>
        <v>1212.8</v>
      </c>
      <c r="K35" s="11" t="n">
        <f aca="false">IF($A35="","",J35+SUMIFS(T_Penerimaan!$I$6:$I$1005,T_Penerimaan!$H$6:$H$1005,$A35,T_Penerimaan!$A$6:$A$1005,K$4,T_Penerimaan!$M$6:$M$1005,1)-SUMIFS(T_Penjualan!$H$6:$H$1505,T_Penjualan!$G$6:$G$1505,$A35,T_Penjualan!$A$6:$A$1505,K$4,T_Penjualan!$P$6:$P$1505,1))</f>
        <v>401.51</v>
      </c>
      <c r="L35" s="11" t="n">
        <f aca="false">IF($A35="","",K35+SUMIFS(T_Penerimaan!$I$6:$I$1005,T_Penerimaan!$H$6:$H$1005,$A35,T_Penerimaan!$A$6:$A$1005,L$4,T_Penerimaan!$M$6:$M$1005,1)-SUMIFS(T_Penjualan!$H$6:$H$1505,T_Penjualan!$G$6:$G$1505,$A35,T_Penjualan!$A$6:$A$1505,L$4,T_Penjualan!$P$6:$P$1505,1))</f>
        <v>401.51</v>
      </c>
      <c r="M35" s="11" t="n">
        <f aca="false">IF($A35="","",L35+SUMIFS(T_Penerimaan!$I$6:$I$1005,T_Penerimaan!$H$6:$H$1005,$A35,T_Penerimaan!$A$6:$A$1005,M$4,T_Penerimaan!$M$6:$M$1005,1)-SUMIFS(T_Penjualan!$H$6:$H$1505,T_Penjualan!$G$6:$G$1505,$A35,T_Penjualan!$A$6:$A$1505,M$4,T_Penjualan!$P$6:$P$1505,1))</f>
        <v>401.51</v>
      </c>
      <c r="N35" s="11" t="n">
        <f aca="false">IF($A35="","",M35+SUMIFS(T_Penerimaan!$I$6:$I$1005,T_Penerimaan!$H$6:$H$1005,$A35,T_Penerimaan!$A$6:$A$1005,N$4,T_Penerimaan!$M$6:$M$1005,1)-SUMIFS(T_Penjualan!$H$6:$H$1505,T_Penjualan!$G$6:$G$1505,$A35,T_Penjualan!$A$6:$A$1505,N$4,T_Penjualan!$P$6:$P$1505,1))</f>
        <v>401.51</v>
      </c>
      <c r="O35" s="11" t="n">
        <f aca="false">IF(A35="","",SUMIFS(T_Penerimaan!$I$6:$I$1005,T_Penerimaan!$H$6:$H$1005,A35,T_Penerimaan!$M$6:$M$1005,1))</f>
        <v>0</v>
      </c>
      <c r="P35" s="11" t="n">
        <f aca="false">IF(A35="","",SUMIFS(T_Penerimaan!$K$6:$K$1005,T_Penerimaan!$H$6:$H$1005,A35,T_Penerimaan!$M$6:$M$1005,1))</f>
        <v>0</v>
      </c>
      <c r="Q35" s="11" t="n">
        <f aca="false">IF(A35="","",IF(D35+O35&lt;=0,0,(E35+P35)/(D35+O35)))</f>
        <v>27098.0615105541</v>
      </c>
      <c r="R35" s="11" t="n">
        <f aca="false">IF(A35="","",SUMIFS(T_Penjualan!$H$6:$H$1505,T_Penjualan!$G$6:$G$1505,A35,T_Penjualan!$P$6:$P$1505,1))</f>
        <v>811.29</v>
      </c>
      <c r="S35" s="12" t="n">
        <f aca="false">IF(A35="","",IF(I_Parameter!$C$4&lt;=I_Parameter!$C$5,D35,IF(I_Parameter!$C$4&gt;I_Parameter!$C$6,N35,INDEX(H35:N35,I_Parameter!$C$4-I_Parameter!$C$5))))</f>
        <v>1212.8</v>
      </c>
      <c r="T35" s="11" t="n">
        <f aca="false">IF(A35="","",SUMIFS(T_Penjualan!$H$6:$H$1505,T_Penjualan!$G$6:$G$1505,A35,T_Penjualan!$B$6:$B$1505,"Order",T_Penjualan!$A$6:$A$1505,"&gt;="&amp;I_Parameter!$C$4,T_Penjualan!$A$6:$A$1505,"&lt;="&amp;I_Parameter!$C$6))</f>
        <v>811.29</v>
      </c>
      <c r="U35" s="11" t="n">
        <f aca="false">IF(A35="","",S35-T35)</f>
        <v>401.51</v>
      </c>
      <c r="V35" s="11" t="n">
        <f aca="false">IF(A35="","",MIN(H35:N35))</f>
        <v>401.51</v>
      </c>
      <c r="W35" s="10" t="n">
        <f aca="false">IF(A35="","",INDEX(I_Master!$F$6:$F$85,MATCH(A35,I_Master!$A$6:$A$85,0)))</f>
        <v>30000</v>
      </c>
      <c r="X35" s="11" t="n">
        <f aca="false">IF(OR(A35="",W35=""),"",W35-Q35)</f>
        <v>2901.93848944591</v>
      </c>
      <c r="Y35" s="11" t="n">
        <f aca="false">IF(A35="","",S35*Q35)</f>
        <v>32864529</v>
      </c>
      <c r="Z35" s="9" t="str">
        <f aca="false">IF(A35="","",IF(V35&lt;-0.5,"KURANG: stok minus "&amp;ROUND(-V35,0)&amp;" kg — beli/potong atau geser order",IF(AND(S35&gt;0.5,T35&lt;=0,G35&gt;0.5),"JUAL: "&amp;ROUND(S35,0)&amp;" kg tanpa order, sebagian &gt; batas umur",IF(AND(S35&gt;0.5,T35&lt;=0),"JUAL: "&amp;ROUND(S35,0)&amp;" kg tanpa order minggu ini",IF(G35&gt;0.5,"PERHATIAN: "&amp;ROUND(G35,0)&amp;" kg di atas batas umur",IF(AND(X35&lt;&gt;"",X35&lt;0,T35&gt;0),"Order di bawah biaya rata-rata — cek harga","-"))))))</f>
        <v>PERHATIAN: 1213 kg di atas batas umur</v>
      </c>
    </row>
    <row r="36" customFormat="false" ht="15" hidden="false" customHeight="false" outlineLevel="0" collapsed="false">
      <c r="A36" s="34" t="str">
        <f aca="false">I_Master!A36</f>
        <v>Trading|BLD|Frozen</v>
      </c>
      <c r="B36" s="34" t="str">
        <f aca="false">IF(A36="","",INDEX(I_Master!$E$6:$E$85,MATCH(A36,I_Master!$A$6:$A$85,0)))</f>
        <v>BLD</v>
      </c>
      <c r="C36" s="34" t="str">
        <f aca="false">IF(A36="","",INDEX(I_Master!$B$6:$B$85,MATCH(A36,I_Master!$A$6:$A$85,0)))</f>
        <v>Trading</v>
      </c>
      <c r="D36" s="10" t="n">
        <f aca="false">IF(A36="","",SUMIFS(I_Stok_Awal!$D$6:$D$305,I_Stok_Awal!$C$6:$C$305,A36))</f>
        <v>5856.04</v>
      </c>
      <c r="E36" s="10" t="n">
        <f aca="false">IF(A36="","",SUMIFS(I_Stok_Awal!$E$6:$E$305,I_Stok_Awal!$C$6:$C$305,A36))</f>
        <v>228954068</v>
      </c>
      <c r="F36" s="35" t="n">
        <f aca="false">IF(OR(A36="",D36&lt;=0),"",SUMPRODUCT((I_Stok_Awal!$C$6:$C$305=A36)*I_Stok_Awal!$D$6:$D$305*I_Stok_Awal!$F$6:$F$305)/D36)</f>
        <v>8.6</v>
      </c>
      <c r="G36" s="10" t="n">
        <f aca="false">IF(A36="","",SUMIFS(I_Stok_Awal!$G$6:$G$305,I_Stok_Awal!$C$6:$C$305,A36))</f>
        <v>0</v>
      </c>
      <c r="H36" s="11" t="n">
        <f aca="false">IF($A36="","",D36+SUMIFS(T_Penerimaan!$I$6:$I$1005,T_Penerimaan!$H$6:$H$1005,$A36,T_Penerimaan!$A$6:$A$1005,H$4,T_Penerimaan!$M$6:$M$1005,1)-SUMIFS(T_Penjualan!$H$6:$H$1505,T_Penjualan!$G$6:$G$1505,$A36,T_Penjualan!$A$6:$A$1505,H$4,T_Penjualan!$P$6:$P$1505,1))</f>
        <v>5856.04</v>
      </c>
      <c r="I36" s="11" t="n">
        <f aca="false">IF($A36="","",H36+SUMIFS(T_Penerimaan!$I$6:$I$1005,T_Penerimaan!$H$6:$H$1005,$A36,T_Penerimaan!$A$6:$A$1005,I$4,T_Penerimaan!$M$6:$M$1005,1)-SUMIFS(T_Penjualan!$H$6:$H$1505,T_Penjualan!$G$6:$G$1505,$A36,T_Penjualan!$A$6:$A$1505,I$4,T_Penjualan!$P$6:$P$1505,1))</f>
        <v>5856.04</v>
      </c>
      <c r="J36" s="11" t="n">
        <f aca="false">IF($A36="","",I36+SUMIFS(T_Penerimaan!$I$6:$I$1005,T_Penerimaan!$H$6:$H$1005,$A36,T_Penerimaan!$A$6:$A$1005,J$4,T_Penerimaan!$M$6:$M$1005,1)-SUMIFS(T_Penjualan!$H$6:$H$1505,T_Penjualan!$G$6:$G$1505,$A36,T_Penjualan!$A$6:$A$1505,J$4,T_Penjualan!$P$6:$P$1505,1))</f>
        <v>4848.44</v>
      </c>
      <c r="K36" s="11" t="n">
        <f aca="false">IF($A36="","",J36+SUMIFS(T_Penerimaan!$I$6:$I$1005,T_Penerimaan!$H$6:$H$1005,$A36,T_Penerimaan!$A$6:$A$1005,K$4,T_Penerimaan!$M$6:$M$1005,1)-SUMIFS(T_Penjualan!$H$6:$H$1505,T_Penjualan!$G$6:$G$1505,$A36,T_Penjualan!$A$6:$A$1505,K$4,T_Penjualan!$P$6:$P$1505,1))</f>
        <v>4848.44</v>
      </c>
      <c r="L36" s="11" t="n">
        <f aca="false">IF($A36="","",K36+SUMIFS(T_Penerimaan!$I$6:$I$1005,T_Penerimaan!$H$6:$H$1005,$A36,T_Penerimaan!$A$6:$A$1005,L$4,T_Penerimaan!$M$6:$M$1005,1)-SUMIFS(T_Penjualan!$H$6:$H$1505,T_Penjualan!$G$6:$G$1505,$A36,T_Penjualan!$A$6:$A$1505,L$4,T_Penjualan!$P$6:$P$1505,1))</f>
        <v>4848.44</v>
      </c>
      <c r="M36" s="11" t="n">
        <f aca="false">IF($A36="","",L36+SUMIFS(T_Penerimaan!$I$6:$I$1005,T_Penerimaan!$H$6:$H$1005,$A36,T_Penerimaan!$A$6:$A$1005,M$4,T_Penerimaan!$M$6:$M$1005,1)-SUMIFS(T_Penjualan!$H$6:$H$1505,T_Penjualan!$G$6:$G$1505,$A36,T_Penjualan!$A$6:$A$1505,M$4,T_Penjualan!$P$6:$P$1505,1))</f>
        <v>4848.44</v>
      </c>
      <c r="N36" s="11" t="n">
        <f aca="false">IF($A36="","",M36+SUMIFS(T_Penerimaan!$I$6:$I$1005,T_Penerimaan!$H$6:$H$1005,$A36,T_Penerimaan!$A$6:$A$1005,N$4,T_Penerimaan!$M$6:$M$1005,1)-SUMIFS(T_Penjualan!$H$6:$H$1505,T_Penjualan!$G$6:$G$1505,$A36,T_Penjualan!$A$6:$A$1505,N$4,T_Penjualan!$P$6:$P$1505,1))</f>
        <v>4848.44</v>
      </c>
      <c r="O36" s="11" t="n">
        <f aca="false">IF(A36="","",SUMIFS(T_Penerimaan!$I$6:$I$1005,T_Penerimaan!$H$6:$H$1005,A36,T_Penerimaan!$M$6:$M$1005,1))</f>
        <v>0</v>
      </c>
      <c r="P36" s="11" t="n">
        <f aca="false">IF(A36="","",SUMIFS(T_Penerimaan!$K$6:$K$1005,T_Penerimaan!$H$6:$H$1005,A36,T_Penerimaan!$M$6:$M$1005,1))</f>
        <v>0</v>
      </c>
      <c r="Q36" s="11" t="n">
        <f aca="false">IF(A36="","",IF(D36+O36&lt;=0,0,(E36+P36)/(D36+O36)))</f>
        <v>39097.080621034</v>
      </c>
      <c r="R36" s="11" t="n">
        <f aca="false">IF(A36="","",SUMIFS(T_Penjualan!$H$6:$H$1505,T_Penjualan!$G$6:$G$1505,A36,T_Penjualan!$P$6:$P$1505,1))</f>
        <v>1007.6</v>
      </c>
      <c r="S36" s="12" t="n">
        <f aca="false">IF(A36="","",IF(I_Parameter!$C$4&lt;=I_Parameter!$C$5,D36,IF(I_Parameter!$C$4&gt;I_Parameter!$C$6,N36,INDEX(H36:N36,I_Parameter!$C$4-I_Parameter!$C$5))))</f>
        <v>4848.44</v>
      </c>
      <c r="T36" s="11" t="n">
        <f aca="false">IF(A36="","",SUMIFS(T_Penjualan!$H$6:$H$1505,T_Penjualan!$G$6:$G$1505,A36,T_Penjualan!$B$6:$B$1505,"Order",T_Penjualan!$A$6:$A$1505,"&gt;="&amp;I_Parameter!$C$4,T_Penjualan!$A$6:$A$1505,"&lt;="&amp;I_Parameter!$C$6))</f>
        <v>0</v>
      </c>
      <c r="U36" s="11" t="n">
        <f aca="false">IF(A36="","",S36-T36)</f>
        <v>4848.44</v>
      </c>
      <c r="V36" s="11" t="n">
        <f aca="false">IF(A36="","",MIN(H36:N36))</f>
        <v>4848.44</v>
      </c>
      <c r="W36" s="10" t="n">
        <f aca="false">IF(A36="","",INDEX(I_Master!$F$6:$F$85,MATCH(A36,I_Master!$A$6:$A$85,0)))</f>
        <v>42083</v>
      </c>
      <c r="X36" s="11" t="n">
        <f aca="false">IF(OR(A36="",W36=""),"",W36-Q36)</f>
        <v>2985.91937896599</v>
      </c>
      <c r="Y36" s="11" t="n">
        <f aca="false">IF(A36="","",S36*Q36)</f>
        <v>189559849.566246</v>
      </c>
      <c r="Z36" s="9" t="str">
        <f aca="false">IF(A36="","",IF(V36&lt;-0.5,"KURANG: stok minus "&amp;ROUND(-V36,0)&amp;" kg — beli/potong atau geser order",IF(AND(S36&gt;0.5,T36&lt;=0,G36&gt;0.5),"JUAL: "&amp;ROUND(S36,0)&amp;" kg tanpa order, sebagian &gt; batas umur",IF(AND(S36&gt;0.5,T36&lt;=0),"JUAL: "&amp;ROUND(S36,0)&amp;" kg tanpa order minggu ini",IF(G36&gt;0.5,"PERHATIAN: "&amp;ROUND(G36,0)&amp;" kg di atas batas umur",IF(AND(X36&lt;&gt;"",X36&lt;0,T36&gt;0),"Order di bawah biaya rata-rata — cek harga","-"))))))</f>
        <v>JUAL: 4848 kg tanpa order minggu ini</v>
      </c>
    </row>
    <row r="37" customFormat="false" ht="15" hidden="false" customHeight="false" outlineLevel="0" collapsed="false">
      <c r="A37" s="34" t="str">
        <f aca="false">I_Master!A37</f>
        <v>Trading|BLD|n/a</v>
      </c>
      <c r="B37" s="34" t="str">
        <f aca="false">IF(A37="","",INDEX(I_Master!$E$6:$E$85,MATCH(A37,I_Master!$A$6:$A$85,0)))</f>
        <v>BLD</v>
      </c>
      <c r="C37" s="34" t="str">
        <f aca="false">IF(A37="","",INDEX(I_Master!$B$6:$B$85,MATCH(A37,I_Master!$A$6:$A$85,0)))</f>
        <v>Trading</v>
      </c>
      <c r="D37" s="10" t="n">
        <f aca="false">IF(A37="","",SUMIFS(I_Stok_Awal!$D$6:$D$305,I_Stok_Awal!$C$6:$C$305,A37))</f>
        <v>10.2</v>
      </c>
      <c r="E37" s="10" t="n">
        <f aca="false">IF(A37="","",SUMIFS(I_Stok_Awal!$E$6:$E$305,I_Stok_Awal!$C$6:$C$305,A37))</f>
        <v>438600</v>
      </c>
      <c r="F37" s="35" t="n">
        <f aca="false">IF(OR(A37="",D37&lt;=0),"",SUMPRODUCT((I_Stok_Awal!$C$6:$C$305=A37)*I_Stok_Awal!$D$6:$D$305*I_Stok_Awal!$F$6:$F$305)/D37)</f>
        <v>124</v>
      </c>
      <c r="G37" s="10" t="n">
        <f aca="false">IF(A37="","",SUMIFS(I_Stok_Awal!$G$6:$G$305,I_Stok_Awal!$C$6:$C$305,A37))</f>
        <v>10.2</v>
      </c>
      <c r="H37" s="11" t="n">
        <f aca="false">IF($A37="","",D37+SUMIFS(T_Penerimaan!$I$6:$I$1005,T_Penerimaan!$H$6:$H$1005,$A37,T_Penerimaan!$A$6:$A$1005,H$4,T_Penerimaan!$M$6:$M$1005,1)-SUMIFS(T_Penjualan!$H$6:$H$1505,T_Penjualan!$G$6:$G$1505,$A37,T_Penjualan!$A$6:$A$1505,H$4,T_Penjualan!$P$6:$P$1505,1))</f>
        <v>10.2</v>
      </c>
      <c r="I37" s="11" t="n">
        <f aca="false">IF($A37="","",H37+SUMIFS(T_Penerimaan!$I$6:$I$1005,T_Penerimaan!$H$6:$H$1005,$A37,T_Penerimaan!$A$6:$A$1005,I$4,T_Penerimaan!$M$6:$M$1005,1)-SUMIFS(T_Penjualan!$H$6:$H$1505,T_Penjualan!$G$6:$G$1505,$A37,T_Penjualan!$A$6:$A$1505,I$4,T_Penjualan!$P$6:$P$1505,1))</f>
        <v>10.2</v>
      </c>
      <c r="J37" s="11" t="n">
        <f aca="false">IF($A37="","",I37+SUMIFS(T_Penerimaan!$I$6:$I$1005,T_Penerimaan!$H$6:$H$1005,$A37,T_Penerimaan!$A$6:$A$1005,J$4,T_Penerimaan!$M$6:$M$1005,1)-SUMIFS(T_Penjualan!$H$6:$H$1505,T_Penjualan!$G$6:$G$1505,$A37,T_Penjualan!$A$6:$A$1505,J$4,T_Penjualan!$P$6:$P$1505,1))</f>
        <v>10.2</v>
      </c>
      <c r="K37" s="11" t="n">
        <f aca="false">IF($A37="","",J37+SUMIFS(T_Penerimaan!$I$6:$I$1005,T_Penerimaan!$H$6:$H$1005,$A37,T_Penerimaan!$A$6:$A$1005,K$4,T_Penerimaan!$M$6:$M$1005,1)-SUMIFS(T_Penjualan!$H$6:$H$1505,T_Penjualan!$G$6:$G$1505,$A37,T_Penjualan!$A$6:$A$1505,K$4,T_Penjualan!$P$6:$P$1505,1))</f>
        <v>10.2</v>
      </c>
      <c r="L37" s="11" t="n">
        <f aca="false">IF($A37="","",K37+SUMIFS(T_Penerimaan!$I$6:$I$1005,T_Penerimaan!$H$6:$H$1005,$A37,T_Penerimaan!$A$6:$A$1005,L$4,T_Penerimaan!$M$6:$M$1005,1)-SUMIFS(T_Penjualan!$H$6:$H$1505,T_Penjualan!$G$6:$G$1505,$A37,T_Penjualan!$A$6:$A$1505,L$4,T_Penjualan!$P$6:$P$1505,1))</f>
        <v>10.2</v>
      </c>
      <c r="M37" s="11" t="n">
        <f aca="false">IF($A37="","",L37+SUMIFS(T_Penerimaan!$I$6:$I$1005,T_Penerimaan!$H$6:$H$1005,$A37,T_Penerimaan!$A$6:$A$1005,M$4,T_Penerimaan!$M$6:$M$1005,1)-SUMIFS(T_Penjualan!$H$6:$H$1505,T_Penjualan!$G$6:$G$1505,$A37,T_Penjualan!$A$6:$A$1505,M$4,T_Penjualan!$P$6:$P$1505,1))</f>
        <v>10.2</v>
      </c>
      <c r="N37" s="11" t="n">
        <f aca="false">IF($A37="","",M37+SUMIFS(T_Penerimaan!$I$6:$I$1005,T_Penerimaan!$H$6:$H$1005,$A37,T_Penerimaan!$A$6:$A$1005,N$4,T_Penerimaan!$M$6:$M$1005,1)-SUMIFS(T_Penjualan!$H$6:$H$1505,T_Penjualan!$G$6:$G$1505,$A37,T_Penjualan!$A$6:$A$1505,N$4,T_Penjualan!$P$6:$P$1505,1))</f>
        <v>10.2</v>
      </c>
      <c r="O37" s="11" t="n">
        <f aca="false">IF(A37="","",SUMIFS(T_Penerimaan!$I$6:$I$1005,T_Penerimaan!$H$6:$H$1005,A37,T_Penerimaan!$M$6:$M$1005,1))</f>
        <v>0</v>
      </c>
      <c r="P37" s="11" t="n">
        <f aca="false">IF(A37="","",SUMIFS(T_Penerimaan!$K$6:$K$1005,T_Penerimaan!$H$6:$H$1005,A37,T_Penerimaan!$M$6:$M$1005,1))</f>
        <v>0</v>
      </c>
      <c r="Q37" s="11" t="n">
        <f aca="false">IF(A37="","",IF(D37+O37&lt;=0,0,(E37+P37)/(D37+O37)))</f>
        <v>43000</v>
      </c>
      <c r="R37" s="11" t="n">
        <f aca="false">IF(A37="","",SUMIFS(T_Penjualan!$H$6:$H$1505,T_Penjualan!$G$6:$G$1505,A37,T_Penjualan!$P$6:$P$1505,1))</f>
        <v>0</v>
      </c>
      <c r="S37" s="12" t="n">
        <f aca="false">IF(A37="","",IF(I_Parameter!$C$4&lt;=I_Parameter!$C$5,D37,IF(I_Parameter!$C$4&gt;I_Parameter!$C$6,N37,INDEX(H37:N37,I_Parameter!$C$4-I_Parameter!$C$5))))</f>
        <v>10.2</v>
      </c>
      <c r="T37" s="11" t="n">
        <f aca="false">IF(A37="","",SUMIFS(T_Penjualan!$H$6:$H$1505,T_Penjualan!$G$6:$G$1505,A37,T_Penjualan!$B$6:$B$1505,"Order",T_Penjualan!$A$6:$A$1505,"&gt;="&amp;I_Parameter!$C$4,T_Penjualan!$A$6:$A$1505,"&lt;="&amp;I_Parameter!$C$6))</f>
        <v>0</v>
      </c>
      <c r="U37" s="11" t="n">
        <f aca="false">IF(A37="","",S37-T37)</f>
        <v>10.2</v>
      </c>
      <c r="V37" s="11" t="n">
        <f aca="false">IF(A37="","",MIN(H37:N37))</f>
        <v>10.2</v>
      </c>
      <c r="W37" s="10" t="n">
        <f aca="false">IF(A37="","",INDEX(I_Master!$F$6:$F$85,MATCH(A37,I_Master!$A$6:$A$85,0)))</f>
        <v>45000</v>
      </c>
      <c r="X37" s="11" t="n">
        <f aca="false">IF(OR(A37="",W37=""),"",W37-Q37)</f>
        <v>2000</v>
      </c>
      <c r="Y37" s="11" t="n">
        <f aca="false">IF(A37="","",S37*Q37)</f>
        <v>438600</v>
      </c>
      <c r="Z37" s="9" t="str">
        <f aca="false">IF(A37="","",IF(V37&lt;-0.5,"KURANG: stok minus "&amp;ROUND(-V37,0)&amp;" kg — beli/potong atau geser order",IF(AND(S37&gt;0.5,T37&lt;=0,G37&gt;0.5),"JUAL: "&amp;ROUND(S37,0)&amp;" kg tanpa order, sebagian &gt; batas umur",IF(AND(S37&gt;0.5,T37&lt;=0),"JUAL: "&amp;ROUND(S37,0)&amp;" kg tanpa order minggu ini",IF(G37&gt;0.5,"PERHATIAN: "&amp;ROUND(G37,0)&amp;" kg di atas batas umur",IF(AND(X37&lt;&gt;"",X37&lt;0,T37&gt;0),"Order di bawah biaya rata-rata — cek harga","-"))))))</f>
        <v>JUAL: 10 kg tanpa order, sebagian &gt; batas umur</v>
      </c>
    </row>
    <row r="38" customFormat="false" ht="15" hidden="false" customHeight="false" outlineLevel="0" collapsed="false">
      <c r="A38" s="34" t="str">
        <f aca="false">I_Master!A38</f>
        <v>Trading|BLP|Frozen</v>
      </c>
      <c r="B38" s="34" t="str">
        <f aca="false">IF(A38="","",INDEX(I_Master!$E$6:$E$85,MATCH(A38,I_Master!$A$6:$A$85,0)))</f>
        <v>BLP</v>
      </c>
      <c r="C38" s="34" t="str">
        <f aca="false">IF(A38="","",INDEX(I_Master!$B$6:$B$85,MATCH(A38,I_Master!$A$6:$A$85,0)))</f>
        <v>Trading</v>
      </c>
      <c r="D38" s="10" t="n">
        <f aca="false">IF(A38="","",SUMIFS(I_Stok_Awal!$D$6:$D$305,I_Stok_Awal!$C$6:$C$305,A38))</f>
        <v>6139.3</v>
      </c>
      <c r="E38" s="10" t="n">
        <f aca="false">IF(A38="","",SUMIFS(I_Stok_Awal!$E$6:$E$305,I_Stok_Awal!$C$6:$C$305,A38))</f>
        <v>280247629</v>
      </c>
      <c r="F38" s="35" t="n">
        <f aca="false">IF(OR(A38="",D38&lt;=0),"",SUMPRODUCT((I_Stok_Awal!$C$6:$C$305=A38)*I_Stok_Awal!$D$6:$D$305*I_Stok_Awal!$F$6:$F$305)/D38)</f>
        <v>4</v>
      </c>
      <c r="G38" s="10" t="n">
        <f aca="false">IF(A38="","",SUMIFS(I_Stok_Awal!$G$6:$G$305,I_Stok_Awal!$C$6:$C$305,A38))</f>
        <v>0</v>
      </c>
      <c r="H38" s="11" t="n">
        <f aca="false">IF($A38="","",D38+SUMIFS(T_Penerimaan!$I$6:$I$1005,T_Penerimaan!$H$6:$H$1005,$A38,T_Penerimaan!$A$6:$A$1005,H$4,T_Penerimaan!$M$6:$M$1005,1)-SUMIFS(T_Penjualan!$H$6:$H$1505,T_Penjualan!$G$6:$G$1505,$A38,T_Penjualan!$A$6:$A$1505,H$4,T_Penjualan!$P$6:$P$1505,1))</f>
        <v>10141</v>
      </c>
      <c r="I38" s="11" t="n">
        <f aca="false">IF($A38="","",H38+SUMIFS(T_Penerimaan!$I$6:$I$1005,T_Penerimaan!$H$6:$H$1005,$A38,T_Penerimaan!$A$6:$A$1005,I$4,T_Penerimaan!$M$6:$M$1005,1)-SUMIFS(T_Penjualan!$H$6:$H$1505,T_Penjualan!$G$6:$G$1505,$A38,T_Penjualan!$A$6:$A$1505,I$4,T_Penjualan!$P$6:$P$1505,1))</f>
        <v>10141</v>
      </c>
      <c r="J38" s="11" t="n">
        <f aca="false">IF($A38="","",I38+SUMIFS(T_Penerimaan!$I$6:$I$1005,T_Penerimaan!$H$6:$H$1005,$A38,T_Penerimaan!$A$6:$A$1005,J$4,T_Penerimaan!$M$6:$M$1005,1)-SUMIFS(T_Penjualan!$H$6:$H$1505,T_Penjualan!$G$6:$G$1505,$A38,T_Penjualan!$A$6:$A$1505,J$4,T_Penjualan!$P$6:$P$1505,1))</f>
        <v>10141</v>
      </c>
      <c r="K38" s="11" t="n">
        <f aca="false">IF($A38="","",J38+SUMIFS(T_Penerimaan!$I$6:$I$1005,T_Penerimaan!$H$6:$H$1005,$A38,T_Penerimaan!$A$6:$A$1005,K$4,T_Penerimaan!$M$6:$M$1005,1)-SUMIFS(T_Penjualan!$H$6:$H$1505,T_Penjualan!$G$6:$G$1505,$A38,T_Penjualan!$A$6:$A$1505,K$4,T_Penjualan!$P$6:$P$1505,1))</f>
        <v>9937.6</v>
      </c>
      <c r="L38" s="11" t="n">
        <f aca="false">IF($A38="","",K38+SUMIFS(T_Penerimaan!$I$6:$I$1005,T_Penerimaan!$H$6:$H$1005,$A38,T_Penerimaan!$A$6:$A$1005,L$4,T_Penerimaan!$M$6:$M$1005,1)-SUMIFS(T_Penjualan!$H$6:$H$1505,T_Penjualan!$G$6:$G$1505,$A38,T_Penjualan!$A$6:$A$1505,L$4,T_Penjualan!$P$6:$P$1505,1))</f>
        <v>9937.6</v>
      </c>
      <c r="M38" s="11" t="n">
        <f aca="false">IF($A38="","",L38+SUMIFS(T_Penerimaan!$I$6:$I$1005,T_Penerimaan!$H$6:$H$1005,$A38,T_Penerimaan!$A$6:$A$1005,M$4,T_Penerimaan!$M$6:$M$1005,1)-SUMIFS(T_Penjualan!$H$6:$H$1505,T_Penjualan!$G$6:$G$1505,$A38,T_Penjualan!$A$6:$A$1505,M$4,T_Penjualan!$P$6:$P$1505,1))</f>
        <v>6911.8</v>
      </c>
      <c r="N38" s="11" t="n">
        <f aca="false">IF($A38="","",M38+SUMIFS(T_Penerimaan!$I$6:$I$1005,T_Penerimaan!$H$6:$H$1005,$A38,T_Penerimaan!$A$6:$A$1005,N$4,T_Penerimaan!$M$6:$M$1005,1)-SUMIFS(T_Penjualan!$H$6:$H$1505,T_Penjualan!$G$6:$G$1505,$A38,T_Penjualan!$A$6:$A$1505,N$4,T_Penjualan!$P$6:$P$1505,1))</f>
        <v>6911.8</v>
      </c>
      <c r="O38" s="11" t="n">
        <f aca="false">IF(A38="","",SUMIFS(T_Penerimaan!$I$6:$I$1005,T_Penerimaan!$H$6:$H$1005,A38,T_Penerimaan!$M$6:$M$1005,1))</f>
        <v>4001.7</v>
      </c>
      <c r="P38" s="11" t="n">
        <f aca="false">IF(A38="","",SUMIFS(T_Penerimaan!$K$6:$K$1005,T_Penerimaan!$H$6:$H$1005,A38,T_Penerimaan!$M$6:$M$1005,1))</f>
        <v>198393081.24</v>
      </c>
      <c r="Q38" s="11" t="n">
        <f aca="false">IF(A38="","",IF(D38+O38&lt;=0,0,(E38+P38)/(D38+O38)))</f>
        <v>47198.571170496</v>
      </c>
      <c r="R38" s="11" t="n">
        <f aca="false">IF(A38="","",SUMIFS(T_Penjualan!$H$6:$H$1505,T_Penjualan!$G$6:$G$1505,A38,T_Penjualan!$P$6:$P$1505,1))</f>
        <v>3229.2</v>
      </c>
      <c r="S38" s="12" t="n">
        <f aca="false">IF(A38="","",IF(I_Parameter!$C$4&lt;=I_Parameter!$C$5,D38,IF(I_Parameter!$C$4&gt;I_Parameter!$C$6,N38,INDEX(H38:N38,I_Parameter!$C$4-I_Parameter!$C$5))))</f>
        <v>10141</v>
      </c>
      <c r="T38" s="11" t="n">
        <f aca="false">IF(A38="","",SUMIFS(T_Penjualan!$H$6:$H$1505,T_Penjualan!$G$6:$G$1505,A38,T_Penjualan!$B$6:$B$1505,"Order",T_Penjualan!$A$6:$A$1505,"&gt;="&amp;I_Parameter!$C$4,T_Penjualan!$A$6:$A$1505,"&lt;="&amp;I_Parameter!$C$6))</f>
        <v>3229.2</v>
      </c>
      <c r="U38" s="11" t="n">
        <f aca="false">IF(A38="","",S38-T38)</f>
        <v>6911.8</v>
      </c>
      <c r="V38" s="11" t="n">
        <f aca="false">IF(A38="","",MIN(H38:N38))</f>
        <v>6911.8</v>
      </c>
      <c r="W38" s="10" t="n">
        <f aca="false">IF(A38="","",INDEX(I_Master!$F$6:$F$85,MATCH(A38,I_Master!$A$6:$A$85,0)))</f>
        <v>43086</v>
      </c>
      <c r="X38" s="11" t="n">
        <f aca="false">IF(OR(A38="",W38=""),"",W38-Q38)</f>
        <v>-4112.57117049601</v>
      </c>
      <c r="Y38" s="11" t="n">
        <f aca="false">IF(A38="","",S38*Q38)</f>
        <v>478640710.24</v>
      </c>
      <c r="Z38" s="9" t="str">
        <f aca="false">IF(A38="","",IF(V38&lt;-0.5,"KURANG: stok minus "&amp;ROUND(-V38,0)&amp;" kg — beli/potong atau geser order",IF(AND(S38&gt;0.5,T38&lt;=0,G38&gt;0.5),"JUAL: "&amp;ROUND(S38,0)&amp;" kg tanpa order, sebagian &gt; batas umur",IF(AND(S38&gt;0.5,T38&lt;=0),"JUAL: "&amp;ROUND(S38,0)&amp;" kg tanpa order minggu ini",IF(G38&gt;0.5,"PERHATIAN: "&amp;ROUND(G38,0)&amp;" kg di atas batas umur",IF(AND(X38&lt;&gt;"",X38&lt;0,T38&gt;0),"Order di bawah biaya rata-rata — cek harga","-"))))))</f>
        <v>Order di bawah biaya rata-rata — cek harga</v>
      </c>
    </row>
    <row r="39" customFormat="false" ht="15" hidden="false" customHeight="false" outlineLevel="0" collapsed="false">
      <c r="A39" s="34" t="str">
        <f aca="false">I_Master!A39</f>
        <v>Trading|BLPK|Frozen</v>
      </c>
      <c r="B39" s="34" t="str">
        <f aca="false">IF(A39="","",INDEX(I_Master!$E$6:$E$85,MATCH(A39,I_Master!$A$6:$A$85,0)))</f>
        <v>BLPK</v>
      </c>
      <c r="C39" s="34" t="str">
        <f aca="false">IF(A39="","",INDEX(I_Master!$B$6:$B$85,MATCH(A39,I_Master!$A$6:$A$85,0)))</f>
        <v>Trading</v>
      </c>
      <c r="D39" s="10" t="n">
        <f aca="false">IF(A39="","",SUMIFS(I_Stok_Awal!$D$6:$D$305,I_Stok_Awal!$C$6:$C$305,A39))</f>
        <v>8.53</v>
      </c>
      <c r="E39" s="10" t="n">
        <f aca="false">IF(A39="","",SUMIFS(I_Stok_Awal!$E$6:$E$305,I_Stok_Awal!$C$6:$C$305,A39))</f>
        <v>272960</v>
      </c>
      <c r="F39" s="35" t="n">
        <f aca="false">IF(OR(A39="",D39&lt;=0),"",SUMPRODUCT((I_Stok_Awal!$C$6:$C$305=A39)*I_Stok_Awal!$D$6:$D$305*I_Stok_Awal!$F$6:$F$305)/D39)</f>
        <v>87</v>
      </c>
      <c r="G39" s="10" t="n">
        <f aca="false">IF(A39="","",SUMIFS(I_Stok_Awal!$G$6:$G$305,I_Stok_Awal!$C$6:$C$305,A39))</f>
        <v>8.53</v>
      </c>
      <c r="H39" s="11" t="n">
        <f aca="false">IF($A39="","",D39+SUMIFS(T_Penerimaan!$I$6:$I$1005,T_Penerimaan!$H$6:$H$1005,$A39,T_Penerimaan!$A$6:$A$1005,H$4,T_Penerimaan!$M$6:$M$1005,1)-SUMIFS(T_Penjualan!$H$6:$H$1505,T_Penjualan!$G$6:$G$1505,$A39,T_Penjualan!$A$6:$A$1505,H$4,T_Penjualan!$P$6:$P$1505,1))</f>
        <v>8.53</v>
      </c>
      <c r="I39" s="11" t="n">
        <f aca="false">IF($A39="","",H39+SUMIFS(T_Penerimaan!$I$6:$I$1005,T_Penerimaan!$H$6:$H$1005,$A39,T_Penerimaan!$A$6:$A$1005,I$4,T_Penerimaan!$M$6:$M$1005,1)-SUMIFS(T_Penjualan!$H$6:$H$1505,T_Penjualan!$G$6:$G$1505,$A39,T_Penjualan!$A$6:$A$1505,I$4,T_Penjualan!$P$6:$P$1505,1))</f>
        <v>8.53</v>
      </c>
      <c r="J39" s="11" t="n">
        <f aca="false">IF($A39="","",I39+SUMIFS(T_Penerimaan!$I$6:$I$1005,T_Penerimaan!$H$6:$H$1005,$A39,T_Penerimaan!$A$6:$A$1005,J$4,T_Penerimaan!$M$6:$M$1005,1)-SUMIFS(T_Penjualan!$H$6:$H$1505,T_Penjualan!$G$6:$G$1505,$A39,T_Penjualan!$A$6:$A$1505,J$4,T_Penjualan!$P$6:$P$1505,1))</f>
        <v>8.53</v>
      </c>
      <c r="K39" s="11" t="n">
        <f aca="false">IF($A39="","",J39+SUMIFS(T_Penerimaan!$I$6:$I$1005,T_Penerimaan!$H$6:$H$1005,$A39,T_Penerimaan!$A$6:$A$1005,K$4,T_Penerimaan!$M$6:$M$1005,1)-SUMIFS(T_Penjualan!$H$6:$H$1505,T_Penjualan!$G$6:$G$1505,$A39,T_Penjualan!$A$6:$A$1505,K$4,T_Penjualan!$P$6:$P$1505,1))</f>
        <v>8.53</v>
      </c>
      <c r="L39" s="11" t="n">
        <f aca="false">IF($A39="","",K39+SUMIFS(T_Penerimaan!$I$6:$I$1005,T_Penerimaan!$H$6:$H$1005,$A39,T_Penerimaan!$A$6:$A$1005,L$4,T_Penerimaan!$M$6:$M$1005,1)-SUMIFS(T_Penjualan!$H$6:$H$1505,T_Penjualan!$G$6:$G$1505,$A39,T_Penjualan!$A$6:$A$1505,L$4,T_Penjualan!$P$6:$P$1505,1))</f>
        <v>8.53</v>
      </c>
      <c r="M39" s="11" t="n">
        <f aca="false">IF($A39="","",L39+SUMIFS(T_Penerimaan!$I$6:$I$1005,T_Penerimaan!$H$6:$H$1005,$A39,T_Penerimaan!$A$6:$A$1005,M$4,T_Penerimaan!$M$6:$M$1005,1)-SUMIFS(T_Penjualan!$H$6:$H$1505,T_Penjualan!$G$6:$G$1505,$A39,T_Penjualan!$A$6:$A$1505,M$4,T_Penjualan!$P$6:$P$1505,1))</f>
        <v>8.53</v>
      </c>
      <c r="N39" s="11" t="n">
        <f aca="false">IF($A39="","",M39+SUMIFS(T_Penerimaan!$I$6:$I$1005,T_Penerimaan!$H$6:$H$1005,$A39,T_Penerimaan!$A$6:$A$1005,N$4,T_Penerimaan!$M$6:$M$1005,1)-SUMIFS(T_Penjualan!$H$6:$H$1505,T_Penjualan!$G$6:$G$1505,$A39,T_Penjualan!$A$6:$A$1505,N$4,T_Penjualan!$P$6:$P$1505,1))</f>
        <v>8.53</v>
      </c>
      <c r="O39" s="11" t="n">
        <f aca="false">IF(A39="","",SUMIFS(T_Penerimaan!$I$6:$I$1005,T_Penerimaan!$H$6:$H$1005,A39,T_Penerimaan!$M$6:$M$1005,1))</f>
        <v>0</v>
      </c>
      <c r="P39" s="11" t="n">
        <f aca="false">IF(A39="","",SUMIFS(T_Penerimaan!$K$6:$K$1005,T_Penerimaan!$H$6:$H$1005,A39,T_Penerimaan!$M$6:$M$1005,1))</f>
        <v>0</v>
      </c>
      <c r="Q39" s="11" t="n">
        <f aca="false">IF(A39="","",IF(D39+O39&lt;=0,0,(E39+P39)/(D39+O39)))</f>
        <v>32000</v>
      </c>
      <c r="R39" s="11" t="n">
        <f aca="false">IF(A39="","",SUMIFS(T_Penjualan!$H$6:$H$1505,T_Penjualan!$G$6:$G$1505,A39,T_Penjualan!$P$6:$P$1505,1))</f>
        <v>0</v>
      </c>
      <c r="S39" s="12" t="n">
        <f aca="false">IF(A39="","",IF(I_Parameter!$C$4&lt;=I_Parameter!$C$5,D39,IF(I_Parameter!$C$4&gt;I_Parameter!$C$6,N39,INDEX(H39:N39,I_Parameter!$C$4-I_Parameter!$C$5))))</f>
        <v>8.53</v>
      </c>
      <c r="T39" s="11" t="n">
        <f aca="false">IF(A39="","",SUMIFS(T_Penjualan!$H$6:$H$1505,T_Penjualan!$G$6:$G$1505,A39,T_Penjualan!$B$6:$B$1505,"Order",T_Penjualan!$A$6:$A$1505,"&gt;="&amp;I_Parameter!$C$4,T_Penjualan!$A$6:$A$1505,"&lt;="&amp;I_Parameter!$C$6))</f>
        <v>0</v>
      </c>
      <c r="U39" s="11" t="n">
        <f aca="false">IF(A39="","",S39-T39)</f>
        <v>8.53</v>
      </c>
      <c r="V39" s="11" t="n">
        <f aca="false">IF(A39="","",MIN(H39:N39))</f>
        <v>8.53</v>
      </c>
      <c r="W39" s="10" t="n">
        <f aca="false">IF(A39="","",INDEX(I_Master!$F$6:$F$85,MATCH(A39,I_Master!$A$6:$A$85,0)))</f>
        <v>34000</v>
      </c>
      <c r="X39" s="11" t="n">
        <f aca="false">IF(OR(A39="",W39=""),"",W39-Q39)</f>
        <v>2000</v>
      </c>
      <c r="Y39" s="11" t="n">
        <f aca="false">IF(A39="","",S39*Q39)</f>
        <v>272960</v>
      </c>
      <c r="Z39" s="9" t="str">
        <f aca="false">IF(A39="","",IF(V39&lt;-0.5,"KURANG: stok minus "&amp;ROUND(-V39,0)&amp;" kg — beli/potong atau geser order",IF(AND(S39&gt;0.5,T39&lt;=0,G39&gt;0.5),"JUAL: "&amp;ROUND(S39,0)&amp;" kg tanpa order, sebagian &gt; batas umur",IF(AND(S39&gt;0.5,T39&lt;=0),"JUAL: "&amp;ROUND(S39,0)&amp;" kg tanpa order minggu ini",IF(G39&gt;0.5,"PERHATIAN: "&amp;ROUND(G39,0)&amp;" kg di atas batas umur",IF(AND(X39&lt;&gt;"",X39&lt;0,T39&gt;0),"Order di bawah biaya rata-rata — cek harga","-"))))))</f>
        <v>JUAL: 9 kg tanpa order, sebagian &gt; batas umur</v>
      </c>
    </row>
    <row r="40" customFormat="false" ht="15" hidden="false" customHeight="false" outlineLevel="0" collapsed="false">
      <c r="A40" s="34" t="str">
        <f aca="false">I_Master!A40</f>
        <v>Trading|HJA (Hati/Jantung/Ampela)|n/a</v>
      </c>
      <c r="B40" s="34" t="str">
        <f aca="false">IF(A40="","",INDEX(I_Master!$E$6:$E$85,MATCH(A40,I_Master!$A$6:$A$85,0)))</f>
        <v>HJA (Hati/Jantung/Ampela)</v>
      </c>
      <c r="C40" s="34" t="str">
        <f aca="false">IF(A40="","",INDEX(I_Master!$B$6:$B$85,MATCH(A40,I_Master!$A$6:$A$85,0)))</f>
        <v>Trading</v>
      </c>
      <c r="D40" s="10" t="n">
        <f aca="false">IF(A40="","",SUMIFS(I_Stok_Awal!$D$6:$D$305,I_Stok_Awal!$C$6:$C$305,A40))</f>
        <v>4300.37</v>
      </c>
      <c r="E40" s="10" t="n">
        <f aca="false">IF(A40="","",SUMIFS(I_Stok_Awal!$E$6:$E$305,I_Stok_Awal!$C$6:$C$305,A40))</f>
        <v>20901784</v>
      </c>
      <c r="F40" s="35" t="n">
        <f aca="false">IF(OR(A40="",D40&lt;=0),"",SUMPRODUCT((I_Stok_Awal!$C$6:$C$305=A40)*I_Stok_Awal!$D$6:$D$305*I_Stok_Awal!$F$6:$F$305)/D40)</f>
        <v>65.4170013277927</v>
      </c>
      <c r="G40" s="10" t="n">
        <f aca="false">IF(A40="","",SUMIFS(I_Stok_Awal!$G$6:$G$305,I_Stok_Awal!$C$6:$C$305,A40))</f>
        <v>4300.37</v>
      </c>
      <c r="H40" s="11" t="n">
        <f aca="false">IF($A40="","",D40+SUMIFS(T_Penerimaan!$I$6:$I$1005,T_Penerimaan!$H$6:$H$1005,$A40,T_Penerimaan!$A$6:$A$1005,H$4,T_Penerimaan!$M$6:$M$1005,1)-SUMIFS(T_Penjualan!$H$6:$H$1505,T_Penjualan!$G$6:$G$1505,$A40,T_Penjualan!$A$6:$A$1505,H$4,T_Penjualan!$P$6:$P$1505,1))</f>
        <v>4300.37</v>
      </c>
      <c r="I40" s="11" t="n">
        <f aca="false">IF($A40="","",H40+SUMIFS(T_Penerimaan!$I$6:$I$1005,T_Penerimaan!$H$6:$H$1005,$A40,T_Penerimaan!$A$6:$A$1005,I$4,T_Penerimaan!$M$6:$M$1005,1)-SUMIFS(T_Penjualan!$H$6:$H$1505,T_Penjualan!$G$6:$G$1505,$A40,T_Penjualan!$A$6:$A$1505,I$4,T_Penjualan!$P$6:$P$1505,1))</f>
        <v>4300.37</v>
      </c>
      <c r="J40" s="11" t="n">
        <f aca="false">IF($A40="","",I40+SUMIFS(T_Penerimaan!$I$6:$I$1005,T_Penerimaan!$H$6:$H$1005,$A40,T_Penerimaan!$A$6:$A$1005,J$4,T_Penerimaan!$M$6:$M$1005,1)-SUMIFS(T_Penjualan!$H$6:$H$1505,T_Penjualan!$G$6:$G$1505,$A40,T_Penjualan!$A$6:$A$1505,J$4,T_Penjualan!$P$6:$P$1505,1))</f>
        <v>4300.37</v>
      </c>
      <c r="K40" s="11" t="n">
        <f aca="false">IF($A40="","",J40+SUMIFS(T_Penerimaan!$I$6:$I$1005,T_Penerimaan!$H$6:$H$1005,$A40,T_Penerimaan!$A$6:$A$1005,K$4,T_Penerimaan!$M$6:$M$1005,1)-SUMIFS(T_Penjualan!$H$6:$H$1505,T_Penjualan!$G$6:$G$1505,$A40,T_Penjualan!$A$6:$A$1505,K$4,T_Penjualan!$P$6:$P$1505,1))</f>
        <v>4300.37</v>
      </c>
      <c r="L40" s="11" t="n">
        <f aca="false">IF($A40="","",K40+SUMIFS(T_Penerimaan!$I$6:$I$1005,T_Penerimaan!$H$6:$H$1005,$A40,T_Penerimaan!$A$6:$A$1005,L$4,T_Penerimaan!$M$6:$M$1005,1)-SUMIFS(T_Penjualan!$H$6:$H$1505,T_Penjualan!$G$6:$G$1505,$A40,T_Penjualan!$A$6:$A$1505,L$4,T_Penjualan!$P$6:$P$1505,1))</f>
        <v>4300.37</v>
      </c>
      <c r="M40" s="11" t="n">
        <f aca="false">IF($A40="","",L40+SUMIFS(T_Penerimaan!$I$6:$I$1005,T_Penerimaan!$H$6:$H$1005,$A40,T_Penerimaan!$A$6:$A$1005,M$4,T_Penerimaan!$M$6:$M$1005,1)-SUMIFS(T_Penjualan!$H$6:$H$1505,T_Penjualan!$G$6:$G$1505,$A40,T_Penjualan!$A$6:$A$1505,M$4,T_Penjualan!$P$6:$P$1505,1))</f>
        <v>4300.37</v>
      </c>
      <c r="N40" s="11" t="n">
        <f aca="false">IF($A40="","",M40+SUMIFS(T_Penerimaan!$I$6:$I$1005,T_Penerimaan!$H$6:$H$1005,$A40,T_Penerimaan!$A$6:$A$1005,N$4,T_Penerimaan!$M$6:$M$1005,1)-SUMIFS(T_Penjualan!$H$6:$H$1505,T_Penjualan!$G$6:$G$1505,$A40,T_Penjualan!$A$6:$A$1505,N$4,T_Penjualan!$P$6:$P$1505,1))</f>
        <v>4300.37</v>
      </c>
      <c r="O40" s="11" t="n">
        <f aca="false">IF(A40="","",SUMIFS(T_Penerimaan!$I$6:$I$1005,T_Penerimaan!$H$6:$H$1005,A40,T_Penerimaan!$M$6:$M$1005,1))</f>
        <v>0</v>
      </c>
      <c r="P40" s="11" t="n">
        <f aca="false">IF(A40="","",SUMIFS(T_Penerimaan!$K$6:$K$1005,T_Penerimaan!$H$6:$H$1005,A40,T_Penerimaan!$M$6:$M$1005,1))</f>
        <v>0</v>
      </c>
      <c r="Q40" s="11" t="n">
        <f aca="false">IF(A40="","",IF(D40+O40&lt;=0,0,(E40+P40)/(D40+O40)))</f>
        <v>4860.46177421943</v>
      </c>
      <c r="R40" s="11" t="n">
        <f aca="false">IF(A40="","",SUMIFS(T_Penjualan!$H$6:$H$1505,T_Penjualan!$G$6:$G$1505,A40,T_Penjualan!$P$6:$P$1505,1))</f>
        <v>0</v>
      </c>
      <c r="S40" s="12" t="n">
        <f aca="false">IF(A40="","",IF(I_Parameter!$C$4&lt;=I_Parameter!$C$5,D40,IF(I_Parameter!$C$4&gt;I_Parameter!$C$6,N40,INDEX(H40:N40,I_Parameter!$C$4-I_Parameter!$C$5))))</f>
        <v>4300.37</v>
      </c>
      <c r="T40" s="11" t="n">
        <f aca="false">IF(A40="","",SUMIFS(T_Penjualan!$H$6:$H$1505,T_Penjualan!$G$6:$G$1505,A40,T_Penjualan!$B$6:$B$1505,"Order",T_Penjualan!$A$6:$A$1505,"&gt;="&amp;I_Parameter!$C$4,T_Penjualan!$A$6:$A$1505,"&lt;="&amp;I_Parameter!$C$6))</f>
        <v>0</v>
      </c>
      <c r="U40" s="11" t="n">
        <f aca="false">IF(A40="","",S40-T40)</f>
        <v>4300.37</v>
      </c>
      <c r="V40" s="11" t="n">
        <f aca="false">IF(A40="","",MIN(H40:N40))</f>
        <v>4300.37</v>
      </c>
      <c r="W40" s="10" t="n">
        <f aca="false">IF(A40="","",INDEX(I_Master!$F$6:$F$85,MATCH(A40,I_Master!$A$6:$A$85,0)))</f>
        <v>15500</v>
      </c>
      <c r="X40" s="11" t="n">
        <f aca="false">IF(OR(A40="",W40=""),"",W40-Q40)</f>
        <v>10639.5382257806</v>
      </c>
      <c r="Y40" s="11" t="n">
        <f aca="false">IF(A40="","",S40*Q40)</f>
        <v>20901784</v>
      </c>
      <c r="Z40" s="9" t="str">
        <f aca="false">IF(A40="","",IF(V40&lt;-0.5,"KURANG: stok minus "&amp;ROUND(-V40,0)&amp;" kg — beli/potong atau geser order",IF(AND(S40&gt;0.5,T40&lt;=0,G40&gt;0.5),"JUAL: "&amp;ROUND(S40,0)&amp;" kg tanpa order, sebagian &gt; batas umur",IF(AND(S40&gt;0.5,T40&lt;=0),"JUAL: "&amp;ROUND(S40,0)&amp;" kg tanpa order minggu ini",IF(G40&gt;0.5,"PERHATIAN: "&amp;ROUND(G40,0)&amp;" kg di atas batas umur",IF(AND(X40&lt;&gt;"",X40&lt;0,T40&gt;0),"Order di bawah biaya rata-rata — cek harga","-"))))))</f>
        <v>JUAL: 4300 kg tanpa order, sebagian &gt; batas umur</v>
      </c>
    </row>
    <row r="41" customFormat="false" ht="15" hidden="false" customHeight="false" outlineLevel="0" collapsed="false">
      <c r="A41" s="34" t="str">
        <f aca="false">I_Master!A41</f>
        <v>Trading|KRK (Kerangka)|n/a</v>
      </c>
      <c r="B41" s="34" t="str">
        <f aca="false">IF(A41="","",INDEX(I_Master!$E$6:$E$85,MATCH(A41,I_Master!$A$6:$A$85,0)))</f>
        <v>KRK (Kerangka)</v>
      </c>
      <c r="C41" s="34" t="str">
        <f aca="false">IF(A41="","",INDEX(I_Master!$B$6:$B$85,MATCH(A41,I_Master!$A$6:$A$85,0)))</f>
        <v>Trading</v>
      </c>
      <c r="D41" s="10" t="n">
        <f aca="false">IF(A41="","",SUMIFS(I_Stok_Awal!$D$6:$D$305,I_Stok_Awal!$C$6:$C$305,A41))</f>
        <v>33329.94</v>
      </c>
      <c r="E41" s="10" t="n">
        <f aca="false">IF(A41="","",SUMIFS(I_Stok_Awal!$E$6:$E$305,I_Stok_Awal!$C$6:$C$305,A41))</f>
        <v>343660746</v>
      </c>
      <c r="F41" s="35" t="n">
        <f aca="false">IF(OR(A41="",D41&lt;=0),"",SUMPRODUCT((I_Stok_Awal!$C$6:$C$305=A41)*I_Stok_Awal!$D$6:$D$305*I_Stok_Awal!$F$6:$F$305)/D41)</f>
        <v>10</v>
      </c>
      <c r="G41" s="10" t="n">
        <f aca="false">IF(A41="","",SUMIFS(I_Stok_Awal!$G$6:$G$305,I_Stok_Awal!$C$6:$C$305,A41))</f>
        <v>2826.34</v>
      </c>
      <c r="H41" s="11" t="n">
        <f aca="false">IF($A41="","",D41+SUMIFS(T_Penerimaan!$I$6:$I$1005,T_Penerimaan!$H$6:$H$1005,$A41,T_Penerimaan!$A$6:$A$1005,H$4,T_Penerimaan!$M$6:$M$1005,1)-SUMIFS(T_Penjualan!$H$6:$H$1505,T_Penjualan!$G$6:$G$1505,$A41,T_Penjualan!$A$6:$A$1505,H$4,T_Penjualan!$P$6:$P$1505,1))</f>
        <v>33329.94</v>
      </c>
      <c r="I41" s="11" t="n">
        <f aca="false">IF($A41="","",H41+SUMIFS(T_Penerimaan!$I$6:$I$1005,T_Penerimaan!$H$6:$H$1005,$A41,T_Penerimaan!$A$6:$A$1005,I$4,T_Penerimaan!$M$6:$M$1005,1)-SUMIFS(T_Penjualan!$H$6:$H$1505,T_Penjualan!$G$6:$G$1505,$A41,T_Penjualan!$A$6:$A$1505,I$4,T_Penjualan!$P$6:$P$1505,1))</f>
        <v>33329.94</v>
      </c>
      <c r="J41" s="11" t="n">
        <f aca="false">IF($A41="","",I41+SUMIFS(T_Penerimaan!$I$6:$I$1005,T_Penerimaan!$H$6:$H$1005,$A41,T_Penerimaan!$A$6:$A$1005,J$4,T_Penerimaan!$M$6:$M$1005,1)-SUMIFS(T_Penjualan!$H$6:$H$1505,T_Penjualan!$G$6:$G$1505,$A41,T_Penjualan!$A$6:$A$1505,J$4,T_Penjualan!$P$6:$P$1505,1))</f>
        <v>25815.44</v>
      </c>
      <c r="K41" s="11" t="n">
        <f aca="false">IF($A41="","",J41+SUMIFS(T_Penerimaan!$I$6:$I$1005,T_Penerimaan!$H$6:$H$1005,$A41,T_Penerimaan!$A$6:$A$1005,K$4,T_Penerimaan!$M$6:$M$1005,1)-SUMIFS(T_Penjualan!$H$6:$H$1505,T_Penjualan!$G$6:$G$1505,$A41,T_Penjualan!$A$6:$A$1505,K$4,T_Penjualan!$P$6:$P$1505,1))</f>
        <v>25815.44</v>
      </c>
      <c r="L41" s="11" t="n">
        <f aca="false">IF($A41="","",K41+SUMIFS(T_Penerimaan!$I$6:$I$1005,T_Penerimaan!$H$6:$H$1005,$A41,T_Penerimaan!$A$6:$A$1005,L$4,T_Penerimaan!$M$6:$M$1005,1)-SUMIFS(T_Penjualan!$H$6:$H$1505,T_Penjualan!$G$6:$G$1505,$A41,T_Penjualan!$A$6:$A$1505,L$4,T_Penjualan!$P$6:$P$1505,1))</f>
        <v>19804.14</v>
      </c>
      <c r="M41" s="11" t="n">
        <f aca="false">IF($A41="","",L41+SUMIFS(T_Penerimaan!$I$6:$I$1005,T_Penerimaan!$H$6:$H$1005,$A41,T_Penerimaan!$A$6:$A$1005,M$4,T_Penerimaan!$M$6:$M$1005,1)-SUMIFS(T_Penjualan!$H$6:$H$1505,T_Penjualan!$G$6:$G$1505,$A41,T_Penjualan!$A$6:$A$1505,M$4,T_Penjualan!$P$6:$P$1505,1))</f>
        <v>19804.14</v>
      </c>
      <c r="N41" s="11" t="n">
        <f aca="false">IF($A41="","",M41+SUMIFS(T_Penerimaan!$I$6:$I$1005,T_Penerimaan!$H$6:$H$1005,$A41,T_Penerimaan!$A$6:$A$1005,N$4,T_Penerimaan!$M$6:$M$1005,1)-SUMIFS(T_Penjualan!$H$6:$H$1505,T_Penjualan!$G$6:$G$1505,$A41,T_Penjualan!$A$6:$A$1505,N$4,T_Penjualan!$P$6:$P$1505,1))</f>
        <v>19804.14</v>
      </c>
      <c r="O41" s="11" t="n">
        <f aca="false">IF(A41="","",SUMIFS(T_Penerimaan!$I$6:$I$1005,T_Penerimaan!$H$6:$H$1005,A41,T_Penerimaan!$M$6:$M$1005,1))</f>
        <v>0</v>
      </c>
      <c r="P41" s="11" t="n">
        <f aca="false">IF(A41="","",SUMIFS(T_Penerimaan!$K$6:$K$1005,T_Penerimaan!$H$6:$H$1005,A41,T_Penerimaan!$M$6:$M$1005,1))</f>
        <v>0</v>
      </c>
      <c r="Q41" s="11" t="n">
        <f aca="false">IF(A41="","",IF(D41+O41&lt;=0,0,(E41+P41)/(D41+O41)))</f>
        <v>10310.8720267723</v>
      </c>
      <c r="R41" s="11" t="n">
        <f aca="false">IF(A41="","",SUMIFS(T_Penjualan!$H$6:$H$1505,T_Penjualan!$G$6:$G$1505,A41,T_Penjualan!$P$6:$P$1505,1))</f>
        <v>13525.8</v>
      </c>
      <c r="S41" s="12" t="n">
        <f aca="false">IF(A41="","",IF(I_Parameter!$C$4&lt;=I_Parameter!$C$5,D41,IF(I_Parameter!$C$4&gt;I_Parameter!$C$6,N41,INDEX(H41:N41,I_Parameter!$C$4-I_Parameter!$C$5))))</f>
        <v>25815.44</v>
      </c>
      <c r="T41" s="11" t="n">
        <f aca="false">IF(A41="","",SUMIFS(T_Penjualan!$H$6:$H$1505,T_Penjualan!$G$6:$G$1505,A41,T_Penjualan!$B$6:$B$1505,"Order",T_Penjualan!$A$6:$A$1505,"&gt;="&amp;I_Parameter!$C$4,T_Penjualan!$A$6:$A$1505,"&lt;="&amp;I_Parameter!$C$6))</f>
        <v>6011.3</v>
      </c>
      <c r="U41" s="11" t="n">
        <f aca="false">IF(A41="","",S41-T41)</f>
        <v>19804.14</v>
      </c>
      <c r="V41" s="11" t="n">
        <f aca="false">IF(A41="","",MIN(H41:N41))</f>
        <v>19804.14</v>
      </c>
      <c r="W41" s="10" t="n">
        <f aca="false">IF(A41="","",INDEX(I_Master!$F$6:$F$85,MATCH(A41,I_Master!$A$6:$A$85,0)))</f>
        <v>10903</v>
      </c>
      <c r="X41" s="11" t="n">
        <f aca="false">IF(OR(A41="",W41=""),"",W41-Q41)</f>
        <v>592.127973227676</v>
      </c>
      <c r="Y41" s="11" t="n">
        <f aca="false">IF(A41="","",S41*Q41)</f>
        <v>266179698.154819</v>
      </c>
      <c r="Z41" s="9" t="str">
        <f aca="false">IF(A41="","",IF(V41&lt;-0.5,"KURANG: stok minus "&amp;ROUND(-V41,0)&amp;" kg — beli/potong atau geser order",IF(AND(S41&gt;0.5,T41&lt;=0,G41&gt;0.5),"JUAL: "&amp;ROUND(S41,0)&amp;" kg tanpa order, sebagian &gt; batas umur",IF(AND(S41&gt;0.5,T41&lt;=0),"JUAL: "&amp;ROUND(S41,0)&amp;" kg tanpa order minggu ini",IF(G41&gt;0.5,"PERHATIAN: "&amp;ROUND(G41,0)&amp;" kg di atas batas umur",IF(AND(X41&lt;&gt;"",X41&lt;0,T41&gt;0),"Order di bawah biaya rata-rata — cek harga","-"))))))</f>
        <v>PERHATIAN: 2826 kg di atas batas umur</v>
      </c>
    </row>
    <row r="42" customFormat="false" ht="15" hidden="false" customHeight="false" outlineLevel="0" collapsed="false">
      <c r="A42" s="34" t="str">
        <f aca="false">I_Master!A42</f>
        <v>Trading|Karkas|n/a</v>
      </c>
      <c r="B42" s="34" t="str">
        <f aca="false">IF(A42="","",INDEX(I_Master!$E$6:$E$85,MATCH(A42,I_Master!$A$6:$A$85,0)))</f>
        <v>Karkas</v>
      </c>
      <c r="C42" s="34" t="str">
        <f aca="false">IF(A42="","",INDEX(I_Master!$B$6:$B$85,MATCH(A42,I_Master!$A$6:$A$85,0)))</f>
        <v>Trading</v>
      </c>
      <c r="D42" s="10" t="n">
        <f aca="false">IF(A42="","",SUMIFS(I_Stok_Awal!$D$6:$D$305,I_Stok_Awal!$C$6:$C$305,A42))</f>
        <v>53695.68</v>
      </c>
      <c r="E42" s="10" t="n">
        <f aca="false">IF(A42="","",SUMIFS(I_Stok_Awal!$E$6:$E$305,I_Stok_Awal!$C$6:$C$305,A42))</f>
        <v>1614385543</v>
      </c>
      <c r="F42" s="35" t="n">
        <f aca="false">IF(OR(A42="",D42&lt;=0),"",SUMPRODUCT((I_Stok_Awal!$C$6:$C$305=A42)*I_Stok_Awal!$D$6:$D$305*I_Stok_Awal!$F$6:$F$305)/D42)</f>
        <v>13.425463054011</v>
      </c>
      <c r="G42" s="10" t="n">
        <f aca="false">IF(A42="","",SUMIFS(I_Stok_Awal!$G$6:$G$305,I_Stok_Awal!$C$6:$C$305,A42))</f>
        <v>829.15</v>
      </c>
      <c r="H42" s="11" t="n">
        <f aca="false">IF($A42="","",D42+SUMIFS(T_Penerimaan!$I$6:$I$1005,T_Penerimaan!$H$6:$H$1005,$A42,T_Penerimaan!$A$6:$A$1005,H$4,T_Penerimaan!$M$6:$M$1005,1)-SUMIFS(T_Penjualan!$H$6:$H$1505,T_Penjualan!$G$6:$G$1505,$A42,T_Penjualan!$A$6:$A$1505,H$4,T_Penjualan!$P$6:$P$1505,1))</f>
        <v>47581.1</v>
      </c>
      <c r="I42" s="11" t="n">
        <f aca="false">IF($A42="","",H42+SUMIFS(T_Penerimaan!$I$6:$I$1005,T_Penerimaan!$H$6:$H$1005,$A42,T_Penerimaan!$A$6:$A$1005,I$4,T_Penerimaan!$M$6:$M$1005,1)-SUMIFS(T_Penjualan!$H$6:$H$1505,T_Penjualan!$G$6:$G$1505,$A42,T_Penjualan!$A$6:$A$1505,I$4,T_Penjualan!$P$6:$P$1505,1))</f>
        <v>47581.1</v>
      </c>
      <c r="J42" s="11" t="n">
        <f aca="false">IF($A42="","",I42+SUMIFS(T_Penerimaan!$I$6:$I$1005,T_Penerimaan!$H$6:$H$1005,$A42,T_Penerimaan!$A$6:$A$1005,J$4,T_Penerimaan!$M$6:$M$1005,1)-SUMIFS(T_Penjualan!$H$6:$H$1505,T_Penjualan!$G$6:$G$1505,$A42,T_Penjualan!$A$6:$A$1505,J$4,T_Penjualan!$P$6:$P$1505,1))</f>
        <v>46572.5</v>
      </c>
      <c r="K42" s="11" t="n">
        <f aca="false">IF($A42="","",J42+SUMIFS(T_Penerimaan!$I$6:$I$1005,T_Penerimaan!$H$6:$H$1005,$A42,T_Penerimaan!$A$6:$A$1005,K$4,T_Penerimaan!$M$6:$M$1005,1)-SUMIFS(T_Penjualan!$H$6:$H$1505,T_Penjualan!$G$6:$G$1505,$A42,T_Penjualan!$A$6:$A$1505,K$4,T_Penjualan!$P$6:$P$1505,1))</f>
        <v>40907.12</v>
      </c>
      <c r="L42" s="11" t="n">
        <f aca="false">IF($A42="","",K42+SUMIFS(T_Penerimaan!$I$6:$I$1005,T_Penerimaan!$H$6:$H$1005,$A42,T_Penerimaan!$A$6:$A$1005,L$4,T_Penerimaan!$M$6:$M$1005,1)-SUMIFS(T_Penjualan!$H$6:$H$1505,T_Penjualan!$G$6:$G$1505,$A42,T_Penjualan!$A$6:$A$1505,L$4,T_Penjualan!$P$6:$P$1505,1))</f>
        <v>39888.49</v>
      </c>
      <c r="M42" s="11" t="n">
        <f aca="false">IF($A42="","",L42+SUMIFS(T_Penerimaan!$I$6:$I$1005,T_Penerimaan!$H$6:$H$1005,$A42,T_Penerimaan!$A$6:$A$1005,M$4,T_Penerimaan!$M$6:$M$1005,1)-SUMIFS(T_Penjualan!$H$6:$H$1505,T_Penjualan!$G$6:$G$1505,$A42,T_Penjualan!$A$6:$A$1505,M$4,T_Penjualan!$P$6:$P$1505,1))</f>
        <v>39564.73</v>
      </c>
      <c r="N42" s="11" t="n">
        <f aca="false">IF($A42="","",M42+SUMIFS(T_Penerimaan!$I$6:$I$1005,T_Penerimaan!$H$6:$H$1005,$A42,T_Penerimaan!$A$6:$A$1005,N$4,T_Penerimaan!$M$6:$M$1005,1)-SUMIFS(T_Penjualan!$H$6:$H$1505,T_Penjualan!$G$6:$G$1505,$A42,T_Penjualan!$A$6:$A$1505,N$4,T_Penjualan!$P$6:$P$1505,1))</f>
        <v>39564.73</v>
      </c>
      <c r="O42" s="11" t="n">
        <f aca="false">IF(A42="","",SUMIFS(T_Penerimaan!$I$6:$I$1005,T_Penerimaan!$H$6:$H$1005,A42,T_Penerimaan!$M$6:$M$1005,1))</f>
        <v>0</v>
      </c>
      <c r="P42" s="11" t="n">
        <f aca="false">IF(A42="","",SUMIFS(T_Penerimaan!$K$6:$K$1005,T_Penerimaan!$H$6:$H$1005,A42,T_Penerimaan!$M$6:$M$1005,1))</f>
        <v>0</v>
      </c>
      <c r="Q42" s="11" t="n">
        <f aca="false">IF(A42="","",IF(D42+O42&lt;=0,0,(E42+P42)/(D42+O42)))</f>
        <v>30065.4641676947</v>
      </c>
      <c r="R42" s="11" t="n">
        <f aca="false">IF(A42="","",SUMIFS(T_Penjualan!$H$6:$H$1505,T_Penjualan!$G$6:$G$1505,A42,T_Penjualan!$P$6:$P$1505,1))</f>
        <v>14130.95</v>
      </c>
      <c r="S42" s="12" t="n">
        <f aca="false">IF(A42="","",IF(I_Parameter!$C$4&lt;=I_Parameter!$C$5,D42,IF(I_Parameter!$C$4&gt;I_Parameter!$C$6,N42,INDEX(H42:N42,I_Parameter!$C$4-I_Parameter!$C$5))))</f>
        <v>46572.5</v>
      </c>
      <c r="T42" s="11" t="n">
        <f aca="false">IF(A42="","",SUMIFS(T_Penjualan!$H$6:$H$1505,T_Penjualan!$G$6:$G$1505,A42,T_Penjualan!$B$6:$B$1505,"Order",T_Penjualan!$A$6:$A$1505,"&gt;="&amp;I_Parameter!$C$4,T_Penjualan!$A$6:$A$1505,"&lt;="&amp;I_Parameter!$C$6))</f>
        <v>7007.77</v>
      </c>
      <c r="U42" s="11" t="n">
        <f aca="false">IF(A42="","",S42-T42)</f>
        <v>39564.73</v>
      </c>
      <c r="V42" s="11" t="n">
        <f aca="false">IF(A42="","",MIN(H42:N42))</f>
        <v>39564.73</v>
      </c>
      <c r="W42" s="10" t="n">
        <f aca="false">IF(A42="","",INDEX(I_Master!$F$6:$F$85,MATCH(A42,I_Master!$A$6:$A$85,0)))</f>
        <v>31277</v>
      </c>
      <c r="X42" s="11" t="n">
        <f aca="false">IF(OR(A42="",W42=""),"",W42-Q42)</f>
        <v>1211.53583230532</v>
      </c>
      <c r="Y42" s="11" t="n">
        <f aca="false">IF(A42="","",S42*Q42)</f>
        <v>1400223829.94996</v>
      </c>
      <c r="Z42" s="9" t="str">
        <f aca="false">IF(A42="","",IF(V42&lt;-0.5,"KURANG: stok minus "&amp;ROUND(-V42,0)&amp;" kg — beli/potong atau geser order",IF(AND(S42&gt;0.5,T42&lt;=0,G42&gt;0.5),"JUAL: "&amp;ROUND(S42,0)&amp;" kg tanpa order, sebagian &gt; batas umur",IF(AND(S42&gt;0.5,T42&lt;=0),"JUAL: "&amp;ROUND(S42,0)&amp;" kg tanpa order minggu ini",IF(G42&gt;0.5,"PERHATIAN: "&amp;ROUND(G42,0)&amp;" kg di atas batas umur",IF(AND(X42&lt;&gt;"",X42&lt;0,T42&gt;0),"Order di bawah biaya rata-rata — cek harga","-"))))))</f>
        <v>PERHATIAN: 829 kg di atas batas umur</v>
      </c>
    </row>
    <row r="43" customFormat="false" ht="15" hidden="false" customHeight="false" outlineLevel="0" collapsed="false">
      <c r="A43" s="34" t="str">
        <f aca="false">I_Master!A43</f>
        <v>Trading|Kulit|Frozen</v>
      </c>
      <c r="B43" s="34" t="str">
        <f aca="false">IF(A43="","",INDEX(I_Master!$E$6:$E$85,MATCH(A43,I_Master!$A$6:$A$85,0)))</f>
        <v>Kulit</v>
      </c>
      <c r="C43" s="34" t="str">
        <f aca="false">IF(A43="","",INDEX(I_Master!$B$6:$B$85,MATCH(A43,I_Master!$A$6:$A$85,0)))</f>
        <v>Trading</v>
      </c>
      <c r="D43" s="10" t="n">
        <f aca="false">IF(A43="","",SUMIFS(I_Stok_Awal!$D$6:$D$305,I_Stok_Awal!$C$6:$C$305,A43))</f>
        <v>1094.61</v>
      </c>
      <c r="E43" s="10" t="n">
        <f aca="false">IF(A43="","",SUMIFS(I_Stok_Awal!$E$6:$E$305,I_Stok_Awal!$C$6:$C$305,A43))</f>
        <v>19375380</v>
      </c>
      <c r="F43" s="35" t="n">
        <f aca="false">IF(OR(A43="",D43&lt;=0),"",SUMPRODUCT((I_Stok_Awal!$C$6:$C$305=A43)*I_Stok_Awal!$D$6:$D$305*I_Stok_Awal!$F$6:$F$305)/D43)</f>
        <v>51.1</v>
      </c>
      <c r="G43" s="10" t="n">
        <f aca="false">IF(A43="","",SUMIFS(I_Stok_Awal!$G$6:$G$305,I_Stok_Awal!$C$6:$C$305,A43))</f>
        <v>1094.61</v>
      </c>
      <c r="H43" s="11" t="n">
        <f aca="false">IF($A43="","",D43+SUMIFS(T_Penerimaan!$I$6:$I$1005,T_Penerimaan!$H$6:$H$1005,$A43,T_Penerimaan!$A$6:$A$1005,H$4,T_Penerimaan!$M$6:$M$1005,1)-SUMIFS(T_Penjualan!$H$6:$H$1505,T_Penjualan!$G$6:$G$1505,$A43,T_Penjualan!$A$6:$A$1505,H$4,T_Penjualan!$P$6:$P$1505,1))</f>
        <v>4067.31</v>
      </c>
      <c r="I43" s="11" t="n">
        <f aca="false">IF($A43="","",H43+SUMIFS(T_Penerimaan!$I$6:$I$1005,T_Penerimaan!$H$6:$H$1005,$A43,T_Penerimaan!$A$6:$A$1005,I$4,T_Penerimaan!$M$6:$M$1005,1)-SUMIFS(T_Penjualan!$H$6:$H$1505,T_Penjualan!$G$6:$G$1505,$A43,T_Penjualan!$A$6:$A$1505,I$4,T_Penjualan!$P$6:$P$1505,1))</f>
        <v>4067.31</v>
      </c>
      <c r="J43" s="11" t="n">
        <f aca="false">IF($A43="","",I43+SUMIFS(T_Penerimaan!$I$6:$I$1005,T_Penerimaan!$H$6:$H$1005,$A43,T_Penerimaan!$A$6:$A$1005,J$4,T_Penerimaan!$M$6:$M$1005,1)-SUMIFS(T_Penjualan!$H$6:$H$1505,T_Penjualan!$G$6:$G$1505,$A43,T_Penjualan!$A$6:$A$1505,J$4,T_Penjualan!$P$6:$P$1505,1))</f>
        <v>4067.31</v>
      </c>
      <c r="K43" s="11" t="n">
        <f aca="false">IF($A43="","",J43+SUMIFS(T_Penerimaan!$I$6:$I$1005,T_Penerimaan!$H$6:$H$1005,$A43,T_Penerimaan!$A$6:$A$1005,K$4,T_Penerimaan!$M$6:$M$1005,1)-SUMIFS(T_Penjualan!$H$6:$H$1505,T_Penjualan!$G$6:$G$1505,$A43,T_Penjualan!$A$6:$A$1505,K$4,T_Penjualan!$P$6:$P$1505,1))</f>
        <v>4067.31</v>
      </c>
      <c r="L43" s="11" t="n">
        <f aca="false">IF($A43="","",K43+SUMIFS(T_Penerimaan!$I$6:$I$1005,T_Penerimaan!$H$6:$H$1005,$A43,T_Penerimaan!$A$6:$A$1005,L$4,T_Penerimaan!$M$6:$M$1005,1)-SUMIFS(T_Penjualan!$H$6:$H$1505,T_Penjualan!$G$6:$G$1505,$A43,T_Penjualan!$A$6:$A$1505,L$4,T_Penjualan!$P$6:$P$1505,1))</f>
        <v>3961.94</v>
      </c>
      <c r="M43" s="11" t="n">
        <f aca="false">IF($A43="","",L43+SUMIFS(T_Penerimaan!$I$6:$I$1005,T_Penerimaan!$H$6:$H$1005,$A43,T_Penerimaan!$A$6:$A$1005,M$4,T_Penerimaan!$M$6:$M$1005,1)-SUMIFS(T_Penjualan!$H$6:$H$1505,T_Penjualan!$G$6:$G$1505,$A43,T_Penjualan!$A$6:$A$1505,M$4,T_Penjualan!$P$6:$P$1505,1))</f>
        <v>3961.94</v>
      </c>
      <c r="N43" s="11" t="n">
        <f aca="false">IF($A43="","",M43+SUMIFS(T_Penerimaan!$I$6:$I$1005,T_Penerimaan!$H$6:$H$1005,$A43,T_Penerimaan!$A$6:$A$1005,N$4,T_Penerimaan!$M$6:$M$1005,1)-SUMIFS(T_Penjualan!$H$6:$H$1505,T_Penjualan!$G$6:$G$1505,$A43,T_Penjualan!$A$6:$A$1505,N$4,T_Penjualan!$P$6:$P$1505,1))</f>
        <v>3961.94</v>
      </c>
      <c r="O43" s="11" t="n">
        <f aca="false">IF(A43="","",SUMIFS(T_Penerimaan!$I$6:$I$1005,T_Penerimaan!$H$6:$H$1005,A43,T_Penerimaan!$M$6:$M$1005,1))</f>
        <v>2972.7</v>
      </c>
      <c r="P43" s="11" t="n">
        <f aca="false">IF(A43="","",SUMIFS(T_Penerimaan!$K$6:$K$1005,T_Penerimaan!$H$6:$H$1005,A43,T_Penerimaan!$M$6:$M$1005,1))</f>
        <v>87924142.44</v>
      </c>
      <c r="Q43" s="11" t="n">
        <f aca="false">IF(A43="","",IF(D43+O43&lt;=0,0,(E43+P43)/(D43+O43)))</f>
        <v>26380.9550882524</v>
      </c>
      <c r="R43" s="11" t="n">
        <f aca="false">IF(A43="","",SUMIFS(T_Penjualan!$H$6:$H$1505,T_Penjualan!$G$6:$G$1505,A43,T_Penjualan!$P$6:$P$1505,1))</f>
        <v>105.37</v>
      </c>
      <c r="S43" s="12" t="n">
        <f aca="false">IF(A43="","",IF(I_Parameter!$C$4&lt;=I_Parameter!$C$5,D43,IF(I_Parameter!$C$4&gt;I_Parameter!$C$6,N43,INDEX(H43:N43,I_Parameter!$C$4-I_Parameter!$C$5))))</f>
        <v>4067.31</v>
      </c>
      <c r="T43" s="11" t="n">
        <f aca="false">IF(A43="","",SUMIFS(T_Penjualan!$H$6:$H$1505,T_Penjualan!$G$6:$G$1505,A43,T_Penjualan!$B$6:$B$1505,"Order",T_Penjualan!$A$6:$A$1505,"&gt;="&amp;I_Parameter!$C$4,T_Penjualan!$A$6:$A$1505,"&lt;="&amp;I_Parameter!$C$6))</f>
        <v>105.37</v>
      </c>
      <c r="U43" s="11" t="n">
        <f aca="false">IF(A43="","",S43-T43)</f>
        <v>3961.94</v>
      </c>
      <c r="V43" s="11" t="n">
        <f aca="false">IF(A43="","",MIN(H43:N43))</f>
        <v>3961.94</v>
      </c>
      <c r="W43" s="10" t="n">
        <f aca="false">IF(A43="","",INDEX(I_Master!$F$6:$F$85,MATCH(A43,I_Master!$A$6:$A$85,0)))</f>
        <v>29000</v>
      </c>
      <c r="X43" s="11" t="n">
        <f aca="false">IF(OR(A43="",W43=""),"",W43-Q43)</f>
        <v>2619.04491174757</v>
      </c>
      <c r="Y43" s="11" t="n">
        <f aca="false">IF(A43="","",S43*Q43)</f>
        <v>107299522.44</v>
      </c>
      <c r="Z43" s="9" t="str">
        <f aca="false">IF(A43="","",IF(V43&lt;-0.5,"KURANG: stok minus "&amp;ROUND(-V43,0)&amp;" kg — beli/potong atau geser order",IF(AND(S43&gt;0.5,T43&lt;=0,G43&gt;0.5),"JUAL: "&amp;ROUND(S43,0)&amp;" kg tanpa order, sebagian &gt; batas umur",IF(AND(S43&gt;0.5,T43&lt;=0),"JUAL: "&amp;ROUND(S43,0)&amp;" kg tanpa order minggu ini",IF(G43&gt;0.5,"PERHATIAN: "&amp;ROUND(G43,0)&amp;" kg di atas batas umur",IF(AND(X43&lt;&gt;"",X43&lt;0,T43&gt;0),"Order di bawah biaya rata-rata — cek harga","-"))))))</f>
        <v>PERHATIAN: 1095 kg di atas batas umur</v>
      </c>
    </row>
    <row r="44" customFormat="false" ht="15" hidden="false" customHeight="false" outlineLevel="0" collapsed="false">
      <c r="A44" s="34" t="str">
        <f aca="false">I_Master!A44</f>
        <v>Trading|Kulit|n/a</v>
      </c>
      <c r="B44" s="34" t="str">
        <f aca="false">IF(A44="","",INDEX(I_Master!$E$6:$E$85,MATCH(A44,I_Master!$A$6:$A$85,0)))</f>
        <v>Kulit</v>
      </c>
      <c r="C44" s="34" t="str">
        <f aca="false">IF(A44="","",INDEX(I_Master!$B$6:$B$85,MATCH(A44,I_Master!$A$6:$A$85,0)))</f>
        <v>Trading</v>
      </c>
      <c r="D44" s="10" t="n">
        <f aca="false">IF(A44="","",SUMIFS(I_Stok_Awal!$D$6:$D$305,I_Stok_Awal!$C$6:$C$305,A44))</f>
        <v>1395.69</v>
      </c>
      <c r="E44" s="10" t="n">
        <f aca="false">IF(A44="","",SUMIFS(I_Stok_Awal!$E$6:$E$305,I_Stok_Awal!$C$6:$C$305,A44))</f>
        <v>29309490</v>
      </c>
      <c r="F44" s="35" t="n">
        <f aca="false">IF(OR(A44="",D44&lt;=0),"",SUMPRODUCT((I_Stok_Awal!$C$6:$C$305=A44)*I_Stok_Awal!$D$6:$D$305*I_Stok_Awal!$F$6:$F$305)/D44)</f>
        <v>115</v>
      </c>
      <c r="G44" s="10" t="n">
        <f aca="false">IF(A44="","",SUMIFS(I_Stok_Awal!$G$6:$G$305,I_Stok_Awal!$C$6:$C$305,A44))</f>
        <v>1395.69</v>
      </c>
      <c r="H44" s="11" t="n">
        <f aca="false">IF($A44="","",D44+SUMIFS(T_Penerimaan!$I$6:$I$1005,T_Penerimaan!$H$6:$H$1005,$A44,T_Penerimaan!$A$6:$A$1005,H$4,T_Penerimaan!$M$6:$M$1005,1)-SUMIFS(T_Penjualan!$H$6:$H$1505,T_Penjualan!$G$6:$G$1505,$A44,T_Penjualan!$A$6:$A$1505,H$4,T_Penjualan!$P$6:$P$1505,1))</f>
        <v>1395.69</v>
      </c>
      <c r="I44" s="11" t="n">
        <f aca="false">IF($A44="","",H44+SUMIFS(T_Penerimaan!$I$6:$I$1005,T_Penerimaan!$H$6:$H$1005,$A44,T_Penerimaan!$A$6:$A$1005,I$4,T_Penerimaan!$M$6:$M$1005,1)-SUMIFS(T_Penjualan!$H$6:$H$1505,T_Penjualan!$G$6:$G$1505,$A44,T_Penjualan!$A$6:$A$1505,I$4,T_Penjualan!$P$6:$P$1505,1))</f>
        <v>1395.69</v>
      </c>
      <c r="J44" s="11" t="n">
        <f aca="false">IF($A44="","",I44+SUMIFS(T_Penerimaan!$I$6:$I$1005,T_Penerimaan!$H$6:$H$1005,$A44,T_Penerimaan!$A$6:$A$1005,J$4,T_Penerimaan!$M$6:$M$1005,1)-SUMIFS(T_Penjualan!$H$6:$H$1505,T_Penjualan!$G$6:$G$1505,$A44,T_Penjualan!$A$6:$A$1505,J$4,T_Penjualan!$P$6:$P$1505,1))</f>
        <v>1395.69</v>
      </c>
      <c r="K44" s="11" t="n">
        <f aca="false">IF($A44="","",J44+SUMIFS(T_Penerimaan!$I$6:$I$1005,T_Penerimaan!$H$6:$H$1005,$A44,T_Penerimaan!$A$6:$A$1005,K$4,T_Penerimaan!$M$6:$M$1005,1)-SUMIFS(T_Penjualan!$H$6:$H$1505,T_Penjualan!$G$6:$G$1505,$A44,T_Penjualan!$A$6:$A$1505,K$4,T_Penjualan!$P$6:$P$1505,1))</f>
        <v>1395.69</v>
      </c>
      <c r="L44" s="11" t="n">
        <f aca="false">IF($A44="","",K44+SUMIFS(T_Penerimaan!$I$6:$I$1005,T_Penerimaan!$H$6:$H$1005,$A44,T_Penerimaan!$A$6:$A$1005,L$4,T_Penerimaan!$M$6:$M$1005,1)-SUMIFS(T_Penjualan!$H$6:$H$1505,T_Penjualan!$G$6:$G$1505,$A44,T_Penjualan!$A$6:$A$1505,L$4,T_Penjualan!$P$6:$P$1505,1))</f>
        <v>1395.69</v>
      </c>
      <c r="M44" s="11" t="n">
        <f aca="false">IF($A44="","",L44+SUMIFS(T_Penerimaan!$I$6:$I$1005,T_Penerimaan!$H$6:$H$1005,$A44,T_Penerimaan!$A$6:$A$1005,M$4,T_Penerimaan!$M$6:$M$1005,1)-SUMIFS(T_Penjualan!$H$6:$H$1505,T_Penjualan!$G$6:$G$1505,$A44,T_Penjualan!$A$6:$A$1505,M$4,T_Penjualan!$P$6:$P$1505,1))</f>
        <v>1395.69</v>
      </c>
      <c r="N44" s="11" t="n">
        <f aca="false">IF($A44="","",M44+SUMIFS(T_Penerimaan!$I$6:$I$1005,T_Penerimaan!$H$6:$H$1005,$A44,T_Penerimaan!$A$6:$A$1005,N$4,T_Penerimaan!$M$6:$M$1005,1)-SUMIFS(T_Penjualan!$H$6:$H$1505,T_Penjualan!$G$6:$G$1505,$A44,T_Penjualan!$A$6:$A$1505,N$4,T_Penjualan!$P$6:$P$1505,1))</f>
        <v>1395.69</v>
      </c>
      <c r="O44" s="11" t="n">
        <f aca="false">IF(A44="","",SUMIFS(T_Penerimaan!$I$6:$I$1005,T_Penerimaan!$H$6:$H$1005,A44,T_Penerimaan!$M$6:$M$1005,1))</f>
        <v>0</v>
      </c>
      <c r="P44" s="11" t="n">
        <f aca="false">IF(A44="","",SUMIFS(T_Penerimaan!$K$6:$K$1005,T_Penerimaan!$H$6:$H$1005,A44,T_Penerimaan!$M$6:$M$1005,1))</f>
        <v>0</v>
      </c>
      <c r="Q44" s="11" t="n">
        <f aca="false">IF(A44="","",IF(D44+O44&lt;=0,0,(E44+P44)/(D44+O44)))</f>
        <v>21000</v>
      </c>
      <c r="R44" s="11" t="n">
        <f aca="false">IF(A44="","",SUMIFS(T_Penjualan!$H$6:$H$1505,T_Penjualan!$G$6:$G$1505,A44,T_Penjualan!$P$6:$P$1505,1))</f>
        <v>0</v>
      </c>
      <c r="S44" s="12" t="n">
        <f aca="false">IF(A44="","",IF(I_Parameter!$C$4&lt;=I_Parameter!$C$5,D44,IF(I_Parameter!$C$4&gt;I_Parameter!$C$6,N44,INDEX(H44:N44,I_Parameter!$C$4-I_Parameter!$C$5))))</f>
        <v>1395.69</v>
      </c>
      <c r="T44" s="11" t="n">
        <f aca="false">IF(A44="","",SUMIFS(T_Penjualan!$H$6:$H$1505,T_Penjualan!$G$6:$G$1505,A44,T_Penjualan!$B$6:$B$1505,"Order",T_Penjualan!$A$6:$A$1505,"&gt;="&amp;I_Parameter!$C$4,T_Penjualan!$A$6:$A$1505,"&lt;="&amp;I_Parameter!$C$6))</f>
        <v>0</v>
      </c>
      <c r="U44" s="11" t="n">
        <f aca="false">IF(A44="","",S44-T44)</f>
        <v>1395.69</v>
      </c>
      <c r="V44" s="11" t="n">
        <f aca="false">IF(A44="","",MIN(H44:N44))</f>
        <v>1395.69</v>
      </c>
      <c r="W44" s="10" t="n">
        <f aca="false">IF(A44="","",INDEX(I_Master!$F$6:$F$85,MATCH(A44,I_Master!$A$6:$A$85,0)))</f>
        <v>26261</v>
      </c>
      <c r="X44" s="11" t="n">
        <f aca="false">IF(OR(A44="",W44=""),"",W44-Q44)</f>
        <v>5261</v>
      </c>
      <c r="Y44" s="11" t="n">
        <f aca="false">IF(A44="","",S44*Q44)</f>
        <v>29309490</v>
      </c>
      <c r="Z44" s="9" t="str">
        <f aca="false">IF(A44="","",IF(V44&lt;-0.5,"KURANG: stok minus "&amp;ROUND(-V44,0)&amp;" kg — beli/potong atau geser order",IF(AND(S44&gt;0.5,T44&lt;=0,G44&gt;0.5),"JUAL: "&amp;ROUND(S44,0)&amp;" kg tanpa order, sebagian &gt; batas umur",IF(AND(S44&gt;0.5,T44&lt;=0),"JUAL: "&amp;ROUND(S44,0)&amp;" kg tanpa order minggu ini",IF(G44&gt;0.5,"PERHATIAN: "&amp;ROUND(G44,0)&amp;" kg di atas batas umur",IF(AND(X44&lt;&gt;"",X44&lt;0,T44&gt;0),"Order di bawah biaya rata-rata — cek harga","-"))))))</f>
        <v>JUAL: 1396 kg tanpa order, sebagian &gt; batas umur</v>
      </c>
    </row>
    <row r="45" customFormat="false" ht="15" hidden="false" customHeight="false" outlineLevel="0" collapsed="false">
      <c r="A45" s="34" t="str">
        <f aca="false">I_Master!A45</f>
        <v>Trading|Sayap|n/a</v>
      </c>
      <c r="B45" s="34" t="str">
        <f aca="false">IF(A45="","",INDEX(I_Master!$E$6:$E$85,MATCH(A45,I_Master!$A$6:$A$85,0)))</f>
        <v>Sayap</v>
      </c>
      <c r="C45" s="34" t="str">
        <f aca="false">IF(A45="","",INDEX(I_Master!$B$6:$B$85,MATCH(A45,I_Master!$A$6:$A$85,0)))</f>
        <v>Trading</v>
      </c>
      <c r="D45" s="10" t="n">
        <f aca="false">IF(A45="","",SUMIFS(I_Stok_Awal!$D$6:$D$305,I_Stok_Awal!$C$6:$C$305,A45))</f>
        <v>0</v>
      </c>
      <c r="E45" s="10" t="n">
        <f aca="false">IF(A45="","",SUMIFS(I_Stok_Awal!$E$6:$E$305,I_Stok_Awal!$C$6:$C$305,A45))</f>
        <v>0</v>
      </c>
      <c r="F45" s="35" t="str">
        <f aca="false">IF(OR(A45="",D45&lt;=0),"",SUMPRODUCT((I_Stok_Awal!$C$6:$C$305=A45)*I_Stok_Awal!$D$6:$D$305*I_Stok_Awal!$F$6:$F$305)/D45)</f>
        <v/>
      </c>
      <c r="G45" s="10" t="n">
        <f aca="false">IF(A45="","",SUMIFS(I_Stok_Awal!$G$6:$G$305,I_Stok_Awal!$C$6:$C$305,A45))</f>
        <v>0</v>
      </c>
      <c r="H45" s="11" t="n">
        <f aca="false">IF($A45="","",D45+SUMIFS(T_Penerimaan!$I$6:$I$1005,T_Penerimaan!$H$6:$H$1005,$A45,T_Penerimaan!$A$6:$A$1005,H$4,T_Penerimaan!$M$6:$M$1005,1)-SUMIFS(T_Penjualan!$H$6:$H$1505,T_Penjualan!$G$6:$G$1505,$A45,T_Penjualan!$A$6:$A$1505,H$4,T_Penjualan!$P$6:$P$1505,1))</f>
        <v>0</v>
      </c>
      <c r="I45" s="11" t="n">
        <f aca="false">IF($A45="","",H45+SUMIFS(T_Penerimaan!$I$6:$I$1005,T_Penerimaan!$H$6:$H$1005,$A45,T_Penerimaan!$A$6:$A$1005,I$4,T_Penerimaan!$M$6:$M$1005,1)-SUMIFS(T_Penjualan!$H$6:$H$1505,T_Penjualan!$G$6:$G$1505,$A45,T_Penjualan!$A$6:$A$1505,I$4,T_Penjualan!$P$6:$P$1505,1))</f>
        <v>0</v>
      </c>
      <c r="J45" s="11" t="n">
        <f aca="false">IF($A45="","",I45+SUMIFS(T_Penerimaan!$I$6:$I$1005,T_Penerimaan!$H$6:$H$1005,$A45,T_Penerimaan!$A$6:$A$1005,J$4,T_Penerimaan!$M$6:$M$1005,1)-SUMIFS(T_Penjualan!$H$6:$H$1505,T_Penjualan!$G$6:$G$1505,$A45,T_Penjualan!$A$6:$A$1505,J$4,T_Penjualan!$P$6:$P$1505,1))</f>
        <v>0</v>
      </c>
      <c r="K45" s="11" t="n">
        <f aca="false">IF($A45="","",J45+SUMIFS(T_Penerimaan!$I$6:$I$1005,T_Penerimaan!$H$6:$H$1005,$A45,T_Penerimaan!$A$6:$A$1005,K$4,T_Penerimaan!$M$6:$M$1005,1)-SUMIFS(T_Penjualan!$H$6:$H$1505,T_Penjualan!$G$6:$G$1505,$A45,T_Penjualan!$A$6:$A$1505,K$4,T_Penjualan!$P$6:$P$1505,1))</f>
        <v>6985</v>
      </c>
      <c r="L45" s="11" t="n">
        <f aca="false">IF($A45="","",K45+SUMIFS(T_Penerimaan!$I$6:$I$1005,T_Penerimaan!$H$6:$H$1005,$A45,T_Penerimaan!$A$6:$A$1005,L$4,T_Penerimaan!$M$6:$M$1005,1)-SUMIFS(T_Penjualan!$H$6:$H$1505,T_Penjualan!$G$6:$G$1505,$A45,T_Penjualan!$A$6:$A$1505,L$4,T_Penjualan!$P$6:$P$1505,1))</f>
        <v>6685</v>
      </c>
      <c r="M45" s="11" t="n">
        <f aca="false">IF($A45="","",L45+SUMIFS(T_Penerimaan!$I$6:$I$1005,T_Penerimaan!$H$6:$H$1005,$A45,T_Penerimaan!$A$6:$A$1005,M$4,T_Penerimaan!$M$6:$M$1005,1)-SUMIFS(T_Penjualan!$H$6:$H$1505,T_Penjualan!$G$6:$G$1505,$A45,T_Penjualan!$A$6:$A$1505,M$4,T_Penjualan!$P$6:$P$1505,1))</f>
        <v>6685</v>
      </c>
      <c r="N45" s="11" t="n">
        <f aca="false">IF($A45="","",M45+SUMIFS(T_Penerimaan!$I$6:$I$1005,T_Penerimaan!$H$6:$H$1005,$A45,T_Penerimaan!$A$6:$A$1005,N$4,T_Penerimaan!$M$6:$M$1005,1)-SUMIFS(T_Penjualan!$H$6:$H$1505,T_Penjualan!$G$6:$G$1505,$A45,T_Penjualan!$A$6:$A$1505,N$4,T_Penjualan!$P$6:$P$1505,1))</f>
        <v>6685</v>
      </c>
      <c r="O45" s="11" t="n">
        <f aca="false">IF(A45="","",SUMIFS(T_Penerimaan!$I$6:$I$1005,T_Penerimaan!$H$6:$H$1005,A45,T_Penerimaan!$M$6:$M$1005,1))</f>
        <v>6985</v>
      </c>
      <c r="P45" s="11" t="n">
        <f aca="false">IF(A45="","",SUMIFS(T_Penerimaan!$K$6:$K$1005,T_Penerimaan!$H$6:$H$1005,A45,T_Penerimaan!$M$6:$M$1005,1))</f>
        <v>199999968.3</v>
      </c>
      <c r="Q45" s="11" t="n">
        <f aca="false">IF(A45="","",IF(D45+O45&lt;=0,0,(E45+P45)/(D45+O45)))</f>
        <v>28632.78</v>
      </c>
      <c r="R45" s="11" t="n">
        <f aca="false">IF(A45="","",SUMIFS(T_Penjualan!$H$6:$H$1505,T_Penjualan!$G$6:$G$1505,A45,T_Penjualan!$P$6:$P$1505,1))</f>
        <v>300</v>
      </c>
      <c r="S45" s="12" t="n">
        <f aca="false">IF(A45="","",IF(I_Parameter!$C$4&lt;=I_Parameter!$C$5,D45,IF(I_Parameter!$C$4&gt;I_Parameter!$C$6,N45,INDEX(H45:N45,I_Parameter!$C$4-I_Parameter!$C$5))))</f>
        <v>0</v>
      </c>
      <c r="T45" s="11" t="n">
        <f aca="false">IF(A45="","",SUMIFS(T_Penjualan!$H$6:$H$1505,T_Penjualan!$G$6:$G$1505,A45,T_Penjualan!$B$6:$B$1505,"Order",T_Penjualan!$A$6:$A$1505,"&gt;="&amp;I_Parameter!$C$4,T_Penjualan!$A$6:$A$1505,"&lt;="&amp;I_Parameter!$C$6))</f>
        <v>300</v>
      </c>
      <c r="U45" s="11" t="n">
        <f aca="false">IF(A45="","",S45-T45)</f>
        <v>-300</v>
      </c>
      <c r="V45" s="11" t="n">
        <f aca="false">IF(A45="","",MIN(H45:N45))</f>
        <v>0</v>
      </c>
      <c r="W45" s="10" t="n">
        <f aca="false">IF(A45="","",INDEX(I_Master!$F$6:$F$85,MATCH(A45,I_Master!$A$6:$A$85,0)))</f>
        <v>31000</v>
      </c>
      <c r="X45" s="11" t="n">
        <f aca="false">IF(OR(A45="",W45=""),"",W45-Q45)</f>
        <v>2367.22</v>
      </c>
      <c r="Y45" s="11" t="n">
        <f aca="false">IF(A45="","",S45*Q45)</f>
        <v>0</v>
      </c>
      <c r="Z45" s="9" t="str">
        <f aca="false">IF(A45="","",IF(V45&lt;-0.5,"KURANG: stok minus "&amp;ROUND(-V45,0)&amp;" kg — beli/potong atau geser order",IF(AND(S45&gt;0.5,T45&lt;=0,G45&gt;0.5),"JUAL: "&amp;ROUND(S45,0)&amp;" kg tanpa order, sebagian &gt; batas umur",IF(AND(S45&gt;0.5,T45&lt;=0),"JUAL: "&amp;ROUND(S45,0)&amp;" kg tanpa order minggu ini",IF(G45&gt;0.5,"PERHATIAN: "&amp;ROUND(G45,0)&amp;" kg di atas batas umur",IF(AND(X45&lt;&gt;"",X45&lt;0,T45&gt;0),"Order di bawah biaya rata-rata — cek harga","-"))))))</f>
        <v>-</v>
      </c>
    </row>
    <row r="46" customFormat="false" ht="15" hidden="false" customHeight="false" outlineLevel="0" collapsed="false">
      <c r="A46" s="34" t="str">
        <f aca="false">I_Master!A46</f>
        <v>Trading|Usus|Fresh</v>
      </c>
      <c r="B46" s="34" t="str">
        <f aca="false">IF(A46="","",INDEX(I_Master!$E$6:$E$85,MATCH(A46,I_Master!$A$6:$A$85,0)))</f>
        <v>Usus</v>
      </c>
      <c r="C46" s="34" t="str">
        <f aca="false">IF(A46="","",INDEX(I_Master!$B$6:$B$85,MATCH(A46,I_Master!$A$6:$A$85,0)))</f>
        <v>Trading</v>
      </c>
      <c r="D46" s="10" t="n">
        <f aca="false">IF(A46="","",SUMIFS(I_Stok_Awal!$D$6:$D$305,I_Stok_Awal!$C$6:$C$305,A46))</f>
        <v>0</v>
      </c>
      <c r="E46" s="10" t="n">
        <f aca="false">IF(A46="","",SUMIFS(I_Stok_Awal!$E$6:$E$305,I_Stok_Awal!$C$6:$C$305,A46))</f>
        <v>0</v>
      </c>
      <c r="F46" s="35" t="str">
        <f aca="false">IF(OR(A46="",D46&lt;=0),"",SUMPRODUCT((I_Stok_Awal!$C$6:$C$305=A46)*I_Stok_Awal!$D$6:$D$305*I_Stok_Awal!$F$6:$F$305)/D46)</f>
        <v/>
      </c>
      <c r="G46" s="10" t="n">
        <f aca="false">IF(A46="","",SUMIFS(I_Stok_Awal!$G$6:$G$305,I_Stok_Awal!$C$6:$C$305,A46))</f>
        <v>0</v>
      </c>
      <c r="H46" s="11" t="n">
        <f aca="false">IF($A46="","",D46+SUMIFS(T_Penerimaan!$I$6:$I$1005,T_Penerimaan!$H$6:$H$1005,$A46,T_Penerimaan!$A$6:$A$1005,H$4,T_Penerimaan!$M$6:$M$1005,1)-SUMIFS(T_Penjualan!$H$6:$H$1505,T_Penjualan!$G$6:$G$1505,$A46,T_Penjualan!$A$6:$A$1505,H$4,T_Penjualan!$P$6:$P$1505,1))</f>
        <v>0</v>
      </c>
      <c r="I46" s="11" t="n">
        <f aca="false">IF($A46="","",H46+SUMIFS(T_Penerimaan!$I$6:$I$1005,T_Penerimaan!$H$6:$H$1005,$A46,T_Penerimaan!$A$6:$A$1005,I$4,T_Penerimaan!$M$6:$M$1005,1)-SUMIFS(T_Penjualan!$H$6:$H$1505,T_Penjualan!$G$6:$G$1505,$A46,T_Penjualan!$A$6:$A$1505,I$4,T_Penjualan!$P$6:$P$1505,1))</f>
        <v>0</v>
      </c>
      <c r="J46" s="11" t="n">
        <f aca="false">IF($A46="","",I46+SUMIFS(T_Penerimaan!$I$6:$I$1005,T_Penerimaan!$H$6:$H$1005,$A46,T_Penerimaan!$A$6:$A$1005,J$4,T_Penerimaan!$M$6:$M$1005,1)-SUMIFS(T_Penjualan!$H$6:$H$1505,T_Penjualan!$G$6:$G$1505,$A46,T_Penjualan!$A$6:$A$1505,J$4,T_Penjualan!$P$6:$P$1505,1))</f>
        <v>0</v>
      </c>
      <c r="K46" s="11" t="n">
        <f aca="false">IF($A46="","",J46+SUMIFS(T_Penerimaan!$I$6:$I$1005,T_Penerimaan!$H$6:$H$1005,$A46,T_Penerimaan!$A$6:$A$1005,K$4,T_Penerimaan!$M$6:$M$1005,1)-SUMIFS(T_Penjualan!$H$6:$H$1505,T_Penjualan!$G$6:$G$1505,$A46,T_Penjualan!$A$6:$A$1505,K$4,T_Penjualan!$P$6:$P$1505,1))</f>
        <v>0</v>
      </c>
      <c r="L46" s="11" t="n">
        <f aca="false">IF($A46="","",K46+SUMIFS(T_Penerimaan!$I$6:$I$1005,T_Penerimaan!$H$6:$H$1005,$A46,T_Penerimaan!$A$6:$A$1005,L$4,T_Penerimaan!$M$6:$M$1005,1)-SUMIFS(T_Penjualan!$H$6:$H$1505,T_Penjualan!$G$6:$G$1505,$A46,T_Penjualan!$A$6:$A$1505,L$4,T_Penjualan!$P$6:$P$1505,1))</f>
        <v>0</v>
      </c>
      <c r="M46" s="11" t="n">
        <f aca="false">IF($A46="","",L46+SUMIFS(T_Penerimaan!$I$6:$I$1005,T_Penerimaan!$H$6:$H$1005,$A46,T_Penerimaan!$A$6:$A$1005,M$4,T_Penerimaan!$M$6:$M$1005,1)-SUMIFS(T_Penjualan!$H$6:$H$1505,T_Penjualan!$G$6:$G$1505,$A46,T_Penjualan!$A$6:$A$1505,M$4,T_Penjualan!$P$6:$P$1505,1))</f>
        <v>0</v>
      </c>
      <c r="N46" s="11" t="n">
        <f aca="false">IF($A46="","",M46+SUMIFS(T_Penerimaan!$I$6:$I$1005,T_Penerimaan!$H$6:$H$1005,$A46,T_Penerimaan!$A$6:$A$1005,N$4,T_Penerimaan!$M$6:$M$1005,1)-SUMIFS(T_Penjualan!$H$6:$H$1505,T_Penjualan!$G$6:$G$1505,$A46,T_Penjualan!$A$6:$A$1505,N$4,T_Penjualan!$P$6:$P$1505,1))</f>
        <v>0</v>
      </c>
      <c r="O46" s="11" t="n">
        <f aca="false">IF(A46="","",SUMIFS(T_Penerimaan!$I$6:$I$1005,T_Penerimaan!$H$6:$H$1005,A46,T_Penerimaan!$M$6:$M$1005,1))</f>
        <v>0</v>
      </c>
      <c r="P46" s="11" t="n">
        <f aca="false">IF(A46="","",SUMIFS(T_Penerimaan!$K$6:$K$1005,T_Penerimaan!$H$6:$H$1005,A46,T_Penerimaan!$M$6:$M$1005,1))</f>
        <v>0</v>
      </c>
      <c r="Q46" s="11" t="n">
        <f aca="false">IF(A46="","",IF(D46+O46&lt;=0,0,(E46+P46)/(D46+O46)))</f>
        <v>0</v>
      </c>
      <c r="R46" s="11" t="n">
        <f aca="false">IF(A46="","",SUMIFS(T_Penjualan!$H$6:$H$1505,T_Penjualan!$G$6:$G$1505,A46,T_Penjualan!$P$6:$P$1505,1))</f>
        <v>0</v>
      </c>
      <c r="S46" s="12" t="n">
        <f aca="false">IF(A46="","",IF(I_Parameter!$C$4&lt;=I_Parameter!$C$5,D46,IF(I_Parameter!$C$4&gt;I_Parameter!$C$6,N46,INDEX(H46:N46,I_Parameter!$C$4-I_Parameter!$C$5))))</f>
        <v>0</v>
      </c>
      <c r="T46" s="11" t="n">
        <f aca="false">IF(A46="","",SUMIFS(T_Penjualan!$H$6:$H$1505,T_Penjualan!$G$6:$G$1505,A46,T_Penjualan!$B$6:$B$1505,"Order",T_Penjualan!$A$6:$A$1505,"&gt;="&amp;I_Parameter!$C$4,T_Penjualan!$A$6:$A$1505,"&lt;="&amp;I_Parameter!$C$6))</f>
        <v>0</v>
      </c>
      <c r="U46" s="11" t="n">
        <f aca="false">IF(A46="","",S46-T46)</f>
        <v>0</v>
      </c>
      <c r="V46" s="11" t="n">
        <f aca="false">IF(A46="","",MIN(H46:N46))</f>
        <v>0</v>
      </c>
      <c r="W46" s="10" t="n">
        <f aca="false">IF(A46="","",INDEX(I_Master!$F$6:$F$85,MATCH(A46,I_Master!$A$6:$A$85,0)))</f>
        <v>14000</v>
      </c>
      <c r="X46" s="11" t="n">
        <f aca="false">IF(OR(A46="",W46=""),"",W46-Q46)</f>
        <v>14000</v>
      </c>
      <c r="Y46" s="11" t="n">
        <f aca="false">IF(A46="","",S46*Q46)</f>
        <v>0</v>
      </c>
      <c r="Z46" s="9" t="str">
        <f aca="false">IF(A46="","",IF(V46&lt;-0.5,"KURANG: stok minus "&amp;ROUND(-V46,0)&amp;" kg — beli/potong atau geser order",IF(AND(S46&gt;0.5,T46&lt;=0,G46&gt;0.5),"JUAL: "&amp;ROUND(S46,0)&amp;" kg tanpa order, sebagian &gt; batas umur",IF(AND(S46&gt;0.5,T46&lt;=0),"JUAL: "&amp;ROUND(S46,0)&amp;" kg tanpa order minggu ini",IF(G46&gt;0.5,"PERHATIAN: "&amp;ROUND(G46,0)&amp;" kg di atas batas umur",IF(AND(X46&lt;&gt;"",X46&lt;0,T46&gt;0),"Order di bawah biaya rata-rata — cek harga","-"))))))</f>
        <v>-</v>
      </c>
    </row>
    <row r="47" customFormat="false" ht="15" hidden="false" customHeight="false" outlineLevel="0" collapsed="false">
      <c r="A47" s="34" t="str">
        <f aca="false">IF(I_Master!A47="","",I_Master!A47)</f>
        <v/>
      </c>
      <c r="B47" s="34" t="str">
        <f aca="false">IF(A47="","",INDEX(I_Master!$E$6:$E$85,MATCH(A47,I_Master!$A$6:$A$85,0)))</f>
        <v/>
      </c>
      <c r="C47" s="34" t="str">
        <f aca="false">IF(A47="","",INDEX(I_Master!$B$6:$B$85,MATCH(A47,I_Master!$A$6:$A$85,0)))</f>
        <v/>
      </c>
      <c r="D47" s="10" t="str">
        <f aca="false">IF(A47="","",SUMIFS(I_Stok_Awal!$D$6:$D$305,I_Stok_Awal!$C$6:$C$305,A47))</f>
        <v/>
      </c>
      <c r="E47" s="10" t="str">
        <f aca="false">IF(A47="","",SUMIFS(I_Stok_Awal!$E$6:$E$305,I_Stok_Awal!$C$6:$C$305,A47))</f>
        <v/>
      </c>
      <c r="F47" s="35" t="str">
        <f aca="false">IF(OR(A47="",D47&lt;=0),"",SUMPRODUCT((I_Stok_Awal!$C$6:$C$305=A47)*I_Stok_Awal!$D$6:$D$305*I_Stok_Awal!$F$6:$F$305)/D47)</f>
        <v/>
      </c>
      <c r="G47" s="10" t="str">
        <f aca="false">IF(A47="","",SUMIFS(I_Stok_Awal!$G$6:$G$305,I_Stok_Awal!$C$6:$C$305,A47))</f>
        <v/>
      </c>
      <c r="H47" s="11" t="str">
        <f aca="false">IF($A47="","",D47+SUMIFS(T_Penerimaan!$I$6:$I$1005,T_Penerimaan!$H$6:$H$1005,$A47,T_Penerimaan!$A$6:$A$1005,H$4,T_Penerimaan!$M$6:$M$1005,1)-SUMIFS(T_Penjualan!$H$6:$H$1505,T_Penjualan!$G$6:$G$1505,$A47,T_Penjualan!$A$6:$A$1505,H$4,T_Penjualan!$P$6:$P$1505,1))</f>
        <v/>
      </c>
      <c r="I47" s="11" t="str">
        <f aca="false">IF($A47="","",H47+SUMIFS(T_Penerimaan!$I$6:$I$1005,T_Penerimaan!$H$6:$H$1005,$A47,T_Penerimaan!$A$6:$A$1005,I$4,T_Penerimaan!$M$6:$M$1005,1)-SUMIFS(T_Penjualan!$H$6:$H$1505,T_Penjualan!$G$6:$G$1505,$A47,T_Penjualan!$A$6:$A$1505,I$4,T_Penjualan!$P$6:$P$1505,1))</f>
        <v/>
      </c>
      <c r="J47" s="11" t="str">
        <f aca="false">IF($A47="","",I47+SUMIFS(T_Penerimaan!$I$6:$I$1005,T_Penerimaan!$H$6:$H$1005,$A47,T_Penerimaan!$A$6:$A$1005,J$4,T_Penerimaan!$M$6:$M$1005,1)-SUMIFS(T_Penjualan!$H$6:$H$1505,T_Penjualan!$G$6:$G$1505,$A47,T_Penjualan!$A$6:$A$1505,J$4,T_Penjualan!$P$6:$P$1505,1))</f>
        <v/>
      </c>
      <c r="K47" s="11" t="str">
        <f aca="false">IF($A47="","",J47+SUMIFS(T_Penerimaan!$I$6:$I$1005,T_Penerimaan!$H$6:$H$1005,$A47,T_Penerimaan!$A$6:$A$1005,K$4,T_Penerimaan!$M$6:$M$1005,1)-SUMIFS(T_Penjualan!$H$6:$H$1505,T_Penjualan!$G$6:$G$1505,$A47,T_Penjualan!$A$6:$A$1505,K$4,T_Penjualan!$P$6:$P$1505,1))</f>
        <v/>
      </c>
      <c r="L47" s="11" t="str">
        <f aca="false">IF($A47="","",K47+SUMIFS(T_Penerimaan!$I$6:$I$1005,T_Penerimaan!$H$6:$H$1005,$A47,T_Penerimaan!$A$6:$A$1005,L$4,T_Penerimaan!$M$6:$M$1005,1)-SUMIFS(T_Penjualan!$H$6:$H$1505,T_Penjualan!$G$6:$G$1505,$A47,T_Penjualan!$A$6:$A$1505,L$4,T_Penjualan!$P$6:$P$1505,1))</f>
        <v/>
      </c>
      <c r="M47" s="11" t="str">
        <f aca="false">IF($A47="","",L47+SUMIFS(T_Penerimaan!$I$6:$I$1005,T_Penerimaan!$H$6:$H$1005,$A47,T_Penerimaan!$A$6:$A$1005,M$4,T_Penerimaan!$M$6:$M$1005,1)-SUMIFS(T_Penjualan!$H$6:$H$1505,T_Penjualan!$G$6:$G$1505,$A47,T_Penjualan!$A$6:$A$1505,M$4,T_Penjualan!$P$6:$P$1505,1))</f>
        <v/>
      </c>
      <c r="N47" s="11" t="str">
        <f aca="false">IF($A47="","",M47+SUMIFS(T_Penerimaan!$I$6:$I$1005,T_Penerimaan!$H$6:$H$1005,$A47,T_Penerimaan!$A$6:$A$1005,N$4,T_Penerimaan!$M$6:$M$1005,1)-SUMIFS(T_Penjualan!$H$6:$H$1505,T_Penjualan!$G$6:$G$1505,$A47,T_Penjualan!$A$6:$A$1505,N$4,T_Penjualan!$P$6:$P$1505,1))</f>
        <v/>
      </c>
      <c r="O47" s="11" t="str">
        <f aca="false">IF(A47="","",SUMIFS(T_Penerimaan!$I$6:$I$1005,T_Penerimaan!$H$6:$H$1005,A47,T_Penerimaan!$M$6:$M$1005,1))</f>
        <v/>
      </c>
      <c r="P47" s="11" t="str">
        <f aca="false">IF(A47="","",SUMIFS(T_Penerimaan!$K$6:$K$1005,T_Penerimaan!$H$6:$H$1005,A47,T_Penerimaan!$M$6:$M$1005,1))</f>
        <v/>
      </c>
      <c r="Q47" s="11" t="str">
        <f aca="false">IF(A47="","",IF(D47+O47&lt;=0,0,(E47+P47)/(D47+O47)))</f>
        <v/>
      </c>
      <c r="R47" s="11" t="str">
        <f aca="false">IF(A47="","",SUMIFS(T_Penjualan!$H$6:$H$1505,T_Penjualan!$G$6:$G$1505,A47,T_Penjualan!$P$6:$P$1505,1))</f>
        <v/>
      </c>
      <c r="S47" s="12" t="str">
        <f aca="false">IF(A47="","",IF(I_Parameter!$C$4&lt;=I_Parameter!$C$5,D47,IF(I_Parameter!$C$4&gt;I_Parameter!$C$6,N47,INDEX(H47:N47,I_Parameter!$C$4-I_Parameter!$C$5))))</f>
        <v/>
      </c>
      <c r="T47" s="11" t="str">
        <f aca="false">IF(A47="","",SUMIFS(T_Penjualan!$H$6:$H$1505,T_Penjualan!$G$6:$G$1505,A47,T_Penjualan!$B$6:$B$1505,"Order",T_Penjualan!$A$6:$A$1505,"&gt;="&amp;I_Parameter!$C$4,T_Penjualan!$A$6:$A$1505,"&lt;="&amp;I_Parameter!$C$6))</f>
        <v/>
      </c>
      <c r="U47" s="11" t="str">
        <f aca="false">IF(A47="","",S47-T47)</f>
        <v/>
      </c>
      <c r="V47" s="11" t="str">
        <f aca="false">IF(A47="","",MIN(H47:N47))</f>
        <v/>
      </c>
      <c r="W47" s="10" t="str">
        <f aca="false">IF(A47="","",INDEX(I_Master!$F$6:$F$85,MATCH(A47,I_Master!$A$6:$A$85,0)))</f>
        <v/>
      </c>
      <c r="X47" s="11" t="str">
        <f aca="false">IF(OR(A47="",W47=""),"",W47-Q47)</f>
        <v/>
      </c>
      <c r="Y47" s="11" t="str">
        <f aca="false">IF(A47="","",S47*Q47)</f>
        <v/>
      </c>
      <c r="Z47" s="9" t="str">
        <f aca="false">IF(A47="","",IF(V47&lt;-0.5,"KURANG: stok minus "&amp;ROUND(-V47,0)&amp;" kg — beli/potong atau geser order",IF(AND(S47&gt;0.5,T47&lt;=0,G47&gt;0.5),"JUAL: "&amp;ROUND(S47,0)&amp;" kg tanpa order, sebagian &gt; batas umur",IF(AND(S47&gt;0.5,T47&lt;=0),"JUAL: "&amp;ROUND(S47,0)&amp;" kg tanpa order minggu ini",IF(G47&gt;0.5,"PERHATIAN: "&amp;ROUND(G47,0)&amp;" kg di atas batas umur",IF(AND(X47&lt;&gt;"",X47&lt;0,T47&gt;0),"Order di bawah biaya rata-rata — cek harga","-"))))))</f>
        <v/>
      </c>
    </row>
    <row r="48" customFormat="false" ht="15" hidden="false" customHeight="false" outlineLevel="0" collapsed="false">
      <c r="A48" s="34" t="str">
        <f aca="false">IF(I_Master!A48="","",I_Master!A48)</f>
        <v/>
      </c>
      <c r="B48" s="34" t="str">
        <f aca="false">IF(A48="","",INDEX(I_Master!$E$6:$E$85,MATCH(A48,I_Master!$A$6:$A$85,0)))</f>
        <v/>
      </c>
      <c r="C48" s="34" t="str">
        <f aca="false">IF(A48="","",INDEX(I_Master!$B$6:$B$85,MATCH(A48,I_Master!$A$6:$A$85,0)))</f>
        <v/>
      </c>
      <c r="D48" s="10" t="str">
        <f aca="false">IF(A48="","",SUMIFS(I_Stok_Awal!$D$6:$D$305,I_Stok_Awal!$C$6:$C$305,A48))</f>
        <v/>
      </c>
      <c r="E48" s="10" t="str">
        <f aca="false">IF(A48="","",SUMIFS(I_Stok_Awal!$E$6:$E$305,I_Stok_Awal!$C$6:$C$305,A48))</f>
        <v/>
      </c>
      <c r="F48" s="35" t="str">
        <f aca="false">IF(OR(A48="",D48&lt;=0),"",SUMPRODUCT((I_Stok_Awal!$C$6:$C$305=A48)*I_Stok_Awal!$D$6:$D$305*I_Stok_Awal!$F$6:$F$305)/D48)</f>
        <v/>
      </c>
      <c r="G48" s="10" t="str">
        <f aca="false">IF(A48="","",SUMIFS(I_Stok_Awal!$G$6:$G$305,I_Stok_Awal!$C$6:$C$305,A48))</f>
        <v/>
      </c>
      <c r="H48" s="11" t="str">
        <f aca="false">IF($A48="","",D48+SUMIFS(T_Penerimaan!$I$6:$I$1005,T_Penerimaan!$H$6:$H$1005,$A48,T_Penerimaan!$A$6:$A$1005,H$4,T_Penerimaan!$M$6:$M$1005,1)-SUMIFS(T_Penjualan!$H$6:$H$1505,T_Penjualan!$G$6:$G$1505,$A48,T_Penjualan!$A$6:$A$1505,H$4,T_Penjualan!$P$6:$P$1505,1))</f>
        <v/>
      </c>
      <c r="I48" s="11" t="str">
        <f aca="false">IF($A48="","",H48+SUMIFS(T_Penerimaan!$I$6:$I$1005,T_Penerimaan!$H$6:$H$1005,$A48,T_Penerimaan!$A$6:$A$1005,I$4,T_Penerimaan!$M$6:$M$1005,1)-SUMIFS(T_Penjualan!$H$6:$H$1505,T_Penjualan!$G$6:$G$1505,$A48,T_Penjualan!$A$6:$A$1505,I$4,T_Penjualan!$P$6:$P$1505,1))</f>
        <v/>
      </c>
      <c r="J48" s="11" t="str">
        <f aca="false">IF($A48="","",I48+SUMIFS(T_Penerimaan!$I$6:$I$1005,T_Penerimaan!$H$6:$H$1005,$A48,T_Penerimaan!$A$6:$A$1005,J$4,T_Penerimaan!$M$6:$M$1005,1)-SUMIFS(T_Penjualan!$H$6:$H$1505,T_Penjualan!$G$6:$G$1505,$A48,T_Penjualan!$A$6:$A$1505,J$4,T_Penjualan!$P$6:$P$1505,1))</f>
        <v/>
      </c>
      <c r="K48" s="11" t="str">
        <f aca="false">IF($A48="","",J48+SUMIFS(T_Penerimaan!$I$6:$I$1005,T_Penerimaan!$H$6:$H$1005,$A48,T_Penerimaan!$A$6:$A$1005,K$4,T_Penerimaan!$M$6:$M$1005,1)-SUMIFS(T_Penjualan!$H$6:$H$1505,T_Penjualan!$G$6:$G$1505,$A48,T_Penjualan!$A$6:$A$1505,K$4,T_Penjualan!$P$6:$P$1505,1))</f>
        <v/>
      </c>
      <c r="L48" s="11" t="str">
        <f aca="false">IF($A48="","",K48+SUMIFS(T_Penerimaan!$I$6:$I$1005,T_Penerimaan!$H$6:$H$1005,$A48,T_Penerimaan!$A$6:$A$1005,L$4,T_Penerimaan!$M$6:$M$1005,1)-SUMIFS(T_Penjualan!$H$6:$H$1505,T_Penjualan!$G$6:$G$1505,$A48,T_Penjualan!$A$6:$A$1505,L$4,T_Penjualan!$P$6:$P$1505,1))</f>
        <v/>
      </c>
      <c r="M48" s="11" t="str">
        <f aca="false">IF($A48="","",L48+SUMIFS(T_Penerimaan!$I$6:$I$1005,T_Penerimaan!$H$6:$H$1005,$A48,T_Penerimaan!$A$6:$A$1005,M$4,T_Penerimaan!$M$6:$M$1005,1)-SUMIFS(T_Penjualan!$H$6:$H$1505,T_Penjualan!$G$6:$G$1505,$A48,T_Penjualan!$A$6:$A$1505,M$4,T_Penjualan!$P$6:$P$1505,1))</f>
        <v/>
      </c>
      <c r="N48" s="11" t="str">
        <f aca="false">IF($A48="","",M48+SUMIFS(T_Penerimaan!$I$6:$I$1005,T_Penerimaan!$H$6:$H$1005,$A48,T_Penerimaan!$A$6:$A$1005,N$4,T_Penerimaan!$M$6:$M$1005,1)-SUMIFS(T_Penjualan!$H$6:$H$1505,T_Penjualan!$G$6:$G$1505,$A48,T_Penjualan!$A$6:$A$1505,N$4,T_Penjualan!$P$6:$P$1505,1))</f>
        <v/>
      </c>
      <c r="O48" s="11" t="str">
        <f aca="false">IF(A48="","",SUMIFS(T_Penerimaan!$I$6:$I$1005,T_Penerimaan!$H$6:$H$1005,A48,T_Penerimaan!$M$6:$M$1005,1))</f>
        <v/>
      </c>
      <c r="P48" s="11" t="str">
        <f aca="false">IF(A48="","",SUMIFS(T_Penerimaan!$K$6:$K$1005,T_Penerimaan!$H$6:$H$1005,A48,T_Penerimaan!$M$6:$M$1005,1))</f>
        <v/>
      </c>
      <c r="Q48" s="11" t="str">
        <f aca="false">IF(A48="","",IF(D48+O48&lt;=0,0,(E48+P48)/(D48+O48)))</f>
        <v/>
      </c>
      <c r="R48" s="11" t="str">
        <f aca="false">IF(A48="","",SUMIFS(T_Penjualan!$H$6:$H$1505,T_Penjualan!$G$6:$G$1505,A48,T_Penjualan!$P$6:$P$1505,1))</f>
        <v/>
      </c>
      <c r="S48" s="12" t="str">
        <f aca="false">IF(A48="","",IF(I_Parameter!$C$4&lt;=I_Parameter!$C$5,D48,IF(I_Parameter!$C$4&gt;I_Parameter!$C$6,N48,INDEX(H48:N48,I_Parameter!$C$4-I_Parameter!$C$5))))</f>
        <v/>
      </c>
      <c r="T48" s="11" t="str">
        <f aca="false">IF(A48="","",SUMIFS(T_Penjualan!$H$6:$H$1505,T_Penjualan!$G$6:$G$1505,A48,T_Penjualan!$B$6:$B$1505,"Order",T_Penjualan!$A$6:$A$1505,"&gt;="&amp;I_Parameter!$C$4,T_Penjualan!$A$6:$A$1505,"&lt;="&amp;I_Parameter!$C$6))</f>
        <v/>
      </c>
      <c r="U48" s="11" t="str">
        <f aca="false">IF(A48="","",S48-T48)</f>
        <v/>
      </c>
      <c r="V48" s="11" t="str">
        <f aca="false">IF(A48="","",MIN(H48:N48))</f>
        <v/>
      </c>
      <c r="W48" s="10" t="str">
        <f aca="false">IF(A48="","",INDEX(I_Master!$F$6:$F$85,MATCH(A48,I_Master!$A$6:$A$85,0)))</f>
        <v/>
      </c>
      <c r="X48" s="11" t="str">
        <f aca="false">IF(OR(A48="",W48=""),"",W48-Q48)</f>
        <v/>
      </c>
      <c r="Y48" s="11" t="str">
        <f aca="false">IF(A48="","",S48*Q48)</f>
        <v/>
      </c>
      <c r="Z48" s="9" t="str">
        <f aca="false">IF(A48="","",IF(V48&lt;-0.5,"KURANG: stok minus "&amp;ROUND(-V48,0)&amp;" kg — beli/potong atau geser order",IF(AND(S48&gt;0.5,T48&lt;=0,G48&gt;0.5),"JUAL: "&amp;ROUND(S48,0)&amp;" kg tanpa order, sebagian &gt; batas umur",IF(AND(S48&gt;0.5,T48&lt;=0),"JUAL: "&amp;ROUND(S48,0)&amp;" kg tanpa order minggu ini",IF(G48&gt;0.5,"PERHATIAN: "&amp;ROUND(G48,0)&amp;" kg di atas batas umur",IF(AND(X48&lt;&gt;"",X48&lt;0,T48&gt;0),"Order di bawah biaya rata-rata — cek harga","-"))))))</f>
        <v/>
      </c>
    </row>
    <row r="49" customFormat="false" ht="15" hidden="false" customHeight="false" outlineLevel="0" collapsed="false">
      <c r="A49" s="34" t="str">
        <f aca="false">IF(I_Master!A49="","",I_Master!A49)</f>
        <v/>
      </c>
      <c r="B49" s="34" t="str">
        <f aca="false">IF(A49="","",INDEX(I_Master!$E$6:$E$85,MATCH(A49,I_Master!$A$6:$A$85,0)))</f>
        <v/>
      </c>
      <c r="C49" s="34" t="str">
        <f aca="false">IF(A49="","",INDEX(I_Master!$B$6:$B$85,MATCH(A49,I_Master!$A$6:$A$85,0)))</f>
        <v/>
      </c>
      <c r="D49" s="10" t="str">
        <f aca="false">IF(A49="","",SUMIFS(I_Stok_Awal!$D$6:$D$305,I_Stok_Awal!$C$6:$C$305,A49))</f>
        <v/>
      </c>
      <c r="E49" s="10" t="str">
        <f aca="false">IF(A49="","",SUMIFS(I_Stok_Awal!$E$6:$E$305,I_Stok_Awal!$C$6:$C$305,A49))</f>
        <v/>
      </c>
      <c r="F49" s="35" t="str">
        <f aca="false">IF(OR(A49="",D49&lt;=0),"",SUMPRODUCT((I_Stok_Awal!$C$6:$C$305=A49)*I_Stok_Awal!$D$6:$D$305*I_Stok_Awal!$F$6:$F$305)/D49)</f>
        <v/>
      </c>
      <c r="G49" s="10" t="str">
        <f aca="false">IF(A49="","",SUMIFS(I_Stok_Awal!$G$6:$G$305,I_Stok_Awal!$C$6:$C$305,A49))</f>
        <v/>
      </c>
      <c r="H49" s="11" t="str">
        <f aca="false">IF($A49="","",D49+SUMIFS(T_Penerimaan!$I$6:$I$1005,T_Penerimaan!$H$6:$H$1005,$A49,T_Penerimaan!$A$6:$A$1005,H$4,T_Penerimaan!$M$6:$M$1005,1)-SUMIFS(T_Penjualan!$H$6:$H$1505,T_Penjualan!$G$6:$G$1505,$A49,T_Penjualan!$A$6:$A$1505,H$4,T_Penjualan!$P$6:$P$1505,1))</f>
        <v/>
      </c>
      <c r="I49" s="11" t="str">
        <f aca="false">IF($A49="","",H49+SUMIFS(T_Penerimaan!$I$6:$I$1005,T_Penerimaan!$H$6:$H$1005,$A49,T_Penerimaan!$A$6:$A$1005,I$4,T_Penerimaan!$M$6:$M$1005,1)-SUMIFS(T_Penjualan!$H$6:$H$1505,T_Penjualan!$G$6:$G$1505,$A49,T_Penjualan!$A$6:$A$1505,I$4,T_Penjualan!$P$6:$P$1505,1))</f>
        <v/>
      </c>
      <c r="J49" s="11" t="str">
        <f aca="false">IF($A49="","",I49+SUMIFS(T_Penerimaan!$I$6:$I$1005,T_Penerimaan!$H$6:$H$1005,$A49,T_Penerimaan!$A$6:$A$1005,J$4,T_Penerimaan!$M$6:$M$1005,1)-SUMIFS(T_Penjualan!$H$6:$H$1505,T_Penjualan!$G$6:$G$1505,$A49,T_Penjualan!$A$6:$A$1505,J$4,T_Penjualan!$P$6:$P$1505,1))</f>
        <v/>
      </c>
      <c r="K49" s="11" t="str">
        <f aca="false">IF($A49="","",J49+SUMIFS(T_Penerimaan!$I$6:$I$1005,T_Penerimaan!$H$6:$H$1005,$A49,T_Penerimaan!$A$6:$A$1005,K$4,T_Penerimaan!$M$6:$M$1005,1)-SUMIFS(T_Penjualan!$H$6:$H$1505,T_Penjualan!$G$6:$G$1505,$A49,T_Penjualan!$A$6:$A$1505,K$4,T_Penjualan!$P$6:$P$1505,1))</f>
        <v/>
      </c>
      <c r="L49" s="11" t="str">
        <f aca="false">IF($A49="","",K49+SUMIFS(T_Penerimaan!$I$6:$I$1005,T_Penerimaan!$H$6:$H$1005,$A49,T_Penerimaan!$A$6:$A$1005,L$4,T_Penerimaan!$M$6:$M$1005,1)-SUMIFS(T_Penjualan!$H$6:$H$1505,T_Penjualan!$G$6:$G$1505,$A49,T_Penjualan!$A$6:$A$1505,L$4,T_Penjualan!$P$6:$P$1505,1))</f>
        <v/>
      </c>
      <c r="M49" s="11" t="str">
        <f aca="false">IF($A49="","",L49+SUMIFS(T_Penerimaan!$I$6:$I$1005,T_Penerimaan!$H$6:$H$1005,$A49,T_Penerimaan!$A$6:$A$1005,M$4,T_Penerimaan!$M$6:$M$1005,1)-SUMIFS(T_Penjualan!$H$6:$H$1505,T_Penjualan!$G$6:$G$1505,$A49,T_Penjualan!$A$6:$A$1505,M$4,T_Penjualan!$P$6:$P$1505,1))</f>
        <v/>
      </c>
      <c r="N49" s="11" t="str">
        <f aca="false">IF($A49="","",M49+SUMIFS(T_Penerimaan!$I$6:$I$1005,T_Penerimaan!$H$6:$H$1005,$A49,T_Penerimaan!$A$6:$A$1005,N$4,T_Penerimaan!$M$6:$M$1005,1)-SUMIFS(T_Penjualan!$H$6:$H$1505,T_Penjualan!$G$6:$G$1505,$A49,T_Penjualan!$A$6:$A$1505,N$4,T_Penjualan!$P$6:$P$1505,1))</f>
        <v/>
      </c>
      <c r="O49" s="11" t="str">
        <f aca="false">IF(A49="","",SUMIFS(T_Penerimaan!$I$6:$I$1005,T_Penerimaan!$H$6:$H$1005,A49,T_Penerimaan!$M$6:$M$1005,1))</f>
        <v/>
      </c>
      <c r="P49" s="11" t="str">
        <f aca="false">IF(A49="","",SUMIFS(T_Penerimaan!$K$6:$K$1005,T_Penerimaan!$H$6:$H$1005,A49,T_Penerimaan!$M$6:$M$1005,1))</f>
        <v/>
      </c>
      <c r="Q49" s="11" t="str">
        <f aca="false">IF(A49="","",IF(D49+O49&lt;=0,0,(E49+P49)/(D49+O49)))</f>
        <v/>
      </c>
      <c r="R49" s="11" t="str">
        <f aca="false">IF(A49="","",SUMIFS(T_Penjualan!$H$6:$H$1505,T_Penjualan!$G$6:$G$1505,A49,T_Penjualan!$P$6:$P$1505,1))</f>
        <v/>
      </c>
      <c r="S49" s="12" t="str">
        <f aca="false">IF(A49="","",IF(I_Parameter!$C$4&lt;=I_Parameter!$C$5,D49,IF(I_Parameter!$C$4&gt;I_Parameter!$C$6,N49,INDEX(H49:N49,I_Parameter!$C$4-I_Parameter!$C$5))))</f>
        <v/>
      </c>
      <c r="T49" s="11" t="str">
        <f aca="false">IF(A49="","",SUMIFS(T_Penjualan!$H$6:$H$1505,T_Penjualan!$G$6:$G$1505,A49,T_Penjualan!$B$6:$B$1505,"Order",T_Penjualan!$A$6:$A$1505,"&gt;="&amp;I_Parameter!$C$4,T_Penjualan!$A$6:$A$1505,"&lt;="&amp;I_Parameter!$C$6))</f>
        <v/>
      </c>
      <c r="U49" s="11" t="str">
        <f aca="false">IF(A49="","",S49-T49)</f>
        <v/>
      </c>
      <c r="V49" s="11" t="str">
        <f aca="false">IF(A49="","",MIN(H49:N49))</f>
        <v/>
      </c>
      <c r="W49" s="10" t="str">
        <f aca="false">IF(A49="","",INDEX(I_Master!$F$6:$F$85,MATCH(A49,I_Master!$A$6:$A$85,0)))</f>
        <v/>
      </c>
      <c r="X49" s="11" t="str">
        <f aca="false">IF(OR(A49="",W49=""),"",W49-Q49)</f>
        <v/>
      </c>
      <c r="Y49" s="11" t="str">
        <f aca="false">IF(A49="","",S49*Q49)</f>
        <v/>
      </c>
      <c r="Z49" s="9" t="str">
        <f aca="false">IF(A49="","",IF(V49&lt;-0.5,"KURANG: stok minus "&amp;ROUND(-V49,0)&amp;" kg — beli/potong atau geser order",IF(AND(S49&gt;0.5,T49&lt;=0,G49&gt;0.5),"JUAL: "&amp;ROUND(S49,0)&amp;" kg tanpa order, sebagian &gt; batas umur",IF(AND(S49&gt;0.5,T49&lt;=0),"JUAL: "&amp;ROUND(S49,0)&amp;" kg tanpa order minggu ini",IF(G49&gt;0.5,"PERHATIAN: "&amp;ROUND(G49,0)&amp;" kg di atas batas umur",IF(AND(X49&lt;&gt;"",X49&lt;0,T49&gt;0),"Order di bawah biaya rata-rata — cek harga","-"))))))</f>
        <v/>
      </c>
    </row>
    <row r="50" customFormat="false" ht="15" hidden="false" customHeight="false" outlineLevel="0" collapsed="false">
      <c r="A50" s="34" t="str">
        <f aca="false">IF(I_Master!A50="","",I_Master!A50)</f>
        <v/>
      </c>
      <c r="B50" s="34" t="str">
        <f aca="false">IF(A50="","",INDEX(I_Master!$E$6:$E$85,MATCH(A50,I_Master!$A$6:$A$85,0)))</f>
        <v/>
      </c>
      <c r="C50" s="34" t="str">
        <f aca="false">IF(A50="","",INDEX(I_Master!$B$6:$B$85,MATCH(A50,I_Master!$A$6:$A$85,0)))</f>
        <v/>
      </c>
      <c r="D50" s="10" t="str">
        <f aca="false">IF(A50="","",SUMIFS(I_Stok_Awal!$D$6:$D$305,I_Stok_Awal!$C$6:$C$305,A50))</f>
        <v/>
      </c>
      <c r="E50" s="10" t="str">
        <f aca="false">IF(A50="","",SUMIFS(I_Stok_Awal!$E$6:$E$305,I_Stok_Awal!$C$6:$C$305,A50))</f>
        <v/>
      </c>
      <c r="F50" s="35" t="str">
        <f aca="false">IF(OR(A50="",D50&lt;=0),"",SUMPRODUCT((I_Stok_Awal!$C$6:$C$305=A50)*I_Stok_Awal!$D$6:$D$305*I_Stok_Awal!$F$6:$F$305)/D50)</f>
        <v/>
      </c>
      <c r="G50" s="10" t="str">
        <f aca="false">IF(A50="","",SUMIFS(I_Stok_Awal!$G$6:$G$305,I_Stok_Awal!$C$6:$C$305,A50))</f>
        <v/>
      </c>
      <c r="H50" s="11" t="str">
        <f aca="false">IF($A50="","",D50+SUMIFS(T_Penerimaan!$I$6:$I$1005,T_Penerimaan!$H$6:$H$1005,$A50,T_Penerimaan!$A$6:$A$1005,H$4,T_Penerimaan!$M$6:$M$1005,1)-SUMIFS(T_Penjualan!$H$6:$H$1505,T_Penjualan!$G$6:$G$1505,$A50,T_Penjualan!$A$6:$A$1505,H$4,T_Penjualan!$P$6:$P$1505,1))</f>
        <v/>
      </c>
      <c r="I50" s="11" t="str">
        <f aca="false">IF($A50="","",H50+SUMIFS(T_Penerimaan!$I$6:$I$1005,T_Penerimaan!$H$6:$H$1005,$A50,T_Penerimaan!$A$6:$A$1005,I$4,T_Penerimaan!$M$6:$M$1005,1)-SUMIFS(T_Penjualan!$H$6:$H$1505,T_Penjualan!$G$6:$G$1505,$A50,T_Penjualan!$A$6:$A$1505,I$4,T_Penjualan!$P$6:$P$1505,1))</f>
        <v/>
      </c>
      <c r="J50" s="11" t="str">
        <f aca="false">IF($A50="","",I50+SUMIFS(T_Penerimaan!$I$6:$I$1005,T_Penerimaan!$H$6:$H$1005,$A50,T_Penerimaan!$A$6:$A$1005,J$4,T_Penerimaan!$M$6:$M$1005,1)-SUMIFS(T_Penjualan!$H$6:$H$1505,T_Penjualan!$G$6:$G$1505,$A50,T_Penjualan!$A$6:$A$1505,J$4,T_Penjualan!$P$6:$P$1505,1))</f>
        <v/>
      </c>
      <c r="K50" s="11" t="str">
        <f aca="false">IF($A50="","",J50+SUMIFS(T_Penerimaan!$I$6:$I$1005,T_Penerimaan!$H$6:$H$1005,$A50,T_Penerimaan!$A$6:$A$1005,K$4,T_Penerimaan!$M$6:$M$1005,1)-SUMIFS(T_Penjualan!$H$6:$H$1505,T_Penjualan!$G$6:$G$1505,$A50,T_Penjualan!$A$6:$A$1505,K$4,T_Penjualan!$P$6:$P$1505,1))</f>
        <v/>
      </c>
      <c r="L50" s="11" t="str">
        <f aca="false">IF($A50="","",K50+SUMIFS(T_Penerimaan!$I$6:$I$1005,T_Penerimaan!$H$6:$H$1005,$A50,T_Penerimaan!$A$6:$A$1005,L$4,T_Penerimaan!$M$6:$M$1005,1)-SUMIFS(T_Penjualan!$H$6:$H$1505,T_Penjualan!$G$6:$G$1505,$A50,T_Penjualan!$A$6:$A$1505,L$4,T_Penjualan!$P$6:$P$1505,1))</f>
        <v/>
      </c>
      <c r="M50" s="11" t="str">
        <f aca="false">IF($A50="","",L50+SUMIFS(T_Penerimaan!$I$6:$I$1005,T_Penerimaan!$H$6:$H$1005,$A50,T_Penerimaan!$A$6:$A$1005,M$4,T_Penerimaan!$M$6:$M$1005,1)-SUMIFS(T_Penjualan!$H$6:$H$1505,T_Penjualan!$G$6:$G$1505,$A50,T_Penjualan!$A$6:$A$1505,M$4,T_Penjualan!$P$6:$P$1505,1))</f>
        <v/>
      </c>
      <c r="N50" s="11" t="str">
        <f aca="false">IF($A50="","",M50+SUMIFS(T_Penerimaan!$I$6:$I$1005,T_Penerimaan!$H$6:$H$1005,$A50,T_Penerimaan!$A$6:$A$1005,N$4,T_Penerimaan!$M$6:$M$1005,1)-SUMIFS(T_Penjualan!$H$6:$H$1505,T_Penjualan!$G$6:$G$1505,$A50,T_Penjualan!$A$6:$A$1505,N$4,T_Penjualan!$P$6:$P$1505,1))</f>
        <v/>
      </c>
      <c r="O50" s="11" t="str">
        <f aca="false">IF(A50="","",SUMIFS(T_Penerimaan!$I$6:$I$1005,T_Penerimaan!$H$6:$H$1005,A50,T_Penerimaan!$M$6:$M$1005,1))</f>
        <v/>
      </c>
      <c r="P50" s="11" t="str">
        <f aca="false">IF(A50="","",SUMIFS(T_Penerimaan!$K$6:$K$1005,T_Penerimaan!$H$6:$H$1005,A50,T_Penerimaan!$M$6:$M$1005,1))</f>
        <v/>
      </c>
      <c r="Q50" s="11" t="str">
        <f aca="false">IF(A50="","",IF(D50+O50&lt;=0,0,(E50+P50)/(D50+O50)))</f>
        <v/>
      </c>
      <c r="R50" s="11" t="str">
        <f aca="false">IF(A50="","",SUMIFS(T_Penjualan!$H$6:$H$1505,T_Penjualan!$G$6:$G$1505,A50,T_Penjualan!$P$6:$P$1505,1))</f>
        <v/>
      </c>
      <c r="S50" s="12" t="str">
        <f aca="false">IF(A50="","",IF(I_Parameter!$C$4&lt;=I_Parameter!$C$5,D50,IF(I_Parameter!$C$4&gt;I_Parameter!$C$6,N50,INDEX(H50:N50,I_Parameter!$C$4-I_Parameter!$C$5))))</f>
        <v/>
      </c>
      <c r="T50" s="11" t="str">
        <f aca="false">IF(A50="","",SUMIFS(T_Penjualan!$H$6:$H$1505,T_Penjualan!$G$6:$G$1505,A50,T_Penjualan!$B$6:$B$1505,"Order",T_Penjualan!$A$6:$A$1505,"&gt;="&amp;I_Parameter!$C$4,T_Penjualan!$A$6:$A$1505,"&lt;="&amp;I_Parameter!$C$6))</f>
        <v/>
      </c>
      <c r="U50" s="11" t="str">
        <f aca="false">IF(A50="","",S50-T50)</f>
        <v/>
      </c>
      <c r="V50" s="11" t="str">
        <f aca="false">IF(A50="","",MIN(H50:N50))</f>
        <v/>
      </c>
      <c r="W50" s="10" t="str">
        <f aca="false">IF(A50="","",INDEX(I_Master!$F$6:$F$85,MATCH(A50,I_Master!$A$6:$A$85,0)))</f>
        <v/>
      </c>
      <c r="X50" s="11" t="str">
        <f aca="false">IF(OR(A50="",W50=""),"",W50-Q50)</f>
        <v/>
      </c>
      <c r="Y50" s="11" t="str">
        <f aca="false">IF(A50="","",S50*Q50)</f>
        <v/>
      </c>
      <c r="Z50" s="9" t="str">
        <f aca="false">IF(A50="","",IF(V50&lt;-0.5,"KURANG: stok minus "&amp;ROUND(-V50,0)&amp;" kg — beli/potong atau geser order",IF(AND(S50&gt;0.5,T50&lt;=0,G50&gt;0.5),"JUAL: "&amp;ROUND(S50,0)&amp;" kg tanpa order, sebagian &gt; batas umur",IF(AND(S50&gt;0.5,T50&lt;=0),"JUAL: "&amp;ROUND(S50,0)&amp;" kg tanpa order minggu ini",IF(G50&gt;0.5,"PERHATIAN: "&amp;ROUND(G50,0)&amp;" kg di atas batas umur",IF(AND(X50&lt;&gt;"",X50&lt;0,T50&gt;0),"Order di bawah biaya rata-rata — cek harga","-"))))))</f>
        <v/>
      </c>
    </row>
    <row r="51" customFormat="false" ht="15" hidden="false" customHeight="false" outlineLevel="0" collapsed="false">
      <c r="A51" s="34" t="str">
        <f aca="false">IF(I_Master!A51="","",I_Master!A51)</f>
        <v/>
      </c>
      <c r="B51" s="34" t="str">
        <f aca="false">IF(A51="","",INDEX(I_Master!$E$6:$E$85,MATCH(A51,I_Master!$A$6:$A$85,0)))</f>
        <v/>
      </c>
      <c r="C51" s="34" t="str">
        <f aca="false">IF(A51="","",INDEX(I_Master!$B$6:$B$85,MATCH(A51,I_Master!$A$6:$A$85,0)))</f>
        <v/>
      </c>
      <c r="D51" s="10" t="str">
        <f aca="false">IF(A51="","",SUMIFS(I_Stok_Awal!$D$6:$D$305,I_Stok_Awal!$C$6:$C$305,A51))</f>
        <v/>
      </c>
      <c r="E51" s="10" t="str">
        <f aca="false">IF(A51="","",SUMIFS(I_Stok_Awal!$E$6:$E$305,I_Stok_Awal!$C$6:$C$305,A51))</f>
        <v/>
      </c>
      <c r="F51" s="35" t="str">
        <f aca="false">IF(OR(A51="",D51&lt;=0),"",SUMPRODUCT((I_Stok_Awal!$C$6:$C$305=A51)*I_Stok_Awal!$D$6:$D$305*I_Stok_Awal!$F$6:$F$305)/D51)</f>
        <v/>
      </c>
      <c r="G51" s="10" t="str">
        <f aca="false">IF(A51="","",SUMIFS(I_Stok_Awal!$G$6:$G$305,I_Stok_Awal!$C$6:$C$305,A51))</f>
        <v/>
      </c>
      <c r="H51" s="11" t="str">
        <f aca="false">IF($A51="","",D51+SUMIFS(T_Penerimaan!$I$6:$I$1005,T_Penerimaan!$H$6:$H$1005,$A51,T_Penerimaan!$A$6:$A$1005,H$4,T_Penerimaan!$M$6:$M$1005,1)-SUMIFS(T_Penjualan!$H$6:$H$1505,T_Penjualan!$G$6:$G$1505,$A51,T_Penjualan!$A$6:$A$1505,H$4,T_Penjualan!$P$6:$P$1505,1))</f>
        <v/>
      </c>
      <c r="I51" s="11" t="str">
        <f aca="false">IF($A51="","",H51+SUMIFS(T_Penerimaan!$I$6:$I$1005,T_Penerimaan!$H$6:$H$1005,$A51,T_Penerimaan!$A$6:$A$1005,I$4,T_Penerimaan!$M$6:$M$1005,1)-SUMIFS(T_Penjualan!$H$6:$H$1505,T_Penjualan!$G$6:$G$1505,$A51,T_Penjualan!$A$6:$A$1505,I$4,T_Penjualan!$P$6:$P$1505,1))</f>
        <v/>
      </c>
      <c r="J51" s="11" t="str">
        <f aca="false">IF($A51="","",I51+SUMIFS(T_Penerimaan!$I$6:$I$1005,T_Penerimaan!$H$6:$H$1005,$A51,T_Penerimaan!$A$6:$A$1005,J$4,T_Penerimaan!$M$6:$M$1005,1)-SUMIFS(T_Penjualan!$H$6:$H$1505,T_Penjualan!$G$6:$G$1505,$A51,T_Penjualan!$A$6:$A$1505,J$4,T_Penjualan!$P$6:$P$1505,1))</f>
        <v/>
      </c>
      <c r="K51" s="11" t="str">
        <f aca="false">IF($A51="","",J51+SUMIFS(T_Penerimaan!$I$6:$I$1005,T_Penerimaan!$H$6:$H$1005,$A51,T_Penerimaan!$A$6:$A$1005,K$4,T_Penerimaan!$M$6:$M$1005,1)-SUMIFS(T_Penjualan!$H$6:$H$1505,T_Penjualan!$G$6:$G$1505,$A51,T_Penjualan!$A$6:$A$1505,K$4,T_Penjualan!$P$6:$P$1505,1))</f>
        <v/>
      </c>
      <c r="L51" s="11" t="str">
        <f aca="false">IF($A51="","",K51+SUMIFS(T_Penerimaan!$I$6:$I$1005,T_Penerimaan!$H$6:$H$1005,$A51,T_Penerimaan!$A$6:$A$1005,L$4,T_Penerimaan!$M$6:$M$1005,1)-SUMIFS(T_Penjualan!$H$6:$H$1505,T_Penjualan!$G$6:$G$1505,$A51,T_Penjualan!$A$6:$A$1505,L$4,T_Penjualan!$P$6:$P$1505,1))</f>
        <v/>
      </c>
      <c r="M51" s="11" t="str">
        <f aca="false">IF($A51="","",L51+SUMIFS(T_Penerimaan!$I$6:$I$1005,T_Penerimaan!$H$6:$H$1005,$A51,T_Penerimaan!$A$6:$A$1005,M$4,T_Penerimaan!$M$6:$M$1005,1)-SUMIFS(T_Penjualan!$H$6:$H$1505,T_Penjualan!$G$6:$G$1505,$A51,T_Penjualan!$A$6:$A$1505,M$4,T_Penjualan!$P$6:$P$1505,1))</f>
        <v/>
      </c>
      <c r="N51" s="11" t="str">
        <f aca="false">IF($A51="","",M51+SUMIFS(T_Penerimaan!$I$6:$I$1005,T_Penerimaan!$H$6:$H$1005,$A51,T_Penerimaan!$A$6:$A$1005,N$4,T_Penerimaan!$M$6:$M$1005,1)-SUMIFS(T_Penjualan!$H$6:$H$1505,T_Penjualan!$G$6:$G$1505,$A51,T_Penjualan!$A$6:$A$1505,N$4,T_Penjualan!$P$6:$P$1505,1))</f>
        <v/>
      </c>
      <c r="O51" s="11" t="str">
        <f aca="false">IF(A51="","",SUMIFS(T_Penerimaan!$I$6:$I$1005,T_Penerimaan!$H$6:$H$1005,A51,T_Penerimaan!$M$6:$M$1005,1))</f>
        <v/>
      </c>
      <c r="P51" s="11" t="str">
        <f aca="false">IF(A51="","",SUMIFS(T_Penerimaan!$K$6:$K$1005,T_Penerimaan!$H$6:$H$1005,A51,T_Penerimaan!$M$6:$M$1005,1))</f>
        <v/>
      </c>
      <c r="Q51" s="11" t="str">
        <f aca="false">IF(A51="","",IF(D51+O51&lt;=0,0,(E51+P51)/(D51+O51)))</f>
        <v/>
      </c>
      <c r="R51" s="11" t="str">
        <f aca="false">IF(A51="","",SUMIFS(T_Penjualan!$H$6:$H$1505,T_Penjualan!$G$6:$G$1505,A51,T_Penjualan!$P$6:$P$1505,1))</f>
        <v/>
      </c>
      <c r="S51" s="12" t="str">
        <f aca="false">IF(A51="","",IF(I_Parameter!$C$4&lt;=I_Parameter!$C$5,D51,IF(I_Parameter!$C$4&gt;I_Parameter!$C$6,N51,INDEX(H51:N51,I_Parameter!$C$4-I_Parameter!$C$5))))</f>
        <v/>
      </c>
      <c r="T51" s="11" t="str">
        <f aca="false">IF(A51="","",SUMIFS(T_Penjualan!$H$6:$H$1505,T_Penjualan!$G$6:$G$1505,A51,T_Penjualan!$B$6:$B$1505,"Order",T_Penjualan!$A$6:$A$1505,"&gt;="&amp;I_Parameter!$C$4,T_Penjualan!$A$6:$A$1505,"&lt;="&amp;I_Parameter!$C$6))</f>
        <v/>
      </c>
      <c r="U51" s="11" t="str">
        <f aca="false">IF(A51="","",S51-T51)</f>
        <v/>
      </c>
      <c r="V51" s="11" t="str">
        <f aca="false">IF(A51="","",MIN(H51:N51))</f>
        <v/>
      </c>
      <c r="W51" s="10" t="str">
        <f aca="false">IF(A51="","",INDEX(I_Master!$F$6:$F$85,MATCH(A51,I_Master!$A$6:$A$85,0)))</f>
        <v/>
      </c>
      <c r="X51" s="11" t="str">
        <f aca="false">IF(OR(A51="",W51=""),"",W51-Q51)</f>
        <v/>
      </c>
      <c r="Y51" s="11" t="str">
        <f aca="false">IF(A51="","",S51*Q51)</f>
        <v/>
      </c>
      <c r="Z51" s="9" t="str">
        <f aca="false">IF(A51="","",IF(V51&lt;-0.5,"KURANG: stok minus "&amp;ROUND(-V51,0)&amp;" kg — beli/potong atau geser order",IF(AND(S51&gt;0.5,T51&lt;=0,G51&gt;0.5),"JUAL: "&amp;ROUND(S51,0)&amp;" kg tanpa order, sebagian &gt; batas umur",IF(AND(S51&gt;0.5,T51&lt;=0),"JUAL: "&amp;ROUND(S51,0)&amp;" kg tanpa order minggu ini",IF(G51&gt;0.5,"PERHATIAN: "&amp;ROUND(G51,0)&amp;" kg di atas batas umur",IF(AND(X51&lt;&gt;"",X51&lt;0,T51&gt;0),"Order di bawah biaya rata-rata — cek harga","-"))))))</f>
        <v/>
      </c>
    </row>
    <row r="52" customFormat="false" ht="15" hidden="false" customHeight="false" outlineLevel="0" collapsed="false">
      <c r="A52" s="34" t="str">
        <f aca="false">IF(I_Master!A52="","",I_Master!A52)</f>
        <v/>
      </c>
      <c r="B52" s="34" t="str">
        <f aca="false">IF(A52="","",INDEX(I_Master!$E$6:$E$85,MATCH(A52,I_Master!$A$6:$A$85,0)))</f>
        <v/>
      </c>
      <c r="C52" s="34" t="str">
        <f aca="false">IF(A52="","",INDEX(I_Master!$B$6:$B$85,MATCH(A52,I_Master!$A$6:$A$85,0)))</f>
        <v/>
      </c>
      <c r="D52" s="10" t="str">
        <f aca="false">IF(A52="","",SUMIFS(I_Stok_Awal!$D$6:$D$305,I_Stok_Awal!$C$6:$C$305,A52))</f>
        <v/>
      </c>
      <c r="E52" s="10" t="str">
        <f aca="false">IF(A52="","",SUMIFS(I_Stok_Awal!$E$6:$E$305,I_Stok_Awal!$C$6:$C$305,A52))</f>
        <v/>
      </c>
      <c r="F52" s="35" t="str">
        <f aca="false">IF(OR(A52="",D52&lt;=0),"",SUMPRODUCT((I_Stok_Awal!$C$6:$C$305=A52)*I_Stok_Awal!$D$6:$D$305*I_Stok_Awal!$F$6:$F$305)/D52)</f>
        <v/>
      </c>
      <c r="G52" s="10" t="str">
        <f aca="false">IF(A52="","",SUMIFS(I_Stok_Awal!$G$6:$G$305,I_Stok_Awal!$C$6:$C$305,A52))</f>
        <v/>
      </c>
      <c r="H52" s="11" t="str">
        <f aca="false">IF($A52="","",D52+SUMIFS(T_Penerimaan!$I$6:$I$1005,T_Penerimaan!$H$6:$H$1005,$A52,T_Penerimaan!$A$6:$A$1005,H$4,T_Penerimaan!$M$6:$M$1005,1)-SUMIFS(T_Penjualan!$H$6:$H$1505,T_Penjualan!$G$6:$G$1505,$A52,T_Penjualan!$A$6:$A$1505,H$4,T_Penjualan!$P$6:$P$1505,1))</f>
        <v/>
      </c>
      <c r="I52" s="11" t="str">
        <f aca="false">IF($A52="","",H52+SUMIFS(T_Penerimaan!$I$6:$I$1005,T_Penerimaan!$H$6:$H$1005,$A52,T_Penerimaan!$A$6:$A$1005,I$4,T_Penerimaan!$M$6:$M$1005,1)-SUMIFS(T_Penjualan!$H$6:$H$1505,T_Penjualan!$G$6:$G$1505,$A52,T_Penjualan!$A$6:$A$1505,I$4,T_Penjualan!$P$6:$P$1505,1))</f>
        <v/>
      </c>
      <c r="J52" s="11" t="str">
        <f aca="false">IF($A52="","",I52+SUMIFS(T_Penerimaan!$I$6:$I$1005,T_Penerimaan!$H$6:$H$1005,$A52,T_Penerimaan!$A$6:$A$1005,J$4,T_Penerimaan!$M$6:$M$1005,1)-SUMIFS(T_Penjualan!$H$6:$H$1505,T_Penjualan!$G$6:$G$1505,$A52,T_Penjualan!$A$6:$A$1505,J$4,T_Penjualan!$P$6:$P$1505,1))</f>
        <v/>
      </c>
      <c r="K52" s="11" t="str">
        <f aca="false">IF($A52="","",J52+SUMIFS(T_Penerimaan!$I$6:$I$1005,T_Penerimaan!$H$6:$H$1005,$A52,T_Penerimaan!$A$6:$A$1005,K$4,T_Penerimaan!$M$6:$M$1005,1)-SUMIFS(T_Penjualan!$H$6:$H$1505,T_Penjualan!$G$6:$G$1505,$A52,T_Penjualan!$A$6:$A$1505,K$4,T_Penjualan!$P$6:$P$1505,1))</f>
        <v/>
      </c>
      <c r="L52" s="11" t="str">
        <f aca="false">IF($A52="","",K52+SUMIFS(T_Penerimaan!$I$6:$I$1005,T_Penerimaan!$H$6:$H$1005,$A52,T_Penerimaan!$A$6:$A$1005,L$4,T_Penerimaan!$M$6:$M$1005,1)-SUMIFS(T_Penjualan!$H$6:$H$1505,T_Penjualan!$G$6:$G$1505,$A52,T_Penjualan!$A$6:$A$1505,L$4,T_Penjualan!$P$6:$P$1505,1))</f>
        <v/>
      </c>
      <c r="M52" s="11" t="str">
        <f aca="false">IF($A52="","",L52+SUMIFS(T_Penerimaan!$I$6:$I$1005,T_Penerimaan!$H$6:$H$1005,$A52,T_Penerimaan!$A$6:$A$1005,M$4,T_Penerimaan!$M$6:$M$1005,1)-SUMIFS(T_Penjualan!$H$6:$H$1505,T_Penjualan!$G$6:$G$1505,$A52,T_Penjualan!$A$6:$A$1505,M$4,T_Penjualan!$P$6:$P$1505,1))</f>
        <v/>
      </c>
      <c r="N52" s="11" t="str">
        <f aca="false">IF($A52="","",M52+SUMIFS(T_Penerimaan!$I$6:$I$1005,T_Penerimaan!$H$6:$H$1005,$A52,T_Penerimaan!$A$6:$A$1005,N$4,T_Penerimaan!$M$6:$M$1005,1)-SUMIFS(T_Penjualan!$H$6:$H$1505,T_Penjualan!$G$6:$G$1505,$A52,T_Penjualan!$A$6:$A$1505,N$4,T_Penjualan!$P$6:$P$1505,1))</f>
        <v/>
      </c>
      <c r="O52" s="11" t="str">
        <f aca="false">IF(A52="","",SUMIFS(T_Penerimaan!$I$6:$I$1005,T_Penerimaan!$H$6:$H$1005,A52,T_Penerimaan!$M$6:$M$1005,1))</f>
        <v/>
      </c>
      <c r="P52" s="11" t="str">
        <f aca="false">IF(A52="","",SUMIFS(T_Penerimaan!$K$6:$K$1005,T_Penerimaan!$H$6:$H$1005,A52,T_Penerimaan!$M$6:$M$1005,1))</f>
        <v/>
      </c>
      <c r="Q52" s="11" t="str">
        <f aca="false">IF(A52="","",IF(D52+O52&lt;=0,0,(E52+P52)/(D52+O52)))</f>
        <v/>
      </c>
      <c r="R52" s="11" t="str">
        <f aca="false">IF(A52="","",SUMIFS(T_Penjualan!$H$6:$H$1505,T_Penjualan!$G$6:$G$1505,A52,T_Penjualan!$P$6:$P$1505,1))</f>
        <v/>
      </c>
      <c r="S52" s="12" t="str">
        <f aca="false">IF(A52="","",IF(I_Parameter!$C$4&lt;=I_Parameter!$C$5,D52,IF(I_Parameter!$C$4&gt;I_Parameter!$C$6,N52,INDEX(H52:N52,I_Parameter!$C$4-I_Parameter!$C$5))))</f>
        <v/>
      </c>
      <c r="T52" s="11" t="str">
        <f aca="false">IF(A52="","",SUMIFS(T_Penjualan!$H$6:$H$1505,T_Penjualan!$G$6:$G$1505,A52,T_Penjualan!$B$6:$B$1505,"Order",T_Penjualan!$A$6:$A$1505,"&gt;="&amp;I_Parameter!$C$4,T_Penjualan!$A$6:$A$1505,"&lt;="&amp;I_Parameter!$C$6))</f>
        <v/>
      </c>
      <c r="U52" s="11" t="str">
        <f aca="false">IF(A52="","",S52-T52)</f>
        <v/>
      </c>
      <c r="V52" s="11" t="str">
        <f aca="false">IF(A52="","",MIN(H52:N52))</f>
        <v/>
      </c>
      <c r="W52" s="10" t="str">
        <f aca="false">IF(A52="","",INDEX(I_Master!$F$6:$F$85,MATCH(A52,I_Master!$A$6:$A$85,0)))</f>
        <v/>
      </c>
      <c r="X52" s="11" t="str">
        <f aca="false">IF(OR(A52="",W52=""),"",W52-Q52)</f>
        <v/>
      </c>
      <c r="Y52" s="11" t="str">
        <f aca="false">IF(A52="","",S52*Q52)</f>
        <v/>
      </c>
      <c r="Z52" s="9" t="str">
        <f aca="false">IF(A52="","",IF(V52&lt;-0.5,"KURANG: stok minus "&amp;ROUND(-V52,0)&amp;" kg — beli/potong atau geser order",IF(AND(S52&gt;0.5,T52&lt;=0,G52&gt;0.5),"JUAL: "&amp;ROUND(S52,0)&amp;" kg tanpa order, sebagian &gt; batas umur",IF(AND(S52&gt;0.5,T52&lt;=0),"JUAL: "&amp;ROUND(S52,0)&amp;" kg tanpa order minggu ini",IF(G52&gt;0.5,"PERHATIAN: "&amp;ROUND(G52,0)&amp;" kg di atas batas umur",IF(AND(X52&lt;&gt;"",X52&lt;0,T52&gt;0),"Order di bawah biaya rata-rata — cek harga","-"))))))</f>
        <v/>
      </c>
    </row>
    <row r="53" customFormat="false" ht="15" hidden="false" customHeight="false" outlineLevel="0" collapsed="false">
      <c r="A53" s="34" t="str">
        <f aca="false">IF(I_Master!A53="","",I_Master!A53)</f>
        <v/>
      </c>
      <c r="B53" s="34" t="str">
        <f aca="false">IF(A53="","",INDEX(I_Master!$E$6:$E$85,MATCH(A53,I_Master!$A$6:$A$85,0)))</f>
        <v/>
      </c>
      <c r="C53" s="34" t="str">
        <f aca="false">IF(A53="","",INDEX(I_Master!$B$6:$B$85,MATCH(A53,I_Master!$A$6:$A$85,0)))</f>
        <v/>
      </c>
      <c r="D53" s="10" t="str">
        <f aca="false">IF(A53="","",SUMIFS(I_Stok_Awal!$D$6:$D$305,I_Stok_Awal!$C$6:$C$305,A53))</f>
        <v/>
      </c>
      <c r="E53" s="10" t="str">
        <f aca="false">IF(A53="","",SUMIFS(I_Stok_Awal!$E$6:$E$305,I_Stok_Awal!$C$6:$C$305,A53))</f>
        <v/>
      </c>
      <c r="F53" s="35" t="str">
        <f aca="false">IF(OR(A53="",D53&lt;=0),"",SUMPRODUCT((I_Stok_Awal!$C$6:$C$305=A53)*I_Stok_Awal!$D$6:$D$305*I_Stok_Awal!$F$6:$F$305)/D53)</f>
        <v/>
      </c>
      <c r="G53" s="10" t="str">
        <f aca="false">IF(A53="","",SUMIFS(I_Stok_Awal!$G$6:$G$305,I_Stok_Awal!$C$6:$C$305,A53))</f>
        <v/>
      </c>
      <c r="H53" s="11" t="str">
        <f aca="false">IF($A53="","",D53+SUMIFS(T_Penerimaan!$I$6:$I$1005,T_Penerimaan!$H$6:$H$1005,$A53,T_Penerimaan!$A$6:$A$1005,H$4,T_Penerimaan!$M$6:$M$1005,1)-SUMIFS(T_Penjualan!$H$6:$H$1505,T_Penjualan!$G$6:$G$1505,$A53,T_Penjualan!$A$6:$A$1505,H$4,T_Penjualan!$P$6:$P$1505,1))</f>
        <v/>
      </c>
      <c r="I53" s="11" t="str">
        <f aca="false">IF($A53="","",H53+SUMIFS(T_Penerimaan!$I$6:$I$1005,T_Penerimaan!$H$6:$H$1005,$A53,T_Penerimaan!$A$6:$A$1005,I$4,T_Penerimaan!$M$6:$M$1005,1)-SUMIFS(T_Penjualan!$H$6:$H$1505,T_Penjualan!$G$6:$G$1505,$A53,T_Penjualan!$A$6:$A$1505,I$4,T_Penjualan!$P$6:$P$1505,1))</f>
        <v/>
      </c>
      <c r="J53" s="11" t="str">
        <f aca="false">IF($A53="","",I53+SUMIFS(T_Penerimaan!$I$6:$I$1005,T_Penerimaan!$H$6:$H$1005,$A53,T_Penerimaan!$A$6:$A$1005,J$4,T_Penerimaan!$M$6:$M$1005,1)-SUMIFS(T_Penjualan!$H$6:$H$1505,T_Penjualan!$G$6:$G$1505,$A53,T_Penjualan!$A$6:$A$1505,J$4,T_Penjualan!$P$6:$P$1505,1))</f>
        <v/>
      </c>
      <c r="K53" s="11" t="str">
        <f aca="false">IF($A53="","",J53+SUMIFS(T_Penerimaan!$I$6:$I$1005,T_Penerimaan!$H$6:$H$1005,$A53,T_Penerimaan!$A$6:$A$1005,K$4,T_Penerimaan!$M$6:$M$1005,1)-SUMIFS(T_Penjualan!$H$6:$H$1505,T_Penjualan!$G$6:$G$1505,$A53,T_Penjualan!$A$6:$A$1505,K$4,T_Penjualan!$P$6:$P$1505,1))</f>
        <v/>
      </c>
      <c r="L53" s="11" t="str">
        <f aca="false">IF($A53="","",K53+SUMIFS(T_Penerimaan!$I$6:$I$1005,T_Penerimaan!$H$6:$H$1005,$A53,T_Penerimaan!$A$6:$A$1005,L$4,T_Penerimaan!$M$6:$M$1005,1)-SUMIFS(T_Penjualan!$H$6:$H$1505,T_Penjualan!$G$6:$G$1505,$A53,T_Penjualan!$A$6:$A$1505,L$4,T_Penjualan!$P$6:$P$1505,1))</f>
        <v/>
      </c>
      <c r="M53" s="11" t="str">
        <f aca="false">IF($A53="","",L53+SUMIFS(T_Penerimaan!$I$6:$I$1005,T_Penerimaan!$H$6:$H$1005,$A53,T_Penerimaan!$A$6:$A$1005,M$4,T_Penerimaan!$M$6:$M$1005,1)-SUMIFS(T_Penjualan!$H$6:$H$1505,T_Penjualan!$G$6:$G$1505,$A53,T_Penjualan!$A$6:$A$1505,M$4,T_Penjualan!$P$6:$P$1505,1))</f>
        <v/>
      </c>
      <c r="N53" s="11" t="str">
        <f aca="false">IF($A53="","",M53+SUMIFS(T_Penerimaan!$I$6:$I$1005,T_Penerimaan!$H$6:$H$1005,$A53,T_Penerimaan!$A$6:$A$1005,N$4,T_Penerimaan!$M$6:$M$1005,1)-SUMIFS(T_Penjualan!$H$6:$H$1505,T_Penjualan!$G$6:$G$1505,$A53,T_Penjualan!$A$6:$A$1505,N$4,T_Penjualan!$P$6:$P$1505,1))</f>
        <v/>
      </c>
      <c r="O53" s="11" t="str">
        <f aca="false">IF(A53="","",SUMIFS(T_Penerimaan!$I$6:$I$1005,T_Penerimaan!$H$6:$H$1005,A53,T_Penerimaan!$M$6:$M$1005,1))</f>
        <v/>
      </c>
      <c r="P53" s="11" t="str">
        <f aca="false">IF(A53="","",SUMIFS(T_Penerimaan!$K$6:$K$1005,T_Penerimaan!$H$6:$H$1005,A53,T_Penerimaan!$M$6:$M$1005,1))</f>
        <v/>
      </c>
      <c r="Q53" s="11" t="str">
        <f aca="false">IF(A53="","",IF(D53+O53&lt;=0,0,(E53+P53)/(D53+O53)))</f>
        <v/>
      </c>
      <c r="R53" s="11" t="str">
        <f aca="false">IF(A53="","",SUMIFS(T_Penjualan!$H$6:$H$1505,T_Penjualan!$G$6:$G$1505,A53,T_Penjualan!$P$6:$P$1505,1))</f>
        <v/>
      </c>
      <c r="S53" s="12" t="str">
        <f aca="false">IF(A53="","",IF(I_Parameter!$C$4&lt;=I_Parameter!$C$5,D53,IF(I_Parameter!$C$4&gt;I_Parameter!$C$6,N53,INDEX(H53:N53,I_Parameter!$C$4-I_Parameter!$C$5))))</f>
        <v/>
      </c>
      <c r="T53" s="11" t="str">
        <f aca="false">IF(A53="","",SUMIFS(T_Penjualan!$H$6:$H$1505,T_Penjualan!$G$6:$G$1505,A53,T_Penjualan!$B$6:$B$1505,"Order",T_Penjualan!$A$6:$A$1505,"&gt;="&amp;I_Parameter!$C$4,T_Penjualan!$A$6:$A$1505,"&lt;="&amp;I_Parameter!$C$6))</f>
        <v/>
      </c>
      <c r="U53" s="11" t="str">
        <f aca="false">IF(A53="","",S53-T53)</f>
        <v/>
      </c>
      <c r="V53" s="11" t="str">
        <f aca="false">IF(A53="","",MIN(H53:N53))</f>
        <v/>
      </c>
      <c r="W53" s="10" t="str">
        <f aca="false">IF(A53="","",INDEX(I_Master!$F$6:$F$85,MATCH(A53,I_Master!$A$6:$A$85,0)))</f>
        <v/>
      </c>
      <c r="X53" s="11" t="str">
        <f aca="false">IF(OR(A53="",W53=""),"",W53-Q53)</f>
        <v/>
      </c>
      <c r="Y53" s="11" t="str">
        <f aca="false">IF(A53="","",S53*Q53)</f>
        <v/>
      </c>
      <c r="Z53" s="9" t="str">
        <f aca="false">IF(A53="","",IF(V53&lt;-0.5,"KURANG: stok minus "&amp;ROUND(-V53,0)&amp;" kg — beli/potong atau geser order",IF(AND(S53&gt;0.5,T53&lt;=0,G53&gt;0.5),"JUAL: "&amp;ROUND(S53,0)&amp;" kg tanpa order, sebagian &gt; batas umur",IF(AND(S53&gt;0.5,T53&lt;=0),"JUAL: "&amp;ROUND(S53,0)&amp;" kg tanpa order minggu ini",IF(G53&gt;0.5,"PERHATIAN: "&amp;ROUND(G53,0)&amp;" kg di atas batas umur",IF(AND(X53&lt;&gt;"",X53&lt;0,T53&gt;0),"Order di bawah biaya rata-rata — cek harga","-"))))))</f>
        <v/>
      </c>
    </row>
    <row r="54" customFormat="false" ht="15" hidden="false" customHeight="false" outlineLevel="0" collapsed="false">
      <c r="A54" s="34" t="str">
        <f aca="false">IF(I_Master!A54="","",I_Master!A54)</f>
        <v/>
      </c>
      <c r="B54" s="34" t="str">
        <f aca="false">IF(A54="","",INDEX(I_Master!$E$6:$E$85,MATCH(A54,I_Master!$A$6:$A$85,0)))</f>
        <v/>
      </c>
      <c r="C54" s="34" t="str">
        <f aca="false">IF(A54="","",INDEX(I_Master!$B$6:$B$85,MATCH(A54,I_Master!$A$6:$A$85,0)))</f>
        <v/>
      </c>
      <c r="D54" s="10" t="str">
        <f aca="false">IF(A54="","",SUMIFS(I_Stok_Awal!$D$6:$D$305,I_Stok_Awal!$C$6:$C$305,A54))</f>
        <v/>
      </c>
      <c r="E54" s="10" t="str">
        <f aca="false">IF(A54="","",SUMIFS(I_Stok_Awal!$E$6:$E$305,I_Stok_Awal!$C$6:$C$305,A54))</f>
        <v/>
      </c>
      <c r="F54" s="35" t="str">
        <f aca="false">IF(OR(A54="",D54&lt;=0),"",SUMPRODUCT((I_Stok_Awal!$C$6:$C$305=A54)*I_Stok_Awal!$D$6:$D$305*I_Stok_Awal!$F$6:$F$305)/D54)</f>
        <v/>
      </c>
      <c r="G54" s="10" t="str">
        <f aca="false">IF(A54="","",SUMIFS(I_Stok_Awal!$G$6:$G$305,I_Stok_Awal!$C$6:$C$305,A54))</f>
        <v/>
      </c>
      <c r="H54" s="11" t="str">
        <f aca="false">IF($A54="","",D54+SUMIFS(T_Penerimaan!$I$6:$I$1005,T_Penerimaan!$H$6:$H$1005,$A54,T_Penerimaan!$A$6:$A$1005,H$4,T_Penerimaan!$M$6:$M$1005,1)-SUMIFS(T_Penjualan!$H$6:$H$1505,T_Penjualan!$G$6:$G$1505,$A54,T_Penjualan!$A$6:$A$1505,H$4,T_Penjualan!$P$6:$P$1505,1))</f>
        <v/>
      </c>
      <c r="I54" s="11" t="str">
        <f aca="false">IF($A54="","",H54+SUMIFS(T_Penerimaan!$I$6:$I$1005,T_Penerimaan!$H$6:$H$1005,$A54,T_Penerimaan!$A$6:$A$1005,I$4,T_Penerimaan!$M$6:$M$1005,1)-SUMIFS(T_Penjualan!$H$6:$H$1505,T_Penjualan!$G$6:$G$1505,$A54,T_Penjualan!$A$6:$A$1505,I$4,T_Penjualan!$P$6:$P$1505,1))</f>
        <v/>
      </c>
      <c r="J54" s="11" t="str">
        <f aca="false">IF($A54="","",I54+SUMIFS(T_Penerimaan!$I$6:$I$1005,T_Penerimaan!$H$6:$H$1005,$A54,T_Penerimaan!$A$6:$A$1005,J$4,T_Penerimaan!$M$6:$M$1005,1)-SUMIFS(T_Penjualan!$H$6:$H$1505,T_Penjualan!$G$6:$G$1505,$A54,T_Penjualan!$A$6:$A$1505,J$4,T_Penjualan!$P$6:$P$1505,1))</f>
        <v/>
      </c>
      <c r="K54" s="11" t="str">
        <f aca="false">IF($A54="","",J54+SUMIFS(T_Penerimaan!$I$6:$I$1005,T_Penerimaan!$H$6:$H$1005,$A54,T_Penerimaan!$A$6:$A$1005,K$4,T_Penerimaan!$M$6:$M$1005,1)-SUMIFS(T_Penjualan!$H$6:$H$1505,T_Penjualan!$G$6:$G$1505,$A54,T_Penjualan!$A$6:$A$1505,K$4,T_Penjualan!$P$6:$P$1505,1))</f>
        <v/>
      </c>
      <c r="L54" s="11" t="str">
        <f aca="false">IF($A54="","",K54+SUMIFS(T_Penerimaan!$I$6:$I$1005,T_Penerimaan!$H$6:$H$1005,$A54,T_Penerimaan!$A$6:$A$1005,L$4,T_Penerimaan!$M$6:$M$1005,1)-SUMIFS(T_Penjualan!$H$6:$H$1505,T_Penjualan!$G$6:$G$1505,$A54,T_Penjualan!$A$6:$A$1505,L$4,T_Penjualan!$P$6:$P$1505,1))</f>
        <v/>
      </c>
      <c r="M54" s="11" t="str">
        <f aca="false">IF($A54="","",L54+SUMIFS(T_Penerimaan!$I$6:$I$1005,T_Penerimaan!$H$6:$H$1005,$A54,T_Penerimaan!$A$6:$A$1005,M$4,T_Penerimaan!$M$6:$M$1005,1)-SUMIFS(T_Penjualan!$H$6:$H$1505,T_Penjualan!$G$6:$G$1505,$A54,T_Penjualan!$A$6:$A$1505,M$4,T_Penjualan!$P$6:$P$1505,1))</f>
        <v/>
      </c>
      <c r="N54" s="11" t="str">
        <f aca="false">IF($A54="","",M54+SUMIFS(T_Penerimaan!$I$6:$I$1005,T_Penerimaan!$H$6:$H$1005,$A54,T_Penerimaan!$A$6:$A$1005,N$4,T_Penerimaan!$M$6:$M$1005,1)-SUMIFS(T_Penjualan!$H$6:$H$1505,T_Penjualan!$G$6:$G$1505,$A54,T_Penjualan!$A$6:$A$1505,N$4,T_Penjualan!$P$6:$P$1505,1))</f>
        <v/>
      </c>
      <c r="O54" s="11" t="str">
        <f aca="false">IF(A54="","",SUMIFS(T_Penerimaan!$I$6:$I$1005,T_Penerimaan!$H$6:$H$1005,A54,T_Penerimaan!$M$6:$M$1005,1))</f>
        <v/>
      </c>
      <c r="P54" s="11" t="str">
        <f aca="false">IF(A54="","",SUMIFS(T_Penerimaan!$K$6:$K$1005,T_Penerimaan!$H$6:$H$1005,A54,T_Penerimaan!$M$6:$M$1005,1))</f>
        <v/>
      </c>
      <c r="Q54" s="11" t="str">
        <f aca="false">IF(A54="","",IF(D54+O54&lt;=0,0,(E54+P54)/(D54+O54)))</f>
        <v/>
      </c>
      <c r="R54" s="11" t="str">
        <f aca="false">IF(A54="","",SUMIFS(T_Penjualan!$H$6:$H$1505,T_Penjualan!$G$6:$G$1505,A54,T_Penjualan!$P$6:$P$1505,1))</f>
        <v/>
      </c>
      <c r="S54" s="12" t="str">
        <f aca="false">IF(A54="","",IF(I_Parameter!$C$4&lt;=I_Parameter!$C$5,D54,IF(I_Parameter!$C$4&gt;I_Parameter!$C$6,N54,INDEX(H54:N54,I_Parameter!$C$4-I_Parameter!$C$5))))</f>
        <v/>
      </c>
      <c r="T54" s="11" t="str">
        <f aca="false">IF(A54="","",SUMIFS(T_Penjualan!$H$6:$H$1505,T_Penjualan!$G$6:$G$1505,A54,T_Penjualan!$B$6:$B$1505,"Order",T_Penjualan!$A$6:$A$1505,"&gt;="&amp;I_Parameter!$C$4,T_Penjualan!$A$6:$A$1505,"&lt;="&amp;I_Parameter!$C$6))</f>
        <v/>
      </c>
      <c r="U54" s="11" t="str">
        <f aca="false">IF(A54="","",S54-T54)</f>
        <v/>
      </c>
      <c r="V54" s="11" t="str">
        <f aca="false">IF(A54="","",MIN(H54:N54))</f>
        <v/>
      </c>
      <c r="W54" s="10" t="str">
        <f aca="false">IF(A54="","",INDEX(I_Master!$F$6:$F$85,MATCH(A54,I_Master!$A$6:$A$85,0)))</f>
        <v/>
      </c>
      <c r="X54" s="11" t="str">
        <f aca="false">IF(OR(A54="",W54=""),"",W54-Q54)</f>
        <v/>
      </c>
      <c r="Y54" s="11" t="str">
        <f aca="false">IF(A54="","",S54*Q54)</f>
        <v/>
      </c>
      <c r="Z54" s="9" t="str">
        <f aca="false">IF(A54="","",IF(V54&lt;-0.5,"KURANG: stok minus "&amp;ROUND(-V54,0)&amp;" kg — beli/potong atau geser order",IF(AND(S54&gt;0.5,T54&lt;=0,G54&gt;0.5),"JUAL: "&amp;ROUND(S54,0)&amp;" kg tanpa order, sebagian &gt; batas umur",IF(AND(S54&gt;0.5,T54&lt;=0),"JUAL: "&amp;ROUND(S54,0)&amp;" kg tanpa order minggu ini",IF(G54&gt;0.5,"PERHATIAN: "&amp;ROUND(G54,0)&amp;" kg di atas batas umur",IF(AND(X54&lt;&gt;"",X54&lt;0,T54&gt;0),"Order di bawah biaya rata-rata — cek harga","-"))))))</f>
        <v/>
      </c>
    </row>
    <row r="55" customFormat="false" ht="15" hidden="false" customHeight="false" outlineLevel="0" collapsed="false">
      <c r="A55" s="34" t="str">
        <f aca="false">IF(I_Master!A55="","",I_Master!A55)</f>
        <v/>
      </c>
      <c r="B55" s="34" t="str">
        <f aca="false">IF(A55="","",INDEX(I_Master!$E$6:$E$85,MATCH(A55,I_Master!$A$6:$A$85,0)))</f>
        <v/>
      </c>
      <c r="C55" s="34" t="str">
        <f aca="false">IF(A55="","",INDEX(I_Master!$B$6:$B$85,MATCH(A55,I_Master!$A$6:$A$85,0)))</f>
        <v/>
      </c>
      <c r="D55" s="10" t="str">
        <f aca="false">IF(A55="","",SUMIFS(I_Stok_Awal!$D$6:$D$305,I_Stok_Awal!$C$6:$C$305,A55))</f>
        <v/>
      </c>
      <c r="E55" s="10" t="str">
        <f aca="false">IF(A55="","",SUMIFS(I_Stok_Awal!$E$6:$E$305,I_Stok_Awal!$C$6:$C$305,A55))</f>
        <v/>
      </c>
      <c r="F55" s="35" t="str">
        <f aca="false">IF(OR(A55="",D55&lt;=0),"",SUMPRODUCT((I_Stok_Awal!$C$6:$C$305=A55)*I_Stok_Awal!$D$6:$D$305*I_Stok_Awal!$F$6:$F$305)/D55)</f>
        <v/>
      </c>
      <c r="G55" s="10" t="str">
        <f aca="false">IF(A55="","",SUMIFS(I_Stok_Awal!$G$6:$G$305,I_Stok_Awal!$C$6:$C$305,A55))</f>
        <v/>
      </c>
      <c r="H55" s="11" t="str">
        <f aca="false">IF($A55="","",D55+SUMIFS(T_Penerimaan!$I$6:$I$1005,T_Penerimaan!$H$6:$H$1005,$A55,T_Penerimaan!$A$6:$A$1005,H$4,T_Penerimaan!$M$6:$M$1005,1)-SUMIFS(T_Penjualan!$H$6:$H$1505,T_Penjualan!$G$6:$G$1505,$A55,T_Penjualan!$A$6:$A$1505,H$4,T_Penjualan!$P$6:$P$1505,1))</f>
        <v/>
      </c>
      <c r="I55" s="11" t="str">
        <f aca="false">IF($A55="","",H55+SUMIFS(T_Penerimaan!$I$6:$I$1005,T_Penerimaan!$H$6:$H$1005,$A55,T_Penerimaan!$A$6:$A$1005,I$4,T_Penerimaan!$M$6:$M$1005,1)-SUMIFS(T_Penjualan!$H$6:$H$1505,T_Penjualan!$G$6:$G$1505,$A55,T_Penjualan!$A$6:$A$1505,I$4,T_Penjualan!$P$6:$P$1505,1))</f>
        <v/>
      </c>
      <c r="J55" s="11" t="str">
        <f aca="false">IF($A55="","",I55+SUMIFS(T_Penerimaan!$I$6:$I$1005,T_Penerimaan!$H$6:$H$1005,$A55,T_Penerimaan!$A$6:$A$1005,J$4,T_Penerimaan!$M$6:$M$1005,1)-SUMIFS(T_Penjualan!$H$6:$H$1505,T_Penjualan!$G$6:$G$1505,$A55,T_Penjualan!$A$6:$A$1505,J$4,T_Penjualan!$P$6:$P$1505,1))</f>
        <v/>
      </c>
      <c r="K55" s="11" t="str">
        <f aca="false">IF($A55="","",J55+SUMIFS(T_Penerimaan!$I$6:$I$1005,T_Penerimaan!$H$6:$H$1005,$A55,T_Penerimaan!$A$6:$A$1005,K$4,T_Penerimaan!$M$6:$M$1005,1)-SUMIFS(T_Penjualan!$H$6:$H$1505,T_Penjualan!$G$6:$G$1505,$A55,T_Penjualan!$A$6:$A$1505,K$4,T_Penjualan!$P$6:$P$1505,1))</f>
        <v/>
      </c>
      <c r="L55" s="11" t="str">
        <f aca="false">IF($A55="","",K55+SUMIFS(T_Penerimaan!$I$6:$I$1005,T_Penerimaan!$H$6:$H$1005,$A55,T_Penerimaan!$A$6:$A$1005,L$4,T_Penerimaan!$M$6:$M$1005,1)-SUMIFS(T_Penjualan!$H$6:$H$1505,T_Penjualan!$G$6:$G$1505,$A55,T_Penjualan!$A$6:$A$1505,L$4,T_Penjualan!$P$6:$P$1505,1))</f>
        <v/>
      </c>
      <c r="M55" s="11" t="str">
        <f aca="false">IF($A55="","",L55+SUMIFS(T_Penerimaan!$I$6:$I$1005,T_Penerimaan!$H$6:$H$1005,$A55,T_Penerimaan!$A$6:$A$1005,M$4,T_Penerimaan!$M$6:$M$1005,1)-SUMIFS(T_Penjualan!$H$6:$H$1505,T_Penjualan!$G$6:$G$1505,$A55,T_Penjualan!$A$6:$A$1505,M$4,T_Penjualan!$P$6:$P$1505,1))</f>
        <v/>
      </c>
      <c r="N55" s="11" t="str">
        <f aca="false">IF($A55="","",M55+SUMIFS(T_Penerimaan!$I$6:$I$1005,T_Penerimaan!$H$6:$H$1005,$A55,T_Penerimaan!$A$6:$A$1005,N$4,T_Penerimaan!$M$6:$M$1005,1)-SUMIFS(T_Penjualan!$H$6:$H$1505,T_Penjualan!$G$6:$G$1505,$A55,T_Penjualan!$A$6:$A$1505,N$4,T_Penjualan!$P$6:$P$1505,1))</f>
        <v/>
      </c>
      <c r="O55" s="11" t="str">
        <f aca="false">IF(A55="","",SUMIFS(T_Penerimaan!$I$6:$I$1005,T_Penerimaan!$H$6:$H$1005,A55,T_Penerimaan!$M$6:$M$1005,1))</f>
        <v/>
      </c>
      <c r="P55" s="11" t="str">
        <f aca="false">IF(A55="","",SUMIFS(T_Penerimaan!$K$6:$K$1005,T_Penerimaan!$H$6:$H$1005,A55,T_Penerimaan!$M$6:$M$1005,1))</f>
        <v/>
      </c>
      <c r="Q55" s="11" t="str">
        <f aca="false">IF(A55="","",IF(D55+O55&lt;=0,0,(E55+P55)/(D55+O55)))</f>
        <v/>
      </c>
      <c r="R55" s="11" t="str">
        <f aca="false">IF(A55="","",SUMIFS(T_Penjualan!$H$6:$H$1505,T_Penjualan!$G$6:$G$1505,A55,T_Penjualan!$P$6:$P$1505,1))</f>
        <v/>
      </c>
      <c r="S55" s="12" t="str">
        <f aca="false">IF(A55="","",IF(I_Parameter!$C$4&lt;=I_Parameter!$C$5,D55,IF(I_Parameter!$C$4&gt;I_Parameter!$C$6,N55,INDEX(H55:N55,I_Parameter!$C$4-I_Parameter!$C$5))))</f>
        <v/>
      </c>
      <c r="T55" s="11" t="str">
        <f aca="false">IF(A55="","",SUMIFS(T_Penjualan!$H$6:$H$1505,T_Penjualan!$G$6:$G$1505,A55,T_Penjualan!$B$6:$B$1505,"Order",T_Penjualan!$A$6:$A$1505,"&gt;="&amp;I_Parameter!$C$4,T_Penjualan!$A$6:$A$1505,"&lt;="&amp;I_Parameter!$C$6))</f>
        <v/>
      </c>
      <c r="U55" s="11" t="str">
        <f aca="false">IF(A55="","",S55-T55)</f>
        <v/>
      </c>
      <c r="V55" s="11" t="str">
        <f aca="false">IF(A55="","",MIN(H55:N55))</f>
        <v/>
      </c>
      <c r="W55" s="10" t="str">
        <f aca="false">IF(A55="","",INDEX(I_Master!$F$6:$F$85,MATCH(A55,I_Master!$A$6:$A$85,0)))</f>
        <v/>
      </c>
      <c r="X55" s="11" t="str">
        <f aca="false">IF(OR(A55="",W55=""),"",W55-Q55)</f>
        <v/>
      </c>
      <c r="Y55" s="11" t="str">
        <f aca="false">IF(A55="","",S55*Q55)</f>
        <v/>
      </c>
      <c r="Z55" s="9" t="str">
        <f aca="false">IF(A55="","",IF(V55&lt;-0.5,"KURANG: stok minus "&amp;ROUND(-V55,0)&amp;" kg — beli/potong atau geser order",IF(AND(S55&gt;0.5,T55&lt;=0,G55&gt;0.5),"JUAL: "&amp;ROUND(S55,0)&amp;" kg tanpa order, sebagian &gt; batas umur",IF(AND(S55&gt;0.5,T55&lt;=0),"JUAL: "&amp;ROUND(S55,0)&amp;" kg tanpa order minggu ini",IF(G55&gt;0.5,"PERHATIAN: "&amp;ROUND(G55,0)&amp;" kg di atas batas umur",IF(AND(X55&lt;&gt;"",X55&lt;0,T55&gt;0),"Order di bawah biaya rata-rata — cek harga","-"))))))</f>
        <v/>
      </c>
    </row>
    <row r="56" customFormat="false" ht="15" hidden="false" customHeight="false" outlineLevel="0" collapsed="false">
      <c r="A56" s="34" t="str">
        <f aca="false">IF(I_Master!A56="","",I_Master!A56)</f>
        <v/>
      </c>
      <c r="B56" s="34" t="str">
        <f aca="false">IF(A56="","",INDEX(I_Master!$E$6:$E$85,MATCH(A56,I_Master!$A$6:$A$85,0)))</f>
        <v/>
      </c>
      <c r="C56" s="34" t="str">
        <f aca="false">IF(A56="","",INDEX(I_Master!$B$6:$B$85,MATCH(A56,I_Master!$A$6:$A$85,0)))</f>
        <v/>
      </c>
      <c r="D56" s="10" t="str">
        <f aca="false">IF(A56="","",SUMIFS(I_Stok_Awal!$D$6:$D$305,I_Stok_Awal!$C$6:$C$305,A56))</f>
        <v/>
      </c>
      <c r="E56" s="10" t="str">
        <f aca="false">IF(A56="","",SUMIFS(I_Stok_Awal!$E$6:$E$305,I_Stok_Awal!$C$6:$C$305,A56))</f>
        <v/>
      </c>
      <c r="F56" s="35" t="str">
        <f aca="false">IF(OR(A56="",D56&lt;=0),"",SUMPRODUCT((I_Stok_Awal!$C$6:$C$305=A56)*I_Stok_Awal!$D$6:$D$305*I_Stok_Awal!$F$6:$F$305)/D56)</f>
        <v/>
      </c>
      <c r="G56" s="10" t="str">
        <f aca="false">IF(A56="","",SUMIFS(I_Stok_Awal!$G$6:$G$305,I_Stok_Awal!$C$6:$C$305,A56))</f>
        <v/>
      </c>
      <c r="H56" s="11" t="str">
        <f aca="false">IF($A56="","",D56+SUMIFS(T_Penerimaan!$I$6:$I$1005,T_Penerimaan!$H$6:$H$1005,$A56,T_Penerimaan!$A$6:$A$1005,H$4,T_Penerimaan!$M$6:$M$1005,1)-SUMIFS(T_Penjualan!$H$6:$H$1505,T_Penjualan!$G$6:$G$1505,$A56,T_Penjualan!$A$6:$A$1505,H$4,T_Penjualan!$P$6:$P$1505,1))</f>
        <v/>
      </c>
      <c r="I56" s="11" t="str">
        <f aca="false">IF($A56="","",H56+SUMIFS(T_Penerimaan!$I$6:$I$1005,T_Penerimaan!$H$6:$H$1005,$A56,T_Penerimaan!$A$6:$A$1005,I$4,T_Penerimaan!$M$6:$M$1005,1)-SUMIFS(T_Penjualan!$H$6:$H$1505,T_Penjualan!$G$6:$G$1505,$A56,T_Penjualan!$A$6:$A$1505,I$4,T_Penjualan!$P$6:$P$1505,1))</f>
        <v/>
      </c>
      <c r="J56" s="11" t="str">
        <f aca="false">IF($A56="","",I56+SUMIFS(T_Penerimaan!$I$6:$I$1005,T_Penerimaan!$H$6:$H$1005,$A56,T_Penerimaan!$A$6:$A$1005,J$4,T_Penerimaan!$M$6:$M$1005,1)-SUMIFS(T_Penjualan!$H$6:$H$1505,T_Penjualan!$G$6:$G$1505,$A56,T_Penjualan!$A$6:$A$1505,J$4,T_Penjualan!$P$6:$P$1505,1))</f>
        <v/>
      </c>
      <c r="K56" s="11" t="str">
        <f aca="false">IF($A56="","",J56+SUMIFS(T_Penerimaan!$I$6:$I$1005,T_Penerimaan!$H$6:$H$1005,$A56,T_Penerimaan!$A$6:$A$1005,K$4,T_Penerimaan!$M$6:$M$1005,1)-SUMIFS(T_Penjualan!$H$6:$H$1505,T_Penjualan!$G$6:$G$1505,$A56,T_Penjualan!$A$6:$A$1505,K$4,T_Penjualan!$P$6:$P$1505,1))</f>
        <v/>
      </c>
      <c r="L56" s="11" t="str">
        <f aca="false">IF($A56="","",K56+SUMIFS(T_Penerimaan!$I$6:$I$1005,T_Penerimaan!$H$6:$H$1005,$A56,T_Penerimaan!$A$6:$A$1005,L$4,T_Penerimaan!$M$6:$M$1005,1)-SUMIFS(T_Penjualan!$H$6:$H$1505,T_Penjualan!$G$6:$G$1505,$A56,T_Penjualan!$A$6:$A$1505,L$4,T_Penjualan!$P$6:$P$1505,1))</f>
        <v/>
      </c>
      <c r="M56" s="11" t="str">
        <f aca="false">IF($A56="","",L56+SUMIFS(T_Penerimaan!$I$6:$I$1005,T_Penerimaan!$H$6:$H$1005,$A56,T_Penerimaan!$A$6:$A$1005,M$4,T_Penerimaan!$M$6:$M$1005,1)-SUMIFS(T_Penjualan!$H$6:$H$1505,T_Penjualan!$G$6:$G$1505,$A56,T_Penjualan!$A$6:$A$1505,M$4,T_Penjualan!$P$6:$P$1505,1))</f>
        <v/>
      </c>
      <c r="N56" s="11" t="str">
        <f aca="false">IF($A56="","",M56+SUMIFS(T_Penerimaan!$I$6:$I$1005,T_Penerimaan!$H$6:$H$1005,$A56,T_Penerimaan!$A$6:$A$1005,N$4,T_Penerimaan!$M$6:$M$1005,1)-SUMIFS(T_Penjualan!$H$6:$H$1505,T_Penjualan!$G$6:$G$1505,$A56,T_Penjualan!$A$6:$A$1505,N$4,T_Penjualan!$P$6:$P$1505,1))</f>
        <v/>
      </c>
      <c r="O56" s="11" t="str">
        <f aca="false">IF(A56="","",SUMIFS(T_Penerimaan!$I$6:$I$1005,T_Penerimaan!$H$6:$H$1005,A56,T_Penerimaan!$M$6:$M$1005,1))</f>
        <v/>
      </c>
      <c r="P56" s="11" t="str">
        <f aca="false">IF(A56="","",SUMIFS(T_Penerimaan!$K$6:$K$1005,T_Penerimaan!$H$6:$H$1005,A56,T_Penerimaan!$M$6:$M$1005,1))</f>
        <v/>
      </c>
      <c r="Q56" s="11" t="str">
        <f aca="false">IF(A56="","",IF(D56+O56&lt;=0,0,(E56+P56)/(D56+O56)))</f>
        <v/>
      </c>
      <c r="R56" s="11" t="str">
        <f aca="false">IF(A56="","",SUMIFS(T_Penjualan!$H$6:$H$1505,T_Penjualan!$G$6:$G$1505,A56,T_Penjualan!$P$6:$P$1505,1))</f>
        <v/>
      </c>
      <c r="S56" s="12" t="str">
        <f aca="false">IF(A56="","",IF(I_Parameter!$C$4&lt;=I_Parameter!$C$5,D56,IF(I_Parameter!$C$4&gt;I_Parameter!$C$6,N56,INDEX(H56:N56,I_Parameter!$C$4-I_Parameter!$C$5))))</f>
        <v/>
      </c>
      <c r="T56" s="11" t="str">
        <f aca="false">IF(A56="","",SUMIFS(T_Penjualan!$H$6:$H$1505,T_Penjualan!$G$6:$G$1505,A56,T_Penjualan!$B$6:$B$1505,"Order",T_Penjualan!$A$6:$A$1505,"&gt;="&amp;I_Parameter!$C$4,T_Penjualan!$A$6:$A$1505,"&lt;="&amp;I_Parameter!$C$6))</f>
        <v/>
      </c>
      <c r="U56" s="11" t="str">
        <f aca="false">IF(A56="","",S56-T56)</f>
        <v/>
      </c>
      <c r="V56" s="11" t="str">
        <f aca="false">IF(A56="","",MIN(H56:N56))</f>
        <v/>
      </c>
      <c r="W56" s="10" t="str">
        <f aca="false">IF(A56="","",INDEX(I_Master!$F$6:$F$85,MATCH(A56,I_Master!$A$6:$A$85,0)))</f>
        <v/>
      </c>
      <c r="X56" s="11" t="str">
        <f aca="false">IF(OR(A56="",W56=""),"",W56-Q56)</f>
        <v/>
      </c>
      <c r="Y56" s="11" t="str">
        <f aca="false">IF(A56="","",S56*Q56)</f>
        <v/>
      </c>
      <c r="Z56" s="9" t="str">
        <f aca="false">IF(A56="","",IF(V56&lt;-0.5,"KURANG: stok minus "&amp;ROUND(-V56,0)&amp;" kg — beli/potong atau geser order",IF(AND(S56&gt;0.5,T56&lt;=0,G56&gt;0.5),"JUAL: "&amp;ROUND(S56,0)&amp;" kg tanpa order, sebagian &gt; batas umur",IF(AND(S56&gt;0.5,T56&lt;=0),"JUAL: "&amp;ROUND(S56,0)&amp;" kg tanpa order minggu ini",IF(G56&gt;0.5,"PERHATIAN: "&amp;ROUND(G56,0)&amp;" kg di atas batas umur",IF(AND(X56&lt;&gt;"",X56&lt;0,T56&gt;0),"Order di bawah biaya rata-rata — cek harga","-"))))))</f>
        <v/>
      </c>
    </row>
    <row r="57" customFormat="false" ht="15" hidden="false" customHeight="false" outlineLevel="0" collapsed="false">
      <c r="A57" s="34" t="str">
        <f aca="false">IF(I_Master!A57="","",I_Master!A57)</f>
        <v/>
      </c>
      <c r="B57" s="34" t="str">
        <f aca="false">IF(A57="","",INDEX(I_Master!$E$6:$E$85,MATCH(A57,I_Master!$A$6:$A$85,0)))</f>
        <v/>
      </c>
      <c r="C57" s="34" t="str">
        <f aca="false">IF(A57="","",INDEX(I_Master!$B$6:$B$85,MATCH(A57,I_Master!$A$6:$A$85,0)))</f>
        <v/>
      </c>
      <c r="D57" s="10" t="str">
        <f aca="false">IF(A57="","",SUMIFS(I_Stok_Awal!$D$6:$D$305,I_Stok_Awal!$C$6:$C$305,A57))</f>
        <v/>
      </c>
      <c r="E57" s="10" t="str">
        <f aca="false">IF(A57="","",SUMIFS(I_Stok_Awal!$E$6:$E$305,I_Stok_Awal!$C$6:$C$305,A57))</f>
        <v/>
      </c>
      <c r="F57" s="35" t="str">
        <f aca="false">IF(OR(A57="",D57&lt;=0),"",SUMPRODUCT((I_Stok_Awal!$C$6:$C$305=A57)*I_Stok_Awal!$D$6:$D$305*I_Stok_Awal!$F$6:$F$305)/D57)</f>
        <v/>
      </c>
      <c r="G57" s="10" t="str">
        <f aca="false">IF(A57="","",SUMIFS(I_Stok_Awal!$G$6:$G$305,I_Stok_Awal!$C$6:$C$305,A57))</f>
        <v/>
      </c>
      <c r="H57" s="11" t="str">
        <f aca="false">IF($A57="","",D57+SUMIFS(T_Penerimaan!$I$6:$I$1005,T_Penerimaan!$H$6:$H$1005,$A57,T_Penerimaan!$A$6:$A$1005,H$4,T_Penerimaan!$M$6:$M$1005,1)-SUMIFS(T_Penjualan!$H$6:$H$1505,T_Penjualan!$G$6:$G$1505,$A57,T_Penjualan!$A$6:$A$1505,H$4,T_Penjualan!$P$6:$P$1505,1))</f>
        <v/>
      </c>
      <c r="I57" s="11" t="str">
        <f aca="false">IF($A57="","",H57+SUMIFS(T_Penerimaan!$I$6:$I$1005,T_Penerimaan!$H$6:$H$1005,$A57,T_Penerimaan!$A$6:$A$1005,I$4,T_Penerimaan!$M$6:$M$1005,1)-SUMIFS(T_Penjualan!$H$6:$H$1505,T_Penjualan!$G$6:$G$1505,$A57,T_Penjualan!$A$6:$A$1505,I$4,T_Penjualan!$P$6:$P$1505,1))</f>
        <v/>
      </c>
      <c r="J57" s="11" t="str">
        <f aca="false">IF($A57="","",I57+SUMIFS(T_Penerimaan!$I$6:$I$1005,T_Penerimaan!$H$6:$H$1005,$A57,T_Penerimaan!$A$6:$A$1005,J$4,T_Penerimaan!$M$6:$M$1005,1)-SUMIFS(T_Penjualan!$H$6:$H$1505,T_Penjualan!$G$6:$G$1505,$A57,T_Penjualan!$A$6:$A$1505,J$4,T_Penjualan!$P$6:$P$1505,1))</f>
        <v/>
      </c>
      <c r="K57" s="11" t="str">
        <f aca="false">IF($A57="","",J57+SUMIFS(T_Penerimaan!$I$6:$I$1005,T_Penerimaan!$H$6:$H$1005,$A57,T_Penerimaan!$A$6:$A$1005,K$4,T_Penerimaan!$M$6:$M$1005,1)-SUMIFS(T_Penjualan!$H$6:$H$1505,T_Penjualan!$G$6:$G$1505,$A57,T_Penjualan!$A$6:$A$1505,K$4,T_Penjualan!$P$6:$P$1505,1))</f>
        <v/>
      </c>
      <c r="L57" s="11" t="str">
        <f aca="false">IF($A57="","",K57+SUMIFS(T_Penerimaan!$I$6:$I$1005,T_Penerimaan!$H$6:$H$1005,$A57,T_Penerimaan!$A$6:$A$1005,L$4,T_Penerimaan!$M$6:$M$1005,1)-SUMIFS(T_Penjualan!$H$6:$H$1505,T_Penjualan!$G$6:$G$1505,$A57,T_Penjualan!$A$6:$A$1505,L$4,T_Penjualan!$P$6:$P$1505,1))</f>
        <v/>
      </c>
      <c r="M57" s="11" t="str">
        <f aca="false">IF($A57="","",L57+SUMIFS(T_Penerimaan!$I$6:$I$1005,T_Penerimaan!$H$6:$H$1005,$A57,T_Penerimaan!$A$6:$A$1005,M$4,T_Penerimaan!$M$6:$M$1005,1)-SUMIFS(T_Penjualan!$H$6:$H$1505,T_Penjualan!$G$6:$G$1505,$A57,T_Penjualan!$A$6:$A$1505,M$4,T_Penjualan!$P$6:$P$1505,1))</f>
        <v/>
      </c>
      <c r="N57" s="11" t="str">
        <f aca="false">IF($A57="","",M57+SUMIFS(T_Penerimaan!$I$6:$I$1005,T_Penerimaan!$H$6:$H$1005,$A57,T_Penerimaan!$A$6:$A$1005,N$4,T_Penerimaan!$M$6:$M$1005,1)-SUMIFS(T_Penjualan!$H$6:$H$1505,T_Penjualan!$G$6:$G$1505,$A57,T_Penjualan!$A$6:$A$1505,N$4,T_Penjualan!$P$6:$P$1505,1))</f>
        <v/>
      </c>
      <c r="O57" s="11" t="str">
        <f aca="false">IF(A57="","",SUMIFS(T_Penerimaan!$I$6:$I$1005,T_Penerimaan!$H$6:$H$1005,A57,T_Penerimaan!$M$6:$M$1005,1))</f>
        <v/>
      </c>
      <c r="P57" s="11" t="str">
        <f aca="false">IF(A57="","",SUMIFS(T_Penerimaan!$K$6:$K$1005,T_Penerimaan!$H$6:$H$1005,A57,T_Penerimaan!$M$6:$M$1005,1))</f>
        <v/>
      </c>
      <c r="Q57" s="11" t="str">
        <f aca="false">IF(A57="","",IF(D57+O57&lt;=0,0,(E57+P57)/(D57+O57)))</f>
        <v/>
      </c>
      <c r="R57" s="11" t="str">
        <f aca="false">IF(A57="","",SUMIFS(T_Penjualan!$H$6:$H$1505,T_Penjualan!$G$6:$G$1505,A57,T_Penjualan!$P$6:$P$1505,1))</f>
        <v/>
      </c>
      <c r="S57" s="12" t="str">
        <f aca="false">IF(A57="","",IF(I_Parameter!$C$4&lt;=I_Parameter!$C$5,D57,IF(I_Parameter!$C$4&gt;I_Parameter!$C$6,N57,INDEX(H57:N57,I_Parameter!$C$4-I_Parameter!$C$5))))</f>
        <v/>
      </c>
      <c r="T57" s="11" t="str">
        <f aca="false">IF(A57="","",SUMIFS(T_Penjualan!$H$6:$H$1505,T_Penjualan!$G$6:$G$1505,A57,T_Penjualan!$B$6:$B$1505,"Order",T_Penjualan!$A$6:$A$1505,"&gt;="&amp;I_Parameter!$C$4,T_Penjualan!$A$6:$A$1505,"&lt;="&amp;I_Parameter!$C$6))</f>
        <v/>
      </c>
      <c r="U57" s="11" t="str">
        <f aca="false">IF(A57="","",S57-T57)</f>
        <v/>
      </c>
      <c r="V57" s="11" t="str">
        <f aca="false">IF(A57="","",MIN(H57:N57))</f>
        <v/>
      </c>
      <c r="W57" s="10" t="str">
        <f aca="false">IF(A57="","",INDEX(I_Master!$F$6:$F$85,MATCH(A57,I_Master!$A$6:$A$85,0)))</f>
        <v/>
      </c>
      <c r="X57" s="11" t="str">
        <f aca="false">IF(OR(A57="",W57=""),"",W57-Q57)</f>
        <v/>
      </c>
      <c r="Y57" s="11" t="str">
        <f aca="false">IF(A57="","",S57*Q57)</f>
        <v/>
      </c>
      <c r="Z57" s="9" t="str">
        <f aca="false">IF(A57="","",IF(V57&lt;-0.5,"KURANG: stok minus "&amp;ROUND(-V57,0)&amp;" kg — beli/potong atau geser order",IF(AND(S57&gt;0.5,T57&lt;=0,G57&gt;0.5),"JUAL: "&amp;ROUND(S57,0)&amp;" kg tanpa order, sebagian &gt; batas umur",IF(AND(S57&gt;0.5,T57&lt;=0),"JUAL: "&amp;ROUND(S57,0)&amp;" kg tanpa order minggu ini",IF(G57&gt;0.5,"PERHATIAN: "&amp;ROUND(G57,0)&amp;" kg di atas batas umur",IF(AND(X57&lt;&gt;"",X57&lt;0,T57&gt;0),"Order di bawah biaya rata-rata — cek harga","-"))))))</f>
        <v/>
      </c>
    </row>
    <row r="58" customFormat="false" ht="15" hidden="false" customHeight="false" outlineLevel="0" collapsed="false">
      <c r="A58" s="34" t="str">
        <f aca="false">IF(I_Master!A58="","",I_Master!A58)</f>
        <v/>
      </c>
      <c r="B58" s="34" t="str">
        <f aca="false">IF(A58="","",INDEX(I_Master!$E$6:$E$85,MATCH(A58,I_Master!$A$6:$A$85,0)))</f>
        <v/>
      </c>
      <c r="C58" s="34" t="str">
        <f aca="false">IF(A58="","",INDEX(I_Master!$B$6:$B$85,MATCH(A58,I_Master!$A$6:$A$85,0)))</f>
        <v/>
      </c>
      <c r="D58" s="10" t="str">
        <f aca="false">IF(A58="","",SUMIFS(I_Stok_Awal!$D$6:$D$305,I_Stok_Awal!$C$6:$C$305,A58))</f>
        <v/>
      </c>
      <c r="E58" s="10" t="str">
        <f aca="false">IF(A58="","",SUMIFS(I_Stok_Awal!$E$6:$E$305,I_Stok_Awal!$C$6:$C$305,A58))</f>
        <v/>
      </c>
      <c r="F58" s="35" t="str">
        <f aca="false">IF(OR(A58="",D58&lt;=0),"",SUMPRODUCT((I_Stok_Awal!$C$6:$C$305=A58)*I_Stok_Awal!$D$6:$D$305*I_Stok_Awal!$F$6:$F$305)/D58)</f>
        <v/>
      </c>
      <c r="G58" s="10" t="str">
        <f aca="false">IF(A58="","",SUMIFS(I_Stok_Awal!$G$6:$G$305,I_Stok_Awal!$C$6:$C$305,A58))</f>
        <v/>
      </c>
      <c r="H58" s="11" t="str">
        <f aca="false">IF($A58="","",D58+SUMIFS(T_Penerimaan!$I$6:$I$1005,T_Penerimaan!$H$6:$H$1005,$A58,T_Penerimaan!$A$6:$A$1005,H$4,T_Penerimaan!$M$6:$M$1005,1)-SUMIFS(T_Penjualan!$H$6:$H$1505,T_Penjualan!$G$6:$G$1505,$A58,T_Penjualan!$A$6:$A$1505,H$4,T_Penjualan!$P$6:$P$1505,1))</f>
        <v/>
      </c>
      <c r="I58" s="11" t="str">
        <f aca="false">IF($A58="","",H58+SUMIFS(T_Penerimaan!$I$6:$I$1005,T_Penerimaan!$H$6:$H$1005,$A58,T_Penerimaan!$A$6:$A$1005,I$4,T_Penerimaan!$M$6:$M$1005,1)-SUMIFS(T_Penjualan!$H$6:$H$1505,T_Penjualan!$G$6:$G$1505,$A58,T_Penjualan!$A$6:$A$1505,I$4,T_Penjualan!$P$6:$P$1505,1))</f>
        <v/>
      </c>
      <c r="J58" s="11" t="str">
        <f aca="false">IF($A58="","",I58+SUMIFS(T_Penerimaan!$I$6:$I$1005,T_Penerimaan!$H$6:$H$1005,$A58,T_Penerimaan!$A$6:$A$1005,J$4,T_Penerimaan!$M$6:$M$1005,1)-SUMIFS(T_Penjualan!$H$6:$H$1505,T_Penjualan!$G$6:$G$1505,$A58,T_Penjualan!$A$6:$A$1505,J$4,T_Penjualan!$P$6:$P$1505,1))</f>
        <v/>
      </c>
      <c r="K58" s="11" t="str">
        <f aca="false">IF($A58="","",J58+SUMIFS(T_Penerimaan!$I$6:$I$1005,T_Penerimaan!$H$6:$H$1005,$A58,T_Penerimaan!$A$6:$A$1005,K$4,T_Penerimaan!$M$6:$M$1005,1)-SUMIFS(T_Penjualan!$H$6:$H$1505,T_Penjualan!$G$6:$G$1505,$A58,T_Penjualan!$A$6:$A$1505,K$4,T_Penjualan!$P$6:$P$1505,1))</f>
        <v/>
      </c>
      <c r="L58" s="11" t="str">
        <f aca="false">IF($A58="","",K58+SUMIFS(T_Penerimaan!$I$6:$I$1005,T_Penerimaan!$H$6:$H$1005,$A58,T_Penerimaan!$A$6:$A$1005,L$4,T_Penerimaan!$M$6:$M$1005,1)-SUMIFS(T_Penjualan!$H$6:$H$1505,T_Penjualan!$G$6:$G$1505,$A58,T_Penjualan!$A$6:$A$1505,L$4,T_Penjualan!$P$6:$P$1505,1))</f>
        <v/>
      </c>
      <c r="M58" s="11" t="str">
        <f aca="false">IF($A58="","",L58+SUMIFS(T_Penerimaan!$I$6:$I$1005,T_Penerimaan!$H$6:$H$1005,$A58,T_Penerimaan!$A$6:$A$1005,M$4,T_Penerimaan!$M$6:$M$1005,1)-SUMIFS(T_Penjualan!$H$6:$H$1505,T_Penjualan!$G$6:$G$1505,$A58,T_Penjualan!$A$6:$A$1505,M$4,T_Penjualan!$P$6:$P$1505,1))</f>
        <v/>
      </c>
      <c r="N58" s="11" t="str">
        <f aca="false">IF($A58="","",M58+SUMIFS(T_Penerimaan!$I$6:$I$1005,T_Penerimaan!$H$6:$H$1005,$A58,T_Penerimaan!$A$6:$A$1005,N$4,T_Penerimaan!$M$6:$M$1005,1)-SUMIFS(T_Penjualan!$H$6:$H$1505,T_Penjualan!$G$6:$G$1505,$A58,T_Penjualan!$A$6:$A$1505,N$4,T_Penjualan!$P$6:$P$1505,1))</f>
        <v/>
      </c>
      <c r="O58" s="11" t="str">
        <f aca="false">IF(A58="","",SUMIFS(T_Penerimaan!$I$6:$I$1005,T_Penerimaan!$H$6:$H$1005,A58,T_Penerimaan!$M$6:$M$1005,1))</f>
        <v/>
      </c>
      <c r="P58" s="11" t="str">
        <f aca="false">IF(A58="","",SUMIFS(T_Penerimaan!$K$6:$K$1005,T_Penerimaan!$H$6:$H$1005,A58,T_Penerimaan!$M$6:$M$1005,1))</f>
        <v/>
      </c>
      <c r="Q58" s="11" t="str">
        <f aca="false">IF(A58="","",IF(D58+O58&lt;=0,0,(E58+P58)/(D58+O58)))</f>
        <v/>
      </c>
      <c r="R58" s="11" t="str">
        <f aca="false">IF(A58="","",SUMIFS(T_Penjualan!$H$6:$H$1505,T_Penjualan!$G$6:$G$1505,A58,T_Penjualan!$P$6:$P$1505,1))</f>
        <v/>
      </c>
      <c r="S58" s="12" t="str">
        <f aca="false">IF(A58="","",IF(I_Parameter!$C$4&lt;=I_Parameter!$C$5,D58,IF(I_Parameter!$C$4&gt;I_Parameter!$C$6,N58,INDEX(H58:N58,I_Parameter!$C$4-I_Parameter!$C$5))))</f>
        <v/>
      </c>
      <c r="T58" s="11" t="str">
        <f aca="false">IF(A58="","",SUMIFS(T_Penjualan!$H$6:$H$1505,T_Penjualan!$G$6:$G$1505,A58,T_Penjualan!$B$6:$B$1505,"Order",T_Penjualan!$A$6:$A$1505,"&gt;="&amp;I_Parameter!$C$4,T_Penjualan!$A$6:$A$1505,"&lt;="&amp;I_Parameter!$C$6))</f>
        <v/>
      </c>
      <c r="U58" s="11" t="str">
        <f aca="false">IF(A58="","",S58-T58)</f>
        <v/>
      </c>
      <c r="V58" s="11" t="str">
        <f aca="false">IF(A58="","",MIN(H58:N58))</f>
        <v/>
      </c>
      <c r="W58" s="10" t="str">
        <f aca="false">IF(A58="","",INDEX(I_Master!$F$6:$F$85,MATCH(A58,I_Master!$A$6:$A$85,0)))</f>
        <v/>
      </c>
      <c r="X58" s="11" t="str">
        <f aca="false">IF(OR(A58="",W58=""),"",W58-Q58)</f>
        <v/>
      </c>
      <c r="Y58" s="11" t="str">
        <f aca="false">IF(A58="","",S58*Q58)</f>
        <v/>
      </c>
      <c r="Z58" s="9" t="str">
        <f aca="false">IF(A58="","",IF(V58&lt;-0.5,"KURANG: stok minus "&amp;ROUND(-V58,0)&amp;" kg — beli/potong atau geser order",IF(AND(S58&gt;0.5,T58&lt;=0,G58&gt;0.5),"JUAL: "&amp;ROUND(S58,0)&amp;" kg tanpa order, sebagian &gt; batas umur",IF(AND(S58&gt;0.5,T58&lt;=0),"JUAL: "&amp;ROUND(S58,0)&amp;" kg tanpa order minggu ini",IF(G58&gt;0.5,"PERHATIAN: "&amp;ROUND(G58,0)&amp;" kg di atas batas umur",IF(AND(X58&lt;&gt;"",X58&lt;0,T58&gt;0),"Order di bawah biaya rata-rata — cek harga","-"))))))</f>
        <v/>
      </c>
    </row>
    <row r="59" customFormat="false" ht="15" hidden="false" customHeight="false" outlineLevel="0" collapsed="false">
      <c r="A59" s="34" t="str">
        <f aca="false">IF(I_Master!A59="","",I_Master!A59)</f>
        <v/>
      </c>
      <c r="B59" s="34" t="str">
        <f aca="false">IF(A59="","",INDEX(I_Master!$E$6:$E$85,MATCH(A59,I_Master!$A$6:$A$85,0)))</f>
        <v/>
      </c>
      <c r="C59" s="34" t="str">
        <f aca="false">IF(A59="","",INDEX(I_Master!$B$6:$B$85,MATCH(A59,I_Master!$A$6:$A$85,0)))</f>
        <v/>
      </c>
      <c r="D59" s="10" t="str">
        <f aca="false">IF(A59="","",SUMIFS(I_Stok_Awal!$D$6:$D$305,I_Stok_Awal!$C$6:$C$305,A59))</f>
        <v/>
      </c>
      <c r="E59" s="10" t="str">
        <f aca="false">IF(A59="","",SUMIFS(I_Stok_Awal!$E$6:$E$305,I_Stok_Awal!$C$6:$C$305,A59))</f>
        <v/>
      </c>
      <c r="F59" s="35" t="str">
        <f aca="false">IF(OR(A59="",D59&lt;=0),"",SUMPRODUCT((I_Stok_Awal!$C$6:$C$305=A59)*I_Stok_Awal!$D$6:$D$305*I_Stok_Awal!$F$6:$F$305)/D59)</f>
        <v/>
      </c>
      <c r="G59" s="10" t="str">
        <f aca="false">IF(A59="","",SUMIFS(I_Stok_Awal!$G$6:$G$305,I_Stok_Awal!$C$6:$C$305,A59))</f>
        <v/>
      </c>
      <c r="H59" s="11" t="str">
        <f aca="false">IF($A59="","",D59+SUMIFS(T_Penerimaan!$I$6:$I$1005,T_Penerimaan!$H$6:$H$1005,$A59,T_Penerimaan!$A$6:$A$1005,H$4,T_Penerimaan!$M$6:$M$1005,1)-SUMIFS(T_Penjualan!$H$6:$H$1505,T_Penjualan!$G$6:$G$1505,$A59,T_Penjualan!$A$6:$A$1505,H$4,T_Penjualan!$P$6:$P$1505,1))</f>
        <v/>
      </c>
      <c r="I59" s="11" t="str">
        <f aca="false">IF($A59="","",H59+SUMIFS(T_Penerimaan!$I$6:$I$1005,T_Penerimaan!$H$6:$H$1005,$A59,T_Penerimaan!$A$6:$A$1005,I$4,T_Penerimaan!$M$6:$M$1005,1)-SUMIFS(T_Penjualan!$H$6:$H$1505,T_Penjualan!$G$6:$G$1505,$A59,T_Penjualan!$A$6:$A$1505,I$4,T_Penjualan!$P$6:$P$1505,1))</f>
        <v/>
      </c>
      <c r="J59" s="11" t="str">
        <f aca="false">IF($A59="","",I59+SUMIFS(T_Penerimaan!$I$6:$I$1005,T_Penerimaan!$H$6:$H$1005,$A59,T_Penerimaan!$A$6:$A$1005,J$4,T_Penerimaan!$M$6:$M$1005,1)-SUMIFS(T_Penjualan!$H$6:$H$1505,T_Penjualan!$G$6:$G$1505,$A59,T_Penjualan!$A$6:$A$1505,J$4,T_Penjualan!$P$6:$P$1505,1))</f>
        <v/>
      </c>
      <c r="K59" s="11" t="str">
        <f aca="false">IF($A59="","",J59+SUMIFS(T_Penerimaan!$I$6:$I$1005,T_Penerimaan!$H$6:$H$1005,$A59,T_Penerimaan!$A$6:$A$1005,K$4,T_Penerimaan!$M$6:$M$1005,1)-SUMIFS(T_Penjualan!$H$6:$H$1505,T_Penjualan!$G$6:$G$1505,$A59,T_Penjualan!$A$6:$A$1505,K$4,T_Penjualan!$P$6:$P$1505,1))</f>
        <v/>
      </c>
      <c r="L59" s="11" t="str">
        <f aca="false">IF($A59="","",K59+SUMIFS(T_Penerimaan!$I$6:$I$1005,T_Penerimaan!$H$6:$H$1005,$A59,T_Penerimaan!$A$6:$A$1005,L$4,T_Penerimaan!$M$6:$M$1005,1)-SUMIFS(T_Penjualan!$H$6:$H$1505,T_Penjualan!$G$6:$G$1505,$A59,T_Penjualan!$A$6:$A$1505,L$4,T_Penjualan!$P$6:$P$1505,1))</f>
        <v/>
      </c>
      <c r="M59" s="11" t="str">
        <f aca="false">IF($A59="","",L59+SUMIFS(T_Penerimaan!$I$6:$I$1005,T_Penerimaan!$H$6:$H$1005,$A59,T_Penerimaan!$A$6:$A$1005,M$4,T_Penerimaan!$M$6:$M$1005,1)-SUMIFS(T_Penjualan!$H$6:$H$1505,T_Penjualan!$G$6:$G$1505,$A59,T_Penjualan!$A$6:$A$1505,M$4,T_Penjualan!$P$6:$P$1505,1))</f>
        <v/>
      </c>
      <c r="N59" s="11" t="str">
        <f aca="false">IF($A59="","",M59+SUMIFS(T_Penerimaan!$I$6:$I$1005,T_Penerimaan!$H$6:$H$1005,$A59,T_Penerimaan!$A$6:$A$1005,N$4,T_Penerimaan!$M$6:$M$1005,1)-SUMIFS(T_Penjualan!$H$6:$H$1505,T_Penjualan!$G$6:$G$1505,$A59,T_Penjualan!$A$6:$A$1505,N$4,T_Penjualan!$P$6:$P$1505,1))</f>
        <v/>
      </c>
      <c r="O59" s="11" t="str">
        <f aca="false">IF(A59="","",SUMIFS(T_Penerimaan!$I$6:$I$1005,T_Penerimaan!$H$6:$H$1005,A59,T_Penerimaan!$M$6:$M$1005,1))</f>
        <v/>
      </c>
      <c r="P59" s="11" t="str">
        <f aca="false">IF(A59="","",SUMIFS(T_Penerimaan!$K$6:$K$1005,T_Penerimaan!$H$6:$H$1005,A59,T_Penerimaan!$M$6:$M$1005,1))</f>
        <v/>
      </c>
      <c r="Q59" s="11" t="str">
        <f aca="false">IF(A59="","",IF(D59+O59&lt;=0,0,(E59+P59)/(D59+O59)))</f>
        <v/>
      </c>
      <c r="R59" s="11" t="str">
        <f aca="false">IF(A59="","",SUMIFS(T_Penjualan!$H$6:$H$1505,T_Penjualan!$G$6:$G$1505,A59,T_Penjualan!$P$6:$P$1505,1))</f>
        <v/>
      </c>
      <c r="S59" s="12" t="str">
        <f aca="false">IF(A59="","",IF(I_Parameter!$C$4&lt;=I_Parameter!$C$5,D59,IF(I_Parameter!$C$4&gt;I_Parameter!$C$6,N59,INDEX(H59:N59,I_Parameter!$C$4-I_Parameter!$C$5))))</f>
        <v/>
      </c>
      <c r="T59" s="11" t="str">
        <f aca="false">IF(A59="","",SUMIFS(T_Penjualan!$H$6:$H$1505,T_Penjualan!$G$6:$G$1505,A59,T_Penjualan!$B$6:$B$1505,"Order",T_Penjualan!$A$6:$A$1505,"&gt;="&amp;I_Parameter!$C$4,T_Penjualan!$A$6:$A$1505,"&lt;="&amp;I_Parameter!$C$6))</f>
        <v/>
      </c>
      <c r="U59" s="11" t="str">
        <f aca="false">IF(A59="","",S59-T59)</f>
        <v/>
      </c>
      <c r="V59" s="11" t="str">
        <f aca="false">IF(A59="","",MIN(H59:N59))</f>
        <v/>
      </c>
      <c r="W59" s="10" t="str">
        <f aca="false">IF(A59="","",INDEX(I_Master!$F$6:$F$85,MATCH(A59,I_Master!$A$6:$A$85,0)))</f>
        <v/>
      </c>
      <c r="X59" s="11" t="str">
        <f aca="false">IF(OR(A59="",W59=""),"",W59-Q59)</f>
        <v/>
      </c>
      <c r="Y59" s="11" t="str">
        <f aca="false">IF(A59="","",S59*Q59)</f>
        <v/>
      </c>
      <c r="Z59" s="9" t="str">
        <f aca="false">IF(A59="","",IF(V59&lt;-0.5,"KURANG: stok minus "&amp;ROUND(-V59,0)&amp;" kg — beli/potong atau geser order",IF(AND(S59&gt;0.5,T59&lt;=0,G59&gt;0.5),"JUAL: "&amp;ROUND(S59,0)&amp;" kg tanpa order, sebagian &gt; batas umur",IF(AND(S59&gt;0.5,T59&lt;=0),"JUAL: "&amp;ROUND(S59,0)&amp;" kg tanpa order minggu ini",IF(G59&gt;0.5,"PERHATIAN: "&amp;ROUND(G59,0)&amp;" kg di atas batas umur",IF(AND(X59&lt;&gt;"",X59&lt;0,T59&gt;0),"Order di bawah biaya rata-rata — cek harga","-"))))))</f>
        <v/>
      </c>
    </row>
    <row r="60" customFormat="false" ht="15" hidden="false" customHeight="false" outlineLevel="0" collapsed="false">
      <c r="A60" s="34" t="str">
        <f aca="false">IF(I_Master!A60="","",I_Master!A60)</f>
        <v/>
      </c>
      <c r="B60" s="34" t="str">
        <f aca="false">IF(A60="","",INDEX(I_Master!$E$6:$E$85,MATCH(A60,I_Master!$A$6:$A$85,0)))</f>
        <v/>
      </c>
      <c r="C60" s="34" t="str">
        <f aca="false">IF(A60="","",INDEX(I_Master!$B$6:$B$85,MATCH(A60,I_Master!$A$6:$A$85,0)))</f>
        <v/>
      </c>
      <c r="D60" s="10" t="str">
        <f aca="false">IF(A60="","",SUMIFS(I_Stok_Awal!$D$6:$D$305,I_Stok_Awal!$C$6:$C$305,A60))</f>
        <v/>
      </c>
      <c r="E60" s="10" t="str">
        <f aca="false">IF(A60="","",SUMIFS(I_Stok_Awal!$E$6:$E$305,I_Stok_Awal!$C$6:$C$305,A60))</f>
        <v/>
      </c>
      <c r="F60" s="35" t="str">
        <f aca="false">IF(OR(A60="",D60&lt;=0),"",SUMPRODUCT((I_Stok_Awal!$C$6:$C$305=A60)*I_Stok_Awal!$D$6:$D$305*I_Stok_Awal!$F$6:$F$305)/D60)</f>
        <v/>
      </c>
      <c r="G60" s="10" t="str">
        <f aca="false">IF(A60="","",SUMIFS(I_Stok_Awal!$G$6:$G$305,I_Stok_Awal!$C$6:$C$305,A60))</f>
        <v/>
      </c>
      <c r="H60" s="11" t="str">
        <f aca="false">IF($A60="","",D60+SUMIFS(T_Penerimaan!$I$6:$I$1005,T_Penerimaan!$H$6:$H$1005,$A60,T_Penerimaan!$A$6:$A$1005,H$4,T_Penerimaan!$M$6:$M$1005,1)-SUMIFS(T_Penjualan!$H$6:$H$1505,T_Penjualan!$G$6:$G$1505,$A60,T_Penjualan!$A$6:$A$1505,H$4,T_Penjualan!$P$6:$P$1505,1))</f>
        <v/>
      </c>
      <c r="I60" s="11" t="str">
        <f aca="false">IF($A60="","",H60+SUMIFS(T_Penerimaan!$I$6:$I$1005,T_Penerimaan!$H$6:$H$1005,$A60,T_Penerimaan!$A$6:$A$1005,I$4,T_Penerimaan!$M$6:$M$1005,1)-SUMIFS(T_Penjualan!$H$6:$H$1505,T_Penjualan!$G$6:$G$1505,$A60,T_Penjualan!$A$6:$A$1505,I$4,T_Penjualan!$P$6:$P$1505,1))</f>
        <v/>
      </c>
      <c r="J60" s="11" t="str">
        <f aca="false">IF($A60="","",I60+SUMIFS(T_Penerimaan!$I$6:$I$1005,T_Penerimaan!$H$6:$H$1005,$A60,T_Penerimaan!$A$6:$A$1005,J$4,T_Penerimaan!$M$6:$M$1005,1)-SUMIFS(T_Penjualan!$H$6:$H$1505,T_Penjualan!$G$6:$G$1505,$A60,T_Penjualan!$A$6:$A$1505,J$4,T_Penjualan!$P$6:$P$1505,1))</f>
        <v/>
      </c>
      <c r="K60" s="11" t="str">
        <f aca="false">IF($A60="","",J60+SUMIFS(T_Penerimaan!$I$6:$I$1005,T_Penerimaan!$H$6:$H$1005,$A60,T_Penerimaan!$A$6:$A$1005,K$4,T_Penerimaan!$M$6:$M$1005,1)-SUMIFS(T_Penjualan!$H$6:$H$1505,T_Penjualan!$G$6:$G$1505,$A60,T_Penjualan!$A$6:$A$1505,K$4,T_Penjualan!$P$6:$P$1505,1))</f>
        <v/>
      </c>
      <c r="L60" s="11" t="str">
        <f aca="false">IF($A60="","",K60+SUMIFS(T_Penerimaan!$I$6:$I$1005,T_Penerimaan!$H$6:$H$1005,$A60,T_Penerimaan!$A$6:$A$1005,L$4,T_Penerimaan!$M$6:$M$1005,1)-SUMIFS(T_Penjualan!$H$6:$H$1505,T_Penjualan!$G$6:$G$1505,$A60,T_Penjualan!$A$6:$A$1505,L$4,T_Penjualan!$P$6:$P$1505,1))</f>
        <v/>
      </c>
      <c r="M60" s="11" t="str">
        <f aca="false">IF($A60="","",L60+SUMIFS(T_Penerimaan!$I$6:$I$1005,T_Penerimaan!$H$6:$H$1005,$A60,T_Penerimaan!$A$6:$A$1005,M$4,T_Penerimaan!$M$6:$M$1005,1)-SUMIFS(T_Penjualan!$H$6:$H$1505,T_Penjualan!$G$6:$G$1505,$A60,T_Penjualan!$A$6:$A$1505,M$4,T_Penjualan!$P$6:$P$1505,1))</f>
        <v/>
      </c>
      <c r="N60" s="11" t="str">
        <f aca="false">IF($A60="","",M60+SUMIFS(T_Penerimaan!$I$6:$I$1005,T_Penerimaan!$H$6:$H$1005,$A60,T_Penerimaan!$A$6:$A$1005,N$4,T_Penerimaan!$M$6:$M$1005,1)-SUMIFS(T_Penjualan!$H$6:$H$1505,T_Penjualan!$G$6:$G$1505,$A60,T_Penjualan!$A$6:$A$1505,N$4,T_Penjualan!$P$6:$P$1505,1))</f>
        <v/>
      </c>
      <c r="O60" s="11" t="str">
        <f aca="false">IF(A60="","",SUMIFS(T_Penerimaan!$I$6:$I$1005,T_Penerimaan!$H$6:$H$1005,A60,T_Penerimaan!$M$6:$M$1005,1))</f>
        <v/>
      </c>
      <c r="P60" s="11" t="str">
        <f aca="false">IF(A60="","",SUMIFS(T_Penerimaan!$K$6:$K$1005,T_Penerimaan!$H$6:$H$1005,A60,T_Penerimaan!$M$6:$M$1005,1))</f>
        <v/>
      </c>
      <c r="Q60" s="11" t="str">
        <f aca="false">IF(A60="","",IF(D60+O60&lt;=0,0,(E60+P60)/(D60+O60)))</f>
        <v/>
      </c>
      <c r="R60" s="11" t="str">
        <f aca="false">IF(A60="","",SUMIFS(T_Penjualan!$H$6:$H$1505,T_Penjualan!$G$6:$G$1505,A60,T_Penjualan!$P$6:$P$1505,1))</f>
        <v/>
      </c>
      <c r="S60" s="12" t="str">
        <f aca="false">IF(A60="","",IF(I_Parameter!$C$4&lt;=I_Parameter!$C$5,D60,IF(I_Parameter!$C$4&gt;I_Parameter!$C$6,N60,INDEX(H60:N60,I_Parameter!$C$4-I_Parameter!$C$5))))</f>
        <v/>
      </c>
      <c r="T60" s="11" t="str">
        <f aca="false">IF(A60="","",SUMIFS(T_Penjualan!$H$6:$H$1505,T_Penjualan!$G$6:$G$1505,A60,T_Penjualan!$B$6:$B$1505,"Order",T_Penjualan!$A$6:$A$1505,"&gt;="&amp;I_Parameter!$C$4,T_Penjualan!$A$6:$A$1505,"&lt;="&amp;I_Parameter!$C$6))</f>
        <v/>
      </c>
      <c r="U60" s="11" t="str">
        <f aca="false">IF(A60="","",S60-T60)</f>
        <v/>
      </c>
      <c r="V60" s="11" t="str">
        <f aca="false">IF(A60="","",MIN(H60:N60))</f>
        <v/>
      </c>
      <c r="W60" s="10" t="str">
        <f aca="false">IF(A60="","",INDEX(I_Master!$F$6:$F$85,MATCH(A60,I_Master!$A$6:$A$85,0)))</f>
        <v/>
      </c>
      <c r="X60" s="11" t="str">
        <f aca="false">IF(OR(A60="",W60=""),"",W60-Q60)</f>
        <v/>
      </c>
      <c r="Y60" s="11" t="str">
        <f aca="false">IF(A60="","",S60*Q60)</f>
        <v/>
      </c>
      <c r="Z60" s="9" t="str">
        <f aca="false">IF(A60="","",IF(V60&lt;-0.5,"KURANG: stok minus "&amp;ROUND(-V60,0)&amp;" kg — beli/potong atau geser order",IF(AND(S60&gt;0.5,T60&lt;=0,G60&gt;0.5),"JUAL: "&amp;ROUND(S60,0)&amp;" kg tanpa order, sebagian &gt; batas umur",IF(AND(S60&gt;0.5,T60&lt;=0),"JUAL: "&amp;ROUND(S60,0)&amp;" kg tanpa order minggu ini",IF(G60&gt;0.5,"PERHATIAN: "&amp;ROUND(G60,0)&amp;" kg di atas batas umur",IF(AND(X60&lt;&gt;"",X60&lt;0,T60&gt;0),"Order di bawah biaya rata-rata — cek harga","-"))))))</f>
        <v/>
      </c>
    </row>
    <row r="61" customFormat="false" ht="15" hidden="false" customHeight="false" outlineLevel="0" collapsed="false">
      <c r="A61" s="34" t="str">
        <f aca="false">IF(I_Master!A61="","",I_Master!A61)</f>
        <v/>
      </c>
      <c r="B61" s="34" t="str">
        <f aca="false">IF(A61="","",INDEX(I_Master!$E$6:$E$85,MATCH(A61,I_Master!$A$6:$A$85,0)))</f>
        <v/>
      </c>
      <c r="C61" s="34" t="str">
        <f aca="false">IF(A61="","",INDEX(I_Master!$B$6:$B$85,MATCH(A61,I_Master!$A$6:$A$85,0)))</f>
        <v/>
      </c>
      <c r="D61" s="10" t="str">
        <f aca="false">IF(A61="","",SUMIFS(I_Stok_Awal!$D$6:$D$305,I_Stok_Awal!$C$6:$C$305,A61))</f>
        <v/>
      </c>
      <c r="E61" s="10" t="str">
        <f aca="false">IF(A61="","",SUMIFS(I_Stok_Awal!$E$6:$E$305,I_Stok_Awal!$C$6:$C$305,A61))</f>
        <v/>
      </c>
      <c r="F61" s="35" t="str">
        <f aca="false">IF(OR(A61="",D61&lt;=0),"",SUMPRODUCT((I_Stok_Awal!$C$6:$C$305=A61)*I_Stok_Awal!$D$6:$D$305*I_Stok_Awal!$F$6:$F$305)/D61)</f>
        <v/>
      </c>
      <c r="G61" s="10" t="str">
        <f aca="false">IF(A61="","",SUMIFS(I_Stok_Awal!$G$6:$G$305,I_Stok_Awal!$C$6:$C$305,A61))</f>
        <v/>
      </c>
      <c r="H61" s="11" t="str">
        <f aca="false">IF($A61="","",D61+SUMIFS(T_Penerimaan!$I$6:$I$1005,T_Penerimaan!$H$6:$H$1005,$A61,T_Penerimaan!$A$6:$A$1005,H$4,T_Penerimaan!$M$6:$M$1005,1)-SUMIFS(T_Penjualan!$H$6:$H$1505,T_Penjualan!$G$6:$G$1505,$A61,T_Penjualan!$A$6:$A$1505,H$4,T_Penjualan!$P$6:$P$1505,1))</f>
        <v/>
      </c>
      <c r="I61" s="11" t="str">
        <f aca="false">IF($A61="","",H61+SUMIFS(T_Penerimaan!$I$6:$I$1005,T_Penerimaan!$H$6:$H$1005,$A61,T_Penerimaan!$A$6:$A$1005,I$4,T_Penerimaan!$M$6:$M$1005,1)-SUMIFS(T_Penjualan!$H$6:$H$1505,T_Penjualan!$G$6:$G$1505,$A61,T_Penjualan!$A$6:$A$1505,I$4,T_Penjualan!$P$6:$P$1505,1))</f>
        <v/>
      </c>
      <c r="J61" s="11" t="str">
        <f aca="false">IF($A61="","",I61+SUMIFS(T_Penerimaan!$I$6:$I$1005,T_Penerimaan!$H$6:$H$1005,$A61,T_Penerimaan!$A$6:$A$1005,J$4,T_Penerimaan!$M$6:$M$1005,1)-SUMIFS(T_Penjualan!$H$6:$H$1505,T_Penjualan!$G$6:$G$1505,$A61,T_Penjualan!$A$6:$A$1505,J$4,T_Penjualan!$P$6:$P$1505,1))</f>
        <v/>
      </c>
      <c r="K61" s="11" t="str">
        <f aca="false">IF($A61="","",J61+SUMIFS(T_Penerimaan!$I$6:$I$1005,T_Penerimaan!$H$6:$H$1005,$A61,T_Penerimaan!$A$6:$A$1005,K$4,T_Penerimaan!$M$6:$M$1005,1)-SUMIFS(T_Penjualan!$H$6:$H$1505,T_Penjualan!$G$6:$G$1505,$A61,T_Penjualan!$A$6:$A$1505,K$4,T_Penjualan!$P$6:$P$1505,1))</f>
        <v/>
      </c>
      <c r="L61" s="11" t="str">
        <f aca="false">IF($A61="","",K61+SUMIFS(T_Penerimaan!$I$6:$I$1005,T_Penerimaan!$H$6:$H$1005,$A61,T_Penerimaan!$A$6:$A$1005,L$4,T_Penerimaan!$M$6:$M$1005,1)-SUMIFS(T_Penjualan!$H$6:$H$1505,T_Penjualan!$G$6:$G$1505,$A61,T_Penjualan!$A$6:$A$1505,L$4,T_Penjualan!$P$6:$P$1505,1))</f>
        <v/>
      </c>
      <c r="M61" s="11" t="str">
        <f aca="false">IF($A61="","",L61+SUMIFS(T_Penerimaan!$I$6:$I$1005,T_Penerimaan!$H$6:$H$1005,$A61,T_Penerimaan!$A$6:$A$1005,M$4,T_Penerimaan!$M$6:$M$1005,1)-SUMIFS(T_Penjualan!$H$6:$H$1505,T_Penjualan!$G$6:$G$1505,$A61,T_Penjualan!$A$6:$A$1505,M$4,T_Penjualan!$P$6:$P$1505,1))</f>
        <v/>
      </c>
      <c r="N61" s="11" t="str">
        <f aca="false">IF($A61="","",M61+SUMIFS(T_Penerimaan!$I$6:$I$1005,T_Penerimaan!$H$6:$H$1005,$A61,T_Penerimaan!$A$6:$A$1005,N$4,T_Penerimaan!$M$6:$M$1005,1)-SUMIFS(T_Penjualan!$H$6:$H$1505,T_Penjualan!$G$6:$G$1505,$A61,T_Penjualan!$A$6:$A$1505,N$4,T_Penjualan!$P$6:$P$1505,1))</f>
        <v/>
      </c>
      <c r="O61" s="11" t="str">
        <f aca="false">IF(A61="","",SUMIFS(T_Penerimaan!$I$6:$I$1005,T_Penerimaan!$H$6:$H$1005,A61,T_Penerimaan!$M$6:$M$1005,1))</f>
        <v/>
      </c>
      <c r="P61" s="11" t="str">
        <f aca="false">IF(A61="","",SUMIFS(T_Penerimaan!$K$6:$K$1005,T_Penerimaan!$H$6:$H$1005,A61,T_Penerimaan!$M$6:$M$1005,1))</f>
        <v/>
      </c>
      <c r="Q61" s="11" t="str">
        <f aca="false">IF(A61="","",IF(D61+O61&lt;=0,0,(E61+P61)/(D61+O61)))</f>
        <v/>
      </c>
      <c r="R61" s="11" t="str">
        <f aca="false">IF(A61="","",SUMIFS(T_Penjualan!$H$6:$H$1505,T_Penjualan!$G$6:$G$1505,A61,T_Penjualan!$P$6:$P$1505,1))</f>
        <v/>
      </c>
      <c r="S61" s="12" t="str">
        <f aca="false">IF(A61="","",IF(I_Parameter!$C$4&lt;=I_Parameter!$C$5,D61,IF(I_Parameter!$C$4&gt;I_Parameter!$C$6,N61,INDEX(H61:N61,I_Parameter!$C$4-I_Parameter!$C$5))))</f>
        <v/>
      </c>
      <c r="T61" s="11" t="str">
        <f aca="false">IF(A61="","",SUMIFS(T_Penjualan!$H$6:$H$1505,T_Penjualan!$G$6:$G$1505,A61,T_Penjualan!$B$6:$B$1505,"Order",T_Penjualan!$A$6:$A$1505,"&gt;="&amp;I_Parameter!$C$4,T_Penjualan!$A$6:$A$1505,"&lt;="&amp;I_Parameter!$C$6))</f>
        <v/>
      </c>
      <c r="U61" s="11" t="str">
        <f aca="false">IF(A61="","",S61-T61)</f>
        <v/>
      </c>
      <c r="V61" s="11" t="str">
        <f aca="false">IF(A61="","",MIN(H61:N61))</f>
        <v/>
      </c>
      <c r="W61" s="10" t="str">
        <f aca="false">IF(A61="","",INDEX(I_Master!$F$6:$F$85,MATCH(A61,I_Master!$A$6:$A$85,0)))</f>
        <v/>
      </c>
      <c r="X61" s="11" t="str">
        <f aca="false">IF(OR(A61="",W61=""),"",W61-Q61)</f>
        <v/>
      </c>
      <c r="Y61" s="11" t="str">
        <f aca="false">IF(A61="","",S61*Q61)</f>
        <v/>
      </c>
      <c r="Z61" s="9" t="str">
        <f aca="false">IF(A61="","",IF(V61&lt;-0.5,"KURANG: stok minus "&amp;ROUND(-V61,0)&amp;" kg — beli/potong atau geser order",IF(AND(S61&gt;0.5,T61&lt;=0,G61&gt;0.5),"JUAL: "&amp;ROUND(S61,0)&amp;" kg tanpa order, sebagian &gt; batas umur",IF(AND(S61&gt;0.5,T61&lt;=0),"JUAL: "&amp;ROUND(S61,0)&amp;" kg tanpa order minggu ini",IF(G61&gt;0.5,"PERHATIAN: "&amp;ROUND(G61,0)&amp;" kg di atas batas umur",IF(AND(X61&lt;&gt;"",X61&lt;0,T61&gt;0),"Order di bawah biaya rata-rata — cek harga","-"))))))</f>
        <v/>
      </c>
    </row>
    <row r="62" customFormat="false" ht="15" hidden="false" customHeight="false" outlineLevel="0" collapsed="false">
      <c r="A62" s="34" t="str">
        <f aca="false">IF(I_Master!A62="","",I_Master!A62)</f>
        <v/>
      </c>
      <c r="B62" s="34" t="str">
        <f aca="false">IF(A62="","",INDEX(I_Master!$E$6:$E$85,MATCH(A62,I_Master!$A$6:$A$85,0)))</f>
        <v/>
      </c>
      <c r="C62" s="34" t="str">
        <f aca="false">IF(A62="","",INDEX(I_Master!$B$6:$B$85,MATCH(A62,I_Master!$A$6:$A$85,0)))</f>
        <v/>
      </c>
      <c r="D62" s="10" t="str">
        <f aca="false">IF(A62="","",SUMIFS(I_Stok_Awal!$D$6:$D$305,I_Stok_Awal!$C$6:$C$305,A62))</f>
        <v/>
      </c>
      <c r="E62" s="10" t="str">
        <f aca="false">IF(A62="","",SUMIFS(I_Stok_Awal!$E$6:$E$305,I_Stok_Awal!$C$6:$C$305,A62))</f>
        <v/>
      </c>
      <c r="F62" s="35" t="str">
        <f aca="false">IF(OR(A62="",D62&lt;=0),"",SUMPRODUCT((I_Stok_Awal!$C$6:$C$305=A62)*I_Stok_Awal!$D$6:$D$305*I_Stok_Awal!$F$6:$F$305)/D62)</f>
        <v/>
      </c>
      <c r="G62" s="10" t="str">
        <f aca="false">IF(A62="","",SUMIFS(I_Stok_Awal!$G$6:$G$305,I_Stok_Awal!$C$6:$C$305,A62))</f>
        <v/>
      </c>
      <c r="H62" s="11" t="str">
        <f aca="false">IF($A62="","",D62+SUMIFS(T_Penerimaan!$I$6:$I$1005,T_Penerimaan!$H$6:$H$1005,$A62,T_Penerimaan!$A$6:$A$1005,H$4,T_Penerimaan!$M$6:$M$1005,1)-SUMIFS(T_Penjualan!$H$6:$H$1505,T_Penjualan!$G$6:$G$1505,$A62,T_Penjualan!$A$6:$A$1505,H$4,T_Penjualan!$P$6:$P$1505,1))</f>
        <v/>
      </c>
      <c r="I62" s="11" t="str">
        <f aca="false">IF($A62="","",H62+SUMIFS(T_Penerimaan!$I$6:$I$1005,T_Penerimaan!$H$6:$H$1005,$A62,T_Penerimaan!$A$6:$A$1005,I$4,T_Penerimaan!$M$6:$M$1005,1)-SUMIFS(T_Penjualan!$H$6:$H$1505,T_Penjualan!$G$6:$G$1505,$A62,T_Penjualan!$A$6:$A$1505,I$4,T_Penjualan!$P$6:$P$1505,1))</f>
        <v/>
      </c>
      <c r="J62" s="11" t="str">
        <f aca="false">IF($A62="","",I62+SUMIFS(T_Penerimaan!$I$6:$I$1005,T_Penerimaan!$H$6:$H$1005,$A62,T_Penerimaan!$A$6:$A$1005,J$4,T_Penerimaan!$M$6:$M$1005,1)-SUMIFS(T_Penjualan!$H$6:$H$1505,T_Penjualan!$G$6:$G$1505,$A62,T_Penjualan!$A$6:$A$1505,J$4,T_Penjualan!$P$6:$P$1505,1))</f>
        <v/>
      </c>
      <c r="K62" s="11" t="str">
        <f aca="false">IF($A62="","",J62+SUMIFS(T_Penerimaan!$I$6:$I$1005,T_Penerimaan!$H$6:$H$1005,$A62,T_Penerimaan!$A$6:$A$1005,K$4,T_Penerimaan!$M$6:$M$1005,1)-SUMIFS(T_Penjualan!$H$6:$H$1505,T_Penjualan!$G$6:$G$1505,$A62,T_Penjualan!$A$6:$A$1505,K$4,T_Penjualan!$P$6:$P$1505,1))</f>
        <v/>
      </c>
      <c r="L62" s="11" t="str">
        <f aca="false">IF($A62="","",K62+SUMIFS(T_Penerimaan!$I$6:$I$1005,T_Penerimaan!$H$6:$H$1005,$A62,T_Penerimaan!$A$6:$A$1005,L$4,T_Penerimaan!$M$6:$M$1005,1)-SUMIFS(T_Penjualan!$H$6:$H$1505,T_Penjualan!$G$6:$G$1505,$A62,T_Penjualan!$A$6:$A$1505,L$4,T_Penjualan!$P$6:$P$1505,1))</f>
        <v/>
      </c>
      <c r="M62" s="11" t="str">
        <f aca="false">IF($A62="","",L62+SUMIFS(T_Penerimaan!$I$6:$I$1005,T_Penerimaan!$H$6:$H$1005,$A62,T_Penerimaan!$A$6:$A$1005,M$4,T_Penerimaan!$M$6:$M$1005,1)-SUMIFS(T_Penjualan!$H$6:$H$1505,T_Penjualan!$G$6:$G$1505,$A62,T_Penjualan!$A$6:$A$1505,M$4,T_Penjualan!$P$6:$P$1505,1))</f>
        <v/>
      </c>
      <c r="N62" s="11" t="str">
        <f aca="false">IF($A62="","",M62+SUMIFS(T_Penerimaan!$I$6:$I$1005,T_Penerimaan!$H$6:$H$1005,$A62,T_Penerimaan!$A$6:$A$1005,N$4,T_Penerimaan!$M$6:$M$1005,1)-SUMIFS(T_Penjualan!$H$6:$H$1505,T_Penjualan!$G$6:$G$1505,$A62,T_Penjualan!$A$6:$A$1505,N$4,T_Penjualan!$P$6:$P$1505,1))</f>
        <v/>
      </c>
      <c r="O62" s="11" t="str">
        <f aca="false">IF(A62="","",SUMIFS(T_Penerimaan!$I$6:$I$1005,T_Penerimaan!$H$6:$H$1005,A62,T_Penerimaan!$M$6:$M$1005,1))</f>
        <v/>
      </c>
      <c r="P62" s="11" t="str">
        <f aca="false">IF(A62="","",SUMIFS(T_Penerimaan!$K$6:$K$1005,T_Penerimaan!$H$6:$H$1005,A62,T_Penerimaan!$M$6:$M$1005,1))</f>
        <v/>
      </c>
      <c r="Q62" s="11" t="str">
        <f aca="false">IF(A62="","",IF(D62+O62&lt;=0,0,(E62+P62)/(D62+O62)))</f>
        <v/>
      </c>
      <c r="R62" s="11" t="str">
        <f aca="false">IF(A62="","",SUMIFS(T_Penjualan!$H$6:$H$1505,T_Penjualan!$G$6:$G$1505,A62,T_Penjualan!$P$6:$P$1505,1))</f>
        <v/>
      </c>
      <c r="S62" s="12" t="str">
        <f aca="false">IF(A62="","",IF(I_Parameter!$C$4&lt;=I_Parameter!$C$5,D62,IF(I_Parameter!$C$4&gt;I_Parameter!$C$6,N62,INDEX(H62:N62,I_Parameter!$C$4-I_Parameter!$C$5))))</f>
        <v/>
      </c>
      <c r="T62" s="11" t="str">
        <f aca="false">IF(A62="","",SUMIFS(T_Penjualan!$H$6:$H$1505,T_Penjualan!$G$6:$G$1505,A62,T_Penjualan!$B$6:$B$1505,"Order",T_Penjualan!$A$6:$A$1505,"&gt;="&amp;I_Parameter!$C$4,T_Penjualan!$A$6:$A$1505,"&lt;="&amp;I_Parameter!$C$6))</f>
        <v/>
      </c>
      <c r="U62" s="11" t="str">
        <f aca="false">IF(A62="","",S62-T62)</f>
        <v/>
      </c>
      <c r="V62" s="11" t="str">
        <f aca="false">IF(A62="","",MIN(H62:N62))</f>
        <v/>
      </c>
      <c r="W62" s="10" t="str">
        <f aca="false">IF(A62="","",INDEX(I_Master!$F$6:$F$85,MATCH(A62,I_Master!$A$6:$A$85,0)))</f>
        <v/>
      </c>
      <c r="X62" s="11" t="str">
        <f aca="false">IF(OR(A62="",W62=""),"",W62-Q62)</f>
        <v/>
      </c>
      <c r="Y62" s="11" t="str">
        <f aca="false">IF(A62="","",S62*Q62)</f>
        <v/>
      </c>
      <c r="Z62" s="9" t="str">
        <f aca="false">IF(A62="","",IF(V62&lt;-0.5,"KURANG: stok minus "&amp;ROUND(-V62,0)&amp;" kg — beli/potong atau geser order",IF(AND(S62&gt;0.5,T62&lt;=0,G62&gt;0.5),"JUAL: "&amp;ROUND(S62,0)&amp;" kg tanpa order, sebagian &gt; batas umur",IF(AND(S62&gt;0.5,T62&lt;=0),"JUAL: "&amp;ROUND(S62,0)&amp;" kg tanpa order minggu ini",IF(G62&gt;0.5,"PERHATIAN: "&amp;ROUND(G62,0)&amp;" kg di atas batas umur",IF(AND(X62&lt;&gt;"",X62&lt;0,T62&gt;0),"Order di bawah biaya rata-rata — cek harga","-"))))))</f>
        <v/>
      </c>
    </row>
    <row r="63" customFormat="false" ht="15" hidden="false" customHeight="false" outlineLevel="0" collapsed="false">
      <c r="A63" s="34" t="str">
        <f aca="false">IF(I_Master!A63="","",I_Master!A63)</f>
        <v/>
      </c>
      <c r="B63" s="34" t="str">
        <f aca="false">IF(A63="","",INDEX(I_Master!$E$6:$E$85,MATCH(A63,I_Master!$A$6:$A$85,0)))</f>
        <v/>
      </c>
      <c r="C63" s="34" t="str">
        <f aca="false">IF(A63="","",INDEX(I_Master!$B$6:$B$85,MATCH(A63,I_Master!$A$6:$A$85,0)))</f>
        <v/>
      </c>
      <c r="D63" s="10" t="str">
        <f aca="false">IF(A63="","",SUMIFS(I_Stok_Awal!$D$6:$D$305,I_Stok_Awal!$C$6:$C$305,A63))</f>
        <v/>
      </c>
      <c r="E63" s="10" t="str">
        <f aca="false">IF(A63="","",SUMIFS(I_Stok_Awal!$E$6:$E$305,I_Stok_Awal!$C$6:$C$305,A63))</f>
        <v/>
      </c>
      <c r="F63" s="35" t="str">
        <f aca="false">IF(OR(A63="",D63&lt;=0),"",SUMPRODUCT((I_Stok_Awal!$C$6:$C$305=A63)*I_Stok_Awal!$D$6:$D$305*I_Stok_Awal!$F$6:$F$305)/D63)</f>
        <v/>
      </c>
      <c r="G63" s="10" t="str">
        <f aca="false">IF(A63="","",SUMIFS(I_Stok_Awal!$G$6:$G$305,I_Stok_Awal!$C$6:$C$305,A63))</f>
        <v/>
      </c>
      <c r="H63" s="11" t="str">
        <f aca="false">IF($A63="","",D63+SUMIFS(T_Penerimaan!$I$6:$I$1005,T_Penerimaan!$H$6:$H$1005,$A63,T_Penerimaan!$A$6:$A$1005,H$4,T_Penerimaan!$M$6:$M$1005,1)-SUMIFS(T_Penjualan!$H$6:$H$1505,T_Penjualan!$G$6:$G$1505,$A63,T_Penjualan!$A$6:$A$1505,H$4,T_Penjualan!$P$6:$P$1505,1))</f>
        <v/>
      </c>
      <c r="I63" s="11" t="str">
        <f aca="false">IF($A63="","",H63+SUMIFS(T_Penerimaan!$I$6:$I$1005,T_Penerimaan!$H$6:$H$1005,$A63,T_Penerimaan!$A$6:$A$1005,I$4,T_Penerimaan!$M$6:$M$1005,1)-SUMIFS(T_Penjualan!$H$6:$H$1505,T_Penjualan!$G$6:$G$1505,$A63,T_Penjualan!$A$6:$A$1505,I$4,T_Penjualan!$P$6:$P$1505,1))</f>
        <v/>
      </c>
      <c r="J63" s="11" t="str">
        <f aca="false">IF($A63="","",I63+SUMIFS(T_Penerimaan!$I$6:$I$1005,T_Penerimaan!$H$6:$H$1005,$A63,T_Penerimaan!$A$6:$A$1005,J$4,T_Penerimaan!$M$6:$M$1005,1)-SUMIFS(T_Penjualan!$H$6:$H$1505,T_Penjualan!$G$6:$G$1505,$A63,T_Penjualan!$A$6:$A$1505,J$4,T_Penjualan!$P$6:$P$1505,1))</f>
        <v/>
      </c>
      <c r="K63" s="11" t="str">
        <f aca="false">IF($A63="","",J63+SUMIFS(T_Penerimaan!$I$6:$I$1005,T_Penerimaan!$H$6:$H$1005,$A63,T_Penerimaan!$A$6:$A$1005,K$4,T_Penerimaan!$M$6:$M$1005,1)-SUMIFS(T_Penjualan!$H$6:$H$1505,T_Penjualan!$G$6:$G$1505,$A63,T_Penjualan!$A$6:$A$1505,K$4,T_Penjualan!$P$6:$P$1505,1))</f>
        <v/>
      </c>
      <c r="L63" s="11" t="str">
        <f aca="false">IF($A63="","",K63+SUMIFS(T_Penerimaan!$I$6:$I$1005,T_Penerimaan!$H$6:$H$1005,$A63,T_Penerimaan!$A$6:$A$1005,L$4,T_Penerimaan!$M$6:$M$1005,1)-SUMIFS(T_Penjualan!$H$6:$H$1505,T_Penjualan!$G$6:$G$1505,$A63,T_Penjualan!$A$6:$A$1505,L$4,T_Penjualan!$P$6:$P$1505,1))</f>
        <v/>
      </c>
      <c r="M63" s="11" t="str">
        <f aca="false">IF($A63="","",L63+SUMIFS(T_Penerimaan!$I$6:$I$1005,T_Penerimaan!$H$6:$H$1005,$A63,T_Penerimaan!$A$6:$A$1005,M$4,T_Penerimaan!$M$6:$M$1005,1)-SUMIFS(T_Penjualan!$H$6:$H$1505,T_Penjualan!$G$6:$G$1505,$A63,T_Penjualan!$A$6:$A$1505,M$4,T_Penjualan!$P$6:$P$1505,1))</f>
        <v/>
      </c>
      <c r="N63" s="11" t="str">
        <f aca="false">IF($A63="","",M63+SUMIFS(T_Penerimaan!$I$6:$I$1005,T_Penerimaan!$H$6:$H$1005,$A63,T_Penerimaan!$A$6:$A$1005,N$4,T_Penerimaan!$M$6:$M$1005,1)-SUMIFS(T_Penjualan!$H$6:$H$1505,T_Penjualan!$G$6:$G$1505,$A63,T_Penjualan!$A$6:$A$1505,N$4,T_Penjualan!$P$6:$P$1505,1))</f>
        <v/>
      </c>
      <c r="O63" s="11" t="str">
        <f aca="false">IF(A63="","",SUMIFS(T_Penerimaan!$I$6:$I$1005,T_Penerimaan!$H$6:$H$1005,A63,T_Penerimaan!$M$6:$M$1005,1))</f>
        <v/>
      </c>
      <c r="P63" s="11" t="str">
        <f aca="false">IF(A63="","",SUMIFS(T_Penerimaan!$K$6:$K$1005,T_Penerimaan!$H$6:$H$1005,A63,T_Penerimaan!$M$6:$M$1005,1))</f>
        <v/>
      </c>
      <c r="Q63" s="11" t="str">
        <f aca="false">IF(A63="","",IF(D63+O63&lt;=0,0,(E63+P63)/(D63+O63)))</f>
        <v/>
      </c>
      <c r="R63" s="11" t="str">
        <f aca="false">IF(A63="","",SUMIFS(T_Penjualan!$H$6:$H$1505,T_Penjualan!$G$6:$G$1505,A63,T_Penjualan!$P$6:$P$1505,1))</f>
        <v/>
      </c>
      <c r="S63" s="12" t="str">
        <f aca="false">IF(A63="","",IF(I_Parameter!$C$4&lt;=I_Parameter!$C$5,D63,IF(I_Parameter!$C$4&gt;I_Parameter!$C$6,N63,INDEX(H63:N63,I_Parameter!$C$4-I_Parameter!$C$5))))</f>
        <v/>
      </c>
      <c r="T63" s="11" t="str">
        <f aca="false">IF(A63="","",SUMIFS(T_Penjualan!$H$6:$H$1505,T_Penjualan!$G$6:$G$1505,A63,T_Penjualan!$B$6:$B$1505,"Order",T_Penjualan!$A$6:$A$1505,"&gt;="&amp;I_Parameter!$C$4,T_Penjualan!$A$6:$A$1505,"&lt;="&amp;I_Parameter!$C$6))</f>
        <v/>
      </c>
      <c r="U63" s="11" t="str">
        <f aca="false">IF(A63="","",S63-T63)</f>
        <v/>
      </c>
      <c r="V63" s="11" t="str">
        <f aca="false">IF(A63="","",MIN(H63:N63))</f>
        <v/>
      </c>
      <c r="W63" s="10" t="str">
        <f aca="false">IF(A63="","",INDEX(I_Master!$F$6:$F$85,MATCH(A63,I_Master!$A$6:$A$85,0)))</f>
        <v/>
      </c>
      <c r="X63" s="11" t="str">
        <f aca="false">IF(OR(A63="",W63=""),"",W63-Q63)</f>
        <v/>
      </c>
      <c r="Y63" s="11" t="str">
        <f aca="false">IF(A63="","",S63*Q63)</f>
        <v/>
      </c>
      <c r="Z63" s="9" t="str">
        <f aca="false">IF(A63="","",IF(V63&lt;-0.5,"KURANG: stok minus "&amp;ROUND(-V63,0)&amp;" kg — beli/potong atau geser order",IF(AND(S63&gt;0.5,T63&lt;=0,G63&gt;0.5),"JUAL: "&amp;ROUND(S63,0)&amp;" kg tanpa order, sebagian &gt; batas umur",IF(AND(S63&gt;0.5,T63&lt;=0),"JUAL: "&amp;ROUND(S63,0)&amp;" kg tanpa order minggu ini",IF(G63&gt;0.5,"PERHATIAN: "&amp;ROUND(G63,0)&amp;" kg di atas batas umur",IF(AND(X63&lt;&gt;"",X63&lt;0,T63&gt;0),"Order di bawah biaya rata-rata — cek harga","-"))))))</f>
        <v/>
      </c>
    </row>
    <row r="64" customFormat="false" ht="15" hidden="false" customHeight="false" outlineLevel="0" collapsed="false">
      <c r="A64" s="34" t="str">
        <f aca="false">IF(I_Master!A64="","",I_Master!A64)</f>
        <v/>
      </c>
      <c r="B64" s="34" t="str">
        <f aca="false">IF(A64="","",INDEX(I_Master!$E$6:$E$85,MATCH(A64,I_Master!$A$6:$A$85,0)))</f>
        <v/>
      </c>
      <c r="C64" s="34" t="str">
        <f aca="false">IF(A64="","",INDEX(I_Master!$B$6:$B$85,MATCH(A64,I_Master!$A$6:$A$85,0)))</f>
        <v/>
      </c>
      <c r="D64" s="10" t="str">
        <f aca="false">IF(A64="","",SUMIFS(I_Stok_Awal!$D$6:$D$305,I_Stok_Awal!$C$6:$C$305,A64))</f>
        <v/>
      </c>
      <c r="E64" s="10" t="str">
        <f aca="false">IF(A64="","",SUMIFS(I_Stok_Awal!$E$6:$E$305,I_Stok_Awal!$C$6:$C$305,A64))</f>
        <v/>
      </c>
      <c r="F64" s="35" t="str">
        <f aca="false">IF(OR(A64="",D64&lt;=0),"",SUMPRODUCT((I_Stok_Awal!$C$6:$C$305=A64)*I_Stok_Awal!$D$6:$D$305*I_Stok_Awal!$F$6:$F$305)/D64)</f>
        <v/>
      </c>
      <c r="G64" s="10" t="str">
        <f aca="false">IF(A64="","",SUMIFS(I_Stok_Awal!$G$6:$G$305,I_Stok_Awal!$C$6:$C$305,A64))</f>
        <v/>
      </c>
      <c r="H64" s="11" t="str">
        <f aca="false">IF($A64="","",D64+SUMIFS(T_Penerimaan!$I$6:$I$1005,T_Penerimaan!$H$6:$H$1005,$A64,T_Penerimaan!$A$6:$A$1005,H$4,T_Penerimaan!$M$6:$M$1005,1)-SUMIFS(T_Penjualan!$H$6:$H$1505,T_Penjualan!$G$6:$G$1505,$A64,T_Penjualan!$A$6:$A$1505,H$4,T_Penjualan!$P$6:$P$1505,1))</f>
        <v/>
      </c>
      <c r="I64" s="11" t="str">
        <f aca="false">IF($A64="","",H64+SUMIFS(T_Penerimaan!$I$6:$I$1005,T_Penerimaan!$H$6:$H$1005,$A64,T_Penerimaan!$A$6:$A$1005,I$4,T_Penerimaan!$M$6:$M$1005,1)-SUMIFS(T_Penjualan!$H$6:$H$1505,T_Penjualan!$G$6:$G$1505,$A64,T_Penjualan!$A$6:$A$1505,I$4,T_Penjualan!$P$6:$P$1505,1))</f>
        <v/>
      </c>
      <c r="J64" s="11" t="str">
        <f aca="false">IF($A64="","",I64+SUMIFS(T_Penerimaan!$I$6:$I$1005,T_Penerimaan!$H$6:$H$1005,$A64,T_Penerimaan!$A$6:$A$1005,J$4,T_Penerimaan!$M$6:$M$1005,1)-SUMIFS(T_Penjualan!$H$6:$H$1505,T_Penjualan!$G$6:$G$1505,$A64,T_Penjualan!$A$6:$A$1505,J$4,T_Penjualan!$P$6:$P$1505,1))</f>
        <v/>
      </c>
      <c r="K64" s="11" t="str">
        <f aca="false">IF($A64="","",J64+SUMIFS(T_Penerimaan!$I$6:$I$1005,T_Penerimaan!$H$6:$H$1005,$A64,T_Penerimaan!$A$6:$A$1005,K$4,T_Penerimaan!$M$6:$M$1005,1)-SUMIFS(T_Penjualan!$H$6:$H$1505,T_Penjualan!$G$6:$G$1505,$A64,T_Penjualan!$A$6:$A$1505,K$4,T_Penjualan!$P$6:$P$1505,1))</f>
        <v/>
      </c>
      <c r="L64" s="11" t="str">
        <f aca="false">IF($A64="","",K64+SUMIFS(T_Penerimaan!$I$6:$I$1005,T_Penerimaan!$H$6:$H$1005,$A64,T_Penerimaan!$A$6:$A$1005,L$4,T_Penerimaan!$M$6:$M$1005,1)-SUMIFS(T_Penjualan!$H$6:$H$1505,T_Penjualan!$G$6:$G$1505,$A64,T_Penjualan!$A$6:$A$1505,L$4,T_Penjualan!$P$6:$P$1505,1))</f>
        <v/>
      </c>
      <c r="M64" s="11" t="str">
        <f aca="false">IF($A64="","",L64+SUMIFS(T_Penerimaan!$I$6:$I$1005,T_Penerimaan!$H$6:$H$1005,$A64,T_Penerimaan!$A$6:$A$1005,M$4,T_Penerimaan!$M$6:$M$1005,1)-SUMIFS(T_Penjualan!$H$6:$H$1505,T_Penjualan!$G$6:$G$1505,$A64,T_Penjualan!$A$6:$A$1505,M$4,T_Penjualan!$P$6:$P$1505,1))</f>
        <v/>
      </c>
      <c r="N64" s="11" t="str">
        <f aca="false">IF($A64="","",M64+SUMIFS(T_Penerimaan!$I$6:$I$1005,T_Penerimaan!$H$6:$H$1005,$A64,T_Penerimaan!$A$6:$A$1005,N$4,T_Penerimaan!$M$6:$M$1005,1)-SUMIFS(T_Penjualan!$H$6:$H$1505,T_Penjualan!$G$6:$G$1505,$A64,T_Penjualan!$A$6:$A$1505,N$4,T_Penjualan!$P$6:$P$1505,1))</f>
        <v/>
      </c>
      <c r="O64" s="11" t="str">
        <f aca="false">IF(A64="","",SUMIFS(T_Penerimaan!$I$6:$I$1005,T_Penerimaan!$H$6:$H$1005,A64,T_Penerimaan!$M$6:$M$1005,1))</f>
        <v/>
      </c>
      <c r="P64" s="11" t="str">
        <f aca="false">IF(A64="","",SUMIFS(T_Penerimaan!$K$6:$K$1005,T_Penerimaan!$H$6:$H$1005,A64,T_Penerimaan!$M$6:$M$1005,1))</f>
        <v/>
      </c>
      <c r="Q64" s="11" t="str">
        <f aca="false">IF(A64="","",IF(D64+O64&lt;=0,0,(E64+P64)/(D64+O64)))</f>
        <v/>
      </c>
      <c r="R64" s="11" t="str">
        <f aca="false">IF(A64="","",SUMIFS(T_Penjualan!$H$6:$H$1505,T_Penjualan!$G$6:$G$1505,A64,T_Penjualan!$P$6:$P$1505,1))</f>
        <v/>
      </c>
      <c r="S64" s="12" t="str">
        <f aca="false">IF(A64="","",IF(I_Parameter!$C$4&lt;=I_Parameter!$C$5,D64,IF(I_Parameter!$C$4&gt;I_Parameter!$C$6,N64,INDEX(H64:N64,I_Parameter!$C$4-I_Parameter!$C$5))))</f>
        <v/>
      </c>
      <c r="T64" s="11" t="str">
        <f aca="false">IF(A64="","",SUMIFS(T_Penjualan!$H$6:$H$1505,T_Penjualan!$G$6:$G$1505,A64,T_Penjualan!$B$6:$B$1505,"Order",T_Penjualan!$A$6:$A$1505,"&gt;="&amp;I_Parameter!$C$4,T_Penjualan!$A$6:$A$1505,"&lt;="&amp;I_Parameter!$C$6))</f>
        <v/>
      </c>
      <c r="U64" s="11" t="str">
        <f aca="false">IF(A64="","",S64-T64)</f>
        <v/>
      </c>
      <c r="V64" s="11" t="str">
        <f aca="false">IF(A64="","",MIN(H64:N64))</f>
        <v/>
      </c>
      <c r="W64" s="10" t="str">
        <f aca="false">IF(A64="","",INDEX(I_Master!$F$6:$F$85,MATCH(A64,I_Master!$A$6:$A$85,0)))</f>
        <v/>
      </c>
      <c r="X64" s="11" t="str">
        <f aca="false">IF(OR(A64="",W64=""),"",W64-Q64)</f>
        <v/>
      </c>
      <c r="Y64" s="11" t="str">
        <f aca="false">IF(A64="","",S64*Q64)</f>
        <v/>
      </c>
      <c r="Z64" s="9" t="str">
        <f aca="false">IF(A64="","",IF(V64&lt;-0.5,"KURANG: stok minus "&amp;ROUND(-V64,0)&amp;" kg — beli/potong atau geser order",IF(AND(S64&gt;0.5,T64&lt;=0,G64&gt;0.5),"JUAL: "&amp;ROUND(S64,0)&amp;" kg tanpa order, sebagian &gt; batas umur",IF(AND(S64&gt;0.5,T64&lt;=0),"JUAL: "&amp;ROUND(S64,0)&amp;" kg tanpa order minggu ini",IF(G64&gt;0.5,"PERHATIAN: "&amp;ROUND(G64,0)&amp;" kg di atas batas umur",IF(AND(X64&lt;&gt;"",X64&lt;0,T64&gt;0),"Order di bawah biaya rata-rata — cek harga","-"))))))</f>
        <v/>
      </c>
    </row>
    <row r="65" customFormat="false" ht="15" hidden="false" customHeight="false" outlineLevel="0" collapsed="false">
      <c r="A65" s="34" t="str">
        <f aca="false">IF(I_Master!A65="","",I_Master!A65)</f>
        <v/>
      </c>
      <c r="B65" s="34" t="str">
        <f aca="false">IF(A65="","",INDEX(I_Master!$E$6:$E$85,MATCH(A65,I_Master!$A$6:$A$85,0)))</f>
        <v/>
      </c>
      <c r="C65" s="34" t="str">
        <f aca="false">IF(A65="","",INDEX(I_Master!$B$6:$B$85,MATCH(A65,I_Master!$A$6:$A$85,0)))</f>
        <v/>
      </c>
      <c r="D65" s="10" t="str">
        <f aca="false">IF(A65="","",SUMIFS(I_Stok_Awal!$D$6:$D$305,I_Stok_Awal!$C$6:$C$305,A65))</f>
        <v/>
      </c>
      <c r="E65" s="10" t="str">
        <f aca="false">IF(A65="","",SUMIFS(I_Stok_Awal!$E$6:$E$305,I_Stok_Awal!$C$6:$C$305,A65))</f>
        <v/>
      </c>
      <c r="F65" s="35" t="str">
        <f aca="false">IF(OR(A65="",D65&lt;=0),"",SUMPRODUCT((I_Stok_Awal!$C$6:$C$305=A65)*I_Stok_Awal!$D$6:$D$305*I_Stok_Awal!$F$6:$F$305)/D65)</f>
        <v/>
      </c>
      <c r="G65" s="10" t="str">
        <f aca="false">IF(A65="","",SUMIFS(I_Stok_Awal!$G$6:$G$305,I_Stok_Awal!$C$6:$C$305,A65))</f>
        <v/>
      </c>
      <c r="H65" s="11" t="str">
        <f aca="false">IF($A65="","",D65+SUMIFS(T_Penerimaan!$I$6:$I$1005,T_Penerimaan!$H$6:$H$1005,$A65,T_Penerimaan!$A$6:$A$1005,H$4,T_Penerimaan!$M$6:$M$1005,1)-SUMIFS(T_Penjualan!$H$6:$H$1505,T_Penjualan!$G$6:$G$1505,$A65,T_Penjualan!$A$6:$A$1505,H$4,T_Penjualan!$P$6:$P$1505,1))</f>
        <v/>
      </c>
      <c r="I65" s="11" t="str">
        <f aca="false">IF($A65="","",H65+SUMIFS(T_Penerimaan!$I$6:$I$1005,T_Penerimaan!$H$6:$H$1005,$A65,T_Penerimaan!$A$6:$A$1005,I$4,T_Penerimaan!$M$6:$M$1005,1)-SUMIFS(T_Penjualan!$H$6:$H$1505,T_Penjualan!$G$6:$G$1505,$A65,T_Penjualan!$A$6:$A$1505,I$4,T_Penjualan!$P$6:$P$1505,1))</f>
        <v/>
      </c>
      <c r="J65" s="11" t="str">
        <f aca="false">IF($A65="","",I65+SUMIFS(T_Penerimaan!$I$6:$I$1005,T_Penerimaan!$H$6:$H$1005,$A65,T_Penerimaan!$A$6:$A$1005,J$4,T_Penerimaan!$M$6:$M$1005,1)-SUMIFS(T_Penjualan!$H$6:$H$1505,T_Penjualan!$G$6:$G$1505,$A65,T_Penjualan!$A$6:$A$1505,J$4,T_Penjualan!$P$6:$P$1505,1))</f>
        <v/>
      </c>
      <c r="K65" s="11" t="str">
        <f aca="false">IF($A65="","",J65+SUMIFS(T_Penerimaan!$I$6:$I$1005,T_Penerimaan!$H$6:$H$1005,$A65,T_Penerimaan!$A$6:$A$1005,K$4,T_Penerimaan!$M$6:$M$1005,1)-SUMIFS(T_Penjualan!$H$6:$H$1505,T_Penjualan!$G$6:$G$1505,$A65,T_Penjualan!$A$6:$A$1505,K$4,T_Penjualan!$P$6:$P$1505,1))</f>
        <v/>
      </c>
      <c r="L65" s="11" t="str">
        <f aca="false">IF($A65="","",K65+SUMIFS(T_Penerimaan!$I$6:$I$1005,T_Penerimaan!$H$6:$H$1005,$A65,T_Penerimaan!$A$6:$A$1005,L$4,T_Penerimaan!$M$6:$M$1005,1)-SUMIFS(T_Penjualan!$H$6:$H$1505,T_Penjualan!$G$6:$G$1505,$A65,T_Penjualan!$A$6:$A$1505,L$4,T_Penjualan!$P$6:$P$1505,1))</f>
        <v/>
      </c>
      <c r="M65" s="11" t="str">
        <f aca="false">IF($A65="","",L65+SUMIFS(T_Penerimaan!$I$6:$I$1005,T_Penerimaan!$H$6:$H$1005,$A65,T_Penerimaan!$A$6:$A$1005,M$4,T_Penerimaan!$M$6:$M$1005,1)-SUMIFS(T_Penjualan!$H$6:$H$1505,T_Penjualan!$G$6:$G$1505,$A65,T_Penjualan!$A$6:$A$1505,M$4,T_Penjualan!$P$6:$P$1505,1))</f>
        <v/>
      </c>
      <c r="N65" s="11" t="str">
        <f aca="false">IF($A65="","",M65+SUMIFS(T_Penerimaan!$I$6:$I$1005,T_Penerimaan!$H$6:$H$1005,$A65,T_Penerimaan!$A$6:$A$1005,N$4,T_Penerimaan!$M$6:$M$1005,1)-SUMIFS(T_Penjualan!$H$6:$H$1505,T_Penjualan!$G$6:$G$1505,$A65,T_Penjualan!$A$6:$A$1505,N$4,T_Penjualan!$P$6:$P$1505,1))</f>
        <v/>
      </c>
      <c r="O65" s="11" t="str">
        <f aca="false">IF(A65="","",SUMIFS(T_Penerimaan!$I$6:$I$1005,T_Penerimaan!$H$6:$H$1005,A65,T_Penerimaan!$M$6:$M$1005,1))</f>
        <v/>
      </c>
      <c r="P65" s="11" t="str">
        <f aca="false">IF(A65="","",SUMIFS(T_Penerimaan!$K$6:$K$1005,T_Penerimaan!$H$6:$H$1005,A65,T_Penerimaan!$M$6:$M$1005,1))</f>
        <v/>
      </c>
      <c r="Q65" s="11" t="str">
        <f aca="false">IF(A65="","",IF(D65+O65&lt;=0,0,(E65+P65)/(D65+O65)))</f>
        <v/>
      </c>
      <c r="R65" s="11" t="str">
        <f aca="false">IF(A65="","",SUMIFS(T_Penjualan!$H$6:$H$1505,T_Penjualan!$G$6:$G$1505,A65,T_Penjualan!$P$6:$P$1505,1))</f>
        <v/>
      </c>
      <c r="S65" s="12" t="str">
        <f aca="false">IF(A65="","",IF(I_Parameter!$C$4&lt;=I_Parameter!$C$5,D65,IF(I_Parameter!$C$4&gt;I_Parameter!$C$6,N65,INDEX(H65:N65,I_Parameter!$C$4-I_Parameter!$C$5))))</f>
        <v/>
      </c>
      <c r="T65" s="11" t="str">
        <f aca="false">IF(A65="","",SUMIFS(T_Penjualan!$H$6:$H$1505,T_Penjualan!$G$6:$G$1505,A65,T_Penjualan!$B$6:$B$1505,"Order",T_Penjualan!$A$6:$A$1505,"&gt;="&amp;I_Parameter!$C$4,T_Penjualan!$A$6:$A$1505,"&lt;="&amp;I_Parameter!$C$6))</f>
        <v/>
      </c>
      <c r="U65" s="11" t="str">
        <f aca="false">IF(A65="","",S65-T65)</f>
        <v/>
      </c>
      <c r="V65" s="11" t="str">
        <f aca="false">IF(A65="","",MIN(H65:N65))</f>
        <v/>
      </c>
      <c r="W65" s="10" t="str">
        <f aca="false">IF(A65="","",INDEX(I_Master!$F$6:$F$85,MATCH(A65,I_Master!$A$6:$A$85,0)))</f>
        <v/>
      </c>
      <c r="X65" s="11" t="str">
        <f aca="false">IF(OR(A65="",W65=""),"",W65-Q65)</f>
        <v/>
      </c>
      <c r="Y65" s="11" t="str">
        <f aca="false">IF(A65="","",S65*Q65)</f>
        <v/>
      </c>
      <c r="Z65" s="9" t="str">
        <f aca="false">IF(A65="","",IF(V65&lt;-0.5,"KURANG: stok minus "&amp;ROUND(-V65,0)&amp;" kg — beli/potong atau geser order",IF(AND(S65&gt;0.5,T65&lt;=0,G65&gt;0.5),"JUAL: "&amp;ROUND(S65,0)&amp;" kg tanpa order, sebagian &gt; batas umur",IF(AND(S65&gt;0.5,T65&lt;=0),"JUAL: "&amp;ROUND(S65,0)&amp;" kg tanpa order minggu ini",IF(G65&gt;0.5,"PERHATIAN: "&amp;ROUND(G65,0)&amp;" kg di atas batas umur",IF(AND(X65&lt;&gt;"",X65&lt;0,T65&gt;0),"Order di bawah biaya rata-rata — cek harga","-"))))))</f>
        <v/>
      </c>
    </row>
    <row r="66" customFormat="false" ht="15" hidden="false" customHeight="false" outlineLevel="0" collapsed="false">
      <c r="A66" s="34" t="str">
        <f aca="false">IF(I_Master!A66="","",I_Master!A66)</f>
        <v/>
      </c>
      <c r="B66" s="34" t="str">
        <f aca="false">IF(A66="","",INDEX(I_Master!$E$6:$E$85,MATCH(A66,I_Master!$A$6:$A$85,0)))</f>
        <v/>
      </c>
      <c r="C66" s="34" t="str">
        <f aca="false">IF(A66="","",INDEX(I_Master!$B$6:$B$85,MATCH(A66,I_Master!$A$6:$A$85,0)))</f>
        <v/>
      </c>
      <c r="D66" s="10" t="str">
        <f aca="false">IF(A66="","",SUMIFS(I_Stok_Awal!$D$6:$D$305,I_Stok_Awal!$C$6:$C$305,A66))</f>
        <v/>
      </c>
      <c r="E66" s="10" t="str">
        <f aca="false">IF(A66="","",SUMIFS(I_Stok_Awal!$E$6:$E$305,I_Stok_Awal!$C$6:$C$305,A66))</f>
        <v/>
      </c>
      <c r="F66" s="35" t="str">
        <f aca="false">IF(OR(A66="",D66&lt;=0),"",SUMPRODUCT((I_Stok_Awal!$C$6:$C$305=A66)*I_Stok_Awal!$D$6:$D$305*I_Stok_Awal!$F$6:$F$305)/D66)</f>
        <v/>
      </c>
      <c r="G66" s="10" t="str">
        <f aca="false">IF(A66="","",SUMIFS(I_Stok_Awal!$G$6:$G$305,I_Stok_Awal!$C$6:$C$305,A66))</f>
        <v/>
      </c>
      <c r="H66" s="11" t="str">
        <f aca="false">IF($A66="","",D66+SUMIFS(T_Penerimaan!$I$6:$I$1005,T_Penerimaan!$H$6:$H$1005,$A66,T_Penerimaan!$A$6:$A$1005,H$4,T_Penerimaan!$M$6:$M$1005,1)-SUMIFS(T_Penjualan!$H$6:$H$1505,T_Penjualan!$G$6:$G$1505,$A66,T_Penjualan!$A$6:$A$1505,H$4,T_Penjualan!$P$6:$P$1505,1))</f>
        <v/>
      </c>
      <c r="I66" s="11" t="str">
        <f aca="false">IF($A66="","",H66+SUMIFS(T_Penerimaan!$I$6:$I$1005,T_Penerimaan!$H$6:$H$1005,$A66,T_Penerimaan!$A$6:$A$1005,I$4,T_Penerimaan!$M$6:$M$1005,1)-SUMIFS(T_Penjualan!$H$6:$H$1505,T_Penjualan!$G$6:$G$1505,$A66,T_Penjualan!$A$6:$A$1505,I$4,T_Penjualan!$P$6:$P$1505,1))</f>
        <v/>
      </c>
      <c r="J66" s="11" t="str">
        <f aca="false">IF($A66="","",I66+SUMIFS(T_Penerimaan!$I$6:$I$1005,T_Penerimaan!$H$6:$H$1005,$A66,T_Penerimaan!$A$6:$A$1005,J$4,T_Penerimaan!$M$6:$M$1005,1)-SUMIFS(T_Penjualan!$H$6:$H$1505,T_Penjualan!$G$6:$G$1505,$A66,T_Penjualan!$A$6:$A$1505,J$4,T_Penjualan!$P$6:$P$1505,1))</f>
        <v/>
      </c>
      <c r="K66" s="11" t="str">
        <f aca="false">IF($A66="","",J66+SUMIFS(T_Penerimaan!$I$6:$I$1005,T_Penerimaan!$H$6:$H$1005,$A66,T_Penerimaan!$A$6:$A$1005,K$4,T_Penerimaan!$M$6:$M$1005,1)-SUMIFS(T_Penjualan!$H$6:$H$1505,T_Penjualan!$G$6:$G$1505,$A66,T_Penjualan!$A$6:$A$1505,K$4,T_Penjualan!$P$6:$P$1505,1))</f>
        <v/>
      </c>
      <c r="L66" s="11" t="str">
        <f aca="false">IF($A66="","",K66+SUMIFS(T_Penerimaan!$I$6:$I$1005,T_Penerimaan!$H$6:$H$1005,$A66,T_Penerimaan!$A$6:$A$1005,L$4,T_Penerimaan!$M$6:$M$1005,1)-SUMIFS(T_Penjualan!$H$6:$H$1505,T_Penjualan!$G$6:$G$1505,$A66,T_Penjualan!$A$6:$A$1505,L$4,T_Penjualan!$P$6:$P$1505,1))</f>
        <v/>
      </c>
      <c r="M66" s="11" t="str">
        <f aca="false">IF($A66="","",L66+SUMIFS(T_Penerimaan!$I$6:$I$1005,T_Penerimaan!$H$6:$H$1005,$A66,T_Penerimaan!$A$6:$A$1005,M$4,T_Penerimaan!$M$6:$M$1005,1)-SUMIFS(T_Penjualan!$H$6:$H$1505,T_Penjualan!$G$6:$G$1505,$A66,T_Penjualan!$A$6:$A$1505,M$4,T_Penjualan!$P$6:$P$1505,1))</f>
        <v/>
      </c>
      <c r="N66" s="11" t="str">
        <f aca="false">IF($A66="","",M66+SUMIFS(T_Penerimaan!$I$6:$I$1005,T_Penerimaan!$H$6:$H$1005,$A66,T_Penerimaan!$A$6:$A$1005,N$4,T_Penerimaan!$M$6:$M$1005,1)-SUMIFS(T_Penjualan!$H$6:$H$1505,T_Penjualan!$G$6:$G$1505,$A66,T_Penjualan!$A$6:$A$1505,N$4,T_Penjualan!$P$6:$P$1505,1))</f>
        <v/>
      </c>
      <c r="O66" s="11" t="str">
        <f aca="false">IF(A66="","",SUMIFS(T_Penerimaan!$I$6:$I$1005,T_Penerimaan!$H$6:$H$1005,A66,T_Penerimaan!$M$6:$M$1005,1))</f>
        <v/>
      </c>
      <c r="P66" s="11" t="str">
        <f aca="false">IF(A66="","",SUMIFS(T_Penerimaan!$K$6:$K$1005,T_Penerimaan!$H$6:$H$1005,A66,T_Penerimaan!$M$6:$M$1005,1))</f>
        <v/>
      </c>
      <c r="Q66" s="11" t="str">
        <f aca="false">IF(A66="","",IF(D66+O66&lt;=0,0,(E66+P66)/(D66+O66)))</f>
        <v/>
      </c>
      <c r="R66" s="11" t="str">
        <f aca="false">IF(A66="","",SUMIFS(T_Penjualan!$H$6:$H$1505,T_Penjualan!$G$6:$G$1505,A66,T_Penjualan!$P$6:$P$1505,1))</f>
        <v/>
      </c>
      <c r="S66" s="12" t="str">
        <f aca="false">IF(A66="","",IF(I_Parameter!$C$4&lt;=I_Parameter!$C$5,D66,IF(I_Parameter!$C$4&gt;I_Parameter!$C$6,N66,INDEX(H66:N66,I_Parameter!$C$4-I_Parameter!$C$5))))</f>
        <v/>
      </c>
      <c r="T66" s="11" t="str">
        <f aca="false">IF(A66="","",SUMIFS(T_Penjualan!$H$6:$H$1505,T_Penjualan!$G$6:$G$1505,A66,T_Penjualan!$B$6:$B$1505,"Order",T_Penjualan!$A$6:$A$1505,"&gt;="&amp;I_Parameter!$C$4,T_Penjualan!$A$6:$A$1505,"&lt;="&amp;I_Parameter!$C$6))</f>
        <v/>
      </c>
      <c r="U66" s="11" t="str">
        <f aca="false">IF(A66="","",S66-T66)</f>
        <v/>
      </c>
      <c r="V66" s="11" t="str">
        <f aca="false">IF(A66="","",MIN(H66:N66))</f>
        <v/>
      </c>
      <c r="W66" s="10" t="str">
        <f aca="false">IF(A66="","",INDEX(I_Master!$F$6:$F$85,MATCH(A66,I_Master!$A$6:$A$85,0)))</f>
        <v/>
      </c>
      <c r="X66" s="11" t="str">
        <f aca="false">IF(OR(A66="",W66=""),"",W66-Q66)</f>
        <v/>
      </c>
      <c r="Y66" s="11" t="str">
        <f aca="false">IF(A66="","",S66*Q66)</f>
        <v/>
      </c>
      <c r="Z66" s="9" t="str">
        <f aca="false">IF(A66="","",IF(V66&lt;-0.5,"KURANG: stok minus "&amp;ROUND(-V66,0)&amp;" kg — beli/potong atau geser order",IF(AND(S66&gt;0.5,T66&lt;=0,G66&gt;0.5),"JUAL: "&amp;ROUND(S66,0)&amp;" kg tanpa order, sebagian &gt; batas umur",IF(AND(S66&gt;0.5,T66&lt;=0),"JUAL: "&amp;ROUND(S66,0)&amp;" kg tanpa order minggu ini",IF(G66&gt;0.5,"PERHATIAN: "&amp;ROUND(G66,0)&amp;" kg di atas batas umur",IF(AND(X66&lt;&gt;"",X66&lt;0,T66&gt;0),"Order di bawah biaya rata-rata — cek harga","-"))))))</f>
        <v/>
      </c>
    </row>
    <row r="67" customFormat="false" ht="15" hidden="false" customHeight="false" outlineLevel="0" collapsed="false">
      <c r="A67" s="34" t="str">
        <f aca="false">IF(I_Master!A67="","",I_Master!A67)</f>
        <v/>
      </c>
      <c r="B67" s="34" t="str">
        <f aca="false">IF(A67="","",INDEX(I_Master!$E$6:$E$85,MATCH(A67,I_Master!$A$6:$A$85,0)))</f>
        <v/>
      </c>
      <c r="C67" s="34" t="str">
        <f aca="false">IF(A67="","",INDEX(I_Master!$B$6:$B$85,MATCH(A67,I_Master!$A$6:$A$85,0)))</f>
        <v/>
      </c>
      <c r="D67" s="10" t="str">
        <f aca="false">IF(A67="","",SUMIFS(I_Stok_Awal!$D$6:$D$305,I_Stok_Awal!$C$6:$C$305,A67))</f>
        <v/>
      </c>
      <c r="E67" s="10" t="str">
        <f aca="false">IF(A67="","",SUMIFS(I_Stok_Awal!$E$6:$E$305,I_Stok_Awal!$C$6:$C$305,A67))</f>
        <v/>
      </c>
      <c r="F67" s="35" t="str">
        <f aca="false">IF(OR(A67="",D67&lt;=0),"",SUMPRODUCT((I_Stok_Awal!$C$6:$C$305=A67)*I_Stok_Awal!$D$6:$D$305*I_Stok_Awal!$F$6:$F$305)/D67)</f>
        <v/>
      </c>
      <c r="G67" s="10" t="str">
        <f aca="false">IF(A67="","",SUMIFS(I_Stok_Awal!$G$6:$G$305,I_Stok_Awal!$C$6:$C$305,A67))</f>
        <v/>
      </c>
      <c r="H67" s="11" t="str">
        <f aca="false">IF($A67="","",D67+SUMIFS(T_Penerimaan!$I$6:$I$1005,T_Penerimaan!$H$6:$H$1005,$A67,T_Penerimaan!$A$6:$A$1005,H$4,T_Penerimaan!$M$6:$M$1005,1)-SUMIFS(T_Penjualan!$H$6:$H$1505,T_Penjualan!$G$6:$G$1505,$A67,T_Penjualan!$A$6:$A$1505,H$4,T_Penjualan!$P$6:$P$1505,1))</f>
        <v/>
      </c>
      <c r="I67" s="11" t="str">
        <f aca="false">IF($A67="","",H67+SUMIFS(T_Penerimaan!$I$6:$I$1005,T_Penerimaan!$H$6:$H$1005,$A67,T_Penerimaan!$A$6:$A$1005,I$4,T_Penerimaan!$M$6:$M$1005,1)-SUMIFS(T_Penjualan!$H$6:$H$1505,T_Penjualan!$G$6:$G$1505,$A67,T_Penjualan!$A$6:$A$1505,I$4,T_Penjualan!$P$6:$P$1505,1))</f>
        <v/>
      </c>
      <c r="J67" s="11" t="str">
        <f aca="false">IF($A67="","",I67+SUMIFS(T_Penerimaan!$I$6:$I$1005,T_Penerimaan!$H$6:$H$1005,$A67,T_Penerimaan!$A$6:$A$1005,J$4,T_Penerimaan!$M$6:$M$1005,1)-SUMIFS(T_Penjualan!$H$6:$H$1505,T_Penjualan!$G$6:$G$1505,$A67,T_Penjualan!$A$6:$A$1505,J$4,T_Penjualan!$P$6:$P$1505,1))</f>
        <v/>
      </c>
      <c r="K67" s="11" t="str">
        <f aca="false">IF($A67="","",J67+SUMIFS(T_Penerimaan!$I$6:$I$1005,T_Penerimaan!$H$6:$H$1005,$A67,T_Penerimaan!$A$6:$A$1005,K$4,T_Penerimaan!$M$6:$M$1005,1)-SUMIFS(T_Penjualan!$H$6:$H$1505,T_Penjualan!$G$6:$G$1505,$A67,T_Penjualan!$A$6:$A$1505,K$4,T_Penjualan!$P$6:$P$1505,1))</f>
        <v/>
      </c>
      <c r="L67" s="11" t="str">
        <f aca="false">IF($A67="","",K67+SUMIFS(T_Penerimaan!$I$6:$I$1005,T_Penerimaan!$H$6:$H$1005,$A67,T_Penerimaan!$A$6:$A$1005,L$4,T_Penerimaan!$M$6:$M$1005,1)-SUMIFS(T_Penjualan!$H$6:$H$1505,T_Penjualan!$G$6:$G$1505,$A67,T_Penjualan!$A$6:$A$1505,L$4,T_Penjualan!$P$6:$P$1505,1))</f>
        <v/>
      </c>
      <c r="M67" s="11" t="str">
        <f aca="false">IF($A67="","",L67+SUMIFS(T_Penerimaan!$I$6:$I$1005,T_Penerimaan!$H$6:$H$1005,$A67,T_Penerimaan!$A$6:$A$1005,M$4,T_Penerimaan!$M$6:$M$1005,1)-SUMIFS(T_Penjualan!$H$6:$H$1505,T_Penjualan!$G$6:$G$1505,$A67,T_Penjualan!$A$6:$A$1505,M$4,T_Penjualan!$P$6:$P$1505,1))</f>
        <v/>
      </c>
      <c r="N67" s="11" t="str">
        <f aca="false">IF($A67="","",M67+SUMIFS(T_Penerimaan!$I$6:$I$1005,T_Penerimaan!$H$6:$H$1005,$A67,T_Penerimaan!$A$6:$A$1005,N$4,T_Penerimaan!$M$6:$M$1005,1)-SUMIFS(T_Penjualan!$H$6:$H$1505,T_Penjualan!$G$6:$G$1505,$A67,T_Penjualan!$A$6:$A$1505,N$4,T_Penjualan!$P$6:$P$1505,1))</f>
        <v/>
      </c>
      <c r="O67" s="11" t="str">
        <f aca="false">IF(A67="","",SUMIFS(T_Penerimaan!$I$6:$I$1005,T_Penerimaan!$H$6:$H$1005,A67,T_Penerimaan!$M$6:$M$1005,1))</f>
        <v/>
      </c>
      <c r="P67" s="11" t="str">
        <f aca="false">IF(A67="","",SUMIFS(T_Penerimaan!$K$6:$K$1005,T_Penerimaan!$H$6:$H$1005,A67,T_Penerimaan!$M$6:$M$1005,1))</f>
        <v/>
      </c>
      <c r="Q67" s="11" t="str">
        <f aca="false">IF(A67="","",IF(D67+O67&lt;=0,0,(E67+P67)/(D67+O67)))</f>
        <v/>
      </c>
      <c r="R67" s="11" t="str">
        <f aca="false">IF(A67="","",SUMIFS(T_Penjualan!$H$6:$H$1505,T_Penjualan!$G$6:$G$1505,A67,T_Penjualan!$P$6:$P$1505,1))</f>
        <v/>
      </c>
      <c r="S67" s="12" t="str">
        <f aca="false">IF(A67="","",IF(I_Parameter!$C$4&lt;=I_Parameter!$C$5,D67,IF(I_Parameter!$C$4&gt;I_Parameter!$C$6,N67,INDEX(H67:N67,I_Parameter!$C$4-I_Parameter!$C$5))))</f>
        <v/>
      </c>
      <c r="T67" s="11" t="str">
        <f aca="false">IF(A67="","",SUMIFS(T_Penjualan!$H$6:$H$1505,T_Penjualan!$G$6:$G$1505,A67,T_Penjualan!$B$6:$B$1505,"Order",T_Penjualan!$A$6:$A$1505,"&gt;="&amp;I_Parameter!$C$4,T_Penjualan!$A$6:$A$1505,"&lt;="&amp;I_Parameter!$C$6))</f>
        <v/>
      </c>
      <c r="U67" s="11" t="str">
        <f aca="false">IF(A67="","",S67-T67)</f>
        <v/>
      </c>
      <c r="V67" s="11" t="str">
        <f aca="false">IF(A67="","",MIN(H67:N67))</f>
        <v/>
      </c>
      <c r="W67" s="10" t="str">
        <f aca="false">IF(A67="","",INDEX(I_Master!$F$6:$F$85,MATCH(A67,I_Master!$A$6:$A$85,0)))</f>
        <v/>
      </c>
      <c r="X67" s="11" t="str">
        <f aca="false">IF(OR(A67="",W67=""),"",W67-Q67)</f>
        <v/>
      </c>
      <c r="Y67" s="11" t="str">
        <f aca="false">IF(A67="","",S67*Q67)</f>
        <v/>
      </c>
      <c r="Z67" s="9" t="str">
        <f aca="false">IF(A67="","",IF(V67&lt;-0.5,"KURANG: stok minus "&amp;ROUND(-V67,0)&amp;" kg — beli/potong atau geser order",IF(AND(S67&gt;0.5,T67&lt;=0,G67&gt;0.5),"JUAL: "&amp;ROUND(S67,0)&amp;" kg tanpa order, sebagian &gt; batas umur",IF(AND(S67&gt;0.5,T67&lt;=0),"JUAL: "&amp;ROUND(S67,0)&amp;" kg tanpa order minggu ini",IF(G67&gt;0.5,"PERHATIAN: "&amp;ROUND(G67,0)&amp;" kg di atas batas umur",IF(AND(X67&lt;&gt;"",X67&lt;0,T67&gt;0),"Order di bawah biaya rata-rata — cek harga","-"))))))</f>
        <v/>
      </c>
    </row>
    <row r="68" customFormat="false" ht="15" hidden="false" customHeight="false" outlineLevel="0" collapsed="false">
      <c r="A68" s="34" t="str">
        <f aca="false">IF(I_Master!A68="","",I_Master!A68)</f>
        <v/>
      </c>
      <c r="B68" s="34" t="str">
        <f aca="false">IF(A68="","",INDEX(I_Master!$E$6:$E$85,MATCH(A68,I_Master!$A$6:$A$85,0)))</f>
        <v/>
      </c>
      <c r="C68" s="34" t="str">
        <f aca="false">IF(A68="","",INDEX(I_Master!$B$6:$B$85,MATCH(A68,I_Master!$A$6:$A$85,0)))</f>
        <v/>
      </c>
      <c r="D68" s="10" t="str">
        <f aca="false">IF(A68="","",SUMIFS(I_Stok_Awal!$D$6:$D$305,I_Stok_Awal!$C$6:$C$305,A68))</f>
        <v/>
      </c>
      <c r="E68" s="10" t="str">
        <f aca="false">IF(A68="","",SUMIFS(I_Stok_Awal!$E$6:$E$305,I_Stok_Awal!$C$6:$C$305,A68))</f>
        <v/>
      </c>
      <c r="F68" s="35" t="str">
        <f aca="false">IF(OR(A68="",D68&lt;=0),"",SUMPRODUCT((I_Stok_Awal!$C$6:$C$305=A68)*I_Stok_Awal!$D$6:$D$305*I_Stok_Awal!$F$6:$F$305)/D68)</f>
        <v/>
      </c>
      <c r="G68" s="10" t="str">
        <f aca="false">IF(A68="","",SUMIFS(I_Stok_Awal!$G$6:$G$305,I_Stok_Awal!$C$6:$C$305,A68))</f>
        <v/>
      </c>
      <c r="H68" s="11" t="str">
        <f aca="false">IF($A68="","",D68+SUMIFS(T_Penerimaan!$I$6:$I$1005,T_Penerimaan!$H$6:$H$1005,$A68,T_Penerimaan!$A$6:$A$1005,H$4,T_Penerimaan!$M$6:$M$1005,1)-SUMIFS(T_Penjualan!$H$6:$H$1505,T_Penjualan!$G$6:$G$1505,$A68,T_Penjualan!$A$6:$A$1505,H$4,T_Penjualan!$P$6:$P$1505,1))</f>
        <v/>
      </c>
      <c r="I68" s="11" t="str">
        <f aca="false">IF($A68="","",H68+SUMIFS(T_Penerimaan!$I$6:$I$1005,T_Penerimaan!$H$6:$H$1005,$A68,T_Penerimaan!$A$6:$A$1005,I$4,T_Penerimaan!$M$6:$M$1005,1)-SUMIFS(T_Penjualan!$H$6:$H$1505,T_Penjualan!$G$6:$G$1505,$A68,T_Penjualan!$A$6:$A$1505,I$4,T_Penjualan!$P$6:$P$1505,1))</f>
        <v/>
      </c>
      <c r="J68" s="11" t="str">
        <f aca="false">IF($A68="","",I68+SUMIFS(T_Penerimaan!$I$6:$I$1005,T_Penerimaan!$H$6:$H$1005,$A68,T_Penerimaan!$A$6:$A$1005,J$4,T_Penerimaan!$M$6:$M$1005,1)-SUMIFS(T_Penjualan!$H$6:$H$1505,T_Penjualan!$G$6:$G$1505,$A68,T_Penjualan!$A$6:$A$1505,J$4,T_Penjualan!$P$6:$P$1505,1))</f>
        <v/>
      </c>
      <c r="K68" s="11" t="str">
        <f aca="false">IF($A68="","",J68+SUMIFS(T_Penerimaan!$I$6:$I$1005,T_Penerimaan!$H$6:$H$1005,$A68,T_Penerimaan!$A$6:$A$1005,K$4,T_Penerimaan!$M$6:$M$1005,1)-SUMIFS(T_Penjualan!$H$6:$H$1505,T_Penjualan!$G$6:$G$1505,$A68,T_Penjualan!$A$6:$A$1505,K$4,T_Penjualan!$P$6:$P$1505,1))</f>
        <v/>
      </c>
      <c r="L68" s="11" t="str">
        <f aca="false">IF($A68="","",K68+SUMIFS(T_Penerimaan!$I$6:$I$1005,T_Penerimaan!$H$6:$H$1005,$A68,T_Penerimaan!$A$6:$A$1005,L$4,T_Penerimaan!$M$6:$M$1005,1)-SUMIFS(T_Penjualan!$H$6:$H$1505,T_Penjualan!$G$6:$G$1505,$A68,T_Penjualan!$A$6:$A$1505,L$4,T_Penjualan!$P$6:$P$1505,1))</f>
        <v/>
      </c>
      <c r="M68" s="11" t="str">
        <f aca="false">IF($A68="","",L68+SUMIFS(T_Penerimaan!$I$6:$I$1005,T_Penerimaan!$H$6:$H$1005,$A68,T_Penerimaan!$A$6:$A$1005,M$4,T_Penerimaan!$M$6:$M$1005,1)-SUMIFS(T_Penjualan!$H$6:$H$1505,T_Penjualan!$G$6:$G$1505,$A68,T_Penjualan!$A$6:$A$1505,M$4,T_Penjualan!$P$6:$P$1505,1))</f>
        <v/>
      </c>
      <c r="N68" s="11" t="str">
        <f aca="false">IF($A68="","",M68+SUMIFS(T_Penerimaan!$I$6:$I$1005,T_Penerimaan!$H$6:$H$1005,$A68,T_Penerimaan!$A$6:$A$1005,N$4,T_Penerimaan!$M$6:$M$1005,1)-SUMIFS(T_Penjualan!$H$6:$H$1505,T_Penjualan!$G$6:$G$1505,$A68,T_Penjualan!$A$6:$A$1505,N$4,T_Penjualan!$P$6:$P$1505,1))</f>
        <v/>
      </c>
      <c r="O68" s="11" t="str">
        <f aca="false">IF(A68="","",SUMIFS(T_Penerimaan!$I$6:$I$1005,T_Penerimaan!$H$6:$H$1005,A68,T_Penerimaan!$M$6:$M$1005,1))</f>
        <v/>
      </c>
      <c r="P68" s="11" t="str">
        <f aca="false">IF(A68="","",SUMIFS(T_Penerimaan!$K$6:$K$1005,T_Penerimaan!$H$6:$H$1005,A68,T_Penerimaan!$M$6:$M$1005,1))</f>
        <v/>
      </c>
      <c r="Q68" s="11" t="str">
        <f aca="false">IF(A68="","",IF(D68+O68&lt;=0,0,(E68+P68)/(D68+O68)))</f>
        <v/>
      </c>
      <c r="R68" s="11" t="str">
        <f aca="false">IF(A68="","",SUMIFS(T_Penjualan!$H$6:$H$1505,T_Penjualan!$G$6:$G$1505,A68,T_Penjualan!$P$6:$P$1505,1))</f>
        <v/>
      </c>
      <c r="S68" s="12" t="str">
        <f aca="false">IF(A68="","",IF(I_Parameter!$C$4&lt;=I_Parameter!$C$5,D68,IF(I_Parameter!$C$4&gt;I_Parameter!$C$6,N68,INDEX(H68:N68,I_Parameter!$C$4-I_Parameter!$C$5))))</f>
        <v/>
      </c>
      <c r="T68" s="11" t="str">
        <f aca="false">IF(A68="","",SUMIFS(T_Penjualan!$H$6:$H$1505,T_Penjualan!$G$6:$G$1505,A68,T_Penjualan!$B$6:$B$1505,"Order",T_Penjualan!$A$6:$A$1505,"&gt;="&amp;I_Parameter!$C$4,T_Penjualan!$A$6:$A$1505,"&lt;="&amp;I_Parameter!$C$6))</f>
        <v/>
      </c>
      <c r="U68" s="11" t="str">
        <f aca="false">IF(A68="","",S68-T68)</f>
        <v/>
      </c>
      <c r="V68" s="11" t="str">
        <f aca="false">IF(A68="","",MIN(H68:N68))</f>
        <v/>
      </c>
      <c r="W68" s="10" t="str">
        <f aca="false">IF(A68="","",INDEX(I_Master!$F$6:$F$85,MATCH(A68,I_Master!$A$6:$A$85,0)))</f>
        <v/>
      </c>
      <c r="X68" s="11" t="str">
        <f aca="false">IF(OR(A68="",W68=""),"",W68-Q68)</f>
        <v/>
      </c>
      <c r="Y68" s="11" t="str">
        <f aca="false">IF(A68="","",S68*Q68)</f>
        <v/>
      </c>
      <c r="Z68" s="9" t="str">
        <f aca="false">IF(A68="","",IF(V68&lt;-0.5,"KURANG: stok minus "&amp;ROUND(-V68,0)&amp;" kg — beli/potong atau geser order",IF(AND(S68&gt;0.5,T68&lt;=0,G68&gt;0.5),"JUAL: "&amp;ROUND(S68,0)&amp;" kg tanpa order, sebagian &gt; batas umur",IF(AND(S68&gt;0.5,T68&lt;=0),"JUAL: "&amp;ROUND(S68,0)&amp;" kg tanpa order minggu ini",IF(G68&gt;0.5,"PERHATIAN: "&amp;ROUND(G68,0)&amp;" kg di atas batas umur",IF(AND(X68&lt;&gt;"",X68&lt;0,T68&gt;0),"Order di bawah biaya rata-rata — cek harga","-"))))))</f>
        <v/>
      </c>
    </row>
    <row r="69" customFormat="false" ht="15" hidden="false" customHeight="false" outlineLevel="0" collapsed="false">
      <c r="A69" s="34" t="str">
        <f aca="false">IF(I_Master!A69="","",I_Master!A69)</f>
        <v/>
      </c>
      <c r="B69" s="34" t="str">
        <f aca="false">IF(A69="","",INDEX(I_Master!$E$6:$E$85,MATCH(A69,I_Master!$A$6:$A$85,0)))</f>
        <v/>
      </c>
      <c r="C69" s="34" t="str">
        <f aca="false">IF(A69="","",INDEX(I_Master!$B$6:$B$85,MATCH(A69,I_Master!$A$6:$A$85,0)))</f>
        <v/>
      </c>
      <c r="D69" s="10" t="str">
        <f aca="false">IF(A69="","",SUMIFS(I_Stok_Awal!$D$6:$D$305,I_Stok_Awal!$C$6:$C$305,A69))</f>
        <v/>
      </c>
      <c r="E69" s="10" t="str">
        <f aca="false">IF(A69="","",SUMIFS(I_Stok_Awal!$E$6:$E$305,I_Stok_Awal!$C$6:$C$305,A69))</f>
        <v/>
      </c>
      <c r="F69" s="35" t="str">
        <f aca="false">IF(OR(A69="",D69&lt;=0),"",SUMPRODUCT((I_Stok_Awal!$C$6:$C$305=A69)*I_Stok_Awal!$D$6:$D$305*I_Stok_Awal!$F$6:$F$305)/D69)</f>
        <v/>
      </c>
      <c r="G69" s="10" t="str">
        <f aca="false">IF(A69="","",SUMIFS(I_Stok_Awal!$G$6:$G$305,I_Stok_Awal!$C$6:$C$305,A69))</f>
        <v/>
      </c>
      <c r="H69" s="11" t="str">
        <f aca="false">IF($A69="","",D69+SUMIFS(T_Penerimaan!$I$6:$I$1005,T_Penerimaan!$H$6:$H$1005,$A69,T_Penerimaan!$A$6:$A$1005,H$4,T_Penerimaan!$M$6:$M$1005,1)-SUMIFS(T_Penjualan!$H$6:$H$1505,T_Penjualan!$G$6:$G$1505,$A69,T_Penjualan!$A$6:$A$1505,H$4,T_Penjualan!$P$6:$P$1505,1))</f>
        <v/>
      </c>
      <c r="I69" s="11" t="str">
        <f aca="false">IF($A69="","",H69+SUMIFS(T_Penerimaan!$I$6:$I$1005,T_Penerimaan!$H$6:$H$1005,$A69,T_Penerimaan!$A$6:$A$1005,I$4,T_Penerimaan!$M$6:$M$1005,1)-SUMIFS(T_Penjualan!$H$6:$H$1505,T_Penjualan!$G$6:$G$1505,$A69,T_Penjualan!$A$6:$A$1505,I$4,T_Penjualan!$P$6:$P$1505,1))</f>
        <v/>
      </c>
      <c r="J69" s="11" t="str">
        <f aca="false">IF($A69="","",I69+SUMIFS(T_Penerimaan!$I$6:$I$1005,T_Penerimaan!$H$6:$H$1005,$A69,T_Penerimaan!$A$6:$A$1005,J$4,T_Penerimaan!$M$6:$M$1005,1)-SUMIFS(T_Penjualan!$H$6:$H$1505,T_Penjualan!$G$6:$G$1505,$A69,T_Penjualan!$A$6:$A$1505,J$4,T_Penjualan!$P$6:$P$1505,1))</f>
        <v/>
      </c>
      <c r="K69" s="11" t="str">
        <f aca="false">IF($A69="","",J69+SUMIFS(T_Penerimaan!$I$6:$I$1005,T_Penerimaan!$H$6:$H$1005,$A69,T_Penerimaan!$A$6:$A$1005,K$4,T_Penerimaan!$M$6:$M$1005,1)-SUMIFS(T_Penjualan!$H$6:$H$1505,T_Penjualan!$G$6:$G$1505,$A69,T_Penjualan!$A$6:$A$1505,K$4,T_Penjualan!$P$6:$P$1505,1))</f>
        <v/>
      </c>
      <c r="L69" s="11" t="str">
        <f aca="false">IF($A69="","",K69+SUMIFS(T_Penerimaan!$I$6:$I$1005,T_Penerimaan!$H$6:$H$1005,$A69,T_Penerimaan!$A$6:$A$1005,L$4,T_Penerimaan!$M$6:$M$1005,1)-SUMIFS(T_Penjualan!$H$6:$H$1505,T_Penjualan!$G$6:$G$1505,$A69,T_Penjualan!$A$6:$A$1505,L$4,T_Penjualan!$P$6:$P$1505,1))</f>
        <v/>
      </c>
      <c r="M69" s="11" t="str">
        <f aca="false">IF($A69="","",L69+SUMIFS(T_Penerimaan!$I$6:$I$1005,T_Penerimaan!$H$6:$H$1005,$A69,T_Penerimaan!$A$6:$A$1005,M$4,T_Penerimaan!$M$6:$M$1005,1)-SUMIFS(T_Penjualan!$H$6:$H$1505,T_Penjualan!$G$6:$G$1505,$A69,T_Penjualan!$A$6:$A$1505,M$4,T_Penjualan!$P$6:$P$1505,1))</f>
        <v/>
      </c>
      <c r="N69" s="11" t="str">
        <f aca="false">IF($A69="","",M69+SUMIFS(T_Penerimaan!$I$6:$I$1005,T_Penerimaan!$H$6:$H$1005,$A69,T_Penerimaan!$A$6:$A$1005,N$4,T_Penerimaan!$M$6:$M$1005,1)-SUMIFS(T_Penjualan!$H$6:$H$1505,T_Penjualan!$G$6:$G$1505,$A69,T_Penjualan!$A$6:$A$1505,N$4,T_Penjualan!$P$6:$P$1505,1))</f>
        <v/>
      </c>
      <c r="O69" s="11" t="str">
        <f aca="false">IF(A69="","",SUMIFS(T_Penerimaan!$I$6:$I$1005,T_Penerimaan!$H$6:$H$1005,A69,T_Penerimaan!$M$6:$M$1005,1))</f>
        <v/>
      </c>
      <c r="P69" s="11" t="str">
        <f aca="false">IF(A69="","",SUMIFS(T_Penerimaan!$K$6:$K$1005,T_Penerimaan!$H$6:$H$1005,A69,T_Penerimaan!$M$6:$M$1005,1))</f>
        <v/>
      </c>
      <c r="Q69" s="11" t="str">
        <f aca="false">IF(A69="","",IF(D69+O69&lt;=0,0,(E69+P69)/(D69+O69)))</f>
        <v/>
      </c>
      <c r="R69" s="11" t="str">
        <f aca="false">IF(A69="","",SUMIFS(T_Penjualan!$H$6:$H$1505,T_Penjualan!$G$6:$G$1505,A69,T_Penjualan!$P$6:$P$1505,1))</f>
        <v/>
      </c>
      <c r="S69" s="12" t="str">
        <f aca="false">IF(A69="","",IF(I_Parameter!$C$4&lt;=I_Parameter!$C$5,D69,IF(I_Parameter!$C$4&gt;I_Parameter!$C$6,N69,INDEX(H69:N69,I_Parameter!$C$4-I_Parameter!$C$5))))</f>
        <v/>
      </c>
      <c r="T69" s="11" t="str">
        <f aca="false">IF(A69="","",SUMIFS(T_Penjualan!$H$6:$H$1505,T_Penjualan!$G$6:$G$1505,A69,T_Penjualan!$B$6:$B$1505,"Order",T_Penjualan!$A$6:$A$1505,"&gt;="&amp;I_Parameter!$C$4,T_Penjualan!$A$6:$A$1505,"&lt;="&amp;I_Parameter!$C$6))</f>
        <v/>
      </c>
      <c r="U69" s="11" t="str">
        <f aca="false">IF(A69="","",S69-T69)</f>
        <v/>
      </c>
      <c r="V69" s="11" t="str">
        <f aca="false">IF(A69="","",MIN(H69:N69))</f>
        <v/>
      </c>
      <c r="W69" s="10" t="str">
        <f aca="false">IF(A69="","",INDEX(I_Master!$F$6:$F$85,MATCH(A69,I_Master!$A$6:$A$85,0)))</f>
        <v/>
      </c>
      <c r="X69" s="11" t="str">
        <f aca="false">IF(OR(A69="",W69=""),"",W69-Q69)</f>
        <v/>
      </c>
      <c r="Y69" s="11" t="str">
        <f aca="false">IF(A69="","",S69*Q69)</f>
        <v/>
      </c>
      <c r="Z69" s="9" t="str">
        <f aca="false">IF(A69="","",IF(V69&lt;-0.5,"KURANG: stok minus "&amp;ROUND(-V69,0)&amp;" kg — beli/potong atau geser order",IF(AND(S69&gt;0.5,T69&lt;=0,G69&gt;0.5),"JUAL: "&amp;ROUND(S69,0)&amp;" kg tanpa order, sebagian &gt; batas umur",IF(AND(S69&gt;0.5,T69&lt;=0),"JUAL: "&amp;ROUND(S69,0)&amp;" kg tanpa order minggu ini",IF(G69&gt;0.5,"PERHATIAN: "&amp;ROUND(G69,0)&amp;" kg di atas batas umur",IF(AND(X69&lt;&gt;"",X69&lt;0,T69&gt;0),"Order di bawah biaya rata-rata — cek harga","-"))))))</f>
        <v/>
      </c>
    </row>
    <row r="70" customFormat="false" ht="15" hidden="false" customHeight="false" outlineLevel="0" collapsed="false">
      <c r="A70" s="34" t="str">
        <f aca="false">IF(I_Master!A70="","",I_Master!A70)</f>
        <v/>
      </c>
      <c r="B70" s="34" t="str">
        <f aca="false">IF(A70="","",INDEX(I_Master!$E$6:$E$85,MATCH(A70,I_Master!$A$6:$A$85,0)))</f>
        <v/>
      </c>
      <c r="C70" s="34" t="str">
        <f aca="false">IF(A70="","",INDEX(I_Master!$B$6:$B$85,MATCH(A70,I_Master!$A$6:$A$85,0)))</f>
        <v/>
      </c>
      <c r="D70" s="10" t="str">
        <f aca="false">IF(A70="","",SUMIFS(I_Stok_Awal!$D$6:$D$305,I_Stok_Awal!$C$6:$C$305,A70))</f>
        <v/>
      </c>
      <c r="E70" s="10" t="str">
        <f aca="false">IF(A70="","",SUMIFS(I_Stok_Awal!$E$6:$E$305,I_Stok_Awal!$C$6:$C$305,A70))</f>
        <v/>
      </c>
      <c r="F70" s="35" t="str">
        <f aca="false">IF(OR(A70="",D70&lt;=0),"",SUMPRODUCT((I_Stok_Awal!$C$6:$C$305=A70)*I_Stok_Awal!$D$6:$D$305*I_Stok_Awal!$F$6:$F$305)/D70)</f>
        <v/>
      </c>
      <c r="G70" s="10" t="str">
        <f aca="false">IF(A70="","",SUMIFS(I_Stok_Awal!$G$6:$G$305,I_Stok_Awal!$C$6:$C$305,A70))</f>
        <v/>
      </c>
      <c r="H70" s="11" t="str">
        <f aca="false">IF($A70="","",D70+SUMIFS(T_Penerimaan!$I$6:$I$1005,T_Penerimaan!$H$6:$H$1005,$A70,T_Penerimaan!$A$6:$A$1005,H$4,T_Penerimaan!$M$6:$M$1005,1)-SUMIFS(T_Penjualan!$H$6:$H$1505,T_Penjualan!$G$6:$G$1505,$A70,T_Penjualan!$A$6:$A$1505,H$4,T_Penjualan!$P$6:$P$1505,1))</f>
        <v/>
      </c>
      <c r="I70" s="11" t="str">
        <f aca="false">IF($A70="","",H70+SUMIFS(T_Penerimaan!$I$6:$I$1005,T_Penerimaan!$H$6:$H$1005,$A70,T_Penerimaan!$A$6:$A$1005,I$4,T_Penerimaan!$M$6:$M$1005,1)-SUMIFS(T_Penjualan!$H$6:$H$1505,T_Penjualan!$G$6:$G$1505,$A70,T_Penjualan!$A$6:$A$1505,I$4,T_Penjualan!$P$6:$P$1505,1))</f>
        <v/>
      </c>
      <c r="J70" s="11" t="str">
        <f aca="false">IF($A70="","",I70+SUMIFS(T_Penerimaan!$I$6:$I$1005,T_Penerimaan!$H$6:$H$1005,$A70,T_Penerimaan!$A$6:$A$1005,J$4,T_Penerimaan!$M$6:$M$1005,1)-SUMIFS(T_Penjualan!$H$6:$H$1505,T_Penjualan!$G$6:$G$1505,$A70,T_Penjualan!$A$6:$A$1505,J$4,T_Penjualan!$P$6:$P$1505,1))</f>
        <v/>
      </c>
      <c r="K70" s="11" t="str">
        <f aca="false">IF($A70="","",J70+SUMIFS(T_Penerimaan!$I$6:$I$1005,T_Penerimaan!$H$6:$H$1005,$A70,T_Penerimaan!$A$6:$A$1005,K$4,T_Penerimaan!$M$6:$M$1005,1)-SUMIFS(T_Penjualan!$H$6:$H$1505,T_Penjualan!$G$6:$G$1505,$A70,T_Penjualan!$A$6:$A$1505,K$4,T_Penjualan!$P$6:$P$1505,1))</f>
        <v/>
      </c>
      <c r="L70" s="11" t="str">
        <f aca="false">IF($A70="","",K70+SUMIFS(T_Penerimaan!$I$6:$I$1005,T_Penerimaan!$H$6:$H$1005,$A70,T_Penerimaan!$A$6:$A$1005,L$4,T_Penerimaan!$M$6:$M$1005,1)-SUMIFS(T_Penjualan!$H$6:$H$1505,T_Penjualan!$G$6:$G$1505,$A70,T_Penjualan!$A$6:$A$1505,L$4,T_Penjualan!$P$6:$P$1505,1))</f>
        <v/>
      </c>
      <c r="M70" s="11" t="str">
        <f aca="false">IF($A70="","",L70+SUMIFS(T_Penerimaan!$I$6:$I$1005,T_Penerimaan!$H$6:$H$1005,$A70,T_Penerimaan!$A$6:$A$1005,M$4,T_Penerimaan!$M$6:$M$1005,1)-SUMIFS(T_Penjualan!$H$6:$H$1505,T_Penjualan!$G$6:$G$1505,$A70,T_Penjualan!$A$6:$A$1505,M$4,T_Penjualan!$P$6:$P$1505,1))</f>
        <v/>
      </c>
      <c r="N70" s="11" t="str">
        <f aca="false">IF($A70="","",M70+SUMIFS(T_Penerimaan!$I$6:$I$1005,T_Penerimaan!$H$6:$H$1005,$A70,T_Penerimaan!$A$6:$A$1005,N$4,T_Penerimaan!$M$6:$M$1005,1)-SUMIFS(T_Penjualan!$H$6:$H$1505,T_Penjualan!$G$6:$G$1505,$A70,T_Penjualan!$A$6:$A$1505,N$4,T_Penjualan!$P$6:$P$1505,1))</f>
        <v/>
      </c>
      <c r="O70" s="11" t="str">
        <f aca="false">IF(A70="","",SUMIFS(T_Penerimaan!$I$6:$I$1005,T_Penerimaan!$H$6:$H$1005,A70,T_Penerimaan!$M$6:$M$1005,1))</f>
        <v/>
      </c>
      <c r="P70" s="11" t="str">
        <f aca="false">IF(A70="","",SUMIFS(T_Penerimaan!$K$6:$K$1005,T_Penerimaan!$H$6:$H$1005,A70,T_Penerimaan!$M$6:$M$1005,1))</f>
        <v/>
      </c>
      <c r="Q70" s="11" t="str">
        <f aca="false">IF(A70="","",IF(D70+O70&lt;=0,0,(E70+P70)/(D70+O70)))</f>
        <v/>
      </c>
      <c r="R70" s="11" t="str">
        <f aca="false">IF(A70="","",SUMIFS(T_Penjualan!$H$6:$H$1505,T_Penjualan!$G$6:$G$1505,A70,T_Penjualan!$P$6:$P$1505,1))</f>
        <v/>
      </c>
      <c r="S70" s="12" t="str">
        <f aca="false">IF(A70="","",IF(I_Parameter!$C$4&lt;=I_Parameter!$C$5,D70,IF(I_Parameter!$C$4&gt;I_Parameter!$C$6,N70,INDEX(H70:N70,I_Parameter!$C$4-I_Parameter!$C$5))))</f>
        <v/>
      </c>
      <c r="T70" s="11" t="str">
        <f aca="false">IF(A70="","",SUMIFS(T_Penjualan!$H$6:$H$1505,T_Penjualan!$G$6:$G$1505,A70,T_Penjualan!$B$6:$B$1505,"Order",T_Penjualan!$A$6:$A$1505,"&gt;="&amp;I_Parameter!$C$4,T_Penjualan!$A$6:$A$1505,"&lt;="&amp;I_Parameter!$C$6))</f>
        <v/>
      </c>
      <c r="U70" s="11" t="str">
        <f aca="false">IF(A70="","",S70-T70)</f>
        <v/>
      </c>
      <c r="V70" s="11" t="str">
        <f aca="false">IF(A70="","",MIN(H70:N70))</f>
        <v/>
      </c>
      <c r="W70" s="10" t="str">
        <f aca="false">IF(A70="","",INDEX(I_Master!$F$6:$F$85,MATCH(A70,I_Master!$A$6:$A$85,0)))</f>
        <v/>
      </c>
      <c r="X70" s="11" t="str">
        <f aca="false">IF(OR(A70="",W70=""),"",W70-Q70)</f>
        <v/>
      </c>
      <c r="Y70" s="11" t="str">
        <f aca="false">IF(A70="","",S70*Q70)</f>
        <v/>
      </c>
      <c r="Z70" s="9" t="str">
        <f aca="false">IF(A70="","",IF(V70&lt;-0.5,"KURANG: stok minus "&amp;ROUND(-V70,0)&amp;" kg — beli/potong atau geser order",IF(AND(S70&gt;0.5,T70&lt;=0,G70&gt;0.5),"JUAL: "&amp;ROUND(S70,0)&amp;" kg tanpa order, sebagian &gt; batas umur",IF(AND(S70&gt;0.5,T70&lt;=0),"JUAL: "&amp;ROUND(S70,0)&amp;" kg tanpa order minggu ini",IF(G70&gt;0.5,"PERHATIAN: "&amp;ROUND(G70,0)&amp;" kg di atas batas umur",IF(AND(X70&lt;&gt;"",X70&lt;0,T70&gt;0),"Order di bawah biaya rata-rata — cek harga","-"))))))</f>
        <v/>
      </c>
    </row>
    <row r="71" customFormat="false" ht="15" hidden="false" customHeight="false" outlineLevel="0" collapsed="false">
      <c r="A71" s="34" t="str">
        <f aca="false">IF(I_Master!A71="","",I_Master!A71)</f>
        <v/>
      </c>
      <c r="B71" s="34" t="str">
        <f aca="false">IF(A71="","",INDEX(I_Master!$E$6:$E$85,MATCH(A71,I_Master!$A$6:$A$85,0)))</f>
        <v/>
      </c>
      <c r="C71" s="34" t="str">
        <f aca="false">IF(A71="","",INDEX(I_Master!$B$6:$B$85,MATCH(A71,I_Master!$A$6:$A$85,0)))</f>
        <v/>
      </c>
      <c r="D71" s="10" t="str">
        <f aca="false">IF(A71="","",SUMIFS(I_Stok_Awal!$D$6:$D$305,I_Stok_Awal!$C$6:$C$305,A71))</f>
        <v/>
      </c>
      <c r="E71" s="10" t="str">
        <f aca="false">IF(A71="","",SUMIFS(I_Stok_Awal!$E$6:$E$305,I_Stok_Awal!$C$6:$C$305,A71))</f>
        <v/>
      </c>
      <c r="F71" s="35" t="str">
        <f aca="false">IF(OR(A71="",D71&lt;=0),"",SUMPRODUCT((I_Stok_Awal!$C$6:$C$305=A71)*I_Stok_Awal!$D$6:$D$305*I_Stok_Awal!$F$6:$F$305)/D71)</f>
        <v/>
      </c>
      <c r="G71" s="10" t="str">
        <f aca="false">IF(A71="","",SUMIFS(I_Stok_Awal!$G$6:$G$305,I_Stok_Awal!$C$6:$C$305,A71))</f>
        <v/>
      </c>
      <c r="H71" s="11" t="str">
        <f aca="false">IF($A71="","",D71+SUMIFS(T_Penerimaan!$I$6:$I$1005,T_Penerimaan!$H$6:$H$1005,$A71,T_Penerimaan!$A$6:$A$1005,H$4,T_Penerimaan!$M$6:$M$1005,1)-SUMIFS(T_Penjualan!$H$6:$H$1505,T_Penjualan!$G$6:$G$1505,$A71,T_Penjualan!$A$6:$A$1505,H$4,T_Penjualan!$P$6:$P$1505,1))</f>
        <v/>
      </c>
      <c r="I71" s="11" t="str">
        <f aca="false">IF($A71="","",H71+SUMIFS(T_Penerimaan!$I$6:$I$1005,T_Penerimaan!$H$6:$H$1005,$A71,T_Penerimaan!$A$6:$A$1005,I$4,T_Penerimaan!$M$6:$M$1005,1)-SUMIFS(T_Penjualan!$H$6:$H$1505,T_Penjualan!$G$6:$G$1505,$A71,T_Penjualan!$A$6:$A$1505,I$4,T_Penjualan!$P$6:$P$1505,1))</f>
        <v/>
      </c>
      <c r="J71" s="11" t="str">
        <f aca="false">IF($A71="","",I71+SUMIFS(T_Penerimaan!$I$6:$I$1005,T_Penerimaan!$H$6:$H$1005,$A71,T_Penerimaan!$A$6:$A$1005,J$4,T_Penerimaan!$M$6:$M$1005,1)-SUMIFS(T_Penjualan!$H$6:$H$1505,T_Penjualan!$G$6:$G$1505,$A71,T_Penjualan!$A$6:$A$1505,J$4,T_Penjualan!$P$6:$P$1505,1))</f>
        <v/>
      </c>
      <c r="K71" s="11" t="str">
        <f aca="false">IF($A71="","",J71+SUMIFS(T_Penerimaan!$I$6:$I$1005,T_Penerimaan!$H$6:$H$1005,$A71,T_Penerimaan!$A$6:$A$1005,K$4,T_Penerimaan!$M$6:$M$1005,1)-SUMIFS(T_Penjualan!$H$6:$H$1505,T_Penjualan!$G$6:$G$1505,$A71,T_Penjualan!$A$6:$A$1505,K$4,T_Penjualan!$P$6:$P$1505,1))</f>
        <v/>
      </c>
      <c r="L71" s="11" t="str">
        <f aca="false">IF($A71="","",K71+SUMIFS(T_Penerimaan!$I$6:$I$1005,T_Penerimaan!$H$6:$H$1005,$A71,T_Penerimaan!$A$6:$A$1005,L$4,T_Penerimaan!$M$6:$M$1005,1)-SUMIFS(T_Penjualan!$H$6:$H$1505,T_Penjualan!$G$6:$G$1505,$A71,T_Penjualan!$A$6:$A$1505,L$4,T_Penjualan!$P$6:$P$1505,1))</f>
        <v/>
      </c>
      <c r="M71" s="11" t="str">
        <f aca="false">IF($A71="","",L71+SUMIFS(T_Penerimaan!$I$6:$I$1005,T_Penerimaan!$H$6:$H$1005,$A71,T_Penerimaan!$A$6:$A$1005,M$4,T_Penerimaan!$M$6:$M$1005,1)-SUMIFS(T_Penjualan!$H$6:$H$1505,T_Penjualan!$G$6:$G$1505,$A71,T_Penjualan!$A$6:$A$1505,M$4,T_Penjualan!$P$6:$P$1505,1))</f>
        <v/>
      </c>
      <c r="N71" s="11" t="str">
        <f aca="false">IF($A71="","",M71+SUMIFS(T_Penerimaan!$I$6:$I$1005,T_Penerimaan!$H$6:$H$1005,$A71,T_Penerimaan!$A$6:$A$1005,N$4,T_Penerimaan!$M$6:$M$1005,1)-SUMIFS(T_Penjualan!$H$6:$H$1505,T_Penjualan!$G$6:$G$1505,$A71,T_Penjualan!$A$6:$A$1505,N$4,T_Penjualan!$P$6:$P$1505,1))</f>
        <v/>
      </c>
      <c r="O71" s="11" t="str">
        <f aca="false">IF(A71="","",SUMIFS(T_Penerimaan!$I$6:$I$1005,T_Penerimaan!$H$6:$H$1005,A71,T_Penerimaan!$M$6:$M$1005,1))</f>
        <v/>
      </c>
      <c r="P71" s="11" t="str">
        <f aca="false">IF(A71="","",SUMIFS(T_Penerimaan!$K$6:$K$1005,T_Penerimaan!$H$6:$H$1005,A71,T_Penerimaan!$M$6:$M$1005,1))</f>
        <v/>
      </c>
      <c r="Q71" s="11" t="str">
        <f aca="false">IF(A71="","",IF(D71+O71&lt;=0,0,(E71+P71)/(D71+O71)))</f>
        <v/>
      </c>
      <c r="R71" s="11" t="str">
        <f aca="false">IF(A71="","",SUMIFS(T_Penjualan!$H$6:$H$1505,T_Penjualan!$G$6:$G$1505,A71,T_Penjualan!$P$6:$P$1505,1))</f>
        <v/>
      </c>
      <c r="S71" s="12" t="str">
        <f aca="false">IF(A71="","",IF(I_Parameter!$C$4&lt;=I_Parameter!$C$5,D71,IF(I_Parameter!$C$4&gt;I_Parameter!$C$6,N71,INDEX(H71:N71,I_Parameter!$C$4-I_Parameter!$C$5))))</f>
        <v/>
      </c>
      <c r="T71" s="11" t="str">
        <f aca="false">IF(A71="","",SUMIFS(T_Penjualan!$H$6:$H$1505,T_Penjualan!$G$6:$G$1505,A71,T_Penjualan!$B$6:$B$1505,"Order",T_Penjualan!$A$6:$A$1505,"&gt;="&amp;I_Parameter!$C$4,T_Penjualan!$A$6:$A$1505,"&lt;="&amp;I_Parameter!$C$6))</f>
        <v/>
      </c>
      <c r="U71" s="11" t="str">
        <f aca="false">IF(A71="","",S71-T71)</f>
        <v/>
      </c>
      <c r="V71" s="11" t="str">
        <f aca="false">IF(A71="","",MIN(H71:N71))</f>
        <v/>
      </c>
      <c r="W71" s="10" t="str">
        <f aca="false">IF(A71="","",INDEX(I_Master!$F$6:$F$85,MATCH(A71,I_Master!$A$6:$A$85,0)))</f>
        <v/>
      </c>
      <c r="X71" s="11" t="str">
        <f aca="false">IF(OR(A71="",W71=""),"",W71-Q71)</f>
        <v/>
      </c>
      <c r="Y71" s="11" t="str">
        <f aca="false">IF(A71="","",S71*Q71)</f>
        <v/>
      </c>
      <c r="Z71" s="9" t="str">
        <f aca="false">IF(A71="","",IF(V71&lt;-0.5,"KURANG: stok minus "&amp;ROUND(-V71,0)&amp;" kg — beli/potong atau geser order",IF(AND(S71&gt;0.5,T71&lt;=0,G71&gt;0.5),"JUAL: "&amp;ROUND(S71,0)&amp;" kg tanpa order, sebagian &gt; batas umur",IF(AND(S71&gt;0.5,T71&lt;=0),"JUAL: "&amp;ROUND(S71,0)&amp;" kg tanpa order minggu ini",IF(G71&gt;0.5,"PERHATIAN: "&amp;ROUND(G71,0)&amp;" kg di atas batas umur",IF(AND(X71&lt;&gt;"",X71&lt;0,T71&gt;0),"Order di bawah biaya rata-rata — cek harga","-"))))))</f>
        <v/>
      </c>
    </row>
    <row r="72" customFormat="false" ht="15" hidden="false" customHeight="false" outlineLevel="0" collapsed="false">
      <c r="A72" s="34" t="str">
        <f aca="false">IF(I_Master!A72="","",I_Master!A72)</f>
        <v/>
      </c>
      <c r="B72" s="34" t="str">
        <f aca="false">IF(A72="","",INDEX(I_Master!$E$6:$E$85,MATCH(A72,I_Master!$A$6:$A$85,0)))</f>
        <v/>
      </c>
      <c r="C72" s="34" t="str">
        <f aca="false">IF(A72="","",INDEX(I_Master!$B$6:$B$85,MATCH(A72,I_Master!$A$6:$A$85,0)))</f>
        <v/>
      </c>
      <c r="D72" s="10" t="str">
        <f aca="false">IF(A72="","",SUMIFS(I_Stok_Awal!$D$6:$D$305,I_Stok_Awal!$C$6:$C$305,A72))</f>
        <v/>
      </c>
      <c r="E72" s="10" t="str">
        <f aca="false">IF(A72="","",SUMIFS(I_Stok_Awal!$E$6:$E$305,I_Stok_Awal!$C$6:$C$305,A72))</f>
        <v/>
      </c>
      <c r="F72" s="35" t="str">
        <f aca="false">IF(OR(A72="",D72&lt;=0),"",SUMPRODUCT((I_Stok_Awal!$C$6:$C$305=A72)*I_Stok_Awal!$D$6:$D$305*I_Stok_Awal!$F$6:$F$305)/D72)</f>
        <v/>
      </c>
      <c r="G72" s="10" t="str">
        <f aca="false">IF(A72="","",SUMIFS(I_Stok_Awal!$G$6:$G$305,I_Stok_Awal!$C$6:$C$305,A72))</f>
        <v/>
      </c>
      <c r="H72" s="11" t="str">
        <f aca="false">IF($A72="","",D72+SUMIFS(T_Penerimaan!$I$6:$I$1005,T_Penerimaan!$H$6:$H$1005,$A72,T_Penerimaan!$A$6:$A$1005,H$4,T_Penerimaan!$M$6:$M$1005,1)-SUMIFS(T_Penjualan!$H$6:$H$1505,T_Penjualan!$G$6:$G$1505,$A72,T_Penjualan!$A$6:$A$1505,H$4,T_Penjualan!$P$6:$P$1505,1))</f>
        <v/>
      </c>
      <c r="I72" s="11" t="str">
        <f aca="false">IF($A72="","",H72+SUMIFS(T_Penerimaan!$I$6:$I$1005,T_Penerimaan!$H$6:$H$1005,$A72,T_Penerimaan!$A$6:$A$1005,I$4,T_Penerimaan!$M$6:$M$1005,1)-SUMIFS(T_Penjualan!$H$6:$H$1505,T_Penjualan!$G$6:$G$1505,$A72,T_Penjualan!$A$6:$A$1505,I$4,T_Penjualan!$P$6:$P$1505,1))</f>
        <v/>
      </c>
      <c r="J72" s="11" t="str">
        <f aca="false">IF($A72="","",I72+SUMIFS(T_Penerimaan!$I$6:$I$1005,T_Penerimaan!$H$6:$H$1005,$A72,T_Penerimaan!$A$6:$A$1005,J$4,T_Penerimaan!$M$6:$M$1005,1)-SUMIFS(T_Penjualan!$H$6:$H$1505,T_Penjualan!$G$6:$G$1505,$A72,T_Penjualan!$A$6:$A$1505,J$4,T_Penjualan!$P$6:$P$1505,1))</f>
        <v/>
      </c>
      <c r="K72" s="11" t="str">
        <f aca="false">IF($A72="","",J72+SUMIFS(T_Penerimaan!$I$6:$I$1005,T_Penerimaan!$H$6:$H$1005,$A72,T_Penerimaan!$A$6:$A$1005,K$4,T_Penerimaan!$M$6:$M$1005,1)-SUMIFS(T_Penjualan!$H$6:$H$1505,T_Penjualan!$G$6:$G$1505,$A72,T_Penjualan!$A$6:$A$1505,K$4,T_Penjualan!$P$6:$P$1505,1))</f>
        <v/>
      </c>
      <c r="L72" s="11" t="str">
        <f aca="false">IF($A72="","",K72+SUMIFS(T_Penerimaan!$I$6:$I$1005,T_Penerimaan!$H$6:$H$1005,$A72,T_Penerimaan!$A$6:$A$1005,L$4,T_Penerimaan!$M$6:$M$1005,1)-SUMIFS(T_Penjualan!$H$6:$H$1505,T_Penjualan!$G$6:$G$1505,$A72,T_Penjualan!$A$6:$A$1505,L$4,T_Penjualan!$P$6:$P$1505,1))</f>
        <v/>
      </c>
      <c r="M72" s="11" t="str">
        <f aca="false">IF($A72="","",L72+SUMIFS(T_Penerimaan!$I$6:$I$1005,T_Penerimaan!$H$6:$H$1005,$A72,T_Penerimaan!$A$6:$A$1005,M$4,T_Penerimaan!$M$6:$M$1005,1)-SUMIFS(T_Penjualan!$H$6:$H$1505,T_Penjualan!$G$6:$G$1505,$A72,T_Penjualan!$A$6:$A$1505,M$4,T_Penjualan!$P$6:$P$1505,1))</f>
        <v/>
      </c>
      <c r="N72" s="11" t="str">
        <f aca="false">IF($A72="","",M72+SUMIFS(T_Penerimaan!$I$6:$I$1005,T_Penerimaan!$H$6:$H$1005,$A72,T_Penerimaan!$A$6:$A$1005,N$4,T_Penerimaan!$M$6:$M$1005,1)-SUMIFS(T_Penjualan!$H$6:$H$1505,T_Penjualan!$G$6:$G$1505,$A72,T_Penjualan!$A$6:$A$1505,N$4,T_Penjualan!$P$6:$P$1505,1))</f>
        <v/>
      </c>
      <c r="O72" s="11" t="str">
        <f aca="false">IF(A72="","",SUMIFS(T_Penerimaan!$I$6:$I$1005,T_Penerimaan!$H$6:$H$1005,A72,T_Penerimaan!$M$6:$M$1005,1))</f>
        <v/>
      </c>
      <c r="P72" s="11" t="str">
        <f aca="false">IF(A72="","",SUMIFS(T_Penerimaan!$K$6:$K$1005,T_Penerimaan!$H$6:$H$1005,A72,T_Penerimaan!$M$6:$M$1005,1))</f>
        <v/>
      </c>
      <c r="Q72" s="11" t="str">
        <f aca="false">IF(A72="","",IF(D72+O72&lt;=0,0,(E72+P72)/(D72+O72)))</f>
        <v/>
      </c>
      <c r="R72" s="11" t="str">
        <f aca="false">IF(A72="","",SUMIFS(T_Penjualan!$H$6:$H$1505,T_Penjualan!$G$6:$G$1505,A72,T_Penjualan!$P$6:$P$1505,1))</f>
        <v/>
      </c>
      <c r="S72" s="12" t="str">
        <f aca="false">IF(A72="","",IF(I_Parameter!$C$4&lt;=I_Parameter!$C$5,D72,IF(I_Parameter!$C$4&gt;I_Parameter!$C$6,N72,INDEX(H72:N72,I_Parameter!$C$4-I_Parameter!$C$5))))</f>
        <v/>
      </c>
      <c r="T72" s="11" t="str">
        <f aca="false">IF(A72="","",SUMIFS(T_Penjualan!$H$6:$H$1505,T_Penjualan!$G$6:$G$1505,A72,T_Penjualan!$B$6:$B$1505,"Order",T_Penjualan!$A$6:$A$1505,"&gt;="&amp;I_Parameter!$C$4,T_Penjualan!$A$6:$A$1505,"&lt;="&amp;I_Parameter!$C$6))</f>
        <v/>
      </c>
      <c r="U72" s="11" t="str">
        <f aca="false">IF(A72="","",S72-T72)</f>
        <v/>
      </c>
      <c r="V72" s="11" t="str">
        <f aca="false">IF(A72="","",MIN(H72:N72))</f>
        <v/>
      </c>
      <c r="W72" s="10" t="str">
        <f aca="false">IF(A72="","",INDEX(I_Master!$F$6:$F$85,MATCH(A72,I_Master!$A$6:$A$85,0)))</f>
        <v/>
      </c>
      <c r="X72" s="11" t="str">
        <f aca="false">IF(OR(A72="",W72=""),"",W72-Q72)</f>
        <v/>
      </c>
      <c r="Y72" s="11" t="str">
        <f aca="false">IF(A72="","",S72*Q72)</f>
        <v/>
      </c>
      <c r="Z72" s="9" t="str">
        <f aca="false">IF(A72="","",IF(V72&lt;-0.5,"KURANG: stok minus "&amp;ROUND(-V72,0)&amp;" kg — beli/potong atau geser order",IF(AND(S72&gt;0.5,T72&lt;=0,G72&gt;0.5),"JUAL: "&amp;ROUND(S72,0)&amp;" kg tanpa order, sebagian &gt; batas umur",IF(AND(S72&gt;0.5,T72&lt;=0),"JUAL: "&amp;ROUND(S72,0)&amp;" kg tanpa order minggu ini",IF(G72&gt;0.5,"PERHATIAN: "&amp;ROUND(G72,0)&amp;" kg di atas batas umur",IF(AND(X72&lt;&gt;"",X72&lt;0,T72&gt;0),"Order di bawah biaya rata-rata — cek harga","-"))))))</f>
        <v/>
      </c>
    </row>
    <row r="73" customFormat="false" ht="15" hidden="false" customHeight="false" outlineLevel="0" collapsed="false">
      <c r="A73" s="34" t="str">
        <f aca="false">IF(I_Master!A73="","",I_Master!A73)</f>
        <v/>
      </c>
      <c r="B73" s="34" t="str">
        <f aca="false">IF(A73="","",INDEX(I_Master!$E$6:$E$85,MATCH(A73,I_Master!$A$6:$A$85,0)))</f>
        <v/>
      </c>
      <c r="C73" s="34" t="str">
        <f aca="false">IF(A73="","",INDEX(I_Master!$B$6:$B$85,MATCH(A73,I_Master!$A$6:$A$85,0)))</f>
        <v/>
      </c>
      <c r="D73" s="10" t="str">
        <f aca="false">IF(A73="","",SUMIFS(I_Stok_Awal!$D$6:$D$305,I_Stok_Awal!$C$6:$C$305,A73))</f>
        <v/>
      </c>
      <c r="E73" s="10" t="str">
        <f aca="false">IF(A73="","",SUMIFS(I_Stok_Awal!$E$6:$E$305,I_Stok_Awal!$C$6:$C$305,A73))</f>
        <v/>
      </c>
      <c r="F73" s="35" t="str">
        <f aca="false">IF(OR(A73="",D73&lt;=0),"",SUMPRODUCT((I_Stok_Awal!$C$6:$C$305=A73)*I_Stok_Awal!$D$6:$D$305*I_Stok_Awal!$F$6:$F$305)/D73)</f>
        <v/>
      </c>
      <c r="G73" s="10" t="str">
        <f aca="false">IF(A73="","",SUMIFS(I_Stok_Awal!$G$6:$G$305,I_Stok_Awal!$C$6:$C$305,A73))</f>
        <v/>
      </c>
      <c r="H73" s="11" t="str">
        <f aca="false">IF($A73="","",D73+SUMIFS(T_Penerimaan!$I$6:$I$1005,T_Penerimaan!$H$6:$H$1005,$A73,T_Penerimaan!$A$6:$A$1005,H$4,T_Penerimaan!$M$6:$M$1005,1)-SUMIFS(T_Penjualan!$H$6:$H$1505,T_Penjualan!$G$6:$G$1505,$A73,T_Penjualan!$A$6:$A$1505,H$4,T_Penjualan!$P$6:$P$1505,1))</f>
        <v/>
      </c>
      <c r="I73" s="11" t="str">
        <f aca="false">IF($A73="","",H73+SUMIFS(T_Penerimaan!$I$6:$I$1005,T_Penerimaan!$H$6:$H$1005,$A73,T_Penerimaan!$A$6:$A$1005,I$4,T_Penerimaan!$M$6:$M$1005,1)-SUMIFS(T_Penjualan!$H$6:$H$1505,T_Penjualan!$G$6:$G$1505,$A73,T_Penjualan!$A$6:$A$1505,I$4,T_Penjualan!$P$6:$P$1505,1))</f>
        <v/>
      </c>
      <c r="J73" s="11" t="str">
        <f aca="false">IF($A73="","",I73+SUMIFS(T_Penerimaan!$I$6:$I$1005,T_Penerimaan!$H$6:$H$1005,$A73,T_Penerimaan!$A$6:$A$1005,J$4,T_Penerimaan!$M$6:$M$1005,1)-SUMIFS(T_Penjualan!$H$6:$H$1505,T_Penjualan!$G$6:$G$1505,$A73,T_Penjualan!$A$6:$A$1505,J$4,T_Penjualan!$P$6:$P$1505,1))</f>
        <v/>
      </c>
      <c r="K73" s="11" t="str">
        <f aca="false">IF($A73="","",J73+SUMIFS(T_Penerimaan!$I$6:$I$1005,T_Penerimaan!$H$6:$H$1005,$A73,T_Penerimaan!$A$6:$A$1005,K$4,T_Penerimaan!$M$6:$M$1005,1)-SUMIFS(T_Penjualan!$H$6:$H$1505,T_Penjualan!$G$6:$G$1505,$A73,T_Penjualan!$A$6:$A$1505,K$4,T_Penjualan!$P$6:$P$1505,1))</f>
        <v/>
      </c>
      <c r="L73" s="11" t="str">
        <f aca="false">IF($A73="","",K73+SUMIFS(T_Penerimaan!$I$6:$I$1005,T_Penerimaan!$H$6:$H$1005,$A73,T_Penerimaan!$A$6:$A$1005,L$4,T_Penerimaan!$M$6:$M$1005,1)-SUMIFS(T_Penjualan!$H$6:$H$1505,T_Penjualan!$G$6:$G$1505,$A73,T_Penjualan!$A$6:$A$1505,L$4,T_Penjualan!$P$6:$P$1505,1))</f>
        <v/>
      </c>
      <c r="M73" s="11" t="str">
        <f aca="false">IF($A73="","",L73+SUMIFS(T_Penerimaan!$I$6:$I$1005,T_Penerimaan!$H$6:$H$1005,$A73,T_Penerimaan!$A$6:$A$1005,M$4,T_Penerimaan!$M$6:$M$1005,1)-SUMIFS(T_Penjualan!$H$6:$H$1505,T_Penjualan!$G$6:$G$1505,$A73,T_Penjualan!$A$6:$A$1505,M$4,T_Penjualan!$P$6:$P$1505,1))</f>
        <v/>
      </c>
      <c r="N73" s="11" t="str">
        <f aca="false">IF($A73="","",M73+SUMIFS(T_Penerimaan!$I$6:$I$1005,T_Penerimaan!$H$6:$H$1005,$A73,T_Penerimaan!$A$6:$A$1005,N$4,T_Penerimaan!$M$6:$M$1005,1)-SUMIFS(T_Penjualan!$H$6:$H$1505,T_Penjualan!$G$6:$G$1505,$A73,T_Penjualan!$A$6:$A$1505,N$4,T_Penjualan!$P$6:$P$1505,1))</f>
        <v/>
      </c>
      <c r="O73" s="11" t="str">
        <f aca="false">IF(A73="","",SUMIFS(T_Penerimaan!$I$6:$I$1005,T_Penerimaan!$H$6:$H$1005,A73,T_Penerimaan!$M$6:$M$1005,1))</f>
        <v/>
      </c>
      <c r="P73" s="11" t="str">
        <f aca="false">IF(A73="","",SUMIFS(T_Penerimaan!$K$6:$K$1005,T_Penerimaan!$H$6:$H$1005,A73,T_Penerimaan!$M$6:$M$1005,1))</f>
        <v/>
      </c>
      <c r="Q73" s="11" t="str">
        <f aca="false">IF(A73="","",IF(D73+O73&lt;=0,0,(E73+P73)/(D73+O73)))</f>
        <v/>
      </c>
      <c r="R73" s="11" t="str">
        <f aca="false">IF(A73="","",SUMIFS(T_Penjualan!$H$6:$H$1505,T_Penjualan!$G$6:$G$1505,A73,T_Penjualan!$P$6:$P$1505,1))</f>
        <v/>
      </c>
      <c r="S73" s="12" t="str">
        <f aca="false">IF(A73="","",IF(I_Parameter!$C$4&lt;=I_Parameter!$C$5,D73,IF(I_Parameter!$C$4&gt;I_Parameter!$C$6,N73,INDEX(H73:N73,I_Parameter!$C$4-I_Parameter!$C$5))))</f>
        <v/>
      </c>
      <c r="T73" s="11" t="str">
        <f aca="false">IF(A73="","",SUMIFS(T_Penjualan!$H$6:$H$1505,T_Penjualan!$G$6:$G$1505,A73,T_Penjualan!$B$6:$B$1505,"Order",T_Penjualan!$A$6:$A$1505,"&gt;="&amp;I_Parameter!$C$4,T_Penjualan!$A$6:$A$1505,"&lt;="&amp;I_Parameter!$C$6))</f>
        <v/>
      </c>
      <c r="U73" s="11" t="str">
        <f aca="false">IF(A73="","",S73-T73)</f>
        <v/>
      </c>
      <c r="V73" s="11" t="str">
        <f aca="false">IF(A73="","",MIN(H73:N73))</f>
        <v/>
      </c>
      <c r="W73" s="10" t="str">
        <f aca="false">IF(A73="","",INDEX(I_Master!$F$6:$F$85,MATCH(A73,I_Master!$A$6:$A$85,0)))</f>
        <v/>
      </c>
      <c r="X73" s="11" t="str">
        <f aca="false">IF(OR(A73="",W73=""),"",W73-Q73)</f>
        <v/>
      </c>
      <c r="Y73" s="11" t="str">
        <f aca="false">IF(A73="","",S73*Q73)</f>
        <v/>
      </c>
      <c r="Z73" s="9" t="str">
        <f aca="false">IF(A73="","",IF(V73&lt;-0.5,"KURANG: stok minus "&amp;ROUND(-V73,0)&amp;" kg — beli/potong atau geser order",IF(AND(S73&gt;0.5,T73&lt;=0,G73&gt;0.5),"JUAL: "&amp;ROUND(S73,0)&amp;" kg tanpa order, sebagian &gt; batas umur",IF(AND(S73&gt;0.5,T73&lt;=0),"JUAL: "&amp;ROUND(S73,0)&amp;" kg tanpa order minggu ini",IF(G73&gt;0.5,"PERHATIAN: "&amp;ROUND(G73,0)&amp;" kg di atas batas umur",IF(AND(X73&lt;&gt;"",X73&lt;0,T73&gt;0),"Order di bawah biaya rata-rata — cek harga","-"))))))</f>
        <v/>
      </c>
    </row>
    <row r="74" customFormat="false" ht="15" hidden="false" customHeight="false" outlineLevel="0" collapsed="false">
      <c r="A74" s="34" t="str">
        <f aca="false">IF(I_Master!A74="","",I_Master!A74)</f>
        <v/>
      </c>
      <c r="B74" s="34" t="str">
        <f aca="false">IF(A74="","",INDEX(I_Master!$E$6:$E$85,MATCH(A74,I_Master!$A$6:$A$85,0)))</f>
        <v/>
      </c>
      <c r="C74" s="34" t="str">
        <f aca="false">IF(A74="","",INDEX(I_Master!$B$6:$B$85,MATCH(A74,I_Master!$A$6:$A$85,0)))</f>
        <v/>
      </c>
      <c r="D74" s="10" t="str">
        <f aca="false">IF(A74="","",SUMIFS(I_Stok_Awal!$D$6:$D$305,I_Stok_Awal!$C$6:$C$305,A74))</f>
        <v/>
      </c>
      <c r="E74" s="10" t="str">
        <f aca="false">IF(A74="","",SUMIFS(I_Stok_Awal!$E$6:$E$305,I_Stok_Awal!$C$6:$C$305,A74))</f>
        <v/>
      </c>
      <c r="F74" s="35" t="str">
        <f aca="false">IF(OR(A74="",D74&lt;=0),"",SUMPRODUCT((I_Stok_Awal!$C$6:$C$305=A74)*I_Stok_Awal!$D$6:$D$305*I_Stok_Awal!$F$6:$F$305)/D74)</f>
        <v/>
      </c>
      <c r="G74" s="10" t="str">
        <f aca="false">IF(A74="","",SUMIFS(I_Stok_Awal!$G$6:$G$305,I_Stok_Awal!$C$6:$C$305,A74))</f>
        <v/>
      </c>
      <c r="H74" s="11" t="str">
        <f aca="false">IF($A74="","",D74+SUMIFS(T_Penerimaan!$I$6:$I$1005,T_Penerimaan!$H$6:$H$1005,$A74,T_Penerimaan!$A$6:$A$1005,H$4,T_Penerimaan!$M$6:$M$1005,1)-SUMIFS(T_Penjualan!$H$6:$H$1505,T_Penjualan!$G$6:$G$1505,$A74,T_Penjualan!$A$6:$A$1505,H$4,T_Penjualan!$P$6:$P$1505,1))</f>
        <v/>
      </c>
      <c r="I74" s="11" t="str">
        <f aca="false">IF($A74="","",H74+SUMIFS(T_Penerimaan!$I$6:$I$1005,T_Penerimaan!$H$6:$H$1005,$A74,T_Penerimaan!$A$6:$A$1005,I$4,T_Penerimaan!$M$6:$M$1005,1)-SUMIFS(T_Penjualan!$H$6:$H$1505,T_Penjualan!$G$6:$G$1505,$A74,T_Penjualan!$A$6:$A$1505,I$4,T_Penjualan!$P$6:$P$1505,1))</f>
        <v/>
      </c>
      <c r="J74" s="11" t="str">
        <f aca="false">IF($A74="","",I74+SUMIFS(T_Penerimaan!$I$6:$I$1005,T_Penerimaan!$H$6:$H$1005,$A74,T_Penerimaan!$A$6:$A$1005,J$4,T_Penerimaan!$M$6:$M$1005,1)-SUMIFS(T_Penjualan!$H$6:$H$1505,T_Penjualan!$G$6:$G$1505,$A74,T_Penjualan!$A$6:$A$1505,J$4,T_Penjualan!$P$6:$P$1505,1))</f>
        <v/>
      </c>
      <c r="K74" s="11" t="str">
        <f aca="false">IF($A74="","",J74+SUMIFS(T_Penerimaan!$I$6:$I$1005,T_Penerimaan!$H$6:$H$1005,$A74,T_Penerimaan!$A$6:$A$1005,K$4,T_Penerimaan!$M$6:$M$1005,1)-SUMIFS(T_Penjualan!$H$6:$H$1505,T_Penjualan!$G$6:$G$1505,$A74,T_Penjualan!$A$6:$A$1505,K$4,T_Penjualan!$P$6:$P$1505,1))</f>
        <v/>
      </c>
      <c r="L74" s="11" t="str">
        <f aca="false">IF($A74="","",K74+SUMIFS(T_Penerimaan!$I$6:$I$1005,T_Penerimaan!$H$6:$H$1005,$A74,T_Penerimaan!$A$6:$A$1005,L$4,T_Penerimaan!$M$6:$M$1005,1)-SUMIFS(T_Penjualan!$H$6:$H$1505,T_Penjualan!$G$6:$G$1505,$A74,T_Penjualan!$A$6:$A$1505,L$4,T_Penjualan!$P$6:$P$1505,1))</f>
        <v/>
      </c>
      <c r="M74" s="11" t="str">
        <f aca="false">IF($A74="","",L74+SUMIFS(T_Penerimaan!$I$6:$I$1005,T_Penerimaan!$H$6:$H$1005,$A74,T_Penerimaan!$A$6:$A$1005,M$4,T_Penerimaan!$M$6:$M$1005,1)-SUMIFS(T_Penjualan!$H$6:$H$1505,T_Penjualan!$G$6:$G$1505,$A74,T_Penjualan!$A$6:$A$1505,M$4,T_Penjualan!$P$6:$P$1505,1))</f>
        <v/>
      </c>
      <c r="N74" s="11" t="str">
        <f aca="false">IF($A74="","",M74+SUMIFS(T_Penerimaan!$I$6:$I$1005,T_Penerimaan!$H$6:$H$1005,$A74,T_Penerimaan!$A$6:$A$1005,N$4,T_Penerimaan!$M$6:$M$1005,1)-SUMIFS(T_Penjualan!$H$6:$H$1505,T_Penjualan!$G$6:$G$1505,$A74,T_Penjualan!$A$6:$A$1505,N$4,T_Penjualan!$P$6:$P$1505,1))</f>
        <v/>
      </c>
      <c r="O74" s="11" t="str">
        <f aca="false">IF(A74="","",SUMIFS(T_Penerimaan!$I$6:$I$1005,T_Penerimaan!$H$6:$H$1005,A74,T_Penerimaan!$M$6:$M$1005,1))</f>
        <v/>
      </c>
      <c r="P74" s="11" t="str">
        <f aca="false">IF(A74="","",SUMIFS(T_Penerimaan!$K$6:$K$1005,T_Penerimaan!$H$6:$H$1005,A74,T_Penerimaan!$M$6:$M$1005,1))</f>
        <v/>
      </c>
      <c r="Q74" s="11" t="str">
        <f aca="false">IF(A74="","",IF(D74+O74&lt;=0,0,(E74+P74)/(D74+O74)))</f>
        <v/>
      </c>
      <c r="R74" s="11" t="str">
        <f aca="false">IF(A74="","",SUMIFS(T_Penjualan!$H$6:$H$1505,T_Penjualan!$G$6:$G$1505,A74,T_Penjualan!$P$6:$P$1505,1))</f>
        <v/>
      </c>
      <c r="S74" s="12" t="str">
        <f aca="false">IF(A74="","",IF(I_Parameter!$C$4&lt;=I_Parameter!$C$5,D74,IF(I_Parameter!$C$4&gt;I_Parameter!$C$6,N74,INDEX(H74:N74,I_Parameter!$C$4-I_Parameter!$C$5))))</f>
        <v/>
      </c>
      <c r="T74" s="11" t="str">
        <f aca="false">IF(A74="","",SUMIFS(T_Penjualan!$H$6:$H$1505,T_Penjualan!$G$6:$G$1505,A74,T_Penjualan!$B$6:$B$1505,"Order",T_Penjualan!$A$6:$A$1505,"&gt;="&amp;I_Parameter!$C$4,T_Penjualan!$A$6:$A$1505,"&lt;="&amp;I_Parameter!$C$6))</f>
        <v/>
      </c>
      <c r="U74" s="11" t="str">
        <f aca="false">IF(A74="","",S74-T74)</f>
        <v/>
      </c>
      <c r="V74" s="11" t="str">
        <f aca="false">IF(A74="","",MIN(H74:N74))</f>
        <v/>
      </c>
      <c r="W74" s="10" t="str">
        <f aca="false">IF(A74="","",INDEX(I_Master!$F$6:$F$85,MATCH(A74,I_Master!$A$6:$A$85,0)))</f>
        <v/>
      </c>
      <c r="X74" s="11" t="str">
        <f aca="false">IF(OR(A74="",W74=""),"",W74-Q74)</f>
        <v/>
      </c>
      <c r="Y74" s="11" t="str">
        <f aca="false">IF(A74="","",S74*Q74)</f>
        <v/>
      </c>
      <c r="Z74" s="9" t="str">
        <f aca="false">IF(A74="","",IF(V74&lt;-0.5,"KURANG: stok minus "&amp;ROUND(-V74,0)&amp;" kg — beli/potong atau geser order",IF(AND(S74&gt;0.5,T74&lt;=0,G74&gt;0.5),"JUAL: "&amp;ROUND(S74,0)&amp;" kg tanpa order, sebagian &gt; batas umur",IF(AND(S74&gt;0.5,T74&lt;=0),"JUAL: "&amp;ROUND(S74,0)&amp;" kg tanpa order minggu ini",IF(G74&gt;0.5,"PERHATIAN: "&amp;ROUND(G74,0)&amp;" kg di atas batas umur",IF(AND(X74&lt;&gt;"",X74&lt;0,T74&gt;0),"Order di bawah biaya rata-rata — cek harga","-"))))))</f>
        <v/>
      </c>
    </row>
    <row r="75" customFormat="false" ht="15" hidden="false" customHeight="false" outlineLevel="0" collapsed="false">
      <c r="A75" s="34" t="str">
        <f aca="false">IF(I_Master!A75="","",I_Master!A75)</f>
        <v/>
      </c>
      <c r="B75" s="34" t="str">
        <f aca="false">IF(A75="","",INDEX(I_Master!$E$6:$E$85,MATCH(A75,I_Master!$A$6:$A$85,0)))</f>
        <v/>
      </c>
      <c r="C75" s="34" t="str">
        <f aca="false">IF(A75="","",INDEX(I_Master!$B$6:$B$85,MATCH(A75,I_Master!$A$6:$A$85,0)))</f>
        <v/>
      </c>
      <c r="D75" s="10" t="str">
        <f aca="false">IF(A75="","",SUMIFS(I_Stok_Awal!$D$6:$D$305,I_Stok_Awal!$C$6:$C$305,A75))</f>
        <v/>
      </c>
      <c r="E75" s="10" t="str">
        <f aca="false">IF(A75="","",SUMIFS(I_Stok_Awal!$E$6:$E$305,I_Stok_Awal!$C$6:$C$305,A75))</f>
        <v/>
      </c>
      <c r="F75" s="35" t="str">
        <f aca="false">IF(OR(A75="",D75&lt;=0),"",SUMPRODUCT((I_Stok_Awal!$C$6:$C$305=A75)*I_Stok_Awal!$D$6:$D$305*I_Stok_Awal!$F$6:$F$305)/D75)</f>
        <v/>
      </c>
      <c r="G75" s="10" t="str">
        <f aca="false">IF(A75="","",SUMIFS(I_Stok_Awal!$G$6:$G$305,I_Stok_Awal!$C$6:$C$305,A75))</f>
        <v/>
      </c>
      <c r="H75" s="11" t="str">
        <f aca="false">IF($A75="","",D75+SUMIFS(T_Penerimaan!$I$6:$I$1005,T_Penerimaan!$H$6:$H$1005,$A75,T_Penerimaan!$A$6:$A$1005,H$4,T_Penerimaan!$M$6:$M$1005,1)-SUMIFS(T_Penjualan!$H$6:$H$1505,T_Penjualan!$G$6:$G$1505,$A75,T_Penjualan!$A$6:$A$1505,H$4,T_Penjualan!$P$6:$P$1505,1))</f>
        <v/>
      </c>
      <c r="I75" s="11" t="str">
        <f aca="false">IF($A75="","",H75+SUMIFS(T_Penerimaan!$I$6:$I$1005,T_Penerimaan!$H$6:$H$1005,$A75,T_Penerimaan!$A$6:$A$1005,I$4,T_Penerimaan!$M$6:$M$1005,1)-SUMIFS(T_Penjualan!$H$6:$H$1505,T_Penjualan!$G$6:$G$1505,$A75,T_Penjualan!$A$6:$A$1505,I$4,T_Penjualan!$P$6:$P$1505,1))</f>
        <v/>
      </c>
      <c r="J75" s="11" t="str">
        <f aca="false">IF($A75="","",I75+SUMIFS(T_Penerimaan!$I$6:$I$1005,T_Penerimaan!$H$6:$H$1005,$A75,T_Penerimaan!$A$6:$A$1005,J$4,T_Penerimaan!$M$6:$M$1005,1)-SUMIFS(T_Penjualan!$H$6:$H$1505,T_Penjualan!$G$6:$G$1505,$A75,T_Penjualan!$A$6:$A$1505,J$4,T_Penjualan!$P$6:$P$1505,1))</f>
        <v/>
      </c>
      <c r="K75" s="11" t="str">
        <f aca="false">IF($A75="","",J75+SUMIFS(T_Penerimaan!$I$6:$I$1005,T_Penerimaan!$H$6:$H$1005,$A75,T_Penerimaan!$A$6:$A$1005,K$4,T_Penerimaan!$M$6:$M$1005,1)-SUMIFS(T_Penjualan!$H$6:$H$1505,T_Penjualan!$G$6:$G$1505,$A75,T_Penjualan!$A$6:$A$1505,K$4,T_Penjualan!$P$6:$P$1505,1))</f>
        <v/>
      </c>
      <c r="L75" s="11" t="str">
        <f aca="false">IF($A75="","",K75+SUMIFS(T_Penerimaan!$I$6:$I$1005,T_Penerimaan!$H$6:$H$1005,$A75,T_Penerimaan!$A$6:$A$1005,L$4,T_Penerimaan!$M$6:$M$1005,1)-SUMIFS(T_Penjualan!$H$6:$H$1505,T_Penjualan!$G$6:$G$1505,$A75,T_Penjualan!$A$6:$A$1505,L$4,T_Penjualan!$P$6:$P$1505,1))</f>
        <v/>
      </c>
      <c r="M75" s="11" t="str">
        <f aca="false">IF($A75="","",L75+SUMIFS(T_Penerimaan!$I$6:$I$1005,T_Penerimaan!$H$6:$H$1005,$A75,T_Penerimaan!$A$6:$A$1005,M$4,T_Penerimaan!$M$6:$M$1005,1)-SUMIFS(T_Penjualan!$H$6:$H$1505,T_Penjualan!$G$6:$G$1505,$A75,T_Penjualan!$A$6:$A$1505,M$4,T_Penjualan!$P$6:$P$1505,1))</f>
        <v/>
      </c>
      <c r="N75" s="11" t="str">
        <f aca="false">IF($A75="","",M75+SUMIFS(T_Penerimaan!$I$6:$I$1005,T_Penerimaan!$H$6:$H$1005,$A75,T_Penerimaan!$A$6:$A$1005,N$4,T_Penerimaan!$M$6:$M$1005,1)-SUMIFS(T_Penjualan!$H$6:$H$1505,T_Penjualan!$G$6:$G$1505,$A75,T_Penjualan!$A$6:$A$1505,N$4,T_Penjualan!$P$6:$P$1505,1))</f>
        <v/>
      </c>
      <c r="O75" s="11" t="str">
        <f aca="false">IF(A75="","",SUMIFS(T_Penerimaan!$I$6:$I$1005,T_Penerimaan!$H$6:$H$1005,A75,T_Penerimaan!$M$6:$M$1005,1))</f>
        <v/>
      </c>
      <c r="P75" s="11" t="str">
        <f aca="false">IF(A75="","",SUMIFS(T_Penerimaan!$K$6:$K$1005,T_Penerimaan!$H$6:$H$1005,A75,T_Penerimaan!$M$6:$M$1005,1))</f>
        <v/>
      </c>
      <c r="Q75" s="11" t="str">
        <f aca="false">IF(A75="","",IF(D75+O75&lt;=0,0,(E75+P75)/(D75+O75)))</f>
        <v/>
      </c>
      <c r="R75" s="11" t="str">
        <f aca="false">IF(A75="","",SUMIFS(T_Penjualan!$H$6:$H$1505,T_Penjualan!$G$6:$G$1505,A75,T_Penjualan!$P$6:$P$1505,1))</f>
        <v/>
      </c>
      <c r="S75" s="12" t="str">
        <f aca="false">IF(A75="","",IF(I_Parameter!$C$4&lt;=I_Parameter!$C$5,D75,IF(I_Parameter!$C$4&gt;I_Parameter!$C$6,N75,INDEX(H75:N75,I_Parameter!$C$4-I_Parameter!$C$5))))</f>
        <v/>
      </c>
      <c r="T75" s="11" t="str">
        <f aca="false">IF(A75="","",SUMIFS(T_Penjualan!$H$6:$H$1505,T_Penjualan!$G$6:$G$1505,A75,T_Penjualan!$B$6:$B$1505,"Order",T_Penjualan!$A$6:$A$1505,"&gt;="&amp;I_Parameter!$C$4,T_Penjualan!$A$6:$A$1505,"&lt;="&amp;I_Parameter!$C$6))</f>
        <v/>
      </c>
      <c r="U75" s="11" t="str">
        <f aca="false">IF(A75="","",S75-T75)</f>
        <v/>
      </c>
      <c r="V75" s="11" t="str">
        <f aca="false">IF(A75="","",MIN(H75:N75))</f>
        <v/>
      </c>
      <c r="W75" s="10" t="str">
        <f aca="false">IF(A75="","",INDEX(I_Master!$F$6:$F$85,MATCH(A75,I_Master!$A$6:$A$85,0)))</f>
        <v/>
      </c>
      <c r="X75" s="11" t="str">
        <f aca="false">IF(OR(A75="",W75=""),"",W75-Q75)</f>
        <v/>
      </c>
      <c r="Y75" s="11" t="str">
        <f aca="false">IF(A75="","",S75*Q75)</f>
        <v/>
      </c>
      <c r="Z75" s="9" t="str">
        <f aca="false">IF(A75="","",IF(V75&lt;-0.5,"KURANG: stok minus "&amp;ROUND(-V75,0)&amp;" kg — beli/potong atau geser order",IF(AND(S75&gt;0.5,T75&lt;=0,G75&gt;0.5),"JUAL: "&amp;ROUND(S75,0)&amp;" kg tanpa order, sebagian &gt; batas umur",IF(AND(S75&gt;0.5,T75&lt;=0),"JUAL: "&amp;ROUND(S75,0)&amp;" kg tanpa order minggu ini",IF(G75&gt;0.5,"PERHATIAN: "&amp;ROUND(G75,0)&amp;" kg di atas batas umur",IF(AND(X75&lt;&gt;"",X75&lt;0,T75&gt;0),"Order di bawah biaya rata-rata — cek harga","-"))))))</f>
        <v/>
      </c>
    </row>
    <row r="76" customFormat="false" ht="15" hidden="false" customHeight="false" outlineLevel="0" collapsed="false">
      <c r="A76" s="34" t="str">
        <f aca="false">IF(I_Master!A76="","",I_Master!A76)</f>
        <v/>
      </c>
      <c r="B76" s="34" t="str">
        <f aca="false">IF(A76="","",INDEX(I_Master!$E$6:$E$85,MATCH(A76,I_Master!$A$6:$A$85,0)))</f>
        <v/>
      </c>
      <c r="C76" s="34" t="str">
        <f aca="false">IF(A76="","",INDEX(I_Master!$B$6:$B$85,MATCH(A76,I_Master!$A$6:$A$85,0)))</f>
        <v/>
      </c>
      <c r="D76" s="10" t="str">
        <f aca="false">IF(A76="","",SUMIFS(I_Stok_Awal!$D$6:$D$305,I_Stok_Awal!$C$6:$C$305,A76))</f>
        <v/>
      </c>
      <c r="E76" s="10" t="str">
        <f aca="false">IF(A76="","",SUMIFS(I_Stok_Awal!$E$6:$E$305,I_Stok_Awal!$C$6:$C$305,A76))</f>
        <v/>
      </c>
      <c r="F76" s="35" t="str">
        <f aca="false">IF(OR(A76="",D76&lt;=0),"",SUMPRODUCT((I_Stok_Awal!$C$6:$C$305=A76)*I_Stok_Awal!$D$6:$D$305*I_Stok_Awal!$F$6:$F$305)/D76)</f>
        <v/>
      </c>
      <c r="G76" s="10" t="str">
        <f aca="false">IF(A76="","",SUMIFS(I_Stok_Awal!$G$6:$G$305,I_Stok_Awal!$C$6:$C$305,A76))</f>
        <v/>
      </c>
      <c r="H76" s="11" t="str">
        <f aca="false">IF($A76="","",D76+SUMIFS(T_Penerimaan!$I$6:$I$1005,T_Penerimaan!$H$6:$H$1005,$A76,T_Penerimaan!$A$6:$A$1005,H$4,T_Penerimaan!$M$6:$M$1005,1)-SUMIFS(T_Penjualan!$H$6:$H$1505,T_Penjualan!$G$6:$G$1505,$A76,T_Penjualan!$A$6:$A$1505,H$4,T_Penjualan!$P$6:$P$1505,1))</f>
        <v/>
      </c>
      <c r="I76" s="11" t="str">
        <f aca="false">IF($A76="","",H76+SUMIFS(T_Penerimaan!$I$6:$I$1005,T_Penerimaan!$H$6:$H$1005,$A76,T_Penerimaan!$A$6:$A$1005,I$4,T_Penerimaan!$M$6:$M$1005,1)-SUMIFS(T_Penjualan!$H$6:$H$1505,T_Penjualan!$G$6:$G$1505,$A76,T_Penjualan!$A$6:$A$1505,I$4,T_Penjualan!$P$6:$P$1505,1))</f>
        <v/>
      </c>
      <c r="J76" s="11" t="str">
        <f aca="false">IF($A76="","",I76+SUMIFS(T_Penerimaan!$I$6:$I$1005,T_Penerimaan!$H$6:$H$1005,$A76,T_Penerimaan!$A$6:$A$1005,J$4,T_Penerimaan!$M$6:$M$1005,1)-SUMIFS(T_Penjualan!$H$6:$H$1505,T_Penjualan!$G$6:$G$1505,$A76,T_Penjualan!$A$6:$A$1505,J$4,T_Penjualan!$P$6:$P$1505,1))</f>
        <v/>
      </c>
      <c r="K76" s="11" t="str">
        <f aca="false">IF($A76="","",J76+SUMIFS(T_Penerimaan!$I$6:$I$1005,T_Penerimaan!$H$6:$H$1005,$A76,T_Penerimaan!$A$6:$A$1005,K$4,T_Penerimaan!$M$6:$M$1005,1)-SUMIFS(T_Penjualan!$H$6:$H$1505,T_Penjualan!$G$6:$G$1505,$A76,T_Penjualan!$A$6:$A$1505,K$4,T_Penjualan!$P$6:$P$1505,1))</f>
        <v/>
      </c>
      <c r="L76" s="11" t="str">
        <f aca="false">IF($A76="","",K76+SUMIFS(T_Penerimaan!$I$6:$I$1005,T_Penerimaan!$H$6:$H$1005,$A76,T_Penerimaan!$A$6:$A$1005,L$4,T_Penerimaan!$M$6:$M$1005,1)-SUMIFS(T_Penjualan!$H$6:$H$1505,T_Penjualan!$G$6:$G$1505,$A76,T_Penjualan!$A$6:$A$1505,L$4,T_Penjualan!$P$6:$P$1505,1))</f>
        <v/>
      </c>
      <c r="M76" s="11" t="str">
        <f aca="false">IF($A76="","",L76+SUMIFS(T_Penerimaan!$I$6:$I$1005,T_Penerimaan!$H$6:$H$1005,$A76,T_Penerimaan!$A$6:$A$1005,M$4,T_Penerimaan!$M$6:$M$1005,1)-SUMIFS(T_Penjualan!$H$6:$H$1505,T_Penjualan!$G$6:$G$1505,$A76,T_Penjualan!$A$6:$A$1505,M$4,T_Penjualan!$P$6:$P$1505,1))</f>
        <v/>
      </c>
      <c r="N76" s="11" t="str">
        <f aca="false">IF($A76="","",M76+SUMIFS(T_Penerimaan!$I$6:$I$1005,T_Penerimaan!$H$6:$H$1005,$A76,T_Penerimaan!$A$6:$A$1005,N$4,T_Penerimaan!$M$6:$M$1005,1)-SUMIFS(T_Penjualan!$H$6:$H$1505,T_Penjualan!$G$6:$G$1505,$A76,T_Penjualan!$A$6:$A$1505,N$4,T_Penjualan!$P$6:$P$1505,1))</f>
        <v/>
      </c>
      <c r="O76" s="11" t="str">
        <f aca="false">IF(A76="","",SUMIFS(T_Penerimaan!$I$6:$I$1005,T_Penerimaan!$H$6:$H$1005,A76,T_Penerimaan!$M$6:$M$1005,1))</f>
        <v/>
      </c>
      <c r="P76" s="11" t="str">
        <f aca="false">IF(A76="","",SUMIFS(T_Penerimaan!$K$6:$K$1005,T_Penerimaan!$H$6:$H$1005,A76,T_Penerimaan!$M$6:$M$1005,1))</f>
        <v/>
      </c>
      <c r="Q76" s="11" t="str">
        <f aca="false">IF(A76="","",IF(D76+O76&lt;=0,0,(E76+P76)/(D76+O76)))</f>
        <v/>
      </c>
      <c r="R76" s="11" t="str">
        <f aca="false">IF(A76="","",SUMIFS(T_Penjualan!$H$6:$H$1505,T_Penjualan!$G$6:$G$1505,A76,T_Penjualan!$P$6:$P$1505,1))</f>
        <v/>
      </c>
      <c r="S76" s="12" t="str">
        <f aca="false">IF(A76="","",IF(I_Parameter!$C$4&lt;=I_Parameter!$C$5,D76,IF(I_Parameter!$C$4&gt;I_Parameter!$C$6,N76,INDEX(H76:N76,I_Parameter!$C$4-I_Parameter!$C$5))))</f>
        <v/>
      </c>
      <c r="T76" s="11" t="str">
        <f aca="false">IF(A76="","",SUMIFS(T_Penjualan!$H$6:$H$1505,T_Penjualan!$G$6:$G$1505,A76,T_Penjualan!$B$6:$B$1505,"Order",T_Penjualan!$A$6:$A$1505,"&gt;="&amp;I_Parameter!$C$4,T_Penjualan!$A$6:$A$1505,"&lt;="&amp;I_Parameter!$C$6))</f>
        <v/>
      </c>
      <c r="U76" s="11" t="str">
        <f aca="false">IF(A76="","",S76-T76)</f>
        <v/>
      </c>
      <c r="V76" s="11" t="str">
        <f aca="false">IF(A76="","",MIN(H76:N76))</f>
        <v/>
      </c>
      <c r="W76" s="10" t="str">
        <f aca="false">IF(A76="","",INDEX(I_Master!$F$6:$F$85,MATCH(A76,I_Master!$A$6:$A$85,0)))</f>
        <v/>
      </c>
      <c r="X76" s="11" t="str">
        <f aca="false">IF(OR(A76="",W76=""),"",W76-Q76)</f>
        <v/>
      </c>
      <c r="Y76" s="11" t="str">
        <f aca="false">IF(A76="","",S76*Q76)</f>
        <v/>
      </c>
      <c r="Z76" s="9" t="str">
        <f aca="false">IF(A76="","",IF(V76&lt;-0.5,"KURANG: stok minus "&amp;ROUND(-V76,0)&amp;" kg — beli/potong atau geser order",IF(AND(S76&gt;0.5,T76&lt;=0,G76&gt;0.5),"JUAL: "&amp;ROUND(S76,0)&amp;" kg tanpa order, sebagian &gt; batas umur",IF(AND(S76&gt;0.5,T76&lt;=0),"JUAL: "&amp;ROUND(S76,0)&amp;" kg tanpa order minggu ini",IF(G76&gt;0.5,"PERHATIAN: "&amp;ROUND(G76,0)&amp;" kg di atas batas umur",IF(AND(X76&lt;&gt;"",X76&lt;0,T76&gt;0),"Order di bawah biaya rata-rata — cek harga","-"))))))</f>
        <v/>
      </c>
    </row>
    <row r="77" customFormat="false" ht="15" hidden="false" customHeight="false" outlineLevel="0" collapsed="false">
      <c r="A77" s="34" t="str">
        <f aca="false">IF(I_Master!A77="","",I_Master!A77)</f>
        <v/>
      </c>
      <c r="B77" s="34" t="str">
        <f aca="false">IF(A77="","",INDEX(I_Master!$E$6:$E$85,MATCH(A77,I_Master!$A$6:$A$85,0)))</f>
        <v/>
      </c>
      <c r="C77" s="34" t="str">
        <f aca="false">IF(A77="","",INDEX(I_Master!$B$6:$B$85,MATCH(A77,I_Master!$A$6:$A$85,0)))</f>
        <v/>
      </c>
      <c r="D77" s="10" t="str">
        <f aca="false">IF(A77="","",SUMIFS(I_Stok_Awal!$D$6:$D$305,I_Stok_Awal!$C$6:$C$305,A77))</f>
        <v/>
      </c>
      <c r="E77" s="10" t="str">
        <f aca="false">IF(A77="","",SUMIFS(I_Stok_Awal!$E$6:$E$305,I_Stok_Awal!$C$6:$C$305,A77))</f>
        <v/>
      </c>
      <c r="F77" s="35" t="str">
        <f aca="false">IF(OR(A77="",D77&lt;=0),"",SUMPRODUCT((I_Stok_Awal!$C$6:$C$305=A77)*I_Stok_Awal!$D$6:$D$305*I_Stok_Awal!$F$6:$F$305)/D77)</f>
        <v/>
      </c>
      <c r="G77" s="10" t="str">
        <f aca="false">IF(A77="","",SUMIFS(I_Stok_Awal!$G$6:$G$305,I_Stok_Awal!$C$6:$C$305,A77))</f>
        <v/>
      </c>
      <c r="H77" s="11" t="str">
        <f aca="false">IF($A77="","",D77+SUMIFS(T_Penerimaan!$I$6:$I$1005,T_Penerimaan!$H$6:$H$1005,$A77,T_Penerimaan!$A$6:$A$1005,H$4,T_Penerimaan!$M$6:$M$1005,1)-SUMIFS(T_Penjualan!$H$6:$H$1505,T_Penjualan!$G$6:$G$1505,$A77,T_Penjualan!$A$6:$A$1505,H$4,T_Penjualan!$P$6:$P$1505,1))</f>
        <v/>
      </c>
      <c r="I77" s="11" t="str">
        <f aca="false">IF($A77="","",H77+SUMIFS(T_Penerimaan!$I$6:$I$1005,T_Penerimaan!$H$6:$H$1005,$A77,T_Penerimaan!$A$6:$A$1005,I$4,T_Penerimaan!$M$6:$M$1005,1)-SUMIFS(T_Penjualan!$H$6:$H$1505,T_Penjualan!$G$6:$G$1505,$A77,T_Penjualan!$A$6:$A$1505,I$4,T_Penjualan!$P$6:$P$1505,1))</f>
        <v/>
      </c>
      <c r="J77" s="11" t="str">
        <f aca="false">IF($A77="","",I77+SUMIFS(T_Penerimaan!$I$6:$I$1005,T_Penerimaan!$H$6:$H$1005,$A77,T_Penerimaan!$A$6:$A$1005,J$4,T_Penerimaan!$M$6:$M$1005,1)-SUMIFS(T_Penjualan!$H$6:$H$1505,T_Penjualan!$G$6:$G$1505,$A77,T_Penjualan!$A$6:$A$1505,J$4,T_Penjualan!$P$6:$P$1505,1))</f>
        <v/>
      </c>
      <c r="K77" s="11" t="str">
        <f aca="false">IF($A77="","",J77+SUMIFS(T_Penerimaan!$I$6:$I$1005,T_Penerimaan!$H$6:$H$1005,$A77,T_Penerimaan!$A$6:$A$1005,K$4,T_Penerimaan!$M$6:$M$1005,1)-SUMIFS(T_Penjualan!$H$6:$H$1505,T_Penjualan!$G$6:$G$1505,$A77,T_Penjualan!$A$6:$A$1505,K$4,T_Penjualan!$P$6:$P$1505,1))</f>
        <v/>
      </c>
      <c r="L77" s="11" t="str">
        <f aca="false">IF($A77="","",K77+SUMIFS(T_Penerimaan!$I$6:$I$1005,T_Penerimaan!$H$6:$H$1005,$A77,T_Penerimaan!$A$6:$A$1005,L$4,T_Penerimaan!$M$6:$M$1005,1)-SUMIFS(T_Penjualan!$H$6:$H$1505,T_Penjualan!$G$6:$G$1505,$A77,T_Penjualan!$A$6:$A$1505,L$4,T_Penjualan!$P$6:$P$1505,1))</f>
        <v/>
      </c>
      <c r="M77" s="11" t="str">
        <f aca="false">IF($A77="","",L77+SUMIFS(T_Penerimaan!$I$6:$I$1005,T_Penerimaan!$H$6:$H$1005,$A77,T_Penerimaan!$A$6:$A$1005,M$4,T_Penerimaan!$M$6:$M$1005,1)-SUMIFS(T_Penjualan!$H$6:$H$1505,T_Penjualan!$G$6:$G$1505,$A77,T_Penjualan!$A$6:$A$1505,M$4,T_Penjualan!$P$6:$P$1505,1))</f>
        <v/>
      </c>
      <c r="N77" s="11" t="str">
        <f aca="false">IF($A77="","",M77+SUMIFS(T_Penerimaan!$I$6:$I$1005,T_Penerimaan!$H$6:$H$1005,$A77,T_Penerimaan!$A$6:$A$1005,N$4,T_Penerimaan!$M$6:$M$1005,1)-SUMIFS(T_Penjualan!$H$6:$H$1505,T_Penjualan!$G$6:$G$1505,$A77,T_Penjualan!$A$6:$A$1505,N$4,T_Penjualan!$P$6:$P$1505,1))</f>
        <v/>
      </c>
      <c r="O77" s="11" t="str">
        <f aca="false">IF(A77="","",SUMIFS(T_Penerimaan!$I$6:$I$1005,T_Penerimaan!$H$6:$H$1005,A77,T_Penerimaan!$M$6:$M$1005,1))</f>
        <v/>
      </c>
      <c r="P77" s="11" t="str">
        <f aca="false">IF(A77="","",SUMIFS(T_Penerimaan!$K$6:$K$1005,T_Penerimaan!$H$6:$H$1005,A77,T_Penerimaan!$M$6:$M$1005,1))</f>
        <v/>
      </c>
      <c r="Q77" s="11" t="str">
        <f aca="false">IF(A77="","",IF(D77+O77&lt;=0,0,(E77+P77)/(D77+O77)))</f>
        <v/>
      </c>
      <c r="R77" s="11" t="str">
        <f aca="false">IF(A77="","",SUMIFS(T_Penjualan!$H$6:$H$1505,T_Penjualan!$G$6:$G$1505,A77,T_Penjualan!$P$6:$P$1505,1))</f>
        <v/>
      </c>
      <c r="S77" s="12" t="str">
        <f aca="false">IF(A77="","",IF(I_Parameter!$C$4&lt;=I_Parameter!$C$5,D77,IF(I_Parameter!$C$4&gt;I_Parameter!$C$6,N77,INDEX(H77:N77,I_Parameter!$C$4-I_Parameter!$C$5))))</f>
        <v/>
      </c>
      <c r="T77" s="11" t="str">
        <f aca="false">IF(A77="","",SUMIFS(T_Penjualan!$H$6:$H$1505,T_Penjualan!$G$6:$G$1505,A77,T_Penjualan!$B$6:$B$1505,"Order",T_Penjualan!$A$6:$A$1505,"&gt;="&amp;I_Parameter!$C$4,T_Penjualan!$A$6:$A$1505,"&lt;="&amp;I_Parameter!$C$6))</f>
        <v/>
      </c>
      <c r="U77" s="11" t="str">
        <f aca="false">IF(A77="","",S77-T77)</f>
        <v/>
      </c>
      <c r="V77" s="11" t="str">
        <f aca="false">IF(A77="","",MIN(H77:N77))</f>
        <v/>
      </c>
      <c r="W77" s="10" t="str">
        <f aca="false">IF(A77="","",INDEX(I_Master!$F$6:$F$85,MATCH(A77,I_Master!$A$6:$A$85,0)))</f>
        <v/>
      </c>
      <c r="X77" s="11" t="str">
        <f aca="false">IF(OR(A77="",W77=""),"",W77-Q77)</f>
        <v/>
      </c>
      <c r="Y77" s="11" t="str">
        <f aca="false">IF(A77="","",S77*Q77)</f>
        <v/>
      </c>
      <c r="Z77" s="9" t="str">
        <f aca="false">IF(A77="","",IF(V77&lt;-0.5,"KURANG: stok minus "&amp;ROUND(-V77,0)&amp;" kg — beli/potong atau geser order",IF(AND(S77&gt;0.5,T77&lt;=0,G77&gt;0.5),"JUAL: "&amp;ROUND(S77,0)&amp;" kg tanpa order, sebagian &gt; batas umur",IF(AND(S77&gt;0.5,T77&lt;=0),"JUAL: "&amp;ROUND(S77,0)&amp;" kg tanpa order minggu ini",IF(G77&gt;0.5,"PERHATIAN: "&amp;ROUND(G77,0)&amp;" kg di atas batas umur",IF(AND(X77&lt;&gt;"",X77&lt;0,T77&gt;0),"Order di bawah biaya rata-rata — cek harga","-"))))))</f>
        <v/>
      </c>
    </row>
    <row r="78" customFormat="false" ht="15" hidden="false" customHeight="false" outlineLevel="0" collapsed="false">
      <c r="A78" s="34" t="str">
        <f aca="false">IF(I_Master!A78="","",I_Master!A78)</f>
        <v/>
      </c>
      <c r="B78" s="34" t="str">
        <f aca="false">IF(A78="","",INDEX(I_Master!$E$6:$E$85,MATCH(A78,I_Master!$A$6:$A$85,0)))</f>
        <v/>
      </c>
      <c r="C78" s="34" t="str">
        <f aca="false">IF(A78="","",INDEX(I_Master!$B$6:$B$85,MATCH(A78,I_Master!$A$6:$A$85,0)))</f>
        <v/>
      </c>
      <c r="D78" s="10" t="str">
        <f aca="false">IF(A78="","",SUMIFS(I_Stok_Awal!$D$6:$D$305,I_Stok_Awal!$C$6:$C$305,A78))</f>
        <v/>
      </c>
      <c r="E78" s="10" t="str">
        <f aca="false">IF(A78="","",SUMIFS(I_Stok_Awal!$E$6:$E$305,I_Stok_Awal!$C$6:$C$305,A78))</f>
        <v/>
      </c>
      <c r="F78" s="35" t="str">
        <f aca="false">IF(OR(A78="",D78&lt;=0),"",SUMPRODUCT((I_Stok_Awal!$C$6:$C$305=A78)*I_Stok_Awal!$D$6:$D$305*I_Stok_Awal!$F$6:$F$305)/D78)</f>
        <v/>
      </c>
      <c r="G78" s="10" t="str">
        <f aca="false">IF(A78="","",SUMIFS(I_Stok_Awal!$G$6:$G$305,I_Stok_Awal!$C$6:$C$305,A78))</f>
        <v/>
      </c>
      <c r="H78" s="11" t="str">
        <f aca="false">IF($A78="","",D78+SUMIFS(T_Penerimaan!$I$6:$I$1005,T_Penerimaan!$H$6:$H$1005,$A78,T_Penerimaan!$A$6:$A$1005,H$4,T_Penerimaan!$M$6:$M$1005,1)-SUMIFS(T_Penjualan!$H$6:$H$1505,T_Penjualan!$G$6:$G$1505,$A78,T_Penjualan!$A$6:$A$1505,H$4,T_Penjualan!$P$6:$P$1505,1))</f>
        <v/>
      </c>
      <c r="I78" s="11" t="str">
        <f aca="false">IF($A78="","",H78+SUMIFS(T_Penerimaan!$I$6:$I$1005,T_Penerimaan!$H$6:$H$1005,$A78,T_Penerimaan!$A$6:$A$1005,I$4,T_Penerimaan!$M$6:$M$1005,1)-SUMIFS(T_Penjualan!$H$6:$H$1505,T_Penjualan!$G$6:$G$1505,$A78,T_Penjualan!$A$6:$A$1505,I$4,T_Penjualan!$P$6:$P$1505,1))</f>
        <v/>
      </c>
      <c r="J78" s="11" t="str">
        <f aca="false">IF($A78="","",I78+SUMIFS(T_Penerimaan!$I$6:$I$1005,T_Penerimaan!$H$6:$H$1005,$A78,T_Penerimaan!$A$6:$A$1005,J$4,T_Penerimaan!$M$6:$M$1005,1)-SUMIFS(T_Penjualan!$H$6:$H$1505,T_Penjualan!$G$6:$G$1505,$A78,T_Penjualan!$A$6:$A$1505,J$4,T_Penjualan!$P$6:$P$1505,1))</f>
        <v/>
      </c>
      <c r="K78" s="11" t="str">
        <f aca="false">IF($A78="","",J78+SUMIFS(T_Penerimaan!$I$6:$I$1005,T_Penerimaan!$H$6:$H$1005,$A78,T_Penerimaan!$A$6:$A$1005,K$4,T_Penerimaan!$M$6:$M$1005,1)-SUMIFS(T_Penjualan!$H$6:$H$1505,T_Penjualan!$G$6:$G$1505,$A78,T_Penjualan!$A$6:$A$1505,K$4,T_Penjualan!$P$6:$P$1505,1))</f>
        <v/>
      </c>
      <c r="L78" s="11" t="str">
        <f aca="false">IF($A78="","",K78+SUMIFS(T_Penerimaan!$I$6:$I$1005,T_Penerimaan!$H$6:$H$1005,$A78,T_Penerimaan!$A$6:$A$1005,L$4,T_Penerimaan!$M$6:$M$1005,1)-SUMIFS(T_Penjualan!$H$6:$H$1505,T_Penjualan!$G$6:$G$1505,$A78,T_Penjualan!$A$6:$A$1505,L$4,T_Penjualan!$P$6:$P$1505,1))</f>
        <v/>
      </c>
      <c r="M78" s="11" t="str">
        <f aca="false">IF($A78="","",L78+SUMIFS(T_Penerimaan!$I$6:$I$1005,T_Penerimaan!$H$6:$H$1005,$A78,T_Penerimaan!$A$6:$A$1005,M$4,T_Penerimaan!$M$6:$M$1005,1)-SUMIFS(T_Penjualan!$H$6:$H$1505,T_Penjualan!$G$6:$G$1505,$A78,T_Penjualan!$A$6:$A$1505,M$4,T_Penjualan!$P$6:$P$1505,1))</f>
        <v/>
      </c>
      <c r="N78" s="11" t="str">
        <f aca="false">IF($A78="","",M78+SUMIFS(T_Penerimaan!$I$6:$I$1005,T_Penerimaan!$H$6:$H$1005,$A78,T_Penerimaan!$A$6:$A$1005,N$4,T_Penerimaan!$M$6:$M$1005,1)-SUMIFS(T_Penjualan!$H$6:$H$1505,T_Penjualan!$G$6:$G$1505,$A78,T_Penjualan!$A$6:$A$1505,N$4,T_Penjualan!$P$6:$P$1505,1))</f>
        <v/>
      </c>
      <c r="O78" s="11" t="str">
        <f aca="false">IF(A78="","",SUMIFS(T_Penerimaan!$I$6:$I$1005,T_Penerimaan!$H$6:$H$1005,A78,T_Penerimaan!$M$6:$M$1005,1))</f>
        <v/>
      </c>
      <c r="P78" s="11" t="str">
        <f aca="false">IF(A78="","",SUMIFS(T_Penerimaan!$K$6:$K$1005,T_Penerimaan!$H$6:$H$1005,A78,T_Penerimaan!$M$6:$M$1005,1))</f>
        <v/>
      </c>
      <c r="Q78" s="11" t="str">
        <f aca="false">IF(A78="","",IF(D78+O78&lt;=0,0,(E78+P78)/(D78+O78)))</f>
        <v/>
      </c>
      <c r="R78" s="11" t="str">
        <f aca="false">IF(A78="","",SUMIFS(T_Penjualan!$H$6:$H$1505,T_Penjualan!$G$6:$G$1505,A78,T_Penjualan!$P$6:$P$1505,1))</f>
        <v/>
      </c>
      <c r="S78" s="12" t="str">
        <f aca="false">IF(A78="","",IF(I_Parameter!$C$4&lt;=I_Parameter!$C$5,D78,IF(I_Parameter!$C$4&gt;I_Parameter!$C$6,N78,INDEX(H78:N78,I_Parameter!$C$4-I_Parameter!$C$5))))</f>
        <v/>
      </c>
      <c r="T78" s="11" t="str">
        <f aca="false">IF(A78="","",SUMIFS(T_Penjualan!$H$6:$H$1505,T_Penjualan!$G$6:$G$1505,A78,T_Penjualan!$B$6:$B$1505,"Order",T_Penjualan!$A$6:$A$1505,"&gt;="&amp;I_Parameter!$C$4,T_Penjualan!$A$6:$A$1505,"&lt;="&amp;I_Parameter!$C$6))</f>
        <v/>
      </c>
      <c r="U78" s="11" t="str">
        <f aca="false">IF(A78="","",S78-T78)</f>
        <v/>
      </c>
      <c r="V78" s="11" t="str">
        <f aca="false">IF(A78="","",MIN(H78:N78))</f>
        <v/>
      </c>
      <c r="W78" s="10" t="str">
        <f aca="false">IF(A78="","",INDEX(I_Master!$F$6:$F$85,MATCH(A78,I_Master!$A$6:$A$85,0)))</f>
        <v/>
      </c>
      <c r="X78" s="11" t="str">
        <f aca="false">IF(OR(A78="",W78=""),"",W78-Q78)</f>
        <v/>
      </c>
      <c r="Y78" s="11" t="str">
        <f aca="false">IF(A78="","",S78*Q78)</f>
        <v/>
      </c>
      <c r="Z78" s="9" t="str">
        <f aca="false">IF(A78="","",IF(V78&lt;-0.5,"KURANG: stok minus "&amp;ROUND(-V78,0)&amp;" kg — beli/potong atau geser order",IF(AND(S78&gt;0.5,T78&lt;=0,G78&gt;0.5),"JUAL: "&amp;ROUND(S78,0)&amp;" kg tanpa order, sebagian &gt; batas umur",IF(AND(S78&gt;0.5,T78&lt;=0),"JUAL: "&amp;ROUND(S78,0)&amp;" kg tanpa order minggu ini",IF(G78&gt;0.5,"PERHATIAN: "&amp;ROUND(G78,0)&amp;" kg di atas batas umur",IF(AND(X78&lt;&gt;"",X78&lt;0,T78&gt;0),"Order di bawah biaya rata-rata — cek harga","-"))))))</f>
        <v/>
      </c>
    </row>
    <row r="79" customFormat="false" ht="15" hidden="false" customHeight="false" outlineLevel="0" collapsed="false">
      <c r="A79" s="34" t="str">
        <f aca="false">IF(I_Master!A79="","",I_Master!A79)</f>
        <v/>
      </c>
      <c r="B79" s="34" t="str">
        <f aca="false">IF(A79="","",INDEX(I_Master!$E$6:$E$85,MATCH(A79,I_Master!$A$6:$A$85,0)))</f>
        <v/>
      </c>
      <c r="C79" s="34" t="str">
        <f aca="false">IF(A79="","",INDEX(I_Master!$B$6:$B$85,MATCH(A79,I_Master!$A$6:$A$85,0)))</f>
        <v/>
      </c>
      <c r="D79" s="10" t="str">
        <f aca="false">IF(A79="","",SUMIFS(I_Stok_Awal!$D$6:$D$305,I_Stok_Awal!$C$6:$C$305,A79))</f>
        <v/>
      </c>
      <c r="E79" s="10" t="str">
        <f aca="false">IF(A79="","",SUMIFS(I_Stok_Awal!$E$6:$E$305,I_Stok_Awal!$C$6:$C$305,A79))</f>
        <v/>
      </c>
      <c r="F79" s="35" t="str">
        <f aca="false">IF(OR(A79="",D79&lt;=0),"",SUMPRODUCT((I_Stok_Awal!$C$6:$C$305=A79)*I_Stok_Awal!$D$6:$D$305*I_Stok_Awal!$F$6:$F$305)/D79)</f>
        <v/>
      </c>
      <c r="G79" s="10" t="str">
        <f aca="false">IF(A79="","",SUMIFS(I_Stok_Awal!$G$6:$G$305,I_Stok_Awal!$C$6:$C$305,A79))</f>
        <v/>
      </c>
      <c r="H79" s="11" t="str">
        <f aca="false">IF($A79="","",D79+SUMIFS(T_Penerimaan!$I$6:$I$1005,T_Penerimaan!$H$6:$H$1005,$A79,T_Penerimaan!$A$6:$A$1005,H$4,T_Penerimaan!$M$6:$M$1005,1)-SUMIFS(T_Penjualan!$H$6:$H$1505,T_Penjualan!$G$6:$G$1505,$A79,T_Penjualan!$A$6:$A$1505,H$4,T_Penjualan!$P$6:$P$1505,1))</f>
        <v/>
      </c>
      <c r="I79" s="11" t="str">
        <f aca="false">IF($A79="","",H79+SUMIFS(T_Penerimaan!$I$6:$I$1005,T_Penerimaan!$H$6:$H$1005,$A79,T_Penerimaan!$A$6:$A$1005,I$4,T_Penerimaan!$M$6:$M$1005,1)-SUMIFS(T_Penjualan!$H$6:$H$1505,T_Penjualan!$G$6:$G$1505,$A79,T_Penjualan!$A$6:$A$1505,I$4,T_Penjualan!$P$6:$P$1505,1))</f>
        <v/>
      </c>
      <c r="J79" s="11" t="str">
        <f aca="false">IF($A79="","",I79+SUMIFS(T_Penerimaan!$I$6:$I$1005,T_Penerimaan!$H$6:$H$1005,$A79,T_Penerimaan!$A$6:$A$1005,J$4,T_Penerimaan!$M$6:$M$1005,1)-SUMIFS(T_Penjualan!$H$6:$H$1505,T_Penjualan!$G$6:$G$1505,$A79,T_Penjualan!$A$6:$A$1505,J$4,T_Penjualan!$P$6:$P$1505,1))</f>
        <v/>
      </c>
      <c r="K79" s="11" t="str">
        <f aca="false">IF($A79="","",J79+SUMIFS(T_Penerimaan!$I$6:$I$1005,T_Penerimaan!$H$6:$H$1005,$A79,T_Penerimaan!$A$6:$A$1005,K$4,T_Penerimaan!$M$6:$M$1005,1)-SUMIFS(T_Penjualan!$H$6:$H$1505,T_Penjualan!$G$6:$G$1505,$A79,T_Penjualan!$A$6:$A$1505,K$4,T_Penjualan!$P$6:$P$1505,1))</f>
        <v/>
      </c>
      <c r="L79" s="11" t="str">
        <f aca="false">IF($A79="","",K79+SUMIFS(T_Penerimaan!$I$6:$I$1005,T_Penerimaan!$H$6:$H$1005,$A79,T_Penerimaan!$A$6:$A$1005,L$4,T_Penerimaan!$M$6:$M$1005,1)-SUMIFS(T_Penjualan!$H$6:$H$1505,T_Penjualan!$G$6:$G$1505,$A79,T_Penjualan!$A$6:$A$1505,L$4,T_Penjualan!$P$6:$P$1505,1))</f>
        <v/>
      </c>
      <c r="M79" s="11" t="str">
        <f aca="false">IF($A79="","",L79+SUMIFS(T_Penerimaan!$I$6:$I$1005,T_Penerimaan!$H$6:$H$1005,$A79,T_Penerimaan!$A$6:$A$1005,M$4,T_Penerimaan!$M$6:$M$1005,1)-SUMIFS(T_Penjualan!$H$6:$H$1505,T_Penjualan!$G$6:$G$1505,$A79,T_Penjualan!$A$6:$A$1505,M$4,T_Penjualan!$P$6:$P$1505,1))</f>
        <v/>
      </c>
      <c r="N79" s="11" t="str">
        <f aca="false">IF($A79="","",M79+SUMIFS(T_Penerimaan!$I$6:$I$1005,T_Penerimaan!$H$6:$H$1005,$A79,T_Penerimaan!$A$6:$A$1005,N$4,T_Penerimaan!$M$6:$M$1005,1)-SUMIFS(T_Penjualan!$H$6:$H$1505,T_Penjualan!$G$6:$G$1505,$A79,T_Penjualan!$A$6:$A$1505,N$4,T_Penjualan!$P$6:$P$1505,1))</f>
        <v/>
      </c>
      <c r="O79" s="11" t="str">
        <f aca="false">IF(A79="","",SUMIFS(T_Penerimaan!$I$6:$I$1005,T_Penerimaan!$H$6:$H$1005,A79,T_Penerimaan!$M$6:$M$1005,1))</f>
        <v/>
      </c>
      <c r="P79" s="11" t="str">
        <f aca="false">IF(A79="","",SUMIFS(T_Penerimaan!$K$6:$K$1005,T_Penerimaan!$H$6:$H$1005,A79,T_Penerimaan!$M$6:$M$1005,1))</f>
        <v/>
      </c>
      <c r="Q79" s="11" t="str">
        <f aca="false">IF(A79="","",IF(D79+O79&lt;=0,0,(E79+P79)/(D79+O79)))</f>
        <v/>
      </c>
      <c r="R79" s="11" t="str">
        <f aca="false">IF(A79="","",SUMIFS(T_Penjualan!$H$6:$H$1505,T_Penjualan!$G$6:$G$1505,A79,T_Penjualan!$P$6:$P$1505,1))</f>
        <v/>
      </c>
      <c r="S79" s="12" t="str">
        <f aca="false">IF(A79="","",IF(I_Parameter!$C$4&lt;=I_Parameter!$C$5,D79,IF(I_Parameter!$C$4&gt;I_Parameter!$C$6,N79,INDEX(H79:N79,I_Parameter!$C$4-I_Parameter!$C$5))))</f>
        <v/>
      </c>
      <c r="T79" s="11" t="str">
        <f aca="false">IF(A79="","",SUMIFS(T_Penjualan!$H$6:$H$1505,T_Penjualan!$G$6:$G$1505,A79,T_Penjualan!$B$6:$B$1505,"Order",T_Penjualan!$A$6:$A$1505,"&gt;="&amp;I_Parameter!$C$4,T_Penjualan!$A$6:$A$1505,"&lt;="&amp;I_Parameter!$C$6))</f>
        <v/>
      </c>
      <c r="U79" s="11" t="str">
        <f aca="false">IF(A79="","",S79-T79)</f>
        <v/>
      </c>
      <c r="V79" s="11" t="str">
        <f aca="false">IF(A79="","",MIN(H79:N79))</f>
        <v/>
      </c>
      <c r="W79" s="10" t="str">
        <f aca="false">IF(A79="","",INDEX(I_Master!$F$6:$F$85,MATCH(A79,I_Master!$A$6:$A$85,0)))</f>
        <v/>
      </c>
      <c r="X79" s="11" t="str">
        <f aca="false">IF(OR(A79="",W79=""),"",W79-Q79)</f>
        <v/>
      </c>
      <c r="Y79" s="11" t="str">
        <f aca="false">IF(A79="","",S79*Q79)</f>
        <v/>
      </c>
      <c r="Z79" s="9" t="str">
        <f aca="false">IF(A79="","",IF(V79&lt;-0.5,"KURANG: stok minus "&amp;ROUND(-V79,0)&amp;" kg — beli/potong atau geser order",IF(AND(S79&gt;0.5,T79&lt;=0,G79&gt;0.5),"JUAL: "&amp;ROUND(S79,0)&amp;" kg tanpa order, sebagian &gt; batas umur",IF(AND(S79&gt;0.5,T79&lt;=0),"JUAL: "&amp;ROUND(S79,0)&amp;" kg tanpa order minggu ini",IF(G79&gt;0.5,"PERHATIAN: "&amp;ROUND(G79,0)&amp;" kg di atas batas umur",IF(AND(X79&lt;&gt;"",X79&lt;0,T79&gt;0),"Order di bawah biaya rata-rata — cek harga","-"))))))</f>
        <v/>
      </c>
    </row>
    <row r="80" customFormat="false" ht="15" hidden="false" customHeight="false" outlineLevel="0" collapsed="false">
      <c r="A80" s="34" t="str">
        <f aca="false">IF(I_Master!A80="","",I_Master!A80)</f>
        <v/>
      </c>
      <c r="B80" s="34" t="str">
        <f aca="false">IF(A80="","",INDEX(I_Master!$E$6:$E$85,MATCH(A80,I_Master!$A$6:$A$85,0)))</f>
        <v/>
      </c>
      <c r="C80" s="34" t="str">
        <f aca="false">IF(A80="","",INDEX(I_Master!$B$6:$B$85,MATCH(A80,I_Master!$A$6:$A$85,0)))</f>
        <v/>
      </c>
      <c r="D80" s="10" t="str">
        <f aca="false">IF(A80="","",SUMIFS(I_Stok_Awal!$D$6:$D$305,I_Stok_Awal!$C$6:$C$305,A80))</f>
        <v/>
      </c>
      <c r="E80" s="10" t="str">
        <f aca="false">IF(A80="","",SUMIFS(I_Stok_Awal!$E$6:$E$305,I_Stok_Awal!$C$6:$C$305,A80))</f>
        <v/>
      </c>
      <c r="F80" s="35" t="str">
        <f aca="false">IF(OR(A80="",D80&lt;=0),"",SUMPRODUCT((I_Stok_Awal!$C$6:$C$305=A80)*I_Stok_Awal!$D$6:$D$305*I_Stok_Awal!$F$6:$F$305)/D80)</f>
        <v/>
      </c>
      <c r="G80" s="10" t="str">
        <f aca="false">IF(A80="","",SUMIFS(I_Stok_Awal!$G$6:$G$305,I_Stok_Awal!$C$6:$C$305,A80))</f>
        <v/>
      </c>
      <c r="H80" s="11" t="str">
        <f aca="false">IF($A80="","",D80+SUMIFS(T_Penerimaan!$I$6:$I$1005,T_Penerimaan!$H$6:$H$1005,$A80,T_Penerimaan!$A$6:$A$1005,H$4,T_Penerimaan!$M$6:$M$1005,1)-SUMIFS(T_Penjualan!$H$6:$H$1505,T_Penjualan!$G$6:$G$1505,$A80,T_Penjualan!$A$6:$A$1505,H$4,T_Penjualan!$P$6:$P$1505,1))</f>
        <v/>
      </c>
      <c r="I80" s="11" t="str">
        <f aca="false">IF($A80="","",H80+SUMIFS(T_Penerimaan!$I$6:$I$1005,T_Penerimaan!$H$6:$H$1005,$A80,T_Penerimaan!$A$6:$A$1005,I$4,T_Penerimaan!$M$6:$M$1005,1)-SUMIFS(T_Penjualan!$H$6:$H$1505,T_Penjualan!$G$6:$G$1505,$A80,T_Penjualan!$A$6:$A$1505,I$4,T_Penjualan!$P$6:$P$1505,1))</f>
        <v/>
      </c>
      <c r="J80" s="11" t="str">
        <f aca="false">IF($A80="","",I80+SUMIFS(T_Penerimaan!$I$6:$I$1005,T_Penerimaan!$H$6:$H$1005,$A80,T_Penerimaan!$A$6:$A$1005,J$4,T_Penerimaan!$M$6:$M$1005,1)-SUMIFS(T_Penjualan!$H$6:$H$1505,T_Penjualan!$G$6:$G$1505,$A80,T_Penjualan!$A$6:$A$1505,J$4,T_Penjualan!$P$6:$P$1505,1))</f>
        <v/>
      </c>
      <c r="K80" s="11" t="str">
        <f aca="false">IF($A80="","",J80+SUMIFS(T_Penerimaan!$I$6:$I$1005,T_Penerimaan!$H$6:$H$1005,$A80,T_Penerimaan!$A$6:$A$1005,K$4,T_Penerimaan!$M$6:$M$1005,1)-SUMIFS(T_Penjualan!$H$6:$H$1505,T_Penjualan!$G$6:$G$1505,$A80,T_Penjualan!$A$6:$A$1505,K$4,T_Penjualan!$P$6:$P$1505,1))</f>
        <v/>
      </c>
      <c r="L80" s="11" t="str">
        <f aca="false">IF($A80="","",K80+SUMIFS(T_Penerimaan!$I$6:$I$1005,T_Penerimaan!$H$6:$H$1005,$A80,T_Penerimaan!$A$6:$A$1005,L$4,T_Penerimaan!$M$6:$M$1005,1)-SUMIFS(T_Penjualan!$H$6:$H$1505,T_Penjualan!$G$6:$G$1505,$A80,T_Penjualan!$A$6:$A$1505,L$4,T_Penjualan!$P$6:$P$1505,1))</f>
        <v/>
      </c>
      <c r="M80" s="11" t="str">
        <f aca="false">IF($A80="","",L80+SUMIFS(T_Penerimaan!$I$6:$I$1005,T_Penerimaan!$H$6:$H$1005,$A80,T_Penerimaan!$A$6:$A$1005,M$4,T_Penerimaan!$M$6:$M$1005,1)-SUMIFS(T_Penjualan!$H$6:$H$1505,T_Penjualan!$G$6:$G$1505,$A80,T_Penjualan!$A$6:$A$1505,M$4,T_Penjualan!$P$6:$P$1505,1))</f>
        <v/>
      </c>
      <c r="N80" s="11" t="str">
        <f aca="false">IF($A80="","",M80+SUMIFS(T_Penerimaan!$I$6:$I$1005,T_Penerimaan!$H$6:$H$1005,$A80,T_Penerimaan!$A$6:$A$1005,N$4,T_Penerimaan!$M$6:$M$1005,1)-SUMIFS(T_Penjualan!$H$6:$H$1505,T_Penjualan!$G$6:$G$1505,$A80,T_Penjualan!$A$6:$A$1505,N$4,T_Penjualan!$P$6:$P$1505,1))</f>
        <v/>
      </c>
      <c r="O80" s="11" t="str">
        <f aca="false">IF(A80="","",SUMIFS(T_Penerimaan!$I$6:$I$1005,T_Penerimaan!$H$6:$H$1005,A80,T_Penerimaan!$M$6:$M$1005,1))</f>
        <v/>
      </c>
      <c r="P80" s="11" t="str">
        <f aca="false">IF(A80="","",SUMIFS(T_Penerimaan!$K$6:$K$1005,T_Penerimaan!$H$6:$H$1005,A80,T_Penerimaan!$M$6:$M$1005,1))</f>
        <v/>
      </c>
      <c r="Q80" s="11" t="str">
        <f aca="false">IF(A80="","",IF(D80+O80&lt;=0,0,(E80+P80)/(D80+O80)))</f>
        <v/>
      </c>
      <c r="R80" s="11" t="str">
        <f aca="false">IF(A80="","",SUMIFS(T_Penjualan!$H$6:$H$1505,T_Penjualan!$G$6:$G$1505,A80,T_Penjualan!$P$6:$P$1505,1))</f>
        <v/>
      </c>
      <c r="S80" s="12" t="str">
        <f aca="false">IF(A80="","",IF(I_Parameter!$C$4&lt;=I_Parameter!$C$5,D80,IF(I_Parameter!$C$4&gt;I_Parameter!$C$6,N80,INDEX(H80:N80,I_Parameter!$C$4-I_Parameter!$C$5))))</f>
        <v/>
      </c>
      <c r="T80" s="11" t="str">
        <f aca="false">IF(A80="","",SUMIFS(T_Penjualan!$H$6:$H$1505,T_Penjualan!$G$6:$G$1505,A80,T_Penjualan!$B$6:$B$1505,"Order",T_Penjualan!$A$6:$A$1505,"&gt;="&amp;I_Parameter!$C$4,T_Penjualan!$A$6:$A$1505,"&lt;="&amp;I_Parameter!$C$6))</f>
        <v/>
      </c>
      <c r="U80" s="11" t="str">
        <f aca="false">IF(A80="","",S80-T80)</f>
        <v/>
      </c>
      <c r="V80" s="11" t="str">
        <f aca="false">IF(A80="","",MIN(H80:N80))</f>
        <v/>
      </c>
      <c r="W80" s="10" t="str">
        <f aca="false">IF(A80="","",INDEX(I_Master!$F$6:$F$85,MATCH(A80,I_Master!$A$6:$A$85,0)))</f>
        <v/>
      </c>
      <c r="X80" s="11" t="str">
        <f aca="false">IF(OR(A80="",W80=""),"",W80-Q80)</f>
        <v/>
      </c>
      <c r="Y80" s="11" t="str">
        <f aca="false">IF(A80="","",S80*Q80)</f>
        <v/>
      </c>
      <c r="Z80" s="9" t="str">
        <f aca="false">IF(A80="","",IF(V80&lt;-0.5,"KURANG: stok minus "&amp;ROUND(-V80,0)&amp;" kg — beli/potong atau geser order",IF(AND(S80&gt;0.5,T80&lt;=0,G80&gt;0.5),"JUAL: "&amp;ROUND(S80,0)&amp;" kg tanpa order, sebagian &gt; batas umur",IF(AND(S80&gt;0.5,T80&lt;=0),"JUAL: "&amp;ROUND(S80,0)&amp;" kg tanpa order minggu ini",IF(G80&gt;0.5,"PERHATIAN: "&amp;ROUND(G80,0)&amp;" kg di atas batas umur",IF(AND(X80&lt;&gt;"",X80&lt;0,T80&gt;0),"Order di bawah biaya rata-rata — cek harga","-"))))))</f>
        <v/>
      </c>
    </row>
    <row r="81" customFormat="false" ht="15" hidden="false" customHeight="false" outlineLevel="0" collapsed="false">
      <c r="A81" s="34" t="str">
        <f aca="false">IF(I_Master!A81="","",I_Master!A81)</f>
        <v/>
      </c>
      <c r="B81" s="34" t="str">
        <f aca="false">IF(A81="","",INDEX(I_Master!$E$6:$E$85,MATCH(A81,I_Master!$A$6:$A$85,0)))</f>
        <v/>
      </c>
      <c r="C81" s="34" t="str">
        <f aca="false">IF(A81="","",INDEX(I_Master!$B$6:$B$85,MATCH(A81,I_Master!$A$6:$A$85,0)))</f>
        <v/>
      </c>
      <c r="D81" s="10" t="str">
        <f aca="false">IF(A81="","",SUMIFS(I_Stok_Awal!$D$6:$D$305,I_Stok_Awal!$C$6:$C$305,A81))</f>
        <v/>
      </c>
      <c r="E81" s="10" t="str">
        <f aca="false">IF(A81="","",SUMIFS(I_Stok_Awal!$E$6:$E$305,I_Stok_Awal!$C$6:$C$305,A81))</f>
        <v/>
      </c>
      <c r="F81" s="35" t="str">
        <f aca="false">IF(OR(A81="",D81&lt;=0),"",SUMPRODUCT((I_Stok_Awal!$C$6:$C$305=A81)*I_Stok_Awal!$D$6:$D$305*I_Stok_Awal!$F$6:$F$305)/D81)</f>
        <v/>
      </c>
      <c r="G81" s="10" t="str">
        <f aca="false">IF(A81="","",SUMIFS(I_Stok_Awal!$G$6:$G$305,I_Stok_Awal!$C$6:$C$305,A81))</f>
        <v/>
      </c>
      <c r="H81" s="11" t="str">
        <f aca="false">IF($A81="","",D81+SUMIFS(T_Penerimaan!$I$6:$I$1005,T_Penerimaan!$H$6:$H$1005,$A81,T_Penerimaan!$A$6:$A$1005,H$4,T_Penerimaan!$M$6:$M$1005,1)-SUMIFS(T_Penjualan!$H$6:$H$1505,T_Penjualan!$G$6:$G$1505,$A81,T_Penjualan!$A$6:$A$1505,H$4,T_Penjualan!$P$6:$P$1505,1))</f>
        <v/>
      </c>
      <c r="I81" s="11" t="str">
        <f aca="false">IF($A81="","",H81+SUMIFS(T_Penerimaan!$I$6:$I$1005,T_Penerimaan!$H$6:$H$1005,$A81,T_Penerimaan!$A$6:$A$1005,I$4,T_Penerimaan!$M$6:$M$1005,1)-SUMIFS(T_Penjualan!$H$6:$H$1505,T_Penjualan!$G$6:$G$1505,$A81,T_Penjualan!$A$6:$A$1505,I$4,T_Penjualan!$P$6:$P$1505,1))</f>
        <v/>
      </c>
      <c r="J81" s="11" t="str">
        <f aca="false">IF($A81="","",I81+SUMIFS(T_Penerimaan!$I$6:$I$1005,T_Penerimaan!$H$6:$H$1005,$A81,T_Penerimaan!$A$6:$A$1005,J$4,T_Penerimaan!$M$6:$M$1005,1)-SUMIFS(T_Penjualan!$H$6:$H$1505,T_Penjualan!$G$6:$G$1505,$A81,T_Penjualan!$A$6:$A$1505,J$4,T_Penjualan!$P$6:$P$1505,1))</f>
        <v/>
      </c>
      <c r="K81" s="11" t="str">
        <f aca="false">IF($A81="","",J81+SUMIFS(T_Penerimaan!$I$6:$I$1005,T_Penerimaan!$H$6:$H$1005,$A81,T_Penerimaan!$A$6:$A$1005,K$4,T_Penerimaan!$M$6:$M$1005,1)-SUMIFS(T_Penjualan!$H$6:$H$1505,T_Penjualan!$G$6:$G$1505,$A81,T_Penjualan!$A$6:$A$1505,K$4,T_Penjualan!$P$6:$P$1505,1))</f>
        <v/>
      </c>
      <c r="L81" s="11" t="str">
        <f aca="false">IF($A81="","",K81+SUMIFS(T_Penerimaan!$I$6:$I$1005,T_Penerimaan!$H$6:$H$1005,$A81,T_Penerimaan!$A$6:$A$1005,L$4,T_Penerimaan!$M$6:$M$1005,1)-SUMIFS(T_Penjualan!$H$6:$H$1505,T_Penjualan!$G$6:$G$1505,$A81,T_Penjualan!$A$6:$A$1505,L$4,T_Penjualan!$P$6:$P$1505,1))</f>
        <v/>
      </c>
      <c r="M81" s="11" t="str">
        <f aca="false">IF($A81="","",L81+SUMIFS(T_Penerimaan!$I$6:$I$1005,T_Penerimaan!$H$6:$H$1005,$A81,T_Penerimaan!$A$6:$A$1005,M$4,T_Penerimaan!$M$6:$M$1005,1)-SUMIFS(T_Penjualan!$H$6:$H$1505,T_Penjualan!$G$6:$G$1505,$A81,T_Penjualan!$A$6:$A$1505,M$4,T_Penjualan!$P$6:$P$1505,1))</f>
        <v/>
      </c>
      <c r="N81" s="11" t="str">
        <f aca="false">IF($A81="","",M81+SUMIFS(T_Penerimaan!$I$6:$I$1005,T_Penerimaan!$H$6:$H$1005,$A81,T_Penerimaan!$A$6:$A$1005,N$4,T_Penerimaan!$M$6:$M$1005,1)-SUMIFS(T_Penjualan!$H$6:$H$1505,T_Penjualan!$G$6:$G$1505,$A81,T_Penjualan!$A$6:$A$1505,N$4,T_Penjualan!$P$6:$P$1505,1))</f>
        <v/>
      </c>
      <c r="O81" s="11" t="str">
        <f aca="false">IF(A81="","",SUMIFS(T_Penerimaan!$I$6:$I$1005,T_Penerimaan!$H$6:$H$1005,A81,T_Penerimaan!$M$6:$M$1005,1))</f>
        <v/>
      </c>
      <c r="P81" s="11" t="str">
        <f aca="false">IF(A81="","",SUMIFS(T_Penerimaan!$K$6:$K$1005,T_Penerimaan!$H$6:$H$1005,A81,T_Penerimaan!$M$6:$M$1005,1))</f>
        <v/>
      </c>
      <c r="Q81" s="11" t="str">
        <f aca="false">IF(A81="","",IF(D81+O81&lt;=0,0,(E81+P81)/(D81+O81)))</f>
        <v/>
      </c>
      <c r="R81" s="11" t="str">
        <f aca="false">IF(A81="","",SUMIFS(T_Penjualan!$H$6:$H$1505,T_Penjualan!$G$6:$G$1505,A81,T_Penjualan!$P$6:$P$1505,1))</f>
        <v/>
      </c>
      <c r="S81" s="12" t="str">
        <f aca="false">IF(A81="","",IF(I_Parameter!$C$4&lt;=I_Parameter!$C$5,D81,IF(I_Parameter!$C$4&gt;I_Parameter!$C$6,N81,INDEX(H81:N81,I_Parameter!$C$4-I_Parameter!$C$5))))</f>
        <v/>
      </c>
      <c r="T81" s="11" t="str">
        <f aca="false">IF(A81="","",SUMIFS(T_Penjualan!$H$6:$H$1505,T_Penjualan!$G$6:$G$1505,A81,T_Penjualan!$B$6:$B$1505,"Order",T_Penjualan!$A$6:$A$1505,"&gt;="&amp;I_Parameter!$C$4,T_Penjualan!$A$6:$A$1505,"&lt;="&amp;I_Parameter!$C$6))</f>
        <v/>
      </c>
      <c r="U81" s="11" t="str">
        <f aca="false">IF(A81="","",S81-T81)</f>
        <v/>
      </c>
      <c r="V81" s="11" t="str">
        <f aca="false">IF(A81="","",MIN(H81:N81))</f>
        <v/>
      </c>
      <c r="W81" s="10" t="str">
        <f aca="false">IF(A81="","",INDEX(I_Master!$F$6:$F$85,MATCH(A81,I_Master!$A$6:$A$85,0)))</f>
        <v/>
      </c>
      <c r="X81" s="11" t="str">
        <f aca="false">IF(OR(A81="",W81=""),"",W81-Q81)</f>
        <v/>
      </c>
      <c r="Y81" s="11" t="str">
        <f aca="false">IF(A81="","",S81*Q81)</f>
        <v/>
      </c>
      <c r="Z81" s="9" t="str">
        <f aca="false">IF(A81="","",IF(V81&lt;-0.5,"KURANG: stok minus "&amp;ROUND(-V81,0)&amp;" kg — beli/potong atau geser order",IF(AND(S81&gt;0.5,T81&lt;=0,G81&gt;0.5),"JUAL: "&amp;ROUND(S81,0)&amp;" kg tanpa order, sebagian &gt; batas umur",IF(AND(S81&gt;0.5,T81&lt;=0),"JUAL: "&amp;ROUND(S81,0)&amp;" kg tanpa order minggu ini",IF(G81&gt;0.5,"PERHATIAN: "&amp;ROUND(G81,0)&amp;" kg di atas batas umur",IF(AND(X81&lt;&gt;"",X81&lt;0,T81&gt;0),"Order di bawah biaya rata-rata — cek harga","-"))))))</f>
        <v/>
      </c>
    </row>
    <row r="82" customFormat="false" ht="15" hidden="false" customHeight="false" outlineLevel="0" collapsed="false">
      <c r="A82" s="34" t="str">
        <f aca="false">IF(I_Master!A82="","",I_Master!A82)</f>
        <v/>
      </c>
      <c r="B82" s="34" t="str">
        <f aca="false">IF(A82="","",INDEX(I_Master!$E$6:$E$85,MATCH(A82,I_Master!$A$6:$A$85,0)))</f>
        <v/>
      </c>
      <c r="C82" s="34" t="str">
        <f aca="false">IF(A82="","",INDEX(I_Master!$B$6:$B$85,MATCH(A82,I_Master!$A$6:$A$85,0)))</f>
        <v/>
      </c>
      <c r="D82" s="10" t="str">
        <f aca="false">IF(A82="","",SUMIFS(I_Stok_Awal!$D$6:$D$305,I_Stok_Awal!$C$6:$C$305,A82))</f>
        <v/>
      </c>
      <c r="E82" s="10" t="str">
        <f aca="false">IF(A82="","",SUMIFS(I_Stok_Awal!$E$6:$E$305,I_Stok_Awal!$C$6:$C$305,A82))</f>
        <v/>
      </c>
      <c r="F82" s="35" t="str">
        <f aca="false">IF(OR(A82="",D82&lt;=0),"",SUMPRODUCT((I_Stok_Awal!$C$6:$C$305=A82)*I_Stok_Awal!$D$6:$D$305*I_Stok_Awal!$F$6:$F$305)/D82)</f>
        <v/>
      </c>
      <c r="G82" s="10" t="str">
        <f aca="false">IF(A82="","",SUMIFS(I_Stok_Awal!$G$6:$G$305,I_Stok_Awal!$C$6:$C$305,A82))</f>
        <v/>
      </c>
      <c r="H82" s="11" t="str">
        <f aca="false">IF($A82="","",D82+SUMIFS(T_Penerimaan!$I$6:$I$1005,T_Penerimaan!$H$6:$H$1005,$A82,T_Penerimaan!$A$6:$A$1005,H$4,T_Penerimaan!$M$6:$M$1005,1)-SUMIFS(T_Penjualan!$H$6:$H$1505,T_Penjualan!$G$6:$G$1505,$A82,T_Penjualan!$A$6:$A$1505,H$4,T_Penjualan!$P$6:$P$1505,1))</f>
        <v/>
      </c>
      <c r="I82" s="11" t="str">
        <f aca="false">IF($A82="","",H82+SUMIFS(T_Penerimaan!$I$6:$I$1005,T_Penerimaan!$H$6:$H$1005,$A82,T_Penerimaan!$A$6:$A$1005,I$4,T_Penerimaan!$M$6:$M$1005,1)-SUMIFS(T_Penjualan!$H$6:$H$1505,T_Penjualan!$G$6:$G$1505,$A82,T_Penjualan!$A$6:$A$1505,I$4,T_Penjualan!$P$6:$P$1505,1))</f>
        <v/>
      </c>
      <c r="J82" s="11" t="str">
        <f aca="false">IF($A82="","",I82+SUMIFS(T_Penerimaan!$I$6:$I$1005,T_Penerimaan!$H$6:$H$1005,$A82,T_Penerimaan!$A$6:$A$1005,J$4,T_Penerimaan!$M$6:$M$1005,1)-SUMIFS(T_Penjualan!$H$6:$H$1505,T_Penjualan!$G$6:$G$1505,$A82,T_Penjualan!$A$6:$A$1505,J$4,T_Penjualan!$P$6:$P$1505,1))</f>
        <v/>
      </c>
      <c r="K82" s="11" t="str">
        <f aca="false">IF($A82="","",J82+SUMIFS(T_Penerimaan!$I$6:$I$1005,T_Penerimaan!$H$6:$H$1005,$A82,T_Penerimaan!$A$6:$A$1005,K$4,T_Penerimaan!$M$6:$M$1005,1)-SUMIFS(T_Penjualan!$H$6:$H$1505,T_Penjualan!$G$6:$G$1505,$A82,T_Penjualan!$A$6:$A$1505,K$4,T_Penjualan!$P$6:$P$1505,1))</f>
        <v/>
      </c>
      <c r="L82" s="11" t="str">
        <f aca="false">IF($A82="","",K82+SUMIFS(T_Penerimaan!$I$6:$I$1005,T_Penerimaan!$H$6:$H$1005,$A82,T_Penerimaan!$A$6:$A$1005,L$4,T_Penerimaan!$M$6:$M$1005,1)-SUMIFS(T_Penjualan!$H$6:$H$1505,T_Penjualan!$G$6:$G$1505,$A82,T_Penjualan!$A$6:$A$1505,L$4,T_Penjualan!$P$6:$P$1505,1))</f>
        <v/>
      </c>
      <c r="M82" s="11" t="str">
        <f aca="false">IF($A82="","",L82+SUMIFS(T_Penerimaan!$I$6:$I$1005,T_Penerimaan!$H$6:$H$1005,$A82,T_Penerimaan!$A$6:$A$1005,M$4,T_Penerimaan!$M$6:$M$1005,1)-SUMIFS(T_Penjualan!$H$6:$H$1505,T_Penjualan!$G$6:$G$1505,$A82,T_Penjualan!$A$6:$A$1505,M$4,T_Penjualan!$P$6:$P$1505,1))</f>
        <v/>
      </c>
      <c r="N82" s="11" t="str">
        <f aca="false">IF($A82="","",M82+SUMIFS(T_Penerimaan!$I$6:$I$1005,T_Penerimaan!$H$6:$H$1005,$A82,T_Penerimaan!$A$6:$A$1005,N$4,T_Penerimaan!$M$6:$M$1005,1)-SUMIFS(T_Penjualan!$H$6:$H$1505,T_Penjualan!$G$6:$G$1505,$A82,T_Penjualan!$A$6:$A$1505,N$4,T_Penjualan!$P$6:$P$1505,1))</f>
        <v/>
      </c>
      <c r="O82" s="11" t="str">
        <f aca="false">IF(A82="","",SUMIFS(T_Penerimaan!$I$6:$I$1005,T_Penerimaan!$H$6:$H$1005,A82,T_Penerimaan!$M$6:$M$1005,1))</f>
        <v/>
      </c>
      <c r="P82" s="11" t="str">
        <f aca="false">IF(A82="","",SUMIFS(T_Penerimaan!$K$6:$K$1005,T_Penerimaan!$H$6:$H$1005,A82,T_Penerimaan!$M$6:$M$1005,1))</f>
        <v/>
      </c>
      <c r="Q82" s="11" t="str">
        <f aca="false">IF(A82="","",IF(D82+O82&lt;=0,0,(E82+P82)/(D82+O82)))</f>
        <v/>
      </c>
      <c r="R82" s="11" t="str">
        <f aca="false">IF(A82="","",SUMIFS(T_Penjualan!$H$6:$H$1505,T_Penjualan!$G$6:$G$1505,A82,T_Penjualan!$P$6:$P$1505,1))</f>
        <v/>
      </c>
      <c r="S82" s="12" t="str">
        <f aca="false">IF(A82="","",IF(I_Parameter!$C$4&lt;=I_Parameter!$C$5,D82,IF(I_Parameter!$C$4&gt;I_Parameter!$C$6,N82,INDEX(H82:N82,I_Parameter!$C$4-I_Parameter!$C$5))))</f>
        <v/>
      </c>
      <c r="T82" s="11" t="str">
        <f aca="false">IF(A82="","",SUMIFS(T_Penjualan!$H$6:$H$1505,T_Penjualan!$G$6:$G$1505,A82,T_Penjualan!$B$6:$B$1505,"Order",T_Penjualan!$A$6:$A$1505,"&gt;="&amp;I_Parameter!$C$4,T_Penjualan!$A$6:$A$1505,"&lt;="&amp;I_Parameter!$C$6))</f>
        <v/>
      </c>
      <c r="U82" s="11" t="str">
        <f aca="false">IF(A82="","",S82-T82)</f>
        <v/>
      </c>
      <c r="V82" s="11" t="str">
        <f aca="false">IF(A82="","",MIN(H82:N82))</f>
        <v/>
      </c>
      <c r="W82" s="10" t="str">
        <f aca="false">IF(A82="","",INDEX(I_Master!$F$6:$F$85,MATCH(A82,I_Master!$A$6:$A$85,0)))</f>
        <v/>
      </c>
      <c r="X82" s="11" t="str">
        <f aca="false">IF(OR(A82="",W82=""),"",W82-Q82)</f>
        <v/>
      </c>
      <c r="Y82" s="11" t="str">
        <f aca="false">IF(A82="","",S82*Q82)</f>
        <v/>
      </c>
      <c r="Z82" s="9" t="str">
        <f aca="false">IF(A82="","",IF(V82&lt;-0.5,"KURANG: stok minus "&amp;ROUND(-V82,0)&amp;" kg — beli/potong atau geser order",IF(AND(S82&gt;0.5,T82&lt;=0,G82&gt;0.5),"JUAL: "&amp;ROUND(S82,0)&amp;" kg tanpa order, sebagian &gt; batas umur",IF(AND(S82&gt;0.5,T82&lt;=0),"JUAL: "&amp;ROUND(S82,0)&amp;" kg tanpa order minggu ini",IF(G82&gt;0.5,"PERHATIAN: "&amp;ROUND(G82,0)&amp;" kg di atas batas umur",IF(AND(X82&lt;&gt;"",X82&lt;0,T82&gt;0),"Order di bawah biaya rata-rata — cek harga","-"))))))</f>
        <v/>
      </c>
    </row>
    <row r="83" customFormat="false" ht="15" hidden="false" customHeight="false" outlineLevel="0" collapsed="false">
      <c r="A83" s="34" t="str">
        <f aca="false">IF(I_Master!A83="","",I_Master!A83)</f>
        <v/>
      </c>
      <c r="B83" s="34" t="str">
        <f aca="false">IF(A83="","",INDEX(I_Master!$E$6:$E$85,MATCH(A83,I_Master!$A$6:$A$85,0)))</f>
        <v/>
      </c>
      <c r="C83" s="34" t="str">
        <f aca="false">IF(A83="","",INDEX(I_Master!$B$6:$B$85,MATCH(A83,I_Master!$A$6:$A$85,0)))</f>
        <v/>
      </c>
      <c r="D83" s="10" t="str">
        <f aca="false">IF(A83="","",SUMIFS(I_Stok_Awal!$D$6:$D$305,I_Stok_Awal!$C$6:$C$305,A83))</f>
        <v/>
      </c>
      <c r="E83" s="10" t="str">
        <f aca="false">IF(A83="","",SUMIFS(I_Stok_Awal!$E$6:$E$305,I_Stok_Awal!$C$6:$C$305,A83))</f>
        <v/>
      </c>
      <c r="F83" s="35" t="str">
        <f aca="false">IF(OR(A83="",D83&lt;=0),"",SUMPRODUCT((I_Stok_Awal!$C$6:$C$305=A83)*I_Stok_Awal!$D$6:$D$305*I_Stok_Awal!$F$6:$F$305)/D83)</f>
        <v/>
      </c>
      <c r="G83" s="10" t="str">
        <f aca="false">IF(A83="","",SUMIFS(I_Stok_Awal!$G$6:$G$305,I_Stok_Awal!$C$6:$C$305,A83))</f>
        <v/>
      </c>
      <c r="H83" s="11" t="str">
        <f aca="false">IF($A83="","",D83+SUMIFS(T_Penerimaan!$I$6:$I$1005,T_Penerimaan!$H$6:$H$1005,$A83,T_Penerimaan!$A$6:$A$1005,H$4,T_Penerimaan!$M$6:$M$1005,1)-SUMIFS(T_Penjualan!$H$6:$H$1505,T_Penjualan!$G$6:$G$1505,$A83,T_Penjualan!$A$6:$A$1505,H$4,T_Penjualan!$P$6:$P$1505,1))</f>
        <v/>
      </c>
      <c r="I83" s="11" t="str">
        <f aca="false">IF($A83="","",H83+SUMIFS(T_Penerimaan!$I$6:$I$1005,T_Penerimaan!$H$6:$H$1005,$A83,T_Penerimaan!$A$6:$A$1005,I$4,T_Penerimaan!$M$6:$M$1005,1)-SUMIFS(T_Penjualan!$H$6:$H$1505,T_Penjualan!$G$6:$G$1505,$A83,T_Penjualan!$A$6:$A$1505,I$4,T_Penjualan!$P$6:$P$1505,1))</f>
        <v/>
      </c>
      <c r="J83" s="11" t="str">
        <f aca="false">IF($A83="","",I83+SUMIFS(T_Penerimaan!$I$6:$I$1005,T_Penerimaan!$H$6:$H$1005,$A83,T_Penerimaan!$A$6:$A$1005,J$4,T_Penerimaan!$M$6:$M$1005,1)-SUMIFS(T_Penjualan!$H$6:$H$1505,T_Penjualan!$G$6:$G$1505,$A83,T_Penjualan!$A$6:$A$1505,J$4,T_Penjualan!$P$6:$P$1505,1))</f>
        <v/>
      </c>
      <c r="K83" s="11" t="str">
        <f aca="false">IF($A83="","",J83+SUMIFS(T_Penerimaan!$I$6:$I$1005,T_Penerimaan!$H$6:$H$1005,$A83,T_Penerimaan!$A$6:$A$1005,K$4,T_Penerimaan!$M$6:$M$1005,1)-SUMIFS(T_Penjualan!$H$6:$H$1505,T_Penjualan!$G$6:$G$1505,$A83,T_Penjualan!$A$6:$A$1505,K$4,T_Penjualan!$P$6:$P$1505,1))</f>
        <v/>
      </c>
      <c r="L83" s="11" t="str">
        <f aca="false">IF($A83="","",K83+SUMIFS(T_Penerimaan!$I$6:$I$1005,T_Penerimaan!$H$6:$H$1005,$A83,T_Penerimaan!$A$6:$A$1005,L$4,T_Penerimaan!$M$6:$M$1005,1)-SUMIFS(T_Penjualan!$H$6:$H$1505,T_Penjualan!$G$6:$G$1505,$A83,T_Penjualan!$A$6:$A$1505,L$4,T_Penjualan!$P$6:$P$1505,1))</f>
        <v/>
      </c>
      <c r="M83" s="11" t="str">
        <f aca="false">IF($A83="","",L83+SUMIFS(T_Penerimaan!$I$6:$I$1005,T_Penerimaan!$H$6:$H$1005,$A83,T_Penerimaan!$A$6:$A$1005,M$4,T_Penerimaan!$M$6:$M$1005,1)-SUMIFS(T_Penjualan!$H$6:$H$1505,T_Penjualan!$G$6:$G$1505,$A83,T_Penjualan!$A$6:$A$1505,M$4,T_Penjualan!$P$6:$P$1505,1))</f>
        <v/>
      </c>
      <c r="N83" s="11" t="str">
        <f aca="false">IF($A83="","",M83+SUMIFS(T_Penerimaan!$I$6:$I$1005,T_Penerimaan!$H$6:$H$1005,$A83,T_Penerimaan!$A$6:$A$1005,N$4,T_Penerimaan!$M$6:$M$1005,1)-SUMIFS(T_Penjualan!$H$6:$H$1505,T_Penjualan!$G$6:$G$1505,$A83,T_Penjualan!$A$6:$A$1505,N$4,T_Penjualan!$P$6:$P$1505,1))</f>
        <v/>
      </c>
      <c r="O83" s="11" t="str">
        <f aca="false">IF(A83="","",SUMIFS(T_Penerimaan!$I$6:$I$1005,T_Penerimaan!$H$6:$H$1005,A83,T_Penerimaan!$M$6:$M$1005,1))</f>
        <v/>
      </c>
      <c r="P83" s="11" t="str">
        <f aca="false">IF(A83="","",SUMIFS(T_Penerimaan!$K$6:$K$1005,T_Penerimaan!$H$6:$H$1005,A83,T_Penerimaan!$M$6:$M$1005,1))</f>
        <v/>
      </c>
      <c r="Q83" s="11" t="str">
        <f aca="false">IF(A83="","",IF(D83+O83&lt;=0,0,(E83+P83)/(D83+O83)))</f>
        <v/>
      </c>
      <c r="R83" s="11" t="str">
        <f aca="false">IF(A83="","",SUMIFS(T_Penjualan!$H$6:$H$1505,T_Penjualan!$G$6:$G$1505,A83,T_Penjualan!$P$6:$P$1505,1))</f>
        <v/>
      </c>
      <c r="S83" s="12" t="str">
        <f aca="false">IF(A83="","",IF(I_Parameter!$C$4&lt;=I_Parameter!$C$5,D83,IF(I_Parameter!$C$4&gt;I_Parameter!$C$6,N83,INDEX(H83:N83,I_Parameter!$C$4-I_Parameter!$C$5))))</f>
        <v/>
      </c>
      <c r="T83" s="11" t="str">
        <f aca="false">IF(A83="","",SUMIFS(T_Penjualan!$H$6:$H$1505,T_Penjualan!$G$6:$G$1505,A83,T_Penjualan!$B$6:$B$1505,"Order",T_Penjualan!$A$6:$A$1505,"&gt;="&amp;I_Parameter!$C$4,T_Penjualan!$A$6:$A$1505,"&lt;="&amp;I_Parameter!$C$6))</f>
        <v/>
      </c>
      <c r="U83" s="11" t="str">
        <f aca="false">IF(A83="","",S83-T83)</f>
        <v/>
      </c>
      <c r="V83" s="11" t="str">
        <f aca="false">IF(A83="","",MIN(H83:N83))</f>
        <v/>
      </c>
      <c r="W83" s="10" t="str">
        <f aca="false">IF(A83="","",INDEX(I_Master!$F$6:$F$85,MATCH(A83,I_Master!$A$6:$A$85,0)))</f>
        <v/>
      </c>
      <c r="X83" s="11" t="str">
        <f aca="false">IF(OR(A83="",W83=""),"",W83-Q83)</f>
        <v/>
      </c>
      <c r="Y83" s="11" t="str">
        <f aca="false">IF(A83="","",S83*Q83)</f>
        <v/>
      </c>
      <c r="Z83" s="9" t="str">
        <f aca="false">IF(A83="","",IF(V83&lt;-0.5,"KURANG: stok minus "&amp;ROUND(-V83,0)&amp;" kg — beli/potong atau geser order",IF(AND(S83&gt;0.5,T83&lt;=0,G83&gt;0.5),"JUAL: "&amp;ROUND(S83,0)&amp;" kg tanpa order, sebagian &gt; batas umur",IF(AND(S83&gt;0.5,T83&lt;=0),"JUAL: "&amp;ROUND(S83,0)&amp;" kg tanpa order minggu ini",IF(G83&gt;0.5,"PERHATIAN: "&amp;ROUND(G83,0)&amp;" kg di atas batas umur",IF(AND(X83&lt;&gt;"",X83&lt;0,T83&gt;0),"Order di bawah biaya rata-rata — cek harga","-"))))))</f>
        <v/>
      </c>
    </row>
    <row r="84" customFormat="false" ht="15" hidden="false" customHeight="false" outlineLevel="0" collapsed="false">
      <c r="A84" s="34" t="str">
        <f aca="false">IF(I_Master!A84="","",I_Master!A84)</f>
        <v/>
      </c>
      <c r="B84" s="34" t="str">
        <f aca="false">IF(A84="","",INDEX(I_Master!$E$6:$E$85,MATCH(A84,I_Master!$A$6:$A$85,0)))</f>
        <v/>
      </c>
      <c r="C84" s="34" t="str">
        <f aca="false">IF(A84="","",INDEX(I_Master!$B$6:$B$85,MATCH(A84,I_Master!$A$6:$A$85,0)))</f>
        <v/>
      </c>
      <c r="D84" s="10" t="str">
        <f aca="false">IF(A84="","",SUMIFS(I_Stok_Awal!$D$6:$D$305,I_Stok_Awal!$C$6:$C$305,A84))</f>
        <v/>
      </c>
      <c r="E84" s="10" t="str">
        <f aca="false">IF(A84="","",SUMIFS(I_Stok_Awal!$E$6:$E$305,I_Stok_Awal!$C$6:$C$305,A84))</f>
        <v/>
      </c>
      <c r="F84" s="35" t="str">
        <f aca="false">IF(OR(A84="",D84&lt;=0),"",SUMPRODUCT((I_Stok_Awal!$C$6:$C$305=A84)*I_Stok_Awal!$D$6:$D$305*I_Stok_Awal!$F$6:$F$305)/D84)</f>
        <v/>
      </c>
      <c r="G84" s="10" t="str">
        <f aca="false">IF(A84="","",SUMIFS(I_Stok_Awal!$G$6:$G$305,I_Stok_Awal!$C$6:$C$305,A84))</f>
        <v/>
      </c>
      <c r="H84" s="11" t="str">
        <f aca="false">IF($A84="","",D84+SUMIFS(T_Penerimaan!$I$6:$I$1005,T_Penerimaan!$H$6:$H$1005,$A84,T_Penerimaan!$A$6:$A$1005,H$4,T_Penerimaan!$M$6:$M$1005,1)-SUMIFS(T_Penjualan!$H$6:$H$1505,T_Penjualan!$G$6:$G$1505,$A84,T_Penjualan!$A$6:$A$1505,H$4,T_Penjualan!$P$6:$P$1505,1))</f>
        <v/>
      </c>
      <c r="I84" s="11" t="str">
        <f aca="false">IF($A84="","",H84+SUMIFS(T_Penerimaan!$I$6:$I$1005,T_Penerimaan!$H$6:$H$1005,$A84,T_Penerimaan!$A$6:$A$1005,I$4,T_Penerimaan!$M$6:$M$1005,1)-SUMIFS(T_Penjualan!$H$6:$H$1505,T_Penjualan!$G$6:$G$1505,$A84,T_Penjualan!$A$6:$A$1505,I$4,T_Penjualan!$P$6:$P$1505,1))</f>
        <v/>
      </c>
      <c r="J84" s="11" t="str">
        <f aca="false">IF($A84="","",I84+SUMIFS(T_Penerimaan!$I$6:$I$1005,T_Penerimaan!$H$6:$H$1005,$A84,T_Penerimaan!$A$6:$A$1005,J$4,T_Penerimaan!$M$6:$M$1005,1)-SUMIFS(T_Penjualan!$H$6:$H$1505,T_Penjualan!$G$6:$G$1505,$A84,T_Penjualan!$A$6:$A$1505,J$4,T_Penjualan!$P$6:$P$1505,1))</f>
        <v/>
      </c>
      <c r="K84" s="11" t="str">
        <f aca="false">IF($A84="","",J84+SUMIFS(T_Penerimaan!$I$6:$I$1005,T_Penerimaan!$H$6:$H$1005,$A84,T_Penerimaan!$A$6:$A$1005,K$4,T_Penerimaan!$M$6:$M$1005,1)-SUMIFS(T_Penjualan!$H$6:$H$1505,T_Penjualan!$G$6:$G$1505,$A84,T_Penjualan!$A$6:$A$1505,K$4,T_Penjualan!$P$6:$P$1505,1))</f>
        <v/>
      </c>
      <c r="L84" s="11" t="str">
        <f aca="false">IF($A84="","",K84+SUMIFS(T_Penerimaan!$I$6:$I$1005,T_Penerimaan!$H$6:$H$1005,$A84,T_Penerimaan!$A$6:$A$1005,L$4,T_Penerimaan!$M$6:$M$1005,1)-SUMIFS(T_Penjualan!$H$6:$H$1505,T_Penjualan!$G$6:$G$1505,$A84,T_Penjualan!$A$6:$A$1505,L$4,T_Penjualan!$P$6:$P$1505,1))</f>
        <v/>
      </c>
      <c r="M84" s="11" t="str">
        <f aca="false">IF($A84="","",L84+SUMIFS(T_Penerimaan!$I$6:$I$1005,T_Penerimaan!$H$6:$H$1005,$A84,T_Penerimaan!$A$6:$A$1005,M$4,T_Penerimaan!$M$6:$M$1005,1)-SUMIFS(T_Penjualan!$H$6:$H$1505,T_Penjualan!$G$6:$G$1505,$A84,T_Penjualan!$A$6:$A$1505,M$4,T_Penjualan!$P$6:$P$1505,1))</f>
        <v/>
      </c>
      <c r="N84" s="11" t="str">
        <f aca="false">IF($A84="","",M84+SUMIFS(T_Penerimaan!$I$6:$I$1005,T_Penerimaan!$H$6:$H$1005,$A84,T_Penerimaan!$A$6:$A$1005,N$4,T_Penerimaan!$M$6:$M$1005,1)-SUMIFS(T_Penjualan!$H$6:$H$1505,T_Penjualan!$G$6:$G$1505,$A84,T_Penjualan!$A$6:$A$1505,N$4,T_Penjualan!$P$6:$P$1505,1))</f>
        <v/>
      </c>
      <c r="O84" s="11" t="str">
        <f aca="false">IF(A84="","",SUMIFS(T_Penerimaan!$I$6:$I$1005,T_Penerimaan!$H$6:$H$1005,A84,T_Penerimaan!$M$6:$M$1005,1))</f>
        <v/>
      </c>
      <c r="P84" s="11" t="str">
        <f aca="false">IF(A84="","",SUMIFS(T_Penerimaan!$K$6:$K$1005,T_Penerimaan!$H$6:$H$1005,A84,T_Penerimaan!$M$6:$M$1005,1))</f>
        <v/>
      </c>
      <c r="Q84" s="11" t="str">
        <f aca="false">IF(A84="","",IF(D84+O84&lt;=0,0,(E84+P84)/(D84+O84)))</f>
        <v/>
      </c>
      <c r="R84" s="11" t="str">
        <f aca="false">IF(A84="","",SUMIFS(T_Penjualan!$H$6:$H$1505,T_Penjualan!$G$6:$G$1505,A84,T_Penjualan!$P$6:$P$1505,1))</f>
        <v/>
      </c>
      <c r="S84" s="12" t="str">
        <f aca="false">IF(A84="","",IF(I_Parameter!$C$4&lt;=I_Parameter!$C$5,D84,IF(I_Parameter!$C$4&gt;I_Parameter!$C$6,N84,INDEX(H84:N84,I_Parameter!$C$4-I_Parameter!$C$5))))</f>
        <v/>
      </c>
      <c r="T84" s="11" t="str">
        <f aca="false">IF(A84="","",SUMIFS(T_Penjualan!$H$6:$H$1505,T_Penjualan!$G$6:$G$1505,A84,T_Penjualan!$B$6:$B$1505,"Order",T_Penjualan!$A$6:$A$1505,"&gt;="&amp;I_Parameter!$C$4,T_Penjualan!$A$6:$A$1505,"&lt;="&amp;I_Parameter!$C$6))</f>
        <v/>
      </c>
      <c r="U84" s="11" t="str">
        <f aca="false">IF(A84="","",S84-T84)</f>
        <v/>
      </c>
      <c r="V84" s="11" t="str">
        <f aca="false">IF(A84="","",MIN(H84:N84))</f>
        <v/>
      </c>
      <c r="W84" s="10" t="str">
        <f aca="false">IF(A84="","",INDEX(I_Master!$F$6:$F$85,MATCH(A84,I_Master!$A$6:$A$85,0)))</f>
        <v/>
      </c>
      <c r="X84" s="11" t="str">
        <f aca="false">IF(OR(A84="",W84=""),"",W84-Q84)</f>
        <v/>
      </c>
      <c r="Y84" s="11" t="str">
        <f aca="false">IF(A84="","",S84*Q84)</f>
        <v/>
      </c>
      <c r="Z84" s="9" t="str">
        <f aca="false">IF(A84="","",IF(V84&lt;-0.5,"KURANG: stok minus "&amp;ROUND(-V84,0)&amp;" kg — beli/potong atau geser order",IF(AND(S84&gt;0.5,T84&lt;=0,G84&gt;0.5),"JUAL: "&amp;ROUND(S84,0)&amp;" kg tanpa order, sebagian &gt; batas umur",IF(AND(S84&gt;0.5,T84&lt;=0),"JUAL: "&amp;ROUND(S84,0)&amp;" kg tanpa order minggu ini",IF(G84&gt;0.5,"PERHATIAN: "&amp;ROUND(G84,0)&amp;" kg di atas batas umur",IF(AND(X84&lt;&gt;"",X84&lt;0,T84&gt;0),"Order di bawah biaya rata-rata — cek harga","-"))))))</f>
        <v/>
      </c>
    </row>
    <row r="85" customFormat="false" ht="15" hidden="false" customHeight="false" outlineLevel="0" collapsed="false">
      <c r="A85" s="34" t="str">
        <f aca="false">IF(I_Master!A85="","",I_Master!A85)</f>
        <v/>
      </c>
      <c r="B85" s="34" t="str">
        <f aca="false">IF(A85="","",INDEX(I_Master!$E$6:$E$85,MATCH(A85,I_Master!$A$6:$A$85,0)))</f>
        <v/>
      </c>
      <c r="C85" s="34" t="str">
        <f aca="false">IF(A85="","",INDEX(I_Master!$B$6:$B$85,MATCH(A85,I_Master!$A$6:$A$85,0)))</f>
        <v/>
      </c>
      <c r="D85" s="10" t="str">
        <f aca="false">IF(A85="","",SUMIFS(I_Stok_Awal!$D$6:$D$305,I_Stok_Awal!$C$6:$C$305,A85))</f>
        <v/>
      </c>
      <c r="E85" s="10" t="str">
        <f aca="false">IF(A85="","",SUMIFS(I_Stok_Awal!$E$6:$E$305,I_Stok_Awal!$C$6:$C$305,A85))</f>
        <v/>
      </c>
      <c r="F85" s="35" t="str">
        <f aca="false">IF(OR(A85="",D85&lt;=0),"",SUMPRODUCT((I_Stok_Awal!$C$6:$C$305=A85)*I_Stok_Awal!$D$6:$D$305*I_Stok_Awal!$F$6:$F$305)/D85)</f>
        <v/>
      </c>
      <c r="G85" s="10" t="str">
        <f aca="false">IF(A85="","",SUMIFS(I_Stok_Awal!$G$6:$G$305,I_Stok_Awal!$C$6:$C$305,A85))</f>
        <v/>
      </c>
      <c r="H85" s="11" t="str">
        <f aca="false">IF($A85="","",D85+SUMIFS(T_Penerimaan!$I$6:$I$1005,T_Penerimaan!$H$6:$H$1005,$A85,T_Penerimaan!$A$6:$A$1005,H$4,T_Penerimaan!$M$6:$M$1005,1)-SUMIFS(T_Penjualan!$H$6:$H$1505,T_Penjualan!$G$6:$G$1505,$A85,T_Penjualan!$A$6:$A$1505,H$4,T_Penjualan!$P$6:$P$1505,1))</f>
        <v/>
      </c>
      <c r="I85" s="11" t="str">
        <f aca="false">IF($A85="","",H85+SUMIFS(T_Penerimaan!$I$6:$I$1005,T_Penerimaan!$H$6:$H$1005,$A85,T_Penerimaan!$A$6:$A$1005,I$4,T_Penerimaan!$M$6:$M$1005,1)-SUMIFS(T_Penjualan!$H$6:$H$1505,T_Penjualan!$G$6:$G$1505,$A85,T_Penjualan!$A$6:$A$1505,I$4,T_Penjualan!$P$6:$P$1505,1))</f>
        <v/>
      </c>
      <c r="J85" s="11" t="str">
        <f aca="false">IF($A85="","",I85+SUMIFS(T_Penerimaan!$I$6:$I$1005,T_Penerimaan!$H$6:$H$1005,$A85,T_Penerimaan!$A$6:$A$1005,J$4,T_Penerimaan!$M$6:$M$1005,1)-SUMIFS(T_Penjualan!$H$6:$H$1505,T_Penjualan!$G$6:$G$1505,$A85,T_Penjualan!$A$6:$A$1505,J$4,T_Penjualan!$P$6:$P$1505,1))</f>
        <v/>
      </c>
      <c r="K85" s="11" t="str">
        <f aca="false">IF($A85="","",J85+SUMIFS(T_Penerimaan!$I$6:$I$1005,T_Penerimaan!$H$6:$H$1005,$A85,T_Penerimaan!$A$6:$A$1005,K$4,T_Penerimaan!$M$6:$M$1005,1)-SUMIFS(T_Penjualan!$H$6:$H$1505,T_Penjualan!$G$6:$G$1505,$A85,T_Penjualan!$A$6:$A$1505,K$4,T_Penjualan!$P$6:$P$1505,1))</f>
        <v/>
      </c>
      <c r="L85" s="11" t="str">
        <f aca="false">IF($A85="","",K85+SUMIFS(T_Penerimaan!$I$6:$I$1005,T_Penerimaan!$H$6:$H$1005,$A85,T_Penerimaan!$A$6:$A$1005,L$4,T_Penerimaan!$M$6:$M$1005,1)-SUMIFS(T_Penjualan!$H$6:$H$1505,T_Penjualan!$G$6:$G$1505,$A85,T_Penjualan!$A$6:$A$1505,L$4,T_Penjualan!$P$6:$P$1505,1))</f>
        <v/>
      </c>
      <c r="M85" s="11" t="str">
        <f aca="false">IF($A85="","",L85+SUMIFS(T_Penerimaan!$I$6:$I$1005,T_Penerimaan!$H$6:$H$1005,$A85,T_Penerimaan!$A$6:$A$1005,M$4,T_Penerimaan!$M$6:$M$1005,1)-SUMIFS(T_Penjualan!$H$6:$H$1505,T_Penjualan!$G$6:$G$1505,$A85,T_Penjualan!$A$6:$A$1505,M$4,T_Penjualan!$P$6:$P$1505,1))</f>
        <v/>
      </c>
      <c r="N85" s="11" t="str">
        <f aca="false">IF($A85="","",M85+SUMIFS(T_Penerimaan!$I$6:$I$1005,T_Penerimaan!$H$6:$H$1005,$A85,T_Penerimaan!$A$6:$A$1005,N$4,T_Penerimaan!$M$6:$M$1005,1)-SUMIFS(T_Penjualan!$H$6:$H$1505,T_Penjualan!$G$6:$G$1505,$A85,T_Penjualan!$A$6:$A$1505,N$4,T_Penjualan!$P$6:$P$1505,1))</f>
        <v/>
      </c>
      <c r="O85" s="11" t="str">
        <f aca="false">IF(A85="","",SUMIFS(T_Penerimaan!$I$6:$I$1005,T_Penerimaan!$H$6:$H$1005,A85,T_Penerimaan!$M$6:$M$1005,1))</f>
        <v/>
      </c>
      <c r="P85" s="11" t="str">
        <f aca="false">IF(A85="","",SUMIFS(T_Penerimaan!$K$6:$K$1005,T_Penerimaan!$H$6:$H$1005,A85,T_Penerimaan!$M$6:$M$1005,1))</f>
        <v/>
      </c>
      <c r="Q85" s="11" t="str">
        <f aca="false">IF(A85="","",IF(D85+O85&lt;=0,0,(E85+P85)/(D85+O85)))</f>
        <v/>
      </c>
      <c r="R85" s="11" t="str">
        <f aca="false">IF(A85="","",SUMIFS(T_Penjualan!$H$6:$H$1505,T_Penjualan!$G$6:$G$1505,A85,T_Penjualan!$P$6:$P$1505,1))</f>
        <v/>
      </c>
      <c r="S85" s="12" t="str">
        <f aca="false">IF(A85="","",IF(I_Parameter!$C$4&lt;=I_Parameter!$C$5,D85,IF(I_Parameter!$C$4&gt;I_Parameter!$C$6,N85,INDEX(H85:N85,I_Parameter!$C$4-I_Parameter!$C$5))))</f>
        <v/>
      </c>
      <c r="T85" s="11" t="str">
        <f aca="false">IF(A85="","",SUMIFS(T_Penjualan!$H$6:$H$1505,T_Penjualan!$G$6:$G$1505,A85,T_Penjualan!$B$6:$B$1505,"Order",T_Penjualan!$A$6:$A$1505,"&gt;="&amp;I_Parameter!$C$4,T_Penjualan!$A$6:$A$1505,"&lt;="&amp;I_Parameter!$C$6))</f>
        <v/>
      </c>
      <c r="U85" s="11" t="str">
        <f aca="false">IF(A85="","",S85-T85)</f>
        <v/>
      </c>
      <c r="V85" s="11" t="str">
        <f aca="false">IF(A85="","",MIN(H85:N85))</f>
        <v/>
      </c>
      <c r="W85" s="10" t="str">
        <f aca="false">IF(A85="","",INDEX(I_Master!$F$6:$F$85,MATCH(A85,I_Master!$A$6:$A$85,0)))</f>
        <v/>
      </c>
      <c r="X85" s="11" t="str">
        <f aca="false">IF(OR(A85="",W85=""),"",W85-Q85)</f>
        <v/>
      </c>
      <c r="Y85" s="11" t="str">
        <f aca="false">IF(A85="","",S85*Q85)</f>
        <v/>
      </c>
      <c r="Z85" s="9" t="str">
        <f aca="false">IF(A85="","",IF(V85&lt;-0.5,"KURANG: stok minus "&amp;ROUND(-V85,0)&amp;" kg — beli/potong atau geser order",IF(AND(S85&gt;0.5,T85&lt;=0,G85&gt;0.5),"JUAL: "&amp;ROUND(S85,0)&amp;" kg tanpa order, sebagian &gt; batas umur",IF(AND(S85&gt;0.5,T85&lt;=0),"JUAL: "&amp;ROUND(S85,0)&amp;" kg tanpa order minggu ini",IF(G85&gt;0.5,"PERHATIAN: "&amp;ROUND(G85,0)&amp;" kg di atas batas umur",IF(AND(X85&lt;&gt;"",X85&lt;0,T85&gt;0),"Order di bawah biaya rata-rata — cek harga","-"))))))</f>
        <v/>
      </c>
    </row>
  </sheetData>
  <conditionalFormatting sqref="Z6:Z85">
    <cfRule type="expression" priority="2" aboveAverage="0" equalAverage="0" bottom="0" percent="0" rank="0" text="" dxfId="1">
      <formula>LEFT(Z6,5)="KURAN"</formula>
    </cfRule>
    <cfRule type="expression" priority="3" aboveAverage="0" equalAverage="0" bottom="0" percent="0" rank="0" text="" dxfId="2">
      <formula>LEFT(Z6,4)="JUAL"</formula>
    </cfRule>
  </conditionalFormatting>
  <conditionalFormatting sqref="H6:N85">
    <cfRule type="cellIs" priority="4" operator="lessThan" aboveAverage="0" equalAverage="0" bottom="0" percent="0" rank="0" text="" dxfId="1">
      <formula>-0.5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6.15" hidden="false" customHeight="false" outlineLevel="0" collapsed="false">
      <c r="A1" s="1" t="s">
        <v>300</v>
      </c>
    </row>
    <row r="4" customFormat="false" ht="30" hidden="false" customHeight="true" outlineLevel="0" collapsed="false">
      <c r="A4" s="8" t="s">
        <v>301</v>
      </c>
      <c r="B4" s="8" t="s">
        <v>302</v>
      </c>
      <c r="C4" s="8" t="s">
        <v>43</v>
      </c>
      <c r="D4" s="8" t="s">
        <v>303</v>
      </c>
      <c r="E4" s="8" t="s">
        <v>304</v>
      </c>
      <c r="F4" s="8" t="s">
        <v>102</v>
      </c>
      <c r="G4" s="8" t="s">
        <v>305</v>
      </c>
    </row>
    <row r="5" customFormat="false" ht="15" hidden="false" customHeight="false" outlineLevel="0" collapsed="false">
      <c r="A5" s="18" t="n">
        <v>1</v>
      </c>
      <c r="B5" s="18" t="s">
        <v>306</v>
      </c>
      <c r="C5" s="10" t="n">
        <f aca="false">COUNTIF(T_Penjualan!$G$6:$G$1505,"KODE BARU")+COUNTIF(T_Penjualan!$N$6:$N$1505,"?")</f>
        <v>0</v>
      </c>
      <c r="D5" s="11" t="n">
        <v>0</v>
      </c>
      <c r="E5" s="11" t="n">
        <f aca="false">IF(D5="","",C5-D5)</f>
        <v>0</v>
      </c>
      <c r="F5" s="36" t="str">
        <f aca="false">IF(C5=0,"LULUS","GAGAL")</f>
        <v>LULUS</v>
      </c>
      <c r="G5" s="19" t="s">
        <v>307</v>
      </c>
    </row>
    <row r="6" customFormat="false" ht="15" hidden="false" customHeight="false" outlineLevel="0" collapsed="false">
      <c r="A6" s="18" t="n">
        <v>2</v>
      </c>
      <c r="B6" s="18" t="s">
        <v>308</v>
      </c>
      <c r="C6" s="10" t="n">
        <f aca="false">COUNTIF(T_Penerimaan!$H$6:$H$1005,"KODE BARU")+COUNTIF(T_Penerimaan!$L$6:$L$1005,"?")</f>
        <v>0</v>
      </c>
      <c r="D6" s="11" t="n">
        <v>0</v>
      </c>
      <c r="E6" s="11" t="n">
        <f aca="false">IF(D6="","",C6-D6)</f>
        <v>0</v>
      </c>
      <c r="F6" s="36" t="str">
        <f aca="false">IF(C6=0,"LULUS","GAGAL")</f>
        <v>LULUS</v>
      </c>
      <c r="G6" s="19" t="s">
        <v>307</v>
      </c>
    </row>
    <row r="7" customFormat="false" ht="15" hidden="false" customHeight="false" outlineLevel="0" collapsed="false">
      <c r="A7" s="18" t="n">
        <v>3</v>
      </c>
      <c r="B7" s="18" t="s">
        <v>309</v>
      </c>
      <c r="C7" s="10" t="n">
        <f aca="false">COUNTIF(I_Stok_Awal!$C$6:$C$305,"KODE BARU")</f>
        <v>0</v>
      </c>
      <c r="D7" s="11" t="n">
        <v>0</v>
      </c>
      <c r="E7" s="11" t="n">
        <f aca="false">IF(D7="","",C7-D7)</f>
        <v>0</v>
      </c>
      <c r="F7" s="36" t="str">
        <f aca="false">IF(C7=0,"LULUS","GAGAL")</f>
        <v>LULUS</v>
      </c>
      <c r="G7" s="19" t="s">
        <v>310</v>
      </c>
    </row>
    <row r="8" customFormat="false" ht="15" hidden="false" customHeight="false" outlineLevel="0" collapsed="false">
      <c r="A8" s="18" t="n">
        <v>4</v>
      </c>
      <c r="B8" s="18" t="s">
        <v>311</v>
      </c>
      <c r="C8" s="10" t="n">
        <f aca="false">COUNTIFS(T_Penjualan!$H$6:$H$1505,"&gt;0",T_Penjualan!$B$6:$B$1505,"")</f>
        <v>0</v>
      </c>
      <c r="D8" s="11" t="n">
        <v>0</v>
      </c>
      <c r="E8" s="11" t="n">
        <f aca="false">IF(D8="","",C8-D8)</f>
        <v>0</v>
      </c>
      <c r="F8" s="36" t="str">
        <f aca="false">IF(C8=0,"LULUS","GAGAL")</f>
        <v>LULUS</v>
      </c>
      <c r="G8" s="19" t="s">
        <v>312</v>
      </c>
    </row>
    <row r="9" customFormat="false" ht="15" hidden="false" customHeight="false" outlineLevel="0" collapsed="false">
      <c r="A9" s="18" t="n">
        <v>5</v>
      </c>
      <c r="B9" s="18" t="s">
        <v>313</v>
      </c>
      <c r="C9" s="10" t="n">
        <f aca="false">COUNTIFS(T_Penerimaan!$I$6:$I$1005,"&gt;0",T_Penerimaan!$B$6:$B$1005,"")</f>
        <v>0</v>
      </c>
      <c r="D9" s="11" t="n">
        <v>0</v>
      </c>
      <c r="E9" s="11" t="n">
        <f aca="false">IF(D9="","",C9-D9)</f>
        <v>0</v>
      </c>
      <c r="F9" s="36" t="str">
        <f aca="false">IF(C9=0,"LULUS","GAGAL")</f>
        <v>LULUS</v>
      </c>
      <c r="G9" s="19" t="s">
        <v>312</v>
      </c>
    </row>
    <row r="10" customFormat="false" ht="15" hidden="false" customHeight="false" outlineLevel="0" collapsed="false">
      <c r="A10" s="18" t="n">
        <v>6</v>
      </c>
      <c r="B10" s="18" t="s">
        <v>314</v>
      </c>
      <c r="C10" s="10" t="n">
        <f aca="false">COUNTIFS(T_Penjualan!$A$6:$A$1505,"&lt;"&amp;I_Parameter!$C$5,T_Penjualan!$H$6:$H$1505,"&gt;0")+COUNTIFS(T_Penjualan!$A$6:$A$1505,"&gt;"&amp;I_Parameter!$C$6,T_Penjualan!$H$6:$H$1505,"&gt;0")</f>
        <v>0</v>
      </c>
      <c r="D10" s="11" t="n">
        <v>0</v>
      </c>
      <c r="E10" s="11" t="n">
        <f aca="false">IF(D10="","",C10-D10)</f>
        <v>0</v>
      </c>
      <c r="F10" s="36" t="str">
        <f aca="false">IF(C10=0,"LULUS","PERIKSA")</f>
        <v>LULUS</v>
      </c>
      <c r="G10" s="19" t="s">
        <v>315</v>
      </c>
    </row>
    <row r="11" customFormat="false" ht="15" hidden="false" customHeight="false" outlineLevel="0" collapsed="false">
      <c r="A11" s="18" t="n">
        <v>7</v>
      </c>
      <c r="B11" s="18" t="s">
        <v>316</v>
      </c>
      <c r="C11" s="10" t="n">
        <f aca="false">COUNTIFS(T_Penjualan!$B$6:$B$1505,"Order",T_Penjualan!$A$6:$A$1505,"&lt;"&amp;I_Parameter!$C$4,T_Penjualan!$H$6:$H$1505,"&gt;0")</f>
        <v>0</v>
      </c>
      <c r="D11" s="11" t="n">
        <v>0</v>
      </c>
      <c r="E11" s="11" t="n">
        <f aca="false">IF(D11="","",C11-D11)</f>
        <v>0</v>
      </c>
      <c r="F11" s="36" t="str">
        <f aca="false">IF(C11=0,"LULUS","PERIKSA")</f>
        <v>LULUS</v>
      </c>
      <c r="G11" s="19" t="s">
        <v>317</v>
      </c>
    </row>
    <row r="12" customFormat="false" ht="15" hidden="false" customHeight="false" outlineLevel="0" collapsed="false">
      <c r="A12" s="18" t="n">
        <v>8</v>
      </c>
      <c r="B12" s="18" t="s">
        <v>318</v>
      </c>
      <c r="C12" s="10" t="n">
        <f aca="false">SUMIFS(T_Penjualan!$H$6:$H$1505,T_Penjualan!$B$6:$B$1505,"Aktual",T_Penjualan!$P$6:$P$1505,1)</f>
        <v>23587.97</v>
      </c>
      <c r="D12" s="10" t="n">
        <f aca="false">I_Parameter!C43</f>
        <v>0</v>
      </c>
      <c r="E12" s="11" t="str">
        <f aca="false">IF(D12="","",C12-D12)</f>
        <v/>
      </c>
      <c r="F12" s="36" t="str">
        <f aca="false">IF(D12="","BELUM DIISI",IF(ABS(E12)&lt;=1,"LULUS","GAGAL"))</f>
        <v>BELUM DIISI</v>
      </c>
      <c r="G12" s="19" t="s">
        <v>319</v>
      </c>
    </row>
    <row r="13" customFormat="false" ht="15" hidden="false" customHeight="false" outlineLevel="0" collapsed="false">
      <c r="A13" s="18" t="n">
        <v>9</v>
      </c>
      <c r="B13" s="18" t="s">
        <v>320</v>
      </c>
      <c r="C13" s="10" t="n">
        <f aca="false">I_Stok_Awal!E306</f>
        <v>3954932012</v>
      </c>
      <c r="D13" s="10" t="n">
        <f aca="false">I_Parameter!C44</f>
        <v>0</v>
      </c>
      <c r="E13" s="11" t="str">
        <f aca="false">IF(D13="","",C13-D13)</f>
        <v/>
      </c>
      <c r="F13" s="36" t="str">
        <f aca="false">IF(D13="","BELUM DIISI",IF(ABS(E13)&lt;=1,"LULUS","GAGAL"))</f>
        <v>BELUM DIISI</v>
      </c>
      <c r="G13" s="19" t="s">
        <v>321</v>
      </c>
    </row>
    <row r="14" customFormat="false" ht="15" hidden="false" customHeight="false" outlineLevel="0" collapsed="false">
      <c r="A14" s="18" t="n">
        <v>10</v>
      </c>
      <c r="B14" s="18" t="s">
        <v>322</v>
      </c>
      <c r="C14" s="10" t="n">
        <f aca="false">SUMIFS(T_Batch!$U$6:$U$55,T_Batch!$B$6:$B$55,"Aktual",T_Batch!$A$6:$A$55,"&gt;="&amp;I_Parameter!$C$5,T_Batch!$A$6:$A$55,"&lt;="&amp;I_Parameter!$C$6)</f>
        <v>20725.1</v>
      </c>
      <c r="D14" s="10" t="n">
        <f aca="false">SUMIFS(T_Penerimaan!$I$6:$I$1005,T_Penerimaan!$C$6:$C$1005,"Produksi RPA",T_Penerimaan!$B$6:$B$1005,"Aktual",T_Penerimaan!$M$6:$M$1005,1)</f>
        <v>20725.1</v>
      </c>
      <c r="E14" s="11" t="n">
        <f aca="false">IF(D14="","",C14-D14)</f>
        <v>0</v>
      </c>
      <c r="F14" s="36" t="str">
        <f aca="false">IF(D14=0,IF(C14=0,"LULUS","GAGAL"),IF(ABS(E14)/D14&lt;=0.02,"LULUS",IF(ABS(E14)/D14&lt;=0.6,"PERIKSA","GAGAL")))</f>
        <v>LULUS</v>
      </c>
      <c r="G14" s="19" t="s">
        <v>323</v>
      </c>
    </row>
    <row r="15" customFormat="false" ht="15" hidden="false" customHeight="false" outlineLevel="0" collapsed="false">
      <c r="A15" s="18" t="n">
        <v>11</v>
      </c>
      <c r="B15" s="18" t="s">
        <v>324</v>
      </c>
      <c r="C15" s="10" t="n">
        <f aca="false">COUNTIF(O_Stok!$V$6:$V$85,"&lt;-0.5")</f>
        <v>0</v>
      </c>
      <c r="D15" s="11" t="n">
        <v>0</v>
      </c>
      <c r="E15" s="11" t="n">
        <f aca="false">IF(D15="","",C15-D15)</f>
        <v>0</v>
      </c>
      <c r="F15" s="36" t="str">
        <f aca="false">IF(C15=0,"LULUS","PERIKSA")</f>
        <v>LULUS</v>
      </c>
      <c r="G15" s="19" t="s">
        <v>325</v>
      </c>
    </row>
    <row r="16" customFormat="false" ht="15" hidden="false" customHeight="false" outlineLevel="0" collapsed="false">
      <c r="A16" s="18" t="n">
        <v>12</v>
      </c>
      <c r="B16" s="18" t="s">
        <v>326</v>
      </c>
      <c r="C16" s="10" t="n">
        <f aca="false">I_TB!C266</f>
        <v>0.0299995643622242</v>
      </c>
      <c r="D16" s="11" t="n">
        <v>0</v>
      </c>
      <c r="E16" s="11" t="n">
        <f aca="false">IF(D16="","",C16-D16)</f>
        <v>0.0299995643622242</v>
      </c>
      <c r="F16" s="36" t="str">
        <f aca="false">IF(ABS(C16)&lt;=1,"LULUS","GAGAL")</f>
        <v>LULUS</v>
      </c>
      <c r="G16" s="19" t="s">
        <v>327</v>
      </c>
    </row>
    <row r="17" customFormat="false" ht="15" hidden="false" customHeight="false" outlineLevel="0" collapsed="false">
      <c r="A17" s="18" t="n">
        <v>13</v>
      </c>
      <c r="B17" s="18" t="s">
        <v>328</v>
      </c>
      <c r="C17" s="10" t="n">
        <f aca="false">SUM(T_GL!$J$6:$J$4005)</f>
        <v>0.0199999809265137</v>
      </c>
      <c r="D17" s="11" t="n">
        <v>0</v>
      </c>
      <c r="E17" s="11" t="n">
        <f aca="false">IF(D17="","",C17-D17)</f>
        <v>0.0199999809265137</v>
      </c>
      <c r="F17" s="36" t="str">
        <f aca="false">IF(ABS(C17)&lt;=1,"LULUS","GAGAL")</f>
        <v>LULUS</v>
      </c>
      <c r="G17" s="19" t="s">
        <v>329</v>
      </c>
    </row>
    <row r="18" customFormat="false" ht="15" hidden="false" customHeight="false" outlineLevel="0" collapsed="false">
      <c r="A18" s="18" t="n">
        <v>14</v>
      </c>
      <c r="B18" s="18" t="s">
        <v>330</v>
      </c>
      <c r="C18" s="10" t="n">
        <f aca="false">COUNTIF(T_GL!$K$6:$K$4005,"AKUN BARU")+COUNTIF(I_TB!$D$6:$D$265,"AKUN BARU")</f>
        <v>0</v>
      </c>
      <c r="D18" s="11" t="n">
        <v>0</v>
      </c>
      <c r="E18" s="11" t="n">
        <f aca="false">IF(D18="","",C18-D18)</f>
        <v>0</v>
      </c>
      <c r="F18" s="36" t="str">
        <f aca="false">IF(ABS(C18)&lt;=1,"LULUS","GAGAL")</f>
        <v>LULUS</v>
      </c>
      <c r="G18" s="19" t="s">
        <v>331</v>
      </c>
    </row>
    <row r="19" customFormat="false" ht="15" hidden="false" customHeight="false" outlineLevel="0" collapsed="false">
      <c r="A19" s="18" t="n">
        <v>15</v>
      </c>
      <c r="B19" s="18" t="s">
        <v>332</v>
      </c>
      <c r="C19" s="10" t="n">
        <f aca="false">ABS(O_BS!C39)+ABS(O_BS!D39)+ABS(O_BS!E39)</f>
        <v>0</v>
      </c>
      <c r="D19" s="11" t="n">
        <v>0</v>
      </c>
      <c r="E19" s="11" t="n">
        <f aca="false">IF(D19="","",C19-D19)</f>
        <v>0</v>
      </c>
      <c r="F19" s="36" t="str">
        <f aca="false">IF(ABS(C19)&lt;=1,"LULUS","GAGAL")</f>
        <v>LULUS</v>
      </c>
      <c r="G19" s="19" t="s">
        <v>333</v>
      </c>
    </row>
    <row r="20" customFormat="false" ht="15" hidden="false" customHeight="false" outlineLevel="0" collapsed="false">
      <c r="A20" s="18" t="n">
        <v>16</v>
      </c>
      <c r="B20" s="18" t="s">
        <v>334</v>
      </c>
      <c r="C20" s="10" t="n">
        <f aca="false">ABS(O_CF!B23)+ABS(O_CF!C23)+ABS(O_CF!E23)</f>
        <v>0</v>
      </c>
      <c r="D20" s="11" t="n">
        <v>0</v>
      </c>
      <c r="E20" s="11" t="n">
        <f aca="false">IF(D20="","",C20-D20)</f>
        <v>0</v>
      </c>
      <c r="F20" s="36" t="str">
        <f aca="false">IF(ABS(C20)&lt;=1,"LULUS","GAGAL")</f>
        <v>LULUS</v>
      </c>
      <c r="G20" s="19" t="s">
        <v>335</v>
      </c>
    </row>
    <row r="21" customFormat="false" ht="15" hidden="false" customHeight="false" outlineLevel="0" collapsed="false">
      <c r="A21" s="18" t="n">
        <v>17</v>
      </c>
      <c r="B21" s="18" t="s">
        <v>336</v>
      </c>
      <c r="C21" s="10" t="n">
        <f aca="false">COUNTIF(T_GL!$S$6:$S$4005,"?")</f>
        <v>0</v>
      </c>
      <c r="D21" s="11" t="n">
        <v>0</v>
      </c>
      <c r="E21" s="11" t="n">
        <f aca="false">IF(D21="","",C21-D21)</f>
        <v>0</v>
      </c>
      <c r="F21" s="36" t="str">
        <f aca="false">IF(ABS(C21)&lt;=1,"LULUS","GAGAL")</f>
        <v>LULUS</v>
      </c>
      <c r="G21" s="19" t="s">
        <v>337</v>
      </c>
    </row>
    <row r="22" customFormat="false" ht="15" hidden="false" customHeight="false" outlineLevel="0" collapsed="false">
      <c r="A22" s="18" t="n">
        <v>18</v>
      </c>
      <c r="B22" s="18" t="s">
        <v>338</v>
      </c>
      <c r="C22" s="10" t="n">
        <f aca="false">COUNTIFS(T_Kas_Rencana!$E$6:$E$305,"&lt;&gt;",T_Kas_Rencana!$C$6:$C$305,"")</f>
        <v>0</v>
      </c>
      <c r="D22" s="11" t="n">
        <v>0</v>
      </c>
      <c r="E22" s="11" t="n">
        <f aca="false">IF(D22="","",C22-D22)</f>
        <v>0</v>
      </c>
      <c r="F22" s="36" t="str">
        <f aca="false">IF(ABS(C22)&lt;=1,"LULUS","GAGAL")</f>
        <v>LULUS</v>
      </c>
      <c r="G22" s="19" t="s">
        <v>339</v>
      </c>
    </row>
    <row r="23" customFormat="false" ht="15" hidden="false" customHeight="false" outlineLevel="0" collapsed="false">
      <c r="A23" s="18" t="n">
        <v>19</v>
      </c>
      <c r="B23" s="18" t="s">
        <v>340</v>
      </c>
      <c r="C23" s="10" t="n">
        <f aca="false">ABS(O_BS!D30)</f>
        <v>0</v>
      </c>
      <c r="D23" s="11" t="n">
        <v>0</v>
      </c>
      <c r="E23" s="11" t="n">
        <f aca="false">IF(D23="","",C23-D23)</f>
        <v>0</v>
      </c>
      <c r="F23" s="36" t="str">
        <f aca="false">IF(ABS(C23)&lt;=1,"LULUS","PERIKSA")</f>
        <v>LULUS</v>
      </c>
      <c r="G23" s="19" t="s">
        <v>341</v>
      </c>
    </row>
    <row r="25" customFormat="false" ht="15" hidden="false" customHeight="false" outlineLevel="0" collapsed="false">
      <c r="B25" s="9" t="s">
        <v>342</v>
      </c>
      <c r="F25" s="9" t="str">
        <f aca="false">IF(COUNTIF(F5:F23,"GAGAL")&gt;0,"ADA GAGAL",IF(COUNTIF(F5:F23,"PERIKSA")+COUNTIF(F5:F23,"BELUM DIISI")&gt;0,"PERIKSA","LULUS"))</f>
        <v>PERIKSA</v>
      </c>
    </row>
  </sheetData>
  <conditionalFormatting sqref="F5:F15">
    <cfRule type="cellIs" priority="2" operator="equal" aboveAverage="0" equalAverage="0" bottom="0" percent="0" rank="0" text="" dxfId="1">
      <formula>"GAGAL"</formula>
    </cfRule>
    <cfRule type="cellIs" priority="3" operator="equal" aboveAverage="0" equalAverage="0" bottom="0" percent="0" rank="0" text="" dxfId="0">
      <formula>"LULUS"</formula>
    </cfRule>
    <cfRule type="cellIs" priority="4" operator="equal" aboveAverage="0" equalAverage="0" bottom="0" percent="0" rank="0" text="" dxfId="2">
      <formula>"PERIKSA"</formula>
    </cfRule>
  </conditionalFormatting>
  <conditionalFormatting sqref="F16:F23">
    <cfRule type="cellIs" priority="5" operator="equal" aboveAverage="0" equalAverage="0" bottom="0" percent="0" rank="0" text="" dxfId="1">
      <formula>"GAGAL"</formula>
    </cfRule>
    <cfRule type="cellIs" priority="6" operator="equal" aboveAverage="0" equalAverage="0" bottom="0" percent="0" rank="0" text="" dxfId="0">
      <formula>"LULUS"</formula>
    </cfRule>
    <cfRule type="cellIs" priority="7" operator="equal" aboveAverage="0" equalAverage="0" bottom="0" percent="0" rank="0" text="" dxfId="2">
      <formula>"PERIKSA"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6.15" hidden="false" customHeight="false" outlineLevel="0" collapsed="false">
      <c r="A1" s="1" t="s">
        <v>343</v>
      </c>
    </row>
    <row r="2" customFormat="false" ht="15" hidden="false" customHeight="false" outlineLevel="0" collapsed="false">
      <c r="A2" s="6" t="s">
        <v>344</v>
      </c>
    </row>
    <row r="3" customFormat="false" ht="30" hidden="false" customHeight="true" outlineLevel="0" collapsed="false">
      <c r="A3" s="8" t="s">
        <v>345</v>
      </c>
      <c r="C3" s="8" t="s">
        <v>43</v>
      </c>
      <c r="D3" s="8" t="s">
        <v>44</v>
      </c>
      <c r="E3" s="8" t="s">
        <v>346</v>
      </c>
    </row>
    <row r="4" customFormat="false" ht="15" hidden="false" customHeight="false" outlineLevel="0" collapsed="false">
      <c r="A4" s="18" t="s">
        <v>347</v>
      </c>
      <c r="C4" s="37" t="n">
        <v>46261</v>
      </c>
      <c r="D4" s="18" t="s">
        <v>348</v>
      </c>
      <c r="E4" s="38" t="s">
        <v>349</v>
      </c>
    </row>
    <row r="5" customFormat="false" ht="15" hidden="false" customHeight="false" outlineLevel="0" collapsed="false">
      <c r="A5" s="18" t="s">
        <v>350</v>
      </c>
      <c r="C5" s="39" t="n">
        <f aca="false">C4-WEEKDAY(C4,3)</f>
        <v>46258</v>
      </c>
      <c r="D5" s="18" t="s">
        <v>348</v>
      </c>
      <c r="E5" s="38" t="s">
        <v>351</v>
      </c>
    </row>
    <row r="6" customFormat="false" ht="15" hidden="false" customHeight="false" outlineLevel="0" collapsed="false">
      <c r="A6" s="18" t="s">
        <v>352</v>
      </c>
      <c r="C6" s="39" t="n">
        <f aca="false">C5+6</f>
        <v>46264</v>
      </c>
      <c r="D6" s="18" t="s">
        <v>348</v>
      </c>
      <c r="E6" s="38"/>
    </row>
    <row r="7" customFormat="false" ht="15" hidden="false" customHeight="false" outlineLevel="0" collapsed="false">
      <c r="A7" s="18" t="s">
        <v>353</v>
      </c>
      <c r="C7" s="40" t="n">
        <v>3</v>
      </c>
      <c r="D7" s="18" t="s">
        <v>354</v>
      </c>
      <c r="E7" s="38" t="s">
        <v>355</v>
      </c>
    </row>
    <row r="8" customFormat="false" ht="15" hidden="false" customHeight="false" outlineLevel="0" collapsed="false">
      <c r="A8" s="18" t="s">
        <v>356</v>
      </c>
      <c r="C8" s="41" t="n">
        <v>0.03</v>
      </c>
      <c r="D8" s="18" t="s">
        <v>63</v>
      </c>
      <c r="E8" s="38" t="s">
        <v>357</v>
      </c>
    </row>
    <row r="9" customFormat="false" ht="15" hidden="false" customHeight="false" outlineLevel="0" collapsed="false">
      <c r="A9" s="18" t="s">
        <v>358</v>
      </c>
      <c r="C9" s="42" t="n">
        <v>1000</v>
      </c>
      <c r="D9" s="18" t="s">
        <v>46</v>
      </c>
      <c r="E9" s="38" t="s">
        <v>359</v>
      </c>
    </row>
    <row r="10" customFormat="false" ht="15" hidden="false" customHeight="false" outlineLevel="0" collapsed="false">
      <c r="A10" s="18" t="s">
        <v>360</v>
      </c>
      <c r="C10" s="42" t="n">
        <v>1600</v>
      </c>
      <c r="D10" s="18" t="s">
        <v>361</v>
      </c>
      <c r="E10" s="38" t="s">
        <v>362</v>
      </c>
    </row>
    <row r="11" customFormat="false" ht="15" hidden="false" customHeight="false" outlineLevel="0" collapsed="false">
      <c r="A11" s="18" t="s">
        <v>45</v>
      </c>
      <c r="C11" s="42" t="n">
        <v>24600</v>
      </c>
      <c r="D11" s="18" t="s">
        <v>363</v>
      </c>
      <c r="E11" s="38" t="s">
        <v>364</v>
      </c>
    </row>
    <row r="12" customFormat="false" ht="15" hidden="false" customHeight="false" outlineLevel="0" collapsed="false">
      <c r="A12" s="18" t="s">
        <v>365</v>
      </c>
      <c r="C12" s="42" t="n">
        <v>2000</v>
      </c>
      <c r="D12" s="18" t="s">
        <v>363</v>
      </c>
      <c r="E12" s="38" t="s">
        <v>366</v>
      </c>
    </row>
    <row r="13" customFormat="false" ht="15" hidden="false" customHeight="false" outlineLevel="0" collapsed="false">
      <c r="A13" s="18" t="s">
        <v>367</v>
      </c>
      <c r="C13" s="42" t="n">
        <v>30</v>
      </c>
      <c r="D13" s="18" t="s">
        <v>354</v>
      </c>
      <c r="E13" s="38" t="s">
        <v>368</v>
      </c>
    </row>
    <row r="14" customFormat="false" ht="15" hidden="false" customHeight="false" outlineLevel="0" collapsed="false">
      <c r="A14" s="18" t="s">
        <v>369</v>
      </c>
      <c r="C14" s="42" t="n">
        <v>7</v>
      </c>
      <c r="D14" s="18" t="s">
        <v>354</v>
      </c>
      <c r="E14" s="38" t="s">
        <v>370</v>
      </c>
    </row>
    <row r="15" customFormat="false" ht="15" hidden="false" customHeight="false" outlineLevel="0" collapsed="false">
      <c r="A15" s="18" t="s">
        <v>371</v>
      </c>
      <c r="C15" s="42" t="n">
        <v>14</v>
      </c>
      <c r="D15" s="18" t="s">
        <v>354</v>
      </c>
      <c r="E15" s="38" t="s">
        <v>372</v>
      </c>
    </row>
    <row r="17" customFormat="false" ht="15" hidden="false" customHeight="false" outlineLevel="0" collapsed="false">
      <c r="A17" s="7" t="s">
        <v>373</v>
      </c>
    </row>
    <row r="18" customFormat="false" ht="30" hidden="false" customHeight="true" outlineLevel="0" collapsed="false">
      <c r="A18" s="8" t="s">
        <v>374</v>
      </c>
      <c r="C18" s="8" t="s">
        <v>375</v>
      </c>
      <c r="D18" s="8" t="s">
        <v>376</v>
      </c>
      <c r="E18" s="8" t="s">
        <v>377</v>
      </c>
    </row>
    <row r="19" customFormat="false" ht="15" hidden="false" customHeight="false" outlineLevel="0" collapsed="false">
      <c r="A19" s="18" t="s">
        <v>378</v>
      </c>
      <c r="C19" s="43" t="n">
        <f aca="false">IF(E19="",D19,E19)</f>
        <v>0.737628524119272</v>
      </c>
      <c r="D19" s="41" t="n">
        <v>0.7367</v>
      </c>
      <c r="E19" s="20" t="n">
        <f aca="false">IF(SUMIFS(T_Batch!$I$6:$I$55,T_Batch!$B$6:$B$55,"Aktual")=0,"",(SUMIFS(T_Batch!$J$6:$J$55,T_Batch!$B$6:$B$55,"Aktual")+SUMIFS(T_Batch!$K$6:$K$55,T_Batch!$B$6:$B$55,"Aktual"))/SUMIFS(T_Batch!$I$6:$I$55,T_Batch!$B$6:$B$55,"Aktual"))</f>
        <v>0.737628524119272</v>
      </c>
    </row>
    <row r="20" customFormat="false" ht="15" hidden="false" customHeight="false" outlineLevel="0" collapsed="false">
      <c r="A20" s="18" t="s">
        <v>379</v>
      </c>
      <c r="C20" s="43" t="n">
        <f aca="false">IF(E20="",D20,E20)</f>
        <v>0.0443559190270598</v>
      </c>
      <c r="D20" s="41" t="n">
        <v>0.0467</v>
      </c>
      <c r="E20" s="20" t="n">
        <f aca="false">IF(SUMIFS(T_Batch!$I$6:$I$55,T_Batch!$B$6:$B$55,"Aktual")=0,"",(SUMIFS(T_Batch!$L$6:$L$55,T_Batch!$B$6:$B$55,"Aktual"))/SUMIFS(T_Batch!$I$6:$I$55,T_Batch!$B$6:$B$55,"Aktual"))</f>
        <v>0.0443559190270598</v>
      </c>
    </row>
    <row r="21" customFormat="false" ht="15" hidden="false" customHeight="false" outlineLevel="0" collapsed="false">
      <c r="A21" s="18" t="s">
        <v>380</v>
      </c>
      <c r="C21" s="43" t="n">
        <f aca="false">IF(E21="",D21,E21)</f>
        <v>0.0278196248259626</v>
      </c>
      <c r="D21" s="41" t="n">
        <v>0.0294</v>
      </c>
      <c r="E21" s="20" t="n">
        <f aca="false">IF(SUMIFS(T_Batch!$I$6:$I$55,T_Batch!$B$6:$B$55,"Aktual")=0,"",(SUMIFS(T_Batch!$M$6:$M$55,T_Batch!$B$6:$B$55,"Aktual"))/SUMIFS(T_Batch!$I$6:$I$55,T_Batch!$B$6:$B$55,"Aktual"))</f>
        <v>0.0278196248259626</v>
      </c>
    </row>
    <row r="22" customFormat="false" ht="15" hidden="false" customHeight="false" outlineLevel="0" collapsed="false">
      <c r="A22" s="18" t="s">
        <v>381</v>
      </c>
      <c r="C22" s="43" t="n">
        <f aca="false">IF(E22="",D22,E22)</f>
        <v>0.0446238377378877</v>
      </c>
      <c r="D22" s="41" t="n">
        <v>0.0436</v>
      </c>
      <c r="E22" s="20" t="n">
        <f aca="false">IF(SUMIFS(T_Batch!$I$6:$I$55,T_Batch!$B$6:$B$55,"Aktual")=0,"",(SUMIFS(T_Batch!$N$6:$N$55,T_Batch!$B$6:$B$55,"Aktual"))/SUMIFS(T_Batch!$I$6:$I$55,T_Batch!$B$6:$B$55,"Aktual"))</f>
        <v>0.0446238377378877</v>
      </c>
    </row>
    <row r="23" customFormat="false" ht="15" hidden="false" customHeight="false" outlineLevel="0" collapsed="false">
      <c r="A23" s="18" t="s">
        <v>382</v>
      </c>
      <c r="C23" s="43" t="n">
        <f aca="false">IF(E23="",D23,E23)</f>
        <v>0.0526745753927644</v>
      </c>
      <c r="D23" s="41" t="n">
        <v>0.056</v>
      </c>
      <c r="E23" s="20" t="n">
        <f aca="false">IF(SUMIFS(T_Batch!$I$6:$I$55,T_Batch!$B$6:$B$55,"Aktual")=0,"",(SUMIFS(T_Batch!$O$6:$O$55,T_Batch!$B$6:$B$55,"Aktual"))/SUMIFS(T_Batch!$I$6:$I$55,T_Batch!$B$6:$B$55,"Aktual"))</f>
        <v>0.0526745753927644</v>
      </c>
    </row>
    <row r="24" customFormat="false" ht="15" hidden="false" customHeight="false" outlineLevel="0" collapsed="false">
      <c r="A24" s="18" t="s">
        <v>383</v>
      </c>
      <c r="C24" s="43" t="n">
        <f aca="false">IF(E24="",D24,E24)</f>
        <v>0.00316671131978514</v>
      </c>
      <c r="D24" s="41" t="n">
        <v>0.0034</v>
      </c>
      <c r="E24" s="20" t="n">
        <f aca="false">IF(SUMIFS(T_Batch!$I$6:$I$55,T_Batch!$B$6:$B$55,"Aktual")=0,"",(SUMIFS(T_Batch!$P$6:$P$55,T_Batch!$B$6:$B$55,"Aktual"))/SUMIFS(T_Batch!$I$6:$I$55,T_Batch!$B$6:$B$55,"Aktual"))</f>
        <v>0.00316671131978514</v>
      </c>
    </row>
    <row r="25" customFormat="false" ht="15" hidden="false" customHeight="false" outlineLevel="0" collapsed="false">
      <c r="A25" s="6" t="s">
        <v>384</v>
      </c>
    </row>
    <row r="27" customFormat="false" ht="15" hidden="false" customHeight="false" outlineLevel="0" collapsed="false">
      <c r="A27" s="7" t="s">
        <v>385</v>
      </c>
    </row>
    <row r="28" customFormat="false" ht="15" hidden="false" customHeight="false" outlineLevel="0" collapsed="false">
      <c r="A28" s="18" t="s">
        <v>386</v>
      </c>
      <c r="C28" s="10" t="n">
        <f aca="false">IFERROR(INDEX(I_Master!$F$6:$F$85,MATCH("RPA|Karkas|Fresh",I_Master!$A$6:$A$85,0)),0)</f>
        <v>36705</v>
      </c>
      <c r="D28" s="18" t="s">
        <v>363</v>
      </c>
      <c r="E28" s="19" t="s">
        <v>387</v>
      </c>
    </row>
    <row r="29" customFormat="false" ht="15" hidden="false" customHeight="false" outlineLevel="0" collapsed="false">
      <c r="A29" s="18" t="s">
        <v>388</v>
      </c>
      <c r="C29" s="10" t="n">
        <f aca="false">IFERROR(INDEX(I_Master!$F$6:$F$85,MATCH("RPA|Karkas|Frozen",I_Master!$A$6:$A$85,0)),0)</f>
        <v>31658</v>
      </c>
      <c r="D29" s="18" t="s">
        <v>363</v>
      </c>
      <c r="E29" s="19" t="s">
        <v>389</v>
      </c>
    </row>
    <row r="30" customFormat="false" ht="15" hidden="false" customHeight="false" outlineLevel="0" collapsed="false">
      <c r="A30" s="18" t="s">
        <v>379</v>
      </c>
      <c r="C30" s="10" t="n">
        <f aca="false">IFERROR(INDEX(I_Master!$F$6:$F$85,MATCH("RPA|Kepala|Fresh",I_Master!$A$6:$A$85,0)),0)</f>
        <v>4029</v>
      </c>
      <c r="D30" s="18" t="s">
        <v>363</v>
      </c>
      <c r="E30" s="19" t="s">
        <v>390</v>
      </c>
    </row>
    <row r="31" customFormat="false" ht="15" hidden="false" customHeight="false" outlineLevel="0" collapsed="false">
      <c r="A31" s="18" t="s">
        <v>380</v>
      </c>
      <c r="C31" s="10" t="n">
        <f aca="false">IFERROR(INDEX(I_Master!$F$6:$F$85,MATCH("RPA|Ceker|Fresh",I_Master!$A$6:$A$85,0)),0)</f>
        <v>3101</v>
      </c>
      <c r="D31" s="18" t="s">
        <v>363</v>
      </c>
      <c r="E31" s="19" t="s">
        <v>391</v>
      </c>
    </row>
    <row r="32" customFormat="false" ht="15" hidden="false" customHeight="false" outlineLevel="0" collapsed="false">
      <c r="A32" s="18" t="s">
        <v>381</v>
      </c>
      <c r="C32" s="10" t="n">
        <f aca="false">IFERROR(INDEX(I_Master!$F$6:$F$85,MATCH("RPA|Usus|Fresh",I_Master!$A$6:$A$85,0)),0)</f>
        <v>1500</v>
      </c>
      <c r="D32" s="18" t="s">
        <v>363</v>
      </c>
      <c r="E32" s="19" t="s">
        <v>392</v>
      </c>
    </row>
    <row r="33" customFormat="false" ht="15" hidden="false" customHeight="false" outlineLevel="0" collapsed="false">
      <c r="A33" s="18" t="s">
        <v>382</v>
      </c>
      <c r="C33" s="10" t="n">
        <f aca="false">IFERROR(INDEX(I_Master!$F$6:$F$85,MATCH("RPA|HJA (Hati/Jantung/Ampela)|Fresh",I_Master!$A$6:$A$85,0)),0)</f>
        <v>4515</v>
      </c>
      <c r="D33" s="18" t="s">
        <v>363</v>
      </c>
      <c r="E33" s="19" t="s">
        <v>393</v>
      </c>
    </row>
    <row r="34" customFormat="false" ht="15" hidden="false" customHeight="false" outlineLevel="0" collapsed="false">
      <c r="A34" s="18" t="s">
        <v>383</v>
      </c>
      <c r="C34" s="10" t="n">
        <f aca="false">IFERROR(INDEX(I_Master!$F$6:$F$85,MATCH("RPA|Lemak|Frozen",I_Master!$A$6:$A$85,0)),0)</f>
        <v>24000</v>
      </c>
      <c r="D34" s="18" t="s">
        <v>363</v>
      </c>
      <c r="E34" s="19" t="s">
        <v>394</v>
      </c>
    </row>
    <row r="36" customFormat="false" ht="15" hidden="false" customHeight="false" outlineLevel="0" collapsed="false">
      <c r="A36" s="7" t="s">
        <v>395</v>
      </c>
    </row>
    <row r="37" customFormat="false" ht="30" hidden="false" customHeight="true" outlineLevel="0" collapsed="false">
      <c r="A37" s="8" t="s">
        <v>24</v>
      </c>
      <c r="C37" s="8" t="s">
        <v>396</v>
      </c>
      <c r="D37" s="8" t="s">
        <v>397</v>
      </c>
      <c r="E37" s="8" t="s">
        <v>398</v>
      </c>
    </row>
    <row r="38" customFormat="false" ht="15" hidden="false" customHeight="false" outlineLevel="0" collapsed="false">
      <c r="A38" s="18" t="s">
        <v>38</v>
      </c>
      <c r="C38" s="42" t="n">
        <v>26718</v>
      </c>
      <c r="D38" s="42" t="n">
        <v>706116468</v>
      </c>
      <c r="E38" s="42" t="n">
        <v>-4133933</v>
      </c>
    </row>
    <row r="39" customFormat="false" ht="15" hidden="false" customHeight="false" outlineLevel="0" collapsed="false">
      <c r="A39" s="18" t="s">
        <v>39</v>
      </c>
      <c r="C39" s="42" t="n">
        <v>25461</v>
      </c>
      <c r="D39" s="42" t="n">
        <v>876172743</v>
      </c>
      <c r="E39" s="42" t="n">
        <v>50226637</v>
      </c>
    </row>
    <row r="40" customFormat="false" ht="15" hidden="false" customHeight="false" outlineLevel="0" collapsed="false">
      <c r="A40" s="6" t="s">
        <v>399</v>
      </c>
    </row>
    <row r="42" customFormat="false" ht="15" hidden="false" customHeight="false" outlineLevel="0" collapsed="false">
      <c r="A42" s="7" t="s">
        <v>400</v>
      </c>
    </row>
    <row r="43" customFormat="false" ht="15" hidden="false" customHeight="false" outlineLevel="0" collapsed="false">
      <c r="A43" s="18" t="s">
        <v>401</v>
      </c>
      <c r="C43" s="42"/>
      <c r="D43" s="18" t="s">
        <v>49</v>
      </c>
      <c r="E43" s="38" t="s">
        <v>402</v>
      </c>
    </row>
    <row r="44" customFormat="false" ht="15" hidden="false" customHeight="false" outlineLevel="0" collapsed="false">
      <c r="A44" s="18" t="s">
        <v>403</v>
      </c>
      <c r="C44" s="42"/>
      <c r="D44" s="18" t="s">
        <v>73</v>
      </c>
      <c r="E44" s="38"/>
    </row>
    <row r="46" customFormat="false" ht="15" hidden="false" customHeight="false" outlineLevel="0" collapsed="false">
      <c r="A46" s="7" t="s">
        <v>404</v>
      </c>
    </row>
    <row r="47" customFormat="false" ht="15" hidden="false" customHeight="false" outlineLevel="0" collapsed="false">
      <c r="A47" s="18" t="s">
        <v>405</v>
      </c>
      <c r="C47" s="37" t="n">
        <v>46234</v>
      </c>
      <c r="D47" s="18" t="s">
        <v>348</v>
      </c>
      <c r="E47" s="38" t="s">
        <v>406</v>
      </c>
    </row>
    <row r="48" customFormat="false" ht="15" hidden="false" customHeight="false" outlineLevel="0" collapsed="false">
      <c r="A48" s="18" t="s">
        <v>407</v>
      </c>
      <c r="C48" s="42" t="n">
        <v>30</v>
      </c>
      <c r="D48" s="18" t="s">
        <v>354</v>
      </c>
      <c r="E48" s="38" t="s">
        <v>408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9" min="8" style="0" width="11"/>
    <col collapsed="false" customWidth="true" hidden="false" outlineLevel="0" max="12" min="10" style="0" width="15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24"/>
    <col collapsed="false" customWidth="true" hidden="false" outlineLevel="0" max="16" min="16" style="0" width="8"/>
  </cols>
  <sheetData>
    <row r="1" customFormat="false" ht="16.15" hidden="false" customHeight="false" outlineLevel="0" collapsed="false">
      <c r="A1" s="1" t="s">
        <v>409</v>
      </c>
    </row>
    <row r="2" customFormat="false" ht="15" hidden="false" customHeight="false" outlineLevel="0" collapsed="false">
      <c r="A2" s="6" t="s">
        <v>410</v>
      </c>
    </row>
    <row r="5" customFormat="false" ht="33.75" hidden="false" customHeight="true" outlineLevel="0" collapsed="false">
      <c r="A5" s="8" t="s">
        <v>110</v>
      </c>
      <c r="B5" s="8" t="s">
        <v>102</v>
      </c>
      <c r="C5" s="8" t="s">
        <v>411</v>
      </c>
      <c r="D5" s="8" t="s">
        <v>412</v>
      </c>
      <c r="E5" s="8" t="s">
        <v>413</v>
      </c>
      <c r="F5" s="8" t="s">
        <v>414</v>
      </c>
      <c r="G5" s="8" t="s">
        <v>415</v>
      </c>
      <c r="H5" s="8" t="s">
        <v>49</v>
      </c>
      <c r="I5" s="8" t="s">
        <v>416</v>
      </c>
      <c r="J5" s="8" t="s">
        <v>105</v>
      </c>
      <c r="K5" s="8" t="s">
        <v>417</v>
      </c>
      <c r="L5" s="8" t="s">
        <v>418</v>
      </c>
      <c r="M5" s="8" t="s">
        <v>419</v>
      </c>
      <c r="N5" s="8" t="s">
        <v>24</v>
      </c>
      <c r="O5" s="8" t="s">
        <v>278</v>
      </c>
      <c r="P5" s="8" t="s">
        <v>420</v>
      </c>
    </row>
    <row r="6" customFormat="false" ht="15" hidden="false" customHeight="false" outlineLevel="0" collapsed="false">
      <c r="A6" s="37" t="n">
        <v>46258</v>
      </c>
      <c r="B6" s="44" t="s">
        <v>128</v>
      </c>
      <c r="C6" s="44" t="s">
        <v>421</v>
      </c>
      <c r="D6" s="44"/>
      <c r="E6" s="44" t="s">
        <v>422</v>
      </c>
      <c r="F6" s="44"/>
      <c r="G6" s="34" t="str">
        <f aca="false">IF(F6&lt;&gt;"",F6,IF(E6="","",IFERROR(INDEX(I_Item!$C$6:$C$255,MATCH(E6,I_Item!$A$6:$A$255,0)),"KODE BARU")))</f>
        <v>Trading|Karkas|n/a</v>
      </c>
      <c r="H6" s="45" t="n">
        <v>2704.1</v>
      </c>
      <c r="I6" s="42" t="n">
        <v>31277</v>
      </c>
      <c r="J6" s="11" t="n">
        <f aca="false">IF(H6="","",H6*I6)</f>
        <v>84576135.7</v>
      </c>
      <c r="K6" s="42" t="n">
        <v>86764191</v>
      </c>
      <c r="L6" s="11" t="n">
        <f aca="false">IF(H6="","",IF(K6&lt;&gt;"",K6,H6*IFERROR(INDEX(O_Stok!$Q$6:$Q$85,MATCH(G6,O_Stok!$A$6:$A$85,0)),0)))</f>
        <v>86764191</v>
      </c>
      <c r="M6" s="11" t="n">
        <f aca="false">IF(H6="","",J6-L6)</f>
        <v>-2188055.3</v>
      </c>
      <c r="N6" s="34" t="str">
        <f aca="false">IF(G6="","",IFERROR(INDEX(I_Master!$B$6:$B$85,MATCH(G6,I_Master!$A$6:$A$85,0)),"?"))</f>
        <v>Trading</v>
      </c>
      <c r="O6" s="34" t="str">
        <f aca="false">IF(G6="","",IFERROR(INDEX(I_Master!$E$6:$E$85,MATCH(G6,I_Master!$A$6:$A$85,0)),"?"))</f>
        <v>Karkas</v>
      </c>
      <c r="P6" s="46" t="n">
        <f aca="false">IF(H6="","",IF(OR(A6&lt;I_Parameter!$C$5,A6&gt;I_Parameter!$C$6),0,IF(B6="Aktual",1,IF(AND(B6="Order",A6&gt;=I_Parameter!$C$4),1,0))))</f>
        <v>1</v>
      </c>
    </row>
    <row r="7" customFormat="false" ht="15" hidden="false" customHeight="false" outlineLevel="0" collapsed="false">
      <c r="A7" s="37" t="n">
        <v>46258</v>
      </c>
      <c r="B7" s="44" t="s">
        <v>128</v>
      </c>
      <c r="C7" s="44" t="s">
        <v>421</v>
      </c>
      <c r="D7" s="44"/>
      <c r="E7" s="44" t="s">
        <v>423</v>
      </c>
      <c r="F7" s="44"/>
      <c r="G7" s="34" t="str">
        <f aca="false">IF(F7&lt;&gt;"",F7,IF(E7="","",IFERROR(INDEX(I_Item!$C$6:$C$255,MATCH(E7,I_Item!$A$6:$A$255,0)),"KODE BARU")))</f>
        <v>Trading|Karkas|n/a</v>
      </c>
      <c r="H7" s="45" t="n">
        <v>261.5</v>
      </c>
      <c r="I7" s="42" t="n">
        <v>31277</v>
      </c>
      <c r="J7" s="11" t="n">
        <f aca="false">IF(H7="","",H7*I7)</f>
        <v>8178935.5</v>
      </c>
      <c r="K7" s="42" t="n">
        <v>6122823</v>
      </c>
      <c r="L7" s="11" t="n">
        <f aca="false">IF(H7="","",IF(K7&lt;&gt;"",K7,H7*IFERROR(INDEX(O_Stok!$Q$6:$Q$85,MATCH(G7,O_Stok!$A$6:$A$85,0)),0)))</f>
        <v>6122823</v>
      </c>
      <c r="M7" s="11" t="n">
        <f aca="false">IF(H7="","",J7-L7)</f>
        <v>2056112.5</v>
      </c>
      <c r="N7" s="34" t="str">
        <f aca="false">IF(G7="","",IFERROR(INDEX(I_Master!$B$6:$B$85,MATCH(G7,I_Master!$A$6:$A$85,0)),"?"))</f>
        <v>Trading</v>
      </c>
      <c r="O7" s="34" t="str">
        <f aca="false">IF(G7="","",IFERROR(INDEX(I_Master!$E$6:$E$85,MATCH(G7,I_Master!$A$6:$A$85,0)),"?"))</f>
        <v>Karkas</v>
      </c>
      <c r="P7" s="46" t="n">
        <f aca="false">IF(H7="","",IF(OR(A7&lt;I_Parameter!$C$5,A7&gt;I_Parameter!$C$6),0,IF(B7="Aktual",1,IF(AND(B7="Order",A7&gt;=I_Parameter!$C$4),1,0))))</f>
        <v>1</v>
      </c>
    </row>
    <row r="8" customFormat="false" ht="15" hidden="false" customHeight="false" outlineLevel="0" collapsed="false">
      <c r="A8" s="37" t="n">
        <v>46258</v>
      </c>
      <c r="B8" s="44" t="s">
        <v>128</v>
      </c>
      <c r="C8" s="44" t="s">
        <v>421</v>
      </c>
      <c r="D8" s="44"/>
      <c r="E8" s="44" t="s">
        <v>424</v>
      </c>
      <c r="F8" s="44"/>
      <c r="G8" s="34" t="str">
        <f aca="false">IF(F8&lt;&gt;"",F8,IF(E8="","",IFERROR(INDEX(I_Item!$C$6:$C$255,MATCH(E8,I_Item!$A$6:$A$255,0)),"KODE BARU")))</f>
        <v>Trading|Karkas|n/a</v>
      </c>
      <c r="H8" s="45" t="n">
        <v>285.9</v>
      </c>
      <c r="I8" s="42" t="n">
        <v>31277</v>
      </c>
      <c r="J8" s="11" t="n">
        <f aca="false">IF(H8="","",H8*I8)</f>
        <v>8942094.3</v>
      </c>
      <c r="K8" s="42" t="n">
        <v>6575700</v>
      </c>
      <c r="L8" s="11" t="n">
        <f aca="false">IF(H8="","",IF(K8&lt;&gt;"",K8,H8*IFERROR(INDEX(O_Stok!$Q$6:$Q$85,MATCH(G8,O_Stok!$A$6:$A$85,0)),0)))</f>
        <v>6575700</v>
      </c>
      <c r="M8" s="11" t="n">
        <f aca="false">IF(H8="","",J8-L8)</f>
        <v>2366394.3</v>
      </c>
      <c r="N8" s="34" t="str">
        <f aca="false">IF(G8="","",IFERROR(INDEX(I_Master!$B$6:$B$85,MATCH(G8,I_Master!$A$6:$A$85,0)),"?"))</f>
        <v>Trading</v>
      </c>
      <c r="O8" s="34" t="str">
        <f aca="false">IF(G8="","",IFERROR(INDEX(I_Master!$E$6:$E$85,MATCH(G8,I_Master!$A$6:$A$85,0)),"?"))</f>
        <v>Karkas</v>
      </c>
      <c r="P8" s="46" t="n">
        <f aca="false">IF(H8="","",IF(OR(A8&lt;I_Parameter!$C$5,A8&gt;I_Parameter!$C$6),0,IF(B8="Aktual",1,IF(AND(B8="Order",A8&gt;=I_Parameter!$C$4),1,0))))</f>
        <v>1</v>
      </c>
    </row>
    <row r="9" customFormat="false" ht="15" hidden="false" customHeight="false" outlineLevel="0" collapsed="false">
      <c r="A9" s="37" t="n">
        <v>46258</v>
      </c>
      <c r="B9" s="44" t="s">
        <v>128</v>
      </c>
      <c r="C9" s="44" t="s">
        <v>421</v>
      </c>
      <c r="D9" s="44"/>
      <c r="E9" s="44" t="s">
        <v>425</v>
      </c>
      <c r="F9" s="44"/>
      <c r="G9" s="34" t="str">
        <f aca="false">IF(F9&lt;&gt;"",F9,IF(E9="","",IFERROR(INDEX(I_Item!$C$6:$C$255,MATCH(E9,I_Item!$A$6:$A$255,0)),"KODE BARU")))</f>
        <v>Trading|Karkas|n/a</v>
      </c>
      <c r="H9" s="45" t="n">
        <v>273.8</v>
      </c>
      <c r="I9" s="42" t="n">
        <v>31277</v>
      </c>
      <c r="J9" s="11" t="n">
        <f aca="false">IF(H9="","",H9*I9)</f>
        <v>8563642.6</v>
      </c>
      <c r="K9" s="42" t="n">
        <v>6282450</v>
      </c>
      <c r="L9" s="11" t="n">
        <f aca="false">IF(H9="","",IF(K9&lt;&gt;"",K9,H9*IFERROR(INDEX(O_Stok!$Q$6:$Q$85,MATCH(G9,O_Stok!$A$6:$A$85,0)),0)))</f>
        <v>6282450</v>
      </c>
      <c r="M9" s="11" t="n">
        <f aca="false">IF(H9="","",J9-L9)</f>
        <v>2281192.6</v>
      </c>
      <c r="N9" s="34" t="str">
        <f aca="false">IF(G9="","",IFERROR(INDEX(I_Master!$B$6:$B$85,MATCH(G9,I_Master!$A$6:$A$85,0)),"?"))</f>
        <v>Trading</v>
      </c>
      <c r="O9" s="34" t="str">
        <f aca="false">IF(G9="","",IFERROR(INDEX(I_Master!$E$6:$E$85,MATCH(G9,I_Master!$A$6:$A$85,0)),"?"))</f>
        <v>Karkas</v>
      </c>
      <c r="P9" s="46" t="n">
        <f aca="false">IF(H9="","",IF(OR(A9&lt;I_Parameter!$C$5,A9&gt;I_Parameter!$C$6),0,IF(B9="Aktual",1,IF(AND(B9="Order",A9&gt;=I_Parameter!$C$4),1,0))))</f>
        <v>1</v>
      </c>
    </row>
    <row r="10" customFormat="false" ht="15" hidden="false" customHeight="false" outlineLevel="0" collapsed="false">
      <c r="A10" s="37" t="n">
        <v>46258</v>
      </c>
      <c r="B10" s="44" t="s">
        <v>128</v>
      </c>
      <c r="C10" s="44" t="s">
        <v>421</v>
      </c>
      <c r="D10" s="44"/>
      <c r="E10" s="44" t="s">
        <v>426</v>
      </c>
      <c r="F10" s="44"/>
      <c r="G10" s="34" t="str">
        <f aca="false">IF(F10&lt;&gt;"",F10,IF(E10="","",IFERROR(INDEX(I_Item!$C$6:$C$255,MATCH(E10,I_Item!$A$6:$A$255,0)),"KODE BARU")))</f>
        <v>Trading|Karkas|n/a</v>
      </c>
      <c r="H10" s="45" t="n">
        <v>82.5</v>
      </c>
      <c r="I10" s="42" t="n">
        <v>31277</v>
      </c>
      <c r="J10" s="11" t="n">
        <f aca="false">IF(H10="","",H10*I10)</f>
        <v>2580352.5</v>
      </c>
      <c r="K10" s="42" t="n">
        <v>1897500</v>
      </c>
      <c r="L10" s="11" t="n">
        <f aca="false">IF(H10="","",IF(K10&lt;&gt;"",K10,H10*IFERROR(INDEX(O_Stok!$Q$6:$Q$85,MATCH(G10,O_Stok!$A$6:$A$85,0)),0)))</f>
        <v>1897500</v>
      </c>
      <c r="M10" s="11" t="n">
        <f aca="false">IF(H10="","",J10-L10)</f>
        <v>682852.5</v>
      </c>
      <c r="N10" s="34" t="str">
        <f aca="false">IF(G10="","",IFERROR(INDEX(I_Master!$B$6:$B$85,MATCH(G10,I_Master!$A$6:$A$85,0)),"?"))</f>
        <v>Trading</v>
      </c>
      <c r="O10" s="34" t="str">
        <f aca="false">IF(G10="","",IFERROR(INDEX(I_Master!$E$6:$E$85,MATCH(G10,I_Master!$A$6:$A$85,0)),"?"))</f>
        <v>Karkas</v>
      </c>
      <c r="P10" s="46" t="n">
        <f aca="false">IF(H10="","",IF(OR(A10&lt;I_Parameter!$C$5,A10&gt;I_Parameter!$C$6),0,IF(B10="Aktual",1,IF(AND(B10="Order",A10&gt;=I_Parameter!$C$4),1,0))))</f>
        <v>1</v>
      </c>
    </row>
    <row r="11" customFormat="false" ht="15" hidden="false" customHeight="false" outlineLevel="0" collapsed="false">
      <c r="A11" s="37" t="n">
        <v>46258</v>
      </c>
      <c r="B11" s="44" t="s">
        <v>128</v>
      </c>
      <c r="C11" s="44" t="s">
        <v>421</v>
      </c>
      <c r="D11" s="44"/>
      <c r="E11" s="44" t="s">
        <v>427</v>
      </c>
      <c r="F11" s="44"/>
      <c r="G11" s="34" t="str">
        <f aca="false">IF(F11&lt;&gt;"",F11,IF(E11="","",IFERROR(INDEX(I_Item!$C$6:$C$255,MATCH(E11,I_Item!$A$6:$A$255,0)),"KODE BARU")))</f>
        <v>Trading|Karkas|n/a</v>
      </c>
      <c r="H11" s="45" t="n">
        <v>381.5</v>
      </c>
      <c r="I11" s="42" t="n">
        <v>31277</v>
      </c>
      <c r="J11" s="11" t="n">
        <f aca="false">IF(H11="","",H11*I11)</f>
        <v>11932175.5</v>
      </c>
      <c r="K11" s="42" t="n">
        <v>11453531</v>
      </c>
      <c r="L11" s="11" t="n">
        <f aca="false">IF(H11="","",IF(K11&lt;&gt;"",K11,H11*IFERROR(INDEX(O_Stok!$Q$6:$Q$85,MATCH(G11,O_Stok!$A$6:$A$85,0)),0)))</f>
        <v>11453531</v>
      </c>
      <c r="M11" s="11" t="n">
        <f aca="false">IF(H11="","",J11-L11)</f>
        <v>478644.5</v>
      </c>
      <c r="N11" s="34" t="str">
        <f aca="false">IF(G11="","",IFERROR(INDEX(I_Master!$B$6:$B$85,MATCH(G11,I_Master!$A$6:$A$85,0)),"?"))</f>
        <v>Trading</v>
      </c>
      <c r="O11" s="34" t="str">
        <f aca="false">IF(G11="","",IFERROR(INDEX(I_Master!$E$6:$E$85,MATCH(G11,I_Master!$A$6:$A$85,0)),"?"))</f>
        <v>Karkas</v>
      </c>
      <c r="P11" s="46" t="n">
        <f aca="false">IF(H11="","",IF(OR(A11&lt;I_Parameter!$C$5,A11&gt;I_Parameter!$C$6),0,IF(B11="Aktual",1,IF(AND(B11="Order",A11&gt;=I_Parameter!$C$4),1,0))))</f>
        <v>1</v>
      </c>
    </row>
    <row r="12" customFormat="false" ht="15" hidden="false" customHeight="false" outlineLevel="0" collapsed="false">
      <c r="A12" s="37" t="n">
        <v>46258</v>
      </c>
      <c r="B12" s="44" t="s">
        <v>128</v>
      </c>
      <c r="C12" s="44" t="s">
        <v>428</v>
      </c>
      <c r="D12" s="44" t="s">
        <v>429</v>
      </c>
      <c r="E12" s="44" t="s">
        <v>430</v>
      </c>
      <c r="F12" s="44"/>
      <c r="G12" s="34" t="str">
        <f aca="false">IF(F12&lt;&gt;"",F12,IF(E12="","",IFERROR(INDEX(I_Item!$C$6:$C$255,MATCH(E12,I_Item!$A$6:$A$255,0)),"KODE BARU")))</f>
        <v>Trading|Karkas|n/a</v>
      </c>
      <c r="H12" s="45" t="n">
        <v>209.73</v>
      </c>
      <c r="I12" s="42" t="n">
        <v>31277</v>
      </c>
      <c r="J12" s="11" t="n">
        <f aca="false">IF(H12="","",H12*I12)</f>
        <v>6559725.21</v>
      </c>
      <c r="K12" s="42" t="n">
        <v>6316057</v>
      </c>
      <c r="L12" s="11" t="n">
        <f aca="false">IF(H12="","",IF(K12&lt;&gt;"",K12,H12*IFERROR(INDEX(O_Stok!$Q$6:$Q$85,MATCH(G12,O_Stok!$A$6:$A$85,0)),0)))</f>
        <v>6316057</v>
      </c>
      <c r="M12" s="11" t="n">
        <f aca="false">IF(H12="","",J12-L12)</f>
        <v>243668.21</v>
      </c>
      <c r="N12" s="34" t="str">
        <f aca="false">IF(G12="","",IFERROR(INDEX(I_Master!$B$6:$B$85,MATCH(G12,I_Master!$A$6:$A$85,0)),"?"))</f>
        <v>Trading</v>
      </c>
      <c r="O12" s="34" t="str">
        <f aca="false">IF(G12="","",IFERROR(INDEX(I_Master!$E$6:$E$85,MATCH(G12,I_Master!$A$6:$A$85,0)),"?"))</f>
        <v>Karkas</v>
      </c>
      <c r="P12" s="46" t="n">
        <f aca="false">IF(H12="","",IF(OR(A12&lt;I_Parameter!$C$5,A12&gt;I_Parameter!$C$6),0,IF(B12="Aktual",1,IF(AND(B12="Order",A12&gt;=I_Parameter!$C$4),1,0))))</f>
        <v>1</v>
      </c>
    </row>
    <row r="13" customFormat="false" ht="15" hidden="false" customHeight="false" outlineLevel="0" collapsed="false">
      <c r="A13" s="37" t="n">
        <v>46258</v>
      </c>
      <c r="B13" s="44" t="s">
        <v>128</v>
      </c>
      <c r="C13" s="44" t="s">
        <v>431</v>
      </c>
      <c r="D13" s="44" t="s">
        <v>432</v>
      </c>
      <c r="E13" s="44" t="s">
        <v>433</v>
      </c>
      <c r="F13" s="44"/>
      <c r="G13" s="34" t="str">
        <f aca="false">IF(F13&lt;&gt;"",F13,IF(E13="","",IFERROR(INDEX(I_Item!$C$6:$C$255,MATCH(E13,I_Item!$A$6:$A$255,0)),"KODE BARU")))</f>
        <v>RPA|Karkas|Frozen</v>
      </c>
      <c r="H13" s="45" t="n">
        <v>963.84</v>
      </c>
      <c r="I13" s="42" t="n">
        <v>31658</v>
      </c>
      <c r="J13" s="11" t="n">
        <f aca="false">IF(H13="","",H13*I13)</f>
        <v>30513246.72</v>
      </c>
      <c r="K13" s="42" t="n">
        <v>29054974</v>
      </c>
      <c r="L13" s="11" t="n">
        <f aca="false">IF(H13="","",IF(K13&lt;&gt;"",K13,H13*IFERROR(INDEX(O_Stok!$Q$6:$Q$85,MATCH(G13,O_Stok!$A$6:$A$85,0)),0)))</f>
        <v>29054974</v>
      </c>
      <c r="M13" s="11" t="n">
        <f aca="false">IF(H13="","",J13-L13)</f>
        <v>1458272.72</v>
      </c>
      <c r="N13" s="34" t="str">
        <f aca="false">IF(G13="","",IFERROR(INDEX(I_Master!$B$6:$B$85,MATCH(G13,I_Master!$A$6:$A$85,0)),"?"))</f>
        <v>RPA</v>
      </c>
      <c r="O13" s="34" t="str">
        <f aca="false">IF(G13="","",IFERROR(INDEX(I_Master!$E$6:$E$85,MATCH(G13,I_Master!$A$6:$A$85,0)),"?"))</f>
        <v>Karkas frozen</v>
      </c>
      <c r="P13" s="46" t="n">
        <f aca="false">IF(H13="","",IF(OR(A13&lt;I_Parameter!$C$5,A13&gt;I_Parameter!$C$6),0,IF(B13="Aktual",1,IF(AND(B13="Order",A13&gt;=I_Parameter!$C$4),1,0))))</f>
        <v>1</v>
      </c>
    </row>
    <row r="14" customFormat="false" ht="15" hidden="false" customHeight="false" outlineLevel="0" collapsed="false">
      <c r="A14" s="37" t="n">
        <v>46258</v>
      </c>
      <c r="B14" s="44" t="s">
        <v>128</v>
      </c>
      <c r="C14" s="44" t="s">
        <v>431</v>
      </c>
      <c r="D14" s="44" t="s">
        <v>432</v>
      </c>
      <c r="E14" s="44" t="s">
        <v>430</v>
      </c>
      <c r="F14" s="44"/>
      <c r="G14" s="34" t="str">
        <f aca="false">IF(F14&lt;&gt;"",F14,IF(E14="","",IFERROR(INDEX(I_Item!$C$6:$C$255,MATCH(E14,I_Item!$A$6:$A$255,0)),"KODE BARU")))</f>
        <v>Trading|Karkas|n/a</v>
      </c>
      <c r="H14" s="45" t="n">
        <v>800.2</v>
      </c>
      <c r="I14" s="42" t="n">
        <v>31277</v>
      </c>
      <c r="J14" s="11" t="n">
        <f aca="false">IF(H14="","",H14*I14)</f>
        <v>25027855.4</v>
      </c>
      <c r="K14" s="42" t="n">
        <v>24098167</v>
      </c>
      <c r="L14" s="11" t="n">
        <f aca="false">IF(H14="","",IF(K14&lt;&gt;"",K14,H14*IFERROR(INDEX(O_Stok!$Q$6:$Q$85,MATCH(G14,O_Stok!$A$6:$A$85,0)),0)))</f>
        <v>24098167</v>
      </c>
      <c r="M14" s="11" t="n">
        <f aca="false">IF(H14="","",J14-L14)</f>
        <v>929688.400000002</v>
      </c>
      <c r="N14" s="34" t="str">
        <f aca="false">IF(G14="","",IFERROR(INDEX(I_Master!$B$6:$B$85,MATCH(G14,I_Master!$A$6:$A$85,0)),"?"))</f>
        <v>Trading</v>
      </c>
      <c r="O14" s="34" t="str">
        <f aca="false">IF(G14="","",IFERROR(INDEX(I_Master!$E$6:$E$85,MATCH(G14,I_Master!$A$6:$A$85,0)),"?"))</f>
        <v>Karkas</v>
      </c>
      <c r="P14" s="46" t="n">
        <f aca="false">IF(H14="","",IF(OR(A14&lt;I_Parameter!$C$5,A14&gt;I_Parameter!$C$6),0,IF(B14="Aktual",1,IF(AND(B14="Order",A14&gt;=I_Parameter!$C$4),1,0))))</f>
        <v>1</v>
      </c>
    </row>
    <row r="15" customFormat="false" ht="15" hidden="false" customHeight="false" outlineLevel="0" collapsed="false">
      <c r="A15" s="37" t="n">
        <v>46258</v>
      </c>
      <c r="B15" s="44" t="s">
        <v>128</v>
      </c>
      <c r="C15" s="44" t="s">
        <v>431</v>
      </c>
      <c r="D15" s="44" t="s">
        <v>432</v>
      </c>
      <c r="E15" s="44" t="s">
        <v>434</v>
      </c>
      <c r="F15" s="44"/>
      <c r="G15" s="34" t="str">
        <f aca="false">IF(F15&lt;&gt;"",F15,IF(E15="","",IFERROR(INDEX(I_Item!$C$6:$C$255,MATCH(E15,I_Item!$A$6:$A$255,0)),"KODE BARU")))</f>
        <v>Trading|Karkas|n/a</v>
      </c>
      <c r="H15" s="45" t="n">
        <v>619.15</v>
      </c>
      <c r="I15" s="42" t="n">
        <v>31277</v>
      </c>
      <c r="J15" s="11" t="n">
        <f aca="false">IF(H15="","",H15*I15)</f>
        <v>19365154.55</v>
      </c>
      <c r="K15" s="42" t="n">
        <v>19687352</v>
      </c>
      <c r="L15" s="11" t="n">
        <f aca="false">IF(H15="","",IF(K15&lt;&gt;"",K15,H15*IFERROR(INDEX(O_Stok!$Q$6:$Q$85,MATCH(G15,O_Stok!$A$6:$A$85,0)),0)))</f>
        <v>19687352</v>
      </c>
      <c r="M15" s="11" t="n">
        <f aca="false">IF(H15="","",J15-L15)</f>
        <v>-322197.449999999</v>
      </c>
      <c r="N15" s="34" t="str">
        <f aca="false">IF(G15="","",IFERROR(INDEX(I_Master!$B$6:$B$85,MATCH(G15,I_Master!$A$6:$A$85,0)),"?"))</f>
        <v>Trading</v>
      </c>
      <c r="O15" s="34" t="str">
        <f aca="false">IF(G15="","",IFERROR(INDEX(I_Master!$E$6:$E$85,MATCH(G15,I_Master!$A$6:$A$85,0)),"?"))</f>
        <v>Karkas</v>
      </c>
      <c r="P15" s="46" t="n">
        <f aca="false">IF(H15="","",IF(OR(A15&lt;I_Parameter!$C$5,A15&gt;I_Parameter!$C$6),0,IF(B15="Aktual",1,IF(AND(B15="Order",A15&gt;=I_Parameter!$C$4),1,0))))</f>
        <v>1</v>
      </c>
    </row>
    <row r="16" customFormat="false" ht="15" hidden="false" customHeight="false" outlineLevel="0" collapsed="false">
      <c r="A16" s="37" t="n">
        <v>46258</v>
      </c>
      <c r="B16" s="44" t="s">
        <v>128</v>
      </c>
      <c r="C16" s="44" t="s">
        <v>431</v>
      </c>
      <c r="D16" s="44" t="s">
        <v>432</v>
      </c>
      <c r="E16" s="44" t="s">
        <v>435</v>
      </c>
      <c r="F16" s="44"/>
      <c r="G16" s="34" t="str">
        <f aca="false">IF(F16&lt;&gt;"",F16,IF(E16="","",IFERROR(INDEX(I_Item!$C$6:$C$255,MATCH(E16,I_Item!$A$6:$A$255,0)),"KODE BARU")))</f>
        <v>Trading|Karkas|n/a</v>
      </c>
      <c r="H16" s="45" t="n">
        <v>496.2</v>
      </c>
      <c r="I16" s="42" t="n">
        <v>31277</v>
      </c>
      <c r="J16" s="11" t="n">
        <f aca="false">IF(H16="","",H16*I16)</f>
        <v>15519647.4</v>
      </c>
      <c r="K16" s="42" t="n">
        <v>14657882</v>
      </c>
      <c r="L16" s="11" t="n">
        <f aca="false">IF(H16="","",IF(K16&lt;&gt;"",K16,H16*IFERROR(INDEX(O_Stok!$Q$6:$Q$85,MATCH(G16,O_Stok!$A$6:$A$85,0)),0)))</f>
        <v>14657882</v>
      </c>
      <c r="M16" s="11" t="n">
        <f aca="false">IF(H16="","",J16-L16)</f>
        <v>861765.4</v>
      </c>
      <c r="N16" s="34" t="str">
        <f aca="false">IF(G16="","",IFERROR(INDEX(I_Master!$B$6:$B$85,MATCH(G16,I_Master!$A$6:$A$85,0)),"?"))</f>
        <v>Trading</v>
      </c>
      <c r="O16" s="34" t="str">
        <f aca="false">IF(G16="","",IFERROR(INDEX(I_Master!$E$6:$E$85,MATCH(G16,I_Master!$A$6:$A$85,0)),"?"))</f>
        <v>Karkas</v>
      </c>
      <c r="P16" s="46" t="n">
        <f aca="false">IF(H16="","",IF(OR(A16&lt;I_Parameter!$C$5,A16&gt;I_Parameter!$C$6),0,IF(B16="Aktual",1,IF(AND(B16="Order",A16&gt;=I_Parameter!$C$4),1,0))))</f>
        <v>1</v>
      </c>
    </row>
    <row r="17" customFormat="false" ht="15" hidden="false" customHeight="false" outlineLevel="0" collapsed="false">
      <c r="A17" s="37" t="n">
        <v>46260</v>
      </c>
      <c r="B17" s="44" t="s">
        <v>128</v>
      </c>
      <c r="C17" s="44" t="s">
        <v>436</v>
      </c>
      <c r="D17" s="44" t="s">
        <v>437</v>
      </c>
      <c r="E17" s="44" t="s">
        <v>438</v>
      </c>
      <c r="F17" s="44"/>
      <c r="G17" s="34" t="str">
        <f aca="false">IF(F17&lt;&gt;"",F17,IF(E17="","",IFERROR(INDEX(I_Item!$C$6:$C$255,MATCH(E17,I_Item!$A$6:$A$255,0)),"KODE BARU")))</f>
        <v>Trading|BLD|Frozen</v>
      </c>
      <c r="H17" s="45" t="n">
        <v>1007.6</v>
      </c>
      <c r="I17" s="42" t="n">
        <v>42083</v>
      </c>
      <c r="J17" s="11" t="n">
        <f aca="false">IF(H17="","",H17*I17)</f>
        <v>42402830.8</v>
      </c>
      <c r="K17" s="42" t="n">
        <v>39394218</v>
      </c>
      <c r="L17" s="11" t="n">
        <f aca="false">IF(H17="","",IF(K17&lt;&gt;"",K17,H17*IFERROR(INDEX(O_Stok!$Q$6:$Q$85,MATCH(G17,O_Stok!$A$6:$A$85,0)),0)))</f>
        <v>39394218</v>
      </c>
      <c r="M17" s="11" t="n">
        <f aca="false">IF(H17="","",J17-L17)</f>
        <v>3008612.8</v>
      </c>
      <c r="N17" s="34" t="str">
        <f aca="false">IF(G17="","",IFERROR(INDEX(I_Master!$B$6:$B$85,MATCH(G17,I_Master!$A$6:$A$85,0)),"?"))</f>
        <v>Trading</v>
      </c>
      <c r="O17" s="34" t="str">
        <f aca="false">IF(G17="","",IFERROR(INDEX(I_Master!$E$6:$E$85,MATCH(G17,I_Master!$A$6:$A$85,0)),"?"))</f>
        <v>BLD</v>
      </c>
      <c r="P17" s="46" t="n">
        <f aca="false">IF(H17="","",IF(OR(A17&lt;I_Parameter!$C$5,A17&gt;I_Parameter!$C$6),0,IF(B17="Aktual",1,IF(AND(B17="Order",A17&gt;=I_Parameter!$C$4),1,0))))</f>
        <v>1</v>
      </c>
    </row>
    <row r="18" customFormat="false" ht="15" hidden="false" customHeight="false" outlineLevel="0" collapsed="false">
      <c r="A18" s="37" t="n">
        <v>46260</v>
      </c>
      <c r="B18" s="44" t="s">
        <v>128</v>
      </c>
      <c r="C18" s="44" t="s">
        <v>439</v>
      </c>
      <c r="D18" s="44" t="s">
        <v>440</v>
      </c>
      <c r="E18" s="44" t="s">
        <v>441</v>
      </c>
      <c r="F18" s="44"/>
      <c r="G18" s="34" t="str">
        <f aca="false">IF(F18&lt;&gt;"",F18,IF(E18="","",IFERROR(INDEX(I_Item!$C$6:$C$255,MATCH(E18,I_Item!$A$6:$A$255,0)),"KODE BARU")))</f>
        <v>RPA|Ceker|Fresh</v>
      </c>
      <c r="H18" s="45" t="n">
        <v>110.9</v>
      </c>
      <c r="I18" s="42" t="n">
        <v>3101</v>
      </c>
      <c r="J18" s="11" t="n">
        <f aca="false">IF(H18="","",H18*I18)</f>
        <v>343900.9</v>
      </c>
      <c r="K18" s="42" t="n">
        <v>1696660</v>
      </c>
      <c r="L18" s="11" t="n">
        <f aca="false">IF(H18="","",IF(K18&lt;&gt;"",K18,H18*IFERROR(INDEX(O_Stok!$Q$6:$Q$85,MATCH(G18,O_Stok!$A$6:$A$85,0)),0)))</f>
        <v>1696660</v>
      </c>
      <c r="M18" s="11" t="n">
        <f aca="false">IF(H18="","",J18-L18)</f>
        <v>-1352759.1</v>
      </c>
      <c r="N18" s="34" t="str">
        <f aca="false">IF(G18="","",IFERROR(INDEX(I_Master!$B$6:$B$85,MATCH(G18,I_Master!$A$6:$A$85,0)),"?"))</f>
        <v>RPA</v>
      </c>
      <c r="O18" s="34" t="str">
        <f aca="false">IF(G18="","",IFERROR(INDEX(I_Master!$E$6:$E$85,MATCH(G18,I_Master!$A$6:$A$85,0)),"?"))</f>
        <v>By-product</v>
      </c>
      <c r="P18" s="46" t="n">
        <f aca="false">IF(H18="","",IF(OR(A18&lt;I_Parameter!$C$5,A18&gt;I_Parameter!$C$6),0,IF(B18="Aktual",1,IF(AND(B18="Order",A18&gt;=I_Parameter!$C$4),1,0))))</f>
        <v>1</v>
      </c>
    </row>
    <row r="19" customFormat="false" ht="15" hidden="false" customHeight="false" outlineLevel="0" collapsed="false">
      <c r="A19" s="37" t="n">
        <v>46260</v>
      </c>
      <c r="B19" s="44" t="s">
        <v>128</v>
      </c>
      <c r="C19" s="44" t="s">
        <v>439</v>
      </c>
      <c r="D19" s="44" t="s">
        <v>440</v>
      </c>
      <c r="E19" s="44" t="s">
        <v>442</v>
      </c>
      <c r="F19" s="44"/>
      <c r="G19" s="34" t="str">
        <f aca="false">IF(F19&lt;&gt;"",F19,IF(E19="","",IFERROR(INDEX(I_Item!$C$6:$C$255,MATCH(E19,I_Item!$A$6:$A$255,0)),"KODE BARU")))</f>
        <v>RPA|HJA (Hati/Jantung/Ampela)|Fresh</v>
      </c>
      <c r="H19" s="45" t="n">
        <v>198.1</v>
      </c>
      <c r="I19" s="42" t="n">
        <v>4515</v>
      </c>
      <c r="J19" s="11" t="n">
        <f aca="false">IF(H19="","",H19*I19)</f>
        <v>894421.5</v>
      </c>
      <c r="K19" s="42" t="n">
        <v>696684</v>
      </c>
      <c r="L19" s="11" t="n">
        <f aca="false">IF(H19="","",IF(K19&lt;&gt;"",K19,H19*IFERROR(INDEX(O_Stok!$Q$6:$Q$85,MATCH(G19,O_Stok!$A$6:$A$85,0)),0)))</f>
        <v>696684</v>
      </c>
      <c r="M19" s="11" t="n">
        <f aca="false">IF(H19="","",J19-L19)</f>
        <v>197737.5</v>
      </c>
      <c r="N19" s="34" t="str">
        <f aca="false">IF(G19="","",IFERROR(INDEX(I_Master!$B$6:$B$85,MATCH(G19,I_Master!$A$6:$A$85,0)),"?"))</f>
        <v>RPA</v>
      </c>
      <c r="O19" s="34" t="str">
        <f aca="false">IF(G19="","",IFERROR(INDEX(I_Master!$E$6:$E$85,MATCH(G19,I_Master!$A$6:$A$85,0)),"?"))</f>
        <v>By-product</v>
      </c>
      <c r="P19" s="46" t="n">
        <f aca="false">IF(H19="","",IF(OR(A19&lt;I_Parameter!$C$5,A19&gt;I_Parameter!$C$6),0,IF(B19="Aktual",1,IF(AND(B19="Order",A19&gt;=I_Parameter!$C$4),1,0))))</f>
        <v>1</v>
      </c>
    </row>
    <row r="20" customFormat="false" ht="15" hidden="false" customHeight="false" outlineLevel="0" collapsed="false">
      <c r="A20" s="37" t="n">
        <v>46260</v>
      </c>
      <c r="B20" s="44" t="s">
        <v>128</v>
      </c>
      <c r="C20" s="44" t="s">
        <v>439</v>
      </c>
      <c r="D20" s="44" t="s">
        <v>440</v>
      </c>
      <c r="E20" s="44" t="s">
        <v>443</v>
      </c>
      <c r="F20" s="44"/>
      <c r="G20" s="34" t="str">
        <f aca="false">IF(F20&lt;&gt;"",F20,IF(E20="","",IFERROR(INDEX(I_Item!$C$6:$C$255,MATCH(E20,I_Item!$A$6:$A$255,0)),"KODE BARU")))</f>
        <v>RPA|Kepala|Fresh</v>
      </c>
      <c r="H20" s="45" t="n">
        <v>170.4</v>
      </c>
      <c r="I20" s="42" t="n">
        <v>4029</v>
      </c>
      <c r="J20" s="11" t="n">
        <f aca="false">IF(H20="","",H20*I20)</f>
        <v>686541.6</v>
      </c>
      <c r="K20" s="42" t="n">
        <v>2259255</v>
      </c>
      <c r="L20" s="11" t="n">
        <f aca="false">IF(H20="","",IF(K20&lt;&gt;"",K20,H20*IFERROR(INDEX(O_Stok!$Q$6:$Q$85,MATCH(G20,O_Stok!$A$6:$A$85,0)),0)))</f>
        <v>2259255</v>
      </c>
      <c r="M20" s="11" t="n">
        <f aca="false">IF(H20="","",J20-L20)</f>
        <v>-1572713.4</v>
      </c>
      <c r="N20" s="34" t="str">
        <f aca="false">IF(G20="","",IFERROR(INDEX(I_Master!$B$6:$B$85,MATCH(G20,I_Master!$A$6:$A$85,0)),"?"))</f>
        <v>RPA</v>
      </c>
      <c r="O20" s="34" t="str">
        <f aca="false">IF(G20="","",IFERROR(INDEX(I_Master!$E$6:$E$85,MATCH(G20,I_Master!$A$6:$A$85,0)),"?"))</f>
        <v>By-product</v>
      </c>
      <c r="P20" s="46" t="n">
        <f aca="false">IF(H20="","",IF(OR(A20&lt;I_Parameter!$C$5,A20&gt;I_Parameter!$C$6),0,IF(B20="Aktual",1,IF(AND(B20="Order",A20&gt;=I_Parameter!$C$4),1,0))))</f>
        <v>1</v>
      </c>
    </row>
    <row r="21" customFormat="false" ht="15" hidden="false" customHeight="false" outlineLevel="0" collapsed="false">
      <c r="A21" s="37" t="n">
        <v>46260</v>
      </c>
      <c r="B21" s="44" t="s">
        <v>128</v>
      </c>
      <c r="C21" s="44" t="s">
        <v>439</v>
      </c>
      <c r="D21" s="44" t="s">
        <v>440</v>
      </c>
      <c r="E21" s="44" t="s">
        <v>444</v>
      </c>
      <c r="F21" s="44"/>
      <c r="G21" s="34" t="str">
        <f aca="false">IF(F21&lt;&gt;"",F21,IF(E21="","",IFERROR(INDEX(I_Item!$C$6:$C$255,MATCH(E21,I_Item!$A$6:$A$255,0)),"KODE BARU")))</f>
        <v>RPA|Usus|Fresh</v>
      </c>
      <c r="H21" s="45" t="n">
        <v>188</v>
      </c>
      <c r="I21" s="42" t="n">
        <v>1500</v>
      </c>
      <c r="J21" s="11" t="n">
        <f aca="false">IF(H21="","",H21*I21)</f>
        <v>282000</v>
      </c>
      <c r="K21" s="42" t="n">
        <v>573267</v>
      </c>
      <c r="L21" s="11" t="n">
        <f aca="false">IF(H21="","",IF(K21&lt;&gt;"",K21,H21*IFERROR(INDEX(O_Stok!$Q$6:$Q$85,MATCH(G21,O_Stok!$A$6:$A$85,0)),0)))</f>
        <v>573267</v>
      </c>
      <c r="M21" s="11" t="n">
        <f aca="false">IF(H21="","",J21-L21)</f>
        <v>-291267</v>
      </c>
      <c r="N21" s="34" t="str">
        <f aca="false">IF(G21="","",IFERROR(INDEX(I_Master!$B$6:$B$85,MATCH(G21,I_Master!$A$6:$A$85,0)),"?"))</f>
        <v>RPA</v>
      </c>
      <c r="O21" s="34" t="str">
        <f aca="false">IF(G21="","",IFERROR(INDEX(I_Master!$E$6:$E$85,MATCH(G21,I_Master!$A$6:$A$85,0)),"?"))</f>
        <v>By-product</v>
      </c>
      <c r="P21" s="46" t="n">
        <f aca="false">IF(H21="","",IF(OR(A21&lt;I_Parameter!$C$5,A21&gt;I_Parameter!$C$6),0,IF(B21="Aktual",1,IF(AND(B21="Order",A21&gt;=I_Parameter!$C$4),1,0))))</f>
        <v>1</v>
      </c>
    </row>
    <row r="22" customFormat="false" ht="15" hidden="false" customHeight="false" outlineLevel="0" collapsed="false">
      <c r="A22" s="37" t="n">
        <v>46260</v>
      </c>
      <c r="B22" s="44" t="s">
        <v>128</v>
      </c>
      <c r="C22" s="44" t="s">
        <v>445</v>
      </c>
      <c r="D22" s="44" t="s">
        <v>440</v>
      </c>
      <c r="E22" s="44" t="s">
        <v>441</v>
      </c>
      <c r="F22" s="44"/>
      <c r="G22" s="34" t="str">
        <f aca="false">IF(F22&lt;&gt;"",F22,IF(E22="","",IFERROR(INDEX(I_Item!$C$6:$C$255,MATCH(E22,I_Item!$A$6:$A$255,0)),"KODE BARU")))</f>
        <v>RPA|Ceker|Fresh</v>
      </c>
      <c r="H22" s="45" t="n">
        <v>96</v>
      </c>
      <c r="I22" s="42" t="n">
        <v>3101</v>
      </c>
      <c r="J22" s="11" t="n">
        <f aca="false">IF(H22="","",H22*I22)</f>
        <v>297696</v>
      </c>
      <c r="K22" s="42" t="n">
        <v>1468705</v>
      </c>
      <c r="L22" s="11" t="n">
        <f aca="false">IF(H22="","",IF(K22&lt;&gt;"",K22,H22*IFERROR(INDEX(O_Stok!$Q$6:$Q$85,MATCH(G22,O_Stok!$A$6:$A$85,0)),0)))</f>
        <v>1468705</v>
      </c>
      <c r="M22" s="11" t="n">
        <f aca="false">IF(H22="","",J22-L22)</f>
        <v>-1171009</v>
      </c>
      <c r="N22" s="34" t="str">
        <f aca="false">IF(G22="","",IFERROR(INDEX(I_Master!$B$6:$B$85,MATCH(G22,I_Master!$A$6:$A$85,0)),"?"))</f>
        <v>RPA</v>
      </c>
      <c r="O22" s="34" t="str">
        <f aca="false">IF(G22="","",IFERROR(INDEX(I_Master!$E$6:$E$85,MATCH(G22,I_Master!$A$6:$A$85,0)),"?"))</f>
        <v>By-product</v>
      </c>
      <c r="P22" s="46" t="n">
        <f aca="false">IF(H22="","",IF(OR(A22&lt;I_Parameter!$C$5,A22&gt;I_Parameter!$C$6),0,IF(B22="Aktual",1,IF(AND(B22="Order",A22&gt;=I_Parameter!$C$4),1,0))))</f>
        <v>1</v>
      </c>
    </row>
    <row r="23" customFormat="false" ht="15" hidden="false" customHeight="false" outlineLevel="0" collapsed="false">
      <c r="A23" s="37" t="n">
        <v>46260</v>
      </c>
      <c r="B23" s="44" t="s">
        <v>128</v>
      </c>
      <c r="C23" s="44" t="s">
        <v>445</v>
      </c>
      <c r="D23" s="44" t="s">
        <v>440</v>
      </c>
      <c r="E23" s="44" t="s">
        <v>442</v>
      </c>
      <c r="F23" s="44"/>
      <c r="G23" s="34" t="str">
        <f aca="false">IF(F23&lt;&gt;"",F23,IF(E23="","",IFERROR(INDEX(I_Item!$C$6:$C$255,MATCH(E23,I_Item!$A$6:$A$255,0)),"KODE BARU")))</f>
        <v>RPA|HJA (Hati/Jantung/Ampela)|Fresh</v>
      </c>
      <c r="H23" s="45" t="n">
        <v>191.7</v>
      </c>
      <c r="I23" s="42" t="n">
        <v>4515</v>
      </c>
      <c r="J23" s="11" t="n">
        <f aca="false">IF(H23="","",H23*I23)</f>
        <v>865525.5</v>
      </c>
      <c r="K23" s="42" t="n">
        <v>674176</v>
      </c>
      <c r="L23" s="11" t="n">
        <f aca="false">IF(H23="","",IF(K23&lt;&gt;"",K23,H23*IFERROR(INDEX(O_Stok!$Q$6:$Q$85,MATCH(G23,O_Stok!$A$6:$A$85,0)),0)))</f>
        <v>674176</v>
      </c>
      <c r="M23" s="11" t="n">
        <f aca="false">IF(H23="","",J23-L23)</f>
        <v>191349.5</v>
      </c>
      <c r="N23" s="34" t="str">
        <f aca="false">IF(G23="","",IFERROR(INDEX(I_Master!$B$6:$B$85,MATCH(G23,I_Master!$A$6:$A$85,0)),"?"))</f>
        <v>RPA</v>
      </c>
      <c r="O23" s="34" t="str">
        <f aca="false">IF(G23="","",IFERROR(INDEX(I_Master!$E$6:$E$85,MATCH(G23,I_Master!$A$6:$A$85,0)),"?"))</f>
        <v>By-product</v>
      </c>
      <c r="P23" s="46" t="n">
        <f aca="false">IF(H23="","",IF(OR(A23&lt;I_Parameter!$C$5,A23&gt;I_Parameter!$C$6),0,IF(B23="Aktual",1,IF(AND(B23="Order",A23&gt;=I_Parameter!$C$4),1,0))))</f>
        <v>1</v>
      </c>
    </row>
    <row r="24" customFormat="false" ht="15" hidden="false" customHeight="false" outlineLevel="0" collapsed="false">
      <c r="A24" s="37" t="n">
        <v>46260</v>
      </c>
      <c r="B24" s="44" t="s">
        <v>128</v>
      </c>
      <c r="C24" s="44" t="s">
        <v>445</v>
      </c>
      <c r="D24" s="44" t="s">
        <v>440</v>
      </c>
      <c r="E24" s="44" t="s">
        <v>443</v>
      </c>
      <c r="F24" s="44"/>
      <c r="G24" s="34" t="str">
        <f aca="false">IF(F24&lt;&gt;"",F24,IF(E24="","",IFERROR(INDEX(I_Item!$C$6:$C$255,MATCH(E24,I_Item!$A$6:$A$255,0)),"KODE BARU")))</f>
        <v>RPA|Kepala|Fresh</v>
      </c>
      <c r="H24" s="45" t="n">
        <v>156</v>
      </c>
      <c r="I24" s="42" t="n">
        <v>4029</v>
      </c>
      <c r="J24" s="11" t="n">
        <f aca="false">IF(H24="","",H24*I24)</f>
        <v>628524</v>
      </c>
      <c r="K24" s="42" t="n">
        <v>2068332</v>
      </c>
      <c r="L24" s="11" t="n">
        <f aca="false">IF(H24="","",IF(K24&lt;&gt;"",K24,H24*IFERROR(INDEX(O_Stok!$Q$6:$Q$85,MATCH(G24,O_Stok!$A$6:$A$85,0)),0)))</f>
        <v>2068332</v>
      </c>
      <c r="M24" s="11" t="n">
        <f aca="false">IF(H24="","",J24-L24)</f>
        <v>-1439808</v>
      </c>
      <c r="N24" s="34" t="str">
        <f aca="false">IF(G24="","",IFERROR(INDEX(I_Master!$B$6:$B$85,MATCH(G24,I_Master!$A$6:$A$85,0)),"?"))</f>
        <v>RPA</v>
      </c>
      <c r="O24" s="34" t="str">
        <f aca="false">IF(G24="","",IFERROR(INDEX(I_Master!$E$6:$E$85,MATCH(G24,I_Master!$A$6:$A$85,0)),"?"))</f>
        <v>By-product</v>
      </c>
      <c r="P24" s="46" t="n">
        <f aca="false">IF(H24="","",IF(OR(A24&lt;I_Parameter!$C$5,A24&gt;I_Parameter!$C$6),0,IF(B24="Aktual",1,IF(AND(B24="Order",A24&gt;=I_Parameter!$C$4),1,0))))</f>
        <v>1</v>
      </c>
    </row>
    <row r="25" customFormat="false" ht="15" hidden="false" customHeight="false" outlineLevel="0" collapsed="false">
      <c r="A25" s="37" t="n">
        <v>46260</v>
      </c>
      <c r="B25" s="44" t="s">
        <v>128</v>
      </c>
      <c r="C25" s="44" t="s">
        <v>445</v>
      </c>
      <c r="D25" s="44" t="s">
        <v>440</v>
      </c>
      <c r="E25" s="44" t="s">
        <v>444</v>
      </c>
      <c r="F25" s="44"/>
      <c r="G25" s="34" t="str">
        <f aca="false">IF(F25&lt;&gt;"",F25,IF(E25="","",IFERROR(INDEX(I_Item!$C$6:$C$255,MATCH(E25,I_Item!$A$6:$A$255,0)),"KODE BARU")))</f>
        <v>RPA|Usus|Fresh</v>
      </c>
      <c r="H25" s="45" t="n">
        <v>150.3</v>
      </c>
      <c r="I25" s="42" t="n">
        <v>1500</v>
      </c>
      <c r="J25" s="11" t="n">
        <f aca="false">IF(H25="","",H25*I25)</f>
        <v>225450</v>
      </c>
      <c r="K25" s="42" t="n">
        <v>458308</v>
      </c>
      <c r="L25" s="11" t="n">
        <f aca="false">IF(H25="","",IF(K25&lt;&gt;"",K25,H25*IFERROR(INDEX(O_Stok!$Q$6:$Q$85,MATCH(G25,O_Stok!$A$6:$A$85,0)),0)))</f>
        <v>458308</v>
      </c>
      <c r="M25" s="11" t="n">
        <f aca="false">IF(H25="","",J25-L25)</f>
        <v>-232858</v>
      </c>
      <c r="N25" s="34" t="str">
        <f aca="false">IF(G25="","",IFERROR(INDEX(I_Master!$B$6:$B$85,MATCH(G25,I_Master!$A$6:$A$85,0)),"?"))</f>
        <v>RPA</v>
      </c>
      <c r="O25" s="34" t="str">
        <f aca="false">IF(G25="","",IFERROR(INDEX(I_Master!$E$6:$E$85,MATCH(G25,I_Master!$A$6:$A$85,0)),"?"))</f>
        <v>By-product</v>
      </c>
      <c r="P25" s="46" t="n">
        <f aca="false">IF(H25="","",IF(OR(A25&lt;I_Parameter!$C$5,A25&gt;I_Parameter!$C$6),0,IF(B25="Aktual",1,IF(AND(B25="Order",A25&gt;=I_Parameter!$C$4),1,0))))</f>
        <v>1</v>
      </c>
    </row>
    <row r="26" customFormat="false" ht="15" hidden="false" customHeight="false" outlineLevel="0" collapsed="false">
      <c r="A26" s="37" t="n">
        <v>46260</v>
      </c>
      <c r="B26" s="44" t="s">
        <v>128</v>
      </c>
      <c r="C26" s="44" t="s">
        <v>446</v>
      </c>
      <c r="D26" s="44" t="s">
        <v>440</v>
      </c>
      <c r="E26" s="44" t="s">
        <v>441</v>
      </c>
      <c r="F26" s="44"/>
      <c r="G26" s="34" t="str">
        <f aca="false">IF(F26&lt;&gt;"",F26,IF(E26="","",IFERROR(INDEX(I_Item!$C$6:$C$255,MATCH(E26,I_Item!$A$6:$A$255,0)),"KODE BARU")))</f>
        <v>RPA|Ceker|Fresh</v>
      </c>
      <c r="H26" s="45" t="n">
        <v>100.9</v>
      </c>
      <c r="I26" s="42" t="n">
        <v>3101</v>
      </c>
      <c r="J26" s="11" t="n">
        <f aca="false">IF(H26="","",H26*I26)</f>
        <v>312890.9</v>
      </c>
      <c r="K26" s="42" t="n">
        <v>1543670</v>
      </c>
      <c r="L26" s="11" t="n">
        <f aca="false">IF(H26="","",IF(K26&lt;&gt;"",K26,H26*IFERROR(INDEX(O_Stok!$Q$6:$Q$85,MATCH(G26,O_Stok!$A$6:$A$85,0)),0)))</f>
        <v>1543670</v>
      </c>
      <c r="M26" s="11" t="n">
        <f aca="false">IF(H26="","",J26-L26)</f>
        <v>-1230779.1</v>
      </c>
      <c r="N26" s="34" t="str">
        <f aca="false">IF(G26="","",IFERROR(INDEX(I_Master!$B$6:$B$85,MATCH(G26,I_Master!$A$6:$A$85,0)),"?"))</f>
        <v>RPA</v>
      </c>
      <c r="O26" s="34" t="str">
        <f aca="false">IF(G26="","",IFERROR(INDEX(I_Master!$E$6:$E$85,MATCH(G26,I_Master!$A$6:$A$85,0)),"?"))</f>
        <v>By-product</v>
      </c>
      <c r="P26" s="46" t="n">
        <f aca="false">IF(H26="","",IF(OR(A26&lt;I_Parameter!$C$5,A26&gt;I_Parameter!$C$6),0,IF(B26="Aktual",1,IF(AND(B26="Order",A26&gt;=I_Parameter!$C$4),1,0))))</f>
        <v>1</v>
      </c>
    </row>
    <row r="27" customFormat="false" ht="15" hidden="false" customHeight="false" outlineLevel="0" collapsed="false">
      <c r="A27" s="37" t="n">
        <v>46260</v>
      </c>
      <c r="B27" s="44" t="s">
        <v>128</v>
      </c>
      <c r="C27" s="44" t="s">
        <v>446</v>
      </c>
      <c r="D27" s="44" t="s">
        <v>440</v>
      </c>
      <c r="E27" s="44" t="s">
        <v>442</v>
      </c>
      <c r="F27" s="44"/>
      <c r="G27" s="34" t="str">
        <f aca="false">IF(F27&lt;&gt;"",F27,IF(E27="","",IFERROR(INDEX(I_Item!$C$6:$C$255,MATCH(E27,I_Item!$A$6:$A$255,0)),"KODE BARU")))</f>
        <v>RPA|HJA (Hati/Jantung/Ampela)|Fresh</v>
      </c>
      <c r="H27" s="45" t="n">
        <v>187.2</v>
      </c>
      <c r="I27" s="42" t="n">
        <v>4515</v>
      </c>
      <c r="J27" s="11" t="n">
        <f aca="false">IF(H27="","",H27*I27)</f>
        <v>845208</v>
      </c>
      <c r="K27" s="42" t="n">
        <v>658350</v>
      </c>
      <c r="L27" s="11" t="n">
        <f aca="false">IF(H27="","",IF(K27&lt;&gt;"",K27,H27*IFERROR(INDEX(O_Stok!$Q$6:$Q$85,MATCH(G27,O_Stok!$A$6:$A$85,0)),0)))</f>
        <v>658350</v>
      </c>
      <c r="M27" s="11" t="n">
        <f aca="false">IF(H27="","",J27-L27)</f>
        <v>186858</v>
      </c>
      <c r="N27" s="34" t="str">
        <f aca="false">IF(G27="","",IFERROR(INDEX(I_Master!$B$6:$B$85,MATCH(G27,I_Master!$A$6:$A$85,0)),"?"))</f>
        <v>RPA</v>
      </c>
      <c r="O27" s="34" t="str">
        <f aca="false">IF(G27="","",IFERROR(INDEX(I_Master!$E$6:$E$85,MATCH(G27,I_Master!$A$6:$A$85,0)),"?"))</f>
        <v>By-product</v>
      </c>
      <c r="P27" s="46" t="n">
        <f aca="false">IF(H27="","",IF(OR(A27&lt;I_Parameter!$C$5,A27&gt;I_Parameter!$C$6),0,IF(B27="Aktual",1,IF(AND(B27="Order",A27&gt;=I_Parameter!$C$4),1,0))))</f>
        <v>1</v>
      </c>
    </row>
    <row r="28" customFormat="false" ht="15" hidden="false" customHeight="false" outlineLevel="0" collapsed="false">
      <c r="A28" s="37" t="n">
        <v>46260</v>
      </c>
      <c r="B28" s="44" t="s">
        <v>128</v>
      </c>
      <c r="C28" s="44" t="s">
        <v>446</v>
      </c>
      <c r="D28" s="44" t="s">
        <v>440</v>
      </c>
      <c r="E28" s="44" t="s">
        <v>443</v>
      </c>
      <c r="F28" s="44"/>
      <c r="G28" s="34" t="str">
        <f aca="false">IF(F28&lt;&gt;"",F28,IF(E28="","",IFERROR(INDEX(I_Item!$C$6:$C$255,MATCH(E28,I_Item!$A$6:$A$255,0)),"KODE BARU")))</f>
        <v>RPA|Kepala|Fresh</v>
      </c>
      <c r="H28" s="45" t="n">
        <v>165.1</v>
      </c>
      <c r="I28" s="42" t="n">
        <v>4029</v>
      </c>
      <c r="J28" s="11" t="n">
        <f aca="false">IF(H28="","",H28*I28)</f>
        <v>665187.9</v>
      </c>
      <c r="K28" s="42" t="n">
        <v>2188985</v>
      </c>
      <c r="L28" s="11" t="n">
        <f aca="false">IF(H28="","",IF(K28&lt;&gt;"",K28,H28*IFERROR(INDEX(O_Stok!$Q$6:$Q$85,MATCH(G28,O_Stok!$A$6:$A$85,0)),0)))</f>
        <v>2188985</v>
      </c>
      <c r="M28" s="11" t="n">
        <f aca="false">IF(H28="","",J28-L28)</f>
        <v>-1523797.1</v>
      </c>
      <c r="N28" s="34" t="str">
        <f aca="false">IF(G28="","",IFERROR(INDEX(I_Master!$B$6:$B$85,MATCH(G28,I_Master!$A$6:$A$85,0)),"?"))</f>
        <v>RPA</v>
      </c>
      <c r="O28" s="34" t="str">
        <f aca="false">IF(G28="","",IFERROR(INDEX(I_Master!$E$6:$E$85,MATCH(G28,I_Master!$A$6:$A$85,0)),"?"))</f>
        <v>By-product</v>
      </c>
      <c r="P28" s="46" t="n">
        <f aca="false">IF(H28="","",IF(OR(A28&lt;I_Parameter!$C$5,A28&gt;I_Parameter!$C$6),0,IF(B28="Aktual",1,IF(AND(B28="Order",A28&gt;=I_Parameter!$C$4),1,0))))</f>
        <v>1</v>
      </c>
    </row>
    <row r="29" customFormat="false" ht="15" hidden="false" customHeight="false" outlineLevel="0" collapsed="false">
      <c r="A29" s="37" t="n">
        <v>46260</v>
      </c>
      <c r="B29" s="44" t="s">
        <v>128</v>
      </c>
      <c r="C29" s="44" t="s">
        <v>446</v>
      </c>
      <c r="D29" s="44" t="s">
        <v>440</v>
      </c>
      <c r="E29" s="44" t="s">
        <v>444</v>
      </c>
      <c r="F29" s="44"/>
      <c r="G29" s="34" t="str">
        <f aca="false">IF(F29&lt;&gt;"",F29,IF(E29="","",IFERROR(INDEX(I_Item!$C$6:$C$255,MATCH(E29,I_Item!$A$6:$A$255,0)),"KODE BARU")))</f>
        <v>RPA|Usus|Fresh</v>
      </c>
      <c r="H29" s="45" t="n">
        <v>162.8</v>
      </c>
      <c r="I29" s="42" t="n">
        <v>1500</v>
      </c>
      <c r="J29" s="11" t="n">
        <f aca="false">IF(H29="","",H29*I29)</f>
        <v>244200</v>
      </c>
      <c r="K29" s="42" t="n">
        <v>496424</v>
      </c>
      <c r="L29" s="11" t="n">
        <f aca="false">IF(H29="","",IF(K29&lt;&gt;"",K29,H29*IFERROR(INDEX(O_Stok!$Q$6:$Q$85,MATCH(G29,O_Stok!$A$6:$A$85,0)),0)))</f>
        <v>496424</v>
      </c>
      <c r="M29" s="11" t="n">
        <f aca="false">IF(H29="","",J29-L29)</f>
        <v>-252224</v>
      </c>
      <c r="N29" s="34" t="str">
        <f aca="false">IF(G29="","",IFERROR(INDEX(I_Master!$B$6:$B$85,MATCH(G29,I_Master!$A$6:$A$85,0)),"?"))</f>
        <v>RPA</v>
      </c>
      <c r="O29" s="34" t="str">
        <f aca="false">IF(G29="","",IFERROR(INDEX(I_Master!$E$6:$E$85,MATCH(G29,I_Master!$A$6:$A$85,0)),"?"))</f>
        <v>By-product</v>
      </c>
      <c r="P29" s="46" t="n">
        <f aca="false">IF(H29="","",IF(OR(A29&lt;I_Parameter!$C$5,A29&gt;I_Parameter!$C$6),0,IF(B29="Aktual",1,IF(AND(B29="Order",A29&gt;=I_Parameter!$C$4),1,0))))</f>
        <v>1</v>
      </c>
    </row>
    <row r="30" customFormat="false" ht="15" hidden="false" customHeight="false" outlineLevel="0" collapsed="false">
      <c r="A30" s="37" t="n">
        <v>46260</v>
      </c>
      <c r="B30" s="44" t="s">
        <v>128</v>
      </c>
      <c r="C30" s="44" t="s">
        <v>447</v>
      </c>
      <c r="D30" s="44" t="s">
        <v>440</v>
      </c>
      <c r="E30" s="44" t="s">
        <v>448</v>
      </c>
      <c r="F30" s="44"/>
      <c r="G30" s="34" t="str">
        <f aca="false">IF(F30&lt;&gt;"",F30,IF(E30="","",IFERROR(INDEX(I_Item!$C$6:$C$255,MATCH(E30,I_Item!$A$6:$A$255,0)),"KODE BARU")))</f>
        <v>RPA|Karkas|Frozen</v>
      </c>
      <c r="H30" s="45" t="n">
        <v>6.3</v>
      </c>
      <c r="I30" s="42" t="n">
        <v>31658</v>
      </c>
      <c r="J30" s="11" t="n">
        <f aca="false">IF(H30="","",H30*I30)</f>
        <v>199445.4</v>
      </c>
      <c r="K30" s="42" t="n">
        <v>168179</v>
      </c>
      <c r="L30" s="11" t="n">
        <f aca="false">IF(H30="","",IF(K30&lt;&gt;"",K30,H30*IFERROR(INDEX(O_Stok!$Q$6:$Q$85,MATCH(G30,O_Stok!$A$6:$A$85,0)),0)))</f>
        <v>168179</v>
      </c>
      <c r="M30" s="11" t="n">
        <f aca="false">IF(H30="","",J30-L30)</f>
        <v>31266.4</v>
      </c>
      <c r="N30" s="34" t="str">
        <f aca="false">IF(G30="","",IFERROR(INDEX(I_Master!$B$6:$B$85,MATCH(G30,I_Master!$A$6:$A$85,0)),"?"))</f>
        <v>RPA</v>
      </c>
      <c r="O30" s="34" t="str">
        <f aca="false">IF(G30="","",IFERROR(INDEX(I_Master!$E$6:$E$85,MATCH(G30,I_Master!$A$6:$A$85,0)),"?"))</f>
        <v>Karkas frozen</v>
      </c>
      <c r="P30" s="46" t="n">
        <f aca="false">IF(H30="","",IF(OR(A30&lt;I_Parameter!$C$5,A30&gt;I_Parameter!$C$6),0,IF(B30="Aktual",1,IF(AND(B30="Order",A30&gt;=I_Parameter!$C$4),1,0))))</f>
        <v>1</v>
      </c>
    </row>
    <row r="31" customFormat="false" ht="15" hidden="false" customHeight="false" outlineLevel="0" collapsed="false">
      <c r="A31" s="37" t="n">
        <v>46260</v>
      </c>
      <c r="B31" s="44" t="s">
        <v>128</v>
      </c>
      <c r="C31" s="44" t="s">
        <v>447</v>
      </c>
      <c r="D31" s="44" t="s">
        <v>440</v>
      </c>
      <c r="E31" s="44" t="s">
        <v>449</v>
      </c>
      <c r="F31" s="44"/>
      <c r="G31" s="34" t="str">
        <f aca="false">IF(F31&lt;&gt;"",F31,IF(E31="","",IFERROR(INDEX(I_Item!$C$6:$C$255,MATCH(E31,I_Item!$A$6:$A$255,0)),"KODE BARU")))</f>
        <v>RPA|Karkas|Frozen</v>
      </c>
      <c r="H31" s="45" t="n">
        <v>3</v>
      </c>
      <c r="I31" s="42" t="n">
        <v>31658</v>
      </c>
      <c r="J31" s="11" t="n">
        <f aca="false">IF(H31="","",H31*I31)</f>
        <v>94974</v>
      </c>
      <c r="K31" s="42" t="n">
        <v>101882</v>
      </c>
      <c r="L31" s="11" t="n">
        <f aca="false">IF(H31="","",IF(K31&lt;&gt;"",K31,H31*IFERROR(INDEX(O_Stok!$Q$6:$Q$85,MATCH(G31,O_Stok!$A$6:$A$85,0)),0)))</f>
        <v>101882</v>
      </c>
      <c r="M31" s="11" t="n">
        <f aca="false">IF(H31="","",J31-L31)</f>
        <v>-6908</v>
      </c>
      <c r="N31" s="34" t="str">
        <f aca="false">IF(G31="","",IFERROR(INDEX(I_Master!$B$6:$B$85,MATCH(G31,I_Master!$A$6:$A$85,0)),"?"))</f>
        <v>RPA</v>
      </c>
      <c r="O31" s="34" t="str">
        <f aca="false">IF(G31="","",IFERROR(INDEX(I_Master!$E$6:$E$85,MATCH(G31,I_Master!$A$6:$A$85,0)),"?"))</f>
        <v>Karkas frozen</v>
      </c>
      <c r="P31" s="46" t="n">
        <f aca="false">IF(H31="","",IF(OR(A31&lt;I_Parameter!$C$5,A31&gt;I_Parameter!$C$6),0,IF(B31="Aktual",1,IF(AND(B31="Order",A31&gt;=I_Parameter!$C$4),1,0))))</f>
        <v>1</v>
      </c>
    </row>
    <row r="32" customFormat="false" ht="15" hidden="false" customHeight="false" outlineLevel="0" collapsed="false">
      <c r="A32" s="37" t="n">
        <v>46260</v>
      </c>
      <c r="B32" s="44" t="s">
        <v>128</v>
      </c>
      <c r="C32" s="44" t="s">
        <v>450</v>
      </c>
      <c r="D32" s="44" t="s">
        <v>451</v>
      </c>
      <c r="E32" s="44" t="s">
        <v>452</v>
      </c>
      <c r="F32" s="44"/>
      <c r="G32" s="34" t="str">
        <f aca="false">IF(F32&lt;&gt;"",F32,IF(E32="","",IFERROR(INDEX(I_Item!$C$6:$C$255,MATCH(E32,I_Item!$A$6:$A$255,0)),"KODE BARU")))</f>
        <v>Trading|KRK (Kerangka)|n/a</v>
      </c>
      <c r="H32" s="45" t="n">
        <v>3783.8</v>
      </c>
      <c r="I32" s="42" t="n">
        <v>10903</v>
      </c>
      <c r="J32" s="11" t="n">
        <f aca="false">IF(H32="","",H32*I32)</f>
        <v>41254771.4</v>
      </c>
      <c r="K32" s="42" t="n">
        <v>39014278</v>
      </c>
      <c r="L32" s="11" t="n">
        <f aca="false">IF(H32="","",IF(K32&lt;&gt;"",K32,H32*IFERROR(INDEX(O_Stok!$Q$6:$Q$85,MATCH(G32,O_Stok!$A$6:$A$85,0)),0)))</f>
        <v>39014278</v>
      </c>
      <c r="M32" s="11" t="n">
        <f aca="false">IF(H32="","",J32-L32)</f>
        <v>2240493.4</v>
      </c>
      <c r="N32" s="34" t="str">
        <f aca="false">IF(G32="","",IFERROR(INDEX(I_Master!$B$6:$B$85,MATCH(G32,I_Master!$A$6:$A$85,0)),"?"))</f>
        <v>Trading</v>
      </c>
      <c r="O32" s="34" t="str">
        <f aca="false">IF(G32="","",IFERROR(INDEX(I_Master!$E$6:$E$85,MATCH(G32,I_Master!$A$6:$A$85,0)),"?"))</f>
        <v>KRK (Kerangka)</v>
      </c>
      <c r="P32" s="46" t="n">
        <f aca="false">IF(H32="","",IF(OR(A32&lt;I_Parameter!$C$5,A32&gt;I_Parameter!$C$6),0,IF(B32="Aktual",1,IF(AND(B32="Order",A32&gt;=I_Parameter!$C$4),1,0))))</f>
        <v>1</v>
      </c>
    </row>
    <row r="33" customFormat="false" ht="15" hidden="false" customHeight="false" outlineLevel="0" collapsed="false">
      <c r="A33" s="37" t="n">
        <v>46260</v>
      </c>
      <c r="B33" s="44" t="s">
        <v>128</v>
      </c>
      <c r="C33" s="44" t="s">
        <v>453</v>
      </c>
      <c r="D33" s="44" t="s">
        <v>451</v>
      </c>
      <c r="E33" s="44" t="s">
        <v>452</v>
      </c>
      <c r="F33" s="44"/>
      <c r="G33" s="34" t="str">
        <f aca="false">IF(F33&lt;&gt;"",F33,IF(E33="","",IFERROR(INDEX(I_Item!$C$6:$C$255,MATCH(E33,I_Item!$A$6:$A$255,0)),"KODE BARU")))</f>
        <v>Trading|KRK (Kerangka)|n/a</v>
      </c>
      <c r="H33" s="45" t="n">
        <v>3730.7</v>
      </c>
      <c r="I33" s="42" t="n">
        <v>10903</v>
      </c>
      <c r="J33" s="11" t="n">
        <f aca="false">IF(H33="","",H33*I33)</f>
        <v>40675822.1</v>
      </c>
      <c r="K33" s="42" t="n">
        <v>38466770</v>
      </c>
      <c r="L33" s="11" t="n">
        <f aca="false">IF(H33="","",IF(K33&lt;&gt;"",K33,H33*IFERROR(INDEX(O_Stok!$Q$6:$Q$85,MATCH(G33,O_Stok!$A$6:$A$85,0)),0)))</f>
        <v>38466770</v>
      </c>
      <c r="M33" s="11" t="n">
        <f aca="false">IF(H33="","",J33-L33)</f>
        <v>2209052.1</v>
      </c>
      <c r="N33" s="34" t="str">
        <f aca="false">IF(G33="","",IFERROR(INDEX(I_Master!$B$6:$B$85,MATCH(G33,I_Master!$A$6:$A$85,0)),"?"))</f>
        <v>Trading</v>
      </c>
      <c r="O33" s="34" t="str">
        <f aca="false">IF(G33="","",IFERROR(INDEX(I_Master!$E$6:$E$85,MATCH(G33,I_Master!$A$6:$A$85,0)),"?"))</f>
        <v>KRK (Kerangka)</v>
      </c>
      <c r="P33" s="46" t="n">
        <f aca="false">IF(H33="","",IF(OR(A33&lt;I_Parameter!$C$5,A33&gt;I_Parameter!$C$6),0,IF(B33="Aktual",1,IF(AND(B33="Order",A33&gt;=I_Parameter!$C$4),1,0))))</f>
        <v>1</v>
      </c>
    </row>
    <row r="34" customFormat="false" ht="15" hidden="false" customHeight="false" outlineLevel="0" collapsed="false">
      <c r="A34" s="37" t="n">
        <v>46260</v>
      </c>
      <c r="B34" s="44" t="s">
        <v>128</v>
      </c>
      <c r="C34" s="44" t="s">
        <v>454</v>
      </c>
      <c r="D34" s="44" t="s">
        <v>432</v>
      </c>
      <c r="E34" s="44" t="s">
        <v>455</v>
      </c>
      <c r="F34" s="44"/>
      <c r="G34" s="34" t="str">
        <f aca="false">IF(F34&lt;&gt;"",F34,IF(E34="","",IFERROR(INDEX(I_Item!$C$6:$C$255,MATCH(E34,I_Item!$A$6:$A$255,0)),"KODE BARU")))</f>
        <v>Trading|Karkas|n/a</v>
      </c>
      <c r="H34" s="45" t="n">
        <v>608.5</v>
      </c>
      <c r="I34" s="42" t="n">
        <v>31277</v>
      </c>
      <c r="J34" s="11" t="n">
        <f aca="false">IF(H34="","",H34*I34)</f>
        <v>19032054.5</v>
      </c>
      <c r="K34" s="42" t="n">
        <v>18433057</v>
      </c>
      <c r="L34" s="11" t="n">
        <f aca="false">IF(H34="","",IF(K34&lt;&gt;"",K34,H34*IFERROR(INDEX(O_Stok!$Q$6:$Q$85,MATCH(G34,O_Stok!$A$6:$A$85,0)),0)))</f>
        <v>18433057</v>
      </c>
      <c r="M34" s="11" t="n">
        <f aca="false">IF(H34="","",J34-L34)</f>
        <v>598997.5</v>
      </c>
      <c r="N34" s="34" t="str">
        <f aca="false">IF(G34="","",IFERROR(INDEX(I_Master!$B$6:$B$85,MATCH(G34,I_Master!$A$6:$A$85,0)),"?"))</f>
        <v>Trading</v>
      </c>
      <c r="O34" s="34" t="str">
        <f aca="false">IF(G34="","",IFERROR(INDEX(I_Master!$E$6:$E$85,MATCH(G34,I_Master!$A$6:$A$85,0)),"?"))</f>
        <v>Karkas</v>
      </c>
      <c r="P34" s="46" t="n">
        <f aca="false">IF(H34="","",IF(OR(A34&lt;I_Parameter!$C$5,A34&gt;I_Parameter!$C$6),0,IF(B34="Aktual",1,IF(AND(B34="Order",A34&gt;=I_Parameter!$C$4),1,0))))</f>
        <v>1</v>
      </c>
    </row>
    <row r="35" customFormat="false" ht="15" hidden="false" customHeight="false" outlineLevel="0" collapsed="false">
      <c r="A35" s="37" t="n">
        <v>46260</v>
      </c>
      <c r="B35" s="44" t="s">
        <v>128</v>
      </c>
      <c r="C35" s="44" t="s">
        <v>454</v>
      </c>
      <c r="D35" s="44" t="s">
        <v>432</v>
      </c>
      <c r="E35" s="44" t="s">
        <v>434</v>
      </c>
      <c r="F35" s="44"/>
      <c r="G35" s="34" t="str">
        <f aca="false">IF(F35&lt;&gt;"",F35,IF(E35="","",IFERROR(INDEX(I_Item!$C$6:$C$255,MATCH(E35,I_Item!$A$6:$A$255,0)),"KODE BARU")))</f>
        <v>Trading|Karkas|n/a</v>
      </c>
      <c r="H35" s="45" t="n">
        <v>400.1</v>
      </c>
      <c r="I35" s="42" t="n">
        <v>31277</v>
      </c>
      <c r="J35" s="11" t="n">
        <f aca="false">IF(H35="","",H35*I35)</f>
        <v>12513927.7</v>
      </c>
      <c r="K35" s="42" t="n">
        <v>12722135</v>
      </c>
      <c r="L35" s="11" t="n">
        <f aca="false">IF(H35="","",IF(K35&lt;&gt;"",K35,H35*IFERROR(INDEX(O_Stok!$Q$6:$Q$85,MATCH(G35,O_Stok!$A$6:$A$85,0)),0)))</f>
        <v>12722135</v>
      </c>
      <c r="M35" s="11" t="n">
        <f aca="false">IF(H35="","",J35-L35)</f>
        <v>-208207.299999999</v>
      </c>
      <c r="N35" s="34" t="str">
        <f aca="false">IF(G35="","",IFERROR(INDEX(I_Master!$B$6:$B$85,MATCH(G35,I_Master!$A$6:$A$85,0)),"?"))</f>
        <v>Trading</v>
      </c>
      <c r="O35" s="34" t="str">
        <f aca="false">IF(G35="","",IFERROR(INDEX(I_Master!$E$6:$E$85,MATCH(G35,I_Master!$A$6:$A$85,0)),"?"))</f>
        <v>Karkas</v>
      </c>
      <c r="P35" s="46" t="n">
        <f aca="false">IF(H35="","",IF(OR(A35&lt;I_Parameter!$C$5,A35&gt;I_Parameter!$C$6),0,IF(B35="Aktual",1,IF(AND(B35="Order",A35&gt;=I_Parameter!$C$4),1,0))))</f>
        <v>1</v>
      </c>
    </row>
    <row r="36" customFormat="false" ht="15" hidden="false" customHeight="false" outlineLevel="0" collapsed="false">
      <c r="A36" s="37" t="n">
        <v>46260</v>
      </c>
      <c r="B36" s="44" t="s">
        <v>128</v>
      </c>
      <c r="C36" s="44" t="s">
        <v>456</v>
      </c>
      <c r="D36" s="44" t="s">
        <v>457</v>
      </c>
      <c r="E36" s="44" t="s">
        <v>458</v>
      </c>
      <c r="F36" s="44"/>
      <c r="G36" s="34" t="str">
        <f aca="false">IF(F36&lt;&gt;"",F36,IF(E36="","",IFERROR(INDEX(I_Item!$C$6:$C$255,MATCH(E36,I_Item!$A$6:$A$255,0)),"KODE BARU")))</f>
        <v>RPA|Karkas|Fresh</v>
      </c>
      <c r="H36" s="45" t="n">
        <v>1389.8</v>
      </c>
      <c r="I36" s="42" t="n">
        <v>36705</v>
      </c>
      <c r="J36" s="11" t="n">
        <f aca="false">IF(H36="","",H36*I36)</f>
        <v>51012609</v>
      </c>
      <c r="K36" s="42" t="n">
        <v>51900155</v>
      </c>
      <c r="L36" s="11" t="n">
        <f aca="false">IF(H36="","",IF(K36&lt;&gt;"",K36,H36*IFERROR(INDEX(O_Stok!$Q$6:$Q$85,MATCH(G36,O_Stok!$A$6:$A$85,0)),0)))</f>
        <v>51900155</v>
      </c>
      <c r="M36" s="11" t="n">
        <f aca="false">IF(H36="","",J36-L36)</f>
        <v>-887546</v>
      </c>
      <c r="N36" s="34" t="str">
        <f aca="false">IF(G36="","",IFERROR(INDEX(I_Master!$B$6:$B$85,MATCH(G36,I_Master!$A$6:$A$85,0)),"?"))</f>
        <v>RPA</v>
      </c>
      <c r="O36" s="34" t="str">
        <f aca="false">IF(G36="","",IFERROR(INDEX(I_Master!$E$6:$E$85,MATCH(G36,I_Master!$A$6:$A$85,0)),"?"))</f>
        <v>Karkas fresh</v>
      </c>
      <c r="P36" s="46" t="n">
        <f aca="false">IF(H36="","",IF(OR(A36&lt;I_Parameter!$C$5,A36&gt;I_Parameter!$C$6),0,IF(B36="Aktual",1,IF(AND(B36="Order",A36&gt;=I_Parameter!$C$4),1,0))))</f>
        <v>1</v>
      </c>
    </row>
    <row r="37" customFormat="false" ht="15" hidden="false" customHeight="false" outlineLevel="0" collapsed="false">
      <c r="A37" s="37" t="n">
        <v>46260</v>
      </c>
      <c r="B37" s="44" t="s">
        <v>128</v>
      </c>
      <c r="C37" s="44" t="s">
        <v>456</v>
      </c>
      <c r="D37" s="44" t="s">
        <v>457</v>
      </c>
      <c r="E37" s="44" t="s">
        <v>459</v>
      </c>
      <c r="F37" s="44"/>
      <c r="G37" s="34" t="str">
        <f aca="false">IF(F37&lt;&gt;"",F37,IF(E37="","",IFERROR(INDEX(I_Item!$C$6:$C$255,MATCH(E37,I_Item!$A$6:$A$255,0)),"KODE BARU")))</f>
        <v>RPA|Karkas|Fresh</v>
      </c>
      <c r="H37" s="45" t="n">
        <v>1765.35</v>
      </c>
      <c r="I37" s="42" t="n">
        <v>36705</v>
      </c>
      <c r="J37" s="11" t="n">
        <f aca="false">IF(H37="","",H37*I37)</f>
        <v>64797171.75</v>
      </c>
      <c r="K37" s="42" t="n">
        <v>66014695</v>
      </c>
      <c r="L37" s="11" t="n">
        <f aca="false">IF(H37="","",IF(K37&lt;&gt;"",K37,H37*IFERROR(INDEX(O_Stok!$Q$6:$Q$85,MATCH(G37,O_Stok!$A$6:$A$85,0)),0)))</f>
        <v>66014695</v>
      </c>
      <c r="M37" s="11" t="n">
        <f aca="false">IF(H37="","",J37-L37)</f>
        <v>-1217523.25</v>
      </c>
      <c r="N37" s="34" t="str">
        <f aca="false">IF(G37="","",IFERROR(INDEX(I_Master!$B$6:$B$85,MATCH(G37,I_Master!$A$6:$A$85,0)),"?"))</f>
        <v>RPA</v>
      </c>
      <c r="O37" s="34" t="str">
        <f aca="false">IF(G37="","",IFERROR(INDEX(I_Master!$E$6:$E$85,MATCH(G37,I_Master!$A$6:$A$85,0)),"?"))</f>
        <v>Karkas fresh</v>
      </c>
      <c r="P37" s="46" t="n">
        <f aca="false">IF(H37="","",IF(OR(A37&lt;I_Parameter!$C$5,A37&gt;I_Parameter!$C$6),0,IF(B37="Aktual",1,IF(AND(B37="Order",A37&gt;=I_Parameter!$C$4),1,0))))</f>
        <v>1</v>
      </c>
    </row>
    <row r="38" customFormat="false" ht="15" hidden="false" customHeight="false" outlineLevel="0" collapsed="false">
      <c r="A38" s="37" t="n">
        <v>46260</v>
      </c>
      <c r="B38" s="44" t="s">
        <v>128</v>
      </c>
      <c r="C38" s="44" t="s">
        <v>456</v>
      </c>
      <c r="D38" s="44" t="s">
        <v>457</v>
      </c>
      <c r="E38" s="44" t="s">
        <v>460</v>
      </c>
      <c r="F38" s="44"/>
      <c r="G38" s="34" t="str">
        <f aca="false">IF(F38&lt;&gt;"",F38,IF(E38="","",IFERROR(INDEX(I_Item!$C$6:$C$255,MATCH(E38,I_Item!$A$6:$A$255,0)),"KODE BARU")))</f>
        <v>RPA|Karkas|Fresh</v>
      </c>
      <c r="H38" s="45" t="n">
        <v>1517</v>
      </c>
      <c r="I38" s="42" t="n">
        <v>36705</v>
      </c>
      <c r="J38" s="11" t="n">
        <f aca="false">IF(H38="","",H38*I38)</f>
        <v>55681485</v>
      </c>
      <c r="K38" s="42" t="n">
        <v>56555854</v>
      </c>
      <c r="L38" s="11" t="n">
        <f aca="false">IF(H38="","",IF(K38&lt;&gt;"",K38,H38*IFERROR(INDEX(O_Stok!$Q$6:$Q$85,MATCH(G38,O_Stok!$A$6:$A$85,0)),0)))</f>
        <v>56555854</v>
      </c>
      <c r="M38" s="11" t="n">
        <f aca="false">IF(H38="","",J38-L38)</f>
        <v>-874369</v>
      </c>
      <c r="N38" s="34" t="str">
        <f aca="false">IF(G38="","",IFERROR(INDEX(I_Master!$B$6:$B$85,MATCH(G38,I_Master!$A$6:$A$85,0)),"?"))</f>
        <v>RPA</v>
      </c>
      <c r="O38" s="34" t="str">
        <f aca="false">IF(G38="","",IFERROR(INDEX(I_Master!$E$6:$E$85,MATCH(G38,I_Master!$A$6:$A$85,0)),"?"))</f>
        <v>Karkas fresh</v>
      </c>
      <c r="P38" s="46" t="n">
        <f aca="false">IF(H38="","",IF(OR(A38&lt;I_Parameter!$C$5,A38&gt;I_Parameter!$C$6),0,IF(B38="Aktual",1,IF(AND(B38="Order",A38&gt;=I_Parameter!$C$4),1,0))))</f>
        <v>1</v>
      </c>
    </row>
    <row r="39" customFormat="false" ht="15" hidden="false" customHeight="false" outlineLevel="0" collapsed="false">
      <c r="A39" s="37" t="n">
        <v>46260</v>
      </c>
      <c r="B39" s="44" t="s">
        <v>128</v>
      </c>
      <c r="C39" s="44" t="s">
        <v>456</v>
      </c>
      <c r="D39" s="44" t="s">
        <v>457</v>
      </c>
      <c r="E39" s="44" t="s">
        <v>461</v>
      </c>
      <c r="F39" s="44"/>
      <c r="G39" s="34" t="str">
        <f aca="false">IF(F39&lt;&gt;"",F39,IF(E39="","",IFERROR(INDEX(I_Item!$C$6:$C$255,MATCH(E39,I_Item!$A$6:$A$255,0)),"KODE BARU")))</f>
        <v>RPA|Karkas|Fresh</v>
      </c>
      <c r="H39" s="45" t="n">
        <v>420</v>
      </c>
      <c r="I39" s="42" t="n">
        <v>36705</v>
      </c>
      <c r="J39" s="11" t="n">
        <f aca="false">IF(H39="","",H39*I39)</f>
        <v>15416100</v>
      </c>
      <c r="K39" s="42" t="n">
        <v>15707068</v>
      </c>
      <c r="L39" s="11" t="n">
        <f aca="false">IF(H39="","",IF(K39&lt;&gt;"",K39,H39*IFERROR(INDEX(O_Stok!$Q$6:$Q$85,MATCH(G39,O_Stok!$A$6:$A$85,0)),0)))</f>
        <v>15707068</v>
      </c>
      <c r="M39" s="11" t="n">
        <f aca="false">IF(H39="","",J39-L39)</f>
        <v>-290968</v>
      </c>
      <c r="N39" s="34" t="str">
        <f aca="false">IF(G39="","",IFERROR(INDEX(I_Master!$B$6:$B$85,MATCH(G39,I_Master!$A$6:$A$85,0)),"?"))</f>
        <v>RPA</v>
      </c>
      <c r="O39" s="34" t="str">
        <f aca="false">IF(G39="","",IFERROR(INDEX(I_Master!$E$6:$E$85,MATCH(G39,I_Master!$A$6:$A$85,0)),"?"))</f>
        <v>Karkas fresh</v>
      </c>
      <c r="P39" s="46" t="n">
        <f aca="false">IF(H39="","",IF(OR(A39&lt;I_Parameter!$C$5,A39&gt;I_Parameter!$C$6),0,IF(B39="Aktual",1,IF(AND(B39="Order",A39&gt;=I_Parameter!$C$4),1,0))))</f>
        <v>1</v>
      </c>
    </row>
    <row r="40" customFormat="false" ht="15" hidden="false" customHeight="false" outlineLevel="0" collapsed="false">
      <c r="A40" s="37" t="n">
        <v>46261</v>
      </c>
      <c r="B40" s="44" t="s">
        <v>462</v>
      </c>
      <c r="C40" s="44" t="s">
        <v>463</v>
      </c>
      <c r="D40" s="44" t="s">
        <v>429</v>
      </c>
      <c r="E40" s="44" t="s">
        <v>455</v>
      </c>
      <c r="F40" s="44"/>
      <c r="G40" s="34" t="str">
        <f aca="false">IF(F40&lt;&gt;"",F40,IF(E40="","",IFERROR(INDEX(I_Item!$C$6:$C$255,MATCH(E40,I_Item!$A$6:$A$255,0)),"KODE BARU")))</f>
        <v>Trading|Karkas|n/a</v>
      </c>
      <c r="H40" s="45" t="n">
        <v>1501.38</v>
      </c>
      <c r="I40" s="42" t="n">
        <v>31277</v>
      </c>
      <c r="J40" s="11" t="n">
        <f aca="false">IF(H40="","",H40*I40)</f>
        <v>46958662.26</v>
      </c>
      <c r="K40" s="42"/>
      <c r="L40" s="11" t="n">
        <f aca="false">IF(H40="","",IF(K40&lt;&gt;"",K40,H40*IFERROR(INDEX(O_Stok!$Q$6:$Q$85,MATCH(G40,O_Stok!$A$6:$A$85,0)),0)))</f>
        <v>45139686.5920934</v>
      </c>
      <c r="M40" s="11" t="n">
        <f aca="false">IF(H40="","",J40-L40)</f>
        <v>1818975.66790656</v>
      </c>
      <c r="N40" s="34" t="str">
        <f aca="false">IF(G40="","",IFERROR(INDEX(I_Master!$B$6:$B$85,MATCH(G40,I_Master!$A$6:$A$85,0)),"?"))</f>
        <v>Trading</v>
      </c>
      <c r="O40" s="34" t="str">
        <f aca="false">IF(G40="","",IFERROR(INDEX(I_Master!$E$6:$E$85,MATCH(G40,I_Master!$A$6:$A$85,0)),"?"))</f>
        <v>Karkas</v>
      </c>
      <c r="P40" s="46" t="n">
        <f aca="false">IF(H40="","",IF(OR(A40&lt;I_Parameter!$C$5,A40&gt;I_Parameter!$C$6),0,IF(B40="Aktual",1,IF(AND(B40="Order",A40&gt;=I_Parameter!$C$4),1,0))))</f>
        <v>1</v>
      </c>
    </row>
    <row r="41" customFormat="false" ht="15" hidden="false" customHeight="false" outlineLevel="0" collapsed="false">
      <c r="A41" s="37" t="n">
        <v>46261</v>
      </c>
      <c r="B41" s="44" t="s">
        <v>462</v>
      </c>
      <c r="C41" s="44" t="s">
        <v>464</v>
      </c>
      <c r="D41" s="44" t="s">
        <v>465</v>
      </c>
      <c r="E41" s="44" t="s">
        <v>466</v>
      </c>
      <c r="F41" s="44"/>
      <c r="G41" s="34" t="str">
        <f aca="false">IF(F41&lt;&gt;"",F41,IF(E41="","",IFERROR(INDEX(I_Item!$C$6:$C$255,MATCH(E41,I_Item!$A$6:$A$255,0)),"KODE BARU")))</f>
        <v>RPA|Karkas|n/a</v>
      </c>
      <c r="H41" s="45" t="n">
        <v>811.29</v>
      </c>
      <c r="I41" s="42" t="n">
        <v>30000</v>
      </c>
      <c r="J41" s="11" t="n">
        <f aca="false">IF(H41="","",H41*I41)</f>
        <v>24338700</v>
      </c>
      <c r="K41" s="42"/>
      <c r="L41" s="11" t="n">
        <f aca="false">IF(H41="","",IF(K41&lt;&gt;"",K41,H41*IFERROR(INDEX(O_Stok!$Q$6:$Q$85,MATCH(G41,O_Stok!$A$6:$A$85,0)),0)))</f>
        <v>21984386.3228974</v>
      </c>
      <c r="M41" s="11" t="n">
        <f aca="false">IF(H41="","",J41-L41)</f>
        <v>2354313.67710257</v>
      </c>
      <c r="N41" s="34" t="str">
        <f aca="false">IF(G41="","",IFERROR(INDEX(I_Master!$B$6:$B$85,MATCH(G41,I_Master!$A$6:$A$85,0)),"?"))</f>
        <v>RPA</v>
      </c>
      <c r="O41" s="34" t="str">
        <f aca="false">IF(G41="","",IFERROR(INDEX(I_Master!$E$6:$E$85,MATCH(G41,I_Master!$A$6:$A$85,0)),"?"))</f>
        <v>Karkas mix</v>
      </c>
      <c r="P41" s="46" t="n">
        <f aca="false">IF(H41="","",IF(OR(A41&lt;I_Parameter!$C$5,A41&gt;I_Parameter!$C$6),0,IF(B41="Aktual",1,IF(AND(B41="Order",A41&gt;=I_Parameter!$C$4),1,0))))</f>
        <v>1</v>
      </c>
    </row>
    <row r="42" customFormat="false" ht="15" hidden="false" customHeight="false" outlineLevel="0" collapsed="false">
      <c r="A42" s="37" t="n">
        <v>46261</v>
      </c>
      <c r="B42" s="44" t="s">
        <v>462</v>
      </c>
      <c r="C42" s="44" t="s">
        <v>464</v>
      </c>
      <c r="D42" s="44" t="s">
        <v>465</v>
      </c>
      <c r="E42" s="44" t="s">
        <v>467</v>
      </c>
      <c r="F42" s="44"/>
      <c r="G42" s="34" t="str">
        <f aca="false">IF(F42&lt;&gt;"",F42,IF(E42="","",IFERROR(INDEX(I_Item!$C$6:$C$255,MATCH(E42,I_Item!$A$6:$A$255,0)),"KODE BARU")))</f>
        <v>RPA|Karkas|Frozen</v>
      </c>
      <c r="H42" s="45" t="n">
        <v>34.6</v>
      </c>
      <c r="I42" s="42" t="n">
        <v>31658</v>
      </c>
      <c r="J42" s="11" t="n">
        <f aca="false">IF(H42="","",H42*I42)</f>
        <v>1095366.8</v>
      </c>
      <c r="K42" s="42"/>
      <c r="L42" s="11" t="n">
        <f aca="false">IF(H42="","",IF(K42&lt;&gt;"",K42,H42*IFERROR(INDEX(O_Stok!$Q$6:$Q$85,MATCH(G42,O_Stok!$A$6:$A$85,0)),0)))</f>
        <v>1216308.98894745</v>
      </c>
      <c r="M42" s="11" t="n">
        <f aca="false">IF(H42="","",J42-L42)</f>
        <v>-120942.188947453</v>
      </c>
      <c r="N42" s="34" t="str">
        <f aca="false">IF(G42="","",IFERROR(INDEX(I_Master!$B$6:$B$85,MATCH(G42,I_Master!$A$6:$A$85,0)),"?"))</f>
        <v>RPA</v>
      </c>
      <c r="O42" s="34" t="str">
        <f aca="false">IF(G42="","",IFERROR(INDEX(I_Master!$E$6:$E$85,MATCH(G42,I_Master!$A$6:$A$85,0)),"?"))</f>
        <v>Karkas frozen</v>
      </c>
      <c r="P42" s="46" t="n">
        <f aca="false">IF(H42="","",IF(OR(A42&lt;I_Parameter!$C$5,A42&gt;I_Parameter!$C$6),0,IF(B42="Aktual",1,IF(AND(B42="Order",A42&gt;=I_Parameter!$C$4),1,0))))</f>
        <v>1</v>
      </c>
    </row>
    <row r="43" customFormat="false" ht="15" hidden="false" customHeight="false" outlineLevel="0" collapsed="false">
      <c r="A43" s="37" t="n">
        <v>46261</v>
      </c>
      <c r="B43" s="44" t="s">
        <v>462</v>
      </c>
      <c r="C43" s="44" t="s">
        <v>464</v>
      </c>
      <c r="D43" s="44" t="s">
        <v>465</v>
      </c>
      <c r="E43" s="44" t="s">
        <v>467</v>
      </c>
      <c r="F43" s="44"/>
      <c r="G43" s="34" t="str">
        <f aca="false">IF(F43&lt;&gt;"",F43,IF(E43="","",IFERROR(INDEX(I_Item!$C$6:$C$255,MATCH(E43,I_Item!$A$6:$A$255,0)),"KODE BARU")))</f>
        <v>RPA|Karkas|Frozen</v>
      </c>
      <c r="H43" s="45" t="n">
        <v>169.69</v>
      </c>
      <c r="I43" s="42" t="n">
        <v>31658</v>
      </c>
      <c r="J43" s="11" t="n">
        <f aca="false">IF(H43="","",H43*I43)</f>
        <v>5372046.02</v>
      </c>
      <c r="K43" s="42"/>
      <c r="L43" s="11" t="n">
        <f aca="false">IF(H43="","",IF(K43&lt;&gt;"",K43,H43*IFERROR(INDEX(O_Stok!$Q$6:$Q$85,MATCH(G43,O_Stok!$A$6:$A$85,0)),0)))</f>
        <v>5965187.06169056</v>
      </c>
      <c r="M43" s="11" t="n">
        <f aca="false">IF(H43="","",J43-L43)</f>
        <v>-593141.041690556</v>
      </c>
      <c r="N43" s="34" t="str">
        <f aca="false">IF(G43="","",IFERROR(INDEX(I_Master!$B$6:$B$85,MATCH(G43,I_Master!$A$6:$A$85,0)),"?"))</f>
        <v>RPA</v>
      </c>
      <c r="O43" s="34" t="str">
        <f aca="false">IF(G43="","",IFERROR(INDEX(I_Master!$E$6:$E$85,MATCH(G43,I_Master!$A$6:$A$85,0)),"?"))</f>
        <v>Karkas frozen</v>
      </c>
      <c r="P43" s="46" t="n">
        <f aca="false">IF(H43="","",IF(OR(A43&lt;I_Parameter!$C$5,A43&gt;I_Parameter!$C$6),0,IF(B43="Aktual",1,IF(AND(B43="Order",A43&gt;=I_Parameter!$C$4),1,0))))</f>
        <v>1</v>
      </c>
    </row>
    <row r="44" customFormat="false" ht="15" hidden="false" customHeight="false" outlineLevel="0" collapsed="false">
      <c r="A44" s="37" t="n">
        <v>46261</v>
      </c>
      <c r="B44" s="44" t="s">
        <v>462</v>
      </c>
      <c r="C44" s="44" t="s">
        <v>464</v>
      </c>
      <c r="D44" s="44" t="s">
        <v>465</v>
      </c>
      <c r="E44" s="44" t="s">
        <v>468</v>
      </c>
      <c r="F44" s="44"/>
      <c r="G44" s="34" t="str">
        <f aca="false">IF(F44&lt;&gt;"",F44,IF(E44="","",IFERROR(INDEX(I_Item!$C$6:$C$255,MATCH(E44,I_Item!$A$6:$A$255,0)),"KODE BARU")))</f>
        <v>Trading|BLP|Frozen</v>
      </c>
      <c r="H44" s="45" t="n">
        <v>203.4</v>
      </c>
      <c r="I44" s="42" t="n">
        <v>43086</v>
      </c>
      <c r="J44" s="11" t="n">
        <f aca="false">IF(H44="","",H44*I44)</f>
        <v>8763692.4</v>
      </c>
      <c r="K44" s="42"/>
      <c r="L44" s="11" t="n">
        <f aca="false">IF(H44="","",IF(K44&lt;&gt;"",K44,H44*IFERROR(INDEX(O_Stok!$Q$6:$Q$85,MATCH(G44,O_Stok!$A$6:$A$85,0)),0)))</f>
        <v>9600189.37607889</v>
      </c>
      <c r="M44" s="11" t="n">
        <f aca="false">IF(H44="","",J44-L44)</f>
        <v>-836496.976078887</v>
      </c>
      <c r="N44" s="34" t="str">
        <f aca="false">IF(G44="","",IFERROR(INDEX(I_Master!$B$6:$B$85,MATCH(G44,I_Master!$A$6:$A$85,0)),"?"))</f>
        <v>Trading</v>
      </c>
      <c r="O44" s="34" t="str">
        <f aca="false">IF(G44="","",IFERROR(INDEX(I_Master!$E$6:$E$85,MATCH(G44,I_Master!$A$6:$A$85,0)),"?"))</f>
        <v>BLP</v>
      </c>
      <c r="P44" s="46" t="n">
        <f aca="false">IF(H44="","",IF(OR(A44&lt;I_Parameter!$C$5,A44&gt;I_Parameter!$C$6),0,IF(B44="Aktual",1,IF(AND(B44="Order",A44&gt;=I_Parameter!$C$4),1,0))))</f>
        <v>1</v>
      </c>
    </row>
    <row r="45" customFormat="false" ht="15" hidden="false" customHeight="false" outlineLevel="0" collapsed="false">
      <c r="A45" s="37" t="n">
        <v>46261</v>
      </c>
      <c r="B45" s="44" t="s">
        <v>462</v>
      </c>
      <c r="C45" s="44" t="s">
        <v>464</v>
      </c>
      <c r="D45" s="44" t="s">
        <v>465</v>
      </c>
      <c r="E45" s="44" t="s">
        <v>430</v>
      </c>
      <c r="F45" s="44"/>
      <c r="G45" s="34" t="str">
        <f aca="false">IF(F45&lt;&gt;"",F45,IF(E45="","",IFERROR(INDEX(I_Item!$C$6:$C$255,MATCH(E45,I_Item!$A$6:$A$255,0)),"KODE BARU")))</f>
        <v>Trading|Karkas|n/a</v>
      </c>
      <c r="H45" s="45" t="n">
        <v>1015.51</v>
      </c>
      <c r="I45" s="42" t="n">
        <v>31277</v>
      </c>
      <c r="J45" s="11" t="n">
        <f aca="false">IF(H45="","",H45*I45)</f>
        <v>31762106.27</v>
      </c>
      <c r="K45" s="42"/>
      <c r="L45" s="11" t="n">
        <f aca="false">IF(H45="","",IF(K45&lt;&gt;"",K45,H45*IFERROR(INDEX(O_Stok!$Q$6:$Q$85,MATCH(G45,O_Stok!$A$6:$A$85,0)),0)))</f>
        <v>30531779.5169356</v>
      </c>
      <c r="M45" s="11" t="n">
        <f aca="false">IF(H45="","",J45-L45)</f>
        <v>1230326.75306438</v>
      </c>
      <c r="N45" s="34" t="str">
        <f aca="false">IF(G45="","",IFERROR(INDEX(I_Master!$B$6:$B$85,MATCH(G45,I_Master!$A$6:$A$85,0)),"?"))</f>
        <v>Trading</v>
      </c>
      <c r="O45" s="34" t="str">
        <f aca="false">IF(G45="","",IFERROR(INDEX(I_Master!$E$6:$E$85,MATCH(G45,I_Master!$A$6:$A$85,0)),"?"))</f>
        <v>Karkas</v>
      </c>
      <c r="P45" s="46" t="n">
        <f aca="false">IF(H45="","",IF(OR(A45&lt;I_Parameter!$C$5,A45&gt;I_Parameter!$C$6),0,IF(B45="Aktual",1,IF(AND(B45="Order",A45&gt;=I_Parameter!$C$4),1,0))))</f>
        <v>1</v>
      </c>
    </row>
    <row r="46" customFormat="false" ht="15" hidden="false" customHeight="false" outlineLevel="0" collapsed="false">
      <c r="A46" s="37" t="n">
        <v>46261</v>
      </c>
      <c r="B46" s="44" t="s">
        <v>462</v>
      </c>
      <c r="C46" s="44" t="s">
        <v>464</v>
      </c>
      <c r="D46" s="44" t="s">
        <v>465</v>
      </c>
      <c r="E46" s="44" t="s">
        <v>455</v>
      </c>
      <c r="F46" s="44"/>
      <c r="G46" s="34" t="str">
        <f aca="false">IF(F46&lt;&gt;"",F46,IF(E46="","",IFERROR(INDEX(I_Item!$C$6:$C$255,MATCH(E46,I_Item!$A$6:$A$255,0)),"KODE BARU")))</f>
        <v>Trading|Karkas|n/a</v>
      </c>
      <c r="H46" s="45" t="n">
        <v>1015.4</v>
      </c>
      <c r="I46" s="42" t="n">
        <v>31277</v>
      </c>
      <c r="J46" s="11" t="n">
        <f aca="false">IF(H46="","",H46*I46)</f>
        <v>31758665.8</v>
      </c>
      <c r="K46" s="42"/>
      <c r="L46" s="11" t="n">
        <f aca="false">IF(H46="","",IF(K46&lt;&gt;"",K46,H46*IFERROR(INDEX(O_Stok!$Q$6:$Q$85,MATCH(G46,O_Stok!$A$6:$A$85,0)),0)))</f>
        <v>30528472.3158772</v>
      </c>
      <c r="M46" s="11" t="n">
        <f aca="false">IF(H46="","",J46-L46)</f>
        <v>1230193.48412282</v>
      </c>
      <c r="N46" s="34" t="str">
        <f aca="false">IF(G46="","",IFERROR(INDEX(I_Master!$B$6:$B$85,MATCH(G46,I_Master!$A$6:$A$85,0)),"?"))</f>
        <v>Trading</v>
      </c>
      <c r="O46" s="34" t="str">
        <f aca="false">IF(G46="","",IFERROR(INDEX(I_Master!$E$6:$E$85,MATCH(G46,I_Master!$A$6:$A$85,0)),"?"))</f>
        <v>Karkas</v>
      </c>
      <c r="P46" s="46" t="n">
        <f aca="false">IF(H46="","",IF(OR(A46&lt;I_Parameter!$C$5,A46&gt;I_Parameter!$C$6),0,IF(B46="Aktual",1,IF(AND(B46="Order",A46&gt;=I_Parameter!$C$4),1,0))))</f>
        <v>1</v>
      </c>
    </row>
    <row r="47" customFormat="false" ht="15" hidden="false" customHeight="false" outlineLevel="0" collapsed="false">
      <c r="A47" s="37" t="n">
        <v>46261</v>
      </c>
      <c r="B47" s="44" t="s">
        <v>462</v>
      </c>
      <c r="C47" s="44" t="s">
        <v>464</v>
      </c>
      <c r="D47" s="44" t="s">
        <v>465</v>
      </c>
      <c r="E47" s="44" t="s">
        <v>435</v>
      </c>
      <c r="F47" s="44"/>
      <c r="G47" s="34" t="str">
        <f aca="false">IF(F47&lt;&gt;"",F47,IF(E47="","",IFERROR(INDEX(I_Item!$C$6:$C$255,MATCH(E47,I_Item!$A$6:$A$255,0)),"KODE BARU")))</f>
        <v>Trading|Karkas|n/a</v>
      </c>
      <c r="H47" s="45" t="n">
        <v>507.47</v>
      </c>
      <c r="I47" s="42" t="n">
        <v>31277</v>
      </c>
      <c r="J47" s="11" t="n">
        <f aca="false">IF(H47="","",H47*I47)</f>
        <v>15872139.19</v>
      </c>
      <c r="K47" s="42"/>
      <c r="L47" s="11" t="n">
        <f aca="false">IF(H47="","",IF(K47&lt;&gt;"",K47,H47*IFERROR(INDEX(O_Stok!$Q$6:$Q$85,MATCH(G47,O_Stok!$A$6:$A$85,0)),0)))</f>
        <v>15257321.10118</v>
      </c>
      <c r="M47" s="11" t="n">
        <f aca="false">IF(H47="","",J47-L47)</f>
        <v>614818.088819981</v>
      </c>
      <c r="N47" s="34" t="str">
        <f aca="false">IF(G47="","",IFERROR(INDEX(I_Master!$B$6:$B$85,MATCH(G47,I_Master!$A$6:$A$85,0)),"?"))</f>
        <v>Trading</v>
      </c>
      <c r="O47" s="34" t="str">
        <f aca="false">IF(G47="","",IFERROR(INDEX(I_Master!$E$6:$E$85,MATCH(G47,I_Master!$A$6:$A$85,0)),"?"))</f>
        <v>Karkas</v>
      </c>
      <c r="P47" s="46" t="n">
        <f aca="false">IF(H47="","",IF(OR(A47&lt;I_Parameter!$C$5,A47&gt;I_Parameter!$C$6),0,IF(B47="Aktual",1,IF(AND(B47="Order",A47&gt;=I_Parameter!$C$4),1,0))))</f>
        <v>1</v>
      </c>
    </row>
    <row r="48" customFormat="false" ht="15" hidden="false" customHeight="false" outlineLevel="0" collapsed="false">
      <c r="A48" s="37" t="n">
        <v>46261</v>
      </c>
      <c r="B48" s="44" t="s">
        <v>462</v>
      </c>
      <c r="C48" s="44" t="s">
        <v>464</v>
      </c>
      <c r="D48" s="44" t="s">
        <v>465</v>
      </c>
      <c r="E48" s="44" t="s">
        <v>435</v>
      </c>
      <c r="F48" s="44"/>
      <c r="G48" s="34" t="str">
        <f aca="false">IF(F48&lt;&gt;"",F48,IF(E48="","",IFERROR(INDEX(I_Item!$C$6:$C$255,MATCH(E48,I_Item!$A$6:$A$255,0)),"KODE BARU")))</f>
        <v>Trading|Karkas|n/a</v>
      </c>
      <c r="H48" s="45" t="n">
        <v>247.71</v>
      </c>
      <c r="I48" s="42" t="n">
        <v>31277</v>
      </c>
      <c r="J48" s="11" t="n">
        <f aca="false">IF(H48="","",H48*I48)</f>
        <v>7747625.67</v>
      </c>
      <c r="K48" s="42"/>
      <c r="L48" s="11" t="n">
        <f aca="false">IF(H48="","",IF(K48&lt;&gt;"",K48,H48*IFERROR(INDEX(O_Stok!$Q$6:$Q$85,MATCH(G48,O_Stok!$A$6:$A$85,0)),0)))</f>
        <v>7447516.12897965</v>
      </c>
      <c r="M48" s="11" t="n">
        <f aca="false">IF(H48="","",J48-L48)</f>
        <v>300109.541020351</v>
      </c>
      <c r="N48" s="34" t="str">
        <f aca="false">IF(G48="","",IFERROR(INDEX(I_Master!$B$6:$B$85,MATCH(G48,I_Master!$A$6:$A$85,0)),"?"))</f>
        <v>Trading</v>
      </c>
      <c r="O48" s="34" t="str">
        <f aca="false">IF(G48="","",IFERROR(INDEX(I_Master!$E$6:$E$85,MATCH(G48,I_Master!$A$6:$A$85,0)),"?"))</f>
        <v>Karkas</v>
      </c>
      <c r="P48" s="46" t="n">
        <f aca="false">IF(H48="","",IF(OR(A48&lt;I_Parameter!$C$5,A48&gt;I_Parameter!$C$6),0,IF(B48="Aktual",1,IF(AND(B48="Order",A48&gt;=I_Parameter!$C$4),1,0))))</f>
        <v>1</v>
      </c>
    </row>
    <row r="49" customFormat="false" ht="15" hidden="false" customHeight="false" outlineLevel="0" collapsed="false">
      <c r="A49" s="37" t="n">
        <v>46261</v>
      </c>
      <c r="B49" s="44" t="s">
        <v>462</v>
      </c>
      <c r="C49" s="44" t="s">
        <v>464</v>
      </c>
      <c r="D49" s="44" t="s">
        <v>465</v>
      </c>
      <c r="E49" s="44" t="s">
        <v>435</v>
      </c>
      <c r="F49" s="44"/>
      <c r="G49" s="34" t="str">
        <f aca="false">IF(F49&lt;&gt;"",F49,IF(E49="","",IFERROR(INDEX(I_Item!$C$6:$C$255,MATCH(E49,I_Item!$A$6:$A$255,0)),"KODE BARU")))</f>
        <v>Trading|Karkas|n/a</v>
      </c>
      <c r="H49" s="45" t="n">
        <v>544.4</v>
      </c>
      <c r="I49" s="42" t="n">
        <v>31277</v>
      </c>
      <c r="J49" s="11" t="n">
        <f aca="false">IF(H49="","",H49*I49)</f>
        <v>17027198.8</v>
      </c>
      <c r="K49" s="42"/>
      <c r="L49" s="11" t="n">
        <f aca="false">IF(H49="","",IF(K49&lt;&gt;"",K49,H49*IFERROR(INDEX(O_Stok!$Q$6:$Q$85,MATCH(G49,O_Stok!$A$6:$A$85,0)),0)))</f>
        <v>16367638.692893</v>
      </c>
      <c r="M49" s="11" t="n">
        <f aca="false">IF(H49="","",J49-L49)</f>
        <v>659560.107107017</v>
      </c>
      <c r="N49" s="34" t="str">
        <f aca="false">IF(G49="","",IFERROR(INDEX(I_Master!$B$6:$B$85,MATCH(G49,I_Master!$A$6:$A$85,0)),"?"))</f>
        <v>Trading</v>
      </c>
      <c r="O49" s="34" t="str">
        <f aca="false">IF(G49="","",IFERROR(INDEX(I_Master!$E$6:$E$85,MATCH(G49,I_Master!$A$6:$A$85,0)),"?"))</f>
        <v>Karkas</v>
      </c>
      <c r="P49" s="46" t="n">
        <f aca="false">IF(H49="","",IF(OR(A49&lt;I_Parameter!$C$5,A49&gt;I_Parameter!$C$6),0,IF(B49="Aktual",1,IF(AND(B49="Order",A49&gt;=I_Parameter!$C$4),1,0))))</f>
        <v>1</v>
      </c>
    </row>
    <row r="50" customFormat="false" ht="15" hidden="false" customHeight="false" outlineLevel="0" collapsed="false">
      <c r="A50" s="37" t="n">
        <v>46261</v>
      </c>
      <c r="B50" s="44" t="s">
        <v>462</v>
      </c>
      <c r="C50" s="44" t="s">
        <v>464</v>
      </c>
      <c r="D50" s="44" t="s">
        <v>465</v>
      </c>
      <c r="E50" s="44" t="s">
        <v>427</v>
      </c>
      <c r="F50" s="44"/>
      <c r="G50" s="34" t="str">
        <f aca="false">IF(F50&lt;&gt;"",F50,IF(E50="","",IFERROR(INDEX(I_Item!$C$6:$C$255,MATCH(E50,I_Item!$A$6:$A$255,0)),"KODE BARU")))</f>
        <v>Trading|Karkas|n/a</v>
      </c>
      <c r="H50" s="45" t="n">
        <v>313.9</v>
      </c>
      <c r="I50" s="42" t="n">
        <v>31277</v>
      </c>
      <c r="J50" s="11" t="n">
        <f aca="false">IF(H50="","",H50*I50)</f>
        <v>9817850.3</v>
      </c>
      <c r="K50" s="42"/>
      <c r="L50" s="11" t="n">
        <f aca="false">IF(H50="","",IF(K50&lt;&gt;"",K50,H50*IFERROR(INDEX(O_Stok!$Q$6:$Q$85,MATCH(G50,O_Stok!$A$6:$A$85,0)),0)))</f>
        <v>9437549.20223936</v>
      </c>
      <c r="M50" s="11" t="n">
        <f aca="false">IF(H50="","",J50-L50)</f>
        <v>380301.097760638</v>
      </c>
      <c r="N50" s="34" t="str">
        <f aca="false">IF(G50="","",IFERROR(INDEX(I_Master!$B$6:$B$85,MATCH(G50,I_Master!$A$6:$A$85,0)),"?"))</f>
        <v>Trading</v>
      </c>
      <c r="O50" s="34" t="str">
        <f aca="false">IF(G50="","",IFERROR(INDEX(I_Master!$E$6:$E$85,MATCH(G50,I_Master!$A$6:$A$85,0)),"?"))</f>
        <v>Karkas</v>
      </c>
      <c r="P50" s="46" t="n">
        <f aca="false">IF(H50="","",IF(OR(A50&lt;I_Parameter!$C$5,A50&gt;I_Parameter!$C$6),0,IF(B50="Aktual",1,IF(AND(B50="Order",A50&gt;=I_Parameter!$C$4),1,0))))</f>
        <v>1</v>
      </c>
    </row>
    <row r="51" customFormat="false" ht="15" hidden="false" customHeight="false" outlineLevel="0" collapsed="false">
      <c r="A51" s="37" t="n">
        <v>46261</v>
      </c>
      <c r="B51" s="44" t="s">
        <v>462</v>
      </c>
      <c r="C51" s="44" t="s">
        <v>469</v>
      </c>
      <c r="D51" s="44" t="s">
        <v>457</v>
      </c>
      <c r="E51" s="44" t="s">
        <v>458</v>
      </c>
      <c r="F51" s="44"/>
      <c r="G51" s="34" t="str">
        <f aca="false">IF(F51&lt;&gt;"",F51,IF(E51="","",IFERROR(INDEX(I_Item!$C$6:$C$255,MATCH(E51,I_Item!$A$6:$A$255,0)),"KODE BARU")))</f>
        <v>RPA|Karkas|Fresh</v>
      </c>
      <c r="H51" s="45" t="n">
        <v>1245.95</v>
      </c>
      <c r="I51" s="42" t="n">
        <v>36705</v>
      </c>
      <c r="J51" s="11" t="n">
        <f aca="false">IF(H51="","",H51*I51)</f>
        <v>45732594.75</v>
      </c>
      <c r="K51" s="42"/>
      <c r="L51" s="11" t="n">
        <f aca="false">IF(H51="","",IF(K51&lt;&gt;"",K51,H51*IFERROR(INDEX(O_Stok!$Q$6:$Q$85,MATCH(G51,O_Stok!$A$6:$A$85,0)),0)))</f>
        <v>46598286.7752385</v>
      </c>
      <c r="M51" s="11" t="n">
        <f aca="false">IF(H51="","",J51-L51)</f>
        <v>-865692.025238484</v>
      </c>
      <c r="N51" s="34" t="str">
        <f aca="false">IF(G51="","",IFERROR(INDEX(I_Master!$B$6:$B$85,MATCH(G51,I_Master!$A$6:$A$85,0)),"?"))</f>
        <v>RPA</v>
      </c>
      <c r="O51" s="34" t="str">
        <f aca="false">IF(G51="","",IFERROR(INDEX(I_Master!$E$6:$E$85,MATCH(G51,I_Master!$A$6:$A$85,0)),"?"))</f>
        <v>Karkas fresh</v>
      </c>
      <c r="P51" s="46" t="n">
        <f aca="false">IF(H51="","",IF(OR(A51&lt;I_Parameter!$C$5,A51&gt;I_Parameter!$C$6),0,IF(B51="Aktual",1,IF(AND(B51="Order",A51&gt;=I_Parameter!$C$4),1,0))))</f>
        <v>1</v>
      </c>
    </row>
    <row r="52" customFormat="false" ht="15" hidden="false" customHeight="false" outlineLevel="0" collapsed="false">
      <c r="A52" s="37" t="n">
        <v>46261</v>
      </c>
      <c r="B52" s="44" t="s">
        <v>462</v>
      </c>
      <c r="C52" s="44" t="s">
        <v>469</v>
      </c>
      <c r="D52" s="44" t="s">
        <v>457</v>
      </c>
      <c r="E52" s="44" t="s">
        <v>459</v>
      </c>
      <c r="F52" s="44"/>
      <c r="G52" s="34" t="str">
        <f aca="false">IF(F52&lt;&gt;"",F52,IF(E52="","",IFERROR(INDEX(I_Item!$C$6:$C$255,MATCH(E52,I_Item!$A$6:$A$255,0)),"KODE BARU")))</f>
        <v>RPA|Karkas|Fresh</v>
      </c>
      <c r="H52" s="45" t="n">
        <v>1412.65</v>
      </c>
      <c r="I52" s="42" t="n">
        <v>36705</v>
      </c>
      <c r="J52" s="11" t="n">
        <f aca="false">IF(H52="","",H52*I52)</f>
        <v>51851318.25</v>
      </c>
      <c r="K52" s="42"/>
      <c r="L52" s="11" t="n">
        <f aca="false">IF(H52="","",IF(K52&lt;&gt;"",K52,H52*IFERROR(INDEX(O_Stok!$Q$6:$Q$85,MATCH(G52,O_Stok!$A$6:$A$85,0)),0)))</f>
        <v>52832834.2333486</v>
      </c>
      <c r="M52" s="11" t="n">
        <f aca="false">IF(H52="","",J52-L52)</f>
        <v>-981515.983348571</v>
      </c>
      <c r="N52" s="34" t="str">
        <f aca="false">IF(G52="","",IFERROR(INDEX(I_Master!$B$6:$B$85,MATCH(G52,I_Master!$A$6:$A$85,0)),"?"))</f>
        <v>RPA</v>
      </c>
      <c r="O52" s="34" t="str">
        <f aca="false">IF(G52="","",IFERROR(INDEX(I_Master!$E$6:$E$85,MATCH(G52,I_Master!$A$6:$A$85,0)),"?"))</f>
        <v>Karkas fresh</v>
      </c>
      <c r="P52" s="46" t="n">
        <f aca="false">IF(H52="","",IF(OR(A52&lt;I_Parameter!$C$5,A52&gt;I_Parameter!$C$6),0,IF(B52="Aktual",1,IF(AND(B52="Order",A52&gt;=I_Parameter!$C$4),1,0))))</f>
        <v>1</v>
      </c>
    </row>
    <row r="53" customFormat="false" ht="15" hidden="false" customHeight="false" outlineLevel="0" collapsed="false">
      <c r="A53" s="37" t="n">
        <v>46261</v>
      </c>
      <c r="B53" s="44" t="s">
        <v>462</v>
      </c>
      <c r="C53" s="44" t="s">
        <v>469</v>
      </c>
      <c r="D53" s="44" t="s">
        <v>457</v>
      </c>
      <c r="E53" s="44" t="s">
        <v>459</v>
      </c>
      <c r="F53" s="44"/>
      <c r="G53" s="34" t="str">
        <f aca="false">IF(F53&lt;&gt;"",F53,IF(E53="","",IFERROR(INDEX(I_Item!$C$6:$C$255,MATCH(E53,I_Item!$A$6:$A$255,0)),"KODE BARU")))</f>
        <v>RPA|Karkas|Fresh</v>
      </c>
      <c r="H53" s="45" t="n">
        <v>50.7</v>
      </c>
      <c r="I53" s="42" t="n">
        <v>36705</v>
      </c>
      <c r="J53" s="11" t="n">
        <f aca="false">IF(H53="","",H53*I53)</f>
        <v>1860943.5</v>
      </c>
      <c r="K53" s="42"/>
      <c r="L53" s="11" t="n">
        <f aca="false">IF(H53="","",IF(K53&lt;&gt;"",K53,H53*IFERROR(INDEX(O_Stok!$Q$6:$Q$85,MATCH(G53,O_Stok!$A$6:$A$85,0)),0)))</f>
        <v>1896170.10273654</v>
      </c>
      <c r="M53" s="11" t="n">
        <f aca="false">IF(H53="","",J53-L53)</f>
        <v>-35226.6027365394</v>
      </c>
      <c r="N53" s="34" t="str">
        <f aca="false">IF(G53="","",IFERROR(INDEX(I_Master!$B$6:$B$85,MATCH(G53,I_Master!$A$6:$A$85,0)),"?"))</f>
        <v>RPA</v>
      </c>
      <c r="O53" s="34" t="str">
        <f aca="false">IF(G53="","",IFERROR(INDEX(I_Master!$E$6:$E$85,MATCH(G53,I_Master!$A$6:$A$85,0)),"?"))</f>
        <v>Karkas fresh</v>
      </c>
      <c r="P53" s="46" t="n">
        <f aca="false">IF(H53="","",IF(OR(A53&lt;I_Parameter!$C$5,A53&gt;I_Parameter!$C$6),0,IF(B53="Aktual",1,IF(AND(B53="Order",A53&gt;=I_Parameter!$C$4),1,0))))</f>
        <v>1</v>
      </c>
    </row>
    <row r="54" customFormat="false" ht="15" hidden="false" customHeight="false" outlineLevel="0" collapsed="false">
      <c r="A54" s="37" t="n">
        <v>46261</v>
      </c>
      <c r="B54" s="44" t="s">
        <v>462</v>
      </c>
      <c r="C54" s="44" t="s">
        <v>469</v>
      </c>
      <c r="D54" s="44" t="s">
        <v>457</v>
      </c>
      <c r="E54" s="44" t="s">
        <v>460</v>
      </c>
      <c r="F54" s="44"/>
      <c r="G54" s="34" t="str">
        <f aca="false">IF(F54&lt;&gt;"",F54,IF(E54="","",IFERROR(INDEX(I_Item!$C$6:$C$255,MATCH(E54,I_Item!$A$6:$A$255,0)),"KODE BARU")))</f>
        <v>RPA|Karkas|Fresh</v>
      </c>
      <c r="H54" s="45" t="n">
        <v>1182.4</v>
      </c>
      <c r="I54" s="42" t="n">
        <v>36705</v>
      </c>
      <c r="J54" s="11" t="n">
        <f aca="false">IF(H54="","",H54*I54)</f>
        <v>43399992</v>
      </c>
      <c r="K54" s="42"/>
      <c r="L54" s="11" t="n">
        <f aca="false">IF(H54="","",IF(K54&lt;&gt;"",K54,H54*IFERROR(INDEX(O_Stok!$Q$6:$Q$85,MATCH(G54,O_Stok!$A$6:$A$85,0)),0)))</f>
        <v>44221529.18098</v>
      </c>
      <c r="M54" s="11" t="n">
        <f aca="false">IF(H54="","",J54-L54)</f>
        <v>-821537.180979967</v>
      </c>
      <c r="N54" s="34" t="str">
        <f aca="false">IF(G54="","",IFERROR(INDEX(I_Master!$B$6:$B$85,MATCH(G54,I_Master!$A$6:$A$85,0)),"?"))</f>
        <v>RPA</v>
      </c>
      <c r="O54" s="34" t="str">
        <f aca="false">IF(G54="","",IFERROR(INDEX(I_Master!$E$6:$E$85,MATCH(G54,I_Master!$A$6:$A$85,0)),"?"))</f>
        <v>Karkas fresh</v>
      </c>
      <c r="P54" s="46" t="n">
        <f aca="false">IF(H54="","",IF(OR(A54&lt;I_Parameter!$C$5,A54&gt;I_Parameter!$C$6),0,IF(B54="Aktual",1,IF(AND(B54="Order",A54&gt;=I_Parameter!$C$4),1,0))))</f>
        <v>1</v>
      </c>
    </row>
    <row r="55" customFormat="false" ht="15" hidden="false" customHeight="false" outlineLevel="0" collapsed="false">
      <c r="A55" s="37" t="n">
        <v>46261</v>
      </c>
      <c r="B55" s="44" t="s">
        <v>462</v>
      </c>
      <c r="C55" s="44" t="s">
        <v>469</v>
      </c>
      <c r="D55" s="44" t="s">
        <v>457</v>
      </c>
      <c r="E55" s="44" t="s">
        <v>461</v>
      </c>
      <c r="F55" s="44"/>
      <c r="G55" s="34" t="str">
        <f aca="false">IF(F55&lt;&gt;"",F55,IF(E55="","",IFERROR(INDEX(I_Item!$C$6:$C$255,MATCH(E55,I_Item!$A$6:$A$255,0)),"KODE BARU")))</f>
        <v>RPA|Karkas|Fresh</v>
      </c>
      <c r="H55" s="45" t="n">
        <v>628.8</v>
      </c>
      <c r="I55" s="42" t="n">
        <v>36705</v>
      </c>
      <c r="J55" s="11" t="n">
        <f aca="false">IF(H55="","",H55*I55)</f>
        <v>23080104</v>
      </c>
      <c r="K55" s="42"/>
      <c r="L55" s="11" t="n">
        <f aca="false">IF(H55="","",IF(K55&lt;&gt;"",K55,H55*IFERROR(INDEX(O_Stok!$Q$6:$Q$85,MATCH(G55,O_Stok!$A$6:$A$85,0)),0)))</f>
        <v>23516997.2505076</v>
      </c>
      <c r="M55" s="11" t="n">
        <f aca="false">IF(H55="","",J55-L55)</f>
        <v>-436893.250507612</v>
      </c>
      <c r="N55" s="34" t="str">
        <f aca="false">IF(G55="","",IFERROR(INDEX(I_Master!$B$6:$B$85,MATCH(G55,I_Master!$A$6:$A$85,0)),"?"))</f>
        <v>RPA</v>
      </c>
      <c r="O55" s="34" t="str">
        <f aca="false">IF(G55="","",IFERROR(INDEX(I_Master!$E$6:$E$85,MATCH(G55,I_Master!$A$6:$A$85,0)),"?"))</f>
        <v>Karkas fresh</v>
      </c>
      <c r="P55" s="46" t="n">
        <f aca="false">IF(H55="","",IF(OR(A55&lt;I_Parameter!$C$5,A55&gt;I_Parameter!$C$6),0,IF(B55="Aktual",1,IF(AND(B55="Order",A55&gt;=I_Parameter!$C$4),1,0))))</f>
        <v>1</v>
      </c>
    </row>
    <row r="56" customFormat="false" ht="15" hidden="false" customHeight="false" outlineLevel="0" collapsed="false">
      <c r="A56" s="37" t="n">
        <v>46261</v>
      </c>
      <c r="B56" s="44" t="s">
        <v>462</v>
      </c>
      <c r="C56" s="44" t="s">
        <v>470</v>
      </c>
      <c r="D56" s="44" t="s">
        <v>451</v>
      </c>
      <c r="E56" s="44" t="s">
        <v>471</v>
      </c>
      <c r="F56" s="44"/>
      <c r="G56" s="34" t="str">
        <f aca="false">IF(F56&lt;&gt;"",F56,IF(E56="","",IFERROR(INDEX(I_Item!$C$6:$C$255,MATCH(E56,I_Item!$A$6:$A$255,0)),"KODE BARU")))</f>
        <v>RPA|Karkas|Frozen</v>
      </c>
      <c r="H56" s="45" t="n">
        <v>172.5</v>
      </c>
      <c r="I56" s="42" t="n">
        <v>31658</v>
      </c>
      <c r="J56" s="11" t="n">
        <f aca="false">IF(H56="","",H56*I56)</f>
        <v>5461005</v>
      </c>
      <c r="K56" s="42"/>
      <c r="L56" s="11" t="n">
        <f aca="false">IF(H56="","",IF(K56&lt;&gt;"",K56,H56*IFERROR(INDEX(O_Stok!$Q$6:$Q$85,MATCH(G56,O_Stok!$A$6:$A$85,0)),0)))</f>
        <v>6063968.2252438</v>
      </c>
      <c r="M56" s="11" t="n">
        <f aca="false">IF(H56="","",J56-L56)</f>
        <v>-602963.225243803</v>
      </c>
      <c r="N56" s="34" t="str">
        <f aca="false">IF(G56="","",IFERROR(INDEX(I_Master!$B$6:$B$85,MATCH(G56,I_Master!$A$6:$A$85,0)),"?"))</f>
        <v>RPA</v>
      </c>
      <c r="O56" s="34" t="str">
        <f aca="false">IF(G56="","",IFERROR(INDEX(I_Master!$E$6:$E$85,MATCH(G56,I_Master!$A$6:$A$85,0)),"?"))</f>
        <v>Karkas frozen</v>
      </c>
      <c r="P56" s="46" t="n">
        <f aca="false">IF(H56="","",IF(OR(A56&lt;I_Parameter!$C$5,A56&gt;I_Parameter!$C$6),0,IF(B56="Aktual",1,IF(AND(B56="Order",A56&gt;=I_Parameter!$C$4),1,0))))</f>
        <v>1</v>
      </c>
    </row>
    <row r="57" customFormat="false" ht="15" hidden="false" customHeight="false" outlineLevel="0" collapsed="false">
      <c r="A57" s="37" t="n">
        <v>46261</v>
      </c>
      <c r="B57" s="44" t="s">
        <v>462</v>
      </c>
      <c r="C57" s="44" t="s">
        <v>470</v>
      </c>
      <c r="D57" s="44" t="s">
        <v>451</v>
      </c>
      <c r="E57" s="44" t="s">
        <v>472</v>
      </c>
      <c r="F57" s="44"/>
      <c r="G57" s="34" t="str">
        <f aca="false">IF(F57&lt;&gt;"",F57,IF(E57="","",IFERROR(INDEX(I_Item!$C$6:$C$255,MATCH(E57,I_Item!$A$6:$A$255,0)),"KODE BARU")))</f>
        <v>RPA|Karkas|Frozen</v>
      </c>
      <c r="H57" s="45" t="n">
        <v>265</v>
      </c>
      <c r="I57" s="42" t="n">
        <v>31658</v>
      </c>
      <c r="J57" s="11" t="n">
        <f aca="false">IF(H57="","",H57*I57)</f>
        <v>8389370</v>
      </c>
      <c r="K57" s="42"/>
      <c r="L57" s="11" t="n">
        <f aca="false">IF(H57="","",IF(K57&lt;&gt;"",K57,H57*IFERROR(INDEX(O_Stok!$Q$6:$Q$85,MATCH(G57,O_Stok!$A$6:$A$85,0)),0)))</f>
        <v>9315661.33153396</v>
      </c>
      <c r="M57" s="11" t="n">
        <f aca="false">IF(H57="","",J57-L57)</f>
        <v>-926291.331533959</v>
      </c>
      <c r="N57" s="34" t="str">
        <f aca="false">IF(G57="","",IFERROR(INDEX(I_Master!$B$6:$B$85,MATCH(G57,I_Master!$A$6:$A$85,0)),"?"))</f>
        <v>RPA</v>
      </c>
      <c r="O57" s="34" t="str">
        <f aca="false">IF(G57="","",IFERROR(INDEX(I_Master!$E$6:$E$85,MATCH(G57,I_Master!$A$6:$A$85,0)),"?"))</f>
        <v>Karkas frozen</v>
      </c>
      <c r="P57" s="46" t="n">
        <f aca="false">IF(H57="","",IF(OR(A57&lt;I_Parameter!$C$5,A57&gt;I_Parameter!$C$6),0,IF(B57="Aktual",1,IF(AND(B57="Order",A57&gt;=I_Parameter!$C$4),1,0))))</f>
        <v>1</v>
      </c>
    </row>
    <row r="58" customFormat="false" ht="15" hidden="false" customHeight="false" outlineLevel="0" collapsed="false">
      <c r="A58" s="37" t="n">
        <v>46261</v>
      </c>
      <c r="B58" s="44" t="s">
        <v>462</v>
      </c>
      <c r="C58" s="44" t="s">
        <v>470</v>
      </c>
      <c r="D58" s="44" t="s">
        <v>451</v>
      </c>
      <c r="E58" s="44" t="s">
        <v>473</v>
      </c>
      <c r="F58" s="44"/>
      <c r="G58" s="34" t="str">
        <f aca="false">IF(F58&lt;&gt;"",F58,IF(E58="","",IFERROR(INDEX(I_Item!$C$6:$C$255,MATCH(E58,I_Item!$A$6:$A$255,0)),"KODE BARU")))</f>
        <v>RPA|Karkas|Frozen</v>
      </c>
      <c r="H58" s="45" t="n">
        <v>322.2</v>
      </c>
      <c r="I58" s="42" t="n">
        <v>31658</v>
      </c>
      <c r="J58" s="11" t="n">
        <f aca="false">IF(H58="","",H58*I58)</f>
        <v>10200207.6</v>
      </c>
      <c r="K58" s="42"/>
      <c r="L58" s="11" t="n">
        <f aca="false">IF(H58="","",IF(K58&lt;&gt;"",K58,H58*IFERROR(INDEX(O_Stok!$Q$6:$Q$85,MATCH(G58,O_Stok!$A$6:$A$85,0)),0)))</f>
        <v>11326438.0415858</v>
      </c>
      <c r="M58" s="11" t="n">
        <f aca="false">IF(H58="","",J58-L58)</f>
        <v>-1126230.44158582</v>
      </c>
      <c r="N58" s="34" t="str">
        <f aca="false">IF(G58="","",IFERROR(INDEX(I_Master!$B$6:$B$85,MATCH(G58,I_Master!$A$6:$A$85,0)),"?"))</f>
        <v>RPA</v>
      </c>
      <c r="O58" s="34" t="str">
        <f aca="false">IF(G58="","",IFERROR(INDEX(I_Master!$E$6:$E$85,MATCH(G58,I_Master!$A$6:$A$85,0)),"?"))</f>
        <v>Karkas frozen</v>
      </c>
      <c r="P58" s="46" t="n">
        <f aca="false">IF(H58="","",IF(OR(A58&lt;I_Parameter!$C$5,A58&gt;I_Parameter!$C$6),0,IF(B58="Aktual",1,IF(AND(B58="Order",A58&gt;=I_Parameter!$C$4),1,0))))</f>
        <v>1</v>
      </c>
    </row>
    <row r="59" customFormat="false" ht="15" hidden="false" customHeight="false" outlineLevel="0" collapsed="false">
      <c r="A59" s="37" t="n">
        <v>46261</v>
      </c>
      <c r="B59" s="44" t="s">
        <v>462</v>
      </c>
      <c r="C59" s="44" t="s">
        <v>470</v>
      </c>
      <c r="D59" s="44" t="s">
        <v>451</v>
      </c>
      <c r="E59" s="44" t="s">
        <v>474</v>
      </c>
      <c r="F59" s="44"/>
      <c r="G59" s="34" t="str">
        <f aca="false">IF(F59&lt;&gt;"",F59,IF(E59="","",IFERROR(INDEX(I_Item!$C$6:$C$255,MATCH(E59,I_Item!$A$6:$A$255,0)),"KODE BARU")))</f>
        <v>RPA|Karkas|Frozen</v>
      </c>
      <c r="H59" s="45" t="n">
        <v>189.35</v>
      </c>
      <c r="I59" s="42" t="n">
        <v>31658</v>
      </c>
      <c r="J59" s="11" t="n">
        <f aca="false">IF(H59="","",H59*I59)</f>
        <v>5994442.3</v>
      </c>
      <c r="K59" s="42"/>
      <c r="L59" s="11" t="n">
        <f aca="false">IF(H59="","",IF(K59&lt;&gt;"",K59,H59*IFERROR(INDEX(O_Stok!$Q$6:$Q$85,MATCH(G59,O_Stok!$A$6:$A$85,0)),0)))</f>
        <v>6656303.67217342</v>
      </c>
      <c r="M59" s="11" t="n">
        <f aca="false">IF(H59="","",J59-L59)</f>
        <v>-661861.372173416</v>
      </c>
      <c r="N59" s="34" t="str">
        <f aca="false">IF(G59="","",IFERROR(INDEX(I_Master!$B$6:$B$85,MATCH(G59,I_Master!$A$6:$A$85,0)),"?"))</f>
        <v>RPA</v>
      </c>
      <c r="O59" s="34" t="str">
        <f aca="false">IF(G59="","",IFERROR(INDEX(I_Master!$E$6:$E$85,MATCH(G59,I_Master!$A$6:$A$85,0)),"?"))</f>
        <v>Karkas frozen</v>
      </c>
      <c r="P59" s="46" t="n">
        <f aca="false">IF(H59="","",IF(OR(A59&lt;I_Parameter!$C$5,A59&gt;I_Parameter!$C$6),0,IF(B59="Aktual",1,IF(AND(B59="Order",A59&gt;=I_Parameter!$C$4),1,0))))</f>
        <v>1</v>
      </c>
    </row>
    <row r="60" customFormat="false" ht="15" hidden="false" customHeight="false" outlineLevel="0" collapsed="false">
      <c r="A60" s="37" t="n">
        <v>46261</v>
      </c>
      <c r="B60" s="44" t="s">
        <v>462</v>
      </c>
      <c r="C60" s="44" t="s">
        <v>470</v>
      </c>
      <c r="D60" s="44" t="s">
        <v>451</v>
      </c>
      <c r="E60" s="44" t="s">
        <v>474</v>
      </c>
      <c r="F60" s="44"/>
      <c r="G60" s="34" t="str">
        <f aca="false">IF(F60&lt;&gt;"",F60,IF(E60="","",IFERROR(INDEX(I_Item!$C$6:$C$255,MATCH(E60,I_Item!$A$6:$A$255,0)),"KODE BARU")))</f>
        <v>RPA|Karkas|Frozen</v>
      </c>
      <c r="H60" s="45" t="n">
        <v>472.02</v>
      </c>
      <c r="I60" s="42" t="n">
        <v>31658</v>
      </c>
      <c r="J60" s="11" t="n">
        <f aca="false">IF(H60="","",H60*I60)</f>
        <v>14943209.16</v>
      </c>
      <c r="K60" s="42"/>
      <c r="L60" s="11" t="n">
        <f aca="false">IF(H60="","",IF(K60&lt;&gt;"",K60,H60*IFERROR(INDEX(O_Stok!$Q$6:$Q$85,MATCH(G60,O_Stok!$A$6:$A$85,0)),0)))</f>
        <v>16593126.2706063</v>
      </c>
      <c r="M60" s="11" t="n">
        <f aca="false">IF(H60="","",J60-L60)</f>
        <v>-1649917.11060626</v>
      </c>
      <c r="N60" s="34" t="str">
        <f aca="false">IF(G60="","",IFERROR(INDEX(I_Master!$B$6:$B$85,MATCH(G60,I_Master!$A$6:$A$85,0)),"?"))</f>
        <v>RPA</v>
      </c>
      <c r="O60" s="34" t="str">
        <f aca="false">IF(G60="","",IFERROR(INDEX(I_Master!$E$6:$E$85,MATCH(G60,I_Master!$A$6:$A$85,0)),"?"))</f>
        <v>Karkas frozen</v>
      </c>
      <c r="P60" s="46" t="n">
        <f aca="false">IF(H60="","",IF(OR(A60&lt;I_Parameter!$C$5,A60&gt;I_Parameter!$C$6),0,IF(B60="Aktual",1,IF(AND(B60="Order",A60&gt;=I_Parameter!$C$4),1,0))))</f>
        <v>1</v>
      </c>
    </row>
    <row r="61" customFormat="false" ht="15" hidden="false" customHeight="false" outlineLevel="0" collapsed="false">
      <c r="A61" s="37" t="n">
        <v>46261</v>
      </c>
      <c r="B61" s="44" t="s">
        <v>462</v>
      </c>
      <c r="C61" s="44" t="s">
        <v>470</v>
      </c>
      <c r="D61" s="44" t="s">
        <v>451</v>
      </c>
      <c r="E61" s="44" t="s">
        <v>474</v>
      </c>
      <c r="F61" s="44"/>
      <c r="G61" s="34" t="str">
        <f aca="false">IF(F61&lt;&gt;"",F61,IF(E61="","",IFERROR(INDEX(I_Item!$C$6:$C$255,MATCH(E61,I_Item!$A$6:$A$255,0)),"KODE BARU")))</f>
        <v>RPA|Karkas|Frozen</v>
      </c>
      <c r="H61" s="45" t="n">
        <v>351.2</v>
      </c>
      <c r="I61" s="42" t="n">
        <v>31658</v>
      </c>
      <c r="J61" s="11" t="n">
        <f aca="false">IF(H61="","",H61*I61)</f>
        <v>11118289.6</v>
      </c>
      <c r="K61" s="42"/>
      <c r="L61" s="11" t="n">
        <f aca="false">IF(H61="","",IF(K61&lt;&gt;"",K61,H61*IFERROR(INDEX(O_Stok!$Q$6:$Q$85,MATCH(G61,O_Stok!$A$6:$A$85,0)),0)))</f>
        <v>12345887.7722065</v>
      </c>
      <c r="M61" s="11" t="n">
        <f aca="false">IF(H61="","",J61-L61)</f>
        <v>-1227598.17220651</v>
      </c>
      <c r="N61" s="34" t="str">
        <f aca="false">IF(G61="","",IFERROR(INDEX(I_Master!$B$6:$B$85,MATCH(G61,I_Master!$A$6:$A$85,0)),"?"))</f>
        <v>RPA</v>
      </c>
      <c r="O61" s="34" t="str">
        <f aca="false">IF(G61="","",IFERROR(INDEX(I_Master!$E$6:$E$85,MATCH(G61,I_Master!$A$6:$A$85,0)),"?"))</f>
        <v>Karkas frozen</v>
      </c>
      <c r="P61" s="46" t="n">
        <f aca="false">IF(H61="","",IF(OR(A61&lt;I_Parameter!$C$5,A61&gt;I_Parameter!$C$6),0,IF(B61="Aktual",1,IF(AND(B61="Order",A61&gt;=I_Parameter!$C$4),1,0))))</f>
        <v>1</v>
      </c>
    </row>
    <row r="62" customFormat="false" ht="15" hidden="false" customHeight="false" outlineLevel="0" collapsed="false">
      <c r="A62" s="37" t="n">
        <v>46261</v>
      </c>
      <c r="B62" s="44" t="s">
        <v>462</v>
      </c>
      <c r="C62" s="44" t="s">
        <v>470</v>
      </c>
      <c r="D62" s="44" t="s">
        <v>451</v>
      </c>
      <c r="E62" s="44" t="s">
        <v>433</v>
      </c>
      <c r="F62" s="44"/>
      <c r="G62" s="34" t="str">
        <f aca="false">IF(F62&lt;&gt;"",F62,IF(E62="","",IFERROR(INDEX(I_Item!$C$6:$C$255,MATCH(E62,I_Item!$A$6:$A$255,0)),"KODE BARU")))</f>
        <v>RPA|Karkas|Frozen</v>
      </c>
      <c r="H62" s="45" t="n">
        <v>254.21</v>
      </c>
      <c r="I62" s="42" t="n">
        <v>31658</v>
      </c>
      <c r="J62" s="11" t="n">
        <f aca="false">IF(H62="","",H62*I62)</f>
        <v>8047780.18</v>
      </c>
      <c r="K62" s="42"/>
      <c r="L62" s="11" t="n">
        <f aca="false">IF(H62="","",IF(K62&lt;&gt;"",K62,H62*IFERROR(INDEX(O_Stok!$Q$6:$Q$85,MATCH(G62,O_Stok!$A$6:$A$85,0)),0)))</f>
        <v>8936355.72486509</v>
      </c>
      <c r="M62" s="11" t="n">
        <f aca="false">IF(H62="","",J62-L62)</f>
        <v>-888575.544865086</v>
      </c>
      <c r="N62" s="34" t="str">
        <f aca="false">IF(G62="","",IFERROR(INDEX(I_Master!$B$6:$B$85,MATCH(G62,I_Master!$A$6:$A$85,0)),"?"))</f>
        <v>RPA</v>
      </c>
      <c r="O62" s="34" t="str">
        <f aca="false">IF(G62="","",IFERROR(INDEX(I_Master!$E$6:$E$85,MATCH(G62,I_Master!$A$6:$A$85,0)),"?"))</f>
        <v>Karkas frozen</v>
      </c>
      <c r="P62" s="46" t="n">
        <f aca="false">IF(H62="","",IF(OR(A62&lt;I_Parameter!$C$5,A62&gt;I_Parameter!$C$6),0,IF(B62="Aktual",1,IF(AND(B62="Order",A62&gt;=I_Parameter!$C$4),1,0))))</f>
        <v>1</v>
      </c>
    </row>
    <row r="63" customFormat="false" ht="15" hidden="false" customHeight="false" outlineLevel="0" collapsed="false">
      <c r="A63" s="37" t="n">
        <v>46261</v>
      </c>
      <c r="B63" s="44" t="s">
        <v>462</v>
      </c>
      <c r="C63" s="44" t="s">
        <v>470</v>
      </c>
      <c r="D63" s="44" t="s">
        <v>451</v>
      </c>
      <c r="E63" s="44" t="s">
        <v>433</v>
      </c>
      <c r="F63" s="44"/>
      <c r="G63" s="34" t="str">
        <f aca="false">IF(F63&lt;&gt;"",F63,IF(E63="","",IFERROR(INDEX(I_Item!$C$6:$C$255,MATCH(E63,I_Item!$A$6:$A$255,0)),"KODE BARU")))</f>
        <v>RPA|Karkas|Frozen</v>
      </c>
      <c r="H63" s="45" t="n">
        <v>77.73</v>
      </c>
      <c r="I63" s="42" t="n">
        <v>31658</v>
      </c>
      <c r="J63" s="11" t="n">
        <f aca="false">IF(H63="","",H63*I63)</f>
        <v>2460776.34</v>
      </c>
      <c r="K63" s="42"/>
      <c r="L63" s="11" t="n">
        <f aca="false">IF(H63="","",IF(K63&lt;&gt;"",K63,H63*IFERROR(INDEX(O_Stok!$Q$6:$Q$85,MATCH(G63,O_Stok!$A$6:$A$85,0)),0)))</f>
        <v>2732476.81245334</v>
      </c>
      <c r="M63" s="11" t="n">
        <f aca="false">IF(H63="","",J63-L63)</f>
        <v>-271700.472453338</v>
      </c>
      <c r="N63" s="34" t="str">
        <f aca="false">IF(G63="","",IFERROR(INDEX(I_Master!$B$6:$B$85,MATCH(G63,I_Master!$A$6:$A$85,0)),"?"))</f>
        <v>RPA</v>
      </c>
      <c r="O63" s="34" t="str">
        <f aca="false">IF(G63="","",IFERROR(INDEX(I_Master!$E$6:$E$85,MATCH(G63,I_Master!$A$6:$A$85,0)),"?"))</f>
        <v>Karkas frozen</v>
      </c>
      <c r="P63" s="46" t="n">
        <f aca="false">IF(H63="","",IF(OR(A63&lt;I_Parameter!$C$5,A63&gt;I_Parameter!$C$6),0,IF(B63="Aktual",1,IF(AND(B63="Order",A63&gt;=I_Parameter!$C$4),1,0))))</f>
        <v>1</v>
      </c>
    </row>
    <row r="64" customFormat="false" ht="15" hidden="false" customHeight="false" outlineLevel="0" collapsed="false">
      <c r="A64" s="37" t="n">
        <v>46261</v>
      </c>
      <c r="B64" s="44" t="s">
        <v>462</v>
      </c>
      <c r="C64" s="44" t="s">
        <v>470</v>
      </c>
      <c r="D64" s="44" t="s">
        <v>451</v>
      </c>
      <c r="E64" s="44" t="s">
        <v>433</v>
      </c>
      <c r="F64" s="44"/>
      <c r="G64" s="34" t="str">
        <f aca="false">IF(F64&lt;&gt;"",F64,IF(E64="","",IFERROR(INDEX(I_Item!$C$6:$C$255,MATCH(E64,I_Item!$A$6:$A$255,0)),"KODE BARU")))</f>
        <v>RPA|Karkas|Frozen</v>
      </c>
      <c r="H64" s="45" t="n">
        <v>229.8</v>
      </c>
      <c r="I64" s="42" t="n">
        <v>31658</v>
      </c>
      <c r="J64" s="11" t="n">
        <f aca="false">IF(H64="","",H64*I64)</f>
        <v>7275008.4</v>
      </c>
      <c r="K64" s="42"/>
      <c r="L64" s="11" t="n">
        <f aca="false">IF(H64="","",IF(K64&lt;&gt;"",K64,H64*IFERROR(INDEX(O_Stok!$Q$6:$Q$85,MATCH(G64,O_Stok!$A$6:$A$85,0)),0)))</f>
        <v>8078260.27919435</v>
      </c>
      <c r="M64" s="11" t="n">
        <f aca="false">IF(H64="","",J64-L64)</f>
        <v>-803251.879194354</v>
      </c>
      <c r="N64" s="34" t="str">
        <f aca="false">IF(G64="","",IFERROR(INDEX(I_Master!$B$6:$B$85,MATCH(G64,I_Master!$A$6:$A$85,0)),"?"))</f>
        <v>RPA</v>
      </c>
      <c r="O64" s="34" t="str">
        <f aca="false">IF(G64="","",IFERROR(INDEX(I_Master!$E$6:$E$85,MATCH(G64,I_Master!$A$6:$A$85,0)),"?"))</f>
        <v>Karkas frozen</v>
      </c>
      <c r="P64" s="46" t="n">
        <f aca="false">IF(H64="","",IF(OR(A64&lt;I_Parameter!$C$5,A64&gt;I_Parameter!$C$6),0,IF(B64="Aktual",1,IF(AND(B64="Order",A64&gt;=I_Parameter!$C$4),1,0))))</f>
        <v>1</v>
      </c>
    </row>
    <row r="65" customFormat="false" ht="15" hidden="false" customHeight="false" outlineLevel="0" collapsed="false">
      <c r="A65" s="37" t="n">
        <v>46261</v>
      </c>
      <c r="B65" s="44" t="s">
        <v>462</v>
      </c>
      <c r="C65" s="44" t="s">
        <v>470</v>
      </c>
      <c r="D65" s="44" t="s">
        <v>451</v>
      </c>
      <c r="E65" s="44" t="s">
        <v>433</v>
      </c>
      <c r="F65" s="44"/>
      <c r="G65" s="34" t="str">
        <f aca="false">IF(F65&lt;&gt;"",F65,IF(E65="","",IFERROR(INDEX(I_Item!$C$6:$C$255,MATCH(E65,I_Item!$A$6:$A$255,0)),"KODE BARU")))</f>
        <v>RPA|Karkas|Frozen</v>
      </c>
      <c r="H65" s="45" t="n">
        <v>36.75</v>
      </c>
      <c r="I65" s="42" t="n">
        <v>31658</v>
      </c>
      <c r="J65" s="11" t="n">
        <f aca="false">IF(H65="","",H65*I65)</f>
        <v>1163431.5</v>
      </c>
      <c r="K65" s="42"/>
      <c r="L65" s="11" t="n">
        <f aca="false">IF(H65="","",IF(K65&lt;&gt;"",K65,H65*IFERROR(INDEX(O_Stok!$Q$6:$Q$85,MATCH(G65,O_Stok!$A$6:$A$85,0)),0)))</f>
        <v>1291888.88276933</v>
      </c>
      <c r="M65" s="11" t="n">
        <f aca="false">IF(H65="","",J65-L65)</f>
        <v>-128457.382769332</v>
      </c>
      <c r="N65" s="34" t="str">
        <f aca="false">IF(G65="","",IFERROR(INDEX(I_Master!$B$6:$B$85,MATCH(G65,I_Master!$A$6:$A$85,0)),"?"))</f>
        <v>RPA</v>
      </c>
      <c r="O65" s="34" t="str">
        <f aca="false">IF(G65="","",IFERROR(INDEX(I_Master!$E$6:$E$85,MATCH(G65,I_Master!$A$6:$A$85,0)),"?"))</f>
        <v>Karkas frozen</v>
      </c>
      <c r="P65" s="46" t="n">
        <f aca="false">IF(H65="","",IF(OR(A65&lt;I_Parameter!$C$5,A65&gt;I_Parameter!$C$6),0,IF(B65="Aktual",1,IF(AND(B65="Order",A65&gt;=I_Parameter!$C$4),1,0))))</f>
        <v>1</v>
      </c>
    </row>
    <row r="66" customFormat="false" ht="15" hidden="false" customHeight="false" outlineLevel="0" collapsed="false">
      <c r="A66" s="37" t="n">
        <v>46261</v>
      </c>
      <c r="B66" s="44" t="s">
        <v>462</v>
      </c>
      <c r="C66" s="44" t="s">
        <v>470</v>
      </c>
      <c r="D66" s="44" t="s">
        <v>451</v>
      </c>
      <c r="E66" s="44" t="s">
        <v>455</v>
      </c>
      <c r="F66" s="44"/>
      <c r="G66" s="34" t="str">
        <f aca="false">IF(F66&lt;&gt;"",F66,IF(E66="","",IFERROR(INDEX(I_Item!$C$6:$C$255,MATCH(E66,I_Item!$A$6:$A$255,0)),"KODE BARU")))</f>
        <v>Trading|Karkas|n/a</v>
      </c>
      <c r="H66" s="45" t="n">
        <v>255.3</v>
      </c>
      <c r="I66" s="42" t="n">
        <v>31277</v>
      </c>
      <c r="J66" s="11" t="n">
        <f aca="false">IF(H66="","",H66*I66)</f>
        <v>7985018.1</v>
      </c>
      <c r="K66" s="42"/>
      <c r="L66" s="11" t="n">
        <f aca="false">IF(H66="","",IF(K66&lt;&gt;"",K66,H66*IFERROR(INDEX(O_Stok!$Q$6:$Q$85,MATCH(G66,O_Stok!$A$6:$A$85,0)),0)))</f>
        <v>7675713.00201245</v>
      </c>
      <c r="M66" s="11" t="n">
        <f aca="false">IF(H66="","",J66-L66)</f>
        <v>309305.097987548</v>
      </c>
      <c r="N66" s="34" t="str">
        <f aca="false">IF(G66="","",IFERROR(INDEX(I_Master!$B$6:$B$85,MATCH(G66,I_Master!$A$6:$A$85,0)),"?"))</f>
        <v>Trading</v>
      </c>
      <c r="O66" s="34" t="str">
        <f aca="false">IF(G66="","",IFERROR(INDEX(I_Master!$E$6:$E$85,MATCH(G66,I_Master!$A$6:$A$85,0)),"?"))</f>
        <v>Karkas</v>
      </c>
      <c r="P66" s="46" t="n">
        <f aca="false">IF(H66="","",IF(OR(A66&lt;I_Parameter!$C$5,A66&gt;I_Parameter!$C$6),0,IF(B66="Aktual",1,IF(AND(B66="Order",A66&gt;=I_Parameter!$C$4),1,0))))</f>
        <v>1</v>
      </c>
    </row>
    <row r="67" customFormat="false" ht="15" hidden="false" customHeight="false" outlineLevel="0" collapsed="false">
      <c r="A67" s="37" t="n">
        <v>46261</v>
      </c>
      <c r="B67" s="44" t="s">
        <v>462</v>
      </c>
      <c r="C67" s="44" t="s">
        <v>470</v>
      </c>
      <c r="D67" s="44" t="s">
        <v>451</v>
      </c>
      <c r="E67" s="44" t="s">
        <v>434</v>
      </c>
      <c r="F67" s="44"/>
      <c r="G67" s="34" t="str">
        <f aca="false">IF(F67&lt;&gt;"",F67,IF(E67="","",IFERROR(INDEX(I_Item!$C$6:$C$255,MATCH(E67,I_Item!$A$6:$A$255,0)),"KODE BARU")))</f>
        <v>Trading|Karkas|n/a</v>
      </c>
      <c r="H67" s="45" t="n">
        <v>264.31</v>
      </c>
      <c r="I67" s="42" t="n">
        <v>31277</v>
      </c>
      <c r="J67" s="11" t="n">
        <f aca="false">IF(H67="","",H67*I67)</f>
        <v>8266823.87</v>
      </c>
      <c r="K67" s="42"/>
      <c r="L67" s="11" t="n">
        <f aca="false">IF(H67="","",IF(K67&lt;&gt;"",K67,H67*IFERROR(INDEX(O_Stok!$Q$6:$Q$85,MATCH(G67,O_Stok!$A$6:$A$85,0)),0)))</f>
        <v>7946602.83416338</v>
      </c>
      <c r="M67" s="11" t="n">
        <f aca="false">IF(H67="","",J67-L67)</f>
        <v>320221.035836618</v>
      </c>
      <c r="N67" s="34" t="str">
        <f aca="false">IF(G67="","",IFERROR(INDEX(I_Master!$B$6:$B$85,MATCH(G67,I_Master!$A$6:$A$85,0)),"?"))</f>
        <v>Trading</v>
      </c>
      <c r="O67" s="34" t="str">
        <f aca="false">IF(G67="","",IFERROR(INDEX(I_Master!$E$6:$E$85,MATCH(G67,I_Master!$A$6:$A$85,0)),"?"))</f>
        <v>Karkas</v>
      </c>
      <c r="P67" s="46" t="n">
        <f aca="false">IF(H67="","",IF(OR(A67&lt;I_Parameter!$C$5,A67&gt;I_Parameter!$C$6),0,IF(B67="Aktual",1,IF(AND(B67="Order",A67&gt;=I_Parameter!$C$4),1,0))))</f>
        <v>1</v>
      </c>
    </row>
    <row r="68" customFormat="false" ht="15" hidden="false" customHeight="false" outlineLevel="0" collapsed="false">
      <c r="A68" s="37" t="n">
        <v>46262</v>
      </c>
      <c r="B68" s="44" t="s">
        <v>462</v>
      </c>
      <c r="C68" s="44" t="s">
        <v>475</v>
      </c>
      <c r="D68" s="44" t="s">
        <v>457</v>
      </c>
      <c r="E68" s="44" t="s">
        <v>476</v>
      </c>
      <c r="F68" s="44"/>
      <c r="G68" s="34" t="str">
        <f aca="false">IF(F68&lt;&gt;"",F68,IF(E68="","",IFERROR(INDEX(I_Item!$C$6:$C$255,MATCH(E68,I_Item!$A$6:$A$255,0)),"KODE BARU")))</f>
        <v>RPA|Karkas|Fresh</v>
      </c>
      <c r="H68" s="45" t="n">
        <v>677.89</v>
      </c>
      <c r="I68" s="42" t="n">
        <v>36705</v>
      </c>
      <c r="J68" s="11" t="n">
        <f aca="false">IF(H68="","",H68*I68)</f>
        <v>24881952.45</v>
      </c>
      <c r="K68" s="42"/>
      <c r="L68" s="11" t="n">
        <f aca="false">IF(H68="","",IF(K68&lt;&gt;"",K68,H68*IFERROR(INDEX(O_Stok!$Q$6:$Q$85,MATCH(G68,O_Stok!$A$6:$A$85,0)),0)))</f>
        <v>25352953.667536</v>
      </c>
      <c r="M68" s="11" t="n">
        <f aca="false">IF(H68="","",J68-L68)</f>
        <v>-471001.21753595</v>
      </c>
      <c r="N68" s="34" t="str">
        <f aca="false">IF(G68="","",IFERROR(INDEX(I_Master!$B$6:$B$85,MATCH(G68,I_Master!$A$6:$A$85,0)),"?"))</f>
        <v>RPA</v>
      </c>
      <c r="O68" s="34" t="str">
        <f aca="false">IF(G68="","",IFERROR(INDEX(I_Master!$E$6:$E$85,MATCH(G68,I_Master!$A$6:$A$85,0)),"?"))</f>
        <v>Karkas fresh</v>
      </c>
      <c r="P68" s="46" t="n">
        <f aca="false">IF(H68="","",IF(OR(A68&lt;I_Parameter!$C$5,A68&gt;I_Parameter!$C$6),0,IF(B68="Aktual",1,IF(AND(B68="Order",A68&gt;=I_Parameter!$C$4),1,0))))</f>
        <v>1</v>
      </c>
    </row>
    <row r="69" customFormat="false" ht="15" hidden="false" customHeight="false" outlineLevel="0" collapsed="false">
      <c r="A69" s="37" t="n">
        <v>46262</v>
      </c>
      <c r="B69" s="44" t="s">
        <v>462</v>
      </c>
      <c r="C69" s="44" t="s">
        <v>477</v>
      </c>
      <c r="D69" s="44" t="s">
        <v>478</v>
      </c>
      <c r="E69" s="44" t="s">
        <v>434</v>
      </c>
      <c r="F69" s="44"/>
      <c r="G69" s="34" t="str">
        <f aca="false">IF(F69&lt;&gt;"",F69,IF(E69="","",IFERROR(INDEX(I_Item!$C$6:$C$255,MATCH(E69,I_Item!$A$6:$A$255,0)),"KODE BARU")))</f>
        <v>Trading|Karkas|n/a</v>
      </c>
      <c r="H69" s="45" t="n">
        <v>1018.63</v>
      </c>
      <c r="I69" s="42" t="n">
        <v>31277</v>
      </c>
      <c r="J69" s="11" t="n">
        <f aca="false">IF(H69="","",H69*I69)</f>
        <v>31859690.51</v>
      </c>
      <c r="K69" s="42"/>
      <c r="L69" s="11" t="n">
        <f aca="false">IF(H69="","",IF(K69&lt;&gt;"",K69,H69*IFERROR(INDEX(O_Stok!$Q$6:$Q$85,MATCH(G69,O_Stok!$A$6:$A$85,0)),0)))</f>
        <v>30625583.7651388</v>
      </c>
      <c r="M69" s="11" t="n">
        <f aca="false">IF(H69="","",J69-L69)</f>
        <v>1234106.74486117</v>
      </c>
      <c r="N69" s="34" t="str">
        <f aca="false">IF(G69="","",IFERROR(INDEX(I_Master!$B$6:$B$85,MATCH(G69,I_Master!$A$6:$A$85,0)),"?"))</f>
        <v>Trading</v>
      </c>
      <c r="O69" s="34" t="str">
        <f aca="false">IF(G69="","",IFERROR(INDEX(I_Master!$E$6:$E$85,MATCH(G69,I_Master!$A$6:$A$85,0)),"?"))</f>
        <v>Karkas</v>
      </c>
      <c r="P69" s="46" t="n">
        <f aca="false">IF(H69="","",IF(OR(A69&lt;I_Parameter!$C$5,A69&gt;I_Parameter!$C$6),0,IF(B69="Aktual",1,IF(AND(B69="Order",A69&gt;=I_Parameter!$C$4),1,0))))</f>
        <v>1</v>
      </c>
    </row>
    <row r="70" customFormat="false" ht="15" hidden="false" customHeight="false" outlineLevel="0" collapsed="false">
      <c r="A70" s="37" t="n">
        <v>46262</v>
      </c>
      <c r="B70" s="44" t="s">
        <v>462</v>
      </c>
      <c r="C70" s="44" t="s">
        <v>479</v>
      </c>
      <c r="D70" s="44" t="s">
        <v>451</v>
      </c>
      <c r="E70" s="44" t="s">
        <v>480</v>
      </c>
      <c r="F70" s="44"/>
      <c r="G70" s="34" t="str">
        <f aca="false">IF(F70&lt;&gt;"",F70,IF(E70="","",IFERROR(INDEX(I_Item!$C$6:$C$255,MATCH(E70,I_Item!$A$6:$A$255,0)),"KODE BARU")))</f>
        <v>Trading|Kulit|Frozen</v>
      </c>
      <c r="H70" s="45" t="n">
        <v>105.37</v>
      </c>
      <c r="I70" s="42" t="n">
        <v>29000</v>
      </c>
      <c r="J70" s="11" t="n">
        <f aca="false">IF(H70="","",H70*I70)</f>
        <v>3055730</v>
      </c>
      <c r="K70" s="42"/>
      <c r="L70" s="11" t="n">
        <f aca="false">IF(H70="","",IF(K70&lt;&gt;"",K70,H70*IFERROR(INDEX(O_Stok!$Q$6:$Q$85,MATCH(G70,O_Stok!$A$6:$A$85,0)),0)))</f>
        <v>2779761.23764916</v>
      </c>
      <c r="M70" s="11" t="n">
        <f aca="false">IF(H70="","",J70-L70)</f>
        <v>275968.762350841</v>
      </c>
      <c r="N70" s="34" t="str">
        <f aca="false">IF(G70="","",IFERROR(INDEX(I_Master!$B$6:$B$85,MATCH(G70,I_Master!$A$6:$A$85,0)),"?"))</f>
        <v>Trading</v>
      </c>
      <c r="O70" s="34" t="str">
        <f aca="false">IF(G70="","",IFERROR(INDEX(I_Master!$E$6:$E$85,MATCH(G70,I_Master!$A$6:$A$85,0)),"?"))</f>
        <v>Kulit</v>
      </c>
      <c r="P70" s="46" t="n">
        <f aca="false">IF(H70="","",IF(OR(A70&lt;I_Parameter!$C$5,A70&gt;I_Parameter!$C$6),0,IF(B70="Aktual",1,IF(AND(B70="Order",A70&gt;=I_Parameter!$C$4),1,0))))</f>
        <v>1</v>
      </c>
    </row>
    <row r="71" customFormat="false" ht="15" hidden="false" customHeight="false" outlineLevel="0" collapsed="false">
      <c r="A71" s="37" t="n">
        <v>46262</v>
      </c>
      <c r="B71" s="44" t="s">
        <v>462</v>
      </c>
      <c r="C71" s="44" t="s">
        <v>479</v>
      </c>
      <c r="D71" s="44" t="s">
        <v>451</v>
      </c>
      <c r="E71" s="44" t="s">
        <v>481</v>
      </c>
      <c r="F71" s="44"/>
      <c r="G71" s="34" t="str">
        <f aca="false">IF(F71&lt;&gt;"",F71,IF(E71="","",IFERROR(INDEX(I_Item!$C$6:$C$255,MATCH(E71,I_Item!$A$6:$A$255,0)),"KODE BARU")))</f>
        <v>Trading|Sayap|n/a</v>
      </c>
      <c r="H71" s="45" t="n">
        <v>300</v>
      </c>
      <c r="I71" s="42" t="n">
        <v>31000</v>
      </c>
      <c r="J71" s="11" t="n">
        <f aca="false">IF(H71="","",H71*I71)</f>
        <v>9300000</v>
      </c>
      <c r="K71" s="42"/>
      <c r="L71" s="11" t="n">
        <f aca="false">IF(H71="","",IF(K71&lt;&gt;"",K71,H71*IFERROR(INDEX(O_Stok!$Q$6:$Q$85,MATCH(G71,O_Stok!$A$6:$A$85,0)),0)))</f>
        <v>8589834</v>
      </c>
      <c r="M71" s="11" t="n">
        <f aca="false">IF(H71="","",J71-L71)</f>
        <v>710166</v>
      </c>
      <c r="N71" s="34" t="str">
        <f aca="false">IF(G71="","",IFERROR(INDEX(I_Master!$B$6:$B$85,MATCH(G71,I_Master!$A$6:$A$85,0)),"?"))</f>
        <v>Trading</v>
      </c>
      <c r="O71" s="34" t="str">
        <f aca="false">IF(G71="","",IFERROR(INDEX(I_Master!$E$6:$E$85,MATCH(G71,I_Master!$A$6:$A$85,0)),"?"))</f>
        <v>Sayap</v>
      </c>
      <c r="P71" s="46" t="n">
        <f aca="false">IF(H71="","",IF(OR(A71&lt;I_Parameter!$C$5,A71&gt;I_Parameter!$C$6),0,IF(B71="Aktual",1,IF(AND(B71="Order",A71&gt;=I_Parameter!$C$4),1,0))))</f>
        <v>1</v>
      </c>
    </row>
    <row r="72" customFormat="false" ht="15" hidden="false" customHeight="false" outlineLevel="0" collapsed="false">
      <c r="A72" s="37" t="n">
        <v>46262</v>
      </c>
      <c r="B72" s="44" t="s">
        <v>462</v>
      </c>
      <c r="C72" s="44" t="s">
        <v>482</v>
      </c>
      <c r="D72" s="44" t="s">
        <v>451</v>
      </c>
      <c r="E72" s="44" t="s">
        <v>452</v>
      </c>
      <c r="F72" s="44"/>
      <c r="G72" s="34" t="str">
        <f aca="false">IF(F72&lt;&gt;"",F72,IF(E72="","",IFERROR(INDEX(I_Item!$C$6:$C$255,MATCH(E72,I_Item!$A$6:$A$255,0)),"KODE BARU")))</f>
        <v>Trading|KRK (Kerangka)|n/a</v>
      </c>
      <c r="H72" s="45" t="n">
        <v>6011.3</v>
      </c>
      <c r="I72" s="42" t="n">
        <v>10903</v>
      </c>
      <c r="J72" s="11" t="n">
        <f aca="false">IF(H72="","",H72*I72)</f>
        <v>65541203.9</v>
      </c>
      <c r="K72" s="42"/>
      <c r="L72" s="11" t="n">
        <f aca="false">IF(H72="","",IF(K72&lt;&gt;"",K72,H72*IFERROR(INDEX(O_Stok!$Q$6:$Q$85,MATCH(G72,O_Stok!$A$6:$A$85,0)),0)))</f>
        <v>61981745.0145365</v>
      </c>
      <c r="M72" s="11" t="n">
        <f aca="false">IF(H72="","",J72-L72)</f>
        <v>3559458.88546353</v>
      </c>
      <c r="N72" s="34" t="str">
        <f aca="false">IF(G72="","",IFERROR(INDEX(I_Master!$B$6:$B$85,MATCH(G72,I_Master!$A$6:$A$85,0)),"?"))</f>
        <v>Trading</v>
      </c>
      <c r="O72" s="34" t="str">
        <f aca="false">IF(G72="","",IFERROR(INDEX(I_Master!$E$6:$E$85,MATCH(G72,I_Master!$A$6:$A$85,0)),"?"))</f>
        <v>KRK (Kerangka)</v>
      </c>
      <c r="P72" s="46" t="n">
        <f aca="false">IF(H72="","",IF(OR(A72&lt;I_Parameter!$C$5,A72&gt;I_Parameter!$C$6),0,IF(B72="Aktual",1,IF(AND(B72="Order",A72&gt;=I_Parameter!$C$4),1,0))))</f>
        <v>1</v>
      </c>
    </row>
    <row r="73" customFormat="false" ht="15" hidden="false" customHeight="false" outlineLevel="0" collapsed="false">
      <c r="A73" s="37" t="n">
        <v>46262</v>
      </c>
      <c r="B73" s="44" t="s">
        <v>462</v>
      </c>
      <c r="C73" s="44" t="s">
        <v>483</v>
      </c>
      <c r="D73" s="44" t="s">
        <v>457</v>
      </c>
      <c r="E73" s="44" t="s">
        <v>459</v>
      </c>
      <c r="F73" s="44"/>
      <c r="G73" s="34" t="str">
        <f aca="false">IF(F73&lt;&gt;"",F73,IF(E73="","",IFERROR(INDEX(I_Item!$C$6:$C$255,MATCH(E73,I_Item!$A$6:$A$255,0)),"KODE BARU")))</f>
        <v>RPA|Karkas|Fresh</v>
      </c>
      <c r="H73" s="45" t="n">
        <v>1403.6</v>
      </c>
      <c r="I73" s="42" t="n">
        <v>36705</v>
      </c>
      <c r="J73" s="11" t="n">
        <f aca="false">IF(H73="","",H73*I73)</f>
        <v>51519138</v>
      </c>
      <c r="K73" s="42"/>
      <c r="L73" s="11" t="n">
        <f aca="false">IF(H73="","",IF(K73&lt;&gt;"",K73,H73*IFERROR(INDEX(O_Stok!$Q$6:$Q$85,MATCH(G73,O_Stok!$A$6:$A$85,0)),0)))</f>
        <v>52494366.0000199</v>
      </c>
      <c r="M73" s="11" t="n">
        <f aca="false">IF(H73="","",J73-L73)</f>
        <v>-975228.000019848</v>
      </c>
      <c r="N73" s="34" t="str">
        <f aca="false">IF(G73="","",IFERROR(INDEX(I_Master!$B$6:$B$85,MATCH(G73,I_Master!$A$6:$A$85,0)),"?"))</f>
        <v>RPA</v>
      </c>
      <c r="O73" s="34" t="str">
        <f aca="false">IF(G73="","",IFERROR(INDEX(I_Master!$E$6:$E$85,MATCH(G73,I_Master!$A$6:$A$85,0)),"?"))</f>
        <v>Karkas fresh</v>
      </c>
      <c r="P73" s="46" t="n">
        <f aca="false">IF(H73="","",IF(OR(A73&lt;I_Parameter!$C$5,A73&gt;I_Parameter!$C$6),0,IF(B73="Aktual",1,IF(AND(B73="Order",A73&gt;=I_Parameter!$C$4),1,0))))</f>
        <v>1</v>
      </c>
    </row>
    <row r="74" customFormat="false" ht="15" hidden="false" customHeight="false" outlineLevel="0" collapsed="false">
      <c r="A74" s="37" t="n">
        <v>46262</v>
      </c>
      <c r="B74" s="44" t="s">
        <v>462</v>
      </c>
      <c r="C74" s="44" t="s">
        <v>483</v>
      </c>
      <c r="D74" s="44" t="s">
        <v>457</v>
      </c>
      <c r="E74" s="44" t="s">
        <v>460</v>
      </c>
      <c r="F74" s="44"/>
      <c r="G74" s="34" t="str">
        <f aca="false">IF(F74&lt;&gt;"",F74,IF(E74="","",IFERROR(INDEX(I_Item!$C$6:$C$255,MATCH(E74,I_Item!$A$6:$A$255,0)),"KODE BARU")))</f>
        <v>RPA|Karkas|Fresh</v>
      </c>
      <c r="H74" s="45" t="n">
        <v>985.2</v>
      </c>
      <c r="I74" s="42" t="n">
        <v>36705</v>
      </c>
      <c r="J74" s="11" t="n">
        <f aca="false">IF(H74="","",H74*I74)</f>
        <v>36161766</v>
      </c>
      <c r="K74" s="42"/>
      <c r="L74" s="11" t="n">
        <f aca="false">IF(H74="","",IF(K74&lt;&gt;"",K74,H74*IFERROR(INDEX(O_Stok!$Q$6:$Q$85,MATCH(G74,O_Stok!$A$6:$A$85,0)),0)))</f>
        <v>36846287.676845</v>
      </c>
      <c r="M74" s="11" t="n">
        <f aca="false">IF(H74="","",J74-L74)</f>
        <v>-684521.676844947</v>
      </c>
      <c r="N74" s="34" t="str">
        <f aca="false">IF(G74="","",IFERROR(INDEX(I_Master!$B$6:$B$85,MATCH(G74,I_Master!$A$6:$A$85,0)),"?"))</f>
        <v>RPA</v>
      </c>
      <c r="O74" s="34" t="str">
        <f aca="false">IF(G74="","",IFERROR(INDEX(I_Master!$E$6:$E$85,MATCH(G74,I_Master!$A$6:$A$85,0)),"?"))</f>
        <v>Karkas fresh</v>
      </c>
      <c r="P74" s="46" t="n">
        <f aca="false">IF(H74="","",IF(OR(A74&lt;I_Parameter!$C$5,A74&gt;I_Parameter!$C$6),0,IF(B74="Aktual",1,IF(AND(B74="Order",A74&gt;=I_Parameter!$C$4),1,0))))</f>
        <v>1</v>
      </c>
    </row>
    <row r="75" customFormat="false" ht="15" hidden="false" customHeight="false" outlineLevel="0" collapsed="false">
      <c r="A75" s="37" t="n">
        <v>46262</v>
      </c>
      <c r="B75" s="44" t="s">
        <v>462</v>
      </c>
      <c r="C75" s="44" t="s">
        <v>483</v>
      </c>
      <c r="D75" s="44" t="s">
        <v>457</v>
      </c>
      <c r="E75" s="44" t="s">
        <v>461</v>
      </c>
      <c r="F75" s="44"/>
      <c r="G75" s="34" t="str">
        <f aca="false">IF(F75&lt;&gt;"",F75,IF(E75="","",IFERROR(INDEX(I_Item!$C$6:$C$255,MATCH(E75,I_Item!$A$6:$A$255,0)),"KODE BARU")))</f>
        <v>RPA|Karkas|Fresh</v>
      </c>
      <c r="H75" s="45" t="n">
        <v>265.9</v>
      </c>
      <c r="I75" s="42" t="n">
        <v>36705</v>
      </c>
      <c r="J75" s="11" t="n">
        <f aca="false">IF(H75="","",H75*I75)</f>
        <v>9759859.5</v>
      </c>
      <c r="K75" s="42"/>
      <c r="L75" s="11" t="n">
        <f aca="false">IF(H75="","",IF(K75&lt;&gt;"",K75,H75*IFERROR(INDEX(O_Stok!$Q$6:$Q$85,MATCH(G75,O_Stok!$A$6:$A$85,0)),0)))</f>
        <v>9944608.09305021</v>
      </c>
      <c r="M75" s="11" t="n">
        <f aca="false">IF(H75="","",J75-L75)</f>
        <v>-184748.593050212</v>
      </c>
      <c r="N75" s="34" t="str">
        <f aca="false">IF(G75="","",IFERROR(INDEX(I_Master!$B$6:$B$85,MATCH(G75,I_Master!$A$6:$A$85,0)),"?"))</f>
        <v>RPA</v>
      </c>
      <c r="O75" s="34" t="str">
        <f aca="false">IF(G75="","",IFERROR(INDEX(I_Master!$E$6:$E$85,MATCH(G75,I_Master!$A$6:$A$85,0)),"?"))</f>
        <v>Karkas fresh</v>
      </c>
      <c r="P75" s="46" t="n">
        <f aca="false">IF(H75="","",IF(OR(A75&lt;I_Parameter!$C$5,A75&gt;I_Parameter!$C$6),0,IF(B75="Aktual",1,IF(AND(B75="Order",A75&gt;=I_Parameter!$C$4),1,0))))</f>
        <v>1</v>
      </c>
    </row>
    <row r="76" customFormat="false" ht="15" hidden="false" customHeight="false" outlineLevel="0" collapsed="false">
      <c r="A76" s="37" t="n">
        <v>46263</v>
      </c>
      <c r="B76" s="44" t="s">
        <v>462</v>
      </c>
      <c r="C76" s="44" t="s">
        <v>484</v>
      </c>
      <c r="D76" s="44" t="s">
        <v>457</v>
      </c>
      <c r="E76" s="44" t="s">
        <v>485</v>
      </c>
      <c r="F76" s="44"/>
      <c r="G76" s="34" t="str">
        <f aca="false">IF(F76&lt;&gt;"",F76,IF(E76="","",IFERROR(INDEX(I_Item!$C$6:$C$255,MATCH(E76,I_Item!$A$6:$A$255,0)),"KODE BARU")))</f>
        <v>RPA|Karkas|Fresh</v>
      </c>
      <c r="H76" s="45" t="n">
        <v>58.1</v>
      </c>
      <c r="I76" s="42" t="n">
        <v>36705</v>
      </c>
      <c r="J76" s="11" t="n">
        <f aca="false">IF(H76="","",H76*I76)</f>
        <v>2132560.5</v>
      </c>
      <c r="K76" s="42"/>
      <c r="L76" s="11" t="n">
        <f aca="false">IF(H76="","",IF(K76&lt;&gt;"",K76,H76*IFERROR(INDEX(O_Stok!$Q$6:$Q$85,MATCH(G76,O_Stok!$A$6:$A$85,0)),0)))</f>
        <v>2172928.65816554</v>
      </c>
      <c r="M76" s="11" t="n">
        <f aca="false">IF(H76="","",J76-L76)</f>
        <v>-40368.158165541</v>
      </c>
      <c r="N76" s="34" t="str">
        <f aca="false">IF(G76="","",IFERROR(INDEX(I_Master!$B$6:$B$85,MATCH(G76,I_Master!$A$6:$A$85,0)),"?"))</f>
        <v>RPA</v>
      </c>
      <c r="O76" s="34" t="str">
        <f aca="false">IF(G76="","",IFERROR(INDEX(I_Master!$E$6:$E$85,MATCH(G76,I_Master!$A$6:$A$85,0)),"?"))</f>
        <v>Karkas fresh</v>
      </c>
      <c r="P76" s="46" t="n">
        <f aca="false">IF(H76="","",IF(OR(A76&lt;I_Parameter!$C$5,A76&gt;I_Parameter!$C$6),0,IF(B76="Aktual",1,IF(AND(B76="Order",A76&gt;=I_Parameter!$C$4),1,0))))</f>
        <v>1</v>
      </c>
    </row>
    <row r="77" customFormat="false" ht="15" hidden="false" customHeight="false" outlineLevel="0" collapsed="false">
      <c r="A77" s="37" t="n">
        <v>46263</v>
      </c>
      <c r="B77" s="44" t="s">
        <v>462</v>
      </c>
      <c r="C77" s="44" t="s">
        <v>484</v>
      </c>
      <c r="D77" s="44" t="s">
        <v>457</v>
      </c>
      <c r="E77" s="44" t="s">
        <v>459</v>
      </c>
      <c r="F77" s="44"/>
      <c r="G77" s="34" t="str">
        <f aca="false">IF(F77&lt;&gt;"",F77,IF(E77="","",IFERROR(INDEX(I_Item!$C$6:$C$255,MATCH(E77,I_Item!$A$6:$A$255,0)),"KODE BARU")))</f>
        <v>RPA|Karkas|Fresh</v>
      </c>
      <c r="H77" s="45" t="n">
        <v>1615.7</v>
      </c>
      <c r="I77" s="42" t="n">
        <v>36705</v>
      </c>
      <c r="J77" s="11" t="n">
        <f aca="false">IF(H77="","",H77*I77)</f>
        <v>59304268.5</v>
      </c>
      <c r="K77" s="42"/>
      <c r="L77" s="11" t="n">
        <f aca="false">IF(H77="","",IF(K77&lt;&gt;"",K77,H77*IFERROR(INDEX(O_Stok!$Q$6:$Q$85,MATCH(G77,O_Stok!$A$6:$A$85,0)),0)))</f>
        <v>60426864.5954917</v>
      </c>
      <c r="M77" s="11" t="n">
        <f aca="false">IF(H77="","",J77-L77)</f>
        <v>-1122596.09549165</v>
      </c>
      <c r="N77" s="34" t="str">
        <f aca="false">IF(G77="","",IFERROR(INDEX(I_Master!$B$6:$B$85,MATCH(G77,I_Master!$A$6:$A$85,0)),"?"))</f>
        <v>RPA</v>
      </c>
      <c r="O77" s="34" t="str">
        <f aca="false">IF(G77="","",IFERROR(INDEX(I_Master!$E$6:$E$85,MATCH(G77,I_Master!$A$6:$A$85,0)),"?"))</f>
        <v>Karkas fresh</v>
      </c>
      <c r="P77" s="46" t="n">
        <f aca="false">IF(H77="","",IF(OR(A77&lt;I_Parameter!$C$5,A77&gt;I_Parameter!$C$6),0,IF(B77="Aktual",1,IF(AND(B77="Order",A77&gt;=I_Parameter!$C$4),1,0))))</f>
        <v>1</v>
      </c>
    </row>
    <row r="78" customFormat="false" ht="15" hidden="false" customHeight="false" outlineLevel="0" collapsed="false">
      <c r="A78" s="37" t="n">
        <v>46263</v>
      </c>
      <c r="B78" s="44" t="s">
        <v>462</v>
      </c>
      <c r="C78" s="44" t="s">
        <v>484</v>
      </c>
      <c r="D78" s="44" t="s">
        <v>457</v>
      </c>
      <c r="E78" s="44" t="s">
        <v>459</v>
      </c>
      <c r="F78" s="44"/>
      <c r="G78" s="34" t="str">
        <f aca="false">IF(F78&lt;&gt;"",F78,IF(E78="","",IFERROR(INDEX(I_Item!$C$6:$C$255,MATCH(E78,I_Item!$A$6:$A$255,0)),"KODE BARU")))</f>
        <v>RPA|Karkas|Fresh</v>
      </c>
      <c r="H78" s="45" t="n">
        <v>139.35</v>
      </c>
      <c r="I78" s="42" t="n">
        <v>36705</v>
      </c>
      <c r="J78" s="11" t="n">
        <f aca="false">IF(H78="","",H78*I78)</f>
        <v>5114841.75</v>
      </c>
      <c r="K78" s="42"/>
      <c r="L78" s="11" t="n">
        <f aca="false">IF(H78="","",IF(K78&lt;&gt;"",K78,H78*IFERROR(INDEX(O_Stok!$Q$6:$Q$85,MATCH(G78,O_Stok!$A$6:$A$85,0)),0)))</f>
        <v>5211662.79716641</v>
      </c>
      <c r="M78" s="11" t="n">
        <f aca="false">IF(H78="","",J78-L78)</f>
        <v>-96821.0471664053</v>
      </c>
      <c r="N78" s="34" t="str">
        <f aca="false">IF(G78="","",IFERROR(INDEX(I_Master!$B$6:$B$85,MATCH(G78,I_Master!$A$6:$A$85,0)),"?"))</f>
        <v>RPA</v>
      </c>
      <c r="O78" s="34" t="str">
        <f aca="false">IF(G78="","",IFERROR(INDEX(I_Master!$E$6:$E$85,MATCH(G78,I_Master!$A$6:$A$85,0)),"?"))</f>
        <v>Karkas fresh</v>
      </c>
      <c r="P78" s="46" t="n">
        <f aca="false">IF(H78="","",IF(OR(A78&lt;I_Parameter!$C$5,A78&gt;I_Parameter!$C$6),0,IF(B78="Aktual",1,IF(AND(B78="Order",A78&gt;=I_Parameter!$C$4),1,0))))</f>
        <v>1</v>
      </c>
    </row>
    <row r="79" customFormat="false" ht="15" hidden="false" customHeight="false" outlineLevel="0" collapsed="false">
      <c r="A79" s="37" t="n">
        <v>46263</v>
      </c>
      <c r="B79" s="44" t="s">
        <v>462</v>
      </c>
      <c r="C79" s="44" t="s">
        <v>484</v>
      </c>
      <c r="D79" s="44" t="s">
        <v>457</v>
      </c>
      <c r="E79" s="44" t="s">
        <v>460</v>
      </c>
      <c r="F79" s="44"/>
      <c r="G79" s="34" t="str">
        <f aca="false">IF(F79&lt;&gt;"",F79,IF(E79="","",IFERROR(INDEX(I_Item!$C$6:$C$255,MATCH(E79,I_Item!$A$6:$A$255,0)),"KODE BARU")))</f>
        <v>RPA|Karkas|Fresh</v>
      </c>
      <c r="H79" s="45" t="n">
        <v>1496.6</v>
      </c>
      <c r="I79" s="42" t="n">
        <v>36705</v>
      </c>
      <c r="J79" s="11" t="n">
        <f aca="false">IF(H79="","",H79*I79)</f>
        <v>54932703</v>
      </c>
      <c r="K79" s="42"/>
      <c r="L79" s="11" t="n">
        <f aca="false">IF(H79="","",IF(K79&lt;&gt;"",K79,H79*IFERROR(INDEX(O_Stok!$Q$6:$Q$85,MATCH(G79,O_Stok!$A$6:$A$85,0)),0)))</f>
        <v>55972547.8452762</v>
      </c>
      <c r="M79" s="11" t="n">
        <f aca="false">IF(H79="","",J79-L79)</f>
        <v>-1039844.84527622</v>
      </c>
      <c r="N79" s="34" t="str">
        <f aca="false">IF(G79="","",IFERROR(INDEX(I_Master!$B$6:$B$85,MATCH(G79,I_Master!$A$6:$A$85,0)),"?"))</f>
        <v>RPA</v>
      </c>
      <c r="O79" s="34" t="str">
        <f aca="false">IF(G79="","",IFERROR(INDEX(I_Master!$E$6:$E$85,MATCH(G79,I_Master!$A$6:$A$85,0)),"?"))</f>
        <v>Karkas fresh</v>
      </c>
      <c r="P79" s="46" t="n">
        <f aca="false">IF(H79="","",IF(OR(A79&lt;I_Parameter!$C$5,A79&gt;I_Parameter!$C$6),0,IF(B79="Aktual",1,IF(AND(B79="Order",A79&gt;=I_Parameter!$C$4),1,0))))</f>
        <v>1</v>
      </c>
    </row>
    <row r="80" customFormat="false" ht="15" hidden="false" customHeight="false" outlineLevel="0" collapsed="false">
      <c r="A80" s="37" t="n">
        <v>46263</v>
      </c>
      <c r="B80" s="44" t="s">
        <v>462</v>
      </c>
      <c r="C80" s="44" t="s">
        <v>484</v>
      </c>
      <c r="D80" s="44" t="s">
        <v>457</v>
      </c>
      <c r="E80" s="44" t="s">
        <v>461</v>
      </c>
      <c r="F80" s="44"/>
      <c r="G80" s="34" t="str">
        <f aca="false">IF(F80&lt;&gt;"",F80,IF(E80="","",IFERROR(INDEX(I_Item!$C$6:$C$255,MATCH(E80,I_Item!$A$6:$A$255,0)),"KODE BARU")))</f>
        <v>RPA|Karkas|Fresh</v>
      </c>
      <c r="H80" s="45" t="n">
        <v>59.5</v>
      </c>
      <c r="I80" s="42" t="n">
        <v>36705</v>
      </c>
      <c r="J80" s="11" t="n">
        <f aca="false">IF(H80="","",H80*I80)</f>
        <v>2183947.5</v>
      </c>
      <c r="K80" s="42"/>
      <c r="L80" s="11" t="n">
        <f aca="false">IF(H80="","",IF(K80&lt;&gt;"",K80,H80*IFERROR(INDEX(O_Stok!$Q$6:$Q$85,MATCH(G80,O_Stok!$A$6:$A$85,0)),0)))</f>
        <v>2225288.38486833</v>
      </c>
      <c r="M80" s="11" t="n">
        <f aca="false">IF(H80="","",J80-L80)</f>
        <v>-41340.8848683252</v>
      </c>
      <c r="N80" s="34" t="str">
        <f aca="false">IF(G80="","",IFERROR(INDEX(I_Master!$B$6:$B$85,MATCH(G80,I_Master!$A$6:$A$85,0)),"?"))</f>
        <v>RPA</v>
      </c>
      <c r="O80" s="34" t="str">
        <f aca="false">IF(G80="","",IFERROR(INDEX(I_Master!$E$6:$E$85,MATCH(G80,I_Master!$A$6:$A$85,0)),"?"))</f>
        <v>Karkas fresh</v>
      </c>
      <c r="P80" s="46" t="n">
        <f aca="false">IF(H80="","",IF(OR(A80&lt;I_Parameter!$C$5,A80&gt;I_Parameter!$C$6),0,IF(B80="Aktual",1,IF(AND(B80="Order",A80&gt;=I_Parameter!$C$4),1,0))))</f>
        <v>1</v>
      </c>
    </row>
    <row r="81" customFormat="false" ht="15" hidden="false" customHeight="false" outlineLevel="0" collapsed="false">
      <c r="A81" s="37" t="n">
        <v>46263</v>
      </c>
      <c r="B81" s="44" t="s">
        <v>462</v>
      </c>
      <c r="C81" s="44" t="s">
        <v>484</v>
      </c>
      <c r="D81" s="44" t="s">
        <v>457</v>
      </c>
      <c r="E81" s="44" t="s">
        <v>486</v>
      </c>
      <c r="F81" s="44"/>
      <c r="G81" s="34" t="str">
        <f aca="false">IF(F81&lt;&gt;"",F81,IF(E81="","",IFERROR(INDEX(I_Item!$C$6:$C$255,MATCH(E81,I_Item!$A$6:$A$255,0)),"KODE BARU")))</f>
        <v>RPA|Karkas|Frozen</v>
      </c>
      <c r="H81" s="45" t="n">
        <v>430.25</v>
      </c>
      <c r="I81" s="42" t="n">
        <v>31658</v>
      </c>
      <c r="J81" s="11" t="n">
        <f aca="false">IF(H81="","",H81*I81)</f>
        <v>13620854.5</v>
      </c>
      <c r="K81" s="42"/>
      <c r="L81" s="11" t="n">
        <f aca="false">IF(H81="","",IF(K81&lt;&gt;"",K81,H81*IFERROR(INDEX(O_Stok!$Q$6:$Q$85,MATCH(G81,O_Stok!$A$6:$A$85,0)),0)))</f>
        <v>15124767.1241226</v>
      </c>
      <c r="M81" s="11" t="n">
        <f aca="false">IF(H81="","",J81-L81)</f>
        <v>-1503912.62412259</v>
      </c>
      <c r="N81" s="34" t="str">
        <f aca="false">IF(G81="","",IFERROR(INDEX(I_Master!$B$6:$B$85,MATCH(G81,I_Master!$A$6:$A$85,0)),"?"))</f>
        <v>RPA</v>
      </c>
      <c r="O81" s="34" t="str">
        <f aca="false">IF(G81="","",IFERROR(INDEX(I_Master!$E$6:$E$85,MATCH(G81,I_Master!$A$6:$A$85,0)),"?"))</f>
        <v>Karkas frozen</v>
      </c>
      <c r="P81" s="46" t="n">
        <f aca="false">IF(H81="","",IF(OR(A81&lt;I_Parameter!$C$5,A81&gt;I_Parameter!$C$6),0,IF(B81="Aktual",1,IF(AND(B81="Order",A81&gt;=I_Parameter!$C$4),1,0))))</f>
        <v>1</v>
      </c>
    </row>
    <row r="82" customFormat="false" ht="15" hidden="false" customHeight="false" outlineLevel="0" collapsed="false">
      <c r="A82" s="37" t="n">
        <v>46263</v>
      </c>
      <c r="B82" s="44" t="s">
        <v>462</v>
      </c>
      <c r="C82" s="44" t="s">
        <v>487</v>
      </c>
      <c r="D82" s="44" t="s">
        <v>457</v>
      </c>
      <c r="E82" s="44" t="s">
        <v>476</v>
      </c>
      <c r="F82" s="44"/>
      <c r="G82" s="34" t="str">
        <f aca="false">IF(F82&lt;&gt;"",F82,IF(E82="","",IFERROR(INDEX(I_Item!$C$6:$C$255,MATCH(E82,I_Item!$A$6:$A$255,0)),"KODE BARU")))</f>
        <v>RPA|Karkas|Fresh</v>
      </c>
      <c r="H82" s="45" t="n">
        <v>1084.81</v>
      </c>
      <c r="I82" s="42" t="n">
        <v>36705</v>
      </c>
      <c r="J82" s="11" t="n">
        <f aca="false">IF(H82="","",H82*I82)</f>
        <v>39817951.05</v>
      </c>
      <c r="K82" s="42"/>
      <c r="L82" s="11" t="n">
        <f aca="false">IF(H82="","",IF(K82&lt;&gt;"",K82,H82*IFERROR(INDEX(O_Stok!$Q$6:$Q$85,MATCH(G82,O_Stok!$A$6:$A$85,0)),0)))</f>
        <v>40571682.231748</v>
      </c>
      <c r="M82" s="11" t="n">
        <f aca="false">IF(H82="","",J82-L82)</f>
        <v>-753731.181748033</v>
      </c>
      <c r="N82" s="34" t="str">
        <f aca="false">IF(G82="","",IFERROR(INDEX(I_Master!$B$6:$B$85,MATCH(G82,I_Master!$A$6:$A$85,0)),"?"))</f>
        <v>RPA</v>
      </c>
      <c r="O82" s="34" t="str">
        <f aca="false">IF(G82="","",IFERROR(INDEX(I_Master!$E$6:$E$85,MATCH(G82,I_Master!$A$6:$A$85,0)),"?"))</f>
        <v>Karkas fresh</v>
      </c>
      <c r="P82" s="46" t="n">
        <f aca="false">IF(H82="","",IF(OR(A82&lt;I_Parameter!$C$5,A82&gt;I_Parameter!$C$6),0,IF(B82="Aktual",1,IF(AND(B82="Order",A82&gt;=I_Parameter!$C$4),1,0))))</f>
        <v>1</v>
      </c>
    </row>
    <row r="83" customFormat="false" ht="15" hidden="false" customHeight="false" outlineLevel="0" collapsed="false">
      <c r="A83" s="37" t="n">
        <v>46263</v>
      </c>
      <c r="B83" s="44" t="s">
        <v>462</v>
      </c>
      <c r="C83" s="44" t="s">
        <v>488</v>
      </c>
      <c r="D83" s="44" t="s">
        <v>432</v>
      </c>
      <c r="E83" s="44" t="s">
        <v>471</v>
      </c>
      <c r="F83" s="44"/>
      <c r="G83" s="34" t="str">
        <f aca="false">IF(F83&lt;&gt;"",F83,IF(E83="","",IFERROR(INDEX(I_Item!$C$6:$C$255,MATCH(E83,I_Item!$A$6:$A$255,0)),"KODE BARU")))</f>
        <v>RPA|Karkas|Frozen</v>
      </c>
      <c r="H83" s="45" t="n">
        <v>22.86</v>
      </c>
      <c r="I83" s="42" t="n">
        <v>31658</v>
      </c>
      <c r="J83" s="11" t="n">
        <f aca="false">IF(H83="","",H83*I83)</f>
        <v>723701.88</v>
      </c>
      <c r="K83" s="42"/>
      <c r="L83" s="11" t="n">
        <f aca="false">IF(H83="","",IF(K83&lt;&gt;"",K83,H83*IFERROR(INDEX(O_Stok!$Q$6:$Q$85,MATCH(G83,O_Stok!$A$6:$A$85,0)),0)))</f>
        <v>803607.615241005</v>
      </c>
      <c r="M83" s="11" t="n">
        <f aca="false">IF(H83="","",J83-L83)</f>
        <v>-79905.7352410049</v>
      </c>
      <c r="N83" s="34" t="str">
        <f aca="false">IF(G83="","",IFERROR(INDEX(I_Master!$B$6:$B$85,MATCH(G83,I_Master!$A$6:$A$85,0)),"?"))</f>
        <v>RPA</v>
      </c>
      <c r="O83" s="34" t="str">
        <f aca="false">IF(G83="","",IFERROR(INDEX(I_Master!$E$6:$E$85,MATCH(G83,I_Master!$A$6:$A$85,0)),"?"))</f>
        <v>Karkas frozen</v>
      </c>
      <c r="P83" s="46" t="n">
        <f aca="false">IF(H83="","",IF(OR(A83&lt;I_Parameter!$C$5,A83&gt;I_Parameter!$C$6),0,IF(B83="Aktual",1,IF(AND(B83="Order",A83&gt;=I_Parameter!$C$4),1,0))))</f>
        <v>1</v>
      </c>
    </row>
    <row r="84" customFormat="false" ht="15" hidden="false" customHeight="false" outlineLevel="0" collapsed="false">
      <c r="A84" s="37" t="n">
        <v>46263</v>
      </c>
      <c r="B84" s="44" t="s">
        <v>462</v>
      </c>
      <c r="C84" s="44" t="s">
        <v>488</v>
      </c>
      <c r="D84" s="44" t="s">
        <v>432</v>
      </c>
      <c r="E84" s="44" t="s">
        <v>472</v>
      </c>
      <c r="F84" s="44"/>
      <c r="G84" s="34" t="str">
        <f aca="false">IF(F84&lt;&gt;"",F84,IF(E84="","",IFERROR(INDEX(I_Item!$C$6:$C$255,MATCH(E84,I_Item!$A$6:$A$255,0)),"KODE BARU")))</f>
        <v>RPA|Karkas|Frozen</v>
      </c>
      <c r="H84" s="45" t="n">
        <v>41.2</v>
      </c>
      <c r="I84" s="42" t="n">
        <v>31658</v>
      </c>
      <c r="J84" s="11" t="n">
        <f aca="false">IF(H84="","",H84*I84)</f>
        <v>1304309.6</v>
      </c>
      <c r="K84" s="42"/>
      <c r="L84" s="11" t="n">
        <f aca="false">IF(H84="","",IF(K84&lt;&gt;"",K84,H84*IFERROR(INDEX(O_Stok!$Q$6:$Q$85,MATCH(G84,O_Stok!$A$6:$A$85,0)),0)))</f>
        <v>1448321.68626113</v>
      </c>
      <c r="M84" s="11" t="n">
        <f aca="false">IF(H84="","",J84-L84)</f>
        <v>-144012.086261129</v>
      </c>
      <c r="N84" s="34" t="str">
        <f aca="false">IF(G84="","",IFERROR(INDEX(I_Master!$B$6:$B$85,MATCH(G84,I_Master!$A$6:$A$85,0)),"?"))</f>
        <v>RPA</v>
      </c>
      <c r="O84" s="34" t="str">
        <f aca="false">IF(G84="","",IFERROR(INDEX(I_Master!$E$6:$E$85,MATCH(G84,I_Master!$A$6:$A$85,0)),"?"))</f>
        <v>Karkas frozen</v>
      </c>
      <c r="P84" s="46" t="n">
        <f aca="false">IF(H84="","",IF(OR(A84&lt;I_Parameter!$C$5,A84&gt;I_Parameter!$C$6),0,IF(B84="Aktual",1,IF(AND(B84="Order",A84&gt;=I_Parameter!$C$4),1,0))))</f>
        <v>1</v>
      </c>
    </row>
    <row r="85" customFormat="false" ht="15" hidden="false" customHeight="false" outlineLevel="0" collapsed="false">
      <c r="A85" s="37" t="n">
        <v>46263</v>
      </c>
      <c r="B85" s="44" t="s">
        <v>462</v>
      </c>
      <c r="C85" s="44" t="s">
        <v>488</v>
      </c>
      <c r="D85" s="44" t="s">
        <v>432</v>
      </c>
      <c r="E85" s="44" t="s">
        <v>473</v>
      </c>
      <c r="F85" s="44"/>
      <c r="G85" s="34" t="str">
        <f aca="false">IF(F85&lt;&gt;"",F85,IF(E85="","",IFERROR(INDEX(I_Item!$C$6:$C$255,MATCH(E85,I_Item!$A$6:$A$255,0)),"KODE BARU")))</f>
        <v>RPA|Karkas|Frozen</v>
      </c>
      <c r="H85" s="45" t="n">
        <v>95.7</v>
      </c>
      <c r="I85" s="42" t="n">
        <v>31658</v>
      </c>
      <c r="J85" s="11" t="n">
        <f aca="false">IF(H85="","",H85*I85)</f>
        <v>3029670.6</v>
      </c>
      <c r="K85" s="42"/>
      <c r="L85" s="11" t="n">
        <f aca="false">IF(H85="","",IF(K85&lt;&gt;"",K85,H85*IFERROR(INDEX(O_Stok!$Q$6:$Q$85,MATCH(G85,O_Stok!$A$6:$A$85,0)),0)))</f>
        <v>3364184.1110483</v>
      </c>
      <c r="M85" s="11" t="n">
        <f aca="false">IF(H85="","",J85-L85)</f>
        <v>-334513.511048301</v>
      </c>
      <c r="N85" s="34" t="str">
        <f aca="false">IF(G85="","",IFERROR(INDEX(I_Master!$B$6:$B$85,MATCH(G85,I_Master!$A$6:$A$85,0)),"?"))</f>
        <v>RPA</v>
      </c>
      <c r="O85" s="34" t="str">
        <f aca="false">IF(G85="","",IFERROR(INDEX(I_Master!$E$6:$E$85,MATCH(G85,I_Master!$A$6:$A$85,0)),"?"))</f>
        <v>Karkas frozen</v>
      </c>
      <c r="P85" s="46" t="n">
        <f aca="false">IF(H85="","",IF(OR(A85&lt;I_Parameter!$C$5,A85&gt;I_Parameter!$C$6),0,IF(B85="Aktual",1,IF(AND(B85="Order",A85&gt;=I_Parameter!$C$4),1,0))))</f>
        <v>1</v>
      </c>
    </row>
    <row r="86" customFormat="false" ht="15" hidden="false" customHeight="false" outlineLevel="0" collapsed="false">
      <c r="A86" s="37" t="n">
        <v>46263</v>
      </c>
      <c r="B86" s="44" t="s">
        <v>462</v>
      </c>
      <c r="C86" s="44" t="s">
        <v>488</v>
      </c>
      <c r="D86" s="44" t="s">
        <v>432</v>
      </c>
      <c r="E86" s="44" t="s">
        <v>489</v>
      </c>
      <c r="F86" s="44"/>
      <c r="G86" s="34" t="str">
        <f aca="false">IF(F86&lt;&gt;"",F86,IF(E86="","",IFERROR(INDEX(I_Item!$C$6:$C$255,MATCH(E86,I_Item!$A$6:$A$255,0)),"KODE BARU")))</f>
        <v>RPA|Karkas|Frozen</v>
      </c>
      <c r="H86" s="45" t="n">
        <v>42.8</v>
      </c>
      <c r="I86" s="42" t="n">
        <v>31658</v>
      </c>
      <c r="J86" s="11" t="n">
        <f aca="false">IF(H86="","",H86*I86)</f>
        <v>1354962.4</v>
      </c>
      <c r="K86" s="42"/>
      <c r="L86" s="11" t="n">
        <f aca="false">IF(H86="","",IF(K86&lt;&gt;"",K86,H86*IFERROR(INDEX(O_Stok!$Q$6:$Q$85,MATCH(G86,O_Stok!$A$6:$A$85,0)),0)))</f>
        <v>1504567.1886402</v>
      </c>
      <c r="M86" s="11" t="n">
        <f aca="false">IF(H86="","",J86-L86)</f>
        <v>-149604.788640202</v>
      </c>
      <c r="N86" s="34" t="str">
        <f aca="false">IF(G86="","",IFERROR(INDEX(I_Master!$B$6:$B$85,MATCH(G86,I_Master!$A$6:$A$85,0)),"?"))</f>
        <v>RPA</v>
      </c>
      <c r="O86" s="34" t="str">
        <f aca="false">IF(G86="","",IFERROR(INDEX(I_Master!$E$6:$E$85,MATCH(G86,I_Master!$A$6:$A$85,0)),"?"))</f>
        <v>Karkas frozen</v>
      </c>
      <c r="P86" s="46" t="n">
        <f aca="false">IF(H86="","",IF(OR(A86&lt;I_Parameter!$C$5,A86&gt;I_Parameter!$C$6),0,IF(B86="Aktual",1,IF(AND(B86="Order",A86&gt;=I_Parameter!$C$4),1,0))))</f>
        <v>1</v>
      </c>
    </row>
    <row r="87" customFormat="false" ht="15" hidden="false" customHeight="false" outlineLevel="0" collapsed="false">
      <c r="A87" s="37" t="n">
        <v>46263</v>
      </c>
      <c r="B87" s="44" t="s">
        <v>462</v>
      </c>
      <c r="C87" s="44" t="s">
        <v>488</v>
      </c>
      <c r="D87" s="44" t="s">
        <v>432</v>
      </c>
      <c r="E87" s="44" t="s">
        <v>467</v>
      </c>
      <c r="F87" s="44"/>
      <c r="G87" s="34" t="str">
        <f aca="false">IF(F87&lt;&gt;"",F87,IF(E87="","",IFERROR(INDEX(I_Item!$C$6:$C$255,MATCH(E87,I_Item!$A$6:$A$255,0)),"KODE BARU")))</f>
        <v>RPA|Karkas|Frozen</v>
      </c>
      <c r="H87" s="45" t="n">
        <v>441.06</v>
      </c>
      <c r="I87" s="42" t="n">
        <v>31658</v>
      </c>
      <c r="J87" s="11" t="n">
        <f aca="false">IF(H87="","",H87*I87)</f>
        <v>13963077.48</v>
      </c>
      <c r="K87" s="42"/>
      <c r="L87" s="11" t="n">
        <f aca="false">IF(H87="","",IF(K87&lt;&gt;"",K87,H87*IFERROR(INDEX(O_Stok!$Q$6:$Q$85,MATCH(G87,O_Stok!$A$6:$A$85,0)),0)))</f>
        <v>15504775.7995712</v>
      </c>
      <c r="M87" s="11" t="n">
        <f aca="false">IF(H87="","",J87-L87)</f>
        <v>-1541698.3195712</v>
      </c>
      <c r="N87" s="34" t="str">
        <f aca="false">IF(G87="","",IFERROR(INDEX(I_Master!$B$6:$B$85,MATCH(G87,I_Master!$A$6:$A$85,0)),"?"))</f>
        <v>RPA</v>
      </c>
      <c r="O87" s="34" t="str">
        <f aca="false">IF(G87="","",IFERROR(INDEX(I_Master!$E$6:$E$85,MATCH(G87,I_Master!$A$6:$A$85,0)),"?"))</f>
        <v>Karkas frozen</v>
      </c>
      <c r="P87" s="46" t="n">
        <f aca="false">IF(H87="","",IF(OR(A87&lt;I_Parameter!$C$5,A87&gt;I_Parameter!$C$6),0,IF(B87="Aktual",1,IF(AND(B87="Order",A87&gt;=I_Parameter!$C$4),1,0))))</f>
        <v>1</v>
      </c>
    </row>
    <row r="88" customFormat="false" ht="15" hidden="false" customHeight="false" outlineLevel="0" collapsed="false">
      <c r="A88" s="37" t="n">
        <v>46263</v>
      </c>
      <c r="B88" s="44" t="s">
        <v>462</v>
      </c>
      <c r="C88" s="44" t="s">
        <v>488</v>
      </c>
      <c r="D88" s="44" t="s">
        <v>432</v>
      </c>
      <c r="E88" s="44" t="s">
        <v>467</v>
      </c>
      <c r="F88" s="44"/>
      <c r="G88" s="34" t="str">
        <f aca="false">IF(F88&lt;&gt;"",F88,IF(E88="","",IFERROR(INDEX(I_Item!$C$6:$C$255,MATCH(E88,I_Item!$A$6:$A$255,0)),"KODE BARU")))</f>
        <v>RPA|Karkas|Frozen</v>
      </c>
      <c r="H88" s="45" t="n">
        <v>11.7</v>
      </c>
      <c r="I88" s="42" t="n">
        <v>31658</v>
      </c>
      <c r="J88" s="11" t="n">
        <f aca="false">IF(H88="","",H88*I88)</f>
        <v>370398.6</v>
      </c>
      <c r="K88" s="42"/>
      <c r="L88" s="11" t="n">
        <f aca="false">IF(H88="","",IF(K88&lt;&gt;"",K88,H88*IFERROR(INDEX(O_Stok!$Q$6:$Q$85,MATCH(G88,O_Stok!$A$6:$A$85,0)),0)))</f>
        <v>411295.236146971</v>
      </c>
      <c r="M88" s="11" t="n">
        <f aca="false">IF(H88="","",J88-L88)</f>
        <v>-40896.636146971</v>
      </c>
      <c r="N88" s="34" t="str">
        <f aca="false">IF(G88="","",IFERROR(INDEX(I_Master!$B$6:$B$85,MATCH(G88,I_Master!$A$6:$A$85,0)),"?"))</f>
        <v>RPA</v>
      </c>
      <c r="O88" s="34" t="str">
        <f aca="false">IF(G88="","",IFERROR(INDEX(I_Master!$E$6:$E$85,MATCH(G88,I_Master!$A$6:$A$85,0)),"?"))</f>
        <v>Karkas frozen</v>
      </c>
      <c r="P88" s="46" t="n">
        <f aca="false">IF(H88="","",IF(OR(A88&lt;I_Parameter!$C$5,A88&gt;I_Parameter!$C$6),0,IF(B88="Aktual",1,IF(AND(B88="Order",A88&gt;=I_Parameter!$C$4),1,0))))</f>
        <v>1</v>
      </c>
    </row>
    <row r="89" customFormat="false" ht="15" hidden="false" customHeight="false" outlineLevel="0" collapsed="false">
      <c r="A89" s="37" t="n">
        <v>46263</v>
      </c>
      <c r="B89" s="44" t="s">
        <v>462</v>
      </c>
      <c r="C89" s="44" t="s">
        <v>488</v>
      </c>
      <c r="D89" s="44" t="s">
        <v>432</v>
      </c>
      <c r="E89" s="44" t="s">
        <v>490</v>
      </c>
      <c r="F89" s="44"/>
      <c r="G89" s="34" t="str">
        <f aca="false">IF(F89&lt;&gt;"",F89,IF(E89="","",IFERROR(INDEX(I_Item!$C$6:$C$255,MATCH(E89,I_Item!$A$6:$A$255,0)),"KODE BARU")))</f>
        <v>RPA|Karkas|Frozen</v>
      </c>
      <c r="H89" s="45" t="n">
        <v>45.6</v>
      </c>
      <c r="I89" s="42" t="n">
        <v>31658</v>
      </c>
      <c r="J89" s="11" t="n">
        <f aca="false">IF(H89="","",H89*I89)</f>
        <v>1443604.8</v>
      </c>
      <c r="K89" s="42"/>
      <c r="L89" s="11" t="n">
        <f aca="false">IF(H89="","",IF(K89&lt;&gt;"",K89,H89*IFERROR(INDEX(O_Stok!$Q$6:$Q$85,MATCH(G89,O_Stok!$A$6:$A$85,0)),0)))</f>
        <v>1602996.81780358</v>
      </c>
      <c r="M89" s="11" t="n">
        <f aca="false">IF(H89="","",J89-L89)</f>
        <v>-159392.017803579</v>
      </c>
      <c r="N89" s="34" t="str">
        <f aca="false">IF(G89="","",IFERROR(INDEX(I_Master!$B$6:$B$85,MATCH(G89,I_Master!$A$6:$A$85,0)),"?"))</f>
        <v>RPA</v>
      </c>
      <c r="O89" s="34" t="str">
        <f aca="false">IF(G89="","",IFERROR(INDEX(I_Master!$E$6:$E$85,MATCH(G89,I_Master!$A$6:$A$85,0)),"?"))</f>
        <v>Karkas frozen</v>
      </c>
      <c r="P89" s="46" t="n">
        <f aca="false">IF(H89="","",IF(OR(A89&lt;I_Parameter!$C$5,A89&gt;I_Parameter!$C$6),0,IF(B89="Aktual",1,IF(AND(B89="Order",A89&gt;=I_Parameter!$C$4),1,0))))</f>
        <v>1</v>
      </c>
    </row>
    <row r="90" customFormat="false" ht="15" hidden="false" customHeight="false" outlineLevel="0" collapsed="false">
      <c r="A90" s="37" t="n">
        <v>46263</v>
      </c>
      <c r="B90" s="44" t="s">
        <v>462</v>
      </c>
      <c r="C90" s="44" t="s">
        <v>488</v>
      </c>
      <c r="D90" s="44" t="s">
        <v>432</v>
      </c>
      <c r="E90" s="44" t="s">
        <v>433</v>
      </c>
      <c r="F90" s="44"/>
      <c r="G90" s="34" t="str">
        <f aca="false">IF(F90&lt;&gt;"",F90,IF(E90="","",IFERROR(INDEX(I_Item!$C$6:$C$255,MATCH(E90,I_Item!$A$6:$A$255,0)),"KODE BARU")))</f>
        <v>RPA|Karkas|Frozen</v>
      </c>
      <c r="H90" s="45" t="n">
        <v>173.8</v>
      </c>
      <c r="I90" s="42" t="n">
        <v>31658</v>
      </c>
      <c r="J90" s="11" t="n">
        <f aca="false">IF(H90="","",H90*I90)</f>
        <v>5502160.4</v>
      </c>
      <c r="K90" s="42"/>
      <c r="L90" s="11" t="n">
        <f aca="false">IF(H90="","",IF(K90&lt;&gt;"",K90,H90*IFERROR(INDEX(O_Stok!$Q$6:$Q$85,MATCH(G90,O_Stok!$A$6:$A$85,0)),0)))</f>
        <v>6109667.6959268</v>
      </c>
      <c r="M90" s="11" t="n">
        <f aca="false">IF(H90="","",J90-L90)</f>
        <v>-607507.2959268</v>
      </c>
      <c r="N90" s="34" t="str">
        <f aca="false">IF(G90="","",IFERROR(INDEX(I_Master!$B$6:$B$85,MATCH(G90,I_Master!$A$6:$A$85,0)),"?"))</f>
        <v>RPA</v>
      </c>
      <c r="O90" s="34" t="str">
        <f aca="false">IF(G90="","",IFERROR(INDEX(I_Master!$E$6:$E$85,MATCH(G90,I_Master!$A$6:$A$85,0)),"?"))</f>
        <v>Karkas frozen</v>
      </c>
      <c r="P90" s="46" t="n">
        <f aca="false">IF(H90="","",IF(OR(A90&lt;I_Parameter!$C$5,A90&gt;I_Parameter!$C$6),0,IF(B90="Aktual",1,IF(AND(B90="Order",A90&gt;=I_Parameter!$C$4),1,0))))</f>
        <v>1</v>
      </c>
    </row>
    <row r="91" customFormat="false" ht="15" hidden="false" customHeight="false" outlineLevel="0" collapsed="false">
      <c r="A91" s="37" t="n">
        <v>46263</v>
      </c>
      <c r="B91" s="44" t="s">
        <v>462</v>
      </c>
      <c r="C91" s="44" t="s">
        <v>488</v>
      </c>
      <c r="D91" s="44" t="s">
        <v>432</v>
      </c>
      <c r="E91" s="44" t="s">
        <v>430</v>
      </c>
      <c r="F91" s="44"/>
      <c r="G91" s="34" t="str">
        <f aca="false">IF(F91&lt;&gt;"",F91,IF(E91="","",IFERROR(INDEX(I_Item!$C$6:$C$255,MATCH(E91,I_Item!$A$6:$A$255,0)),"KODE BARU")))</f>
        <v>Trading|Karkas|n/a</v>
      </c>
      <c r="H91" s="45" t="n">
        <v>323.76</v>
      </c>
      <c r="I91" s="42" t="n">
        <v>31277</v>
      </c>
      <c r="J91" s="11" t="n">
        <f aca="false">IF(H91="","",H91*I91)</f>
        <v>10126241.52</v>
      </c>
      <c r="K91" s="42"/>
      <c r="L91" s="11" t="n">
        <f aca="false">IF(H91="","",IF(K91&lt;&gt;"",K91,H91*IFERROR(INDEX(O_Stok!$Q$6:$Q$85,MATCH(G91,O_Stok!$A$6:$A$85,0)),0)))</f>
        <v>9733994.67893283</v>
      </c>
      <c r="M91" s="11" t="n">
        <f aca="false">IF(H91="","",J91-L91)</f>
        <v>392246.841067171</v>
      </c>
      <c r="N91" s="34" t="str">
        <f aca="false">IF(G91="","",IFERROR(INDEX(I_Master!$B$6:$B$85,MATCH(G91,I_Master!$A$6:$A$85,0)),"?"))</f>
        <v>Trading</v>
      </c>
      <c r="O91" s="34" t="str">
        <f aca="false">IF(G91="","",IFERROR(INDEX(I_Master!$E$6:$E$85,MATCH(G91,I_Master!$A$6:$A$85,0)),"?"))</f>
        <v>Karkas</v>
      </c>
      <c r="P91" s="46" t="n">
        <f aca="false">IF(H91="","",IF(OR(A91&lt;I_Parameter!$C$5,A91&gt;I_Parameter!$C$6),0,IF(B91="Aktual",1,IF(AND(B91="Order",A91&gt;=I_Parameter!$C$4),1,0))))</f>
        <v>1</v>
      </c>
    </row>
    <row r="92" customFormat="false" ht="15" hidden="false" customHeight="false" outlineLevel="0" collapsed="false">
      <c r="A92" s="37" t="n">
        <v>46263</v>
      </c>
      <c r="B92" s="44" t="s">
        <v>462</v>
      </c>
      <c r="C92" s="44" t="s">
        <v>491</v>
      </c>
      <c r="D92" s="44" t="s">
        <v>437</v>
      </c>
      <c r="E92" s="44" t="s">
        <v>468</v>
      </c>
      <c r="F92" s="44"/>
      <c r="G92" s="34" t="str">
        <f aca="false">IF(F92&lt;&gt;"",F92,IF(E92="","",IFERROR(INDEX(I_Item!$C$6:$C$255,MATCH(E92,I_Item!$A$6:$A$255,0)),"KODE BARU")))</f>
        <v>Trading|BLP|Frozen</v>
      </c>
      <c r="H92" s="45" t="n">
        <v>3005.8</v>
      </c>
      <c r="I92" s="42" t="n">
        <v>43086</v>
      </c>
      <c r="J92" s="11" t="n">
        <f aca="false">IF(H92="","",H92*I92)</f>
        <v>129507898.8</v>
      </c>
      <c r="K92" s="42"/>
      <c r="L92" s="11" t="n">
        <f aca="false">IF(H92="","",IF(K92&lt;&gt;"",K92,H92*IFERROR(INDEX(O_Stok!$Q$6:$Q$85,MATCH(G92,O_Stok!$A$6:$A$85,0)),0)))</f>
        <v>141869465.224277</v>
      </c>
      <c r="M92" s="11" t="n">
        <f aca="false">IF(H92="","",J92-L92)</f>
        <v>-12361566.4242769</v>
      </c>
      <c r="N92" s="34" t="str">
        <f aca="false">IF(G92="","",IFERROR(INDEX(I_Master!$B$6:$B$85,MATCH(G92,I_Master!$A$6:$A$85,0)),"?"))</f>
        <v>Trading</v>
      </c>
      <c r="O92" s="34" t="str">
        <f aca="false">IF(G92="","",IFERROR(INDEX(I_Master!$E$6:$E$85,MATCH(G92,I_Master!$A$6:$A$85,0)),"?"))</f>
        <v>BLP</v>
      </c>
      <c r="P92" s="46" t="n">
        <f aca="false">IF(H92="","",IF(OR(A92&lt;I_Parameter!$C$5,A92&gt;I_Parameter!$C$6),0,IF(B92="Aktual",1,IF(AND(B92="Order",A92&gt;=I_Parameter!$C$4),1,0))))</f>
        <v>1</v>
      </c>
    </row>
    <row r="93" customFormat="false" ht="15" hidden="false" customHeight="false" outlineLevel="0" collapsed="false">
      <c r="A93" s="37" t="n">
        <v>46263</v>
      </c>
      <c r="B93" s="44" t="s">
        <v>462</v>
      </c>
      <c r="C93" s="44" t="s">
        <v>492</v>
      </c>
      <c r="D93" s="44" t="s">
        <v>437</v>
      </c>
      <c r="E93" s="44" t="s">
        <v>468</v>
      </c>
      <c r="F93" s="44"/>
      <c r="G93" s="34" t="str">
        <f aca="false">IF(F93&lt;&gt;"",F93,IF(E93="","",IFERROR(INDEX(I_Item!$C$6:$C$255,MATCH(E93,I_Item!$A$6:$A$255,0)),"KODE BARU")))</f>
        <v>Trading|BLP|Frozen</v>
      </c>
      <c r="H93" s="45" t="n">
        <v>20</v>
      </c>
      <c r="I93" s="42" t="n">
        <v>43086</v>
      </c>
      <c r="J93" s="11" t="n">
        <f aca="false">IF(H93="","",H93*I93)</f>
        <v>861720</v>
      </c>
      <c r="K93" s="42"/>
      <c r="L93" s="11" t="n">
        <f aca="false">IF(H93="","",IF(K93&lt;&gt;"",K93,H93*IFERROR(INDEX(O_Stok!$Q$6:$Q$85,MATCH(G93,O_Stok!$A$6:$A$85,0)),0)))</f>
        <v>943971.42340992</v>
      </c>
      <c r="M93" s="11" t="n">
        <f aca="false">IF(H93="","",J93-L93)</f>
        <v>-82251.4234099201</v>
      </c>
      <c r="N93" s="34" t="str">
        <f aca="false">IF(G93="","",IFERROR(INDEX(I_Master!$B$6:$B$85,MATCH(G93,I_Master!$A$6:$A$85,0)),"?"))</f>
        <v>Trading</v>
      </c>
      <c r="O93" s="34" t="str">
        <f aca="false">IF(G93="","",IFERROR(INDEX(I_Master!$E$6:$E$85,MATCH(G93,I_Master!$A$6:$A$85,0)),"?"))</f>
        <v>BLP</v>
      </c>
      <c r="P93" s="46" t="n">
        <f aca="false">IF(H93="","",IF(OR(A93&lt;I_Parameter!$C$5,A93&gt;I_Parameter!$C$6),0,IF(B93="Aktual",1,IF(AND(B93="Order",A93&gt;=I_Parameter!$C$4),1,0))))</f>
        <v>1</v>
      </c>
    </row>
    <row r="94" customFormat="false" ht="15" hidden="false" customHeight="false" outlineLevel="0" collapsed="false">
      <c r="A94" s="37" t="n">
        <v>46263</v>
      </c>
      <c r="B94" s="44" t="s">
        <v>462</v>
      </c>
      <c r="C94" s="44" t="s">
        <v>493</v>
      </c>
      <c r="D94" s="44" t="s">
        <v>440</v>
      </c>
      <c r="E94" s="44" t="s">
        <v>441</v>
      </c>
      <c r="F94" s="44"/>
      <c r="G94" s="34" t="str">
        <f aca="false">IF(F94&lt;&gt;"",F94,IF(E94="","",IFERROR(INDEX(I_Item!$C$6:$C$255,MATCH(E94,I_Item!$A$6:$A$255,0)),"KODE BARU")))</f>
        <v>RPA|Ceker|Fresh</v>
      </c>
      <c r="H94" s="45" t="n">
        <v>123.6</v>
      </c>
      <c r="I94" s="42" t="n">
        <v>3101</v>
      </c>
      <c r="J94" s="11" t="n">
        <f aca="false">IF(H94="","",H94*I94)</f>
        <v>383283.6</v>
      </c>
      <c r="K94" s="42"/>
      <c r="L94" s="11" t="n">
        <f aca="false">IF(H94="","",IF(K94&lt;&gt;"",K94,H94*IFERROR(INDEX(O_Stok!$Q$6:$Q$85,MATCH(G94,O_Stok!$A$6:$A$85,0)),0)))</f>
        <v>1977098.39875594</v>
      </c>
      <c r="M94" s="11" t="n">
        <f aca="false">IF(H94="","",J94-L94)</f>
        <v>-1593814.79875594</v>
      </c>
      <c r="N94" s="34" t="str">
        <f aca="false">IF(G94="","",IFERROR(INDEX(I_Master!$B$6:$B$85,MATCH(G94,I_Master!$A$6:$A$85,0)),"?"))</f>
        <v>RPA</v>
      </c>
      <c r="O94" s="34" t="str">
        <f aca="false">IF(G94="","",IFERROR(INDEX(I_Master!$E$6:$E$85,MATCH(G94,I_Master!$A$6:$A$85,0)),"?"))</f>
        <v>By-product</v>
      </c>
      <c r="P94" s="46" t="n">
        <f aca="false">IF(H94="","",IF(OR(A94&lt;I_Parameter!$C$5,A94&gt;I_Parameter!$C$6),0,IF(B94="Aktual",1,IF(AND(B94="Order",A94&gt;=I_Parameter!$C$4),1,0))))</f>
        <v>1</v>
      </c>
    </row>
    <row r="95" customFormat="false" ht="15" hidden="false" customHeight="false" outlineLevel="0" collapsed="false">
      <c r="A95" s="37" t="n">
        <v>46263</v>
      </c>
      <c r="B95" s="44" t="s">
        <v>462</v>
      </c>
      <c r="C95" s="44" t="s">
        <v>493</v>
      </c>
      <c r="D95" s="44" t="s">
        <v>440</v>
      </c>
      <c r="E95" s="44" t="s">
        <v>442</v>
      </c>
      <c r="F95" s="44"/>
      <c r="G95" s="34" t="str">
        <f aca="false">IF(F95&lt;&gt;"",F95,IF(E95="","",IFERROR(INDEX(I_Item!$C$6:$C$255,MATCH(E95,I_Item!$A$6:$A$255,0)),"KODE BARU")))</f>
        <v>RPA|HJA (Hati/Jantung/Ampela)|Fresh</v>
      </c>
      <c r="H95" s="45" t="n">
        <v>255.4</v>
      </c>
      <c r="I95" s="42" t="n">
        <v>4515</v>
      </c>
      <c r="J95" s="11" t="n">
        <f aca="false">IF(H95="","",H95*I95)</f>
        <v>1153131</v>
      </c>
      <c r="K95" s="42"/>
      <c r="L95" s="11" t="n">
        <f aca="false">IF(H95="","",IF(K95&lt;&gt;"",K95,H95*IFERROR(INDEX(O_Stok!$Q$6:$Q$85,MATCH(G95,O_Stok!$A$6:$A$85,0)),0)))</f>
        <v>971949.636785714</v>
      </c>
      <c r="M95" s="11" t="n">
        <f aca="false">IF(H95="","",J95-L95)</f>
        <v>181181.363214286</v>
      </c>
      <c r="N95" s="34" t="str">
        <f aca="false">IF(G95="","",IFERROR(INDEX(I_Master!$B$6:$B$85,MATCH(G95,I_Master!$A$6:$A$85,0)),"?"))</f>
        <v>RPA</v>
      </c>
      <c r="O95" s="34" t="str">
        <f aca="false">IF(G95="","",IFERROR(INDEX(I_Master!$E$6:$E$85,MATCH(G95,I_Master!$A$6:$A$85,0)),"?"))</f>
        <v>By-product</v>
      </c>
      <c r="P95" s="46" t="n">
        <f aca="false">IF(H95="","",IF(OR(A95&lt;I_Parameter!$C$5,A95&gt;I_Parameter!$C$6),0,IF(B95="Aktual",1,IF(AND(B95="Order",A95&gt;=I_Parameter!$C$4),1,0))))</f>
        <v>1</v>
      </c>
    </row>
    <row r="96" customFormat="false" ht="15" hidden="false" customHeight="false" outlineLevel="0" collapsed="false">
      <c r="A96" s="37" t="n">
        <v>46263</v>
      </c>
      <c r="B96" s="44" t="s">
        <v>462</v>
      </c>
      <c r="C96" s="44" t="s">
        <v>493</v>
      </c>
      <c r="D96" s="44" t="s">
        <v>440</v>
      </c>
      <c r="E96" s="44" t="s">
        <v>443</v>
      </c>
      <c r="F96" s="44"/>
      <c r="G96" s="34" t="str">
        <f aca="false">IF(F96&lt;&gt;"",F96,IF(E96="","",IFERROR(INDEX(I_Item!$C$6:$C$255,MATCH(E96,I_Item!$A$6:$A$255,0)),"KODE BARU")))</f>
        <v>RPA|Kepala|Fresh</v>
      </c>
      <c r="H96" s="45" t="n">
        <v>205.2</v>
      </c>
      <c r="I96" s="42" t="n">
        <v>4029</v>
      </c>
      <c r="J96" s="11" t="n">
        <f aca="false">IF(H96="","",H96*I96)</f>
        <v>826750.8</v>
      </c>
      <c r="K96" s="42"/>
      <c r="L96" s="11" t="n">
        <f aca="false">IF(H96="","",IF(K96&lt;&gt;"",K96,H96*IFERROR(INDEX(O_Stok!$Q$6:$Q$85,MATCH(G96,O_Stok!$A$6:$A$85,0)),0)))</f>
        <v>2743128.32681636</v>
      </c>
      <c r="M96" s="11" t="n">
        <f aca="false">IF(H96="","",J96-L96)</f>
        <v>-1916377.52681636</v>
      </c>
      <c r="N96" s="34" t="str">
        <f aca="false">IF(G96="","",IFERROR(INDEX(I_Master!$B$6:$B$85,MATCH(G96,I_Master!$A$6:$A$85,0)),"?"))</f>
        <v>RPA</v>
      </c>
      <c r="O96" s="34" t="str">
        <f aca="false">IF(G96="","",IFERROR(INDEX(I_Master!$E$6:$E$85,MATCH(G96,I_Master!$A$6:$A$85,0)),"?"))</f>
        <v>By-product</v>
      </c>
      <c r="P96" s="46" t="n">
        <f aca="false">IF(H96="","",IF(OR(A96&lt;I_Parameter!$C$5,A96&gt;I_Parameter!$C$6),0,IF(B96="Aktual",1,IF(AND(B96="Order",A96&gt;=I_Parameter!$C$4),1,0))))</f>
        <v>1</v>
      </c>
    </row>
    <row r="97" customFormat="false" ht="15" hidden="false" customHeight="false" outlineLevel="0" collapsed="false">
      <c r="A97" s="37" t="n">
        <v>46263</v>
      </c>
      <c r="B97" s="44" t="s">
        <v>462</v>
      </c>
      <c r="C97" s="44" t="s">
        <v>493</v>
      </c>
      <c r="D97" s="44" t="s">
        <v>440</v>
      </c>
      <c r="E97" s="44" t="s">
        <v>444</v>
      </c>
      <c r="F97" s="44"/>
      <c r="G97" s="34" t="str">
        <f aca="false">IF(F97&lt;&gt;"",F97,IF(E97="","",IFERROR(INDEX(I_Item!$C$6:$C$255,MATCH(E97,I_Item!$A$6:$A$255,0)),"KODE BARU")))</f>
        <v>RPA|Usus|Fresh</v>
      </c>
      <c r="H97" s="45" t="n">
        <v>201</v>
      </c>
      <c r="I97" s="42" t="n">
        <v>1500</v>
      </c>
      <c r="J97" s="11" t="n">
        <f aca="false">IF(H97="","",H97*I97)</f>
        <v>301500</v>
      </c>
      <c r="K97" s="42"/>
      <c r="L97" s="11" t="n">
        <f aca="false">IF(H97="","",IF(K97&lt;&gt;"",K97,H97*IFERROR(INDEX(O_Stok!$Q$6:$Q$85,MATCH(G97,O_Stok!$A$6:$A$85,0)),0)))</f>
        <v>698616.581837109</v>
      </c>
      <c r="M97" s="11" t="n">
        <f aca="false">IF(H97="","",J97-L97)</f>
        <v>-397116.581837109</v>
      </c>
      <c r="N97" s="34" t="str">
        <f aca="false">IF(G97="","",IFERROR(INDEX(I_Master!$B$6:$B$85,MATCH(G97,I_Master!$A$6:$A$85,0)),"?"))</f>
        <v>RPA</v>
      </c>
      <c r="O97" s="34" t="str">
        <f aca="false">IF(G97="","",IFERROR(INDEX(I_Master!$E$6:$E$85,MATCH(G97,I_Master!$A$6:$A$85,0)),"?"))</f>
        <v>By-product</v>
      </c>
      <c r="P97" s="46" t="n">
        <f aca="false">IF(H97="","",IF(OR(A97&lt;I_Parameter!$C$5,A97&gt;I_Parameter!$C$6),0,IF(B97="Aktual",1,IF(AND(B97="Order",A97&gt;=I_Parameter!$C$4),1,0))))</f>
        <v>1</v>
      </c>
    </row>
    <row r="98" customFormat="false" ht="15" hidden="false" customHeight="false" outlineLevel="0" collapsed="false">
      <c r="A98" s="37" t="n">
        <v>46263</v>
      </c>
      <c r="B98" s="44" t="s">
        <v>462</v>
      </c>
      <c r="C98" s="44" t="s">
        <v>494</v>
      </c>
      <c r="D98" s="44" t="s">
        <v>440</v>
      </c>
      <c r="E98" s="44" t="s">
        <v>441</v>
      </c>
      <c r="F98" s="44"/>
      <c r="G98" s="34" t="str">
        <f aca="false">IF(F98&lt;&gt;"",F98,IF(E98="","",IFERROR(INDEX(I_Item!$C$6:$C$255,MATCH(E98,I_Item!$A$6:$A$255,0)),"KODE BARU")))</f>
        <v>RPA|Ceker|Fresh</v>
      </c>
      <c r="H98" s="45" t="n">
        <v>110.7</v>
      </c>
      <c r="I98" s="42" t="n">
        <v>3101</v>
      </c>
      <c r="J98" s="11" t="n">
        <f aca="false">IF(H98="","",H98*I98)</f>
        <v>343280.7</v>
      </c>
      <c r="K98" s="42"/>
      <c r="L98" s="11" t="n">
        <f aca="false">IF(H98="","",IF(K98&lt;&gt;"",K98,H98*IFERROR(INDEX(O_Stok!$Q$6:$Q$85,MATCH(G98,O_Stok!$A$6:$A$85,0)),0)))</f>
        <v>1770750.7503421</v>
      </c>
      <c r="M98" s="11" t="n">
        <f aca="false">IF(H98="","",J98-L98)</f>
        <v>-1427470.0503421</v>
      </c>
      <c r="N98" s="34" t="str">
        <f aca="false">IF(G98="","",IFERROR(INDEX(I_Master!$B$6:$B$85,MATCH(G98,I_Master!$A$6:$A$85,0)),"?"))</f>
        <v>RPA</v>
      </c>
      <c r="O98" s="34" t="str">
        <f aca="false">IF(G98="","",IFERROR(INDEX(I_Master!$E$6:$E$85,MATCH(G98,I_Master!$A$6:$A$85,0)),"?"))</f>
        <v>By-product</v>
      </c>
      <c r="P98" s="46" t="n">
        <f aca="false">IF(H98="","",IF(OR(A98&lt;I_Parameter!$C$5,A98&gt;I_Parameter!$C$6),0,IF(B98="Aktual",1,IF(AND(B98="Order",A98&gt;=I_Parameter!$C$4),1,0))))</f>
        <v>1</v>
      </c>
    </row>
    <row r="99" customFormat="false" ht="15" hidden="false" customHeight="false" outlineLevel="0" collapsed="false">
      <c r="A99" s="37" t="n">
        <v>46263</v>
      </c>
      <c r="B99" s="44" t="s">
        <v>462</v>
      </c>
      <c r="C99" s="44" t="s">
        <v>494</v>
      </c>
      <c r="D99" s="44" t="s">
        <v>440</v>
      </c>
      <c r="E99" s="44" t="s">
        <v>442</v>
      </c>
      <c r="F99" s="44"/>
      <c r="G99" s="34" t="str">
        <f aca="false">IF(F99&lt;&gt;"",F99,IF(E99="","",IFERROR(INDEX(I_Item!$C$6:$C$255,MATCH(E99,I_Item!$A$6:$A$255,0)),"KODE BARU")))</f>
        <v>RPA|HJA (Hati/Jantung/Ampela)|Fresh</v>
      </c>
      <c r="H99" s="45" t="n">
        <v>184.1</v>
      </c>
      <c r="I99" s="42" t="n">
        <v>4515</v>
      </c>
      <c r="J99" s="11" t="n">
        <f aca="false">IF(H99="","",H99*I99)</f>
        <v>831211.5</v>
      </c>
      <c r="K99" s="42"/>
      <c r="L99" s="11" t="n">
        <f aca="false">IF(H99="","",IF(K99&lt;&gt;"",K99,H99*IFERROR(INDEX(O_Stok!$Q$6:$Q$85,MATCH(G99,O_Stok!$A$6:$A$85,0)),0)))</f>
        <v>700610.525185004</v>
      </c>
      <c r="M99" s="11" t="n">
        <f aca="false">IF(H99="","",J99-L99)</f>
        <v>130600.974814996</v>
      </c>
      <c r="N99" s="34" t="str">
        <f aca="false">IF(G99="","",IFERROR(INDEX(I_Master!$B$6:$B$85,MATCH(G99,I_Master!$A$6:$A$85,0)),"?"))</f>
        <v>RPA</v>
      </c>
      <c r="O99" s="34" t="str">
        <f aca="false">IF(G99="","",IFERROR(INDEX(I_Master!$E$6:$E$85,MATCH(G99,I_Master!$A$6:$A$85,0)),"?"))</f>
        <v>By-product</v>
      </c>
      <c r="P99" s="46" t="n">
        <f aca="false">IF(H99="","",IF(OR(A99&lt;I_Parameter!$C$5,A99&gt;I_Parameter!$C$6),0,IF(B99="Aktual",1,IF(AND(B99="Order",A99&gt;=I_Parameter!$C$4),1,0))))</f>
        <v>1</v>
      </c>
    </row>
    <row r="100" customFormat="false" ht="15" hidden="false" customHeight="false" outlineLevel="0" collapsed="false">
      <c r="A100" s="37" t="n">
        <v>46263</v>
      </c>
      <c r="B100" s="44" t="s">
        <v>462</v>
      </c>
      <c r="C100" s="44" t="s">
        <v>494</v>
      </c>
      <c r="D100" s="44" t="s">
        <v>440</v>
      </c>
      <c r="E100" s="44" t="s">
        <v>443</v>
      </c>
      <c r="F100" s="44"/>
      <c r="G100" s="34" t="str">
        <f aca="false">IF(F100&lt;&gt;"",F100,IF(E100="","",IFERROR(INDEX(I_Item!$C$6:$C$255,MATCH(E100,I_Item!$A$6:$A$255,0)),"KODE BARU")))</f>
        <v>RPA|Kepala|Fresh</v>
      </c>
      <c r="H100" s="45" t="n">
        <v>162</v>
      </c>
      <c r="I100" s="42" t="n">
        <v>4029</v>
      </c>
      <c r="J100" s="11" t="n">
        <f aca="false">IF(H100="","",H100*I100)</f>
        <v>652698</v>
      </c>
      <c r="K100" s="42"/>
      <c r="L100" s="11" t="n">
        <f aca="false">IF(H100="","",IF(K100&lt;&gt;"",K100,H100*IFERROR(INDEX(O_Stok!$Q$6:$Q$85,MATCH(G100,O_Stok!$A$6:$A$85,0)),0)))</f>
        <v>2165627.62643397</v>
      </c>
      <c r="M100" s="11" t="n">
        <f aca="false">IF(H100="","",J100-L100)</f>
        <v>-1512929.62643397</v>
      </c>
      <c r="N100" s="34" t="str">
        <f aca="false">IF(G100="","",IFERROR(INDEX(I_Master!$B$6:$B$85,MATCH(G100,I_Master!$A$6:$A$85,0)),"?"))</f>
        <v>RPA</v>
      </c>
      <c r="O100" s="34" t="str">
        <f aca="false">IF(G100="","",IFERROR(INDEX(I_Master!$E$6:$E$85,MATCH(G100,I_Master!$A$6:$A$85,0)),"?"))</f>
        <v>By-product</v>
      </c>
      <c r="P100" s="46" t="n">
        <f aca="false">IF(H100="","",IF(OR(A100&lt;I_Parameter!$C$5,A100&gt;I_Parameter!$C$6),0,IF(B100="Aktual",1,IF(AND(B100="Order",A100&gt;=I_Parameter!$C$4),1,0))))</f>
        <v>1</v>
      </c>
    </row>
    <row r="101" customFormat="false" ht="15" hidden="false" customHeight="false" outlineLevel="0" collapsed="false">
      <c r="A101" s="37" t="n">
        <v>46263</v>
      </c>
      <c r="B101" s="44" t="s">
        <v>462</v>
      </c>
      <c r="C101" s="44" t="s">
        <v>494</v>
      </c>
      <c r="D101" s="44" t="s">
        <v>440</v>
      </c>
      <c r="E101" s="44" t="s">
        <v>444</v>
      </c>
      <c r="F101" s="44"/>
      <c r="G101" s="34" t="str">
        <f aca="false">IF(F101&lt;&gt;"",F101,IF(E101="","",IFERROR(INDEX(I_Item!$C$6:$C$255,MATCH(E101,I_Item!$A$6:$A$255,0)),"KODE BARU")))</f>
        <v>RPA|Usus|Fresh</v>
      </c>
      <c r="H101" s="45" t="n">
        <v>169.3</v>
      </c>
      <c r="I101" s="42" t="n">
        <v>1500</v>
      </c>
      <c r="J101" s="11" t="n">
        <f aca="false">IF(H101="","",H101*I101)</f>
        <v>253950</v>
      </c>
      <c r="K101" s="42"/>
      <c r="L101" s="11" t="n">
        <f aca="false">IF(H101="","",IF(K101&lt;&gt;"",K101,H101*IFERROR(INDEX(O_Stok!$Q$6:$Q$85,MATCH(G101,O_Stok!$A$6:$A$85,0)),0)))</f>
        <v>588436.752761307</v>
      </c>
      <c r="M101" s="11" t="n">
        <f aca="false">IF(H101="","",J101-L101)</f>
        <v>-334486.752761307</v>
      </c>
      <c r="N101" s="34" t="str">
        <f aca="false">IF(G101="","",IFERROR(INDEX(I_Master!$B$6:$B$85,MATCH(G101,I_Master!$A$6:$A$85,0)),"?"))</f>
        <v>RPA</v>
      </c>
      <c r="O101" s="34" t="str">
        <f aca="false">IF(G101="","",IFERROR(INDEX(I_Master!$E$6:$E$85,MATCH(G101,I_Master!$A$6:$A$85,0)),"?"))</f>
        <v>By-product</v>
      </c>
      <c r="P101" s="46" t="n">
        <f aca="false">IF(H101="","",IF(OR(A101&lt;I_Parameter!$C$5,A101&gt;I_Parameter!$C$6),0,IF(B101="Aktual",1,IF(AND(B101="Order",A101&gt;=I_Parameter!$C$4),1,0))))</f>
        <v>1</v>
      </c>
    </row>
    <row r="102" customFormat="false" ht="15" hidden="false" customHeight="false" outlineLevel="0" collapsed="false">
      <c r="A102" s="37" t="n">
        <v>46263</v>
      </c>
      <c r="B102" s="44" t="s">
        <v>462</v>
      </c>
      <c r="C102" s="44" t="s">
        <v>495</v>
      </c>
      <c r="D102" s="44" t="s">
        <v>440</v>
      </c>
      <c r="E102" s="44" t="s">
        <v>441</v>
      </c>
      <c r="F102" s="44"/>
      <c r="G102" s="34" t="str">
        <f aca="false">IF(F102&lt;&gt;"",F102,IF(E102="","",IFERROR(INDEX(I_Item!$C$6:$C$255,MATCH(E102,I_Item!$A$6:$A$255,0)),"KODE BARU")))</f>
        <v>RPA|Ceker|Fresh</v>
      </c>
      <c r="H102" s="45" t="n">
        <v>91.3</v>
      </c>
      <c r="I102" s="42" t="n">
        <v>3101</v>
      </c>
      <c r="J102" s="11" t="n">
        <f aca="false">IF(H102="","",H102*I102)</f>
        <v>283121.3</v>
      </c>
      <c r="K102" s="42"/>
      <c r="L102" s="11" t="n">
        <f aca="false">IF(H102="","",IF(K102&lt;&gt;"",K102,H102*IFERROR(INDEX(O_Stok!$Q$6:$Q$85,MATCH(G102,O_Stok!$A$6:$A$85,0)),0)))</f>
        <v>1460429.48063445</v>
      </c>
      <c r="M102" s="11" t="n">
        <f aca="false">IF(H102="","",J102-L102)</f>
        <v>-1177308.18063445</v>
      </c>
      <c r="N102" s="34" t="str">
        <f aca="false">IF(G102="","",IFERROR(INDEX(I_Master!$B$6:$B$85,MATCH(G102,I_Master!$A$6:$A$85,0)),"?"))</f>
        <v>RPA</v>
      </c>
      <c r="O102" s="34" t="str">
        <f aca="false">IF(G102="","",IFERROR(INDEX(I_Master!$E$6:$E$85,MATCH(G102,I_Master!$A$6:$A$85,0)),"?"))</f>
        <v>By-product</v>
      </c>
      <c r="P102" s="46" t="n">
        <f aca="false">IF(H102="","",IF(OR(A102&lt;I_Parameter!$C$5,A102&gt;I_Parameter!$C$6),0,IF(B102="Aktual",1,IF(AND(B102="Order",A102&gt;=I_Parameter!$C$4),1,0))))</f>
        <v>1</v>
      </c>
    </row>
    <row r="103" customFormat="false" ht="15" hidden="false" customHeight="false" outlineLevel="0" collapsed="false">
      <c r="A103" s="37" t="n">
        <v>46263</v>
      </c>
      <c r="B103" s="44" t="s">
        <v>462</v>
      </c>
      <c r="C103" s="44" t="s">
        <v>495</v>
      </c>
      <c r="D103" s="44" t="s">
        <v>440</v>
      </c>
      <c r="E103" s="44" t="s">
        <v>442</v>
      </c>
      <c r="F103" s="44"/>
      <c r="G103" s="34" t="str">
        <f aca="false">IF(F103&lt;&gt;"",F103,IF(E103="","",IFERROR(INDEX(I_Item!$C$6:$C$255,MATCH(E103,I_Item!$A$6:$A$255,0)),"KODE BARU")))</f>
        <v>RPA|HJA (Hati/Jantung/Ampela)|Fresh</v>
      </c>
      <c r="H103" s="45" t="n">
        <v>172.8</v>
      </c>
      <c r="I103" s="42" t="n">
        <v>4515</v>
      </c>
      <c r="J103" s="11" t="n">
        <f aca="false">IF(H103="","",H103*I103)</f>
        <v>780192</v>
      </c>
      <c r="K103" s="42"/>
      <c r="L103" s="11" t="n">
        <f aca="false">IF(H103="","",IF(K103&lt;&gt;"",K103,H103*IFERROR(INDEX(O_Stok!$Q$6:$Q$85,MATCH(G103,O_Stok!$A$6:$A$85,0)),0)))</f>
        <v>657607.271873811</v>
      </c>
      <c r="M103" s="11" t="n">
        <f aca="false">IF(H103="","",J103-L103)</f>
        <v>122584.728126189</v>
      </c>
      <c r="N103" s="34" t="str">
        <f aca="false">IF(G103="","",IFERROR(INDEX(I_Master!$B$6:$B$85,MATCH(G103,I_Master!$A$6:$A$85,0)),"?"))</f>
        <v>RPA</v>
      </c>
      <c r="O103" s="34" t="str">
        <f aca="false">IF(G103="","",IFERROR(INDEX(I_Master!$E$6:$E$85,MATCH(G103,I_Master!$A$6:$A$85,0)),"?"))</f>
        <v>By-product</v>
      </c>
      <c r="P103" s="46" t="n">
        <f aca="false">IF(H103="","",IF(OR(A103&lt;I_Parameter!$C$5,A103&gt;I_Parameter!$C$6),0,IF(B103="Aktual",1,IF(AND(B103="Order",A103&gt;=I_Parameter!$C$4),1,0))))</f>
        <v>1</v>
      </c>
    </row>
    <row r="104" customFormat="false" ht="15" hidden="false" customHeight="false" outlineLevel="0" collapsed="false">
      <c r="A104" s="37" t="n">
        <v>46263</v>
      </c>
      <c r="B104" s="44" t="s">
        <v>462</v>
      </c>
      <c r="C104" s="44" t="s">
        <v>495</v>
      </c>
      <c r="D104" s="44" t="s">
        <v>440</v>
      </c>
      <c r="E104" s="44" t="s">
        <v>443</v>
      </c>
      <c r="F104" s="44"/>
      <c r="G104" s="34" t="str">
        <f aca="false">IF(F104&lt;&gt;"",F104,IF(E104="","",IFERROR(INDEX(I_Item!$C$6:$C$255,MATCH(E104,I_Item!$A$6:$A$255,0)),"KODE BARU")))</f>
        <v>RPA|Kepala|Fresh</v>
      </c>
      <c r="H104" s="45" t="n">
        <v>151.2</v>
      </c>
      <c r="I104" s="42" t="n">
        <v>4029</v>
      </c>
      <c r="J104" s="11" t="n">
        <f aca="false">IF(H104="","",H104*I104)</f>
        <v>609184.8</v>
      </c>
      <c r="K104" s="42"/>
      <c r="L104" s="11" t="n">
        <f aca="false">IF(H104="","",IF(K104&lt;&gt;"",K104,H104*IFERROR(INDEX(O_Stok!$Q$6:$Q$85,MATCH(G104,O_Stok!$A$6:$A$85,0)),0)))</f>
        <v>2021252.45133837</v>
      </c>
      <c r="M104" s="11" t="n">
        <f aca="false">IF(H104="","",J104-L104)</f>
        <v>-1412067.65133837</v>
      </c>
      <c r="N104" s="34" t="str">
        <f aca="false">IF(G104="","",IFERROR(INDEX(I_Master!$B$6:$B$85,MATCH(G104,I_Master!$A$6:$A$85,0)),"?"))</f>
        <v>RPA</v>
      </c>
      <c r="O104" s="34" t="str">
        <f aca="false">IF(G104="","",IFERROR(INDEX(I_Master!$E$6:$E$85,MATCH(G104,I_Master!$A$6:$A$85,0)),"?"))</f>
        <v>By-product</v>
      </c>
      <c r="P104" s="46" t="n">
        <f aca="false">IF(H104="","",IF(OR(A104&lt;I_Parameter!$C$5,A104&gt;I_Parameter!$C$6),0,IF(B104="Aktual",1,IF(AND(B104="Order",A104&gt;=I_Parameter!$C$4),1,0))))</f>
        <v>1</v>
      </c>
    </row>
    <row r="105" customFormat="false" ht="15" hidden="false" customHeight="false" outlineLevel="0" collapsed="false">
      <c r="A105" s="37" t="n">
        <v>46263</v>
      </c>
      <c r="B105" s="44" t="s">
        <v>462</v>
      </c>
      <c r="C105" s="44" t="s">
        <v>495</v>
      </c>
      <c r="D105" s="44" t="s">
        <v>440</v>
      </c>
      <c r="E105" s="44" t="s">
        <v>444</v>
      </c>
      <c r="F105" s="44"/>
      <c r="G105" s="34" t="str">
        <f aca="false">IF(F105&lt;&gt;"",F105,IF(E105="","",IFERROR(INDEX(I_Item!$C$6:$C$255,MATCH(E105,I_Item!$A$6:$A$255,0)),"KODE BARU")))</f>
        <v>RPA|Usus|Fresh</v>
      </c>
      <c r="H105" s="45" t="n">
        <v>144.6</v>
      </c>
      <c r="I105" s="42" t="n">
        <v>1500</v>
      </c>
      <c r="J105" s="11" t="n">
        <f aca="false">IF(H105="","",H105*I105)</f>
        <v>216900</v>
      </c>
      <c r="K105" s="42"/>
      <c r="L105" s="11" t="n">
        <f aca="false">IF(H105="","",IF(K105&lt;&gt;"",K105,H105*IFERROR(INDEX(O_Stok!$Q$6:$Q$85,MATCH(G105,O_Stok!$A$6:$A$85,0)),0)))</f>
        <v>502586.854396249</v>
      </c>
      <c r="M105" s="11" t="n">
        <f aca="false">IF(H105="","",J105-L105)</f>
        <v>-285686.854396249</v>
      </c>
      <c r="N105" s="34" t="str">
        <f aca="false">IF(G105="","",IFERROR(INDEX(I_Master!$B$6:$B$85,MATCH(G105,I_Master!$A$6:$A$85,0)),"?"))</f>
        <v>RPA</v>
      </c>
      <c r="O105" s="34" t="str">
        <f aca="false">IF(G105="","",IFERROR(INDEX(I_Master!$E$6:$E$85,MATCH(G105,I_Master!$A$6:$A$85,0)),"?"))</f>
        <v>By-product</v>
      </c>
      <c r="P105" s="46" t="n">
        <f aca="false">IF(H105="","",IF(OR(A105&lt;I_Parameter!$C$5,A105&gt;I_Parameter!$C$6),0,IF(B105="Aktual",1,IF(AND(B105="Order",A105&gt;=I_Parameter!$C$4),1,0))))</f>
        <v>1</v>
      </c>
    </row>
    <row r="106" customFormat="false" ht="15" hidden="false" customHeight="false" outlineLevel="0" collapsed="false">
      <c r="A106" s="37" t="n">
        <v>46263</v>
      </c>
      <c r="B106" s="44" t="s">
        <v>462</v>
      </c>
      <c r="C106" s="44" t="s">
        <v>496</v>
      </c>
      <c r="D106" s="44" t="s">
        <v>440</v>
      </c>
      <c r="E106" s="44" t="s">
        <v>497</v>
      </c>
      <c r="F106" s="44"/>
      <c r="G106" s="34" t="str">
        <f aca="false">IF(F106&lt;&gt;"",F106,IF(E106="","",IFERROR(INDEX(I_Item!$C$6:$C$255,MATCH(E106,I_Item!$A$6:$A$255,0)),"KODE BARU")))</f>
        <v>RPA|Karkas|Frozen</v>
      </c>
      <c r="H106" s="45" t="n">
        <v>15</v>
      </c>
      <c r="I106" s="42" t="n">
        <v>31658</v>
      </c>
      <c r="J106" s="11" t="n">
        <f aca="false">IF(H106="","",H106*I106)</f>
        <v>474870</v>
      </c>
      <c r="K106" s="42"/>
      <c r="L106" s="11" t="n">
        <f aca="false">IF(H106="","",IF(K106&lt;&gt;"",K106,H106*IFERROR(INDEX(O_Stok!$Q$6:$Q$85,MATCH(G106,O_Stok!$A$6:$A$85,0)),0)))</f>
        <v>527301.584803809</v>
      </c>
      <c r="M106" s="11" t="n">
        <f aca="false">IF(H106="","",J106-L106)</f>
        <v>-52431.5848038089</v>
      </c>
      <c r="N106" s="34" t="str">
        <f aca="false">IF(G106="","",IFERROR(INDEX(I_Master!$B$6:$B$85,MATCH(G106,I_Master!$A$6:$A$85,0)),"?"))</f>
        <v>RPA</v>
      </c>
      <c r="O106" s="34" t="str">
        <f aca="false">IF(G106="","",IFERROR(INDEX(I_Master!$E$6:$E$85,MATCH(G106,I_Master!$A$6:$A$85,0)),"?"))</f>
        <v>Karkas frozen</v>
      </c>
      <c r="P106" s="46" t="n">
        <f aca="false">IF(H106="","",IF(OR(A106&lt;I_Parameter!$C$5,A106&gt;I_Parameter!$C$6),0,IF(B106="Aktual",1,IF(AND(B106="Order",A106&gt;=I_Parameter!$C$4),1,0))))</f>
        <v>1</v>
      </c>
    </row>
    <row r="107" customFormat="false" ht="15" hidden="false" customHeight="false" outlineLevel="0" collapsed="false">
      <c r="A107" s="37" t="n">
        <v>46263</v>
      </c>
      <c r="B107" s="44" t="s">
        <v>462</v>
      </c>
      <c r="C107" s="44" t="s">
        <v>498</v>
      </c>
      <c r="D107" s="44" t="s">
        <v>440</v>
      </c>
      <c r="E107" s="44" t="s">
        <v>441</v>
      </c>
      <c r="F107" s="44"/>
      <c r="G107" s="34" t="str">
        <f aca="false">IF(F107&lt;&gt;"",F107,IF(E107="","",IFERROR(INDEX(I_Item!$C$6:$C$255,MATCH(E107,I_Item!$A$6:$A$255,0)),"KODE BARU")))</f>
        <v>RPA|Ceker|Fresh</v>
      </c>
      <c r="H107" s="45" t="n">
        <v>110.3</v>
      </c>
      <c r="I107" s="42" t="n">
        <v>3101</v>
      </c>
      <c r="J107" s="11" t="n">
        <f aca="false">IF(H107="","",H107*I107)</f>
        <v>342040.3</v>
      </c>
      <c r="K107" s="42"/>
      <c r="L107" s="11" t="n">
        <f aca="false">IF(H107="","",IF(K107&lt;&gt;"",K107,H107*IFERROR(INDEX(O_Stok!$Q$6:$Q$85,MATCH(G107,O_Stok!$A$6:$A$85,0)),0)))</f>
        <v>1764352.37364709</v>
      </c>
      <c r="M107" s="11" t="n">
        <f aca="false">IF(H107="","",J107-L107)</f>
        <v>-1422312.07364709</v>
      </c>
      <c r="N107" s="34" t="str">
        <f aca="false">IF(G107="","",IFERROR(INDEX(I_Master!$B$6:$B$85,MATCH(G107,I_Master!$A$6:$A$85,0)),"?"))</f>
        <v>RPA</v>
      </c>
      <c r="O107" s="34" t="str">
        <f aca="false">IF(G107="","",IFERROR(INDEX(I_Master!$E$6:$E$85,MATCH(G107,I_Master!$A$6:$A$85,0)),"?"))</f>
        <v>By-product</v>
      </c>
      <c r="P107" s="46" t="n">
        <f aca="false">IF(H107="","",IF(OR(A107&lt;I_Parameter!$C$5,A107&gt;I_Parameter!$C$6),0,IF(B107="Aktual",1,IF(AND(B107="Order",A107&gt;=I_Parameter!$C$4),1,0))))</f>
        <v>1</v>
      </c>
    </row>
    <row r="108" customFormat="false" ht="15" hidden="false" customHeight="false" outlineLevel="0" collapsed="false">
      <c r="A108" s="37" t="n">
        <v>46263</v>
      </c>
      <c r="B108" s="44" t="s">
        <v>462</v>
      </c>
      <c r="C108" s="44" t="s">
        <v>498</v>
      </c>
      <c r="D108" s="44" t="s">
        <v>440</v>
      </c>
      <c r="E108" s="44" t="s">
        <v>442</v>
      </c>
      <c r="F108" s="44"/>
      <c r="G108" s="34" t="str">
        <f aca="false">IF(F108&lt;&gt;"",F108,IF(E108="","",IFERROR(INDEX(I_Item!$C$6:$C$255,MATCH(E108,I_Item!$A$6:$A$255,0)),"KODE BARU")))</f>
        <v>RPA|HJA (Hati/Jantung/Ampela)|Fresh</v>
      </c>
      <c r="H108" s="45" t="n">
        <v>221.1</v>
      </c>
      <c r="I108" s="42" t="n">
        <v>4515</v>
      </c>
      <c r="J108" s="11" t="n">
        <f aca="false">IF(H108="","",H108*I108)</f>
        <v>998266.5</v>
      </c>
      <c r="K108" s="42"/>
      <c r="L108" s="11" t="n">
        <f aca="false">IF(H108="","",IF(K108&lt;&gt;"",K108,H108*IFERROR(INDEX(O_Stok!$Q$6:$Q$85,MATCH(G108,O_Stok!$A$6:$A$85,0)),0)))</f>
        <v>841417.637796873</v>
      </c>
      <c r="M108" s="11" t="n">
        <f aca="false">IF(H108="","",J108-L108)</f>
        <v>156848.862203127</v>
      </c>
      <c r="N108" s="34" t="str">
        <f aca="false">IF(G108="","",IFERROR(INDEX(I_Master!$B$6:$B$85,MATCH(G108,I_Master!$A$6:$A$85,0)),"?"))</f>
        <v>RPA</v>
      </c>
      <c r="O108" s="34" t="str">
        <f aca="false">IF(G108="","",IFERROR(INDEX(I_Master!$E$6:$E$85,MATCH(G108,I_Master!$A$6:$A$85,0)),"?"))</f>
        <v>By-product</v>
      </c>
      <c r="P108" s="46" t="n">
        <f aca="false">IF(H108="","",IF(OR(A108&lt;I_Parameter!$C$5,A108&gt;I_Parameter!$C$6),0,IF(B108="Aktual",1,IF(AND(B108="Order",A108&gt;=I_Parameter!$C$4),1,0))))</f>
        <v>1</v>
      </c>
    </row>
    <row r="109" customFormat="false" ht="15" hidden="false" customHeight="false" outlineLevel="0" collapsed="false">
      <c r="A109" s="37" t="n">
        <v>46263</v>
      </c>
      <c r="B109" s="44" t="s">
        <v>462</v>
      </c>
      <c r="C109" s="44" t="s">
        <v>498</v>
      </c>
      <c r="D109" s="44" t="s">
        <v>440</v>
      </c>
      <c r="E109" s="44" t="s">
        <v>443</v>
      </c>
      <c r="F109" s="44"/>
      <c r="G109" s="34" t="str">
        <f aca="false">IF(F109&lt;&gt;"",F109,IF(E109="","",IFERROR(INDEX(I_Item!$C$6:$C$255,MATCH(E109,I_Item!$A$6:$A$255,0)),"KODE BARU")))</f>
        <v>RPA|Kepala|Fresh</v>
      </c>
      <c r="H109" s="45" t="n">
        <v>168.3</v>
      </c>
      <c r="I109" s="42" t="n">
        <v>4029</v>
      </c>
      <c r="J109" s="11" t="n">
        <f aca="false">IF(H109="","",H109*I109)</f>
        <v>678080.7</v>
      </c>
      <c r="K109" s="42"/>
      <c r="L109" s="11" t="n">
        <f aca="false">IF(H109="","",IF(K109&lt;&gt;"",K109,H109*IFERROR(INDEX(O_Stok!$Q$6:$Q$85,MATCH(G109,O_Stok!$A$6:$A$85,0)),0)))</f>
        <v>2249846.47857307</v>
      </c>
      <c r="M109" s="11" t="n">
        <f aca="false">IF(H109="","",J109-L109)</f>
        <v>-1571765.77857307</v>
      </c>
      <c r="N109" s="34" t="str">
        <f aca="false">IF(G109="","",IFERROR(INDEX(I_Master!$B$6:$B$85,MATCH(G109,I_Master!$A$6:$A$85,0)),"?"))</f>
        <v>RPA</v>
      </c>
      <c r="O109" s="34" t="str">
        <f aca="false">IF(G109="","",IFERROR(INDEX(I_Master!$E$6:$E$85,MATCH(G109,I_Master!$A$6:$A$85,0)),"?"))</f>
        <v>By-product</v>
      </c>
      <c r="P109" s="46" t="n">
        <f aca="false">IF(H109="","",IF(OR(A109&lt;I_Parameter!$C$5,A109&gt;I_Parameter!$C$6),0,IF(B109="Aktual",1,IF(AND(B109="Order",A109&gt;=I_Parameter!$C$4),1,0))))</f>
        <v>1</v>
      </c>
    </row>
    <row r="110" customFormat="false" ht="15" hidden="false" customHeight="false" outlineLevel="0" collapsed="false">
      <c r="A110" s="37" t="n">
        <v>46263</v>
      </c>
      <c r="B110" s="44" t="s">
        <v>462</v>
      </c>
      <c r="C110" s="44" t="s">
        <v>498</v>
      </c>
      <c r="D110" s="44" t="s">
        <v>440</v>
      </c>
      <c r="E110" s="44" t="s">
        <v>444</v>
      </c>
      <c r="F110" s="44"/>
      <c r="G110" s="34" t="str">
        <f aca="false">IF(F110&lt;&gt;"",F110,IF(E110="","",IFERROR(INDEX(I_Item!$C$6:$C$255,MATCH(E110,I_Item!$A$6:$A$255,0)),"KODE BARU")))</f>
        <v>RPA|Usus|Fresh</v>
      </c>
      <c r="H110" s="45" t="n">
        <v>179.5</v>
      </c>
      <c r="I110" s="42" t="n">
        <v>1500</v>
      </c>
      <c r="J110" s="11" t="n">
        <f aca="false">IF(H110="","",H110*I110)</f>
        <v>269250</v>
      </c>
      <c r="K110" s="42"/>
      <c r="L110" s="11" t="n">
        <f aca="false">IF(H110="","",IF(K110&lt;&gt;"",K110,H110*IFERROR(INDEX(O_Stok!$Q$6:$Q$85,MATCH(G110,O_Stok!$A$6:$A$85,0)),0)))</f>
        <v>623888.937511249</v>
      </c>
      <c r="M110" s="11" t="n">
        <f aca="false">IF(H110="","",J110-L110)</f>
        <v>-354638.937511249</v>
      </c>
      <c r="N110" s="34" t="str">
        <f aca="false">IF(G110="","",IFERROR(INDEX(I_Master!$B$6:$B$85,MATCH(G110,I_Master!$A$6:$A$85,0)),"?"))</f>
        <v>RPA</v>
      </c>
      <c r="O110" s="34" t="str">
        <f aca="false">IF(G110="","",IFERROR(INDEX(I_Master!$E$6:$E$85,MATCH(G110,I_Master!$A$6:$A$85,0)),"?"))</f>
        <v>By-product</v>
      </c>
      <c r="P110" s="46" t="n">
        <f aca="false">IF(H110="","",IF(OR(A110&lt;I_Parameter!$C$5,A110&gt;I_Parameter!$C$6),0,IF(B110="Aktual",1,IF(AND(B110="Order",A110&gt;=I_Parameter!$C$4),1,0))))</f>
        <v>1</v>
      </c>
    </row>
    <row r="111" customFormat="false" ht="15" hidden="false" customHeight="false" outlineLevel="0" collapsed="false">
      <c r="A111" s="37" t="n">
        <v>46263</v>
      </c>
      <c r="B111" s="44" t="s">
        <v>462</v>
      </c>
      <c r="C111" s="44" t="s">
        <v>499</v>
      </c>
      <c r="D111" s="44" t="s">
        <v>440</v>
      </c>
      <c r="E111" s="44" t="s">
        <v>441</v>
      </c>
      <c r="F111" s="44"/>
      <c r="G111" s="34" t="str">
        <f aca="false">IF(F111&lt;&gt;"",F111,IF(E111="","",IFERROR(INDEX(I_Item!$C$6:$C$255,MATCH(E111,I_Item!$A$6:$A$255,0)),"KODE BARU")))</f>
        <v>RPA|Ceker|Fresh</v>
      </c>
      <c r="H111" s="45" t="n">
        <v>102.3</v>
      </c>
      <c r="I111" s="42" t="n">
        <v>3101</v>
      </c>
      <c r="J111" s="11" t="n">
        <f aca="false">IF(H111="","",H111*I111)</f>
        <v>317232.3</v>
      </c>
      <c r="K111" s="42"/>
      <c r="L111" s="11" t="n">
        <f aca="false">IF(H111="","",IF(K111&lt;&gt;"",K111,H111*IFERROR(INDEX(O_Stok!$Q$6:$Q$85,MATCH(G111,O_Stok!$A$6:$A$85,0)),0)))</f>
        <v>1636384.83974703</v>
      </c>
      <c r="M111" s="11" t="n">
        <f aca="false">IF(H111="","",J111-L111)</f>
        <v>-1319152.53974703</v>
      </c>
      <c r="N111" s="34" t="str">
        <f aca="false">IF(G111="","",IFERROR(INDEX(I_Master!$B$6:$B$85,MATCH(G111,I_Master!$A$6:$A$85,0)),"?"))</f>
        <v>RPA</v>
      </c>
      <c r="O111" s="34" t="str">
        <f aca="false">IF(G111="","",IFERROR(INDEX(I_Master!$E$6:$E$85,MATCH(G111,I_Master!$A$6:$A$85,0)),"?"))</f>
        <v>By-product</v>
      </c>
      <c r="P111" s="46" t="n">
        <f aca="false">IF(H111="","",IF(OR(A111&lt;I_Parameter!$C$5,A111&gt;I_Parameter!$C$6),0,IF(B111="Aktual",1,IF(AND(B111="Order",A111&gt;=I_Parameter!$C$4),1,0))))</f>
        <v>1</v>
      </c>
    </row>
    <row r="112" customFormat="false" ht="15" hidden="false" customHeight="false" outlineLevel="0" collapsed="false">
      <c r="A112" s="37" t="n">
        <v>46263</v>
      </c>
      <c r="B112" s="44" t="s">
        <v>462</v>
      </c>
      <c r="C112" s="44" t="s">
        <v>499</v>
      </c>
      <c r="D112" s="44" t="s">
        <v>440</v>
      </c>
      <c r="E112" s="44" t="s">
        <v>442</v>
      </c>
      <c r="F112" s="44"/>
      <c r="G112" s="34" t="str">
        <f aca="false">IF(F112&lt;&gt;"",F112,IF(E112="","",IFERROR(INDEX(I_Item!$C$6:$C$255,MATCH(E112,I_Item!$A$6:$A$255,0)),"KODE BARU")))</f>
        <v>RPA|HJA (Hati/Jantung/Ampela)|Fresh</v>
      </c>
      <c r="H112" s="45" t="n">
        <v>214.7</v>
      </c>
      <c r="I112" s="42" t="n">
        <v>4515</v>
      </c>
      <c r="J112" s="11" t="n">
        <f aca="false">IF(H112="","",H112*I112)</f>
        <v>969370.5</v>
      </c>
      <c r="K112" s="42"/>
      <c r="L112" s="11" t="n">
        <f aca="false">IF(H112="","",IF(K112&lt;&gt;"",K112,H112*IFERROR(INDEX(O_Stok!$Q$6:$Q$85,MATCH(G112,O_Stok!$A$6:$A$85,0)),0)))</f>
        <v>817061.812912658</v>
      </c>
      <c r="M112" s="11" t="n">
        <f aca="false">IF(H112="","",J112-L112)</f>
        <v>152308.687087342</v>
      </c>
      <c r="N112" s="34" t="str">
        <f aca="false">IF(G112="","",IFERROR(INDEX(I_Master!$B$6:$B$85,MATCH(G112,I_Master!$A$6:$A$85,0)),"?"))</f>
        <v>RPA</v>
      </c>
      <c r="O112" s="34" t="str">
        <f aca="false">IF(G112="","",IFERROR(INDEX(I_Master!$E$6:$E$85,MATCH(G112,I_Master!$A$6:$A$85,0)),"?"))</f>
        <v>By-product</v>
      </c>
      <c r="P112" s="46" t="n">
        <f aca="false">IF(H112="","",IF(OR(A112&lt;I_Parameter!$C$5,A112&gt;I_Parameter!$C$6),0,IF(B112="Aktual",1,IF(AND(B112="Order",A112&gt;=I_Parameter!$C$4),1,0))))</f>
        <v>1</v>
      </c>
    </row>
    <row r="113" customFormat="false" ht="15" hidden="false" customHeight="false" outlineLevel="0" collapsed="false">
      <c r="A113" s="37" t="n">
        <v>46263</v>
      </c>
      <c r="B113" s="44" t="s">
        <v>462</v>
      </c>
      <c r="C113" s="44" t="s">
        <v>499</v>
      </c>
      <c r="D113" s="44" t="s">
        <v>440</v>
      </c>
      <c r="E113" s="44" t="s">
        <v>443</v>
      </c>
      <c r="F113" s="44"/>
      <c r="G113" s="34" t="str">
        <f aca="false">IF(F113&lt;&gt;"",F113,IF(E113="","",IFERROR(INDEX(I_Item!$C$6:$C$255,MATCH(E113,I_Item!$A$6:$A$255,0)),"KODE BARU")))</f>
        <v>RPA|Kepala|Fresh</v>
      </c>
      <c r="H113" s="45" t="n">
        <v>173.3</v>
      </c>
      <c r="I113" s="42" t="n">
        <v>4029</v>
      </c>
      <c r="J113" s="11" t="n">
        <f aca="false">IF(H113="","",H113*I113)</f>
        <v>698225.7</v>
      </c>
      <c r="K113" s="42"/>
      <c r="L113" s="11" t="n">
        <f aca="false">IF(H113="","",IF(K113&lt;&gt;"",K113,H113*IFERROR(INDEX(O_Stok!$Q$6:$Q$85,MATCH(G113,O_Stok!$A$6:$A$85,0)),0)))</f>
        <v>2316686.83741362</v>
      </c>
      <c r="M113" s="11" t="n">
        <f aca="false">IF(H113="","",J113-L113)</f>
        <v>-1618461.13741362</v>
      </c>
      <c r="N113" s="34" t="str">
        <f aca="false">IF(G113="","",IFERROR(INDEX(I_Master!$B$6:$B$85,MATCH(G113,I_Master!$A$6:$A$85,0)),"?"))</f>
        <v>RPA</v>
      </c>
      <c r="O113" s="34" t="str">
        <f aca="false">IF(G113="","",IFERROR(INDEX(I_Master!$E$6:$E$85,MATCH(G113,I_Master!$A$6:$A$85,0)),"?"))</f>
        <v>By-product</v>
      </c>
      <c r="P113" s="46" t="n">
        <f aca="false">IF(H113="","",IF(OR(A113&lt;I_Parameter!$C$5,A113&gt;I_Parameter!$C$6),0,IF(B113="Aktual",1,IF(AND(B113="Order",A113&gt;=I_Parameter!$C$4),1,0))))</f>
        <v>1</v>
      </c>
    </row>
    <row r="114" customFormat="false" ht="15" hidden="false" customHeight="false" outlineLevel="0" collapsed="false">
      <c r="A114" s="37" t="n">
        <v>46263</v>
      </c>
      <c r="B114" s="44" t="s">
        <v>462</v>
      </c>
      <c r="C114" s="44" t="s">
        <v>499</v>
      </c>
      <c r="D114" s="44" t="s">
        <v>440</v>
      </c>
      <c r="E114" s="44" t="s">
        <v>444</v>
      </c>
      <c r="F114" s="44"/>
      <c r="G114" s="34" t="str">
        <f aca="false">IF(F114&lt;&gt;"",F114,IF(E114="","",IFERROR(INDEX(I_Item!$C$6:$C$255,MATCH(E114,I_Item!$A$6:$A$255,0)),"KODE BARU")))</f>
        <v>RPA|Usus|Fresh</v>
      </c>
      <c r="H114" s="45" t="n">
        <v>192.1</v>
      </c>
      <c r="I114" s="42" t="n">
        <v>1500</v>
      </c>
      <c r="J114" s="11" t="n">
        <f aca="false">IF(H114="","",H114*I114)</f>
        <v>288150</v>
      </c>
      <c r="K114" s="42"/>
      <c r="L114" s="11" t="n">
        <f aca="false">IF(H114="","",IF(K114&lt;&gt;"",K114,H114*IFERROR(INDEX(O_Stok!$Q$6:$Q$85,MATCH(G114,O_Stok!$A$6:$A$85,0)),0)))</f>
        <v>667682.812790591</v>
      </c>
      <c r="M114" s="11" t="n">
        <f aca="false">IF(H114="","",J114-L114)</f>
        <v>-379532.812790591</v>
      </c>
      <c r="N114" s="34" t="str">
        <f aca="false">IF(G114="","",IFERROR(INDEX(I_Master!$B$6:$B$85,MATCH(G114,I_Master!$A$6:$A$85,0)),"?"))</f>
        <v>RPA</v>
      </c>
      <c r="O114" s="34" t="str">
        <f aca="false">IF(G114="","",IFERROR(INDEX(I_Master!$E$6:$E$85,MATCH(G114,I_Master!$A$6:$A$85,0)),"?"))</f>
        <v>By-product</v>
      </c>
      <c r="P114" s="46" t="n">
        <f aca="false">IF(H114="","",IF(OR(A114&lt;I_Parameter!$C$5,A114&gt;I_Parameter!$C$6),0,IF(B114="Aktual",1,IF(AND(B114="Order",A114&gt;=I_Parameter!$C$4),1,0))))</f>
        <v>1</v>
      </c>
    </row>
    <row r="115" customFormat="false" ht="15" hidden="false" customHeight="false" outlineLevel="0" collapsed="false">
      <c r="A115" s="37" t="n">
        <v>46263</v>
      </c>
      <c r="B115" s="44" t="s">
        <v>462</v>
      </c>
      <c r="C115" s="44" t="s">
        <v>500</v>
      </c>
      <c r="D115" s="44" t="s">
        <v>440</v>
      </c>
      <c r="E115" s="44" t="s">
        <v>441</v>
      </c>
      <c r="F115" s="44"/>
      <c r="G115" s="34" t="str">
        <f aca="false">IF(F115&lt;&gt;"",F115,IF(E115="","",IFERROR(INDEX(I_Item!$C$6:$C$255,MATCH(E115,I_Item!$A$6:$A$255,0)),"KODE BARU")))</f>
        <v>RPA|Ceker|Fresh</v>
      </c>
      <c r="H115" s="45" t="n">
        <v>103.5</v>
      </c>
      <c r="I115" s="42" t="n">
        <v>3101</v>
      </c>
      <c r="J115" s="11" t="n">
        <f aca="false">IF(H115="","",H115*I115)</f>
        <v>320953.5</v>
      </c>
      <c r="K115" s="42"/>
      <c r="L115" s="11" t="n">
        <f aca="false">IF(H115="","",IF(K115&lt;&gt;"",K115,H115*IFERROR(INDEX(O_Stok!$Q$6:$Q$85,MATCH(G115,O_Stok!$A$6:$A$85,0)),0)))</f>
        <v>1655579.96983204</v>
      </c>
      <c r="M115" s="11" t="n">
        <f aca="false">IF(H115="","",J115-L115)</f>
        <v>-1334626.46983204</v>
      </c>
      <c r="N115" s="34" t="str">
        <f aca="false">IF(G115="","",IFERROR(INDEX(I_Master!$B$6:$B$85,MATCH(G115,I_Master!$A$6:$A$85,0)),"?"))</f>
        <v>RPA</v>
      </c>
      <c r="O115" s="34" t="str">
        <f aca="false">IF(G115="","",IFERROR(INDEX(I_Master!$E$6:$E$85,MATCH(G115,I_Master!$A$6:$A$85,0)),"?"))</f>
        <v>By-product</v>
      </c>
      <c r="P115" s="46" t="n">
        <f aca="false">IF(H115="","",IF(OR(A115&lt;I_Parameter!$C$5,A115&gt;I_Parameter!$C$6),0,IF(B115="Aktual",1,IF(AND(B115="Order",A115&gt;=I_Parameter!$C$4),1,0))))</f>
        <v>1</v>
      </c>
    </row>
    <row r="116" customFormat="false" ht="15" hidden="false" customHeight="false" outlineLevel="0" collapsed="false">
      <c r="A116" s="37" t="n">
        <v>46263</v>
      </c>
      <c r="B116" s="44" t="s">
        <v>462</v>
      </c>
      <c r="C116" s="44" t="s">
        <v>500</v>
      </c>
      <c r="D116" s="44" t="s">
        <v>440</v>
      </c>
      <c r="E116" s="44" t="s">
        <v>442</v>
      </c>
      <c r="F116" s="44"/>
      <c r="G116" s="34" t="str">
        <f aca="false">IF(F116&lt;&gt;"",F116,IF(E116="","",IFERROR(INDEX(I_Item!$C$6:$C$255,MATCH(E116,I_Item!$A$6:$A$255,0)),"KODE BARU")))</f>
        <v>RPA|HJA (Hati/Jantung/Ampela)|Fresh</v>
      </c>
      <c r="H116" s="45" t="n">
        <v>170.4</v>
      </c>
      <c r="I116" s="42" t="n">
        <v>4515</v>
      </c>
      <c r="J116" s="11" t="n">
        <f aca="false">IF(H116="","",H116*I116)</f>
        <v>769356</v>
      </c>
      <c r="K116" s="42"/>
      <c r="L116" s="11" t="n">
        <f aca="false">IF(H116="","",IF(K116&lt;&gt;"",K116,H116*IFERROR(INDEX(O_Stok!$Q$6:$Q$85,MATCH(G116,O_Stok!$A$6:$A$85,0)),0)))</f>
        <v>648473.837542231</v>
      </c>
      <c r="M116" s="11" t="n">
        <f aca="false">IF(H116="","",J116-L116)</f>
        <v>120882.16245777</v>
      </c>
      <c r="N116" s="34" t="str">
        <f aca="false">IF(G116="","",IFERROR(INDEX(I_Master!$B$6:$B$85,MATCH(G116,I_Master!$A$6:$A$85,0)),"?"))</f>
        <v>RPA</v>
      </c>
      <c r="O116" s="34" t="str">
        <f aca="false">IF(G116="","",IFERROR(INDEX(I_Master!$E$6:$E$85,MATCH(G116,I_Master!$A$6:$A$85,0)),"?"))</f>
        <v>By-product</v>
      </c>
      <c r="P116" s="46" t="n">
        <f aca="false">IF(H116="","",IF(OR(A116&lt;I_Parameter!$C$5,A116&gt;I_Parameter!$C$6),0,IF(B116="Aktual",1,IF(AND(B116="Order",A116&gt;=I_Parameter!$C$4),1,0))))</f>
        <v>1</v>
      </c>
    </row>
    <row r="117" customFormat="false" ht="15" hidden="false" customHeight="false" outlineLevel="0" collapsed="false">
      <c r="A117" s="37" t="n">
        <v>46263</v>
      </c>
      <c r="B117" s="44" t="s">
        <v>462</v>
      </c>
      <c r="C117" s="44" t="s">
        <v>500</v>
      </c>
      <c r="D117" s="44" t="s">
        <v>440</v>
      </c>
      <c r="E117" s="44" t="s">
        <v>443</v>
      </c>
      <c r="F117" s="44"/>
      <c r="G117" s="34" t="str">
        <f aca="false">IF(F117&lt;&gt;"",F117,IF(E117="","",IFERROR(INDEX(I_Item!$C$6:$C$255,MATCH(E117,I_Item!$A$6:$A$255,0)),"KODE BARU")))</f>
        <v>RPA|Kepala|Fresh</v>
      </c>
      <c r="H117" s="45" t="n">
        <v>148.3</v>
      </c>
      <c r="I117" s="42" t="n">
        <v>4029</v>
      </c>
      <c r="J117" s="11" t="n">
        <f aca="false">IF(H117="","",H117*I117)</f>
        <v>597500.7</v>
      </c>
      <c r="K117" s="42"/>
      <c r="L117" s="11" t="n">
        <f aca="false">IF(H117="","",IF(K117&lt;&gt;"",K117,H117*IFERROR(INDEX(O_Stok!$Q$6:$Q$85,MATCH(G117,O_Stok!$A$6:$A$85,0)),0)))</f>
        <v>1982485.04321085</v>
      </c>
      <c r="M117" s="11" t="n">
        <f aca="false">IF(H117="","",J117-L117)</f>
        <v>-1384984.34321085</v>
      </c>
      <c r="N117" s="34" t="str">
        <f aca="false">IF(G117="","",IFERROR(INDEX(I_Master!$B$6:$B$85,MATCH(G117,I_Master!$A$6:$A$85,0)),"?"))</f>
        <v>RPA</v>
      </c>
      <c r="O117" s="34" t="str">
        <f aca="false">IF(G117="","",IFERROR(INDEX(I_Master!$E$6:$E$85,MATCH(G117,I_Master!$A$6:$A$85,0)),"?"))</f>
        <v>By-product</v>
      </c>
      <c r="P117" s="46" t="n">
        <f aca="false">IF(H117="","",IF(OR(A117&lt;I_Parameter!$C$5,A117&gt;I_Parameter!$C$6),0,IF(B117="Aktual",1,IF(AND(B117="Order",A117&gt;=I_Parameter!$C$4),1,0))))</f>
        <v>1</v>
      </c>
    </row>
    <row r="118" customFormat="false" ht="15" hidden="false" customHeight="false" outlineLevel="0" collapsed="false">
      <c r="A118" s="37" t="n">
        <v>46263</v>
      </c>
      <c r="B118" s="44" t="s">
        <v>462</v>
      </c>
      <c r="C118" s="44" t="s">
        <v>500</v>
      </c>
      <c r="D118" s="44" t="s">
        <v>440</v>
      </c>
      <c r="E118" s="44" t="s">
        <v>444</v>
      </c>
      <c r="F118" s="44"/>
      <c r="G118" s="34" t="str">
        <f aca="false">IF(F118&lt;&gt;"",F118,IF(E118="","",IFERROR(INDEX(I_Item!$C$6:$C$255,MATCH(E118,I_Item!$A$6:$A$255,0)),"KODE BARU")))</f>
        <v>RPA|Usus|Fresh</v>
      </c>
      <c r="H118" s="45" t="n">
        <v>145.8</v>
      </c>
      <c r="I118" s="42" t="n">
        <v>1500</v>
      </c>
      <c r="J118" s="11" t="n">
        <f aca="false">IF(H118="","",H118*I118)</f>
        <v>218700</v>
      </c>
      <c r="K118" s="42"/>
      <c r="L118" s="11" t="n">
        <f aca="false">IF(H118="","",IF(K118&lt;&gt;"",K118,H118*IFERROR(INDEX(O_Stok!$Q$6:$Q$85,MATCH(G118,O_Stok!$A$6:$A$85,0)),0)))</f>
        <v>506757.699660948</v>
      </c>
      <c r="M118" s="11" t="n">
        <f aca="false">IF(H118="","",J118-L118)</f>
        <v>-288057.699660948</v>
      </c>
      <c r="N118" s="34" t="str">
        <f aca="false">IF(G118="","",IFERROR(INDEX(I_Master!$B$6:$B$85,MATCH(G118,I_Master!$A$6:$A$85,0)),"?"))</f>
        <v>RPA</v>
      </c>
      <c r="O118" s="34" t="str">
        <f aca="false">IF(G118="","",IFERROR(INDEX(I_Master!$E$6:$E$85,MATCH(G118,I_Master!$A$6:$A$85,0)),"?"))</f>
        <v>By-product</v>
      </c>
      <c r="P118" s="46" t="n">
        <f aca="false">IF(H118="","",IF(OR(A118&lt;I_Parameter!$C$5,A118&gt;I_Parameter!$C$6),0,IF(B118="Aktual",1,IF(AND(B118="Order",A118&gt;=I_Parameter!$C$4),1,0))))</f>
        <v>1</v>
      </c>
    </row>
    <row r="119" customFormat="false" ht="15" hidden="false" customHeight="false" outlineLevel="0" collapsed="false">
      <c r="A119" s="37" t="n">
        <v>46263</v>
      </c>
      <c r="B119" s="44" t="s">
        <v>462</v>
      </c>
      <c r="C119" s="44" t="s">
        <v>501</v>
      </c>
      <c r="D119" s="44" t="s">
        <v>440</v>
      </c>
      <c r="E119" s="44" t="s">
        <v>441</v>
      </c>
      <c r="F119" s="44"/>
      <c r="G119" s="34" t="str">
        <f aca="false">IF(F119&lt;&gt;"",F119,IF(E119="","",IFERROR(INDEX(I_Item!$C$6:$C$255,MATCH(E119,I_Item!$A$6:$A$255,0)),"KODE BARU")))</f>
        <v>RPA|Ceker|Fresh</v>
      </c>
      <c r="H119" s="45" t="n">
        <v>107.8</v>
      </c>
      <c r="I119" s="42" t="n">
        <v>3101</v>
      </c>
      <c r="J119" s="11" t="n">
        <f aca="false">IF(H119="","",H119*I119)</f>
        <v>334287.8</v>
      </c>
      <c r="K119" s="42"/>
      <c r="L119" s="11" t="n">
        <f aca="false">IF(H119="","",IF(K119&lt;&gt;"",K119,H119*IFERROR(INDEX(O_Stok!$Q$6:$Q$85,MATCH(G119,O_Stok!$A$6:$A$85,0)),0)))</f>
        <v>1724362.51930332</v>
      </c>
      <c r="M119" s="11" t="n">
        <f aca="false">IF(H119="","",J119-L119)</f>
        <v>-1390074.71930332</v>
      </c>
      <c r="N119" s="34" t="str">
        <f aca="false">IF(G119="","",IFERROR(INDEX(I_Master!$B$6:$B$85,MATCH(G119,I_Master!$A$6:$A$85,0)),"?"))</f>
        <v>RPA</v>
      </c>
      <c r="O119" s="34" t="str">
        <f aca="false">IF(G119="","",IFERROR(INDEX(I_Master!$E$6:$E$85,MATCH(G119,I_Master!$A$6:$A$85,0)),"?"))</f>
        <v>By-product</v>
      </c>
      <c r="P119" s="46" t="n">
        <f aca="false">IF(H119="","",IF(OR(A119&lt;I_Parameter!$C$5,A119&gt;I_Parameter!$C$6),0,IF(B119="Aktual",1,IF(AND(B119="Order",A119&gt;=I_Parameter!$C$4),1,0))))</f>
        <v>1</v>
      </c>
    </row>
    <row r="120" customFormat="false" ht="15" hidden="false" customHeight="false" outlineLevel="0" collapsed="false">
      <c r="A120" s="37" t="n">
        <v>46263</v>
      </c>
      <c r="B120" s="44" t="s">
        <v>462</v>
      </c>
      <c r="C120" s="44" t="s">
        <v>501</v>
      </c>
      <c r="D120" s="44" t="s">
        <v>440</v>
      </c>
      <c r="E120" s="44" t="s">
        <v>442</v>
      </c>
      <c r="F120" s="44"/>
      <c r="G120" s="34" t="str">
        <f aca="false">IF(F120&lt;&gt;"",F120,IF(E120="","",IFERROR(INDEX(I_Item!$C$6:$C$255,MATCH(E120,I_Item!$A$6:$A$255,0)),"KODE BARU")))</f>
        <v>RPA|HJA (Hati/Jantung/Ampela)|Fresh</v>
      </c>
      <c r="H120" s="45" t="n">
        <v>205.4</v>
      </c>
      <c r="I120" s="42" t="n">
        <v>4515</v>
      </c>
      <c r="J120" s="11" t="n">
        <f aca="false">IF(H120="","",H120*I120)</f>
        <v>927381</v>
      </c>
      <c r="K120" s="42"/>
      <c r="L120" s="11" t="n">
        <f aca="false">IF(H120="","",IF(K120&lt;&gt;"",K120,H120*IFERROR(INDEX(O_Stok!$Q$6:$Q$85,MATCH(G120,O_Stok!$A$6:$A$85,0)),0)))</f>
        <v>781669.754877782</v>
      </c>
      <c r="M120" s="11" t="n">
        <f aca="false">IF(H120="","",J120-L120)</f>
        <v>145711.245122218</v>
      </c>
      <c r="N120" s="34" t="str">
        <f aca="false">IF(G120="","",IFERROR(INDEX(I_Master!$B$6:$B$85,MATCH(G120,I_Master!$A$6:$A$85,0)),"?"))</f>
        <v>RPA</v>
      </c>
      <c r="O120" s="34" t="str">
        <f aca="false">IF(G120="","",IFERROR(INDEX(I_Master!$E$6:$E$85,MATCH(G120,I_Master!$A$6:$A$85,0)),"?"))</f>
        <v>By-product</v>
      </c>
      <c r="P120" s="46" t="n">
        <f aca="false">IF(H120="","",IF(OR(A120&lt;I_Parameter!$C$5,A120&gt;I_Parameter!$C$6),0,IF(B120="Aktual",1,IF(AND(B120="Order",A120&gt;=I_Parameter!$C$4),1,0))))</f>
        <v>1</v>
      </c>
    </row>
    <row r="121" customFormat="false" ht="15" hidden="false" customHeight="false" outlineLevel="0" collapsed="false">
      <c r="A121" s="37" t="n">
        <v>46263</v>
      </c>
      <c r="B121" s="44" t="s">
        <v>462</v>
      </c>
      <c r="C121" s="44" t="s">
        <v>501</v>
      </c>
      <c r="D121" s="44" t="s">
        <v>440</v>
      </c>
      <c r="E121" s="44" t="s">
        <v>443</v>
      </c>
      <c r="F121" s="44"/>
      <c r="G121" s="34" t="str">
        <f aca="false">IF(F121&lt;&gt;"",F121,IF(E121="","",IFERROR(INDEX(I_Item!$C$6:$C$255,MATCH(E121,I_Item!$A$6:$A$255,0)),"KODE BARU")))</f>
        <v>RPA|Kepala|Fresh</v>
      </c>
      <c r="H121" s="45" t="n">
        <v>184.6</v>
      </c>
      <c r="I121" s="42" t="n">
        <v>4029</v>
      </c>
      <c r="J121" s="11" t="n">
        <f aca="false">IF(H121="","",H121*I121)</f>
        <v>743753.4</v>
      </c>
      <c r="K121" s="42"/>
      <c r="L121" s="11" t="n">
        <f aca="false">IF(H121="","",IF(K121&lt;&gt;"",K121,H121*IFERROR(INDEX(O_Stok!$Q$6:$Q$85,MATCH(G121,O_Stok!$A$6:$A$85,0)),0)))</f>
        <v>2467746.04839327</v>
      </c>
      <c r="M121" s="11" t="n">
        <f aca="false">IF(H121="","",J121-L121)</f>
        <v>-1723992.64839327</v>
      </c>
      <c r="N121" s="34" t="str">
        <f aca="false">IF(G121="","",IFERROR(INDEX(I_Master!$B$6:$B$85,MATCH(G121,I_Master!$A$6:$A$85,0)),"?"))</f>
        <v>RPA</v>
      </c>
      <c r="O121" s="34" t="str">
        <f aca="false">IF(G121="","",IFERROR(INDEX(I_Master!$E$6:$E$85,MATCH(G121,I_Master!$A$6:$A$85,0)),"?"))</f>
        <v>By-product</v>
      </c>
      <c r="P121" s="46" t="n">
        <f aca="false">IF(H121="","",IF(OR(A121&lt;I_Parameter!$C$5,A121&gt;I_Parameter!$C$6),0,IF(B121="Aktual",1,IF(AND(B121="Order",A121&gt;=I_Parameter!$C$4),1,0))))</f>
        <v>1</v>
      </c>
    </row>
    <row r="122" customFormat="false" ht="15" hidden="false" customHeight="false" outlineLevel="0" collapsed="false">
      <c r="A122" s="37" t="n">
        <v>46263</v>
      </c>
      <c r="B122" s="44" t="s">
        <v>462</v>
      </c>
      <c r="C122" s="44" t="s">
        <v>501</v>
      </c>
      <c r="D122" s="44" t="s">
        <v>440</v>
      </c>
      <c r="E122" s="44" t="s">
        <v>444</v>
      </c>
      <c r="F122" s="44"/>
      <c r="G122" s="34" t="str">
        <f aca="false">IF(F122&lt;&gt;"",F122,IF(E122="","",IFERROR(INDEX(I_Item!$C$6:$C$255,MATCH(E122,I_Item!$A$6:$A$255,0)),"KODE BARU")))</f>
        <v>RPA|Usus|Fresh</v>
      </c>
      <c r="H122" s="45" t="n">
        <v>184.5</v>
      </c>
      <c r="I122" s="42" t="n">
        <v>1500</v>
      </c>
      <c r="J122" s="11" t="n">
        <f aca="false">IF(H122="","",H122*I122)</f>
        <v>276750</v>
      </c>
      <c r="K122" s="42"/>
      <c r="L122" s="11" t="n">
        <f aca="false">IF(H122="","",IF(K122&lt;&gt;"",K122,H122*IFERROR(INDEX(O_Stok!$Q$6:$Q$85,MATCH(G122,O_Stok!$A$6:$A$85,0)),0)))</f>
        <v>641267.459447496</v>
      </c>
      <c r="M122" s="11" t="n">
        <f aca="false">IF(H122="","",J122-L122)</f>
        <v>-364517.459447496</v>
      </c>
      <c r="N122" s="34" t="str">
        <f aca="false">IF(G122="","",IFERROR(INDEX(I_Master!$B$6:$B$85,MATCH(G122,I_Master!$A$6:$A$85,0)),"?"))</f>
        <v>RPA</v>
      </c>
      <c r="O122" s="34" t="str">
        <f aca="false">IF(G122="","",IFERROR(INDEX(I_Master!$E$6:$E$85,MATCH(G122,I_Master!$A$6:$A$85,0)),"?"))</f>
        <v>By-product</v>
      </c>
      <c r="P122" s="46" t="n">
        <f aca="false">IF(H122="","",IF(OR(A122&lt;I_Parameter!$C$5,A122&gt;I_Parameter!$C$6),0,IF(B122="Aktual",1,IF(AND(B122="Order",A122&gt;=I_Parameter!$C$4),1,0))))</f>
        <v>1</v>
      </c>
    </row>
    <row r="123" customFormat="false" ht="15" hidden="false" customHeight="false" outlineLevel="0" collapsed="false">
      <c r="A123" s="37" t="n">
        <v>46263</v>
      </c>
      <c r="B123" s="44" t="s">
        <v>462</v>
      </c>
      <c r="C123" s="44" t="s">
        <v>502</v>
      </c>
      <c r="D123" s="44" t="s">
        <v>440</v>
      </c>
      <c r="E123" s="44" t="s">
        <v>441</v>
      </c>
      <c r="F123" s="44"/>
      <c r="G123" s="34" t="str">
        <f aca="false">IF(F123&lt;&gt;"",F123,IF(E123="","",IFERROR(INDEX(I_Item!$C$6:$C$255,MATCH(E123,I_Item!$A$6:$A$255,0)),"KODE BARU")))</f>
        <v>RPA|Ceker|Fresh</v>
      </c>
      <c r="H123" s="45" t="n">
        <v>109.1</v>
      </c>
      <c r="I123" s="42" t="n">
        <v>3101</v>
      </c>
      <c r="J123" s="11" t="n">
        <f aca="false">IF(H123="","",H123*I123)</f>
        <v>338319.1</v>
      </c>
      <c r="K123" s="42"/>
      <c r="L123" s="11" t="n">
        <f aca="false">IF(H123="","",IF(K123&lt;&gt;"",K123,H123*IFERROR(INDEX(O_Stok!$Q$6:$Q$85,MATCH(G123,O_Stok!$A$6:$A$85,0)),0)))</f>
        <v>1745157.24356208</v>
      </c>
      <c r="M123" s="11" t="n">
        <f aca="false">IF(H123="","",J123-L123)</f>
        <v>-1406838.14356208</v>
      </c>
      <c r="N123" s="34" t="str">
        <f aca="false">IF(G123="","",IFERROR(INDEX(I_Master!$B$6:$B$85,MATCH(G123,I_Master!$A$6:$A$85,0)),"?"))</f>
        <v>RPA</v>
      </c>
      <c r="O123" s="34" t="str">
        <f aca="false">IF(G123="","",IFERROR(INDEX(I_Master!$E$6:$E$85,MATCH(G123,I_Master!$A$6:$A$85,0)),"?"))</f>
        <v>By-product</v>
      </c>
      <c r="P123" s="46" t="n">
        <f aca="false">IF(H123="","",IF(OR(A123&lt;I_Parameter!$C$5,A123&gt;I_Parameter!$C$6),0,IF(B123="Aktual",1,IF(AND(B123="Order",A123&gt;=I_Parameter!$C$4),1,0))))</f>
        <v>1</v>
      </c>
    </row>
    <row r="124" customFormat="false" ht="15" hidden="false" customHeight="false" outlineLevel="0" collapsed="false">
      <c r="A124" s="37" t="n">
        <v>46263</v>
      </c>
      <c r="B124" s="44" t="s">
        <v>462</v>
      </c>
      <c r="C124" s="44" t="s">
        <v>502</v>
      </c>
      <c r="D124" s="44" t="s">
        <v>440</v>
      </c>
      <c r="E124" s="44" t="s">
        <v>442</v>
      </c>
      <c r="F124" s="44"/>
      <c r="G124" s="34" t="str">
        <f aca="false">IF(F124&lt;&gt;"",F124,IF(E124="","",IFERROR(INDEX(I_Item!$C$6:$C$255,MATCH(E124,I_Item!$A$6:$A$255,0)),"KODE BARU")))</f>
        <v>RPA|HJA (Hati/Jantung/Ampela)|Fresh</v>
      </c>
      <c r="H124" s="45" t="n">
        <v>184.9</v>
      </c>
      <c r="I124" s="42" t="n">
        <v>4515</v>
      </c>
      <c r="J124" s="11" t="n">
        <f aca="false">IF(H124="","",H124*I124)</f>
        <v>834823.5</v>
      </c>
      <c r="K124" s="42"/>
      <c r="L124" s="11" t="n">
        <f aca="false">IF(H124="","",IF(K124&lt;&gt;"",K124,H124*IFERROR(INDEX(O_Stok!$Q$6:$Q$85,MATCH(G124,O_Stok!$A$6:$A$85,0)),0)))</f>
        <v>703655.003295531</v>
      </c>
      <c r="M124" s="11" t="n">
        <f aca="false">IF(H124="","",J124-L124)</f>
        <v>131168.496704469</v>
      </c>
      <c r="N124" s="34" t="str">
        <f aca="false">IF(G124="","",IFERROR(INDEX(I_Master!$B$6:$B$85,MATCH(G124,I_Master!$A$6:$A$85,0)),"?"))</f>
        <v>RPA</v>
      </c>
      <c r="O124" s="34" t="str">
        <f aca="false">IF(G124="","",IFERROR(INDEX(I_Master!$E$6:$E$85,MATCH(G124,I_Master!$A$6:$A$85,0)),"?"))</f>
        <v>By-product</v>
      </c>
      <c r="P124" s="46" t="n">
        <f aca="false">IF(H124="","",IF(OR(A124&lt;I_Parameter!$C$5,A124&gt;I_Parameter!$C$6),0,IF(B124="Aktual",1,IF(AND(B124="Order",A124&gt;=I_Parameter!$C$4),1,0))))</f>
        <v>1</v>
      </c>
    </row>
    <row r="125" customFormat="false" ht="15" hidden="false" customHeight="false" outlineLevel="0" collapsed="false">
      <c r="A125" s="37" t="n">
        <v>46263</v>
      </c>
      <c r="B125" s="44" t="s">
        <v>462</v>
      </c>
      <c r="C125" s="44" t="s">
        <v>502</v>
      </c>
      <c r="D125" s="44" t="s">
        <v>440</v>
      </c>
      <c r="E125" s="44" t="s">
        <v>443</v>
      </c>
      <c r="F125" s="44"/>
      <c r="G125" s="34" t="str">
        <f aca="false">IF(F125&lt;&gt;"",F125,IF(E125="","",IFERROR(INDEX(I_Item!$C$6:$C$255,MATCH(E125,I_Item!$A$6:$A$255,0)),"KODE BARU")))</f>
        <v>RPA|Kepala|Fresh</v>
      </c>
      <c r="H125" s="45" t="n">
        <v>157</v>
      </c>
      <c r="I125" s="42" t="n">
        <v>4029</v>
      </c>
      <c r="J125" s="11" t="n">
        <f aca="false">IF(H125="","",H125*I125)</f>
        <v>632553</v>
      </c>
      <c r="K125" s="42"/>
      <c r="L125" s="11" t="n">
        <f aca="false">IF(H125="","",IF(K125&lt;&gt;"",K125,H125*IFERROR(INDEX(O_Stok!$Q$6:$Q$85,MATCH(G125,O_Stok!$A$6:$A$85,0)),0)))</f>
        <v>2098787.26759341</v>
      </c>
      <c r="M125" s="11" t="n">
        <f aca="false">IF(H125="","",J125-L125)</f>
        <v>-1466234.26759341</v>
      </c>
      <c r="N125" s="34" t="str">
        <f aca="false">IF(G125="","",IFERROR(INDEX(I_Master!$B$6:$B$85,MATCH(G125,I_Master!$A$6:$A$85,0)),"?"))</f>
        <v>RPA</v>
      </c>
      <c r="O125" s="34" t="str">
        <f aca="false">IF(G125="","",IFERROR(INDEX(I_Master!$E$6:$E$85,MATCH(G125,I_Master!$A$6:$A$85,0)),"?"))</f>
        <v>By-product</v>
      </c>
      <c r="P125" s="46" t="n">
        <f aca="false">IF(H125="","",IF(OR(A125&lt;I_Parameter!$C$5,A125&gt;I_Parameter!$C$6),0,IF(B125="Aktual",1,IF(AND(B125="Order",A125&gt;=I_Parameter!$C$4),1,0))))</f>
        <v>1</v>
      </c>
    </row>
    <row r="126" customFormat="false" ht="15" hidden="false" customHeight="false" outlineLevel="0" collapsed="false">
      <c r="A126" s="37" t="n">
        <v>46263</v>
      </c>
      <c r="B126" s="44" t="s">
        <v>462</v>
      </c>
      <c r="C126" s="44" t="s">
        <v>502</v>
      </c>
      <c r="D126" s="44" t="s">
        <v>440</v>
      </c>
      <c r="E126" s="44" t="s">
        <v>444</v>
      </c>
      <c r="F126" s="44"/>
      <c r="G126" s="34" t="str">
        <f aca="false">IF(F126&lt;&gt;"",F126,IF(E126="","",IFERROR(INDEX(I_Item!$C$6:$C$255,MATCH(E126,I_Item!$A$6:$A$255,0)),"KODE BARU")))</f>
        <v>RPA|Usus|Fresh</v>
      </c>
      <c r="H126" s="45" t="n">
        <v>131.3</v>
      </c>
      <c r="I126" s="42" t="n">
        <v>1500</v>
      </c>
      <c r="J126" s="11" t="n">
        <f aca="false">IF(H126="","",H126*I126)</f>
        <v>196950</v>
      </c>
      <c r="K126" s="42"/>
      <c r="L126" s="11" t="n">
        <f aca="false">IF(H126="","",IF(K126&lt;&gt;"",K126,H126*IFERROR(INDEX(O_Stok!$Q$6:$Q$85,MATCH(G126,O_Stok!$A$6:$A$85,0)),0)))</f>
        <v>456359.986045833</v>
      </c>
      <c r="M126" s="11" t="n">
        <f aca="false">IF(H126="","",J126-L126)</f>
        <v>-259409.986045833</v>
      </c>
      <c r="N126" s="34" t="str">
        <f aca="false">IF(G126="","",IFERROR(INDEX(I_Master!$B$6:$B$85,MATCH(G126,I_Master!$A$6:$A$85,0)),"?"))</f>
        <v>RPA</v>
      </c>
      <c r="O126" s="34" t="str">
        <f aca="false">IF(G126="","",IFERROR(INDEX(I_Master!$E$6:$E$85,MATCH(G126,I_Master!$A$6:$A$85,0)),"?"))</f>
        <v>By-product</v>
      </c>
      <c r="P126" s="46" t="n">
        <f aca="false">IF(H126="","",IF(OR(A126&lt;I_Parameter!$C$5,A126&gt;I_Parameter!$C$6),0,IF(B126="Aktual",1,IF(AND(B126="Order",A126&gt;=I_Parameter!$C$4),1,0))))</f>
        <v>1</v>
      </c>
    </row>
    <row r="127" customFormat="false" ht="15" hidden="false" customHeight="false" outlineLevel="0" collapsed="false">
      <c r="A127" s="37" t="n">
        <v>46263</v>
      </c>
      <c r="B127" s="44" t="s">
        <v>462</v>
      </c>
      <c r="C127" s="44" t="s">
        <v>503</v>
      </c>
      <c r="D127" s="44" t="s">
        <v>440</v>
      </c>
      <c r="E127" s="44" t="s">
        <v>441</v>
      </c>
      <c r="F127" s="44"/>
      <c r="G127" s="34" t="str">
        <f aca="false">IF(F127&lt;&gt;"",F127,IF(E127="","",IFERROR(INDEX(I_Item!$C$6:$C$255,MATCH(E127,I_Item!$A$6:$A$255,0)),"KODE BARU")))</f>
        <v>RPA|Ceker|Fresh</v>
      </c>
      <c r="H127" s="45" t="n">
        <v>112.2</v>
      </c>
      <c r="I127" s="42" t="n">
        <v>3101</v>
      </c>
      <c r="J127" s="11" t="n">
        <f aca="false">IF(H127="","",H127*I127)</f>
        <v>347932.2</v>
      </c>
      <c r="K127" s="42"/>
      <c r="L127" s="11" t="n">
        <f aca="false">IF(H127="","",IF(K127&lt;&gt;"",K127,H127*IFERROR(INDEX(O_Stok!$Q$6:$Q$85,MATCH(G127,O_Stok!$A$6:$A$85,0)),0)))</f>
        <v>1794744.66294836</v>
      </c>
      <c r="M127" s="11" t="n">
        <f aca="false">IF(H127="","",J127-L127)</f>
        <v>-1446812.46294836</v>
      </c>
      <c r="N127" s="34" t="str">
        <f aca="false">IF(G127="","",IFERROR(INDEX(I_Master!$B$6:$B$85,MATCH(G127,I_Master!$A$6:$A$85,0)),"?"))</f>
        <v>RPA</v>
      </c>
      <c r="O127" s="34" t="str">
        <f aca="false">IF(G127="","",IFERROR(INDEX(I_Master!$E$6:$E$85,MATCH(G127,I_Master!$A$6:$A$85,0)),"?"))</f>
        <v>By-product</v>
      </c>
      <c r="P127" s="46" t="n">
        <f aca="false">IF(H127="","",IF(OR(A127&lt;I_Parameter!$C$5,A127&gt;I_Parameter!$C$6),0,IF(B127="Aktual",1,IF(AND(B127="Order",A127&gt;=I_Parameter!$C$4),1,0))))</f>
        <v>1</v>
      </c>
    </row>
    <row r="128" customFormat="false" ht="15" hidden="false" customHeight="false" outlineLevel="0" collapsed="false">
      <c r="A128" s="37" t="n">
        <v>46263</v>
      </c>
      <c r="B128" s="44" t="s">
        <v>462</v>
      </c>
      <c r="C128" s="44" t="s">
        <v>503</v>
      </c>
      <c r="D128" s="44" t="s">
        <v>440</v>
      </c>
      <c r="E128" s="44" t="s">
        <v>442</v>
      </c>
      <c r="F128" s="44"/>
      <c r="G128" s="34" t="str">
        <f aca="false">IF(F128&lt;&gt;"",F128,IF(E128="","",IFERROR(INDEX(I_Item!$C$6:$C$255,MATCH(E128,I_Item!$A$6:$A$255,0)),"KODE BARU")))</f>
        <v>RPA|HJA (Hati/Jantung/Ampela)|Fresh</v>
      </c>
      <c r="H128" s="45" t="n">
        <v>195.6</v>
      </c>
      <c r="I128" s="42" t="n">
        <v>4515</v>
      </c>
      <c r="J128" s="11" t="n">
        <f aca="false">IF(H128="","",H128*I128)</f>
        <v>883134</v>
      </c>
      <c r="K128" s="42"/>
      <c r="L128" s="11" t="n">
        <f aca="false">IF(H128="","",IF(K128&lt;&gt;"",K128,H128*IFERROR(INDEX(O_Stok!$Q$6:$Q$85,MATCH(G128,O_Stok!$A$6:$A$85,0)),0)))</f>
        <v>744374.898023828</v>
      </c>
      <c r="M128" s="11" t="n">
        <f aca="false">IF(H128="","",J128-L128)</f>
        <v>138759.101976172</v>
      </c>
      <c r="N128" s="34" t="str">
        <f aca="false">IF(G128="","",IFERROR(INDEX(I_Master!$B$6:$B$85,MATCH(G128,I_Master!$A$6:$A$85,0)),"?"))</f>
        <v>RPA</v>
      </c>
      <c r="O128" s="34" t="str">
        <f aca="false">IF(G128="","",IFERROR(INDEX(I_Master!$E$6:$E$85,MATCH(G128,I_Master!$A$6:$A$85,0)),"?"))</f>
        <v>By-product</v>
      </c>
      <c r="P128" s="46" t="n">
        <f aca="false">IF(H128="","",IF(OR(A128&lt;I_Parameter!$C$5,A128&gt;I_Parameter!$C$6),0,IF(B128="Aktual",1,IF(AND(B128="Order",A128&gt;=I_Parameter!$C$4),1,0))))</f>
        <v>1</v>
      </c>
    </row>
    <row r="129" customFormat="false" ht="15" hidden="false" customHeight="false" outlineLevel="0" collapsed="false">
      <c r="A129" s="37" t="n">
        <v>46263</v>
      </c>
      <c r="B129" s="44" t="s">
        <v>462</v>
      </c>
      <c r="C129" s="44" t="s">
        <v>503</v>
      </c>
      <c r="D129" s="44" t="s">
        <v>440</v>
      </c>
      <c r="E129" s="44" t="s">
        <v>443</v>
      </c>
      <c r="F129" s="44"/>
      <c r="G129" s="34" t="str">
        <f aca="false">IF(F129&lt;&gt;"",F129,IF(E129="","",IFERROR(INDEX(I_Item!$C$6:$C$255,MATCH(E129,I_Item!$A$6:$A$255,0)),"KODE BARU")))</f>
        <v>RPA|Kepala|Fresh</v>
      </c>
      <c r="H129" s="45" t="n">
        <v>164.3</v>
      </c>
      <c r="I129" s="42" t="n">
        <v>4029</v>
      </c>
      <c r="J129" s="11" t="n">
        <f aca="false">IF(H129="","",H129*I129)</f>
        <v>661964.7</v>
      </c>
      <c r="K129" s="42"/>
      <c r="L129" s="11" t="n">
        <f aca="false">IF(H129="","",IF(K129&lt;&gt;"",K129,H129*IFERROR(INDEX(O_Stok!$Q$6:$Q$85,MATCH(G129,O_Stok!$A$6:$A$85,0)),0)))</f>
        <v>2196374.19150062</v>
      </c>
      <c r="M129" s="11" t="n">
        <f aca="false">IF(H129="","",J129-L129)</f>
        <v>-1534409.49150062</v>
      </c>
      <c r="N129" s="34" t="str">
        <f aca="false">IF(G129="","",IFERROR(INDEX(I_Master!$B$6:$B$85,MATCH(G129,I_Master!$A$6:$A$85,0)),"?"))</f>
        <v>RPA</v>
      </c>
      <c r="O129" s="34" t="str">
        <f aca="false">IF(G129="","",IFERROR(INDEX(I_Master!$E$6:$E$85,MATCH(G129,I_Master!$A$6:$A$85,0)),"?"))</f>
        <v>By-product</v>
      </c>
      <c r="P129" s="46" t="n">
        <f aca="false">IF(H129="","",IF(OR(A129&lt;I_Parameter!$C$5,A129&gt;I_Parameter!$C$6),0,IF(B129="Aktual",1,IF(AND(B129="Order",A129&gt;=I_Parameter!$C$4),1,0))))</f>
        <v>1</v>
      </c>
    </row>
    <row r="130" customFormat="false" ht="15" hidden="false" customHeight="false" outlineLevel="0" collapsed="false">
      <c r="A130" s="37" t="n">
        <v>46263</v>
      </c>
      <c r="B130" s="44" t="s">
        <v>462</v>
      </c>
      <c r="C130" s="44" t="s">
        <v>503</v>
      </c>
      <c r="D130" s="44" t="s">
        <v>440</v>
      </c>
      <c r="E130" s="44" t="s">
        <v>444</v>
      </c>
      <c r="F130" s="44"/>
      <c r="G130" s="34" t="str">
        <f aca="false">IF(F130&lt;&gt;"",F130,IF(E130="","",IFERROR(INDEX(I_Item!$C$6:$C$255,MATCH(E130,I_Item!$A$6:$A$255,0)),"KODE BARU")))</f>
        <v>RPA|Usus|Fresh</v>
      </c>
      <c r="H130" s="45" t="n">
        <v>150.2</v>
      </c>
      <c r="I130" s="42" t="n">
        <v>1500</v>
      </c>
      <c r="J130" s="11" t="n">
        <f aca="false">IF(H130="","",H130*I130)</f>
        <v>225300</v>
      </c>
      <c r="K130" s="42"/>
      <c r="L130" s="11" t="n">
        <f aca="false">IF(H130="","",IF(K130&lt;&gt;"",K130,H130*IFERROR(INDEX(O_Stok!$Q$6:$Q$85,MATCH(G130,O_Stok!$A$6:$A$85,0)),0)))</f>
        <v>522050.798964845</v>
      </c>
      <c r="M130" s="11" t="n">
        <f aca="false">IF(H130="","",J130-L130)</f>
        <v>-296750.798964845</v>
      </c>
      <c r="N130" s="34" t="str">
        <f aca="false">IF(G130="","",IFERROR(INDEX(I_Master!$B$6:$B$85,MATCH(G130,I_Master!$A$6:$A$85,0)),"?"))</f>
        <v>RPA</v>
      </c>
      <c r="O130" s="34" t="str">
        <f aca="false">IF(G130="","",IFERROR(INDEX(I_Master!$E$6:$E$85,MATCH(G130,I_Master!$A$6:$A$85,0)),"?"))</f>
        <v>By-product</v>
      </c>
      <c r="P130" s="46" t="n">
        <f aca="false">IF(H130="","",IF(OR(A130&lt;I_Parameter!$C$5,A130&gt;I_Parameter!$C$6),0,IF(B130="Aktual",1,IF(AND(B130="Order",A130&gt;=I_Parameter!$C$4),1,0))))</f>
        <v>1</v>
      </c>
    </row>
    <row r="131" customFormat="false" ht="15" hidden="false" customHeight="false" outlineLevel="0" collapsed="false">
      <c r="A131" s="37" t="n">
        <v>46263</v>
      </c>
      <c r="B131" s="44" t="s">
        <v>462</v>
      </c>
      <c r="C131" s="44" t="s">
        <v>504</v>
      </c>
      <c r="D131" s="44" t="s">
        <v>440</v>
      </c>
      <c r="E131" s="44" t="s">
        <v>441</v>
      </c>
      <c r="F131" s="44"/>
      <c r="G131" s="34" t="str">
        <f aca="false">IF(F131&lt;&gt;"",F131,IF(E131="","",IFERROR(INDEX(I_Item!$C$6:$C$255,MATCH(E131,I_Item!$A$6:$A$255,0)),"KODE BARU")))</f>
        <v>RPA|Ceker|Fresh</v>
      </c>
      <c r="H131" s="45" t="n">
        <v>100.2</v>
      </c>
      <c r="I131" s="42" t="n">
        <v>3101</v>
      </c>
      <c r="J131" s="11" t="n">
        <f aca="false">IF(H131="","",H131*I131)</f>
        <v>310720.2</v>
      </c>
      <c r="K131" s="42"/>
      <c r="L131" s="11" t="n">
        <f aca="false">IF(H131="","",IF(K131&lt;&gt;"",K131,H131*IFERROR(INDEX(O_Stok!$Q$6:$Q$85,MATCH(G131,O_Stok!$A$6:$A$85,0)),0)))</f>
        <v>1602793.36209827</v>
      </c>
      <c r="M131" s="11" t="n">
        <f aca="false">IF(H131="","",J131-L131)</f>
        <v>-1292073.16209827</v>
      </c>
      <c r="N131" s="34" t="str">
        <f aca="false">IF(G131="","",IFERROR(INDEX(I_Master!$B$6:$B$85,MATCH(G131,I_Master!$A$6:$A$85,0)),"?"))</f>
        <v>RPA</v>
      </c>
      <c r="O131" s="34" t="str">
        <f aca="false">IF(G131="","",IFERROR(INDEX(I_Master!$E$6:$E$85,MATCH(G131,I_Master!$A$6:$A$85,0)),"?"))</f>
        <v>By-product</v>
      </c>
      <c r="P131" s="46" t="n">
        <f aca="false">IF(H131="","",IF(OR(A131&lt;I_Parameter!$C$5,A131&gt;I_Parameter!$C$6),0,IF(B131="Aktual",1,IF(AND(B131="Order",A131&gt;=I_Parameter!$C$4),1,0))))</f>
        <v>1</v>
      </c>
    </row>
    <row r="132" customFormat="false" ht="15" hidden="false" customHeight="false" outlineLevel="0" collapsed="false">
      <c r="A132" s="37" t="n">
        <v>46263</v>
      </c>
      <c r="B132" s="44" t="s">
        <v>462</v>
      </c>
      <c r="C132" s="44" t="s">
        <v>504</v>
      </c>
      <c r="D132" s="44" t="s">
        <v>440</v>
      </c>
      <c r="E132" s="44" t="s">
        <v>442</v>
      </c>
      <c r="F132" s="44"/>
      <c r="G132" s="34" t="str">
        <f aca="false">IF(F132&lt;&gt;"",F132,IF(E132="","",IFERROR(INDEX(I_Item!$C$6:$C$255,MATCH(E132,I_Item!$A$6:$A$255,0)),"KODE BARU")))</f>
        <v>RPA|HJA (Hati/Jantung/Ampela)|Fresh</v>
      </c>
      <c r="H132" s="45" t="n">
        <v>215</v>
      </c>
      <c r="I132" s="42" t="n">
        <v>4515</v>
      </c>
      <c r="J132" s="11" t="n">
        <f aca="false">IF(H132="","",H132*I132)</f>
        <v>970725</v>
      </c>
      <c r="K132" s="42"/>
      <c r="L132" s="11" t="n">
        <f aca="false">IF(H132="","",IF(K132&lt;&gt;"",K132,H132*IFERROR(INDEX(O_Stok!$Q$6:$Q$85,MATCH(G132,O_Stok!$A$6:$A$85,0)),0)))</f>
        <v>818203.492204105</v>
      </c>
      <c r="M132" s="11" t="n">
        <f aca="false">IF(H132="","",J132-L132)</f>
        <v>152521.507795895</v>
      </c>
      <c r="N132" s="34" t="str">
        <f aca="false">IF(G132="","",IFERROR(INDEX(I_Master!$B$6:$B$85,MATCH(G132,I_Master!$A$6:$A$85,0)),"?"))</f>
        <v>RPA</v>
      </c>
      <c r="O132" s="34" t="str">
        <f aca="false">IF(G132="","",IFERROR(INDEX(I_Master!$E$6:$E$85,MATCH(G132,I_Master!$A$6:$A$85,0)),"?"))</f>
        <v>By-product</v>
      </c>
      <c r="P132" s="46" t="n">
        <f aca="false">IF(H132="","",IF(OR(A132&lt;I_Parameter!$C$5,A132&gt;I_Parameter!$C$6),0,IF(B132="Aktual",1,IF(AND(B132="Order",A132&gt;=I_Parameter!$C$4),1,0))))</f>
        <v>1</v>
      </c>
    </row>
    <row r="133" customFormat="false" ht="15" hidden="false" customHeight="false" outlineLevel="0" collapsed="false">
      <c r="A133" s="37" t="n">
        <v>46263</v>
      </c>
      <c r="B133" s="44" t="s">
        <v>462</v>
      </c>
      <c r="C133" s="44" t="s">
        <v>504</v>
      </c>
      <c r="D133" s="44" t="s">
        <v>440</v>
      </c>
      <c r="E133" s="44" t="s">
        <v>443</v>
      </c>
      <c r="F133" s="44"/>
      <c r="G133" s="34" t="str">
        <f aca="false">IF(F133&lt;&gt;"",F133,IF(E133="","",IFERROR(INDEX(I_Item!$C$6:$C$255,MATCH(E133,I_Item!$A$6:$A$255,0)),"KODE BARU")))</f>
        <v>RPA|Kepala|Fresh</v>
      </c>
      <c r="H133" s="45" t="n">
        <v>159.9</v>
      </c>
      <c r="I133" s="42" t="n">
        <v>4029</v>
      </c>
      <c r="J133" s="11" t="n">
        <f aca="false">IF(H133="","",H133*I133)</f>
        <v>644237.1</v>
      </c>
      <c r="K133" s="42"/>
      <c r="L133" s="11" t="n">
        <f aca="false">IF(H133="","",IF(K133&lt;&gt;"",K133,H133*IFERROR(INDEX(O_Stok!$Q$6:$Q$85,MATCH(G133,O_Stok!$A$6:$A$85,0)),0)))</f>
        <v>2137554.67572093</v>
      </c>
      <c r="M133" s="11" t="n">
        <f aca="false">IF(H133="","",J133-L133)</f>
        <v>-1493317.57572093</v>
      </c>
      <c r="N133" s="34" t="str">
        <f aca="false">IF(G133="","",IFERROR(INDEX(I_Master!$B$6:$B$85,MATCH(G133,I_Master!$A$6:$A$85,0)),"?"))</f>
        <v>RPA</v>
      </c>
      <c r="O133" s="34" t="str">
        <f aca="false">IF(G133="","",IFERROR(INDEX(I_Master!$E$6:$E$85,MATCH(G133,I_Master!$A$6:$A$85,0)),"?"))</f>
        <v>By-product</v>
      </c>
      <c r="P133" s="46" t="n">
        <f aca="false">IF(H133="","",IF(OR(A133&lt;I_Parameter!$C$5,A133&gt;I_Parameter!$C$6),0,IF(B133="Aktual",1,IF(AND(B133="Order",A133&gt;=I_Parameter!$C$4),1,0))))</f>
        <v>1</v>
      </c>
    </row>
    <row r="134" customFormat="false" ht="15" hidden="false" customHeight="false" outlineLevel="0" collapsed="false">
      <c r="A134" s="37" t="n">
        <v>46263</v>
      </c>
      <c r="B134" s="44" t="s">
        <v>462</v>
      </c>
      <c r="C134" s="44" t="s">
        <v>504</v>
      </c>
      <c r="D134" s="44" t="s">
        <v>440</v>
      </c>
      <c r="E134" s="44" t="s">
        <v>444</v>
      </c>
      <c r="F134" s="44"/>
      <c r="G134" s="34" t="str">
        <f aca="false">IF(F134&lt;&gt;"",F134,IF(E134="","",IFERROR(INDEX(I_Item!$C$6:$C$255,MATCH(E134,I_Item!$A$6:$A$255,0)),"KODE BARU")))</f>
        <v>RPA|Usus|Fresh</v>
      </c>
      <c r="H134" s="45" t="n">
        <v>174.6</v>
      </c>
      <c r="I134" s="42" t="n">
        <v>1500</v>
      </c>
      <c r="J134" s="11" t="n">
        <f aca="false">IF(H134="","",H134*I134)</f>
        <v>261900</v>
      </c>
      <c r="K134" s="42"/>
      <c r="L134" s="11" t="n">
        <f aca="false">IF(H134="","",IF(K134&lt;&gt;"",K134,H134*IFERROR(INDEX(O_Stok!$Q$6:$Q$85,MATCH(G134,O_Stok!$A$6:$A$85,0)),0)))</f>
        <v>606857.986013728</v>
      </c>
      <c r="M134" s="11" t="n">
        <f aca="false">IF(H134="","",J134-L134)</f>
        <v>-344957.986013728</v>
      </c>
      <c r="N134" s="34" t="str">
        <f aca="false">IF(G134="","",IFERROR(INDEX(I_Master!$B$6:$B$85,MATCH(G134,I_Master!$A$6:$A$85,0)),"?"))</f>
        <v>RPA</v>
      </c>
      <c r="O134" s="34" t="str">
        <f aca="false">IF(G134="","",IFERROR(INDEX(I_Master!$E$6:$E$85,MATCH(G134,I_Master!$A$6:$A$85,0)),"?"))</f>
        <v>By-product</v>
      </c>
      <c r="P134" s="46" t="n">
        <f aca="false">IF(H134="","",IF(OR(A134&lt;I_Parameter!$C$5,A134&gt;I_Parameter!$C$6),0,IF(B134="Aktual",1,IF(AND(B134="Order",A134&gt;=I_Parameter!$C$4),1,0))))</f>
        <v>1</v>
      </c>
    </row>
    <row r="135" customFormat="false" ht="15" hidden="false" customHeight="false" outlineLevel="0" collapsed="false">
      <c r="A135" s="37" t="n">
        <v>46263</v>
      </c>
      <c r="B135" s="44" t="s">
        <v>462</v>
      </c>
      <c r="C135" s="44" t="s">
        <v>505</v>
      </c>
      <c r="D135" s="44" t="s">
        <v>440</v>
      </c>
      <c r="E135" s="44" t="s">
        <v>448</v>
      </c>
      <c r="F135" s="44"/>
      <c r="G135" s="34" t="str">
        <f aca="false">IF(F135&lt;&gt;"",F135,IF(E135="","",IFERROR(INDEX(I_Item!$C$6:$C$255,MATCH(E135,I_Item!$A$6:$A$255,0)),"KODE BARU")))</f>
        <v>RPA|Karkas|Frozen</v>
      </c>
      <c r="H135" s="45" t="n">
        <v>14</v>
      </c>
      <c r="I135" s="42" t="n">
        <v>31658</v>
      </c>
      <c r="J135" s="11" t="n">
        <f aca="false">IF(H135="","",H135*I135)</f>
        <v>443212</v>
      </c>
      <c r="K135" s="42"/>
      <c r="L135" s="11" t="n">
        <f aca="false">IF(H135="","",IF(K135&lt;&gt;"",K135,H135*IFERROR(INDEX(O_Stok!$Q$6:$Q$85,MATCH(G135,O_Stok!$A$6:$A$85,0)),0)))</f>
        <v>492148.145816888</v>
      </c>
      <c r="M135" s="11" t="n">
        <f aca="false">IF(H135="","",J135-L135)</f>
        <v>-48936.1458168884</v>
      </c>
      <c r="N135" s="34" t="str">
        <f aca="false">IF(G135="","",IFERROR(INDEX(I_Master!$B$6:$B$85,MATCH(G135,I_Master!$A$6:$A$85,0)),"?"))</f>
        <v>RPA</v>
      </c>
      <c r="O135" s="34" t="str">
        <f aca="false">IF(G135="","",IFERROR(INDEX(I_Master!$E$6:$E$85,MATCH(G135,I_Master!$A$6:$A$85,0)),"?"))</f>
        <v>Karkas frozen</v>
      </c>
      <c r="P135" s="46" t="n">
        <f aca="false">IF(H135="","",IF(OR(A135&lt;I_Parameter!$C$5,A135&gt;I_Parameter!$C$6),0,IF(B135="Aktual",1,IF(AND(B135="Order",A135&gt;=I_Parameter!$C$4),1,0))))</f>
        <v>1</v>
      </c>
    </row>
    <row r="136" customFormat="false" ht="15" hidden="false" customHeight="false" outlineLevel="0" collapsed="false">
      <c r="A136" s="37" t="n">
        <v>46263</v>
      </c>
      <c r="B136" s="44" t="s">
        <v>462</v>
      </c>
      <c r="C136" s="44" t="s">
        <v>505</v>
      </c>
      <c r="D136" s="44" t="s">
        <v>440</v>
      </c>
      <c r="E136" s="44" t="s">
        <v>497</v>
      </c>
      <c r="F136" s="44"/>
      <c r="G136" s="34" t="str">
        <f aca="false">IF(F136&lt;&gt;"",F136,IF(E136="","",IFERROR(INDEX(I_Item!$C$6:$C$255,MATCH(E136,I_Item!$A$6:$A$255,0)),"KODE BARU")))</f>
        <v>RPA|Karkas|Frozen</v>
      </c>
      <c r="H136" s="45" t="n">
        <v>16.1</v>
      </c>
      <c r="I136" s="42" t="n">
        <v>31658</v>
      </c>
      <c r="J136" s="11" t="n">
        <f aca="false">IF(H136="","",H136*I136)</f>
        <v>509693.8</v>
      </c>
      <c r="K136" s="42"/>
      <c r="L136" s="11" t="n">
        <f aca="false">IF(H136="","",IF(K136&lt;&gt;"",K136,H136*IFERROR(INDEX(O_Stok!$Q$6:$Q$85,MATCH(G136,O_Stok!$A$6:$A$85,0)),0)))</f>
        <v>565970.367689422</v>
      </c>
      <c r="M136" s="11" t="n">
        <f aca="false">IF(H136="","",J136-L136)</f>
        <v>-56276.5676894216</v>
      </c>
      <c r="N136" s="34" t="str">
        <f aca="false">IF(G136="","",IFERROR(INDEX(I_Master!$B$6:$B$85,MATCH(G136,I_Master!$A$6:$A$85,0)),"?"))</f>
        <v>RPA</v>
      </c>
      <c r="O136" s="34" t="str">
        <f aca="false">IF(G136="","",IFERROR(INDEX(I_Master!$E$6:$E$85,MATCH(G136,I_Master!$A$6:$A$85,0)),"?"))</f>
        <v>Karkas frozen</v>
      </c>
      <c r="P136" s="46" t="n">
        <f aca="false">IF(H136="","",IF(OR(A136&lt;I_Parameter!$C$5,A136&gt;I_Parameter!$C$6),0,IF(B136="Aktual",1,IF(AND(B136="Order",A136&gt;=I_Parameter!$C$4),1,0))))</f>
        <v>1</v>
      </c>
    </row>
    <row r="137" customFormat="false" ht="15" hidden="false" customHeight="false" outlineLevel="0" collapsed="false">
      <c r="A137" s="37" t="n">
        <v>46263</v>
      </c>
      <c r="B137" s="44" t="s">
        <v>462</v>
      </c>
      <c r="C137" s="44" t="s">
        <v>506</v>
      </c>
      <c r="D137" s="44" t="s">
        <v>440</v>
      </c>
      <c r="E137" s="44" t="s">
        <v>472</v>
      </c>
      <c r="F137" s="44"/>
      <c r="G137" s="34" t="str">
        <f aca="false">IF(F137&lt;&gt;"",F137,IF(E137="","",IFERROR(INDEX(I_Item!$C$6:$C$255,MATCH(E137,I_Item!$A$6:$A$255,0)),"KODE BARU")))</f>
        <v>RPA|Karkas|Frozen</v>
      </c>
      <c r="H137" s="45" t="n">
        <v>302.8</v>
      </c>
      <c r="I137" s="42" t="n">
        <v>31658</v>
      </c>
      <c r="J137" s="11" t="n">
        <f aca="false">IF(H137="","",H137*I137)</f>
        <v>9586042.4</v>
      </c>
      <c r="K137" s="42"/>
      <c r="L137" s="11" t="n">
        <f aca="false">IF(H137="","",IF(K137&lt;&gt;"",K137,H137*IFERROR(INDEX(O_Stok!$Q$6:$Q$85,MATCH(G137,O_Stok!$A$6:$A$85,0)),0)))</f>
        <v>10644461.3252396</v>
      </c>
      <c r="M137" s="11" t="n">
        <f aca="false">IF(H137="","",J137-L137)</f>
        <v>-1058418.92523956</v>
      </c>
      <c r="N137" s="34" t="str">
        <f aca="false">IF(G137="","",IFERROR(INDEX(I_Master!$B$6:$B$85,MATCH(G137,I_Master!$A$6:$A$85,0)),"?"))</f>
        <v>RPA</v>
      </c>
      <c r="O137" s="34" t="str">
        <f aca="false">IF(G137="","",IFERROR(INDEX(I_Master!$E$6:$E$85,MATCH(G137,I_Master!$A$6:$A$85,0)),"?"))</f>
        <v>Karkas frozen</v>
      </c>
      <c r="P137" s="46" t="n">
        <f aca="false">IF(H137="","",IF(OR(A137&lt;I_Parameter!$C$5,A137&gt;I_Parameter!$C$6),0,IF(B137="Aktual",1,IF(AND(B137="Order",A137&gt;=I_Parameter!$C$4),1,0))))</f>
        <v>1</v>
      </c>
    </row>
    <row r="138" customFormat="false" ht="15" hidden="false" customHeight="false" outlineLevel="0" collapsed="false">
      <c r="A138" s="37"/>
      <c r="B138" s="44"/>
      <c r="C138" s="44"/>
      <c r="D138" s="44"/>
      <c r="E138" s="44"/>
      <c r="F138" s="44"/>
      <c r="G138" s="34" t="str">
        <f aca="false">IF(F138&lt;&gt;"",F138,IF(E138="","",IFERROR(INDEX(I_Item!$C$6:$C$255,MATCH(E138,I_Item!$A$6:$A$255,0)),"KODE BARU")))</f>
        <v/>
      </c>
      <c r="H138" s="45"/>
      <c r="I138" s="42"/>
      <c r="J138" s="11" t="str">
        <f aca="false">IF(H138="","",H138*I138)</f>
        <v/>
      </c>
      <c r="K138" s="42"/>
      <c r="L138" s="11" t="str">
        <f aca="false">IF(H138="","",IF(K138&lt;&gt;"",K138,H138*IFERROR(INDEX(O_Stok!$Q$6:$Q$85,MATCH(G138,O_Stok!$A$6:$A$85,0)),0)))</f>
        <v/>
      </c>
      <c r="M138" s="11" t="str">
        <f aca="false">IF(H138="","",J138-L138)</f>
        <v/>
      </c>
      <c r="N138" s="34" t="str">
        <f aca="false">IF(G138="","",IFERROR(INDEX(I_Master!$B$6:$B$85,MATCH(G138,I_Master!$A$6:$A$85,0)),"?"))</f>
        <v/>
      </c>
      <c r="O138" s="34" t="str">
        <f aca="false">IF(G138="","",IFERROR(INDEX(I_Master!$E$6:$E$85,MATCH(G138,I_Master!$A$6:$A$85,0)),"?"))</f>
        <v/>
      </c>
      <c r="P138" s="46" t="str">
        <f aca="false">IF(H138="","",IF(OR(A138&lt;I_Parameter!$C$5,A138&gt;I_Parameter!$C$6),0,IF(B138="Aktual",1,IF(AND(B138="Order",A138&gt;=I_Parameter!$C$4),1,0))))</f>
        <v/>
      </c>
    </row>
    <row r="139" customFormat="false" ht="15" hidden="false" customHeight="false" outlineLevel="0" collapsed="false">
      <c r="A139" s="37"/>
      <c r="B139" s="44"/>
      <c r="C139" s="44"/>
      <c r="D139" s="44"/>
      <c r="E139" s="44"/>
      <c r="F139" s="44"/>
      <c r="G139" s="34" t="str">
        <f aca="false">IF(F139&lt;&gt;"",F139,IF(E139="","",IFERROR(INDEX(I_Item!$C$6:$C$255,MATCH(E139,I_Item!$A$6:$A$255,0)),"KODE BARU")))</f>
        <v/>
      </c>
      <c r="H139" s="45"/>
      <c r="I139" s="42"/>
      <c r="J139" s="11" t="str">
        <f aca="false">IF(H139="","",H139*I139)</f>
        <v/>
      </c>
      <c r="K139" s="42"/>
      <c r="L139" s="11" t="str">
        <f aca="false">IF(H139="","",IF(K139&lt;&gt;"",K139,H139*IFERROR(INDEX(O_Stok!$Q$6:$Q$85,MATCH(G139,O_Stok!$A$6:$A$85,0)),0)))</f>
        <v/>
      </c>
      <c r="M139" s="11" t="str">
        <f aca="false">IF(H139="","",J139-L139)</f>
        <v/>
      </c>
      <c r="N139" s="34" t="str">
        <f aca="false">IF(G139="","",IFERROR(INDEX(I_Master!$B$6:$B$85,MATCH(G139,I_Master!$A$6:$A$85,0)),"?"))</f>
        <v/>
      </c>
      <c r="O139" s="34" t="str">
        <f aca="false">IF(G139="","",IFERROR(INDEX(I_Master!$E$6:$E$85,MATCH(G139,I_Master!$A$6:$A$85,0)),"?"))</f>
        <v/>
      </c>
      <c r="P139" s="46" t="str">
        <f aca="false">IF(H139="","",IF(OR(A139&lt;I_Parameter!$C$5,A139&gt;I_Parameter!$C$6),0,IF(B139="Aktual",1,IF(AND(B139="Order",A139&gt;=I_Parameter!$C$4),1,0))))</f>
        <v/>
      </c>
    </row>
    <row r="140" customFormat="false" ht="15" hidden="false" customHeight="false" outlineLevel="0" collapsed="false">
      <c r="A140" s="37"/>
      <c r="B140" s="44"/>
      <c r="C140" s="44"/>
      <c r="D140" s="44"/>
      <c r="E140" s="44"/>
      <c r="F140" s="44"/>
      <c r="G140" s="34" t="str">
        <f aca="false">IF(F140&lt;&gt;"",F140,IF(E140="","",IFERROR(INDEX(I_Item!$C$6:$C$255,MATCH(E140,I_Item!$A$6:$A$255,0)),"KODE BARU")))</f>
        <v/>
      </c>
      <c r="H140" s="45"/>
      <c r="I140" s="42"/>
      <c r="J140" s="11" t="str">
        <f aca="false">IF(H140="","",H140*I140)</f>
        <v/>
      </c>
      <c r="K140" s="42"/>
      <c r="L140" s="11" t="str">
        <f aca="false">IF(H140="","",IF(K140&lt;&gt;"",K140,H140*IFERROR(INDEX(O_Stok!$Q$6:$Q$85,MATCH(G140,O_Stok!$A$6:$A$85,0)),0)))</f>
        <v/>
      </c>
      <c r="M140" s="11" t="str">
        <f aca="false">IF(H140="","",J140-L140)</f>
        <v/>
      </c>
      <c r="N140" s="34" t="str">
        <f aca="false">IF(G140="","",IFERROR(INDEX(I_Master!$B$6:$B$85,MATCH(G140,I_Master!$A$6:$A$85,0)),"?"))</f>
        <v/>
      </c>
      <c r="O140" s="34" t="str">
        <f aca="false">IF(G140="","",IFERROR(INDEX(I_Master!$E$6:$E$85,MATCH(G140,I_Master!$A$6:$A$85,0)),"?"))</f>
        <v/>
      </c>
      <c r="P140" s="46" t="str">
        <f aca="false">IF(H140="","",IF(OR(A140&lt;I_Parameter!$C$5,A140&gt;I_Parameter!$C$6),0,IF(B140="Aktual",1,IF(AND(B140="Order",A140&gt;=I_Parameter!$C$4),1,0))))</f>
        <v/>
      </c>
    </row>
    <row r="141" customFormat="false" ht="15" hidden="false" customHeight="false" outlineLevel="0" collapsed="false">
      <c r="A141" s="37"/>
      <c r="B141" s="44"/>
      <c r="C141" s="44"/>
      <c r="D141" s="44"/>
      <c r="E141" s="44"/>
      <c r="F141" s="44"/>
      <c r="G141" s="34" t="str">
        <f aca="false">IF(F141&lt;&gt;"",F141,IF(E141="","",IFERROR(INDEX(I_Item!$C$6:$C$255,MATCH(E141,I_Item!$A$6:$A$255,0)),"KODE BARU")))</f>
        <v/>
      </c>
      <c r="H141" s="45"/>
      <c r="I141" s="42"/>
      <c r="J141" s="11" t="str">
        <f aca="false">IF(H141="","",H141*I141)</f>
        <v/>
      </c>
      <c r="K141" s="42"/>
      <c r="L141" s="11" t="str">
        <f aca="false">IF(H141="","",IF(K141&lt;&gt;"",K141,H141*IFERROR(INDEX(O_Stok!$Q$6:$Q$85,MATCH(G141,O_Stok!$A$6:$A$85,0)),0)))</f>
        <v/>
      </c>
      <c r="M141" s="11" t="str">
        <f aca="false">IF(H141="","",J141-L141)</f>
        <v/>
      </c>
      <c r="N141" s="34" t="str">
        <f aca="false">IF(G141="","",IFERROR(INDEX(I_Master!$B$6:$B$85,MATCH(G141,I_Master!$A$6:$A$85,0)),"?"))</f>
        <v/>
      </c>
      <c r="O141" s="34" t="str">
        <f aca="false">IF(G141="","",IFERROR(INDEX(I_Master!$E$6:$E$85,MATCH(G141,I_Master!$A$6:$A$85,0)),"?"))</f>
        <v/>
      </c>
      <c r="P141" s="46" t="str">
        <f aca="false">IF(H141="","",IF(OR(A141&lt;I_Parameter!$C$5,A141&gt;I_Parameter!$C$6),0,IF(B141="Aktual",1,IF(AND(B141="Order",A141&gt;=I_Parameter!$C$4),1,0))))</f>
        <v/>
      </c>
    </row>
    <row r="142" customFormat="false" ht="15" hidden="false" customHeight="false" outlineLevel="0" collapsed="false">
      <c r="A142" s="37"/>
      <c r="B142" s="44"/>
      <c r="C142" s="44"/>
      <c r="D142" s="44"/>
      <c r="E142" s="44"/>
      <c r="F142" s="44"/>
      <c r="G142" s="34" t="str">
        <f aca="false">IF(F142&lt;&gt;"",F142,IF(E142="","",IFERROR(INDEX(I_Item!$C$6:$C$255,MATCH(E142,I_Item!$A$6:$A$255,0)),"KODE BARU")))</f>
        <v/>
      </c>
      <c r="H142" s="45"/>
      <c r="I142" s="42"/>
      <c r="J142" s="11" t="str">
        <f aca="false">IF(H142="","",H142*I142)</f>
        <v/>
      </c>
      <c r="K142" s="42"/>
      <c r="L142" s="11" t="str">
        <f aca="false">IF(H142="","",IF(K142&lt;&gt;"",K142,H142*IFERROR(INDEX(O_Stok!$Q$6:$Q$85,MATCH(G142,O_Stok!$A$6:$A$85,0)),0)))</f>
        <v/>
      </c>
      <c r="M142" s="11" t="str">
        <f aca="false">IF(H142="","",J142-L142)</f>
        <v/>
      </c>
      <c r="N142" s="34" t="str">
        <f aca="false">IF(G142="","",IFERROR(INDEX(I_Master!$B$6:$B$85,MATCH(G142,I_Master!$A$6:$A$85,0)),"?"))</f>
        <v/>
      </c>
      <c r="O142" s="34" t="str">
        <f aca="false">IF(G142="","",IFERROR(INDEX(I_Master!$E$6:$E$85,MATCH(G142,I_Master!$A$6:$A$85,0)),"?"))</f>
        <v/>
      </c>
      <c r="P142" s="46" t="str">
        <f aca="false">IF(H142="","",IF(OR(A142&lt;I_Parameter!$C$5,A142&gt;I_Parameter!$C$6),0,IF(B142="Aktual",1,IF(AND(B142="Order",A142&gt;=I_Parameter!$C$4),1,0))))</f>
        <v/>
      </c>
    </row>
    <row r="143" customFormat="false" ht="15" hidden="false" customHeight="false" outlineLevel="0" collapsed="false">
      <c r="A143" s="37"/>
      <c r="B143" s="44"/>
      <c r="C143" s="44"/>
      <c r="D143" s="44"/>
      <c r="E143" s="44"/>
      <c r="F143" s="44"/>
      <c r="G143" s="34" t="str">
        <f aca="false">IF(F143&lt;&gt;"",F143,IF(E143="","",IFERROR(INDEX(I_Item!$C$6:$C$255,MATCH(E143,I_Item!$A$6:$A$255,0)),"KODE BARU")))</f>
        <v/>
      </c>
      <c r="H143" s="45"/>
      <c r="I143" s="42"/>
      <c r="J143" s="11" t="str">
        <f aca="false">IF(H143="","",H143*I143)</f>
        <v/>
      </c>
      <c r="K143" s="42"/>
      <c r="L143" s="11" t="str">
        <f aca="false">IF(H143="","",IF(K143&lt;&gt;"",K143,H143*IFERROR(INDEX(O_Stok!$Q$6:$Q$85,MATCH(G143,O_Stok!$A$6:$A$85,0)),0)))</f>
        <v/>
      </c>
      <c r="M143" s="11" t="str">
        <f aca="false">IF(H143="","",J143-L143)</f>
        <v/>
      </c>
      <c r="N143" s="34" t="str">
        <f aca="false">IF(G143="","",IFERROR(INDEX(I_Master!$B$6:$B$85,MATCH(G143,I_Master!$A$6:$A$85,0)),"?"))</f>
        <v/>
      </c>
      <c r="O143" s="34" t="str">
        <f aca="false">IF(G143="","",IFERROR(INDEX(I_Master!$E$6:$E$85,MATCH(G143,I_Master!$A$6:$A$85,0)),"?"))</f>
        <v/>
      </c>
      <c r="P143" s="46" t="str">
        <f aca="false">IF(H143="","",IF(OR(A143&lt;I_Parameter!$C$5,A143&gt;I_Parameter!$C$6),0,IF(B143="Aktual",1,IF(AND(B143="Order",A143&gt;=I_Parameter!$C$4),1,0))))</f>
        <v/>
      </c>
    </row>
    <row r="144" customFormat="false" ht="15" hidden="false" customHeight="false" outlineLevel="0" collapsed="false">
      <c r="A144" s="37"/>
      <c r="B144" s="44"/>
      <c r="C144" s="44"/>
      <c r="D144" s="44"/>
      <c r="E144" s="44"/>
      <c r="F144" s="44"/>
      <c r="G144" s="34" t="str">
        <f aca="false">IF(F144&lt;&gt;"",F144,IF(E144="","",IFERROR(INDEX(I_Item!$C$6:$C$255,MATCH(E144,I_Item!$A$6:$A$255,0)),"KODE BARU")))</f>
        <v/>
      </c>
      <c r="H144" s="45"/>
      <c r="I144" s="42"/>
      <c r="J144" s="11" t="str">
        <f aca="false">IF(H144="","",H144*I144)</f>
        <v/>
      </c>
      <c r="K144" s="42"/>
      <c r="L144" s="11" t="str">
        <f aca="false">IF(H144="","",IF(K144&lt;&gt;"",K144,H144*IFERROR(INDEX(O_Stok!$Q$6:$Q$85,MATCH(G144,O_Stok!$A$6:$A$85,0)),0)))</f>
        <v/>
      </c>
      <c r="M144" s="11" t="str">
        <f aca="false">IF(H144="","",J144-L144)</f>
        <v/>
      </c>
      <c r="N144" s="34" t="str">
        <f aca="false">IF(G144="","",IFERROR(INDEX(I_Master!$B$6:$B$85,MATCH(G144,I_Master!$A$6:$A$85,0)),"?"))</f>
        <v/>
      </c>
      <c r="O144" s="34" t="str">
        <f aca="false">IF(G144="","",IFERROR(INDEX(I_Master!$E$6:$E$85,MATCH(G144,I_Master!$A$6:$A$85,0)),"?"))</f>
        <v/>
      </c>
      <c r="P144" s="46" t="str">
        <f aca="false">IF(H144="","",IF(OR(A144&lt;I_Parameter!$C$5,A144&gt;I_Parameter!$C$6),0,IF(B144="Aktual",1,IF(AND(B144="Order",A144&gt;=I_Parameter!$C$4),1,0))))</f>
        <v/>
      </c>
    </row>
    <row r="145" customFormat="false" ht="15" hidden="false" customHeight="false" outlineLevel="0" collapsed="false">
      <c r="A145" s="37"/>
      <c r="B145" s="44"/>
      <c r="C145" s="44"/>
      <c r="D145" s="44"/>
      <c r="E145" s="44"/>
      <c r="F145" s="44"/>
      <c r="G145" s="34" t="str">
        <f aca="false">IF(F145&lt;&gt;"",F145,IF(E145="","",IFERROR(INDEX(I_Item!$C$6:$C$255,MATCH(E145,I_Item!$A$6:$A$255,0)),"KODE BARU")))</f>
        <v/>
      </c>
      <c r="H145" s="45"/>
      <c r="I145" s="42"/>
      <c r="J145" s="11" t="str">
        <f aca="false">IF(H145="","",H145*I145)</f>
        <v/>
      </c>
      <c r="K145" s="42"/>
      <c r="L145" s="11" t="str">
        <f aca="false">IF(H145="","",IF(K145&lt;&gt;"",K145,H145*IFERROR(INDEX(O_Stok!$Q$6:$Q$85,MATCH(G145,O_Stok!$A$6:$A$85,0)),0)))</f>
        <v/>
      </c>
      <c r="M145" s="11" t="str">
        <f aca="false">IF(H145="","",J145-L145)</f>
        <v/>
      </c>
      <c r="N145" s="34" t="str">
        <f aca="false">IF(G145="","",IFERROR(INDEX(I_Master!$B$6:$B$85,MATCH(G145,I_Master!$A$6:$A$85,0)),"?"))</f>
        <v/>
      </c>
      <c r="O145" s="34" t="str">
        <f aca="false">IF(G145="","",IFERROR(INDEX(I_Master!$E$6:$E$85,MATCH(G145,I_Master!$A$6:$A$85,0)),"?"))</f>
        <v/>
      </c>
      <c r="P145" s="46" t="str">
        <f aca="false">IF(H145="","",IF(OR(A145&lt;I_Parameter!$C$5,A145&gt;I_Parameter!$C$6),0,IF(B145="Aktual",1,IF(AND(B145="Order",A145&gt;=I_Parameter!$C$4),1,0))))</f>
        <v/>
      </c>
    </row>
    <row r="146" customFormat="false" ht="15" hidden="false" customHeight="false" outlineLevel="0" collapsed="false">
      <c r="A146" s="37"/>
      <c r="B146" s="44"/>
      <c r="C146" s="44"/>
      <c r="D146" s="44"/>
      <c r="E146" s="44"/>
      <c r="F146" s="44"/>
      <c r="G146" s="34" t="str">
        <f aca="false">IF(F146&lt;&gt;"",F146,IF(E146="","",IFERROR(INDEX(I_Item!$C$6:$C$255,MATCH(E146,I_Item!$A$6:$A$255,0)),"KODE BARU")))</f>
        <v/>
      </c>
      <c r="H146" s="45"/>
      <c r="I146" s="42"/>
      <c r="J146" s="11" t="str">
        <f aca="false">IF(H146="","",H146*I146)</f>
        <v/>
      </c>
      <c r="K146" s="42"/>
      <c r="L146" s="11" t="str">
        <f aca="false">IF(H146="","",IF(K146&lt;&gt;"",K146,H146*IFERROR(INDEX(O_Stok!$Q$6:$Q$85,MATCH(G146,O_Stok!$A$6:$A$85,0)),0)))</f>
        <v/>
      </c>
      <c r="M146" s="11" t="str">
        <f aca="false">IF(H146="","",J146-L146)</f>
        <v/>
      </c>
      <c r="N146" s="34" t="str">
        <f aca="false">IF(G146="","",IFERROR(INDEX(I_Master!$B$6:$B$85,MATCH(G146,I_Master!$A$6:$A$85,0)),"?"))</f>
        <v/>
      </c>
      <c r="O146" s="34" t="str">
        <f aca="false">IF(G146="","",IFERROR(INDEX(I_Master!$E$6:$E$85,MATCH(G146,I_Master!$A$6:$A$85,0)),"?"))</f>
        <v/>
      </c>
      <c r="P146" s="46" t="str">
        <f aca="false">IF(H146="","",IF(OR(A146&lt;I_Parameter!$C$5,A146&gt;I_Parameter!$C$6),0,IF(B146="Aktual",1,IF(AND(B146="Order",A146&gt;=I_Parameter!$C$4),1,0))))</f>
        <v/>
      </c>
    </row>
    <row r="147" customFormat="false" ht="15" hidden="false" customHeight="false" outlineLevel="0" collapsed="false">
      <c r="A147" s="37"/>
      <c r="B147" s="44"/>
      <c r="C147" s="44"/>
      <c r="D147" s="44"/>
      <c r="E147" s="44"/>
      <c r="F147" s="44"/>
      <c r="G147" s="34" t="str">
        <f aca="false">IF(F147&lt;&gt;"",F147,IF(E147="","",IFERROR(INDEX(I_Item!$C$6:$C$255,MATCH(E147,I_Item!$A$6:$A$255,0)),"KODE BARU")))</f>
        <v/>
      </c>
      <c r="H147" s="45"/>
      <c r="I147" s="42"/>
      <c r="J147" s="11" t="str">
        <f aca="false">IF(H147="","",H147*I147)</f>
        <v/>
      </c>
      <c r="K147" s="42"/>
      <c r="L147" s="11" t="str">
        <f aca="false">IF(H147="","",IF(K147&lt;&gt;"",K147,H147*IFERROR(INDEX(O_Stok!$Q$6:$Q$85,MATCH(G147,O_Stok!$A$6:$A$85,0)),0)))</f>
        <v/>
      </c>
      <c r="M147" s="11" t="str">
        <f aca="false">IF(H147="","",J147-L147)</f>
        <v/>
      </c>
      <c r="N147" s="34" t="str">
        <f aca="false">IF(G147="","",IFERROR(INDEX(I_Master!$B$6:$B$85,MATCH(G147,I_Master!$A$6:$A$85,0)),"?"))</f>
        <v/>
      </c>
      <c r="O147" s="34" t="str">
        <f aca="false">IF(G147="","",IFERROR(INDEX(I_Master!$E$6:$E$85,MATCH(G147,I_Master!$A$6:$A$85,0)),"?"))</f>
        <v/>
      </c>
      <c r="P147" s="46" t="str">
        <f aca="false">IF(H147="","",IF(OR(A147&lt;I_Parameter!$C$5,A147&gt;I_Parameter!$C$6),0,IF(B147="Aktual",1,IF(AND(B147="Order",A147&gt;=I_Parameter!$C$4),1,0))))</f>
        <v/>
      </c>
    </row>
    <row r="148" customFormat="false" ht="15" hidden="false" customHeight="false" outlineLevel="0" collapsed="false">
      <c r="A148" s="37"/>
      <c r="B148" s="44"/>
      <c r="C148" s="44"/>
      <c r="D148" s="44"/>
      <c r="E148" s="44"/>
      <c r="F148" s="44"/>
      <c r="G148" s="34" t="str">
        <f aca="false">IF(F148&lt;&gt;"",F148,IF(E148="","",IFERROR(INDEX(I_Item!$C$6:$C$255,MATCH(E148,I_Item!$A$6:$A$255,0)),"KODE BARU")))</f>
        <v/>
      </c>
      <c r="H148" s="45"/>
      <c r="I148" s="42"/>
      <c r="J148" s="11" t="str">
        <f aca="false">IF(H148="","",H148*I148)</f>
        <v/>
      </c>
      <c r="K148" s="42"/>
      <c r="L148" s="11" t="str">
        <f aca="false">IF(H148="","",IF(K148&lt;&gt;"",K148,H148*IFERROR(INDEX(O_Stok!$Q$6:$Q$85,MATCH(G148,O_Stok!$A$6:$A$85,0)),0)))</f>
        <v/>
      </c>
      <c r="M148" s="11" t="str">
        <f aca="false">IF(H148="","",J148-L148)</f>
        <v/>
      </c>
      <c r="N148" s="34" t="str">
        <f aca="false">IF(G148="","",IFERROR(INDEX(I_Master!$B$6:$B$85,MATCH(G148,I_Master!$A$6:$A$85,0)),"?"))</f>
        <v/>
      </c>
      <c r="O148" s="34" t="str">
        <f aca="false">IF(G148="","",IFERROR(INDEX(I_Master!$E$6:$E$85,MATCH(G148,I_Master!$A$6:$A$85,0)),"?"))</f>
        <v/>
      </c>
      <c r="P148" s="46" t="str">
        <f aca="false">IF(H148="","",IF(OR(A148&lt;I_Parameter!$C$5,A148&gt;I_Parameter!$C$6),0,IF(B148="Aktual",1,IF(AND(B148="Order",A148&gt;=I_Parameter!$C$4),1,0))))</f>
        <v/>
      </c>
    </row>
    <row r="149" customFormat="false" ht="15" hidden="false" customHeight="false" outlineLevel="0" collapsed="false">
      <c r="A149" s="37"/>
      <c r="B149" s="44"/>
      <c r="C149" s="44"/>
      <c r="D149" s="44"/>
      <c r="E149" s="44"/>
      <c r="F149" s="44"/>
      <c r="G149" s="34" t="str">
        <f aca="false">IF(F149&lt;&gt;"",F149,IF(E149="","",IFERROR(INDEX(I_Item!$C$6:$C$255,MATCH(E149,I_Item!$A$6:$A$255,0)),"KODE BARU")))</f>
        <v/>
      </c>
      <c r="H149" s="45"/>
      <c r="I149" s="42"/>
      <c r="J149" s="11" t="str">
        <f aca="false">IF(H149="","",H149*I149)</f>
        <v/>
      </c>
      <c r="K149" s="42"/>
      <c r="L149" s="11" t="str">
        <f aca="false">IF(H149="","",IF(K149&lt;&gt;"",K149,H149*IFERROR(INDEX(O_Stok!$Q$6:$Q$85,MATCH(G149,O_Stok!$A$6:$A$85,0)),0)))</f>
        <v/>
      </c>
      <c r="M149" s="11" t="str">
        <f aca="false">IF(H149="","",J149-L149)</f>
        <v/>
      </c>
      <c r="N149" s="34" t="str">
        <f aca="false">IF(G149="","",IFERROR(INDEX(I_Master!$B$6:$B$85,MATCH(G149,I_Master!$A$6:$A$85,0)),"?"))</f>
        <v/>
      </c>
      <c r="O149" s="34" t="str">
        <f aca="false">IF(G149="","",IFERROR(INDEX(I_Master!$E$6:$E$85,MATCH(G149,I_Master!$A$6:$A$85,0)),"?"))</f>
        <v/>
      </c>
      <c r="P149" s="46" t="str">
        <f aca="false">IF(H149="","",IF(OR(A149&lt;I_Parameter!$C$5,A149&gt;I_Parameter!$C$6),0,IF(B149="Aktual",1,IF(AND(B149="Order",A149&gt;=I_Parameter!$C$4),1,0))))</f>
        <v/>
      </c>
    </row>
    <row r="150" customFormat="false" ht="15" hidden="false" customHeight="false" outlineLevel="0" collapsed="false">
      <c r="A150" s="37"/>
      <c r="B150" s="44"/>
      <c r="C150" s="44"/>
      <c r="D150" s="44"/>
      <c r="E150" s="44"/>
      <c r="F150" s="44"/>
      <c r="G150" s="34" t="str">
        <f aca="false">IF(F150&lt;&gt;"",F150,IF(E150="","",IFERROR(INDEX(I_Item!$C$6:$C$255,MATCH(E150,I_Item!$A$6:$A$255,0)),"KODE BARU")))</f>
        <v/>
      </c>
      <c r="H150" s="45"/>
      <c r="I150" s="42"/>
      <c r="J150" s="11" t="str">
        <f aca="false">IF(H150="","",H150*I150)</f>
        <v/>
      </c>
      <c r="K150" s="42"/>
      <c r="L150" s="11" t="str">
        <f aca="false">IF(H150="","",IF(K150&lt;&gt;"",K150,H150*IFERROR(INDEX(O_Stok!$Q$6:$Q$85,MATCH(G150,O_Stok!$A$6:$A$85,0)),0)))</f>
        <v/>
      </c>
      <c r="M150" s="11" t="str">
        <f aca="false">IF(H150="","",J150-L150)</f>
        <v/>
      </c>
      <c r="N150" s="34" t="str">
        <f aca="false">IF(G150="","",IFERROR(INDEX(I_Master!$B$6:$B$85,MATCH(G150,I_Master!$A$6:$A$85,0)),"?"))</f>
        <v/>
      </c>
      <c r="O150" s="34" t="str">
        <f aca="false">IF(G150="","",IFERROR(INDEX(I_Master!$E$6:$E$85,MATCH(G150,I_Master!$A$6:$A$85,0)),"?"))</f>
        <v/>
      </c>
      <c r="P150" s="46" t="str">
        <f aca="false">IF(H150="","",IF(OR(A150&lt;I_Parameter!$C$5,A150&gt;I_Parameter!$C$6),0,IF(B150="Aktual",1,IF(AND(B150="Order",A150&gt;=I_Parameter!$C$4),1,0))))</f>
        <v/>
      </c>
    </row>
    <row r="151" customFormat="false" ht="15" hidden="false" customHeight="false" outlineLevel="0" collapsed="false">
      <c r="A151" s="37"/>
      <c r="B151" s="44"/>
      <c r="C151" s="44"/>
      <c r="D151" s="44"/>
      <c r="E151" s="44"/>
      <c r="F151" s="44"/>
      <c r="G151" s="34" t="str">
        <f aca="false">IF(F151&lt;&gt;"",F151,IF(E151="","",IFERROR(INDEX(I_Item!$C$6:$C$255,MATCH(E151,I_Item!$A$6:$A$255,0)),"KODE BARU")))</f>
        <v/>
      </c>
      <c r="H151" s="45"/>
      <c r="I151" s="42"/>
      <c r="J151" s="11" t="str">
        <f aca="false">IF(H151="","",H151*I151)</f>
        <v/>
      </c>
      <c r="K151" s="42"/>
      <c r="L151" s="11" t="str">
        <f aca="false">IF(H151="","",IF(K151&lt;&gt;"",K151,H151*IFERROR(INDEX(O_Stok!$Q$6:$Q$85,MATCH(G151,O_Stok!$A$6:$A$85,0)),0)))</f>
        <v/>
      </c>
      <c r="M151" s="11" t="str">
        <f aca="false">IF(H151="","",J151-L151)</f>
        <v/>
      </c>
      <c r="N151" s="34" t="str">
        <f aca="false">IF(G151="","",IFERROR(INDEX(I_Master!$B$6:$B$85,MATCH(G151,I_Master!$A$6:$A$85,0)),"?"))</f>
        <v/>
      </c>
      <c r="O151" s="34" t="str">
        <f aca="false">IF(G151="","",IFERROR(INDEX(I_Master!$E$6:$E$85,MATCH(G151,I_Master!$A$6:$A$85,0)),"?"))</f>
        <v/>
      </c>
      <c r="P151" s="46" t="str">
        <f aca="false">IF(H151="","",IF(OR(A151&lt;I_Parameter!$C$5,A151&gt;I_Parameter!$C$6),0,IF(B151="Aktual",1,IF(AND(B151="Order",A151&gt;=I_Parameter!$C$4),1,0))))</f>
        <v/>
      </c>
    </row>
    <row r="152" customFormat="false" ht="15" hidden="false" customHeight="false" outlineLevel="0" collapsed="false">
      <c r="A152" s="37"/>
      <c r="B152" s="44"/>
      <c r="C152" s="44"/>
      <c r="D152" s="44"/>
      <c r="E152" s="44"/>
      <c r="F152" s="44"/>
      <c r="G152" s="34" t="str">
        <f aca="false">IF(F152&lt;&gt;"",F152,IF(E152="","",IFERROR(INDEX(I_Item!$C$6:$C$255,MATCH(E152,I_Item!$A$6:$A$255,0)),"KODE BARU")))</f>
        <v/>
      </c>
      <c r="H152" s="45"/>
      <c r="I152" s="42"/>
      <c r="J152" s="11" t="str">
        <f aca="false">IF(H152="","",H152*I152)</f>
        <v/>
      </c>
      <c r="K152" s="42"/>
      <c r="L152" s="11" t="str">
        <f aca="false">IF(H152="","",IF(K152&lt;&gt;"",K152,H152*IFERROR(INDEX(O_Stok!$Q$6:$Q$85,MATCH(G152,O_Stok!$A$6:$A$85,0)),0)))</f>
        <v/>
      </c>
      <c r="M152" s="11" t="str">
        <f aca="false">IF(H152="","",J152-L152)</f>
        <v/>
      </c>
      <c r="N152" s="34" t="str">
        <f aca="false">IF(G152="","",IFERROR(INDEX(I_Master!$B$6:$B$85,MATCH(G152,I_Master!$A$6:$A$85,0)),"?"))</f>
        <v/>
      </c>
      <c r="O152" s="34" t="str">
        <f aca="false">IF(G152="","",IFERROR(INDEX(I_Master!$E$6:$E$85,MATCH(G152,I_Master!$A$6:$A$85,0)),"?"))</f>
        <v/>
      </c>
      <c r="P152" s="46" t="str">
        <f aca="false">IF(H152="","",IF(OR(A152&lt;I_Parameter!$C$5,A152&gt;I_Parameter!$C$6),0,IF(B152="Aktual",1,IF(AND(B152="Order",A152&gt;=I_Parameter!$C$4),1,0))))</f>
        <v/>
      </c>
    </row>
    <row r="153" customFormat="false" ht="15" hidden="false" customHeight="false" outlineLevel="0" collapsed="false">
      <c r="A153" s="37"/>
      <c r="B153" s="44"/>
      <c r="C153" s="44"/>
      <c r="D153" s="44"/>
      <c r="E153" s="44"/>
      <c r="F153" s="44"/>
      <c r="G153" s="34" t="str">
        <f aca="false">IF(F153&lt;&gt;"",F153,IF(E153="","",IFERROR(INDEX(I_Item!$C$6:$C$255,MATCH(E153,I_Item!$A$6:$A$255,0)),"KODE BARU")))</f>
        <v/>
      </c>
      <c r="H153" s="45"/>
      <c r="I153" s="42"/>
      <c r="J153" s="11" t="str">
        <f aca="false">IF(H153="","",H153*I153)</f>
        <v/>
      </c>
      <c r="K153" s="42"/>
      <c r="L153" s="11" t="str">
        <f aca="false">IF(H153="","",IF(K153&lt;&gt;"",K153,H153*IFERROR(INDEX(O_Stok!$Q$6:$Q$85,MATCH(G153,O_Stok!$A$6:$A$85,0)),0)))</f>
        <v/>
      </c>
      <c r="M153" s="11" t="str">
        <f aca="false">IF(H153="","",J153-L153)</f>
        <v/>
      </c>
      <c r="N153" s="34" t="str">
        <f aca="false">IF(G153="","",IFERROR(INDEX(I_Master!$B$6:$B$85,MATCH(G153,I_Master!$A$6:$A$85,0)),"?"))</f>
        <v/>
      </c>
      <c r="O153" s="34" t="str">
        <f aca="false">IF(G153="","",IFERROR(INDEX(I_Master!$E$6:$E$85,MATCH(G153,I_Master!$A$6:$A$85,0)),"?"))</f>
        <v/>
      </c>
      <c r="P153" s="46" t="str">
        <f aca="false">IF(H153="","",IF(OR(A153&lt;I_Parameter!$C$5,A153&gt;I_Parameter!$C$6),0,IF(B153="Aktual",1,IF(AND(B153="Order",A153&gt;=I_Parameter!$C$4),1,0))))</f>
        <v/>
      </c>
    </row>
    <row r="154" customFormat="false" ht="15" hidden="false" customHeight="false" outlineLevel="0" collapsed="false">
      <c r="A154" s="37"/>
      <c r="B154" s="44"/>
      <c r="C154" s="44"/>
      <c r="D154" s="44"/>
      <c r="E154" s="44"/>
      <c r="F154" s="44"/>
      <c r="G154" s="34" t="str">
        <f aca="false">IF(F154&lt;&gt;"",F154,IF(E154="","",IFERROR(INDEX(I_Item!$C$6:$C$255,MATCH(E154,I_Item!$A$6:$A$255,0)),"KODE BARU")))</f>
        <v/>
      </c>
      <c r="H154" s="45"/>
      <c r="I154" s="42"/>
      <c r="J154" s="11" t="str">
        <f aca="false">IF(H154="","",H154*I154)</f>
        <v/>
      </c>
      <c r="K154" s="42"/>
      <c r="L154" s="11" t="str">
        <f aca="false">IF(H154="","",IF(K154&lt;&gt;"",K154,H154*IFERROR(INDEX(O_Stok!$Q$6:$Q$85,MATCH(G154,O_Stok!$A$6:$A$85,0)),0)))</f>
        <v/>
      </c>
      <c r="M154" s="11" t="str">
        <f aca="false">IF(H154="","",J154-L154)</f>
        <v/>
      </c>
      <c r="N154" s="34" t="str">
        <f aca="false">IF(G154="","",IFERROR(INDEX(I_Master!$B$6:$B$85,MATCH(G154,I_Master!$A$6:$A$85,0)),"?"))</f>
        <v/>
      </c>
      <c r="O154" s="34" t="str">
        <f aca="false">IF(G154="","",IFERROR(INDEX(I_Master!$E$6:$E$85,MATCH(G154,I_Master!$A$6:$A$85,0)),"?"))</f>
        <v/>
      </c>
      <c r="P154" s="46" t="str">
        <f aca="false">IF(H154="","",IF(OR(A154&lt;I_Parameter!$C$5,A154&gt;I_Parameter!$C$6),0,IF(B154="Aktual",1,IF(AND(B154="Order",A154&gt;=I_Parameter!$C$4),1,0))))</f>
        <v/>
      </c>
    </row>
    <row r="155" customFormat="false" ht="15" hidden="false" customHeight="false" outlineLevel="0" collapsed="false">
      <c r="A155" s="37"/>
      <c r="B155" s="44"/>
      <c r="C155" s="44"/>
      <c r="D155" s="44"/>
      <c r="E155" s="44"/>
      <c r="F155" s="44"/>
      <c r="G155" s="34" t="str">
        <f aca="false">IF(F155&lt;&gt;"",F155,IF(E155="","",IFERROR(INDEX(I_Item!$C$6:$C$255,MATCH(E155,I_Item!$A$6:$A$255,0)),"KODE BARU")))</f>
        <v/>
      </c>
      <c r="H155" s="45"/>
      <c r="I155" s="42"/>
      <c r="J155" s="11" t="str">
        <f aca="false">IF(H155="","",H155*I155)</f>
        <v/>
      </c>
      <c r="K155" s="42"/>
      <c r="L155" s="11" t="str">
        <f aca="false">IF(H155="","",IF(K155&lt;&gt;"",K155,H155*IFERROR(INDEX(O_Stok!$Q$6:$Q$85,MATCH(G155,O_Stok!$A$6:$A$85,0)),0)))</f>
        <v/>
      </c>
      <c r="M155" s="11" t="str">
        <f aca="false">IF(H155="","",J155-L155)</f>
        <v/>
      </c>
      <c r="N155" s="34" t="str">
        <f aca="false">IF(G155="","",IFERROR(INDEX(I_Master!$B$6:$B$85,MATCH(G155,I_Master!$A$6:$A$85,0)),"?"))</f>
        <v/>
      </c>
      <c r="O155" s="34" t="str">
        <f aca="false">IF(G155="","",IFERROR(INDEX(I_Master!$E$6:$E$85,MATCH(G155,I_Master!$A$6:$A$85,0)),"?"))</f>
        <v/>
      </c>
      <c r="P155" s="46" t="str">
        <f aca="false">IF(H155="","",IF(OR(A155&lt;I_Parameter!$C$5,A155&gt;I_Parameter!$C$6),0,IF(B155="Aktual",1,IF(AND(B155="Order",A155&gt;=I_Parameter!$C$4),1,0))))</f>
        <v/>
      </c>
    </row>
    <row r="156" customFormat="false" ht="15" hidden="false" customHeight="false" outlineLevel="0" collapsed="false">
      <c r="A156" s="37"/>
      <c r="B156" s="44"/>
      <c r="C156" s="44"/>
      <c r="D156" s="44"/>
      <c r="E156" s="44"/>
      <c r="F156" s="44"/>
      <c r="G156" s="34" t="str">
        <f aca="false">IF(F156&lt;&gt;"",F156,IF(E156="","",IFERROR(INDEX(I_Item!$C$6:$C$255,MATCH(E156,I_Item!$A$6:$A$255,0)),"KODE BARU")))</f>
        <v/>
      </c>
      <c r="H156" s="45"/>
      <c r="I156" s="42"/>
      <c r="J156" s="11" t="str">
        <f aca="false">IF(H156="","",H156*I156)</f>
        <v/>
      </c>
      <c r="K156" s="42"/>
      <c r="L156" s="11" t="str">
        <f aca="false">IF(H156="","",IF(K156&lt;&gt;"",K156,H156*IFERROR(INDEX(O_Stok!$Q$6:$Q$85,MATCH(G156,O_Stok!$A$6:$A$85,0)),0)))</f>
        <v/>
      </c>
      <c r="M156" s="11" t="str">
        <f aca="false">IF(H156="","",J156-L156)</f>
        <v/>
      </c>
      <c r="N156" s="34" t="str">
        <f aca="false">IF(G156="","",IFERROR(INDEX(I_Master!$B$6:$B$85,MATCH(G156,I_Master!$A$6:$A$85,0)),"?"))</f>
        <v/>
      </c>
      <c r="O156" s="34" t="str">
        <f aca="false">IF(G156="","",IFERROR(INDEX(I_Master!$E$6:$E$85,MATCH(G156,I_Master!$A$6:$A$85,0)),"?"))</f>
        <v/>
      </c>
      <c r="P156" s="46" t="str">
        <f aca="false">IF(H156="","",IF(OR(A156&lt;I_Parameter!$C$5,A156&gt;I_Parameter!$C$6),0,IF(B156="Aktual",1,IF(AND(B156="Order",A156&gt;=I_Parameter!$C$4),1,0))))</f>
        <v/>
      </c>
    </row>
    <row r="157" customFormat="false" ht="15" hidden="false" customHeight="false" outlineLevel="0" collapsed="false">
      <c r="A157" s="37"/>
      <c r="B157" s="44"/>
      <c r="C157" s="44"/>
      <c r="D157" s="44"/>
      <c r="E157" s="44"/>
      <c r="F157" s="44"/>
      <c r="G157" s="34" t="str">
        <f aca="false">IF(F157&lt;&gt;"",F157,IF(E157="","",IFERROR(INDEX(I_Item!$C$6:$C$255,MATCH(E157,I_Item!$A$6:$A$255,0)),"KODE BARU")))</f>
        <v/>
      </c>
      <c r="H157" s="45"/>
      <c r="I157" s="42"/>
      <c r="J157" s="11" t="str">
        <f aca="false">IF(H157="","",H157*I157)</f>
        <v/>
      </c>
      <c r="K157" s="42"/>
      <c r="L157" s="11" t="str">
        <f aca="false">IF(H157="","",IF(K157&lt;&gt;"",K157,H157*IFERROR(INDEX(O_Stok!$Q$6:$Q$85,MATCH(G157,O_Stok!$A$6:$A$85,0)),0)))</f>
        <v/>
      </c>
      <c r="M157" s="11" t="str">
        <f aca="false">IF(H157="","",J157-L157)</f>
        <v/>
      </c>
      <c r="N157" s="34" t="str">
        <f aca="false">IF(G157="","",IFERROR(INDEX(I_Master!$B$6:$B$85,MATCH(G157,I_Master!$A$6:$A$85,0)),"?"))</f>
        <v/>
      </c>
      <c r="O157" s="34" t="str">
        <f aca="false">IF(G157="","",IFERROR(INDEX(I_Master!$E$6:$E$85,MATCH(G157,I_Master!$A$6:$A$85,0)),"?"))</f>
        <v/>
      </c>
      <c r="P157" s="46" t="str">
        <f aca="false">IF(H157="","",IF(OR(A157&lt;I_Parameter!$C$5,A157&gt;I_Parameter!$C$6),0,IF(B157="Aktual",1,IF(AND(B157="Order",A157&gt;=I_Parameter!$C$4),1,0))))</f>
        <v/>
      </c>
    </row>
    <row r="158" customFormat="false" ht="15" hidden="false" customHeight="false" outlineLevel="0" collapsed="false">
      <c r="A158" s="37"/>
      <c r="B158" s="44"/>
      <c r="C158" s="44"/>
      <c r="D158" s="44"/>
      <c r="E158" s="44"/>
      <c r="F158" s="44"/>
      <c r="G158" s="34" t="str">
        <f aca="false">IF(F158&lt;&gt;"",F158,IF(E158="","",IFERROR(INDEX(I_Item!$C$6:$C$255,MATCH(E158,I_Item!$A$6:$A$255,0)),"KODE BARU")))</f>
        <v/>
      </c>
      <c r="H158" s="45"/>
      <c r="I158" s="42"/>
      <c r="J158" s="11" t="str">
        <f aca="false">IF(H158="","",H158*I158)</f>
        <v/>
      </c>
      <c r="K158" s="42"/>
      <c r="L158" s="11" t="str">
        <f aca="false">IF(H158="","",IF(K158&lt;&gt;"",K158,H158*IFERROR(INDEX(O_Stok!$Q$6:$Q$85,MATCH(G158,O_Stok!$A$6:$A$85,0)),0)))</f>
        <v/>
      </c>
      <c r="M158" s="11" t="str">
        <f aca="false">IF(H158="","",J158-L158)</f>
        <v/>
      </c>
      <c r="N158" s="34" t="str">
        <f aca="false">IF(G158="","",IFERROR(INDEX(I_Master!$B$6:$B$85,MATCH(G158,I_Master!$A$6:$A$85,0)),"?"))</f>
        <v/>
      </c>
      <c r="O158" s="34" t="str">
        <f aca="false">IF(G158="","",IFERROR(INDEX(I_Master!$E$6:$E$85,MATCH(G158,I_Master!$A$6:$A$85,0)),"?"))</f>
        <v/>
      </c>
      <c r="P158" s="46" t="str">
        <f aca="false">IF(H158="","",IF(OR(A158&lt;I_Parameter!$C$5,A158&gt;I_Parameter!$C$6),0,IF(B158="Aktual",1,IF(AND(B158="Order",A158&gt;=I_Parameter!$C$4),1,0))))</f>
        <v/>
      </c>
    </row>
    <row r="159" customFormat="false" ht="15" hidden="false" customHeight="false" outlineLevel="0" collapsed="false">
      <c r="A159" s="37"/>
      <c r="B159" s="44"/>
      <c r="C159" s="44"/>
      <c r="D159" s="44"/>
      <c r="E159" s="44"/>
      <c r="F159" s="44"/>
      <c r="G159" s="34" t="str">
        <f aca="false">IF(F159&lt;&gt;"",F159,IF(E159="","",IFERROR(INDEX(I_Item!$C$6:$C$255,MATCH(E159,I_Item!$A$6:$A$255,0)),"KODE BARU")))</f>
        <v/>
      </c>
      <c r="H159" s="45"/>
      <c r="I159" s="42"/>
      <c r="J159" s="11" t="str">
        <f aca="false">IF(H159="","",H159*I159)</f>
        <v/>
      </c>
      <c r="K159" s="42"/>
      <c r="L159" s="11" t="str">
        <f aca="false">IF(H159="","",IF(K159&lt;&gt;"",K159,H159*IFERROR(INDEX(O_Stok!$Q$6:$Q$85,MATCH(G159,O_Stok!$A$6:$A$85,0)),0)))</f>
        <v/>
      </c>
      <c r="M159" s="11" t="str">
        <f aca="false">IF(H159="","",J159-L159)</f>
        <v/>
      </c>
      <c r="N159" s="34" t="str">
        <f aca="false">IF(G159="","",IFERROR(INDEX(I_Master!$B$6:$B$85,MATCH(G159,I_Master!$A$6:$A$85,0)),"?"))</f>
        <v/>
      </c>
      <c r="O159" s="34" t="str">
        <f aca="false">IF(G159="","",IFERROR(INDEX(I_Master!$E$6:$E$85,MATCH(G159,I_Master!$A$6:$A$85,0)),"?"))</f>
        <v/>
      </c>
      <c r="P159" s="46" t="str">
        <f aca="false">IF(H159="","",IF(OR(A159&lt;I_Parameter!$C$5,A159&gt;I_Parameter!$C$6),0,IF(B159="Aktual",1,IF(AND(B159="Order",A159&gt;=I_Parameter!$C$4),1,0))))</f>
        <v/>
      </c>
    </row>
    <row r="160" customFormat="false" ht="15" hidden="false" customHeight="false" outlineLevel="0" collapsed="false">
      <c r="A160" s="37"/>
      <c r="B160" s="44"/>
      <c r="C160" s="44"/>
      <c r="D160" s="44"/>
      <c r="E160" s="44"/>
      <c r="F160" s="44"/>
      <c r="G160" s="34" t="str">
        <f aca="false">IF(F160&lt;&gt;"",F160,IF(E160="","",IFERROR(INDEX(I_Item!$C$6:$C$255,MATCH(E160,I_Item!$A$6:$A$255,0)),"KODE BARU")))</f>
        <v/>
      </c>
      <c r="H160" s="45"/>
      <c r="I160" s="42"/>
      <c r="J160" s="11" t="str">
        <f aca="false">IF(H160="","",H160*I160)</f>
        <v/>
      </c>
      <c r="K160" s="42"/>
      <c r="L160" s="11" t="str">
        <f aca="false">IF(H160="","",IF(K160&lt;&gt;"",K160,H160*IFERROR(INDEX(O_Stok!$Q$6:$Q$85,MATCH(G160,O_Stok!$A$6:$A$85,0)),0)))</f>
        <v/>
      </c>
      <c r="M160" s="11" t="str">
        <f aca="false">IF(H160="","",J160-L160)</f>
        <v/>
      </c>
      <c r="N160" s="34" t="str">
        <f aca="false">IF(G160="","",IFERROR(INDEX(I_Master!$B$6:$B$85,MATCH(G160,I_Master!$A$6:$A$85,0)),"?"))</f>
        <v/>
      </c>
      <c r="O160" s="34" t="str">
        <f aca="false">IF(G160="","",IFERROR(INDEX(I_Master!$E$6:$E$85,MATCH(G160,I_Master!$A$6:$A$85,0)),"?"))</f>
        <v/>
      </c>
      <c r="P160" s="46" t="str">
        <f aca="false">IF(H160="","",IF(OR(A160&lt;I_Parameter!$C$5,A160&gt;I_Parameter!$C$6),0,IF(B160="Aktual",1,IF(AND(B160="Order",A160&gt;=I_Parameter!$C$4),1,0))))</f>
        <v/>
      </c>
    </row>
    <row r="161" customFormat="false" ht="15" hidden="false" customHeight="false" outlineLevel="0" collapsed="false">
      <c r="A161" s="37"/>
      <c r="B161" s="44"/>
      <c r="C161" s="44"/>
      <c r="D161" s="44"/>
      <c r="E161" s="44"/>
      <c r="F161" s="44"/>
      <c r="G161" s="34" t="str">
        <f aca="false">IF(F161&lt;&gt;"",F161,IF(E161="","",IFERROR(INDEX(I_Item!$C$6:$C$255,MATCH(E161,I_Item!$A$6:$A$255,0)),"KODE BARU")))</f>
        <v/>
      </c>
      <c r="H161" s="45"/>
      <c r="I161" s="42"/>
      <c r="J161" s="11" t="str">
        <f aca="false">IF(H161="","",H161*I161)</f>
        <v/>
      </c>
      <c r="K161" s="42"/>
      <c r="L161" s="11" t="str">
        <f aca="false">IF(H161="","",IF(K161&lt;&gt;"",K161,H161*IFERROR(INDEX(O_Stok!$Q$6:$Q$85,MATCH(G161,O_Stok!$A$6:$A$85,0)),0)))</f>
        <v/>
      </c>
      <c r="M161" s="11" t="str">
        <f aca="false">IF(H161="","",J161-L161)</f>
        <v/>
      </c>
      <c r="N161" s="34" t="str">
        <f aca="false">IF(G161="","",IFERROR(INDEX(I_Master!$B$6:$B$85,MATCH(G161,I_Master!$A$6:$A$85,0)),"?"))</f>
        <v/>
      </c>
      <c r="O161" s="34" t="str">
        <f aca="false">IF(G161="","",IFERROR(INDEX(I_Master!$E$6:$E$85,MATCH(G161,I_Master!$A$6:$A$85,0)),"?"))</f>
        <v/>
      </c>
      <c r="P161" s="46" t="str">
        <f aca="false">IF(H161="","",IF(OR(A161&lt;I_Parameter!$C$5,A161&gt;I_Parameter!$C$6),0,IF(B161="Aktual",1,IF(AND(B161="Order",A161&gt;=I_Parameter!$C$4),1,0))))</f>
        <v/>
      </c>
    </row>
    <row r="162" customFormat="false" ht="15" hidden="false" customHeight="false" outlineLevel="0" collapsed="false">
      <c r="A162" s="37"/>
      <c r="B162" s="44"/>
      <c r="C162" s="44"/>
      <c r="D162" s="44"/>
      <c r="E162" s="44"/>
      <c r="F162" s="44"/>
      <c r="G162" s="34" t="str">
        <f aca="false">IF(F162&lt;&gt;"",F162,IF(E162="","",IFERROR(INDEX(I_Item!$C$6:$C$255,MATCH(E162,I_Item!$A$6:$A$255,0)),"KODE BARU")))</f>
        <v/>
      </c>
      <c r="H162" s="45"/>
      <c r="I162" s="42"/>
      <c r="J162" s="11" t="str">
        <f aca="false">IF(H162="","",H162*I162)</f>
        <v/>
      </c>
      <c r="K162" s="42"/>
      <c r="L162" s="11" t="str">
        <f aca="false">IF(H162="","",IF(K162&lt;&gt;"",K162,H162*IFERROR(INDEX(O_Stok!$Q$6:$Q$85,MATCH(G162,O_Stok!$A$6:$A$85,0)),0)))</f>
        <v/>
      </c>
      <c r="M162" s="11" t="str">
        <f aca="false">IF(H162="","",J162-L162)</f>
        <v/>
      </c>
      <c r="N162" s="34" t="str">
        <f aca="false">IF(G162="","",IFERROR(INDEX(I_Master!$B$6:$B$85,MATCH(G162,I_Master!$A$6:$A$85,0)),"?"))</f>
        <v/>
      </c>
      <c r="O162" s="34" t="str">
        <f aca="false">IF(G162="","",IFERROR(INDEX(I_Master!$E$6:$E$85,MATCH(G162,I_Master!$A$6:$A$85,0)),"?"))</f>
        <v/>
      </c>
      <c r="P162" s="46" t="str">
        <f aca="false">IF(H162="","",IF(OR(A162&lt;I_Parameter!$C$5,A162&gt;I_Parameter!$C$6),0,IF(B162="Aktual",1,IF(AND(B162="Order",A162&gt;=I_Parameter!$C$4),1,0))))</f>
        <v/>
      </c>
    </row>
    <row r="163" customFormat="false" ht="15" hidden="false" customHeight="false" outlineLevel="0" collapsed="false">
      <c r="A163" s="37"/>
      <c r="B163" s="44"/>
      <c r="C163" s="44"/>
      <c r="D163" s="44"/>
      <c r="E163" s="44"/>
      <c r="F163" s="44"/>
      <c r="G163" s="34" t="str">
        <f aca="false">IF(F163&lt;&gt;"",F163,IF(E163="","",IFERROR(INDEX(I_Item!$C$6:$C$255,MATCH(E163,I_Item!$A$6:$A$255,0)),"KODE BARU")))</f>
        <v/>
      </c>
      <c r="H163" s="45"/>
      <c r="I163" s="42"/>
      <c r="J163" s="11" t="str">
        <f aca="false">IF(H163="","",H163*I163)</f>
        <v/>
      </c>
      <c r="K163" s="42"/>
      <c r="L163" s="11" t="str">
        <f aca="false">IF(H163="","",IF(K163&lt;&gt;"",K163,H163*IFERROR(INDEX(O_Stok!$Q$6:$Q$85,MATCH(G163,O_Stok!$A$6:$A$85,0)),0)))</f>
        <v/>
      </c>
      <c r="M163" s="11" t="str">
        <f aca="false">IF(H163="","",J163-L163)</f>
        <v/>
      </c>
      <c r="N163" s="34" t="str">
        <f aca="false">IF(G163="","",IFERROR(INDEX(I_Master!$B$6:$B$85,MATCH(G163,I_Master!$A$6:$A$85,0)),"?"))</f>
        <v/>
      </c>
      <c r="O163" s="34" t="str">
        <f aca="false">IF(G163="","",IFERROR(INDEX(I_Master!$E$6:$E$85,MATCH(G163,I_Master!$A$6:$A$85,0)),"?"))</f>
        <v/>
      </c>
      <c r="P163" s="46" t="str">
        <f aca="false">IF(H163="","",IF(OR(A163&lt;I_Parameter!$C$5,A163&gt;I_Parameter!$C$6),0,IF(B163="Aktual",1,IF(AND(B163="Order",A163&gt;=I_Parameter!$C$4),1,0))))</f>
        <v/>
      </c>
    </row>
    <row r="164" customFormat="false" ht="15" hidden="false" customHeight="false" outlineLevel="0" collapsed="false">
      <c r="A164" s="37"/>
      <c r="B164" s="44"/>
      <c r="C164" s="44"/>
      <c r="D164" s="44"/>
      <c r="E164" s="44"/>
      <c r="F164" s="44"/>
      <c r="G164" s="34" t="str">
        <f aca="false">IF(F164&lt;&gt;"",F164,IF(E164="","",IFERROR(INDEX(I_Item!$C$6:$C$255,MATCH(E164,I_Item!$A$6:$A$255,0)),"KODE BARU")))</f>
        <v/>
      </c>
      <c r="H164" s="45"/>
      <c r="I164" s="42"/>
      <c r="J164" s="11" t="str">
        <f aca="false">IF(H164="","",H164*I164)</f>
        <v/>
      </c>
      <c r="K164" s="42"/>
      <c r="L164" s="11" t="str">
        <f aca="false">IF(H164="","",IF(K164&lt;&gt;"",K164,H164*IFERROR(INDEX(O_Stok!$Q$6:$Q$85,MATCH(G164,O_Stok!$A$6:$A$85,0)),0)))</f>
        <v/>
      </c>
      <c r="M164" s="11" t="str">
        <f aca="false">IF(H164="","",J164-L164)</f>
        <v/>
      </c>
      <c r="N164" s="34" t="str">
        <f aca="false">IF(G164="","",IFERROR(INDEX(I_Master!$B$6:$B$85,MATCH(G164,I_Master!$A$6:$A$85,0)),"?"))</f>
        <v/>
      </c>
      <c r="O164" s="34" t="str">
        <f aca="false">IF(G164="","",IFERROR(INDEX(I_Master!$E$6:$E$85,MATCH(G164,I_Master!$A$6:$A$85,0)),"?"))</f>
        <v/>
      </c>
      <c r="P164" s="46" t="str">
        <f aca="false">IF(H164="","",IF(OR(A164&lt;I_Parameter!$C$5,A164&gt;I_Parameter!$C$6),0,IF(B164="Aktual",1,IF(AND(B164="Order",A164&gt;=I_Parameter!$C$4),1,0))))</f>
        <v/>
      </c>
    </row>
    <row r="165" customFormat="false" ht="15" hidden="false" customHeight="false" outlineLevel="0" collapsed="false">
      <c r="A165" s="37"/>
      <c r="B165" s="44"/>
      <c r="C165" s="44"/>
      <c r="D165" s="44"/>
      <c r="E165" s="44"/>
      <c r="F165" s="44"/>
      <c r="G165" s="34" t="str">
        <f aca="false">IF(F165&lt;&gt;"",F165,IF(E165="","",IFERROR(INDEX(I_Item!$C$6:$C$255,MATCH(E165,I_Item!$A$6:$A$255,0)),"KODE BARU")))</f>
        <v/>
      </c>
      <c r="H165" s="45"/>
      <c r="I165" s="42"/>
      <c r="J165" s="11" t="str">
        <f aca="false">IF(H165="","",H165*I165)</f>
        <v/>
      </c>
      <c r="K165" s="42"/>
      <c r="L165" s="11" t="str">
        <f aca="false">IF(H165="","",IF(K165&lt;&gt;"",K165,H165*IFERROR(INDEX(O_Stok!$Q$6:$Q$85,MATCH(G165,O_Stok!$A$6:$A$85,0)),0)))</f>
        <v/>
      </c>
      <c r="M165" s="11" t="str">
        <f aca="false">IF(H165="","",J165-L165)</f>
        <v/>
      </c>
      <c r="N165" s="34" t="str">
        <f aca="false">IF(G165="","",IFERROR(INDEX(I_Master!$B$6:$B$85,MATCH(G165,I_Master!$A$6:$A$85,0)),"?"))</f>
        <v/>
      </c>
      <c r="O165" s="34" t="str">
        <f aca="false">IF(G165="","",IFERROR(INDEX(I_Master!$E$6:$E$85,MATCH(G165,I_Master!$A$6:$A$85,0)),"?"))</f>
        <v/>
      </c>
      <c r="P165" s="46" t="str">
        <f aca="false">IF(H165="","",IF(OR(A165&lt;I_Parameter!$C$5,A165&gt;I_Parameter!$C$6),0,IF(B165="Aktual",1,IF(AND(B165="Order",A165&gt;=I_Parameter!$C$4),1,0))))</f>
        <v/>
      </c>
    </row>
    <row r="166" customFormat="false" ht="15" hidden="false" customHeight="false" outlineLevel="0" collapsed="false">
      <c r="A166" s="37"/>
      <c r="B166" s="44"/>
      <c r="C166" s="44"/>
      <c r="D166" s="44"/>
      <c r="E166" s="44"/>
      <c r="F166" s="44"/>
      <c r="G166" s="34" t="str">
        <f aca="false">IF(F166&lt;&gt;"",F166,IF(E166="","",IFERROR(INDEX(I_Item!$C$6:$C$255,MATCH(E166,I_Item!$A$6:$A$255,0)),"KODE BARU")))</f>
        <v/>
      </c>
      <c r="H166" s="45"/>
      <c r="I166" s="42"/>
      <c r="J166" s="11" t="str">
        <f aca="false">IF(H166="","",H166*I166)</f>
        <v/>
      </c>
      <c r="K166" s="42"/>
      <c r="L166" s="11" t="str">
        <f aca="false">IF(H166="","",IF(K166&lt;&gt;"",K166,H166*IFERROR(INDEX(O_Stok!$Q$6:$Q$85,MATCH(G166,O_Stok!$A$6:$A$85,0)),0)))</f>
        <v/>
      </c>
      <c r="M166" s="11" t="str">
        <f aca="false">IF(H166="","",J166-L166)</f>
        <v/>
      </c>
      <c r="N166" s="34" t="str">
        <f aca="false">IF(G166="","",IFERROR(INDEX(I_Master!$B$6:$B$85,MATCH(G166,I_Master!$A$6:$A$85,0)),"?"))</f>
        <v/>
      </c>
      <c r="O166" s="34" t="str">
        <f aca="false">IF(G166="","",IFERROR(INDEX(I_Master!$E$6:$E$85,MATCH(G166,I_Master!$A$6:$A$85,0)),"?"))</f>
        <v/>
      </c>
      <c r="P166" s="46" t="str">
        <f aca="false">IF(H166="","",IF(OR(A166&lt;I_Parameter!$C$5,A166&gt;I_Parameter!$C$6),0,IF(B166="Aktual",1,IF(AND(B166="Order",A166&gt;=I_Parameter!$C$4),1,0))))</f>
        <v/>
      </c>
    </row>
    <row r="167" customFormat="false" ht="15" hidden="false" customHeight="false" outlineLevel="0" collapsed="false">
      <c r="A167" s="37"/>
      <c r="B167" s="44"/>
      <c r="C167" s="44"/>
      <c r="D167" s="44"/>
      <c r="E167" s="44"/>
      <c r="F167" s="44"/>
      <c r="G167" s="34" t="str">
        <f aca="false">IF(F167&lt;&gt;"",F167,IF(E167="","",IFERROR(INDEX(I_Item!$C$6:$C$255,MATCH(E167,I_Item!$A$6:$A$255,0)),"KODE BARU")))</f>
        <v/>
      </c>
      <c r="H167" s="45"/>
      <c r="I167" s="42"/>
      <c r="J167" s="11" t="str">
        <f aca="false">IF(H167="","",H167*I167)</f>
        <v/>
      </c>
      <c r="K167" s="42"/>
      <c r="L167" s="11" t="str">
        <f aca="false">IF(H167="","",IF(K167&lt;&gt;"",K167,H167*IFERROR(INDEX(O_Stok!$Q$6:$Q$85,MATCH(G167,O_Stok!$A$6:$A$85,0)),0)))</f>
        <v/>
      </c>
      <c r="M167" s="11" t="str">
        <f aca="false">IF(H167="","",J167-L167)</f>
        <v/>
      </c>
      <c r="N167" s="34" t="str">
        <f aca="false">IF(G167="","",IFERROR(INDEX(I_Master!$B$6:$B$85,MATCH(G167,I_Master!$A$6:$A$85,0)),"?"))</f>
        <v/>
      </c>
      <c r="O167" s="34" t="str">
        <f aca="false">IF(G167="","",IFERROR(INDEX(I_Master!$E$6:$E$85,MATCH(G167,I_Master!$A$6:$A$85,0)),"?"))</f>
        <v/>
      </c>
      <c r="P167" s="46" t="str">
        <f aca="false">IF(H167="","",IF(OR(A167&lt;I_Parameter!$C$5,A167&gt;I_Parameter!$C$6),0,IF(B167="Aktual",1,IF(AND(B167="Order",A167&gt;=I_Parameter!$C$4),1,0))))</f>
        <v/>
      </c>
    </row>
    <row r="168" customFormat="false" ht="15" hidden="false" customHeight="false" outlineLevel="0" collapsed="false">
      <c r="A168" s="37"/>
      <c r="B168" s="44"/>
      <c r="C168" s="44"/>
      <c r="D168" s="44"/>
      <c r="E168" s="44"/>
      <c r="F168" s="44"/>
      <c r="G168" s="34" t="str">
        <f aca="false">IF(F168&lt;&gt;"",F168,IF(E168="","",IFERROR(INDEX(I_Item!$C$6:$C$255,MATCH(E168,I_Item!$A$6:$A$255,0)),"KODE BARU")))</f>
        <v/>
      </c>
      <c r="H168" s="45"/>
      <c r="I168" s="42"/>
      <c r="J168" s="11" t="str">
        <f aca="false">IF(H168="","",H168*I168)</f>
        <v/>
      </c>
      <c r="K168" s="42"/>
      <c r="L168" s="11" t="str">
        <f aca="false">IF(H168="","",IF(K168&lt;&gt;"",K168,H168*IFERROR(INDEX(O_Stok!$Q$6:$Q$85,MATCH(G168,O_Stok!$A$6:$A$85,0)),0)))</f>
        <v/>
      </c>
      <c r="M168" s="11" t="str">
        <f aca="false">IF(H168="","",J168-L168)</f>
        <v/>
      </c>
      <c r="N168" s="34" t="str">
        <f aca="false">IF(G168="","",IFERROR(INDEX(I_Master!$B$6:$B$85,MATCH(G168,I_Master!$A$6:$A$85,0)),"?"))</f>
        <v/>
      </c>
      <c r="O168" s="34" t="str">
        <f aca="false">IF(G168="","",IFERROR(INDEX(I_Master!$E$6:$E$85,MATCH(G168,I_Master!$A$6:$A$85,0)),"?"))</f>
        <v/>
      </c>
      <c r="P168" s="46" t="str">
        <f aca="false">IF(H168="","",IF(OR(A168&lt;I_Parameter!$C$5,A168&gt;I_Parameter!$C$6),0,IF(B168="Aktual",1,IF(AND(B168="Order",A168&gt;=I_Parameter!$C$4),1,0))))</f>
        <v/>
      </c>
    </row>
    <row r="169" customFormat="false" ht="15" hidden="false" customHeight="false" outlineLevel="0" collapsed="false">
      <c r="A169" s="37"/>
      <c r="B169" s="44"/>
      <c r="C169" s="44"/>
      <c r="D169" s="44"/>
      <c r="E169" s="44"/>
      <c r="F169" s="44"/>
      <c r="G169" s="34" t="str">
        <f aca="false">IF(F169&lt;&gt;"",F169,IF(E169="","",IFERROR(INDEX(I_Item!$C$6:$C$255,MATCH(E169,I_Item!$A$6:$A$255,0)),"KODE BARU")))</f>
        <v/>
      </c>
      <c r="H169" s="45"/>
      <c r="I169" s="42"/>
      <c r="J169" s="11" t="str">
        <f aca="false">IF(H169="","",H169*I169)</f>
        <v/>
      </c>
      <c r="K169" s="42"/>
      <c r="L169" s="11" t="str">
        <f aca="false">IF(H169="","",IF(K169&lt;&gt;"",K169,H169*IFERROR(INDEX(O_Stok!$Q$6:$Q$85,MATCH(G169,O_Stok!$A$6:$A$85,0)),0)))</f>
        <v/>
      </c>
      <c r="M169" s="11" t="str">
        <f aca="false">IF(H169="","",J169-L169)</f>
        <v/>
      </c>
      <c r="N169" s="34" t="str">
        <f aca="false">IF(G169="","",IFERROR(INDEX(I_Master!$B$6:$B$85,MATCH(G169,I_Master!$A$6:$A$85,0)),"?"))</f>
        <v/>
      </c>
      <c r="O169" s="34" t="str">
        <f aca="false">IF(G169="","",IFERROR(INDEX(I_Master!$E$6:$E$85,MATCH(G169,I_Master!$A$6:$A$85,0)),"?"))</f>
        <v/>
      </c>
      <c r="P169" s="46" t="str">
        <f aca="false">IF(H169="","",IF(OR(A169&lt;I_Parameter!$C$5,A169&gt;I_Parameter!$C$6),0,IF(B169="Aktual",1,IF(AND(B169="Order",A169&gt;=I_Parameter!$C$4),1,0))))</f>
        <v/>
      </c>
    </row>
    <row r="170" customFormat="false" ht="15" hidden="false" customHeight="false" outlineLevel="0" collapsed="false">
      <c r="A170" s="37"/>
      <c r="B170" s="44"/>
      <c r="C170" s="44"/>
      <c r="D170" s="44"/>
      <c r="E170" s="44"/>
      <c r="F170" s="44"/>
      <c r="G170" s="34" t="str">
        <f aca="false">IF(F170&lt;&gt;"",F170,IF(E170="","",IFERROR(INDEX(I_Item!$C$6:$C$255,MATCH(E170,I_Item!$A$6:$A$255,0)),"KODE BARU")))</f>
        <v/>
      </c>
      <c r="H170" s="45"/>
      <c r="I170" s="42"/>
      <c r="J170" s="11" t="str">
        <f aca="false">IF(H170="","",H170*I170)</f>
        <v/>
      </c>
      <c r="K170" s="42"/>
      <c r="L170" s="11" t="str">
        <f aca="false">IF(H170="","",IF(K170&lt;&gt;"",K170,H170*IFERROR(INDEX(O_Stok!$Q$6:$Q$85,MATCH(G170,O_Stok!$A$6:$A$85,0)),0)))</f>
        <v/>
      </c>
      <c r="M170" s="11" t="str">
        <f aca="false">IF(H170="","",J170-L170)</f>
        <v/>
      </c>
      <c r="N170" s="34" t="str">
        <f aca="false">IF(G170="","",IFERROR(INDEX(I_Master!$B$6:$B$85,MATCH(G170,I_Master!$A$6:$A$85,0)),"?"))</f>
        <v/>
      </c>
      <c r="O170" s="34" t="str">
        <f aca="false">IF(G170="","",IFERROR(INDEX(I_Master!$E$6:$E$85,MATCH(G170,I_Master!$A$6:$A$85,0)),"?"))</f>
        <v/>
      </c>
      <c r="P170" s="46" t="str">
        <f aca="false">IF(H170="","",IF(OR(A170&lt;I_Parameter!$C$5,A170&gt;I_Parameter!$C$6),0,IF(B170="Aktual",1,IF(AND(B170="Order",A170&gt;=I_Parameter!$C$4),1,0))))</f>
        <v/>
      </c>
    </row>
    <row r="171" customFormat="false" ht="15" hidden="false" customHeight="false" outlineLevel="0" collapsed="false">
      <c r="A171" s="37"/>
      <c r="B171" s="44"/>
      <c r="C171" s="44"/>
      <c r="D171" s="44"/>
      <c r="E171" s="44"/>
      <c r="F171" s="44"/>
      <c r="G171" s="34" t="str">
        <f aca="false">IF(F171&lt;&gt;"",F171,IF(E171="","",IFERROR(INDEX(I_Item!$C$6:$C$255,MATCH(E171,I_Item!$A$6:$A$255,0)),"KODE BARU")))</f>
        <v/>
      </c>
      <c r="H171" s="45"/>
      <c r="I171" s="42"/>
      <c r="J171" s="11" t="str">
        <f aca="false">IF(H171="","",H171*I171)</f>
        <v/>
      </c>
      <c r="K171" s="42"/>
      <c r="L171" s="11" t="str">
        <f aca="false">IF(H171="","",IF(K171&lt;&gt;"",K171,H171*IFERROR(INDEX(O_Stok!$Q$6:$Q$85,MATCH(G171,O_Stok!$A$6:$A$85,0)),0)))</f>
        <v/>
      </c>
      <c r="M171" s="11" t="str">
        <f aca="false">IF(H171="","",J171-L171)</f>
        <v/>
      </c>
      <c r="N171" s="34" t="str">
        <f aca="false">IF(G171="","",IFERROR(INDEX(I_Master!$B$6:$B$85,MATCH(G171,I_Master!$A$6:$A$85,0)),"?"))</f>
        <v/>
      </c>
      <c r="O171" s="34" t="str">
        <f aca="false">IF(G171="","",IFERROR(INDEX(I_Master!$E$6:$E$85,MATCH(G171,I_Master!$A$6:$A$85,0)),"?"))</f>
        <v/>
      </c>
      <c r="P171" s="46" t="str">
        <f aca="false">IF(H171="","",IF(OR(A171&lt;I_Parameter!$C$5,A171&gt;I_Parameter!$C$6),0,IF(B171="Aktual",1,IF(AND(B171="Order",A171&gt;=I_Parameter!$C$4),1,0))))</f>
        <v/>
      </c>
    </row>
    <row r="172" customFormat="false" ht="15" hidden="false" customHeight="false" outlineLevel="0" collapsed="false">
      <c r="A172" s="37"/>
      <c r="B172" s="44"/>
      <c r="C172" s="44"/>
      <c r="D172" s="44"/>
      <c r="E172" s="44"/>
      <c r="F172" s="44"/>
      <c r="G172" s="34" t="str">
        <f aca="false">IF(F172&lt;&gt;"",F172,IF(E172="","",IFERROR(INDEX(I_Item!$C$6:$C$255,MATCH(E172,I_Item!$A$6:$A$255,0)),"KODE BARU")))</f>
        <v/>
      </c>
      <c r="H172" s="45"/>
      <c r="I172" s="42"/>
      <c r="J172" s="11" t="str">
        <f aca="false">IF(H172="","",H172*I172)</f>
        <v/>
      </c>
      <c r="K172" s="42"/>
      <c r="L172" s="11" t="str">
        <f aca="false">IF(H172="","",IF(K172&lt;&gt;"",K172,H172*IFERROR(INDEX(O_Stok!$Q$6:$Q$85,MATCH(G172,O_Stok!$A$6:$A$85,0)),0)))</f>
        <v/>
      </c>
      <c r="M172" s="11" t="str">
        <f aca="false">IF(H172="","",J172-L172)</f>
        <v/>
      </c>
      <c r="N172" s="34" t="str">
        <f aca="false">IF(G172="","",IFERROR(INDEX(I_Master!$B$6:$B$85,MATCH(G172,I_Master!$A$6:$A$85,0)),"?"))</f>
        <v/>
      </c>
      <c r="O172" s="34" t="str">
        <f aca="false">IF(G172="","",IFERROR(INDEX(I_Master!$E$6:$E$85,MATCH(G172,I_Master!$A$6:$A$85,0)),"?"))</f>
        <v/>
      </c>
      <c r="P172" s="46" t="str">
        <f aca="false">IF(H172="","",IF(OR(A172&lt;I_Parameter!$C$5,A172&gt;I_Parameter!$C$6),0,IF(B172="Aktual",1,IF(AND(B172="Order",A172&gt;=I_Parameter!$C$4),1,0))))</f>
        <v/>
      </c>
    </row>
    <row r="173" customFormat="false" ht="15" hidden="false" customHeight="false" outlineLevel="0" collapsed="false">
      <c r="A173" s="37"/>
      <c r="B173" s="44"/>
      <c r="C173" s="44"/>
      <c r="D173" s="44"/>
      <c r="E173" s="44"/>
      <c r="F173" s="44"/>
      <c r="G173" s="34" t="str">
        <f aca="false">IF(F173&lt;&gt;"",F173,IF(E173="","",IFERROR(INDEX(I_Item!$C$6:$C$255,MATCH(E173,I_Item!$A$6:$A$255,0)),"KODE BARU")))</f>
        <v/>
      </c>
      <c r="H173" s="45"/>
      <c r="I173" s="42"/>
      <c r="J173" s="11" t="str">
        <f aca="false">IF(H173="","",H173*I173)</f>
        <v/>
      </c>
      <c r="K173" s="42"/>
      <c r="L173" s="11" t="str">
        <f aca="false">IF(H173="","",IF(K173&lt;&gt;"",K173,H173*IFERROR(INDEX(O_Stok!$Q$6:$Q$85,MATCH(G173,O_Stok!$A$6:$A$85,0)),0)))</f>
        <v/>
      </c>
      <c r="M173" s="11" t="str">
        <f aca="false">IF(H173="","",J173-L173)</f>
        <v/>
      </c>
      <c r="N173" s="34" t="str">
        <f aca="false">IF(G173="","",IFERROR(INDEX(I_Master!$B$6:$B$85,MATCH(G173,I_Master!$A$6:$A$85,0)),"?"))</f>
        <v/>
      </c>
      <c r="O173" s="34" t="str">
        <f aca="false">IF(G173="","",IFERROR(INDEX(I_Master!$E$6:$E$85,MATCH(G173,I_Master!$A$6:$A$85,0)),"?"))</f>
        <v/>
      </c>
      <c r="P173" s="46" t="str">
        <f aca="false">IF(H173="","",IF(OR(A173&lt;I_Parameter!$C$5,A173&gt;I_Parameter!$C$6),0,IF(B173="Aktual",1,IF(AND(B173="Order",A173&gt;=I_Parameter!$C$4),1,0))))</f>
        <v/>
      </c>
    </row>
    <row r="174" customFormat="false" ht="15" hidden="false" customHeight="false" outlineLevel="0" collapsed="false">
      <c r="A174" s="37"/>
      <c r="B174" s="44"/>
      <c r="C174" s="44"/>
      <c r="D174" s="44"/>
      <c r="E174" s="44"/>
      <c r="F174" s="44"/>
      <c r="G174" s="34" t="str">
        <f aca="false">IF(F174&lt;&gt;"",F174,IF(E174="","",IFERROR(INDEX(I_Item!$C$6:$C$255,MATCH(E174,I_Item!$A$6:$A$255,0)),"KODE BARU")))</f>
        <v/>
      </c>
      <c r="H174" s="45"/>
      <c r="I174" s="42"/>
      <c r="J174" s="11" t="str">
        <f aca="false">IF(H174="","",H174*I174)</f>
        <v/>
      </c>
      <c r="K174" s="42"/>
      <c r="L174" s="11" t="str">
        <f aca="false">IF(H174="","",IF(K174&lt;&gt;"",K174,H174*IFERROR(INDEX(O_Stok!$Q$6:$Q$85,MATCH(G174,O_Stok!$A$6:$A$85,0)),0)))</f>
        <v/>
      </c>
      <c r="M174" s="11" t="str">
        <f aca="false">IF(H174="","",J174-L174)</f>
        <v/>
      </c>
      <c r="N174" s="34" t="str">
        <f aca="false">IF(G174="","",IFERROR(INDEX(I_Master!$B$6:$B$85,MATCH(G174,I_Master!$A$6:$A$85,0)),"?"))</f>
        <v/>
      </c>
      <c r="O174" s="34" t="str">
        <f aca="false">IF(G174="","",IFERROR(INDEX(I_Master!$E$6:$E$85,MATCH(G174,I_Master!$A$6:$A$85,0)),"?"))</f>
        <v/>
      </c>
      <c r="P174" s="46" t="str">
        <f aca="false">IF(H174="","",IF(OR(A174&lt;I_Parameter!$C$5,A174&gt;I_Parameter!$C$6),0,IF(B174="Aktual",1,IF(AND(B174="Order",A174&gt;=I_Parameter!$C$4),1,0))))</f>
        <v/>
      </c>
    </row>
    <row r="175" customFormat="false" ht="15" hidden="false" customHeight="false" outlineLevel="0" collapsed="false">
      <c r="A175" s="37"/>
      <c r="B175" s="44"/>
      <c r="C175" s="44"/>
      <c r="D175" s="44"/>
      <c r="E175" s="44"/>
      <c r="F175" s="44"/>
      <c r="G175" s="34" t="str">
        <f aca="false">IF(F175&lt;&gt;"",F175,IF(E175="","",IFERROR(INDEX(I_Item!$C$6:$C$255,MATCH(E175,I_Item!$A$6:$A$255,0)),"KODE BARU")))</f>
        <v/>
      </c>
      <c r="H175" s="45"/>
      <c r="I175" s="42"/>
      <c r="J175" s="11" t="str">
        <f aca="false">IF(H175="","",H175*I175)</f>
        <v/>
      </c>
      <c r="K175" s="42"/>
      <c r="L175" s="11" t="str">
        <f aca="false">IF(H175="","",IF(K175&lt;&gt;"",K175,H175*IFERROR(INDEX(O_Stok!$Q$6:$Q$85,MATCH(G175,O_Stok!$A$6:$A$85,0)),0)))</f>
        <v/>
      </c>
      <c r="M175" s="11" t="str">
        <f aca="false">IF(H175="","",J175-L175)</f>
        <v/>
      </c>
      <c r="N175" s="34" t="str">
        <f aca="false">IF(G175="","",IFERROR(INDEX(I_Master!$B$6:$B$85,MATCH(G175,I_Master!$A$6:$A$85,0)),"?"))</f>
        <v/>
      </c>
      <c r="O175" s="34" t="str">
        <f aca="false">IF(G175="","",IFERROR(INDEX(I_Master!$E$6:$E$85,MATCH(G175,I_Master!$A$6:$A$85,0)),"?"))</f>
        <v/>
      </c>
      <c r="P175" s="46" t="str">
        <f aca="false">IF(H175="","",IF(OR(A175&lt;I_Parameter!$C$5,A175&gt;I_Parameter!$C$6),0,IF(B175="Aktual",1,IF(AND(B175="Order",A175&gt;=I_Parameter!$C$4),1,0))))</f>
        <v/>
      </c>
    </row>
    <row r="176" customFormat="false" ht="15" hidden="false" customHeight="false" outlineLevel="0" collapsed="false">
      <c r="A176" s="37"/>
      <c r="B176" s="44"/>
      <c r="C176" s="44"/>
      <c r="D176" s="44"/>
      <c r="E176" s="44"/>
      <c r="F176" s="44"/>
      <c r="G176" s="34" t="str">
        <f aca="false">IF(F176&lt;&gt;"",F176,IF(E176="","",IFERROR(INDEX(I_Item!$C$6:$C$255,MATCH(E176,I_Item!$A$6:$A$255,0)),"KODE BARU")))</f>
        <v/>
      </c>
      <c r="H176" s="45"/>
      <c r="I176" s="42"/>
      <c r="J176" s="11" t="str">
        <f aca="false">IF(H176="","",H176*I176)</f>
        <v/>
      </c>
      <c r="K176" s="42"/>
      <c r="L176" s="11" t="str">
        <f aca="false">IF(H176="","",IF(K176&lt;&gt;"",K176,H176*IFERROR(INDEX(O_Stok!$Q$6:$Q$85,MATCH(G176,O_Stok!$A$6:$A$85,0)),0)))</f>
        <v/>
      </c>
      <c r="M176" s="11" t="str">
        <f aca="false">IF(H176="","",J176-L176)</f>
        <v/>
      </c>
      <c r="N176" s="34" t="str">
        <f aca="false">IF(G176="","",IFERROR(INDEX(I_Master!$B$6:$B$85,MATCH(G176,I_Master!$A$6:$A$85,0)),"?"))</f>
        <v/>
      </c>
      <c r="O176" s="34" t="str">
        <f aca="false">IF(G176="","",IFERROR(INDEX(I_Master!$E$6:$E$85,MATCH(G176,I_Master!$A$6:$A$85,0)),"?"))</f>
        <v/>
      </c>
      <c r="P176" s="46" t="str">
        <f aca="false">IF(H176="","",IF(OR(A176&lt;I_Parameter!$C$5,A176&gt;I_Parameter!$C$6),0,IF(B176="Aktual",1,IF(AND(B176="Order",A176&gt;=I_Parameter!$C$4),1,0))))</f>
        <v/>
      </c>
    </row>
    <row r="177" customFormat="false" ht="15" hidden="false" customHeight="false" outlineLevel="0" collapsed="false">
      <c r="A177" s="37"/>
      <c r="B177" s="44"/>
      <c r="C177" s="44"/>
      <c r="D177" s="44"/>
      <c r="E177" s="44"/>
      <c r="F177" s="44"/>
      <c r="G177" s="34" t="str">
        <f aca="false">IF(F177&lt;&gt;"",F177,IF(E177="","",IFERROR(INDEX(I_Item!$C$6:$C$255,MATCH(E177,I_Item!$A$6:$A$255,0)),"KODE BARU")))</f>
        <v/>
      </c>
      <c r="H177" s="45"/>
      <c r="I177" s="42"/>
      <c r="J177" s="11" t="str">
        <f aca="false">IF(H177="","",H177*I177)</f>
        <v/>
      </c>
      <c r="K177" s="42"/>
      <c r="L177" s="11" t="str">
        <f aca="false">IF(H177="","",IF(K177&lt;&gt;"",K177,H177*IFERROR(INDEX(O_Stok!$Q$6:$Q$85,MATCH(G177,O_Stok!$A$6:$A$85,0)),0)))</f>
        <v/>
      </c>
      <c r="M177" s="11" t="str">
        <f aca="false">IF(H177="","",J177-L177)</f>
        <v/>
      </c>
      <c r="N177" s="34" t="str">
        <f aca="false">IF(G177="","",IFERROR(INDEX(I_Master!$B$6:$B$85,MATCH(G177,I_Master!$A$6:$A$85,0)),"?"))</f>
        <v/>
      </c>
      <c r="O177" s="34" t="str">
        <f aca="false">IF(G177="","",IFERROR(INDEX(I_Master!$E$6:$E$85,MATCH(G177,I_Master!$A$6:$A$85,0)),"?"))</f>
        <v/>
      </c>
      <c r="P177" s="46" t="str">
        <f aca="false">IF(H177="","",IF(OR(A177&lt;I_Parameter!$C$5,A177&gt;I_Parameter!$C$6),0,IF(B177="Aktual",1,IF(AND(B177="Order",A177&gt;=I_Parameter!$C$4),1,0))))</f>
        <v/>
      </c>
    </row>
    <row r="178" customFormat="false" ht="15" hidden="false" customHeight="false" outlineLevel="0" collapsed="false">
      <c r="A178" s="37"/>
      <c r="B178" s="44"/>
      <c r="C178" s="44"/>
      <c r="D178" s="44"/>
      <c r="E178" s="44"/>
      <c r="F178" s="44"/>
      <c r="G178" s="34" t="str">
        <f aca="false">IF(F178&lt;&gt;"",F178,IF(E178="","",IFERROR(INDEX(I_Item!$C$6:$C$255,MATCH(E178,I_Item!$A$6:$A$255,0)),"KODE BARU")))</f>
        <v/>
      </c>
      <c r="H178" s="45"/>
      <c r="I178" s="42"/>
      <c r="J178" s="11" t="str">
        <f aca="false">IF(H178="","",H178*I178)</f>
        <v/>
      </c>
      <c r="K178" s="42"/>
      <c r="L178" s="11" t="str">
        <f aca="false">IF(H178="","",IF(K178&lt;&gt;"",K178,H178*IFERROR(INDEX(O_Stok!$Q$6:$Q$85,MATCH(G178,O_Stok!$A$6:$A$85,0)),0)))</f>
        <v/>
      </c>
      <c r="M178" s="11" t="str">
        <f aca="false">IF(H178="","",J178-L178)</f>
        <v/>
      </c>
      <c r="N178" s="34" t="str">
        <f aca="false">IF(G178="","",IFERROR(INDEX(I_Master!$B$6:$B$85,MATCH(G178,I_Master!$A$6:$A$85,0)),"?"))</f>
        <v/>
      </c>
      <c r="O178" s="34" t="str">
        <f aca="false">IF(G178="","",IFERROR(INDEX(I_Master!$E$6:$E$85,MATCH(G178,I_Master!$A$6:$A$85,0)),"?"))</f>
        <v/>
      </c>
      <c r="P178" s="46" t="str">
        <f aca="false">IF(H178="","",IF(OR(A178&lt;I_Parameter!$C$5,A178&gt;I_Parameter!$C$6),0,IF(B178="Aktual",1,IF(AND(B178="Order",A178&gt;=I_Parameter!$C$4),1,0))))</f>
        <v/>
      </c>
    </row>
    <row r="179" customFormat="false" ht="15" hidden="false" customHeight="false" outlineLevel="0" collapsed="false">
      <c r="A179" s="37"/>
      <c r="B179" s="44"/>
      <c r="C179" s="44"/>
      <c r="D179" s="44"/>
      <c r="E179" s="44"/>
      <c r="F179" s="44"/>
      <c r="G179" s="34" t="str">
        <f aca="false">IF(F179&lt;&gt;"",F179,IF(E179="","",IFERROR(INDEX(I_Item!$C$6:$C$255,MATCH(E179,I_Item!$A$6:$A$255,0)),"KODE BARU")))</f>
        <v/>
      </c>
      <c r="H179" s="45"/>
      <c r="I179" s="42"/>
      <c r="J179" s="11" t="str">
        <f aca="false">IF(H179="","",H179*I179)</f>
        <v/>
      </c>
      <c r="K179" s="42"/>
      <c r="L179" s="11" t="str">
        <f aca="false">IF(H179="","",IF(K179&lt;&gt;"",K179,H179*IFERROR(INDEX(O_Stok!$Q$6:$Q$85,MATCH(G179,O_Stok!$A$6:$A$85,0)),0)))</f>
        <v/>
      </c>
      <c r="M179" s="11" t="str">
        <f aca="false">IF(H179="","",J179-L179)</f>
        <v/>
      </c>
      <c r="N179" s="34" t="str">
        <f aca="false">IF(G179="","",IFERROR(INDEX(I_Master!$B$6:$B$85,MATCH(G179,I_Master!$A$6:$A$85,0)),"?"))</f>
        <v/>
      </c>
      <c r="O179" s="34" t="str">
        <f aca="false">IF(G179="","",IFERROR(INDEX(I_Master!$E$6:$E$85,MATCH(G179,I_Master!$A$6:$A$85,0)),"?"))</f>
        <v/>
      </c>
      <c r="P179" s="46" t="str">
        <f aca="false">IF(H179="","",IF(OR(A179&lt;I_Parameter!$C$5,A179&gt;I_Parameter!$C$6),0,IF(B179="Aktual",1,IF(AND(B179="Order",A179&gt;=I_Parameter!$C$4),1,0))))</f>
        <v/>
      </c>
    </row>
    <row r="180" customFormat="false" ht="15" hidden="false" customHeight="false" outlineLevel="0" collapsed="false">
      <c r="A180" s="37"/>
      <c r="B180" s="44"/>
      <c r="C180" s="44"/>
      <c r="D180" s="44"/>
      <c r="E180" s="44"/>
      <c r="F180" s="44"/>
      <c r="G180" s="34" t="str">
        <f aca="false">IF(F180&lt;&gt;"",F180,IF(E180="","",IFERROR(INDEX(I_Item!$C$6:$C$255,MATCH(E180,I_Item!$A$6:$A$255,0)),"KODE BARU")))</f>
        <v/>
      </c>
      <c r="H180" s="45"/>
      <c r="I180" s="42"/>
      <c r="J180" s="11" t="str">
        <f aca="false">IF(H180="","",H180*I180)</f>
        <v/>
      </c>
      <c r="K180" s="42"/>
      <c r="L180" s="11" t="str">
        <f aca="false">IF(H180="","",IF(K180&lt;&gt;"",K180,H180*IFERROR(INDEX(O_Stok!$Q$6:$Q$85,MATCH(G180,O_Stok!$A$6:$A$85,0)),0)))</f>
        <v/>
      </c>
      <c r="M180" s="11" t="str">
        <f aca="false">IF(H180="","",J180-L180)</f>
        <v/>
      </c>
      <c r="N180" s="34" t="str">
        <f aca="false">IF(G180="","",IFERROR(INDEX(I_Master!$B$6:$B$85,MATCH(G180,I_Master!$A$6:$A$85,0)),"?"))</f>
        <v/>
      </c>
      <c r="O180" s="34" t="str">
        <f aca="false">IF(G180="","",IFERROR(INDEX(I_Master!$E$6:$E$85,MATCH(G180,I_Master!$A$6:$A$85,0)),"?"))</f>
        <v/>
      </c>
      <c r="P180" s="46" t="str">
        <f aca="false">IF(H180="","",IF(OR(A180&lt;I_Parameter!$C$5,A180&gt;I_Parameter!$C$6),0,IF(B180="Aktual",1,IF(AND(B180="Order",A180&gt;=I_Parameter!$C$4),1,0))))</f>
        <v/>
      </c>
    </row>
    <row r="181" customFormat="false" ht="15" hidden="false" customHeight="false" outlineLevel="0" collapsed="false">
      <c r="A181" s="37"/>
      <c r="B181" s="44"/>
      <c r="C181" s="44"/>
      <c r="D181" s="44"/>
      <c r="E181" s="44"/>
      <c r="F181" s="44"/>
      <c r="G181" s="34" t="str">
        <f aca="false">IF(F181&lt;&gt;"",F181,IF(E181="","",IFERROR(INDEX(I_Item!$C$6:$C$255,MATCH(E181,I_Item!$A$6:$A$255,0)),"KODE BARU")))</f>
        <v/>
      </c>
      <c r="H181" s="45"/>
      <c r="I181" s="42"/>
      <c r="J181" s="11" t="str">
        <f aca="false">IF(H181="","",H181*I181)</f>
        <v/>
      </c>
      <c r="K181" s="42"/>
      <c r="L181" s="11" t="str">
        <f aca="false">IF(H181="","",IF(K181&lt;&gt;"",K181,H181*IFERROR(INDEX(O_Stok!$Q$6:$Q$85,MATCH(G181,O_Stok!$A$6:$A$85,0)),0)))</f>
        <v/>
      </c>
      <c r="M181" s="11" t="str">
        <f aca="false">IF(H181="","",J181-L181)</f>
        <v/>
      </c>
      <c r="N181" s="34" t="str">
        <f aca="false">IF(G181="","",IFERROR(INDEX(I_Master!$B$6:$B$85,MATCH(G181,I_Master!$A$6:$A$85,0)),"?"))</f>
        <v/>
      </c>
      <c r="O181" s="34" t="str">
        <f aca="false">IF(G181="","",IFERROR(INDEX(I_Master!$E$6:$E$85,MATCH(G181,I_Master!$A$6:$A$85,0)),"?"))</f>
        <v/>
      </c>
      <c r="P181" s="46" t="str">
        <f aca="false">IF(H181="","",IF(OR(A181&lt;I_Parameter!$C$5,A181&gt;I_Parameter!$C$6),0,IF(B181="Aktual",1,IF(AND(B181="Order",A181&gt;=I_Parameter!$C$4),1,0))))</f>
        <v/>
      </c>
    </row>
    <row r="182" customFormat="false" ht="15" hidden="false" customHeight="false" outlineLevel="0" collapsed="false">
      <c r="A182" s="37"/>
      <c r="B182" s="44"/>
      <c r="C182" s="44"/>
      <c r="D182" s="44"/>
      <c r="E182" s="44"/>
      <c r="F182" s="44"/>
      <c r="G182" s="34" t="str">
        <f aca="false">IF(F182&lt;&gt;"",F182,IF(E182="","",IFERROR(INDEX(I_Item!$C$6:$C$255,MATCH(E182,I_Item!$A$6:$A$255,0)),"KODE BARU")))</f>
        <v/>
      </c>
      <c r="H182" s="45"/>
      <c r="I182" s="42"/>
      <c r="J182" s="11" t="str">
        <f aca="false">IF(H182="","",H182*I182)</f>
        <v/>
      </c>
      <c r="K182" s="42"/>
      <c r="L182" s="11" t="str">
        <f aca="false">IF(H182="","",IF(K182&lt;&gt;"",K182,H182*IFERROR(INDEX(O_Stok!$Q$6:$Q$85,MATCH(G182,O_Stok!$A$6:$A$85,0)),0)))</f>
        <v/>
      </c>
      <c r="M182" s="11" t="str">
        <f aca="false">IF(H182="","",J182-L182)</f>
        <v/>
      </c>
      <c r="N182" s="34" t="str">
        <f aca="false">IF(G182="","",IFERROR(INDEX(I_Master!$B$6:$B$85,MATCH(G182,I_Master!$A$6:$A$85,0)),"?"))</f>
        <v/>
      </c>
      <c r="O182" s="34" t="str">
        <f aca="false">IF(G182="","",IFERROR(INDEX(I_Master!$E$6:$E$85,MATCH(G182,I_Master!$A$6:$A$85,0)),"?"))</f>
        <v/>
      </c>
      <c r="P182" s="46" t="str">
        <f aca="false">IF(H182="","",IF(OR(A182&lt;I_Parameter!$C$5,A182&gt;I_Parameter!$C$6),0,IF(B182="Aktual",1,IF(AND(B182="Order",A182&gt;=I_Parameter!$C$4),1,0))))</f>
        <v/>
      </c>
    </row>
    <row r="183" customFormat="false" ht="15" hidden="false" customHeight="false" outlineLevel="0" collapsed="false">
      <c r="A183" s="37"/>
      <c r="B183" s="44"/>
      <c r="C183" s="44"/>
      <c r="D183" s="44"/>
      <c r="E183" s="44"/>
      <c r="F183" s="44"/>
      <c r="G183" s="34" t="str">
        <f aca="false">IF(F183&lt;&gt;"",F183,IF(E183="","",IFERROR(INDEX(I_Item!$C$6:$C$255,MATCH(E183,I_Item!$A$6:$A$255,0)),"KODE BARU")))</f>
        <v/>
      </c>
      <c r="H183" s="45"/>
      <c r="I183" s="42"/>
      <c r="J183" s="11" t="str">
        <f aca="false">IF(H183="","",H183*I183)</f>
        <v/>
      </c>
      <c r="K183" s="42"/>
      <c r="L183" s="11" t="str">
        <f aca="false">IF(H183="","",IF(K183&lt;&gt;"",K183,H183*IFERROR(INDEX(O_Stok!$Q$6:$Q$85,MATCH(G183,O_Stok!$A$6:$A$85,0)),0)))</f>
        <v/>
      </c>
      <c r="M183" s="11" t="str">
        <f aca="false">IF(H183="","",J183-L183)</f>
        <v/>
      </c>
      <c r="N183" s="34" t="str">
        <f aca="false">IF(G183="","",IFERROR(INDEX(I_Master!$B$6:$B$85,MATCH(G183,I_Master!$A$6:$A$85,0)),"?"))</f>
        <v/>
      </c>
      <c r="O183" s="34" t="str">
        <f aca="false">IF(G183="","",IFERROR(INDEX(I_Master!$E$6:$E$85,MATCH(G183,I_Master!$A$6:$A$85,0)),"?"))</f>
        <v/>
      </c>
      <c r="P183" s="46" t="str">
        <f aca="false">IF(H183="","",IF(OR(A183&lt;I_Parameter!$C$5,A183&gt;I_Parameter!$C$6),0,IF(B183="Aktual",1,IF(AND(B183="Order",A183&gt;=I_Parameter!$C$4),1,0))))</f>
        <v/>
      </c>
    </row>
    <row r="184" customFormat="false" ht="15" hidden="false" customHeight="false" outlineLevel="0" collapsed="false">
      <c r="A184" s="37"/>
      <c r="B184" s="44"/>
      <c r="C184" s="44"/>
      <c r="D184" s="44"/>
      <c r="E184" s="44"/>
      <c r="F184" s="44"/>
      <c r="G184" s="34" t="str">
        <f aca="false">IF(F184&lt;&gt;"",F184,IF(E184="","",IFERROR(INDEX(I_Item!$C$6:$C$255,MATCH(E184,I_Item!$A$6:$A$255,0)),"KODE BARU")))</f>
        <v/>
      </c>
      <c r="H184" s="45"/>
      <c r="I184" s="42"/>
      <c r="J184" s="11" t="str">
        <f aca="false">IF(H184="","",H184*I184)</f>
        <v/>
      </c>
      <c r="K184" s="42"/>
      <c r="L184" s="11" t="str">
        <f aca="false">IF(H184="","",IF(K184&lt;&gt;"",K184,H184*IFERROR(INDEX(O_Stok!$Q$6:$Q$85,MATCH(G184,O_Stok!$A$6:$A$85,0)),0)))</f>
        <v/>
      </c>
      <c r="M184" s="11" t="str">
        <f aca="false">IF(H184="","",J184-L184)</f>
        <v/>
      </c>
      <c r="N184" s="34" t="str">
        <f aca="false">IF(G184="","",IFERROR(INDEX(I_Master!$B$6:$B$85,MATCH(G184,I_Master!$A$6:$A$85,0)),"?"))</f>
        <v/>
      </c>
      <c r="O184" s="34" t="str">
        <f aca="false">IF(G184="","",IFERROR(INDEX(I_Master!$E$6:$E$85,MATCH(G184,I_Master!$A$6:$A$85,0)),"?"))</f>
        <v/>
      </c>
      <c r="P184" s="46" t="str">
        <f aca="false">IF(H184="","",IF(OR(A184&lt;I_Parameter!$C$5,A184&gt;I_Parameter!$C$6),0,IF(B184="Aktual",1,IF(AND(B184="Order",A184&gt;=I_Parameter!$C$4),1,0))))</f>
        <v/>
      </c>
    </row>
    <row r="185" customFormat="false" ht="15" hidden="false" customHeight="false" outlineLevel="0" collapsed="false">
      <c r="A185" s="37"/>
      <c r="B185" s="44"/>
      <c r="C185" s="44"/>
      <c r="D185" s="44"/>
      <c r="E185" s="44"/>
      <c r="F185" s="44"/>
      <c r="G185" s="34" t="str">
        <f aca="false">IF(F185&lt;&gt;"",F185,IF(E185="","",IFERROR(INDEX(I_Item!$C$6:$C$255,MATCH(E185,I_Item!$A$6:$A$255,0)),"KODE BARU")))</f>
        <v/>
      </c>
      <c r="H185" s="45"/>
      <c r="I185" s="42"/>
      <c r="J185" s="11" t="str">
        <f aca="false">IF(H185="","",H185*I185)</f>
        <v/>
      </c>
      <c r="K185" s="42"/>
      <c r="L185" s="11" t="str">
        <f aca="false">IF(H185="","",IF(K185&lt;&gt;"",K185,H185*IFERROR(INDEX(O_Stok!$Q$6:$Q$85,MATCH(G185,O_Stok!$A$6:$A$85,0)),0)))</f>
        <v/>
      </c>
      <c r="M185" s="11" t="str">
        <f aca="false">IF(H185="","",J185-L185)</f>
        <v/>
      </c>
      <c r="N185" s="34" t="str">
        <f aca="false">IF(G185="","",IFERROR(INDEX(I_Master!$B$6:$B$85,MATCH(G185,I_Master!$A$6:$A$85,0)),"?"))</f>
        <v/>
      </c>
      <c r="O185" s="34" t="str">
        <f aca="false">IF(G185="","",IFERROR(INDEX(I_Master!$E$6:$E$85,MATCH(G185,I_Master!$A$6:$A$85,0)),"?"))</f>
        <v/>
      </c>
      <c r="P185" s="46" t="str">
        <f aca="false">IF(H185="","",IF(OR(A185&lt;I_Parameter!$C$5,A185&gt;I_Parameter!$C$6),0,IF(B185="Aktual",1,IF(AND(B185="Order",A185&gt;=I_Parameter!$C$4),1,0))))</f>
        <v/>
      </c>
    </row>
    <row r="186" customFormat="false" ht="15" hidden="false" customHeight="false" outlineLevel="0" collapsed="false">
      <c r="A186" s="37"/>
      <c r="B186" s="44"/>
      <c r="C186" s="44"/>
      <c r="D186" s="44"/>
      <c r="E186" s="44"/>
      <c r="F186" s="44"/>
      <c r="G186" s="34" t="str">
        <f aca="false">IF(F186&lt;&gt;"",F186,IF(E186="","",IFERROR(INDEX(I_Item!$C$6:$C$255,MATCH(E186,I_Item!$A$6:$A$255,0)),"KODE BARU")))</f>
        <v/>
      </c>
      <c r="H186" s="45"/>
      <c r="I186" s="42"/>
      <c r="J186" s="11" t="str">
        <f aca="false">IF(H186="","",H186*I186)</f>
        <v/>
      </c>
      <c r="K186" s="42"/>
      <c r="L186" s="11" t="str">
        <f aca="false">IF(H186="","",IF(K186&lt;&gt;"",K186,H186*IFERROR(INDEX(O_Stok!$Q$6:$Q$85,MATCH(G186,O_Stok!$A$6:$A$85,0)),0)))</f>
        <v/>
      </c>
      <c r="M186" s="11" t="str">
        <f aca="false">IF(H186="","",J186-L186)</f>
        <v/>
      </c>
      <c r="N186" s="34" t="str">
        <f aca="false">IF(G186="","",IFERROR(INDEX(I_Master!$B$6:$B$85,MATCH(G186,I_Master!$A$6:$A$85,0)),"?"))</f>
        <v/>
      </c>
      <c r="O186" s="34" t="str">
        <f aca="false">IF(G186="","",IFERROR(INDEX(I_Master!$E$6:$E$85,MATCH(G186,I_Master!$A$6:$A$85,0)),"?"))</f>
        <v/>
      </c>
      <c r="P186" s="46" t="str">
        <f aca="false">IF(H186="","",IF(OR(A186&lt;I_Parameter!$C$5,A186&gt;I_Parameter!$C$6),0,IF(B186="Aktual",1,IF(AND(B186="Order",A186&gt;=I_Parameter!$C$4),1,0))))</f>
        <v/>
      </c>
    </row>
    <row r="187" customFormat="false" ht="15" hidden="false" customHeight="false" outlineLevel="0" collapsed="false">
      <c r="A187" s="37"/>
      <c r="B187" s="44"/>
      <c r="C187" s="44"/>
      <c r="D187" s="44"/>
      <c r="E187" s="44"/>
      <c r="F187" s="44"/>
      <c r="G187" s="34" t="str">
        <f aca="false">IF(F187&lt;&gt;"",F187,IF(E187="","",IFERROR(INDEX(I_Item!$C$6:$C$255,MATCH(E187,I_Item!$A$6:$A$255,0)),"KODE BARU")))</f>
        <v/>
      </c>
      <c r="H187" s="45"/>
      <c r="I187" s="42"/>
      <c r="J187" s="11" t="str">
        <f aca="false">IF(H187="","",H187*I187)</f>
        <v/>
      </c>
      <c r="K187" s="42"/>
      <c r="L187" s="11" t="str">
        <f aca="false">IF(H187="","",IF(K187&lt;&gt;"",K187,H187*IFERROR(INDEX(O_Stok!$Q$6:$Q$85,MATCH(G187,O_Stok!$A$6:$A$85,0)),0)))</f>
        <v/>
      </c>
      <c r="M187" s="11" t="str">
        <f aca="false">IF(H187="","",J187-L187)</f>
        <v/>
      </c>
      <c r="N187" s="34" t="str">
        <f aca="false">IF(G187="","",IFERROR(INDEX(I_Master!$B$6:$B$85,MATCH(G187,I_Master!$A$6:$A$85,0)),"?"))</f>
        <v/>
      </c>
      <c r="O187" s="34" t="str">
        <f aca="false">IF(G187="","",IFERROR(INDEX(I_Master!$E$6:$E$85,MATCH(G187,I_Master!$A$6:$A$85,0)),"?"))</f>
        <v/>
      </c>
      <c r="P187" s="46" t="str">
        <f aca="false">IF(H187="","",IF(OR(A187&lt;I_Parameter!$C$5,A187&gt;I_Parameter!$C$6),0,IF(B187="Aktual",1,IF(AND(B187="Order",A187&gt;=I_Parameter!$C$4),1,0))))</f>
        <v/>
      </c>
    </row>
    <row r="188" customFormat="false" ht="15" hidden="false" customHeight="false" outlineLevel="0" collapsed="false">
      <c r="A188" s="37"/>
      <c r="B188" s="44"/>
      <c r="C188" s="44"/>
      <c r="D188" s="44"/>
      <c r="E188" s="44"/>
      <c r="F188" s="44"/>
      <c r="G188" s="34" t="str">
        <f aca="false">IF(F188&lt;&gt;"",F188,IF(E188="","",IFERROR(INDEX(I_Item!$C$6:$C$255,MATCH(E188,I_Item!$A$6:$A$255,0)),"KODE BARU")))</f>
        <v/>
      </c>
      <c r="H188" s="45"/>
      <c r="I188" s="42"/>
      <c r="J188" s="11" t="str">
        <f aca="false">IF(H188="","",H188*I188)</f>
        <v/>
      </c>
      <c r="K188" s="42"/>
      <c r="L188" s="11" t="str">
        <f aca="false">IF(H188="","",IF(K188&lt;&gt;"",K188,H188*IFERROR(INDEX(O_Stok!$Q$6:$Q$85,MATCH(G188,O_Stok!$A$6:$A$85,0)),0)))</f>
        <v/>
      </c>
      <c r="M188" s="11" t="str">
        <f aca="false">IF(H188="","",J188-L188)</f>
        <v/>
      </c>
      <c r="N188" s="34" t="str">
        <f aca="false">IF(G188="","",IFERROR(INDEX(I_Master!$B$6:$B$85,MATCH(G188,I_Master!$A$6:$A$85,0)),"?"))</f>
        <v/>
      </c>
      <c r="O188" s="34" t="str">
        <f aca="false">IF(G188="","",IFERROR(INDEX(I_Master!$E$6:$E$85,MATCH(G188,I_Master!$A$6:$A$85,0)),"?"))</f>
        <v/>
      </c>
      <c r="P188" s="46" t="str">
        <f aca="false">IF(H188="","",IF(OR(A188&lt;I_Parameter!$C$5,A188&gt;I_Parameter!$C$6),0,IF(B188="Aktual",1,IF(AND(B188="Order",A188&gt;=I_Parameter!$C$4),1,0))))</f>
        <v/>
      </c>
    </row>
    <row r="189" customFormat="false" ht="15" hidden="false" customHeight="false" outlineLevel="0" collapsed="false">
      <c r="A189" s="37"/>
      <c r="B189" s="44"/>
      <c r="C189" s="44"/>
      <c r="D189" s="44"/>
      <c r="E189" s="44"/>
      <c r="F189" s="44"/>
      <c r="G189" s="34" t="str">
        <f aca="false">IF(F189&lt;&gt;"",F189,IF(E189="","",IFERROR(INDEX(I_Item!$C$6:$C$255,MATCH(E189,I_Item!$A$6:$A$255,0)),"KODE BARU")))</f>
        <v/>
      </c>
      <c r="H189" s="45"/>
      <c r="I189" s="42"/>
      <c r="J189" s="11" t="str">
        <f aca="false">IF(H189="","",H189*I189)</f>
        <v/>
      </c>
      <c r="K189" s="42"/>
      <c r="L189" s="11" t="str">
        <f aca="false">IF(H189="","",IF(K189&lt;&gt;"",K189,H189*IFERROR(INDEX(O_Stok!$Q$6:$Q$85,MATCH(G189,O_Stok!$A$6:$A$85,0)),0)))</f>
        <v/>
      </c>
      <c r="M189" s="11" t="str">
        <f aca="false">IF(H189="","",J189-L189)</f>
        <v/>
      </c>
      <c r="N189" s="34" t="str">
        <f aca="false">IF(G189="","",IFERROR(INDEX(I_Master!$B$6:$B$85,MATCH(G189,I_Master!$A$6:$A$85,0)),"?"))</f>
        <v/>
      </c>
      <c r="O189" s="34" t="str">
        <f aca="false">IF(G189="","",IFERROR(INDEX(I_Master!$E$6:$E$85,MATCH(G189,I_Master!$A$6:$A$85,0)),"?"))</f>
        <v/>
      </c>
      <c r="P189" s="46" t="str">
        <f aca="false">IF(H189="","",IF(OR(A189&lt;I_Parameter!$C$5,A189&gt;I_Parameter!$C$6),0,IF(B189="Aktual",1,IF(AND(B189="Order",A189&gt;=I_Parameter!$C$4),1,0))))</f>
        <v/>
      </c>
    </row>
    <row r="190" customFormat="false" ht="15" hidden="false" customHeight="false" outlineLevel="0" collapsed="false">
      <c r="A190" s="37"/>
      <c r="B190" s="44"/>
      <c r="C190" s="44"/>
      <c r="D190" s="44"/>
      <c r="E190" s="44"/>
      <c r="F190" s="44"/>
      <c r="G190" s="34" t="str">
        <f aca="false">IF(F190&lt;&gt;"",F190,IF(E190="","",IFERROR(INDEX(I_Item!$C$6:$C$255,MATCH(E190,I_Item!$A$6:$A$255,0)),"KODE BARU")))</f>
        <v/>
      </c>
      <c r="H190" s="45"/>
      <c r="I190" s="42"/>
      <c r="J190" s="11" t="str">
        <f aca="false">IF(H190="","",H190*I190)</f>
        <v/>
      </c>
      <c r="K190" s="42"/>
      <c r="L190" s="11" t="str">
        <f aca="false">IF(H190="","",IF(K190&lt;&gt;"",K190,H190*IFERROR(INDEX(O_Stok!$Q$6:$Q$85,MATCH(G190,O_Stok!$A$6:$A$85,0)),0)))</f>
        <v/>
      </c>
      <c r="M190" s="11" t="str">
        <f aca="false">IF(H190="","",J190-L190)</f>
        <v/>
      </c>
      <c r="N190" s="34" t="str">
        <f aca="false">IF(G190="","",IFERROR(INDEX(I_Master!$B$6:$B$85,MATCH(G190,I_Master!$A$6:$A$85,0)),"?"))</f>
        <v/>
      </c>
      <c r="O190" s="34" t="str">
        <f aca="false">IF(G190="","",IFERROR(INDEX(I_Master!$E$6:$E$85,MATCH(G190,I_Master!$A$6:$A$85,0)),"?"))</f>
        <v/>
      </c>
      <c r="P190" s="46" t="str">
        <f aca="false">IF(H190="","",IF(OR(A190&lt;I_Parameter!$C$5,A190&gt;I_Parameter!$C$6),0,IF(B190="Aktual",1,IF(AND(B190="Order",A190&gt;=I_Parameter!$C$4),1,0))))</f>
        <v/>
      </c>
    </row>
    <row r="191" customFormat="false" ht="15" hidden="false" customHeight="false" outlineLevel="0" collapsed="false">
      <c r="A191" s="37"/>
      <c r="B191" s="44"/>
      <c r="C191" s="44"/>
      <c r="D191" s="44"/>
      <c r="E191" s="44"/>
      <c r="F191" s="44"/>
      <c r="G191" s="34" t="str">
        <f aca="false">IF(F191&lt;&gt;"",F191,IF(E191="","",IFERROR(INDEX(I_Item!$C$6:$C$255,MATCH(E191,I_Item!$A$6:$A$255,0)),"KODE BARU")))</f>
        <v/>
      </c>
      <c r="H191" s="45"/>
      <c r="I191" s="42"/>
      <c r="J191" s="11" t="str">
        <f aca="false">IF(H191="","",H191*I191)</f>
        <v/>
      </c>
      <c r="K191" s="42"/>
      <c r="L191" s="11" t="str">
        <f aca="false">IF(H191="","",IF(K191&lt;&gt;"",K191,H191*IFERROR(INDEX(O_Stok!$Q$6:$Q$85,MATCH(G191,O_Stok!$A$6:$A$85,0)),0)))</f>
        <v/>
      </c>
      <c r="M191" s="11" t="str">
        <f aca="false">IF(H191="","",J191-L191)</f>
        <v/>
      </c>
      <c r="N191" s="34" t="str">
        <f aca="false">IF(G191="","",IFERROR(INDEX(I_Master!$B$6:$B$85,MATCH(G191,I_Master!$A$6:$A$85,0)),"?"))</f>
        <v/>
      </c>
      <c r="O191" s="34" t="str">
        <f aca="false">IF(G191="","",IFERROR(INDEX(I_Master!$E$6:$E$85,MATCH(G191,I_Master!$A$6:$A$85,0)),"?"))</f>
        <v/>
      </c>
      <c r="P191" s="46" t="str">
        <f aca="false">IF(H191="","",IF(OR(A191&lt;I_Parameter!$C$5,A191&gt;I_Parameter!$C$6),0,IF(B191="Aktual",1,IF(AND(B191="Order",A191&gt;=I_Parameter!$C$4),1,0))))</f>
        <v/>
      </c>
    </row>
    <row r="192" customFormat="false" ht="15" hidden="false" customHeight="false" outlineLevel="0" collapsed="false">
      <c r="A192" s="37"/>
      <c r="B192" s="44"/>
      <c r="C192" s="44"/>
      <c r="D192" s="44"/>
      <c r="E192" s="44"/>
      <c r="F192" s="44"/>
      <c r="G192" s="34" t="str">
        <f aca="false">IF(F192&lt;&gt;"",F192,IF(E192="","",IFERROR(INDEX(I_Item!$C$6:$C$255,MATCH(E192,I_Item!$A$6:$A$255,0)),"KODE BARU")))</f>
        <v/>
      </c>
      <c r="H192" s="45"/>
      <c r="I192" s="42"/>
      <c r="J192" s="11" t="str">
        <f aca="false">IF(H192="","",H192*I192)</f>
        <v/>
      </c>
      <c r="K192" s="42"/>
      <c r="L192" s="11" t="str">
        <f aca="false">IF(H192="","",IF(K192&lt;&gt;"",K192,H192*IFERROR(INDEX(O_Stok!$Q$6:$Q$85,MATCH(G192,O_Stok!$A$6:$A$85,0)),0)))</f>
        <v/>
      </c>
      <c r="M192" s="11" t="str">
        <f aca="false">IF(H192="","",J192-L192)</f>
        <v/>
      </c>
      <c r="N192" s="34" t="str">
        <f aca="false">IF(G192="","",IFERROR(INDEX(I_Master!$B$6:$B$85,MATCH(G192,I_Master!$A$6:$A$85,0)),"?"))</f>
        <v/>
      </c>
      <c r="O192" s="34" t="str">
        <f aca="false">IF(G192="","",IFERROR(INDEX(I_Master!$E$6:$E$85,MATCH(G192,I_Master!$A$6:$A$85,0)),"?"))</f>
        <v/>
      </c>
      <c r="P192" s="46" t="str">
        <f aca="false">IF(H192="","",IF(OR(A192&lt;I_Parameter!$C$5,A192&gt;I_Parameter!$C$6),0,IF(B192="Aktual",1,IF(AND(B192="Order",A192&gt;=I_Parameter!$C$4),1,0))))</f>
        <v/>
      </c>
    </row>
    <row r="193" customFormat="false" ht="15" hidden="false" customHeight="false" outlineLevel="0" collapsed="false">
      <c r="A193" s="37"/>
      <c r="B193" s="44"/>
      <c r="C193" s="44"/>
      <c r="D193" s="44"/>
      <c r="E193" s="44"/>
      <c r="F193" s="44"/>
      <c r="G193" s="34" t="str">
        <f aca="false">IF(F193&lt;&gt;"",F193,IF(E193="","",IFERROR(INDEX(I_Item!$C$6:$C$255,MATCH(E193,I_Item!$A$6:$A$255,0)),"KODE BARU")))</f>
        <v/>
      </c>
      <c r="H193" s="45"/>
      <c r="I193" s="42"/>
      <c r="J193" s="11" t="str">
        <f aca="false">IF(H193="","",H193*I193)</f>
        <v/>
      </c>
      <c r="K193" s="42"/>
      <c r="L193" s="11" t="str">
        <f aca="false">IF(H193="","",IF(K193&lt;&gt;"",K193,H193*IFERROR(INDEX(O_Stok!$Q$6:$Q$85,MATCH(G193,O_Stok!$A$6:$A$85,0)),0)))</f>
        <v/>
      </c>
      <c r="M193" s="11" t="str">
        <f aca="false">IF(H193="","",J193-L193)</f>
        <v/>
      </c>
      <c r="N193" s="34" t="str">
        <f aca="false">IF(G193="","",IFERROR(INDEX(I_Master!$B$6:$B$85,MATCH(G193,I_Master!$A$6:$A$85,0)),"?"))</f>
        <v/>
      </c>
      <c r="O193" s="34" t="str">
        <f aca="false">IF(G193="","",IFERROR(INDEX(I_Master!$E$6:$E$85,MATCH(G193,I_Master!$A$6:$A$85,0)),"?"))</f>
        <v/>
      </c>
      <c r="P193" s="46" t="str">
        <f aca="false">IF(H193="","",IF(OR(A193&lt;I_Parameter!$C$5,A193&gt;I_Parameter!$C$6),0,IF(B193="Aktual",1,IF(AND(B193="Order",A193&gt;=I_Parameter!$C$4),1,0))))</f>
        <v/>
      </c>
    </row>
    <row r="194" customFormat="false" ht="15" hidden="false" customHeight="false" outlineLevel="0" collapsed="false">
      <c r="A194" s="37"/>
      <c r="B194" s="44"/>
      <c r="C194" s="44"/>
      <c r="D194" s="44"/>
      <c r="E194" s="44"/>
      <c r="F194" s="44"/>
      <c r="G194" s="34" t="str">
        <f aca="false">IF(F194&lt;&gt;"",F194,IF(E194="","",IFERROR(INDEX(I_Item!$C$6:$C$255,MATCH(E194,I_Item!$A$6:$A$255,0)),"KODE BARU")))</f>
        <v/>
      </c>
      <c r="H194" s="45"/>
      <c r="I194" s="42"/>
      <c r="J194" s="11" t="str">
        <f aca="false">IF(H194="","",H194*I194)</f>
        <v/>
      </c>
      <c r="K194" s="42"/>
      <c r="L194" s="11" t="str">
        <f aca="false">IF(H194="","",IF(K194&lt;&gt;"",K194,H194*IFERROR(INDEX(O_Stok!$Q$6:$Q$85,MATCH(G194,O_Stok!$A$6:$A$85,0)),0)))</f>
        <v/>
      </c>
      <c r="M194" s="11" t="str">
        <f aca="false">IF(H194="","",J194-L194)</f>
        <v/>
      </c>
      <c r="N194" s="34" t="str">
        <f aca="false">IF(G194="","",IFERROR(INDEX(I_Master!$B$6:$B$85,MATCH(G194,I_Master!$A$6:$A$85,0)),"?"))</f>
        <v/>
      </c>
      <c r="O194" s="34" t="str">
        <f aca="false">IF(G194="","",IFERROR(INDEX(I_Master!$E$6:$E$85,MATCH(G194,I_Master!$A$6:$A$85,0)),"?"))</f>
        <v/>
      </c>
      <c r="P194" s="46" t="str">
        <f aca="false">IF(H194="","",IF(OR(A194&lt;I_Parameter!$C$5,A194&gt;I_Parameter!$C$6),0,IF(B194="Aktual",1,IF(AND(B194="Order",A194&gt;=I_Parameter!$C$4),1,0))))</f>
        <v/>
      </c>
    </row>
    <row r="195" customFormat="false" ht="15" hidden="false" customHeight="false" outlineLevel="0" collapsed="false">
      <c r="A195" s="37"/>
      <c r="B195" s="44"/>
      <c r="C195" s="44"/>
      <c r="D195" s="44"/>
      <c r="E195" s="44"/>
      <c r="F195" s="44"/>
      <c r="G195" s="34" t="str">
        <f aca="false">IF(F195&lt;&gt;"",F195,IF(E195="","",IFERROR(INDEX(I_Item!$C$6:$C$255,MATCH(E195,I_Item!$A$6:$A$255,0)),"KODE BARU")))</f>
        <v/>
      </c>
      <c r="H195" s="45"/>
      <c r="I195" s="42"/>
      <c r="J195" s="11" t="str">
        <f aca="false">IF(H195="","",H195*I195)</f>
        <v/>
      </c>
      <c r="K195" s="42"/>
      <c r="L195" s="11" t="str">
        <f aca="false">IF(H195="","",IF(K195&lt;&gt;"",K195,H195*IFERROR(INDEX(O_Stok!$Q$6:$Q$85,MATCH(G195,O_Stok!$A$6:$A$85,0)),0)))</f>
        <v/>
      </c>
      <c r="M195" s="11" t="str">
        <f aca="false">IF(H195="","",J195-L195)</f>
        <v/>
      </c>
      <c r="N195" s="34" t="str">
        <f aca="false">IF(G195="","",IFERROR(INDEX(I_Master!$B$6:$B$85,MATCH(G195,I_Master!$A$6:$A$85,0)),"?"))</f>
        <v/>
      </c>
      <c r="O195" s="34" t="str">
        <f aca="false">IF(G195="","",IFERROR(INDEX(I_Master!$E$6:$E$85,MATCH(G195,I_Master!$A$6:$A$85,0)),"?"))</f>
        <v/>
      </c>
      <c r="P195" s="46" t="str">
        <f aca="false">IF(H195="","",IF(OR(A195&lt;I_Parameter!$C$5,A195&gt;I_Parameter!$C$6),0,IF(B195="Aktual",1,IF(AND(B195="Order",A195&gt;=I_Parameter!$C$4),1,0))))</f>
        <v/>
      </c>
    </row>
    <row r="196" customFormat="false" ht="15" hidden="false" customHeight="false" outlineLevel="0" collapsed="false">
      <c r="A196" s="37"/>
      <c r="B196" s="44"/>
      <c r="C196" s="44"/>
      <c r="D196" s="44"/>
      <c r="E196" s="44"/>
      <c r="F196" s="44"/>
      <c r="G196" s="34" t="str">
        <f aca="false">IF(F196&lt;&gt;"",F196,IF(E196="","",IFERROR(INDEX(I_Item!$C$6:$C$255,MATCH(E196,I_Item!$A$6:$A$255,0)),"KODE BARU")))</f>
        <v/>
      </c>
      <c r="H196" s="45"/>
      <c r="I196" s="42"/>
      <c r="J196" s="11" t="str">
        <f aca="false">IF(H196="","",H196*I196)</f>
        <v/>
      </c>
      <c r="K196" s="42"/>
      <c r="L196" s="11" t="str">
        <f aca="false">IF(H196="","",IF(K196&lt;&gt;"",K196,H196*IFERROR(INDEX(O_Stok!$Q$6:$Q$85,MATCH(G196,O_Stok!$A$6:$A$85,0)),0)))</f>
        <v/>
      </c>
      <c r="M196" s="11" t="str">
        <f aca="false">IF(H196="","",J196-L196)</f>
        <v/>
      </c>
      <c r="N196" s="34" t="str">
        <f aca="false">IF(G196="","",IFERROR(INDEX(I_Master!$B$6:$B$85,MATCH(G196,I_Master!$A$6:$A$85,0)),"?"))</f>
        <v/>
      </c>
      <c r="O196" s="34" t="str">
        <f aca="false">IF(G196="","",IFERROR(INDEX(I_Master!$E$6:$E$85,MATCH(G196,I_Master!$A$6:$A$85,0)),"?"))</f>
        <v/>
      </c>
      <c r="P196" s="46" t="str">
        <f aca="false">IF(H196="","",IF(OR(A196&lt;I_Parameter!$C$5,A196&gt;I_Parameter!$C$6),0,IF(B196="Aktual",1,IF(AND(B196="Order",A196&gt;=I_Parameter!$C$4),1,0))))</f>
        <v/>
      </c>
    </row>
    <row r="197" customFormat="false" ht="15" hidden="false" customHeight="false" outlineLevel="0" collapsed="false">
      <c r="A197" s="37"/>
      <c r="B197" s="44"/>
      <c r="C197" s="44"/>
      <c r="D197" s="44"/>
      <c r="E197" s="44"/>
      <c r="F197" s="44"/>
      <c r="G197" s="34" t="str">
        <f aca="false">IF(F197&lt;&gt;"",F197,IF(E197="","",IFERROR(INDEX(I_Item!$C$6:$C$255,MATCH(E197,I_Item!$A$6:$A$255,0)),"KODE BARU")))</f>
        <v/>
      </c>
      <c r="H197" s="45"/>
      <c r="I197" s="42"/>
      <c r="J197" s="11" t="str">
        <f aca="false">IF(H197="","",H197*I197)</f>
        <v/>
      </c>
      <c r="K197" s="42"/>
      <c r="L197" s="11" t="str">
        <f aca="false">IF(H197="","",IF(K197&lt;&gt;"",K197,H197*IFERROR(INDEX(O_Stok!$Q$6:$Q$85,MATCH(G197,O_Stok!$A$6:$A$85,0)),0)))</f>
        <v/>
      </c>
      <c r="M197" s="11" t="str">
        <f aca="false">IF(H197="","",J197-L197)</f>
        <v/>
      </c>
      <c r="N197" s="34" t="str">
        <f aca="false">IF(G197="","",IFERROR(INDEX(I_Master!$B$6:$B$85,MATCH(G197,I_Master!$A$6:$A$85,0)),"?"))</f>
        <v/>
      </c>
      <c r="O197" s="34" t="str">
        <f aca="false">IF(G197="","",IFERROR(INDEX(I_Master!$E$6:$E$85,MATCH(G197,I_Master!$A$6:$A$85,0)),"?"))</f>
        <v/>
      </c>
      <c r="P197" s="46" t="str">
        <f aca="false">IF(H197="","",IF(OR(A197&lt;I_Parameter!$C$5,A197&gt;I_Parameter!$C$6),0,IF(B197="Aktual",1,IF(AND(B197="Order",A197&gt;=I_Parameter!$C$4),1,0))))</f>
        <v/>
      </c>
    </row>
    <row r="198" customFormat="false" ht="15" hidden="false" customHeight="false" outlineLevel="0" collapsed="false">
      <c r="A198" s="37"/>
      <c r="B198" s="44"/>
      <c r="C198" s="44"/>
      <c r="D198" s="44"/>
      <c r="E198" s="44"/>
      <c r="F198" s="44"/>
      <c r="G198" s="34" t="str">
        <f aca="false">IF(F198&lt;&gt;"",F198,IF(E198="","",IFERROR(INDEX(I_Item!$C$6:$C$255,MATCH(E198,I_Item!$A$6:$A$255,0)),"KODE BARU")))</f>
        <v/>
      </c>
      <c r="H198" s="45"/>
      <c r="I198" s="42"/>
      <c r="J198" s="11" t="str">
        <f aca="false">IF(H198="","",H198*I198)</f>
        <v/>
      </c>
      <c r="K198" s="42"/>
      <c r="L198" s="11" t="str">
        <f aca="false">IF(H198="","",IF(K198&lt;&gt;"",K198,H198*IFERROR(INDEX(O_Stok!$Q$6:$Q$85,MATCH(G198,O_Stok!$A$6:$A$85,0)),0)))</f>
        <v/>
      </c>
      <c r="M198" s="11" t="str">
        <f aca="false">IF(H198="","",J198-L198)</f>
        <v/>
      </c>
      <c r="N198" s="34" t="str">
        <f aca="false">IF(G198="","",IFERROR(INDEX(I_Master!$B$6:$B$85,MATCH(G198,I_Master!$A$6:$A$85,0)),"?"))</f>
        <v/>
      </c>
      <c r="O198" s="34" t="str">
        <f aca="false">IF(G198="","",IFERROR(INDEX(I_Master!$E$6:$E$85,MATCH(G198,I_Master!$A$6:$A$85,0)),"?"))</f>
        <v/>
      </c>
      <c r="P198" s="46" t="str">
        <f aca="false">IF(H198="","",IF(OR(A198&lt;I_Parameter!$C$5,A198&gt;I_Parameter!$C$6),0,IF(B198="Aktual",1,IF(AND(B198="Order",A198&gt;=I_Parameter!$C$4),1,0))))</f>
        <v/>
      </c>
    </row>
    <row r="199" customFormat="false" ht="15" hidden="false" customHeight="false" outlineLevel="0" collapsed="false">
      <c r="A199" s="37"/>
      <c r="B199" s="44"/>
      <c r="C199" s="44"/>
      <c r="D199" s="44"/>
      <c r="E199" s="44"/>
      <c r="F199" s="44"/>
      <c r="G199" s="34" t="str">
        <f aca="false">IF(F199&lt;&gt;"",F199,IF(E199="","",IFERROR(INDEX(I_Item!$C$6:$C$255,MATCH(E199,I_Item!$A$6:$A$255,0)),"KODE BARU")))</f>
        <v/>
      </c>
      <c r="H199" s="45"/>
      <c r="I199" s="42"/>
      <c r="J199" s="11" t="str">
        <f aca="false">IF(H199="","",H199*I199)</f>
        <v/>
      </c>
      <c r="K199" s="42"/>
      <c r="L199" s="11" t="str">
        <f aca="false">IF(H199="","",IF(K199&lt;&gt;"",K199,H199*IFERROR(INDEX(O_Stok!$Q$6:$Q$85,MATCH(G199,O_Stok!$A$6:$A$85,0)),0)))</f>
        <v/>
      </c>
      <c r="M199" s="11" t="str">
        <f aca="false">IF(H199="","",J199-L199)</f>
        <v/>
      </c>
      <c r="N199" s="34" t="str">
        <f aca="false">IF(G199="","",IFERROR(INDEX(I_Master!$B$6:$B$85,MATCH(G199,I_Master!$A$6:$A$85,0)),"?"))</f>
        <v/>
      </c>
      <c r="O199" s="34" t="str">
        <f aca="false">IF(G199="","",IFERROR(INDEX(I_Master!$E$6:$E$85,MATCH(G199,I_Master!$A$6:$A$85,0)),"?"))</f>
        <v/>
      </c>
      <c r="P199" s="46" t="str">
        <f aca="false">IF(H199="","",IF(OR(A199&lt;I_Parameter!$C$5,A199&gt;I_Parameter!$C$6),0,IF(B199="Aktual",1,IF(AND(B199="Order",A199&gt;=I_Parameter!$C$4),1,0))))</f>
        <v/>
      </c>
    </row>
    <row r="200" customFormat="false" ht="15" hidden="false" customHeight="false" outlineLevel="0" collapsed="false">
      <c r="A200" s="37"/>
      <c r="B200" s="44"/>
      <c r="C200" s="44"/>
      <c r="D200" s="44"/>
      <c r="E200" s="44"/>
      <c r="F200" s="44"/>
      <c r="G200" s="34" t="str">
        <f aca="false">IF(F200&lt;&gt;"",F200,IF(E200="","",IFERROR(INDEX(I_Item!$C$6:$C$255,MATCH(E200,I_Item!$A$6:$A$255,0)),"KODE BARU")))</f>
        <v/>
      </c>
      <c r="H200" s="45"/>
      <c r="I200" s="42"/>
      <c r="J200" s="11" t="str">
        <f aca="false">IF(H200="","",H200*I200)</f>
        <v/>
      </c>
      <c r="K200" s="42"/>
      <c r="L200" s="11" t="str">
        <f aca="false">IF(H200="","",IF(K200&lt;&gt;"",K200,H200*IFERROR(INDEX(O_Stok!$Q$6:$Q$85,MATCH(G200,O_Stok!$A$6:$A$85,0)),0)))</f>
        <v/>
      </c>
      <c r="M200" s="11" t="str">
        <f aca="false">IF(H200="","",J200-L200)</f>
        <v/>
      </c>
      <c r="N200" s="34" t="str">
        <f aca="false">IF(G200="","",IFERROR(INDEX(I_Master!$B$6:$B$85,MATCH(G200,I_Master!$A$6:$A$85,0)),"?"))</f>
        <v/>
      </c>
      <c r="O200" s="34" t="str">
        <f aca="false">IF(G200="","",IFERROR(INDEX(I_Master!$E$6:$E$85,MATCH(G200,I_Master!$A$6:$A$85,0)),"?"))</f>
        <v/>
      </c>
      <c r="P200" s="46" t="str">
        <f aca="false">IF(H200="","",IF(OR(A200&lt;I_Parameter!$C$5,A200&gt;I_Parameter!$C$6),0,IF(B200="Aktual",1,IF(AND(B200="Order",A200&gt;=I_Parameter!$C$4),1,0))))</f>
        <v/>
      </c>
    </row>
    <row r="201" customFormat="false" ht="15" hidden="false" customHeight="false" outlineLevel="0" collapsed="false">
      <c r="A201" s="37"/>
      <c r="B201" s="44"/>
      <c r="C201" s="44"/>
      <c r="D201" s="44"/>
      <c r="E201" s="44"/>
      <c r="F201" s="44"/>
      <c r="G201" s="34" t="str">
        <f aca="false">IF(F201&lt;&gt;"",F201,IF(E201="","",IFERROR(INDEX(I_Item!$C$6:$C$255,MATCH(E201,I_Item!$A$6:$A$255,0)),"KODE BARU")))</f>
        <v/>
      </c>
      <c r="H201" s="45"/>
      <c r="I201" s="42"/>
      <c r="J201" s="11" t="str">
        <f aca="false">IF(H201="","",H201*I201)</f>
        <v/>
      </c>
      <c r="K201" s="42"/>
      <c r="L201" s="11" t="str">
        <f aca="false">IF(H201="","",IF(K201&lt;&gt;"",K201,H201*IFERROR(INDEX(O_Stok!$Q$6:$Q$85,MATCH(G201,O_Stok!$A$6:$A$85,0)),0)))</f>
        <v/>
      </c>
      <c r="M201" s="11" t="str">
        <f aca="false">IF(H201="","",J201-L201)</f>
        <v/>
      </c>
      <c r="N201" s="34" t="str">
        <f aca="false">IF(G201="","",IFERROR(INDEX(I_Master!$B$6:$B$85,MATCH(G201,I_Master!$A$6:$A$85,0)),"?"))</f>
        <v/>
      </c>
      <c r="O201" s="34" t="str">
        <f aca="false">IF(G201="","",IFERROR(INDEX(I_Master!$E$6:$E$85,MATCH(G201,I_Master!$A$6:$A$85,0)),"?"))</f>
        <v/>
      </c>
      <c r="P201" s="46" t="str">
        <f aca="false">IF(H201="","",IF(OR(A201&lt;I_Parameter!$C$5,A201&gt;I_Parameter!$C$6),0,IF(B201="Aktual",1,IF(AND(B201="Order",A201&gt;=I_Parameter!$C$4),1,0))))</f>
        <v/>
      </c>
    </row>
    <row r="202" customFormat="false" ht="15" hidden="false" customHeight="false" outlineLevel="0" collapsed="false">
      <c r="A202" s="37"/>
      <c r="B202" s="44"/>
      <c r="C202" s="44"/>
      <c r="D202" s="44"/>
      <c r="E202" s="44"/>
      <c r="F202" s="44"/>
      <c r="G202" s="34" t="str">
        <f aca="false">IF(F202&lt;&gt;"",F202,IF(E202="","",IFERROR(INDEX(I_Item!$C$6:$C$255,MATCH(E202,I_Item!$A$6:$A$255,0)),"KODE BARU")))</f>
        <v/>
      </c>
      <c r="H202" s="45"/>
      <c r="I202" s="42"/>
      <c r="J202" s="11" t="str">
        <f aca="false">IF(H202="","",H202*I202)</f>
        <v/>
      </c>
      <c r="K202" s="42"/>
      <c r="L202" s="11" t="str">
        <f aca="false">IF(H202="","",IF(K202&lt;&gt;"",K202,H202*IFERROR(INDEX(O_Stok!$Q$6:$Q$85,MATCH(G202,O_Stok!$A$6:$A$85,0)),0)))</f>
        <v/>
      </c>
      <c r="M202" s="11" t="str">
        <f aca="false">IF(H202="","",J202-L202)</f>
        <v/>
      </c>
      <c r="N202" s="34" t="str">
        <f aca="false">IF(G202="","",IFERROR(INDEX(I_Master!$B$6:$B$85,MATCH(G202,I_Master!$A$6:$A$85,0)),"?"))</f>
        <v/>
      </c>
      <c r="O202" s="34" t="str">
        <f aca="false">IF(G202="","",IFERROR(INDEX(I_Master!$E$6:$E$85,MATCH(G202,I_Master!$A$6:$A$85,0)),"?"))</f>
        <v/>
      </c>
      <c r="P202" s="46" t="str">
        <f aca="false">IF(H202="","",IF(OR(A202&lt;I_Parameter!$C$5,A202&gt;I_Parameter!$C$6),0,IF(B202="Aktual",1,IF(AND(B202="Order",A202&gt;=I_Parameter!$C$4),1,0))))</f>
        <v/>
      </c>
    </row>
    <row r="203" customFormat="false" ht="15" hidden="false" customHeight="false" outlineLevel="0" collapsed="false">
      <c r="A203" s="37"/>
      <c r="B203" s="44"/>
      <c r="C203" s="44"/>
      <c r="D203" s="44"/>
      <c r="E203" s="44"/>
      <c r="F203" s="44"/>
      <c r="G203" s="34" t="str">
        <f aca="false">IF(F203&lt;&gt;"",F203,IF(E203="","",IFERROR(INDEX(I_Item!$C$6:$C$255,MATCH(E203,I_Item!$A$6:$A$255,0)),"KODE BARU")))</f>
        <v/>
      </c>
      <c r="H203" s="45"/>
      <c r="I203" s="42"/>
      <c r="J203" s="11" t="str">
        <f aca="false">IF(H203="","",H203*I203)</f>
        <v/>
      </c>
      <c r="K203" s="42"/>
      <c r="L203" s="11" t="str">
        <f aca="false">IF(H203="","",IF(K203&lt;&gt;"",K203,H203*IFERROR(INDEX(O_Stok!$Q$6:$Q$85,MATCH(G203,O_Stok!$A$6:$A$85,0)),0)))</f>
        <v/>
      </c>
      <c r="M203" s="11" t="str">
        <f aca="false">IF(H203="","",J203-L203)</f>
        <v/>
      </c>
      <c r="N203" s="34" t="str">
        <f aca="false">IF(G203="","",IFERROR(INDEX(I_Master!$B$6:$B$85,MATCH(G203,I_Master!$A$6:$A$85,0)),"?"))</f>
        <v/>
      </c>
      <c r="O203" s="34" t="str">
        <f aca="false">IF(G203="","",IFERROR(INDEX(I_Master!$E$6:$E$85,MATCH(G203,I_Master!$A$6:$A$85,0)),"?"))</f>
        <v/>
      </c>
      <c r="P203" s="46" t="str">
        <f aca="false">IF(H203="","",IF(OR(A203&lt;I_Parameter!$C$5,A203&gt;I_Parameter!$C$6),0,IF(B203="Aktual",1,IF(AND(B203="Order",A203&gt;=I_Parameter!$C$4),1,0))))</f>
        <v/>
      </c>
    </row>
    <row r="204" customFormat="false" ht="15" hidden="false" customHeight="false" outlineLevel="0" collapsed="false">
      <c r="A204" s="37"/>
      <c r="B204" s="44"/>
      <c r="C204" s="44"/>
      <c r="D204" s="44"/>
      <c r="E204" s="44"/>
      <c r="F204" s="44"/>
      <c r="G204" s="34" t="str">
        <f aca="false">IF(F204&lt;&gt;"",F204,IF(E204="","",IFERROR(INDEX(I_Item!$C$6:$C$255,MATCH(E204,I_Item!$A$6:$A$255,0)),"KODE BARU")))</f>
        <v/>
      </c>
      <c r="H204" s="45"/>
      <c r="I204" s="42"/>
      <c r="J204" s="11" t="str">
        <f aca="false">IF(H204="","",H204*I204)</f>
        <v/>
      </c>
      <c r="K204" s="42"/>
      <c r="L204" s="11" t="str">
        <f aca="false">IF(H204="","",IF(K204&lt;&gt;"",K204,H204*IFERROR(INDEX(O_Stok!$Q$6:$Q$85,MATCH(G204,O_Stok!$A$6:$A$85,0)),0)))</f>
        <v/>
      </c>
      <c r="M204" s="11" t="str">
        <f aca="false">IF(H204="","",J204-L204)</f>
        <v/>
      </c>
      <c r="N204" s="34" t="str">
        <f aca="false">IF(G204="","",IFERROR(INDEX(I_Master!$B$6:$B$85,MATCH(G204,I_Master!$A$6:$A$85,0)),"?"))</f>
        <v/>
      </c>
      <c r="O204" s="34" t="str">
        <f aca="false">IF(G204="","",IFERROR(INDEX(I_Master!$E$6:$E$85,MATCH(G204,I_Master!$A$6:$A$85,0)),"?"))</f>
        <v/>
      </c>
      <c r="P204" s="46" t="str">
        <f aca="false">IF(H204="","",IF(OR(A204&lt;I_Parameter!$C$5,A204&gt;I_Parameter!$C$6),0,IF(B204="Aktual",1,IF(AND(B204="Order",A204&gt;=I_Parameter!$C$4),1,0))))</f>
        <v/>
      </c>
    </row>
    <row r="205" customFormat="false" ht="15" hidden="false" customHeight="false" outlineLevel="0" collapsed="false">
      <c r="A205" s="37"/>
      <c r="B205" s="44"/>
      <c r="C205" s="44"/>
      <c r="D205" s="44"/>
      <c r="E205" s="44"/>
      <c r="F205" s="44"/>
      <c r="G205" s="34" t="str">
        <f aca="false">IF(F205&lt;&gt;"",F205,IF(E205="","",IFERROR(INDEX(I_Item!$C$6:$C$255,MATCH(E205,I_Item!$A$6:$A$255,0)),"KODE BARU")))</f>
        <v/>
      </c>
      <c r="H205" s="45"/>
      <c r="I205" s="42"/>
      <c r="J205" s="11" t="str">
        <f aca="false">IF(H205="","",H205*I205)</f>
        <v/>
      </c>
      <c r="K205" s="42"/>
      <c r="L205" s="11" t="str">
        <f aca="false">IF(H205="","",IF(K205&lt;&gt;"",K205,H205*IFERROR(INDEX(O_Stok!$Q$6:$Q$85,MATCH(G205,O_Stok!$A$6:$A$85,0)),0)))</f>
        <v/>
      </c>
      <c r="M205" s="11" t="str">
        <f aca="false">IF(H205="","",J205-L205)</f>
        <v/>
      </c>
      <c r="N205" s="34" t="str">
        <f aca="false">IF(G205="","",IFERROR(INDEX(I_Master!$B$6:$B$85,MATCH(G205,I_Master!$A$6:$A$85,0)),"?"))</f>
        <v/>
      </c>
      <c r="O205" s="34" t="str">
        <f aca="false">IF(G205="","",IFERROR(INDEX(I_Master!$E$6:$E$85,MATCH(G205,I_Master!$A$6:$A$85,0)),"?"))</f>
        <v/>
      </c>
      <c r="P205" s="46" t="str">
        <f aca="false">IF(H205="","",IF(OR(A205&lt;I_Parameter!$C$5,A205&gt;I_Parameter!$C$6),0,IF(B205="Aktual",1,IF(AND(B205="Order",A205&gt;=I_Parameter!$C$4),1,0))))</f>
        <v/>
      </c>
    </row>
    <row r="206" customFormat="false" ht="15" hidden="false" customHeight="false" outlineLevel="0" collapsed="false">
      <c r="A206" s="37"/>
      <c r="B206" s="44"/>
      <c r="C206" s="44"/>
      <c r="D206" s="44"/>
      <c r="E206" s="44"/>
      <c r="F206" s="44"/>
      <c r="G206" s="34" t="str">
        <f aca="false">IF(F206&lt;&gt;"",F206,IF(E206="","",IFERROR(INDEX(I_Item!$C$6:$C$255,MATCH(E206,I_Item!$A$6:$A$255,0)),"KODE BARU")))</f>
        <v/>
      </c>
      <c r="H206" s="45"/>
      <c r="I206" s="42"/>
      <c r="J206" s="11" t="str">
        <f aca="false">IF(H206="","",H206*I206)</f>
        <v/>
      </c>
      <c r="K206" s="42"/>
      <c r="L206" s="11" t="str">
        <f aca="false">IF(H206="","",IF(K206&lt;&gt;"",K206,H206*IFERROR(INDEX(O_Stok!$Q$6:$Q$85,MATCH(G206,O_Stok!$A$6:$A$85,0)),0)))</f>
        <v/>
      </c>
      <c r="M206" s="11" t="str">
        <f aca="false">IF(H206="","",J206-L206)</f>
        <v/>
      </c>
      <c r="N206" s="34" t="str">
        <f aca="false">IF(G206="","",IFERROR(INDEX(I_Master!$B$6:$B$85,MATCH(G206,I_Master!$A$6:$A$85,0)),"?"))</f>
        <v/>
      </c>
      <c r="O206" s="34" t="str">
        <f aca="false">IF(G206="","",IFERROR(INDEX(I_Master!$E$6:$E$85,MATCH(G206,I_Master!$A$6:$A$85,0)),"?"))</f>
        <v/>
      </c>
      <c r="P206" s="46" t="str">
        <f aca="false">IF(H206="","",IF(OR(A206&lt;I_Parameter!$C$5,A206&gt;I_Parameter!$C$6),0,IF(B206="Aktual",1,IF(AND(B206="Order",A206&gt;=I_Parameter!$C$4),1,0))))</f>
        <v/>
      </c>
    </row>
    <row r="207" customFormat="false" ht="15" hidden="false" customHeight="false" outlineLevel="0" collapsed="false">
      <c r="A207" s="37"/>
      <c r="B207" s="44"/>
      <c r="C207" s="44"/>
      <c r="D207" s="44"/>
      <c r="E207" s="44"/>
      <c r="F207" s="44"/>
      <c r="G207" s="34" t="str">
        <f aca="false">IF(F207&lt;&gt;"",F207,IF(E207="","",IFERROR(INDEX(I_Item!$C$6:$C$255,MATCH(E207,I_Item!$A$6:$A$255,0)),"KODE BARU")))</f>
        <v/>
      </c>
      <c r="H207" s="45"/>
      <c r="I207" s="42"/>
      <c r="J207" s="11" t="str">
        <f aca="false">IF(H207="","",H207*I207)</f>
        <v/>
      </c>
      <c r="K207" s="42"/>
      <c r="L207" s="11" t="str">
        <f aca="false">IF(H207="","",IF(K207&lt;&gt;"",K207,H207*IFERROR(INDEX(O_Stok!$Q$6:$Q$85,MATCH(G207,O_Stok!$A$6:$A$85,0)),0)))</f>
        <v/>
      </c>
      <c r="M207" s="11" t="str">
        <f aca="false">IF(H207="","",J207-L207)</f>
        <v/>
      </c>
      <c r="N207" s="34" t="str">
        <f aca="false">IF(G207="","",IFERROR(INDEX(I_Master!$B$6:$B$85,MATCH(G207,I_Master!$A$6:$A$85,0)),"?"))</f>
        <v/>
      </c>
      <c r="O207" s="34" t="str">
        <f aca="false">IF(G207="","",IFERROR(INDEX(I_Master!$E$6:$E$85,MATCH(G207,I_Master!$A$6:$A$85,0)),"?"))</f>
        <v/>
      </c>
      <c r="P207" s="46" t="str">
        <f aca="false">IF(H207="","",IF(OR(A207&lt;I_Parameter!$C$5,A207&gt;I_Parameter!$C$6),0,IF(B207="Aktual",1,IF(AND(B207="Order",A207&gt;=I_Parameter!$C$4),1,0))))</f>
        <v/>
      </c>
    </row>
    <row r="208" customFormat="false" ht="15" hidden="false" customHeight="false" outlineLevel="0" collapsed="false">
      <c r="A208" s="37"/>
      <c r="B208" s="44"/>
      <c r="C208" s="44"/>
      <c r="D208" s="44"/>
      <c r="E208" s="44"/>
      <c r="F208" s="44"/>
      <c r="G208" s="34" t="str">
        <f aca="false">IF(F208&lt;&gt;"",F208,IF(E208="","",IFERROR(INDEX(I_Item!$C$6:$C$255,MATCH(E208,I_Item!$A$6:$A$255,0)),"KODE BARU")))</f>
        <v/>
      </c>
      <c r="H208" s="45"/>
      <c r="I208" s="42"/>
      <c r="J208" s="11" t="str">
        <f aca="false">IF(H208="","",H208*I208)</f>
        <v/>
      </c>
      <c r="K208" s="42"/>
      <c r="L208" s="11" t="str">
        <f aca="false">IF(H208="","",IF(K208&lt;&gt;"",K208,H208*IFERROR(INDEX(O_Stok!$Q$6:$Q$85,MATCH(G208,O_Stok!$A$6:$A$85,0)),0)))</f>
        <v/>
      </c>
      <c r="M208" s="11" t="str">
        <f aca="false">IF(H208="","",J208-L208)</f>
        <v/>
      </c>
      <c r="N208" s="34" t="str">
        <f aca="false">IF(G208="","",IFERROR(INDEX(I_Master!$B$6:$B$85,MATCH(G208,I_Master!$A$6:$A$85,0)),"?"))</f>
        <v/>
      </c>
      <c r="O208" s="34" t="str">
        <f aca="false">IF(G208="","",IFERROR(INDEX(I_Master!$E$6:$E$85,MATCH(G208,I_Master!$A$6:$A$85,0)),"?"))</f>
        <v/>
      </c>
      <c r="P208" s="46" t="str">
        <f aca="false">IF(H208="","",IF(OR(A208&lt;I_Parameter!$C$5,A208&gt;I_Parameter!$C$6),0,IF(B208="Aktual",1,IF(AND(B208="Order",A208&gt;=I_Parameter!$C$4),1,0))))</f>
        <v/>
      </c>
    </row>
    <row r="209" customFormat="false" ht="15" hidden="false" customHeight="false" outlineLevel="0" collapsed="false">
      <c r="A209" s="37"/>
      <c r="B209" s="44"/>
      <c r="C209" s="44"/>
      <c r="D209" s="44"/>
      <c r="E209" s="44"/>
      <c r="F209" s="44"/>
      <c r="G209" s="34" t="str">
        <f aca="false">IF(F209&lt;&gt;"",F209,IF(E209="","",IFERROR(INDEX(I_Item!$C$6:$C$255,MATCH(E209,I_Item!$A$6:$A$255,0)),"KODE BARU")))</f>
        <v/>
      </c>
      <c r="H209" s="45"/>
      <c r="I209" s="42"/>
      <c r="J209" s="11" t="str">
        <f aca="false">IF(H209="","",H209*I209)</f>
        <v/>
      </c>
      <c r="K209" s="42"/>
      <c r="L209" s="11" t="str">
        <f aca="false">IF(H209="","",IF(K209&lt;&gt;"",K209,H209*IFERROR(INDEX(O_Stok!$Q$6:$Q$85,MATCH(G209,O_Stok!$A$6:$A$85,0)),0)))</f>
        <v/>
      </c>
      <c r="M209" s="11" t="str">
        <f aca="false">IF(H209="","",J209-L209)</f>
        <v/>
      </c>
      <c r="N209" s="34" t="str">
        <f aca="false">IF(G209="","",IFERROR(INDEX(I_Master!$B$6:$B$85,MATCH(G209,I_Master!$A$6:$A$85,0)),"?"))</f>
        <v/>
      </c>
      <c r="O209" s="34" t="str">
        <f aca="false">IF(G209="","",IFERROR(INDEX(I_Master!$E$6:$E$85,MATCH(G209,I_Master!$A$6:$A$85,0)),"?"))</f>
        <v/>
      </c>
      <c r="P209" s="46" t="str">
        <f aca="false">IF(H209="","",IF(OR(A209&lt;I_Parameter!$C$5,A209&gt;I_Parameter!$C$6),0,IF(B209="Aktual",1,IF(AND(B209="Order",A209&gt;=I_Parameter!$C$4),1,0))))</f>
        <v/>
      </c>
    </row>
    <row r="210" customFormat="false" ht="15" hidden="false" customHeight="false" outlineLevel="0" collapsed="false">
      <c r="A210" s="37"/>
      <c r="B210" s="44"/>
      <c r="C210" s="44"/>
      <c r="D210" s="44"/>
      <c r="E210" s="44"/>
      <c r="F210" s="44"/>
      <c r="G210" s="34" t="str">
        <f aca="false">IF(F210&lt;&gt;"",F210,IF(E210="","",IFERROR(INDEX(I_Item!$C$6:$C$255,MATCH(E210,I_Item!$A$6:$A$255,0)),"KODE BARU")))</f>
        <v/>
      </c>
      <c r="H210" s="45"/>
      <c r="I210" s="42"/>
      <c r="J210" s="11" t="str">
        <f aca="false">IF(H210="","",H210*I210)</f>
        <v/>
      </c>
      <c r="K210" s="42"/>
      <c r="L210" s="11" t="str">
        <f aca="false">IF(H210="","",IF(K210&lt;&gt;"",K210,H210*IFERROR(INDEX(O_Stok!$Q$6:$Q$85,MATCH(G210,O_Stok!$A$6:$A$85,0)),0)))</f>
        <v/>
      </c>
      <c r="M210" s="11" t="str">
        <f aca="false">IF(H210="","",J210-L210)</f>
        <v/>
      </c>
      <c r="N210" s="34" t="str">
        <f aca="false">IF(G210="","",IFERROR(INDEX(I_Master!$B$6:$B$85,MATCH(G210,I_Master!$A$6:$A$85,0)),"?"))</f>
        <v/>
      </c>
      <c r="O210" s="34" t="str">
        <f aca="false">IF(G210="","",IFERROR(INDEX(I_Master!$E$6:$E$85,MATCH(G210,I_Master!$A$6:$A$85,0)),"?"))</f>
        <v/>
      </c>
      <c r="P210" s="46" t="str">
        <f aca="false">IF(H210="","",IF(OR(A210&lt;I_Parameter!$C$5,A210&gt;I_Parameter!$C$6),0,IF(B210="Aktual",1,IF(AND(B210="Order",A210&gt;=I_Parameter!$C$4),1,0))))</f>
        <v/>
      </c>
    </row>
    <row r="211" customFormat="false" ht="15" hidden="false" customHeight="false" outlineLevel="0" collapsed="false">
      <c r="A211" s="37"/>
      <c r="B211" s="44"/>
      <c r="C211" s="44"/>
      <c r="D211" s="44"/>
      <c r="E211" s="44"/>
      <c r="F211" s="44"/>
      <c r="G211" s="34" t="str">
        <f aca="false">IF(F211&lt;&gt;"",F211,IF(E211="","",IFERROR(INDEX(I_Item!$C$6:$C$255,MATCH(E211,I_Item!$A$6:$A$255,0)),"KODE BARU")))</f>
        <v/>
      </c>
      <c r="H211" s="45"/>
      <c r="I211" s="42"/>
      <c r="J211" s="11" t="str">
        <f aca="false">IF(H211="","",H211*I211)</f>
        <v/>
      </c>
      <c r="K211" s="42"/>
      <c r="L211" s="11" t="str">
        <f aca="false">IF(H211="","",IF(K211&lt;&gt;"",K211,H211*IFERROR(INDEX(O_Stok!$Q$6:$Q$85,MATCH(G211,O_Stok!$A$6:$A$85,0)),0)))</f>
        <v/>
      </c>
      <c r="M211" s="11" t="str">
        <f aca="false">IF(H211="","",J211-L211)</f>
        <v/>
      </c>
      <c r="N211" s="34" t="str">
        <f aca="false">IF(G211="","",IFERROR(INDEX(I_Master!$B$6:$B$85,MATCH(G211,I_Master!$A$6:$A$85,0)),"?"))</f>
        <v/>
      </c>
      <c r="O211" s="34" t="str">
        <f aca="false">IF(G211="","",IFERROR(INDEX(I_Master!$E$6:$E$85,MATCH(G211,I_Master!$A$6:$A$85,0)),"?"))</f>
        <v/>
      </c>
      <c r="P211" s="46" t="str">
        <f aca="false">IF(H211="","",IF(OR(A211&lt;I_Parameter!$C$5,A211&gt;I_Parameter!$C$6),0,IF(B211="Aktual",1,IF(AND(B211="Order",A211&gt;=I_Parameter!$C$4),1,0))))</f>
        <v/>
      </c>
    </row>
    <row r="212" customFormat="false" ht="15" hidden="false" customHeight="false" outlineLevel="0" collapsed="false">
      <c r="A212" s="37"/>
      <c r="B212" s="44"/>
      <c r="C212" s="44"/>
      <c r="D212" s="44"/>
      <c r="E212" s="44"/>
      <c r="F212" s="44"/>
      <c r="G212" s="34" t="str">
        <f aca="false">IF(F212&lt;&gt;"",F212,IF(E212="","",IFERROR(INDEX(I_Item!$C$6:$C$255,MATCH(E212,I_Item!$A$6:$A$255,0)),"KODE BARU")))</f>
        <v/>
      </c>
      <c r="H212" s="45"/>
      <c r="I212" s="42"/>
      <c r="J212" s="11" t="str">
        <f aca="false">IF(H212="","",H212*I212)</f>
        <v/>
      </c>
      <c r="K212" s="42"/>
      <c r="L212" s="11" t="str">
        <f aca="false">IF(H212="","",IF(K212&lt;&gt;"",K212,H212*IFERROR(INDEX(O_Stok!$Q$6:$Q$85,MATCH(G212,O_Stok!$A$6:$A$85,0)),0)))</f>
        <v/>
      </c>
      <c r="M212" s="11" t="str">
        <f aca="false">IF(H212="","",J212-L212)</f>
        <v/>
      </c>
      <c r="N212" s="34" t="str">
        <f aca="false">IF(G212="","",IFERROR(INDEX(I_Master!$B$6:$B$85,MATCH(G212,I_Master!$A$6:$A$85,0)),"?"))</f>
        <v/>
      </c>
      <c r="O212" s="34" t="str">
        <f aca="false">IF(G212="","",IFERROR(INDEX(I_Master!$E$6:$E$85,MATCH(G212,I_Master!$A$6:$A$85,0)),"?"))</f>
        <v/>
      </c>
      <c r="P212" s="46" t="str">
        <f aca="false">IF(H212="","",IF(OR(A212&lt;I_Parameter!$C$5,A212&gt;I_Parameter!$C$6),0,IF(B212="Aktual",1,IF(AND(B212="Order",A212&gt;=I_Parameter!$C$4),1,0))))</f>
        <v/>
      </c>
    </row>
    <row r="213" customFormat="false" ht="15" hidden="false" customHeight="false" outlineLevel="0" collapsed="false">
      <c r="A213" s="37"/>
      <c r="B213" s="44"/>
      <c r="C213" s="44"/>
      <c r="D213" s="44"/>
      <c r="E213" s="44"/>
      <c r="F213" s="44"/>
      <c r="G213" s="34" t="str">
        <f aca="false">IF(F213&lt;&gt;"",F213,IF(E213="","",IFERROR(INDEX(I_Item!$C$6:$C$255,MATCH(E213,I_Item!$A$6:$A$255,0)),"KODE BARU")))</f>
        <v/>
      </c>
      <c r="H213" s="45"/>
      <c r="I213" s="42"/>
      <c r="J213" s="11" t="str">
        <f aca="false">IF(H213="","",H213*I213)</f>
        <v/>
      </c>
      <c r="K213" s="42"/>
      <c r="L213" s="11" t="str">
        <f aca="false">IF(H213="","",IF(K213&lt;&gt;"",K213,H213*IFERROR(INDEX(O_Stok!$Q$6:$Q$85,MATCH(G213,O_Stok!$A$6:$A$85,0)),0)))</f>
        <v/>
      </c>
      <c r="M213" s="11" t="str">
        <f aca="false">IF(H213="","",J213-L213)</f>
        <v/>
      </c>
      <c r="N213" s="34" t="str">
        <f aca="false">IF(G213="","",IFERROR(INDEX(I_Master!$B$6:$B$85,MATCH(G213,I_Master!$A$6:$A$85,0)),"?"))</f>
        <v/>
      </c>
      <c r="O213" s="34" t="str">
        <f aca="false">IF(G213="","",IFERROR(INDEX(I_Master!$E$6:$E$85,MATCH(G213,I_Master!$A$6:$A$85,0)),"?"))</f>
        <v/>
      </c>
      <c r="P213" s="46" t="str">
        <f aca="false">IF(H213="","",IF(OR(A213&lt;I_Parameter!$C$5,A213&gt;I_Parameter!$C$6),0,IF(B213="Aktual",1,IF(AND(B213="Order",A213&gt;=I_Parameter!$C$4),1,0))))</f>
        <v/>
      </c>
    </row>
    <row r="214" customFormat="false" ht="15" hidden="false" customHeight="false" outlineLevel="0" collapsed="false">
      <c r="A214" s="37"/>
      <c r="B214" s="44"/>
      <c r="C214" s="44"/>
      <c r="D214" s="44"/>
      <c r="E214" s="44"/>
      <c r="F214" s="44"/>
      <c r="G214" s="34" t="str">
        <f aca="false">IF(F214&lt;&gt;"",F214,IF(E214="","",IFERROR(INDEX(I_Item!$C$6:$C$255,MATCH(E214,I_Item!$A$6:$A$255,0)),"KODE BARU")))</f>
        <v/>
      </c>
      <c r="H214" s="45"/>
      <c r="I214" s="42"/>
      <c r="J214" s="11" t="str">
        <f aca="false">IF(H214="","",H214*I214)</f>
        <v/>
      </c>
      <c r="K214" s="42"/>
      <c r="L214" s="11" t="str">
        <f aca="false">IF(H214="","",IF(K214&lt;&gt;"",K214,H214*IFERROR(INDEX(O_Stok!$Q$6:$Q$85,MATCH(G214,O_Stok!$A$6:$A$85,0)),0)))</f>
        <v/>
      </c>
      <c r="M214" s="11" t="str">
        <f aca="false">IF(H214="","",J214-L214)</f>
        <v/>
      </c>
      <c r="N214" s="34" t="str">
        <f aca="false">IF(G214="","",IFERROR(INDEX(I_Master!$B$6:$B$85,MATCH(G214,I_Master!$A$6:$A$85,0)),"?"))</f>
        <v/>
      </c>
      <c r="O214" s="34" t="str">
        <f aca="false">IF(G214="","",IFERROR(INDEX(I_Master!$E$6:$E$85,MATCH(G214,I_Master!$A$6:$A$85,0)),"?"))</f>
        <v/>
      </c>
      <c r="P214" s="46" t="str">
        <f aca="false">IF(H214="","",IF(OR(A214&lt;I_Parameter!$C$5,A214&gt;I_Parameter!$C$6),0,IF(B214="Aktual",1,IF(AND(B214="Order",A214&gt;=I_Parameter!$C$4),1,0))))</f>
        <v/>
      </c>
    </row>
    <row r="215" customFormat="false" ht="15" hidden="false" customHeight="false" outlineLevel="0" collapsed="false">
      <c r="A215" s="37"/>
      <c r="B215" s="44"/>
      <c r="C215" s="44"/>
      <c r="D215" s="44"/>
      <c r="E215" s="44"/>
      <c r="F215" s="44"/>
      <c r="G215" s="34" t="str">
        <f aca="false">IF(F215&lt;&gt;"",F215,IF(E215="","",IFERROR(INDEX(I_Item!$C$6:$C$255,MATCH(E215,I_Item!$A$6:$A$255,0)),"KODE BARU")))</f>
        <v/>
      </c>
      <c r="H215" s="45"/>
      <c r="I215" s="42"/>
      <c r="J215" s="11" t="str">
        <f aca="false">IF(H215="","",H215*I215)</f>
        <v/>
      </c>
      <c r="K215" s="42"/>
      <c r="L215" s="11" t="str">
        <f aca="false">IF(H215="","",IF(K215&lt;&gt;"",K215,H215*IFERROR(INDEX(O_Stok!$Q$6:$Q$85,MATCH(G215,O_Stok!$A$6:$A$85,0)),0)))</f>
        <v/>
      </c>
      <c r="M215" s="11" t="str">
        <f aca="false">IF(H215="","",J215-L215)</f>
        <v/>
      </c>
      <c r="N215" s="34" t="str">
        <f aca="false">IF(G215="","",IFERROR(INDEX(I_Master!$B$6:$B$85,MATCH(G215,I_Master!$A$6:$A$85,0)),"?"))</f>
        <v/>
      </c>
      <c r="O215" s="34" t="str">
        <f aca="false">IF(G215="","",IFERROR(INDEX(I_Master!$E$6:$E$85,MATCH(G215,I_Master!$A$6:$A$85,0)),"?"))</f>
        <v/>
      </c>
      <c r="P215" s="46" t="str">
        <f aca="false">IF(H215="","",IF(OR(A215&lt;I_Parameter!$C$5,A215&gt;I_Parameter!$C$6),0,IF(B215="Aktual",1,IF(AND(B215="Order",A215&gt;=I_Parameter!$C$4),1,0))))</f>
        <v/>
      </c>
    </row>
    <row r="216" customFormat="false" ht="15" hidden="false" customHeight="false" outlineLevel="0" collapsed="false">
      <c r="A216" s="37"/>
      <c r="B216" s="44"/>
      <c r="C216" s="44"/>
      <c r="D216" s="44"/>
      <c r="E216" s="44"/>
      <c r="F216" s="44"/>
      <c r="G216" s="34" t="str">
        <f aca="false">IF(F216&lt;&gt;"",F216,IF(E216="","",IFERROR(INDEX(I_Item!$C$6:$C$255,MATCH(E216,I_Item!$A$6:$A$255,0)),"KODE BARU")))</f>
        <v/>
      </c>
      <c r="H216" s="45"/>
      <c r="I216" s="42"/>
      <c r="J216" s="11" t="str">
        <f aca="false">IF(H216="","",H216*I216)</f>
        <v/>
      </c>
      <c r="K216" s="42"/>
      <c r="L216" s="11" t="str">
        <f aca="false">IF(H216="","",IF(K216&lt;&gt;"",K216,H216*IFERROR(INDEX(O_Stok!$Q$6:$Q$85,MATCH(G216,O_Stok!$A$6:$A$85,0)),0)))</f>
        <v/>
      </c>
      <c r="M216" s="11" t="str">
        <f aca="false">IF(H216="","",J216-L216)</f>
        <v/>
      </c>
      <c r="N216" s="34" t="str">
        <f aca="false">IF(G216="","",IFERROR(INDEX(I_Master!$B$6:$B$85,MATCH(G216,I_Master!$A$6:$A$85,0)),"?"))</f>
        <v/>
      </c>
      <c r="O216" s="34" t="str">
        <f aca="false">IF(G216="","",IFERROR(INDEX(I_Master!$E$6:$E$85,MATCH(G216,I_Master!$A$6:$A$85,0)),"?"))</f>
        <v/>
      </c>
      <c r="P216" s="46" t="str">
        <f aca="false">IF(H216="","",IF(OR(A216&lt;I_Parameter!$C$5,A216&gt;I_Parameter!$C$6),0,IF(B216="Aktual",1,IF(AND(B216="Order",A216&gt;=I_Parameter!$C$4),1,0))))</f>
        <v/>
      </c>
    </row>
    <row r="217" customFormat="false" ht="15" hidden="false" customHeight="false" outlineLevel="0" collapsed="false">
      <c r="A217" s="37"/>
      <c r="B217" s="44"/>
      <c r="C217" s="44"/>
      <c r="D217" s="44"/>
      <c r="E217" s="44"/>
      <c r="F217" s="44"/>
      <c r="G217" s="34" t="str">
        <f aca="false">IF(F217&lt;&gt;"",F217,IF(E217="","",IFERROR(INDEX(I_Item!$C$6:$C$255,MATCH(E217,I_Item!$A$6:$A$255,0)),"KODE BARU")))</f>
        <v/>
      </c>
      <c r="H217" s="45"/>
      <c r="I217" s="42"/>
      <c r="J217" s="11" t="str">
        <f aca="false">IF(H217="","",H217*I217)</f>
        <v/>
      </c>
      <c r="K217" s="42"/>
      <c r="L217" s="11" t="str">
        <f aca="false">IF(H217="","",IF(K217&lt;&gt;"",K217,H217*IFERROR(INDEX(O_Stok!$Q$6:$Q$85,MATCH(G217,O_Stok!$A$6:$A$85,0)),0)))</f>
        <v/>
      </c>
      <c r="M217" s="11" t="str">
        <f aca="false">IF(H217="","",J217-L217)</f>
        <v/>
      </c>
      <c r="N217" s="34" t="str">
        <f aca="false">IF(G217="","",IFERROR(INDEX(I_Master!$B$6:$B$85,MATCH(G217,I_Master!$A$6:$A$85,0)),"?"))</f>
        <v/>
      </c>
      <c r="O217" s="34" t="str">
        <f aca="false">IF(G217="","",IFERROR(INDEX(I_Master!$E$6:$E$85,MATCH(G217,I_Master!$A$6:$A$85,0)),"?"))</f>
        <v/>
      </c>
      <c r="P217" s="46" t="str">
        <f aca="false">IF(H217="","",IF(OR(A217&lt;I_Parameter!$C$5,A217&gt;I_Parameter!$C$6),0,IF(B217="Aktual",1,IF(AND(B217="Order",A217&gt;=I_Parameter!$C$4),1,0))))</f>
        <v/>
      </c>
    </row>
    <row r="218" customFormat="false" ht="15" hidden="false" customHeight="false" outlineLevel="0" collapsed="false">
      <c r="A218" s="37"/>
      <c r="B218" s="44"/>
      <c r="C218" s="44"/>
      <c r="D218" s="44"/>
      <c r="E218" s="44"/>
      <c r="F218" s="44"/>
      <c r="G218" s="34" t="str">
        <f aca="false">IF(F218&lt;&gt;"",F218,IF(E218="","",IFERROR(INDEX(I_Item!$C$6:$C$255,MATCH(E218,I_Item!$A$6:$A$255,0)),"KODE BARU")))</f>
        <v/>
      </c>
      <c r="H218" s="45"/>
      <c r="I218" s="42"/>
      <c r="J218" s="11" t="str">
        <f aca="false">IF(H218="","",H218*I218)</f>
        <v/>
      </c>
      <c r="K218" s="42"/>
      <c r="L218" s="11" t="str">
        <f aca="false">IF(H218="","",IF(K218&lt;&gt;"",K218,H218*IFERROR(INDEX(O_Stok!$Q$6:$Q$85,MATCH(G218,O_Stok!$A$6:$A$85,0)),0)))</f>
        <v/>
      </c>
      <c r="M218" s="11" t="str">
        <f aca="false">IF(H218="","",J218-L218)</f>
        <v/>
      </c>
      <c r="N218" s="34" t="str">
        <f aca="false">IF(G218="","",IFERROR(INDEX(I_Master!$B$6:$B$85,MATCH(G218,I_Master!$A$6:$A$85,0)),"?"))</f>
        <v/>
      </c>
      <c r="O218" s="34" t="str">
        <f aca="false">IF(G218="","",IFERROR(INDEX(I_Master!$E$6:$E$85,MATCH(G218,I_Master!$A$6:$A$85,0)),"?"))</f>
        <v/>
      </c>
      <c r="P218" s="46" t="str">
        <f aca="false">IF(H218="","",IF(OR(A218&lt;I_Parameter!$C$5,A218&gt;I_Parameter!$C$6),0,IF(B218="Aktual",1,IF(AND(B218="Order",A218&gt;=I_Parameter!$C$4),1,0))))</f>
        <v/>
      </c>
    </row>
    <row r="219" customFormat="false" ht="15" hidden="false" customHeight="false" outlineLevel="0" collapsed="false">
      <c r="A219" s="37"/>
      <c r="B219" s="44"/>
      <c r="C219" s="44"/>
      <c r="D219" s="44"/>
      <c r="E219" s="44"/>
      <c r="F219" s="44"/>
      <c r="G219" s="34" t="str">
        <f aca="false">IF(F219&lt;&gt;"",F219,IF(E219="","",IFERROR(INDEX(I_Item!$C$6:$C$255,MATCH(E219,I_Item!$A$6:$A$255,0)),"KODE BARU")))</f>
        <v/>
      </c>
      <c r="H219" s="45"/>
      <c r="I219" s="42"/>
      <c r="J219" s="11" t="str">
        <f aca="false">IF(H219="","",H219*I219)</f>
        <v/>
      </c>
      <c r="K219" s="42"/>
      <c r="L219" s="11" t="str">
        <f aca="false">IF(H219="","",IF(K219&lt;&gt;"",K219,H219*IFERROR(INDEX(O_Stok!$Q$6:$Q$85,MATCH(G219,O_Stok!$A$6:$A$85,0)),0)))</f>
        <v/>
      </c>
      <c r="M219" s="11" t="str">
        <f aca="false">IF(H219="","",J219-L219)</f>
        <v/>
      </c>
      <c r="N219" s="34" t="str">
        <f aca="false">IF(G219="","",IFERROR(INDEX(I_Master!$B$6:$B$85,MATCH(G219,I_Master!$A$6:$A$85,0)),"?"))</f>
        <v/>
      </c>
      <c r="O219" s="34" t="str">
        <f aca="false">IF(G219="","",IFERROR(INDEX(I_Master!$E$6:$E$85,MATCH(G219,I_Master!$A$6:$A$85,0)),"?"))</f>
        <v/>
      </c>
      <c r="P219" s="46" t="str">
        <f aca="false">IF(H219="","",IF(OR(A219&lt;I_Parameter!$C$5,A219&gt;I_Parameter!$C$6),0,IF(B219="Aktual",1,IF(AND(B219="Order",A219&gt;=I_Parameter!$C$4),1,0))))</f>
        <v/>
      </c>
    </row>
    <row r="220" customFormat="false" ht="15" hidden="false" customHeight="false" outlineLevel="0" collapsed="false">
      <c r="A220" s="37"/>
      <c r="B220" s="44"/>
      <c r="C220" s="44"/>
      <c r="D220" s="44"/>
      <c r="E220" s="44"/>
      <c r="F220" s="44"/>
      <c r="G220" s="34" t="str">
        <f aca="false">IF(F220&lt;&gt;"",F220,IF(E220="","",IFERROR(INDEX(I_Item!$C$6:$C$255,MATCH(E220,I_Item!$A$6:$A$255,0)),"KODE BARU")))</f>
        <v/>
      </c>
      <c r="H220" s="45"/>
      <c r="I220" s="42"/>
      <c r="J220" s="11" t="str">
        <f aca="false">IF(H220="","",H220*I220)</f>
        <v/>
      </c>
      <c r="K220" s="42"/>
      <c r="L220" s="11" t="str">
        <f aca="false">IF(H220="","",IF(K220&lt;&gt;"",K220,H220*IFERROR(INDEX(O_Stok!$Q$6:$Q$85,MATCH(G220,O_Stok!$A$6:$A$85,0)),0)))</f>
        <v/>
      </c>
      <c r="M220" s="11" t="str">
        <f aca="false">IF(H220="","",J220-L220)</f>
        <v/>
      </c>
      <c r="N220" s="34" t="str">
        <f aca="false">IF(G220="","",IFERROR(INDEX(I_Master!$B$6:$B$85,MATCH(G220,I_Master!$A$6:$A$85,0)),"?"))</f>
        <v/>
      </c>
      <c r="O220" s="34" t="str">
        <f aca="false">IF(G220="","",IFERROR(INDEX(I_Master!$E$6:$E$85,MATCH(G220,I_Master!$A$6:$A$85,0)),"?"))</f>
        <v/>
      </c>
      <c r="P220" s="46" t="str">
        <f aca="false">IF(H220="","",IF(OR(A220&lt;I_Parameter!$C$5,A220&gt;I_Parameter!$C$6),0,IF(B220="Aktual",1,IF(AND(B220="Order",A220&gt;=I_Parameter!$C$4),1,0))))</f>
        <v/>
      </c>
    </row>
    <row r="221" customFormat="false" ht="15" hidden="false" customHeight="false" outlineLevel="0" collapsed="false">
      <c r="A221" s="37"/>
      <c r="B221" s="44"/>
      <c r="C221" s="44"/>
      <c r="D221" s="44"/>
      <c r="E221" s="44"/>
      <c r="F221" s="44"/>
      <c r="G221" s="34" t="str">
        <f aca="false">IF(F221&lt;&gt;"",F221,IF(E221="","",IFERROR(INDEX(I_Item!$C$6:$C$255,MATCH(E221,I_Item!$A$6:$A$255,0)),"KODE BARU")))</f>
        <v/>
      </c>
      <c r="H221" s="45"/>
      <c r="I221" s="42"/>
      <c r="J221" s="11" t="str">
        <f aca="false">IF(H221="","",H221*I221)</f>
        <v/>
      </c>
      <c r="K221" s="42"/>
      <c r="L221" s="11" t="str">
        <f aca="false">IF(H221="","",IF(K221&lt;&gt;"",K221,H221*IFERROR(INDEX(O_Stok!$Q$6:$Q$85,MATCH(G221,O_Stok!$A$6:$A$85,0)),0)))</f>
        <v/>
      </c>
      <c r="M221" s="11" t="str">
        <f aca="false">IF(H221="","",J221-L221)</f>
        <v/>
      </c>
      <c r="N221" s="34" t="str">
        <f aca="false">IF(G221="","",IFERROR(INDEX(I_Master!$B$6:$B$85,MATCH(G221,I_Master!$A$6:$A$85,0)),"?"))</f>
        <v/>
      </c>
      <c r="O221" s="34" t="str">
        <f aca="false">IF(G221="","",IFERROR(INDEX(I_Master!$E$6:$E$85,MATCH(G221,I_Master!$A$6:$A$85,0)),"?"))</f>
        <v/>
      </c>
      <c r="P221" s="46" t="str">
        <f aca="false">IF(H221="","",IF(OR(A221&lt;I_Parameter!$C$5,A221&gt;I_Parameter!$C$6),0,IF(B221="Aktual",1,IF(AND(B221="Order",A221&gt;=I_Parameter!$C$4),1,0))))</f>
        <v/>
      </c>
    </row>
    <row r="222" customFormat="false" ht="15" hidden="false" customHeight="false" outlineLevel="0" collapsed="false">
      <c r="A222" s="37"/>
      <c r="B222" s="44"/>
      <c r="C222" s="44"/>
      <c r="D222" s="44"/>
      <c r="E222" s="44"/>
      <c r="F222" s="44"/>
      <c r="G222" s="34" t="str">
        <f aca="false">IF(F222&lt;&gt;"",F222,IF(E222="","",IFERROR(INDEX(I_Item!$C$6:$C$255,MATCH(E222,I_Item!$A$6:$A$255,0)),"KODE BARU")))</f>
        <v/>
      </c>
      <c r="H222" s="45"/>
      <c r="I222" s="42"/>
      <c r="J222" s="11" t="str">
        <f aca="false">IF(H222="","",H222*I222)</f>
        <v/>
      </c>
      <c r="K222" s="42"/>
      <c r="L222" s="11" t="str">
        <f aca="false">IF(H222="","",IF(K222&lt;&gt;"",K222,H222*IFERROR(INDEX(O_Stok!$Q$6:$Q$85,MATCH(G222,O_Stok!$A$6:$A$85,0)),0)))</f>
        <v/>
      </c>
      <c r="M222" s="11" t="str">
        <f aca="false">IF(H222="","",J222-L222)</f>
        <v/>
      </c>
      <c r="N222" s="34" t="str">
        <f aca="false">IF(G222="","",IFERROR(INDEX(I_Master!$B$6:$B$85,MATCH(G222,I_Master!$A$6:$A$85,0)),"?"))</f>
        <v/>
      </c>
      <c r="O222" s="34" t="str">
        <f aca="false">IF(G222="","",IFERROR(INDEX(I_Master!$E$6:$E$85,MATCH(G222,I_Master!$A$6:$A$85,0)),"?"))</f>
        <v/>
      </c>
      <c r="P222" s="46" t="str">
        <f aca="false">IF(H222="","",IF(OR(A222&lt;I_Parameter!$C$5,A222&gt;I_Parameter!$C$6),0,IF(B222="Aktual",1,IF(AND(B222="Order",A222&gt;=I_Parameter!$C$4),1,0))))</f>
        <v/>
      </c>
    </row>
    <row r="223" customFormat="false" ht="15" hidden="false" customHeight="false" outlineLevel="0" collapsed="false">
      <c r="A223" s="37"/>
      <c r="B223" s="44"/>
      <c r="C223" s="44"/>
      <c r="D223" s="44"/>
      <c r="E223" s="44"/>
      <c r="F223" s="44"/>
      <c r="G223" s="34" t="str">
        <f aca="false">IF(F223&lt;&gt;"",F223,IF(E223="","",IFERROR(INDEX(I_Item!$C$6:$C$255,MATCH(E223,I_Item!$A$6:$A$255,0)),"KODE BARU")))</f>
        <v/>
      </c>
      <c r="H223" s="45"/>
      <c r="I223" s="42"/>
      <c r="J223" s="11" t="str">
        <f aca="false">IF(H223="","",H223*I223)</f>
        <v/>
      </c>
      <c r="K223" s="42"/>
      <c r="L223" s="11" t="str">
        <f aca="false">IF(H223="","",IF(K223&lt;&gt;"",K223,H223*IFERROR(INDEX(O_Stok!$Q$6:$Q$85,MATCH(G223,O_Stok!$A$6:$A$85,0)),0)))</f>
        <v/>
      </c>
      <c r="M223" s="11" t="str">
        <f aca="false">IF(H223="","",J223-L223)</f>
        <v/>
      </c>
      <c r="N223" s="34" t="str">
        <f aca="false">IF(G223="","",IFERROR(INDEX(I_Master!$B$6:$B$85,MATCH(G223,I_Master!$A$6:$A$85,0)),"?"))</f>
        <v/>
      </c>
      <c r="O223" s="34" t="str">
        <f aca="false">IF(G223="","",IFERROR(INDEX(I_Master!$E$6:$E$85,MATCH(G223,I_Master!$A$6:$A$85,0)),"?"))</f>
        <v/>
      </c>
      <c r="P223" s="46" t="str">
        <f aca="false">IF(H223="","",IF(OR(A223&lt;I_Parameter!$C$5,A223&gt;I_Parameter!$C$6),0,IF(B223="Aktual",1,IF(AND(B223="Order",A223&gt;=I_Parameter!$C$4),1,0))))</f>
        <v/>
      </c>
    </row>
    <row r="224" customFormat="false" ht="15" hidden="false" customHeight="false" outlineLevel="0" collapsed="false">
      <c r="A224" s="37"/>
      <c r="B224" s="44"/>
      <c r="C224" s="44"/>
      <c r="D224" s="44"/>
      <c r="E224" s="44"/>
      <c r="F224" s="44"/>
      <c r="G224" s="34" t="str">
        <f aca="false">IF(F224&lt;&gt;"",F224,IF(E224="","",IFERROR(INDEX(I_Item!$C$6:$C$255,MATCH(E224,I_Item!$A$6:$A$255,0)),"KODE BARU")))</f>
        <v/>
      </c>
      <c r="H224" s="45"/>
      <c r="I224" s="42"/>
      <c r="J224" s="11" t="str">
        <f aca="false">IF(H224="","",H224*I224)</f>
        <v/>
      </c>
      <c r="K224" s="42"/>
      <c r="L224" s="11" t="str">
        <f aca="false">IF(H224="","",IF(K224&lt;&gt;"",K224,H224*IFERROR(INDEX(O_Stok!$Q$6:$Q$85,MATCH(G224,O_Stok!$A$6:$A$85,0)),0)))</f>
        <v/>
      </c>
      <c r="M224" s="11" t="str">
        <f aca="false">IF(H224="","",J224-L224)</f>
        <v/>
      </c>
      <c r="N224" s="34" t="str">
        <f aca="false">IF(G224="","",IFERROR(INDEX(I_Master!$B$6:$B$85,MATCH(G224,I_Master!$A$6:$A$85,0)),"?"))</f>
        <v/>
      </c>
      <c r="O224" s="34" t="str">
        <f aca="false">IF(G224="","",IFERROR(INDEX(I_Master!$E$6:$E$85,MATCH(G224,I_Master!$A$6:$A$85,0)),"?"))</f>
        <v/>
      </c>
      <c r="P224" s="46" t="str">
        <f aca="false">IF(H224="","",IF(OR(A224&lt;I_Parameter!$C$5,A224&gt;I_Parameter!$C$6),0,IF(B224="Aktual",1,IF(AND(B224="Order",A224&gt;=I_Parameter!$C$4),1,0))))</f>
        <v/>
      </c>
    </row>
    <row r="225" customFormat="false" ht="15" hidden="false" customHeight="false" outlineLevel="0" collapsed="false">
      <c r="A225" s="37"/>
      <c r="B225" s="44"/>
      <c r="C225" s="44"/>
      <c r="D225" s="44"/>
      <c r="E225" s="44"/>
      <c r="F225" s="44"/>
      <c r="G225" s="34" t="str">
        <f aca="false">IF(F225&lt;&gt;"",F225,IF(E225="","",IFERROR(INDEX(I_Item!$C$6:$C$255,MATCH(E225,I_Item!$A$6:$A$255,0)),"KODE BARU")))</f>
        <v/>
      </c>
      <c r="H225" s="45"/>
      <c r="I225" s="42"/>
      <c r="J225" s="11" t="str">
        <f aca="false">IF(H225="","",H225*I225)</f>
        <v/>
      </c>
      <c r="K225" s="42"/>
      <c r="L225" s="11" t="str">
        <f aca="false">IF(H225="","",IF(K225&lt;&gt;"",K225,H225*IFERROR(INDEX(O_Stok!$Q$6:$Q$85,MATCH(G225,O_Stok!$A$6:$A$85,0)),0)))</f>
        <v/>
      </c>
      <c r="M225" s="11" t="str">
        <f aca="false">IF(H225="","",J225-L225)</f>
        <v/>
      </c>
      <c r="N225" s="34" t="str">
        <f aca="false">IF(G225="","",IFERROR(INDEX(I_Master!$B$6:$B$85,MATCH(G225,I_Master!$A$6:$A$85,0)),"?"))</f>
        <v/>
      </c>
      <c r="O225" s="34" t="str">
        <f aca="false">IF(G225="","",IFERROR(INDEX(I_Master!$E$6:$E$85,MATCH(G225,I_Master!$A$6:$A$85,0)),"?"))</f>
        <v/>
      </c>
      <c r="P225" s="46" t="str">
        <f aca="false">IF(H225="","",IF(OR(A225&lt;I_Parameter!$C$5,A225&gt;I_Parameter!$C$6),0,IF(B225="Aktual",1,IF(AND(B225="Order",A225&gt;=I_Parameter!$C$4),1,0))))</f>
        <v/>
      </c>
    </row>
    <row r="226" customFormat="false" ht="15" hidden="false" customHeight="false" outlineLevel="0" collapsed="false">
      <c r="A226" s="37"/>
      <c r="B226" s="44"/>
      <c r="C226" s="44"/>
      <c r="D226" s="44"/>
      <c r="E226" s="44"/>
      <c r="F226" s="44"/>
      <c r="G226" s="34" t="str">
        <f aca="false">IF(F226&lt;&gt;"",F226,IF(E226="","",IFERROR(INDEX(I_Item!$C$6:$C$255,MATCH(E226,I_Item!$A$6:$A$255,0)),"KODE BARU")))</f>
        <v/>
      </c>
      <c r="H226" s="45"/>
      <c r="I226" s="42"/>
      <c r="J226" s="11" t="str">
        <f aca="false">IF(H226="","",H226*I226)</f>
        <v/>
      </c>
      <c r="K226" s="42"/>
      <c r="L226" s="11" t="str">
        <f aca="false">IF(H226="","",IF(K226&lt;&gt;"",K226,H226*IFERROR(INDEX(O_Stok!$Q$6:$Q$85,MATCH(G226,O_Stok!$A$6:$A$85,0)),0)))</f>
        <v/>
      </c>
      <c r="M226" s="11" t="str">
        <f aca="false">IF(H226="","",J226-L226)</f>
        <v/>
      </c>
      <c r="N226" s="34" t="str">
        <f aca="false">IF(G226="","",IFERROR(INDEX(I_Master!$B$6:$B$85,MATCH(G226,I_Master!$A$6:$A$85,0)),"?"))</f>
        <v/>
      </c>
      <c r="O226" s="34" t="str">
        <f aca="false">IF(G226="","",IFERROR(INDEX(I_Master!$E$6:$E$85,MATCH(G226,I_Master!$A$6:$A$85,0)),"?"))</f>
        <v/>
      </c>
      <c r="P226" s="46" t="str">
        <f aca="false">IF(H226="","",IF(OR(A226&lt;I_Parameter!$C$5,A226&gt;I_Parameter!$C$6),0,IF(B226="Aktual",1,IF(AND(B226="Order",A226&gt;=I_Parameter!$C$4),1,0))))</f>
        <v/>
      </c>
    </row>
    <row r="227" customFormat="false" ht="15" hidden="false" customHeight="false" outlineLevel="0" collapsed="false">
      <c r="A227" s="37"/>
      <c r="B227" s="44"/>
      <c r="C227" s="44"/>
      <c r="D227" s="44"/>
      <c r="E227" s="44"/>
      <c r="F227" s="44"/>
      <c r="G227" s="34" t="str">
        <f aca="false">IF(F227&lt;&gt;"",F227,IF(E227="","",IFERROR(INDEX(I_Item!$C$6:$C$255,MATCH(E227,I_Item!$A$6:$A$255,0)),"KODE BARU")))</f>
        <v/>
      </c>
      <c r="H227" s="45"/>
      <c r="I227" s="42"/>
      <c r="J227" s="11" t="str">
        <f aca="false">IF(H227="","",H227*I227)</f>
        <v/>
      </c>
      <c r="K227" s="42"/>
      <c r="L227" s="11" t="str">
        <f aca="false">IF(H227="","",IF(K227&lt;&gt;"",K227,H227*IFERROR(INDEX(O_Stok!$Q$6:$Q$85,MATCH(G227,O_Stok!$A$6:$A$85,0)),0)))</f>
        <v/>
      </c>
      <c r="M227" s="11" t="str">
        <f aca="false">IF(H227="","",J227-L227)</f>
        <v/>
      </c>
      <c r="N227" s="34" t="str">
        <f aca="false">IF(G227="","",IFERROR(INDEX(I_Master!$B$6:$B$85,MATCH(G227,I_Master!$A$6:$A$85,0)),"?"))</f>
        <v/>
      </c>
      <c r="O227" s="34" t="str">
        <f aca="false">IF(G227="","",IFERROR(INDEX(I_Master!$E$6:$E$85,MATCH(G227,I_Master!$A$6:$A$85,0)),"?"))</f>
        <v/>
      </c>
      <c r="P227" s="46" t="str">
        <f aca="false">IF(H227="","",IF(OR(A227&lt;I_Parameter!$C$5,A227&gt;I_Parameter!$C$6),0,IF(B227="Aktual",1,IF(AND(B227="Order",A227&gt;=I_Parameter!$C$4),1,0))))</f>
        <v/>
      </c>
    </row>
    <row r="228" customFormat="false" ht="15" hidden="false" customHeight="false" outlineLevel="0" collapsed="false">
      <c r="A228" s="37"/>
      <c r="B228" s="44"/>
      <c r="C228" s="44"/>
      <c r="D228" s="44"/>
      <c r="E228" s="44"/>
      <c r="F228" s="44"/>
      <c r="G228" s="34" t="str">
        <f aca="false">IF(F228&lt;&gt;"",F228,IF(E228="","",IFERROR(INDEX(I_Item!$C$6:$C$255,MATCH(E228,I_Item!$A$6:$A$255,0)),"KODE BARU")))</f>
        <v/>
      </c>
      <c r="H228" s="45"/>
      <c r="I228" s="42"/>
      <c r="J228" s="11" t="str">
        <f aca="false">IF(H228="","",H228*I228)</f>
        <v/>
      </c>
      <c r="K228" s="42"/>
      <c r="L228" s="11" t="str">
        <f aca="false">IF(H228="","",IF(K228&lt;&gt;"",K228,H228*IFERROR(INDEX(O_Stok!$Q$6:$Q$85,MATCH(G228,O_Stok!$A$6:$A$85,0)),0)))</f>
        <v/>
      </c>
      <c r="M228" s="11" t="str">
        <f aca="false">IF(H228="","",J228-L228)</f>
        <v/>
      </c>
      <c r="N228" s="34" t="str">
        <f aca="false">IF(G228="","",IFERROR(INDEX(I_Master!$B$6:$B$85,MATCH(G228,I_Master!$A$6:$A$85,0)),"?"))</f>
        <v/>
      </c>
      <c r="O228" s="34" t="str">
        <f aca="false">IF(G228="","",IFERROR(INDEX(I_Master!$E$6:$E$85,MATCH(G228,I_Master!$A$6:$A$85,0)),"?"))</f>
        <v/>
      </c>
      <c r="P228" s="46" t="str">
        <f aca="false">IF(H228="","",IF(OR(A228&lt;I_Parameter!$C$5,A228&gt;I_Parameter!$C$6),0,IF(B228="Aktual",1,IF(AND(B228="Order",A228&gt;=I_Parameter!$C$4),1,0))))</f>
        <v/>
      </c>
    </row>
    <row r="229" customFormat="false" ht="15" hidden="false" customHeight="false" outlineLevel="0" collapsed="false">
      <c r="A229" s="37"/>
      <c r="B229" s="44"/>
      <c r="C229" s="44"/>
      <c r="D229" s="44"/>
      <c r="E229" s="44"/>
      <c r="F229" s="44"/>
      <c r="G229" s="34" t="str">
        <f aca="false">IF(F229&lt;&gt;"",F229,IF(E229="","",IFERROR(INDEX(I_Item!$C$6:$C$255,MATCH(E229,I_Item!$A$6:$A$255,0)),"KODE BARU")))</f>
        <v/>
      </c>
      <c r="H229" s="45"/>
      <c r="I229" s="42"/>
      <c r="J229" s="11" t="str">
        <f aca="false">IF(H229="","",H229*I229)</f>
        <v/>
      </c>
      <c r="K229" s="42"/>
      <c r="L229" s="11" t="str">
        <f aca="false">IF(H229="","",IF(K229&lt;&gt;"",K229,H229*IFERROR(INDEX(O_Stok!$Q$6:$Q$85,MATCH(G229,O_Stok!$A$6:$A$85,0)),0)))</f>
        <v/>
      </c>
      <c r="M229" s="11" t="str">
        <f aca="false">IF(H229="","",J229-L229)</f>
        <v/>
      </c>
      <c r="N229" s="34" t="str">
        <f aca="false">IF(G229="","",IFERROR(INDEX(I_Master!$B$6:$B$85,MATCH(G229,I_Master!$A$6:$A$85,0)),"?"))</f>
        <v/>
      </c>
      <c r="O229" s="34" t="str">
        <f aca="false">IF(G229="","",IFERROR(INDEX(I_Master!$E$6:$E$85,MATCH(G229,I_Master!$A$6:$A$85,0)),"?"))</f>
        <v/>
      </c>
      <c r="P229" s="46" t="str">
        <f aca="false">IF(H229="","",IF(OR(A229&lt;I_Parameter!$C$5,A229&gt;I_Parameter!$C$6),0,IF(B229="Aktual",1,IF(AND(B229="Order",A229&gt;=I_Parameter!$C$4),1,0))))</f>
        <v/>
      </c>
    </row>
    <row r="230" customFormat="false" ht="15" hidden="false" customHeight="false" outlineLevel="0" collapsed="false">
      <c r="A230" s="37"/>
      <c r="B230" s="44"/>
      <c r="C230" s="44"/>
      <c r="D230" s="44"/>
      <c r="E230" s="44"/>
      <c r="F230" s="44"/>
      <c r="G230" s="34" t="str">
        <f aca="false">IF(F230&lt;&gt;"",F230,IF(E230="","",IFERROR(INDEX(I_Item!$C$6:$C$255,MATCH(E230,I_Item!$A$6:$A$255,0)),"KODE BARU")))</f>
        <v/>
      </c>
      <c r="H230" s="45"/>
      <c r="I230" s="42"/>
      <c r="J230" s="11" t="str">
        <f aca="false">IF(H230="","",H230*I230)</f>
        <v/>
      </c>
      <c r="K230" s="42"/>
      <c r="L230" s="11" t="str">
        <f aca="false">IF(H230="","",IF(K230&lt;&gt;"",K230,H230*IFERROR(INDEX(O_Stok!$Q$6:$Q$85,MATCH(G230,O_Stok!$A$6:$A$85,0)),0)))</f>
        <v/>
      </c>
      <c r="M230" s="11" t="str">
        <f aca="false">IF(H230="","",J230-L230)</f>
        <v/>
      </c>
      <c r="N230" s="34" t="str">
        <f aca="false">IF(G230="","",IFERROR(INDEX(I_Master!$B$6:$B$85,MATCH(G230,I_Master!$A$6:$A$85,0)),"?"))</f>
        <v/>
      </c>
      <c r="O230" s="34" t="str">
        <f aca="false">IF(G230="","",IFERROR(INDEX(I_Master!$E$6:$E$85,MATCH(G230,I_Master!$A$6:$A$85,0)),"?"))</f>
        <v/>
      </c>
      <c r="P230" s="46" t="str">
        <f aca="false">IF(H230="","",IF(OR(A230&lt;I_Parameter!$C$5,A230&gt;I_Parameter!$C$6),0,IF(B230="Aktual",1,IF(AND(B230="Order",A230&gt;=I_Parameter!$C$4),1,0))))</f>
        <v/>
      </c>
    </row>
    <row r="231" customFormat="false" ht="15" hidden="false" customHeight="false" outlineLevel="0" collapsed="false">
      <c r="A231" s="37"/>
      <c r="B231" s="44"/>
      <c r="C231" s="44"/>
      <c r="D231" s="44"/>
      <c r="E231" s="44"/>
      <c r="F231" s="44"/>
      <c r="G231" s="34" t="str">
        <f aca="false">IF(F231&lt;&gt;"",F231,IF(E231="","",IFERROR(INDEX(I_Item!$C$6:$C$255,MATCH(E231,I_Item!$A$6:$A$255,0)),"KODE BARU")))</f>
        <v/>
      </c>
      <c r="H231" s="45"/>
      <c r="I231" s="42"/>
      <c r="J231" s="11" t="str">
        <f aca="false">IF(H231="","",H231*I231)</f>
        <v/>
      </c>
      <c r="K231" s="42"/>
      <c r="L231" s="11" t="str">
        <f aca="false">IF(H231="","",IF(K231&lt;&gt;"",K231,H231*IFERROR(INDEX(O_Stok!$Q$6:$Q$85,MATCH(G231,O_Stok!$A$6:$A$85,0)),0)))</f>
        <v/>
      </c>
      <c r="M231" s="11" t="str">
        <f aca="false">IF(H231="","",J231-L231)</f>
        <v/>
      </c>
      <c r="N231" s="34" t="str">
        <f aca="false">IF(G231="","",IFERROR(INDEX(I_Master!$B$6:$B$85,MATCH(G231,I_Master!$A$6:$A$85,0)),"?"))</f>
        <v/>
      </c>
      <c r="O231" s="34" t="str">
        <f aca="false">IF(G231="","",IFERROR(INDEX(I_Master!$E$6:$E$85,MATCH(G231,I_Master!$A$6:$A$85,0)),"?"))</f>
        <v/>
      </c>
      <c r="P231" s="46" t="str">
        <f aca="false">IF(H231="","",IF(OR(A231&lt;I_Parameter!$C$5,A231&gt;I_Parameter!$C$6),0,IF(B231="Aktual",1,IF(AND(B231="Order",A231&gt;=I_Parameter!$C$4),1,0))))</f>
        <v/>
      </c>
    </row>
    <row r="232" customFormat="false" ht="15" hidden="false" customHeight="false" outlineLevel="0" collapsed="false">
      <c r="A232" s="37"/>
      <c r="B232" s="44"/>
      <c r="C232" s="44"/>
      <c r="D232" s="44"/>
      <c r="E232" s="44"/>
      <c r="F232" s="44"/>
      <c r="G232" s="34" t="str">
        <f aca="false">IF(F232&lt;&gt;"",F232,IF(E232="","",IFERROR(INDEX(I_Item!$C$6:$C$255,MATCH(E232,I_Item!$A$6:$A$255,0)),"KODE BARU")))</f>
        <v/>
      </c>
      <c r="H232" s="45"/>
      <c r="I232" s="42"/>
      <c r="J232" s="11" t="str">
        <f aca="false">IF(H232="","",H232*I232)</f>
        <v/>
      </c>
      <c r="K232" s="42"/>
      <c r="L232" s="11" t="str">
        <f aca="false">IF(H232="","",IF(K232&lt;&gt;"",K232,H232*IFERROR(INDEX(O_Stok!$Q$6:$Q$85,MATCH(G232,O_Stok!$A$6:$A$85,0)),0)))</f>
        <v/>
      </c>
      <c r="M232" s="11" t="str">
        <f aca="false">IF(H232="","",J232-L232)</f>
        <v/>
      </c>
      <c r="N232" s="34" t="str">
        <f aca="false">IF(G232="","",IFERROR(INDEX(I_Master!$B$6:$B$85,MATCH(G232,I_Master!$A$6:$A$85,0)),"?"))</f>
        <v/>
      </c>
      <c r="O232" s="34" t="str">
        <f aca="false">IF(G232="","",IFERROR(INDEX(I_Master!$E$6:$E$85,MATCH(G232,I_Master!$A$6:$A$85,0)),"?"))</f>
        <v/>
      </c>
      <c r="P232" s="46" t="str">
        <f aca="false">IF(H232="","",IF(OR(A232&lt;I_Parameter!$C$5,A232&gt;I_Parameter!$C$6),0,IF(B232="Aktual",1,IF(AND(B232="Order",A232&gt;=I_Parameter!$C$4),1,0))))</f>
        <v/>
      </c>
    </row>
    <row r="233" customFormat="false" ht="15" hidden="false" customHeight="false" outlineLevel="0" collapsed="false">
      <c r="A233" s="37"/>
      <c r="B233" s="44"/>
      <c r="C233" s="44"/>
      <c r="D233" s="44"/>
      <c r="E233" s="44"/>
      <c r="F233" s="44"/>
      <c r="G233" s="34" t="str">
        <f aca="false">IF(F233&lt;&gt;"",F233,IF(E233="","",IFERROR(INDEX(I_Item!$C$6:$C$255,MATCH(E233,I_Item!$A$6:$A$255,0)),"KODE BARU")))</f>
        <v/>
      </c>
      <c r="H233" s="45"/>
      <c r="I233" s="42"/>
      <c r="J233" s="11" t="str">
        <f aca="false">IF(H233="","",H233*I233)</f>
        <v/>
      </c>
      <c r="K233" s="42"/>
      <c r="L233" s="11" t="str">
        <f aca="false">IF(H233="","",IF(K233&lt;&gt;"",K233,H233*IFERROR(INDEX(O_Stok!$Q$6:$Q$85,MATCH(G233,O_Stok!$A$6:$A$85,0)),0)))</f>
        <v/>
      </c>
      <c r="M233" s="11" t="str">
        <f aca="false">IF(H233="","",J233-L233)</f>
        <v/>
      </c>
      <c r="N233" s="34" t="str">
        <f aca="false">IF(G233="","",IFERROR(INDEX(I_Master!$B$6:$B$85,MATCH(G233,I_Master!$A$6:$A$85,0)),"?"))</f>
        <v/>
      </c>
      <c r="O233" s="34" t="str">
        <f aca="false">IF(G233="","",IFERROR(INDEX(I_Master!$E$6:$E$85,MATCH(G233,I_Master!$A$6:$A$85,0)),"?"))</f>
        <v/>
      </c>
      <c r="P233" s="46" t="str">
        <f aca="false">IF(H233="","",IF(OR(A233&lt;I_Parameter!$C$5,A233&gt;I_Parameter!$C$6),0,IF(B233="Aktual",1,IF(AND(B233="Order",A233&gt;=I_Parameter!$C$4),1,0))))</f>
        <v/>
      </c>
    </row>
    <row r="234" customFormat="false" ht="15" hidden="false" customHeight="false" outlineLevel="0" collapsed="false">
      <c r="A234" s="37"/>
      <c r="B234" s="44"/>
      <c r="C234" s="44"/>
      <c r="D234" s="44"/>
      <c r="E234" s="44"/>
      <c r="F234" s="44"/>
      <c r="G234" s="34" t="str">
        <f aca="false">IF(F234&lt;&gt;"",F234,IF(E234="","",IFERROR(INDEX(I_Item!$C$6:$C$255,MATCH(E234,I_Item!$A$6:$A$255,0)),"KODE BARU")))</f>
        <v/>
      </c>
      <c r="H234" s="45"/>
      <c r="I234" s="42"/>
      <c r="J234" s="11" t="str">
        <f aca="false">IF(H234="","",H234*I234)</f>
        <v/>
      </c>
      <c r="K234" s="42"/>
      <c r="L234" s="11" t="str">
        <f aca="false">IF(H234="","",IF(K234&lt;&gt;"",K234,H234*IFERROR(INDEX(O_Stok!$Q$6:$Q$85,MATCH(G234,O_Stok!$A$6:$A$85,0)),0)))</f>
        <v/>
      </c>
      <c r="M234" s="11" t="str">
        <f aca="false">IF(H234="","",J234-L234)</f>
        <v/>
      </c>
      <c r="N234" s="34" t="str">
        <f aca="false">IF(G234="","",IFERROR(INDEX(I_Master!$B$6:$B$85,MATCH(G234,I_Master!$A$6:$A$85,0)),"?"))</f>
        <v/>
      </c>
      <c r="O234" s="34" t="str">
        <f aca="false">IF(G234="","",IFERROR(INDEX(I_Master!$E$6:$E$85,MATCH(G234,I_Master!$A$6:$A$85,0)),"?"))</f>
        <v/>
      </c>
      <c r="P234" s="46" t="str">
        <f aca="false">IF(H234="","",IF(OR(A234&lt;I_Parameter!$C$5,A234&gt;I_Parameter!$C$6),0,IF(B234="Aktual",1,IF(AND(B234="Order",A234&gt;=I_Parameter!$C$4),1,0))))</f>
        <v/>
      </c>
    </row>
    <row r="235" customFormat="false" ht="15" hidden="false" customHeight="false" outlineLevel="0" collapsed="false">
      <c r="A235" s="37"/>
      <c r="B235" s="44"/>
      <c r="C235" s="44"/>
      <c r="D235" s="44"/>
      <c r="E235" s="44"/>
      <c r="F235" s="44"/>
      <c r="G235" s="34" t="str">
        <f aca="false">IF(F235&lt;&gt;"",F235,IF(E235="","",IFERROR(INDEX(I_Item!$C$6:$C$255,MATCH(E235,I_Item!$A$6:$A$255,0)),"KODE BARU")))</f>
        <v/>
      </c>
      <c r="H235" s="45"/>
      <c r="I235" s="42"/>
      <c r="J235" s="11" t="str">
        <f aca="false">IF(H235="","",H235*I235)</f>
        <v/>
      </c>
      <c r="K235" s="42"/>
      <c r="L235" s="11" t="str">
        <f aca="false">IF(H235="","",IF(K235&lt;&gt;"",K235,H235*IFERROR(INDEX(O_Stok!$Q$6:$Q$85,MATCH(G235,O_Stok!$A$6:$A$85,0)),0)))</f>
        <v/>
      </c>
      <c r="M235" s="11" t="str">
        <f aca="false">IF(H235="","",J235-L235)</f>
        <v/>
      </c>
      <c r="N235" s="34" t="str">
        <f aca="false">IF(G235="","",IFERROR(INDEX(I_Master!$B$6:$B$85,MATCH(G235,I_Master!$A$6:$A$85,0)),"?"))</f>
        <v/>
      </c>
      <c r="O235" s="34" t="str">
        <f aca="false">IF(G235="","",IFERROR(INDEX(I_Master!$E$6:$E$85,MATCH(G235,I_Master!$A$6:$A$85,0)),"?"))</f>
        <v/>
      </c>
      <c r="P235" s="46" t="str">
        <f aca="false">IF(H235="","",IF(OR(A235&lt;I_Parameter!$C$5,A235&gt;I_Parameter!$C$6),0,IF(B235="Aktual",1,IF(AND(B235="Order",A235&gt;=I_Parameter!$C$4),1,0))))</f>
        <v/>
      </c>
    </row>
    <row r="236" customFormat="false" ht="15" hidden="false" customHeight="false" outlineLevel="0" collapsed="false">
      <c r="A236" s="37"/>
      <c r="B236" s="44"/>
      <c r="C236" s="44"/>
      <c r="D236" s="44"/>
      <c r="E236" s="44"/>
      <c r="F236" s="44"/>
      <c r="G236" s="34" t="str">
        <f aca="false">IF(F236&lt;&gt;"",F236,IF(E236="","",IFERROR(INDEX(I_Item!$C$6:$C$255,MATCH(E236,I_Item!$A$6:$A$255,0)),"KODE BARU")))</f>
        <v/>
      </c>
      <c r="H236" s="45"/>
      <c r="I236" s="42"/>
      <c r="J236" s="11" t="str">
        <f aca="false">IF(H236="","",H236*I236)</f>
        <v/>
      </c>
      <c r="K236" s="42"/>
      <c r="L236" s="11" t="str">
        <f aca="false">IF(H236="","",IF(K236&lt;&gt;"",K236,H236*IFERROR(INDEX(O_Stok!$Q$6:$Q$85,MATCH(G236,O_Stok!$A$6:$A$85,0)),0)))</f>
        <v/>
      </c>
      <c r="M236" s="11" t="str">
        <f aca="false">IF(H236="","",J236-L236)</f>
        <v/>
      </c>
      <c r="N236" s="34" t="str">
        <f aca="false">IF(G236="","",IFERROR(INDEX(I_Master!$B$6:$B$85,MATCH(G236,I_Master!$A$6:$A$85,0)),"?"))</f>
        <v/>
      </c>
      <c r="O236" s="34" t="str">
        <f aca="false">IF(G236="","",IFERROR(INDEX(I_Master!$E$6:$E$85,MATCH(G236,I_Master!$A$6:$A$85,0)),"?"))</f>
        <v/>
      </c>
      <c r="P236" s="46" t="str">
        <f aca="false">IF(H236="","",IF(OR(A236&lt;I_Parameter!$C$5,A236&gt;I_Parameter!$C$6),0,IF(B236="Aktual",1,IF(AND(B236="Order",A236&gt;=I_Parameter!$C$4),1,0))))</f>
        <v/>
      </c>
    </row>
    <row r="237" customFormat="false" ht="15" hidden="false" customHeight="false" outlineLevel="0" collapsed="false">
      <c r="A237" s="37"/>
      <c r="B237" s="44"/>
      <c r="C237" s="44"/>
      <c r="D237" s="44"/>
      <c r="E237" s="44"/>
      <c r="F237" s="44"/>
      <c r="G237" s="34" t="str">
        <f aca="false">IF(F237&lt;&gt;"",F237,IF(E237="","",IFERROR(INDEX(I_Item!$C$6:$C$255,MATCH(E237,I_Item!$A$6:$A$255,0)),"KODE BARU")))</f>
        <v/>
      </c>
      <c r="H237" s="45"/>
      <c r="I237" s="42"/>
      <c r="J237" s="11" t="str">
        <f aca="false">IF(H237="","",H237*I237)</f>
        <v/>
      </c>
      <c r="K237" s="42"/>
      <c r="L237" s="11" t="str">
        <f aca="false">IF(H237="","",IF(K237&lt;&gt;"",K237,H237*IFERROR(INDEX(O_Stok!$Q$6:$Q$85,MATCH(G237,O_Stok!$A$6:$A$85,0)),0)))</f>
        <v/>
      </c>
      <c r="M237" s="11" t="str">
        <f aca="false">IF(H237="","",J237-L237)</f>
        <v/>
      </c>
      <c r="N237" s="34" t="str">
        <f aca="false">IF(G237="","",IFERROR(INDEX(I_Master!$B$6:$B$85,MATCH(G237,I_Master!$A$6:$A$85,0)),"?"))</f>
        <v/>
      </c>
      <c r="O237" s="34" t="str">
        <f aca="false">IF(G237="","",IFERROR(INDEX(I_Master!$E$6:$E$85,MATCH(G237,I_Master!$A$6:$A$85,0)),"?"))</f>
        <v/>
      </c>
      <c r="P237" s="46" t="str">
        <f aca="false">IF(H237="","",IF(OR(A237&lt;I_Parameter!$C$5,A237&gt;I_Parameter!$C$6),0,IF(B237="Aktual",1,IF(AND(B237="Order",A237&gt;=I_Parameter!$C$4),1,0))))</f>
        <v/>
      </c>
    </row>
    <row r="238" customFormat="false" ht="15" hidden="false" customHeight="false" outlineLevel="0" collapsed="false">
      <c r="A238" s="37"/>
      <c r="B238" s="44"/>
      <c r="C238" s="44"/>
      <c r="D238" s="44"/>
      <c r="E238" s="44"/>
      <c r="F238" s="44"/>
      <c r="G238" s="34" t="str">
        <f aca="false">IF(F238&lt;&gt;"",F238,IF(E238="","",IFERROR(INDEX(I_Item!$C$6:$C$255,MATCH(E238,I_Item!$A$6:$A$255,0)),"KODE BARU")))</f>
        <v/>
      </c>
      <c r="H238" s="45"/>
      <c r="I238" s="42"/>
      <c r="J238" s="11" t="str">
        <f aca="false">IF(H238="","",H238*I238)</f>
        <v/>
      </c>
      <c r="K238" s="42"/>
      <c r="L238" s="11" t="str">
        <f aca="false">IF(H238="","",IF(K238&lt;&gt;"",K238,H238*IFERROR(INDEX(O_Stok!$Q$6:$Q$85,MATCH(G238,O_Stok!$A$6:$A$85,0)),0)))</f>
        <v/>
      </c>
      <c r="M238" s="11" t="str">
        <f aca="false">IF(H238="","",J238-L238)</f>
        <v/>
      </c>
      <c r="N238" s="34" t="str">
        <f aca="false">IF(G238="","",IFERROR(INDEX(I_Master!$B$6:$B$85,MATCH(G238,I_Master!$A$6:$A$85,0)),"?"))</f>
        <v/>
      </c>
      <c r="O238" s="34" t="str">
        <f aca="false">IF(G238="","",IFERROR(INDEX(I_Master!$E$6:$E$85,MATCH(G238,I_Master!$A$6:$A$85,0)),"?"))</f>
        <v/>
      </c>
      <c r="P238" s="46" t="str">
        <f aca="false">IF(H238="","",IF(OR(A238&lt;I_Parameter!$C$5,A238&gt;I_Parameter!$C$6),0,IF(B238="Aktual",1,IF(AND(B238="Order",A238&gt;=I_Parameter!$C$4),1,0))))</f>
        <v/>
      </c>
    </row>
    <row r="239" customFormat="false" ht="15" hidden="false" customHeight="false" outlineLevel="0" collapsed="false">
      <c r="A239" s="37"/>
      <c r="B239" s="44"/>
      <c r="C239" s="44"/>
      <c r="D239" s="44"/>
      <c r="E239" s="44"/>
      <c r="F239" s="44"/>
      <c r="G239" s="34" t="str">
        <f aca="false">IF(F239&lt;&gt;"",F239,IF(E239="","",IFERROR(INDEX(I_Item!$C$6:$C$255,MATCH(E239,I_Item!$A$6:$A$255,0)),"KODE BARU")))</f>
        <v/>
      </c>
      <c r="H239" s="45"/>
      <c r="I239" s="42"/>
      <c r="J239" s="11" t="str">
        <f aca="false">IF(H239="","",H239*I239)</f>
        <v/>
      </c>
      <c r="K239" s="42"/>
      <c r="L239" s="11" t="str">
        <f aca="false">IF(H239="","",IF(K239&lt;&gt;"",K239,H239*IFERROR(INDEX(O_Stok!$Q$6:$Q$85,MATCH(G239,O_Stok!$A$6:$A$85,0)),0)))</f>
        <v/>
      </c>
      <c r="M239" s="11" t="str">
        <f aca="false">IF(H239="","",J239-L239)</f>
        <v/>
      </c>
      <c r="N239" s="34" t="str">
        <f aca="false">IF(G239="","",IFERROR(INDEX(I_Master!$B$6:$B$85,MATCH(G239,I_Master!$A$6:$A$85,0)),"?"))</f>
        <v/>
      </c>
      <c r="O239" s="34" t="str">
        <f aca="false">IF(G239="","",IFERROR(INDEX(I_Master!$E$6:$E$85,MATCH(G239,I_Master!$A$6:$A$85,0)),"?"))</f>
        <v/>
      </c>
      <c r="P239" s="46" t="str">
        <f aca="false">IF(H239="","",IF(OR(A239&lt;I_Parameter!$C$5,A239&gt;I_Parameter!$C$6),0,IF(B239="Aktual",1,IF(AND(B239="Order",A239&gt;=I_Parameter!$C$4),1,0))))</f>
        <v/>
      </c>
    </row>
    <row r="240" customFormat="false" ht="15" hidden="false" customHeight="false" outlineLevel="0" collapsed="false">
      <c r="A240" s="37"/>
      <c r="B240" s="44"/>
      <c r="C240" s="44"/>
      <c r="D240" s="44"/>
      <c r="E240" s="44"/>
      <c r="F240" s="44"/>
      <c r="G240" s="34" t="str">
        <f aca="false">IF(F240&lt;&gt;"",F240,IF(E240="","",IFERROR(INDEX(I_Item!$C$6:$C$255,MATCH(E240,I_Item!$A$6:$A$255,0)),"KODE BARU")))</f>
        <v/>
      </c>
      <c r="H240" s="45"/>
      <c r="I240" s="42"/>
      <c r="J240" s="11" t="str">
        <f aca="false">IF(H240="","",H240*I240)</f>
        <v/>
      </c>
      <c r="K240" s="42"/>
      <c r="L240" s="11" t="str">
        <f aca="false">IF(H240="","",IF(K240&lt;&gt;"",K240,H240*IFERROR(INDEX(O_Stok!$Q$6:$Q$85,MATCH(G240,O_Stok!$A$6:$A$85,0)),0)))</f>
        <v/>
      </c>
      <c r="M240" s="11" t="str">
        <f aca="false">IF(H240="","",J240-L240)</f>
        <v/>
      </c>
      <c r="N240" s="34" t="str">
        <f aca="false">IF(G240="","",IFERROR(INDEX(I_Master!$B$6:$B$85,MATCH(G240,I_Master!$A$6:$A$85,0)),"?"))</f>
        <v/>
      </c>
      <c r="O240" s="34" t="str">
        <f aca="false">IF(G240="","",IFERROR(INDEX(I_Master!$E$6:$E$85,MATCH(G240,I_Master!$A$6:$A$85,0)),"?"))</f>
        <v/>
      </c>
      <c r="P240" s="46" t="str">
        <f aca="false">IF(H240="","",IF(OR(A240&lt;I_Parameter!$C$5,A240&gt;I_Parameter!$C$6),0,IF(B240="Aktual",1,IF(AND(B240="Order",A240&gt;=I_Parameter!$C$4),1,0))))</f>
        <v/>
      </c>
    </row>
    <row r="241" customFormat="false" ht="15" hidden="false" customHeight="false" outlineLevel="0" collapsed="false">
      <c r="A241" s="37"/>
      <c r="B241" s="44"/>
      <c r="C241" s="44"/>
      <c r="D241" s="44"/>
      <c r="E241" s="44"/>
      <c r="F241" s="44"/>
      <c r="G241" s="34" t="str">
        <f aca="false">IF(F241&lt;&gt;"",F241,IF(E241="","",IFERROR(INDEX(I_Item!$C$6:$C$255,MATCH(E241,I_Item!$A$6:$A$255,0)),"KODE BARU")))</f>
        <v/>
      </c>
      <c r="H241" s="45"/>
      <c r="I241" s="42"/>
      <c r="J241" s="11" t="str">
        <f aca="false">IF(H241="","",H241*I241)</f>
        <v/>
      </c>
      <c r="K241" s="42"/>
      <c r="L241" s="11" t="str">
        <f aca="false">IF(H241="","",IF(K241&lt;&gt;"",K241,H241*IFERROR(INDEX(O_Stok!$Q$6:$Q$85,MATCH(G241,O_Stok!$A$6:$A$85,0)),0)))</f>
        <v/>
      </c>
      <c r="M241" s="11" t="str">
        <f aca="false">IF(H241="","",J241-L241)</f>
        <v/>
      </c>
      <c r="N241" s="34" t="str">
        <f aca="false">IF(G241="","",IFERROR(INDEX(I_Master!$B$6:$B$85,MATCH(G241,I_Master!$A$6:$A$85,0)),"?"))</f>
        <v/>
      </c>
      <c r="O241" s="34" t="str">
        <f aca="false">IF(G241="","",IFERROR(INDEX(I_Master!$E$6:$E$85,MATCH(G241,I_Master!$A$6:$A$85,0)),"?"))</f>
        <v/>
      </c>
      <c r="P241" s="46" t="str">
        <f aca="false">IF(H241="","",IF(OR(A241&lt;I_Parameter!$C$5,A241&gt;I_Parameter!$C$6),0,IF(B241="Aktual",1,IF(AND(B241="Order",A241&gt;=I_Parameter!$C$4),1,0))))</f>
        <v/>
      </c>
    </row>
    <row r="242" customFormat="false" ht="15" hidden="false" customHeight="false" outlineLevel="0" collapsed="false">
      <c r="A242" s="37"/>
      <c r="B242" s="44"/>
      <c r="C242" s="44"/>
      <c r="D242" s="44"/>
      <c r="E242" s="44"/>
      <c r="F242" s="44"/>
      <c r="G242" s="34" t="str">
        <f aca="false">IF(F242&lt;&gt;"",F242,IF(E242="","",IFERROR(INDEX(I_Item!$C$6:$C$255,MATCH(E242,I_Item!$A$6:$A$255,0)),"KODE BARU")))</f>
        <v/>
      </c>
      <c r="H242" s="45"/>
      <c r="I242" s="42"/>
      <c r="J242" s="11" t="str">
        <f aca="false">IF(H242="","",H242*I242)</f>
        <v/>
      </c>
      <c r="K242" s="42"/>
      <c r="L242" s="11" t="str">
        <f aca="false">IF(H242="","",IF(K242&lt;&gt;"",K242,H242*IFERROR(INDEX(O_Stok!$Q$6:$Q$85,MATCH(G242,O_Stok!$A$6:$A$85,0)),0)))</f>
        <v/>
      </c>
      <c r="M242" s="11" t="str">
        <f aca="false">IF(H242="","",J242-L242)</f>
        <v/>
      </c>
      <c r="N242" s="34" t="str">
        <f aca="false">IF(G242="","",IFERROR(INDEX(I_Master!$B$6:$B$85,MATCH(G242,I_Master!$A$6:$A$85,0)),"?"))</f>
        <v/>
      </c>
      <c r="O242" s="34" t="str">
        <f aca="false">IF(G242="","",IFERROR(INDEX(I_Master!$E$6:$E$85,MATCH(G242,I_Master!$A$6:$A$85,0)),"?"))</f>
        <v/>
      </c>
      <c r="P242" s="46" t="str">
        <f aca="false">IF(H242="","",IF(OR(A242&lt;I_Parameter!$C$5,A242&gt;I_Parameter!$C$6),0,IF(B242="Aktual",1,IF(AND(B242="Order",A242&gt;=I_Parameter!$C$4),1,0))))</f>
        <v/>
      </c>
    </row>
    <row r="243" customFormat="false" ht="15" hidden="false" customHeight="false" outlineLevel="0" collapsed="false">
      <c r="A243" s="37"/>
      <c r="B243" s="44"/>
      <c r="C243" s="44"/>
      <c r="D243" s="44"/>
      <c r="E243" s="44"/>
      <c r="F243" s="44"/>
      <c r="G243" s="34" t="str">
        <f aca="false">IF(F243&lt;&gt;"",F243,IF(E243="","",IFERROR(INDEX(I_Item!$C$6:$C$255,MATCH(E243,I_Item!$A$6:$A$255,0)),"KODE BARU")))</f>
        <v/>
      </c>
      <c r="H243" s="45"/>
      <c r="I243" s="42"/>
      <c r="J243" s="11" t="str">
        <f aca="false">IF(H243="","",H243*I243)</f>
        <v/>
      </c>
      <c r="K243" s="42"/>
      <c r="L243" s="11" t="str">
        <f aca="false">IF(H243="","",IF(K243&lt;&gt;"",K243,H243*IFERROR(INDEX(O_Stok!$Q$6:$Q$85,MATCH(G243,O_Stok!$A$6:$A$85,0)),0)))</f>
        <v/>
      </c>
      <c r="M243" s="11" t="str">
        <f aca="false">IF(H243="","",J243-L243)</f>
        <v/>
      </c>
      <c r="N243" s="34" t="str">
        <f aca="false">IF(G243="","",IFERROR(INDEX(I_Master!$B$6:$B$85,MATCH(G243,I_Master!$A$6:$A$85,0)),"?"))</f>
        <v/>
      </c>
      <c r="O243" s="34" t="str">
        <f aca="false">IF(G243="","",IFERROR(INDEX(I_Master!$E$6:$E$85,MATCH(G243,I_Master!$A$6:$A$85,0)),"?"))</f>
        <v/>
      </c>
      <c r="P243" s="46" t="str">
        <f aca="false">IF(H243="","",IF(OR(A243&lt;I_Parameter!$C$5,A243&gt;I_Parameter!$C$6),0,IF(B243="Aktual",1,IF(AND(B243="Order",A243&gt;=I_Parameter!$C$4),1,0))))</f>
        <v/>
      </c>
    </row>
    <row r="244" customFormat="false" ht="15" hidden="false" customHeight="false" outlineLevel="0" collapsed="false">
      <c r="A244" s="37"/>
      <c r="B244" s="44"/>
      <c r="C244" s="44"/>
      <c r="D244" s="44"/>
      <c r="E244" s="44"/>
      <c r="F244" s="44"/>
      <c r="G244" s="34" t="str">
        <f aca="false">IF(F244&lt;&gt;"",F244,IF(E244="","",IFERROR(INDEX(I_Item!$C$6:$C$255,MATCH(E244,I_Item!$A$6:$A$255,0)),"KODE BARU")))</f>
        <v/>
      </c>
      <c r="H244" s="45"/>
      <c r="I244" s="42"/>
      <c r="J244" s="11" t="str">
        <f aca="false">IF(H244="","",H244*I244)</f>
        <v/>
      </c>
      <c r="K244" s="42"/>
      <c r="L244" s="11" t="str">
        <f aca="false">IF(H244="","",IF(K244&lt;&gt;"",K244,H244*IFERROR(INDEX(O_Stok!$Q$6:$Q$85,MATCH(G244,O_Stok!$A$6:$A$85,0)),0)))</f>
        <v/>
      </c>
      <c r="M244" s="11" t="str">
        <f aca="false">IF(H244="","",J244-L244)</f>
        <v/>
      </c>
      <c r="N244" s="34" t="str">
        <f aca="false">IF(G244="","",IFERROR(INDEX(I_Master!$B$6:$B$85,MATCH(G244,I_Master!$A$6:$A$85,0)),"?"))</f>
        <v/>
      </c>
      <c r="O244" s="34" t="str">
        <f aca="false">IF(G244="","",IFERROR(INDEX(I_Master!$E$6:$E$85,MATCH(G244,I_Master!$A$6:$A$85,0)),"?"))</f>
        <v/>
      </c>
      <c r="P244" s="46" t="str">
        <f aca="false">IF(H244="","",IF(OR(A244&lt;I_Parameter!$C$5,A244&gt;I_Parameter!$C$6),0,IF(B244="Aktual",1,IF(AND(B244="Order",A244&gt;=I_Parameter!$C$4),1,0))))</f>
        <v/>
      </c>
    </row>
    <row r="245" customFormat="false" ht="15" hidden="false" customHeight="false" outlineLevel="0" collapsed="false">
      <c r="A245" s="37"/>
      <c r="B245" s="44"/>
      <c r="C245" s="44"/>
      <c r="D245" s="44"/>
      <c r="E245" s="44"/>
      <c r="F245" s="44"/>
      <c r="G245" s="34" t="str">
        <f aca="false">IF(F245&lt;&gt;"",F245,IF(E245="","",IFERROR(INDEX(I_Item!$C$6:$C$255,MATCH(E245,I_Item!$A$6:$A$255,0)),"KODE BARU")))</f>
        <v/>
      </c>
      <c r="H245" s="45"/>
      <c r="I245" s="42"/>
      <c r="J245" s="11" t="str">
        <f aca="false">IF(H245="","",H245*I245)</f>
        <v/>
      </c>
      <c r="K245" s="42"/>
      <c r="L245" s="11" t="str">
        <f aca="false">IF(H245="","",IF(K245&lt;&gt;"",K245,H245*IFERROR(INDEX(O_Stok!$Q$6:$Q$85,MATCH(G245,O_Stok!$A$6:$A$85,0)),0)))</f>
        <v/>
      </c>
      <c r="M245" s="11" t="str">
        <f aca="false">IF(H245="","",J245-L245)</f>
        <v/>
      </c>
      <c r="N245" s="34" t="str">
        <f aca="false">IF(G245="","",IFERROR(INDEX(I_Master!$B$6:$B$85,MATCH(G245,I_Master!$A$6:$A$85,0)),"?"))</f>
        <v/>
      </c>
      <c r="O245" s="34" t="str">
        <f aca="false">IF(G245="","",IFERROR(INDEX(I_Master!$E$6:$E$85,MATCH(G245,I_Master!$A$6:$A$85,0)),"?"))</f>
        <v/>
      </c>
      <c r="P245" s="46" t="str">
        <f aca="false">IF(H245="","",IF(OR(A245&lt;I_Parameter!$C$5,A245&gt;I_Parameter!$C$6),0,IF(B245="Aktual",1,IF(AND(B245="Order",A245&gt;=I_Parameter!$C$4),1,0))))</f>
        <v/>
      </c>
    </row>
    <row r="246" customFormat="false" ht="15" hidden="false" customHeight="false" outlineLevel="0" collapsed="false">
      <c r="A246" s="37"/>
      <c r="B246" s="44"/>
      <c r="C246" s="44"/>
      <c r="D246" s="44"/>
      <c r="E246" s="44"/>
      <c r="F246" s="44"/>
      <c r="G246" s="34" t="str">
        <f aca="false">IF(F246&lt;&gt;"",F246,IF(E246="","",IFERROR(INDEX(I_Item!$C$6:$C$255,MATCH(E246,I_Item!$A$6:$A$255,0)),"KODE BARU")))</f>
        <v/>
      </c>
      <c r="H246" s="45"/>
      <c r="I246" s="42"/>
      <c r="J246" s="11" t="str">
        <f aca="false">IF(H246="","",H246*I246)</f>
        <v/>
      </c>
      <c r="K246" s="42"/>
      <c r="L246" s="11" t="str">
        <f aca="false">IF(H246="","",IF(K246&lt;&gt;"",K246,H246*IFERROR(INDEX(O_Stok!$Q$6:$Q$85,MATCH(G246,O_Stok!$A$6:$A$85,0)),0)))</f>
        <v/>
      </c>
      <c r="M246" s="11" t="str">
        <f aca="false">IF(H246="","",J246-L246)</f>
        <v/>
      </c>
      <c r="N246" s="34" t="str">
        <f aca="false">IF(G246="","",IFERROR(INDEX(I_Master!$B$6:$B$85,MATCH(G246,I_Master!$A$6:$A$85,0)),"?"))</f>
        <v/>
      </c>
      <c r="O246" s="34" t="str">
        <f aca="false">IF(G246="","",IFERROR(INDEX(I_Master!$E$6:$E$85,MATCH(G246,I_Master!$A$6:$A$85,0)),"?"))</f>
        <v/>
      </c>
      <c r="P246" s="46" t="str">
        <f aca="false">IF(H246="","",IF(OR(A246&lt;I_Parameter!$C$5,A246&gt;I_Parameter!$C$6),0,IF(B246="Aktual",1,IF(AND(B246="Order",A246&gt;=I_Parameter!$C$4),1,0))))</f>
        <v/>
      </c>
    </row>
    <row r="247" customFormat="false" ht="15" hidden="false" customHeight="false" outlineLevel="0" collapsed="false">
      <c r="A247" s="37"/>
      <c r="B247" s="44"/>
      <c r="C247" s="44"/>
      <c r="D247" s="44"/>
      <c r="E247" s="44"/>
      <c r="F247" s="44"/>
      <c r="G247" s="34" t="str">
        <f aca="false">IF(F247&lt;&gt;"",F247,IF(E247="","",IFERROR(INDEX(I_Item!$C$6:$C$255,MATCH(E247,I_Item!$A$6:$A$255,0)),"KODE BARU")))</f>
        <v/>
      </c>
      <c r="H247" s="45"/>
      <c r="I247" s="42"/>
      <c r="J247" s="11" t="str">
        <f aca="false">IF(H247="","",H247*I247)</f>
        <v/>
      </c>
      <c r="K247" s="42"/>
      <c r="L247" s="11" t="str">
        <f aca="false">IF(H247="","",IF(K247&lt;&gt;"",K247,H247*IFERROR(INDEX(O_Stok!$Q$6:$Q$85,MATCH(G247,O_Stok!$A$6:$A$85,0)),0)))</f>
        <v/>
      </c>
      <c r="M247" s="11" t="str">
        <f aca="false">IF(H247="","",J247-L247)</f>
        <v/>
      </c>
      <c r="N247" s="34" t="str">
        <f aca="false">IF(G247="","",IFERROR(INDEX(I_Master!$B$6:$B$85,MATCH(G247,I_Master!$A$6:$A$85,0)),"?"))</f>
        <v/>
      </c>
      <c r="O247" s="34" t="str">
        <f aca="false">IF(G247="","",IFERROR(INDEX(I_Master!$E$6:$E$85,MATCH(G247,I_Master!$A$6:$A$85,0)),"?"))</f>
        <v/>
      </c>
      <c r="P247" s="46" t="str">
        <f aca="false">IF(H247="","",IF(OR(A247&lt;I_Parameter!$C$5,A247&gt;I_Parameter!$C$6),0,IF(B247="Aktual",1,IF(AND(B247="Order",A247&gt;=I_Parameter!$C$4),1,0))))</f>
        <v/>
      </c>
    </row>
    <row r="248" customFormat="false" ht="15" hidden="false" customHeight="false" outlineLevel="0" collapsed="false">
      <c r="A248" s="37"/>
      <c r="B248" s="44"/>
      <c r="C248" s="44"/>
      <c r="D248" s="44"/>
      <c r="E248" s="44"/>
      <c r="F248" s="44"/>
      <c r="G248" s="34" t="str">
        <f aca="false">IF(F248&lt;&gt;"",F248,IF(E248="","",IFERROR(INDEX(I_Item!$C$6:$C$255,MATCH(E248,I_Item!$A$6:$A$255,0)),"KODE BARU")))</f>
        <v/>
      </c>
      <c r="H248" s="45"/>
      <c r="I248" s="42"/>
      <c r="J248" s="11" t="str">
        <f aca="false">IF(H248="","",H248*I248)</f>
        <v/>
      </c>
      <c r="K248" s="42"/>
      <c r="L248" s="11" t="str">
        <f aca="false">IF(H248="","",IF(K248&lt;&gt;"",K248,H248*IFERROR(INDEX(O_Stok!$Q$6:$Q$85,MATCH(G248,O_Stok!$A$6:$A$85,0)),0)))</f>
        <v/>
      </c>
      <c r="M248" s="11" t="str">
        <f aca="false">IF(H248="","",J248-L248)</f>
        <v/>
      </c>
      <c r="N248" s="34" t="str">
        <f aca="false">IF(G248="","",IFERROR(INDEX(I_Master!$B$6:$B$85,MATCH(G248,I_Master!$A$6:$A$85,0)),"?"))</f>
        <v/>
      </c>
      <c r="O248" s="34" t="str">
        <f aca="false">IF(G248="","",IFERROR(INDEX(I_Master!$E$6:$E$85,MATCH(G248,I_Master!$A$6:$A$85,0)),"?"))</f>
        <v/>
      </c>
      <c r="P248" s="46" t="str">
        <f aca="false">IF(H248="","",IF(OR(A248&lt;I_Parameter!$C$5,A248&gt;I_Parameter!$C$6),0,IF(B248="Aktual",1,IF(AND(B248="Order",A248&gt;=I_Parameter!$C$4),1,0))))</f>
        <v/>
      </c>
    </row>
    <row r="249" customFormat="false" ht="15" hidden="false" customHeight="false" outlineLevel="0" collapsed="false">
      <c r="A249" s="37"/>
      <c r="B249" s="44"/>
      <c r="C249" s="44"/>
      <c r="D249" s="44"/>
      <c r="E249" s="44"/>
      <c r="F249" s="44"/>
      <c r="G249" s="34" t="str">
        <f aca="false">IF(F249&lt;&gt;"",F249,IF(E249="","",IFERROR(INDEX(I_Item!$C$6:$C$255,MATCH(E249,I_Item!$A$6:$A$255,0)),"KODE BARU")))</f>
        <v/>
      </c>
      <c r="H249" s="45"/>
      <c r="I249" s="42"/>
      <c r="J249" s="11" t="str">
        <f aca="false">IF(H249="","",H249*I249)</f>
        <v/>
      </c>
      <c r="K249" s="42"/>
      <c r="L249" s="11" t="str">
        <f aca="false">IF(H249="","",IF(K249&lt;&gt;"",K249,H249*IFERROR(INDEX(O_Stok!$Q$6:$Q$85,MATCH(G249,O_Stok!$A$6:$A$85,0)),0)))</f>
        <v/>
      </c>
      <c r="M249" s="11" t="str">
        <f aca="false">IF(H249="","",J249-L249)</f>
        <v/>
      </c>
      <c r="N249" s="34" t="str">
        <f aca="false">IF(G249="","",IFERROR(INDEX(I_Master!$B$6:$B$85,MATCH(G249,I_Master!$A$6:$A$85,0)),"?"))</f>
        <v/>
      </c>
      <c r="O249" s="34" t="str">
        <f aca="false">IF(G249="","",IFERROR(INDEX(I_Master!$E$6:$E$85,MATCH(G249,I_Master!$A$6:$A$85,0)),"?"))</f>
        <v/>
      </c>
      <c r="P249" s="46" t="str">
        <f aca="false">IF(H249="","",IF(OR(A249&lt;I_Parameter!$C$5,A249&gt;I_Parameter!$C$6),0,IF(B249="Aktual",1,IF(AND(B249="Order",A249&gt;=I_Parameter!$C$4),1,0))))</f>
        <v/>
      </c>
    </row>
    <row r="250" customFormat="false" ht="15" hidden="false" customHeight="false" outlineLevel="0" collapsed="false">
      <c r="A250" s="37"/>
      <c r="B250" s="44"/>
      <c r="C250" s="44"/>
      <c r="D250" s="44"/>
      <c r="E250" s="44"/>
      <c r="F250" s="44"/>
      <c r="G250" s="34" t="str">
        <f aca="false">IF(F250&lt;&gt;"",F250,IF(E250="","",IFERROR(INDEX(I_Item!$C$6:$C$255,MATCH(E250,I_Item!$A$6:$A$255,0)),"KODE BARU")))</f>
        <v/>
      </c>
      <c r="H250" s="45"/>
      <c r="I250" s="42"/>
      <c r="J250" s="11" t="str">
        <f aca="false">IF(H250="","",H250*I250)</f>
        <v/>
      </c>
      <c r="K250" s="42"/>
      <c r="L250" s="11" t="str">
        <f aca="false">IF(H250="","",IF(K250&lt;&gt;"",K250,H250*IFERROR(INDEX(O_Stok!$Q$6:$Q$85,MATCH(G250,O_Stok!$A$6:$A$85,0)),0)))</f>
        <v/>
      </c>
      <c r="M250" s="11" t="str">
        <f aca="false">IF(H250="","",J250-L250)</f>
        <v/>
      </c>
      <c r="N250" s="34" t="str">
        <f aca="false">IF(G250="","",IFERROR(INDEX(I_Master!$B$6:$B$85,MATCH(G250,I_Master!$A$6:$A$85,0)),"?"))</f>
        <v/>
      </c>
      <c r="O250" s="34" t="str">
        <f aca="false">IF(G250="","",IFERROR(INDEX(I_Master!$E$6:$E$85,MATCH(G250,I_Master!$A$6:$A$85,0)),"?"))</f>
        <v/>
      </c>
      <c r="P250" s="46" t="str">
        <f aca="false">IF(H250="","",IF(OR(A250&lt;I_Parameter!$C$5,A250&gt;I_Parameter!$C$6),0,IF(B250="Aktual",1,IF(AND(B250="Order",A250&gt;=I_Parameter!$C$4),1,0))))</f>
        <v/>
      </c>
    </row>
    <row r="251" customFormat="false" ht="15" hidden="false" customHeight="false" outlineLevel="0" collapsed="false">
      <c r="A251" s="37"/>
      <c r="B251" s="44"/>
      <c r="C251" s="44"/>
      <c r="D251" s="44"/>
      <c r="E251" s="44"/>
      <c r="F251" s="44"/>
      <c r="G251" s="34" t="str">
        <f aca="false">IF(F251&lt;&gt;"",F251,IF(E251="","",IFERROR(INDEX(I_Item!$C$6:$C$255,MATCH(E251,I_Item!$A$6:$A$255,0)),"KODE BARU")))</f>
        <v/>
      </c>
      <c r="H251" s="45"/>
      <c r="I251" s="42"/>
      <c r="J251" s="11" t="str">
        <f aca="false">IF(H251="","",H251*I251)</f>
        <v/>
      </c>
      <c r="K251" s="42"/>
      <c r="L251" s="11" t="str">
        <f aca="false">IF(H251="","",IF(K251&lt;&gt;"",K251,H251*IFERROR(INDEX(O_Stok!$Q$6:$Q$85,MATCH(G251,O_Stok!$A$6:$A$85,0)),0)))</f>
        <v/>
      </c>
      <c r="M251" s="11" t="str">
        <f aca="false">IF(H251="","",J251-L251)</f>
        <v/>
      </c>
      <c r="N251" s="34" t="str">
        <f aca="false">IF(G251="","",IFERROR(INDEX(I_Master!$B$6:$B$85,MATCH(G251,I_Master!$A$6:$A$85,0)),"?"))</f>
        <v/>
      </c>
      <c r="O251" s="34" t="str">
        <f aca="false">IF(G251="","",IFERROR(INDEX(I_Master!$E$6:$E$85,MATCH(G251,I_Master!$A$6:$A$85,0)),"?"))</f>
        <v/>
      </c>
      <c r="P251" s="46" t="str">
        <f aca="false">IF(H251="","",IF(OR(A251&lt;I_Parameter!$C$5,A251&gt;I_Parameter!$C$6),0,IF(B251="Aktual",1,IF(AND(B251="Order",A251&gt;=I_Parameter!$C$4),1,0))))</f>
        <v/>
      </c>
    </row>
    <row r="252" customFormat="false" ht="15" hidden="false" customHeight="false" outlineLevel="0" collapsed="false">
      <c r="A252" s="37"/>
      <c r="B252" s="44"/>
      <c r="C252" s="44"/>
      <c r="D252" s="44"/>
      <c r="E252" s="44"/>
      <c r="F252" s="44"/>
      <c r="G252" s="34" t="str">
        <f aca="false">IF(F252&lt;&gt;"",F252,IF(E252="","",IFERROR(INDEX(I_Item!$C$6:$C$255,MATCH(E252,I_Item!$A$6:$A$255,0)),"KODE BARU")))</f>
        <v/>
      </c>
      <c r="H252" s="45"/>
      <c r="I252" s="42"/>
      <c r="J252" s="11" t="str">
        <f aca="false">IF(H252="","",H252*I252)</f>
        <v/>
      </c>
      <c r="K252" s="42"/>
      <c r="L252" s="11" t="str">
        <f aca="false">IF(H252="","",IF(K252&lt;&gt;"",K252,H252*IFERROR(INDEX(O_Stok!$Q$6:$Q$85,MATCH(G252,O_Stok!$A$6:$A$85,0)),0)))</f>
        <v/>
      </c>
      <c r="M252" s="11" t="str">
        <f aca="false">IF(H252="","",J252-L252)</f>
        <v/>
      </c>
      <c r="N252" s="34" t="str">
        <f aca="false">IF(G252="","",IFERROR(INDEX(I_Master!$B$6:$B$85,MATCH(G252,I_Master!$A$6:$A$85,0)),"?"))</f>
        <v/>
      </c>
      <c r="O252" s="34" t="str">
        <f aca="false">IF(G252="","",IFERROR(INDEX(I_Master!$E$6:$E$85,MATCH(G252,I_Master!$A$6:$A$85,0)),"?"))</f>
        <v/>
      </c>
      <c r="P252" s="46" t="str">
        <f aca="false">IF(H252="","",IF(OR(A252&lt;I_Parameter!$C$5,A252&gt;I_Parameter!$C$6),0,IF(B252="Aktual",1,IF(AND(B252="Order",A252&gt;=I_Parameter!$C$4),1,0))))</f>
        <v/>
      </c>
    </row>
    <row r="253" customFormat="false" ht="15" hidden="false" customHeight="false" outlineLevel="0" collapsed="false">
      <c r="A253" s="37"/>
      <c r="B253" s="44"/>
      <c r="C253" s="44"/>
      <c r="D253" s="44"/>
      <c r="E253" s="44"/>
      <c r="F253" s="44"/>
      <c r="G253" s="34" t="str">
        <f aca="false">IF(F253&lt;&gt;"",F253,IF(E253="","",IFERROR(INDEX(I_Item!$C$6:$C$255,MATCH(E253,I_Item!$A$6:$A$255,0)),"KODE BARU")))</f>
        <v/>
      </c>
      <c r="H253" s="45"/>
      <c r="I253" s="42"/>
      <c r="J253" s="11" t="str">
        <f aca="false">IF(H253="","",H253*I253)</f>
        <v/>
      </c>
      <c r="K253" s="42"/>
      <c r="L253" s="11" t="str">
        <f aca="false">IF(H253="","",IF(K253&lt;&gt;"",K253,H253*IFERROR(INDEX(O_Stok!$Q$6:$Q$85,MATCH(G253,O_Stok!$A$6:$A$85,0)),0)))</f>
        <v/>
      </c>
      <c r="M253" s="11" t="str">
        <f aca="false">IF(H253="","",J253-L253)</f>
        <v/>
      </c>
      <c r="N253" s="34" t="str">
        <f aca="false">IF(G253="","",IFERROR(INDEX(I_Master!$B$6:$B$85,MATCH(G253,I_Master!$A$6:$A$85,0)),"?"))</f>
        <v/>
      </c>
      <c r="O253" s="34" t="str">
        <f aca="false">IF(G253="","",IFERROR(INDEX(I_Master!$E$6:$E$85,MATCH(G253,I_Master!$A$6:$A$85,0)),"?"))</f>
        <v/>
      </c>
      <c r="P253" s="46" t="str">
        <f aca="false">IF(H253="","",IF(OR(A253&lt;I_Parameter!$C$5,A253&gt;I_Parameter!$C$6),0,IF(B253="Aktual",1,IF(AND(B253="Order",A253&gt;=I_Parameter!$C$4),1,0))))</f>
        <v/>
      </c>
    </row>
    <row r="254" customFormat="false" ht="15" hidden="false" customHeight="false" outlineLevel="0" collapsed="false">
      <c r="A254" s="37"/>
      <c r="B254" s="44"/>
      <c r="C254" s="44"/>
      <c r="D254" s="44"/>
      <c r="E254" s="44"/>
      <c r="F254" s="44"/>
      <c r="G254" s="34" t="str">
        <f aca="false">IF(F254&lt;&gt;"",F254,IF(E254="","",IFERROR(INDEX(I_Item!$C$6:$C$255,MATCH(E254,I_Item!$A$6:$A$255,0)),"KODE BARU")))</f>
        <v/>
      </c>
      <c r="H254" s="45"/>
      <c r="I254" s="42"/>
      <c r="J254" s="11" t="str">
        <f aca="false">IF(H254="","",H254*I254)</f>
        <v/>
      </c>
      <c r="K254" s="42"/>
      <c r="L254" s="11" t="str">
        <f aca="false">IF(H254="","",IF(K254&lt;&gt;"",K254,H254*IFERROR(INDEX(O_Stok!$Q$6:$Q$85,MATCH(G254,O_Stok!$A$6:$A$85,0)),0)))</f>
        <v/>
      </c>
      <c r="M254" s="11" t="str">
        <f aca="false">IF(H254="","",J254-L254)</f>
        <v/>
      </c>
      <c r="N254" s="34" t="str">
        <f aca="false">IF(G254="","",IFERROR(INDEX(I_Master!$B$6:$B$85,MATCH(G254,I_Master!$A$6:$A$85,0)),"?"))</f>
        <v/>
      </c>
      <c r="O254" s="34" t="str">
        <f aca="false">IF(G254="","",IFERROR(INDEX(I_Master!$E$6:$E$85,MATCH(G254,I_Master!$A$6:$A$85,0)),"?"))</f>
        <v/>
      </c>
      <c r="P254" s="46" t="str">
        <f aca="false">IF(H254="","",IF(OR(A254&lt;I_Parameter!$C$5,A254&gt;I_Parameter!$C$6),0,IF(B254="Aktual",1,IF(AND(B254="Order",A254&gt;=I_Parameter!$C$4),1,0))))</f>
        <v/>
      </c>
    </row>
    <row r="255" customFormat="false" ht="15" hidden="false" customHeight="false" outlineLevel="0" collapsed="false">
      <c r="A255" s="37"/>
      <c r="B255" s="44"/>
      <c r="C255" s="44"/>
      <c r="D255" s="44"/>
      <c r="E255" s="44"/>
      <c r="F255" s="44"/>
      <c r="G255" s="34" t="str">
        <f aca="false">IF(F255&lt;&gt;"",F255,IF(E255="","",IFERROR(INDEX(I_Item!$C$6:$C$255,MATCH(E255,I_Item!$A$6:$A$255,0)),"KODE BARU")))</f>
        <v/>
      </c>
      <c r="H255" s="45"/>
      <c r="I255" s="42"/>
      <c r="J255" s="11" t="str">
        <f aca="false">IF(H255="","",H255*I255)</f>
        <v/>
      </c>
      <c r="K255" s="42"/>
      <c r="L255" s="11" t="str">
        <f aca="false">IF(H255="","",IF(K255&lt;&gt;"",K255,H255*IFERROR(INDEX(O_Stok!$Q$6:$Q$85,MATCH(G255,O_Stok!$A$6:$A$85,0)),0)))</f>
        <v/>
      </c>
      <c r="M255" s="11" t="str">
        <f aca="false">IF(H255="","",J255-L255)</f>
        <v/>
      </c>
      <c r="N255" s="34" t="str">
        <f aca="false">IF(G255="","",IFERROR(INDEX(I_Master!$B$6:$B$85,MATCH(G255,I_Master!$A$6:$A$85,0)),"?"))</f>
        <v/>
      </c>
      <c r="O255" s="34" t="str">
        <f aca="false">IF(G255="","",IFERROR(INDEX(I_Master!$E$6:$E$85,MATCH(G255,I_Master!$A$6:$A$85,0)),"?"))</f>
        <v/>
      </c>
      <c r="P255" s="46" t="str">
        <f aca="false">IF(H255="","",IF(OR(A255&lt;I_Parameter!$C$5,A255&gt;I_Parameter!$C$6),0,IF(B255="Aktual",1,IF(AND(B255="Order",A255&gt;=I_Parameter!$C$4),1,0))))</f>
        <v/>
      </c>
    </row>
    <row r="256" customFormat="false" ht="15" hidden="false" customHeight="false" outlineLevel="0" collapsed="false">
      <c r="A256" s="37"/>
      <c r="B256" s="44"/>
      <c r="C256" s="44"/>
      <c r="D256" s="44"/>
      <c r="E256" s="44"/>
      <c r="F256" s="44"/>
      <c r="G256" s="34" t="str">
        <f aca="false">IF(F256&lt;&gt;"",F256,IF(E256="","",IFERROR(INDEX(I_Item!$C$6:$C$255,MATCH(E256,I_Item!$A$6:$A$255,0)),"KODE BARU")))</f>
        <v/>
      </c>
      <c r="H256" s="45"/>
      <c r="I256" s="42"/>
      <c r="J256" s="11" t="str">
        <f aca="false">IF(H256="","",H256*I256)</f>
        <v/>
      </c>
      <c r="K256" s="42"/>
      <c r="L256" s="11" t="str">
        <f aca="false">IF(H256="","",IF(K256&lt;&gt;"",K256,H256*IFERROR(INDEX(O_Stok!$Q$6:$Q$85,MATCH(G256,O_Stok!$A$6:$A$85,0)),0)))</f>
        <v/>
      </c>
      <c r="M256" s="11" t="str">
        <f aca="false">IF(H256="","",J256-L256)</f>
        <v/>
      </c>
      <c r="N256" s="34" t="str">
        <f aca="false">IF(G256="","",IFERROR(INDEX(I_Master!$B$6:$B$85,MATCH(G256,I_Master!$A$6:$A$85,0)),"?"))</f>
        <v/>
      </c>
      <c r="O256" s="34" t="str">
        <f aca="false">IF(G256="","",IFERROR(INDEX(I_Master!$E$6:$E$85,MATCH(G256,I_Master!$A$6:$A$85,0)),"?"))</f>
        <v/>
      </c>
      <c r="P256" s="46" t="str">
        <f aca="false">IF(H256="","",IF(OR(A256&lt;I_Parameter!$C$5,A256&gt;I_Parameter!$C$6),0,IF(B256="Aktual",1,IF(AND(B256="Order",A256&gt;=I_Parameter!$C$4),1,0))))</f>
        <v/>
      </c>
    </row>
    <row r="257" customFormat="false" ht="15" hidden="false" customHeight="false" outlineLevel="0" collapsed="false">
      <c r="A257" s="37"/>
      <c r="B257" s="44"/>
      <c r="C257" s="44"/>
      <c r="D257" s="44"/>
      <c r="E257" s="44"/>
      <c r="F257" s="44"/>
      <c r="G257" s="34" t="str">
        <f aca="false">IF(F257&lt;&gt;"",F257,IF(E257="","",IFERROR(INDEX(I_Item!$C$6:$C$255,MATCH(E257,I_Item!$A$6:$A$255,0)),"KODE BARU")))</f>
        <v/>
      </c>
      <c r="H257" s="45"/>
      <c r="I257" s="42"/>
      <c r="J257" s="11" t="str">
        <f aca="false">IF(H257="","",H257*I257)</f>
        <v/>
      </c>
      <c r="K257" s="42"/>
      <c r="L257" s="11" t="str">
        <f aca="false">IF(H257="","",IF(K257&lt;&gt;"",K257,H257*IFERROR(INDEX(O_Stok!$Q$6:$Q$85,MATCH(G257,O_Stok!$A$6:$A$85,0)),0)))</f>
        <v/>
      </c>
      <c r="M257" s="11" t="str">
        <f aca="false">IF(H257="","",J257-L257)</f>
        <v/>
      </c>
      <c r="N257" s="34" t="str">
        <f aca="false">IF(G257="","",IFERROR(INDEX(I_Master!$B$6:$B$85,MATCH(G257,I_Master!$A$6:$A$85,0)),"?"))</f>
        <v/>
      </c>
      <c r="O257" s="34" t="str">
        <f aca="false">IF(G257="","",IFERROR(INDEX(I_Master!$E$6:$E$85,MATCH(G257,I_Master!$A$6:$A$85,0)),"?"))</f>
        <v/>
      </c>
      <c r="P257" s="46" t="str">
        <f aca="false">IF(H257="","",IF(OR(A257&lt;I_Parameter!$C$5,A257&gt;I_Parameter!$C$6),0,IF(B257="Aktual",1,IF(AND(B257="Order",A257&gt;=I_Parameter!$C$4),1,0))))</f>
        <v/>
      </c>
    </row>
    <row r="258" customFormat="false" ht="15" hidden="false" customHeight="false" outlineLevel="0" collapsed="false">
      <c r="A258" s="37"/>
      <c r="B258" s="44"/>
      <c r="C258" s="44"/>
      <c r="D258" s="44"/>
      <c r="E258" s="44"/>
      <c r="F258" s="44"/>
      <c r="G258" s="34" t="str">
        <f aca="false">IF(F258&lt;&gt;"",F258,IF(E258="","",IFERROR(INDEX(I_Item!$C$6:$C$255,MATCH(E258,I_Item!$A$6:$A$255,0)),"KODE BARU")))</f>
        <v/>
      </c>
      <c r="H258" s="45"/>
      <c r="I258" s="42"/>
      <c r="J258" s="11" t="str">
        <f aca="false">IF(H258="","",H258*I258)</f>
        <v/>
      </c>
      <c r="K258" s="42"/>
      <c r="L258" s="11" t="str">
        <f aca="false">IF(H258="","",IF(K258&lt;&gt;"",K258,H258*IFERROR(INDEX(O_Stok!$Q$6:$Q$85,MATCH(G258,O_Stok!$A$6:$A$85,0)),0)))</f>
        <v/>
      </c>
      <c r="M258" s="11" t="str">
        <f aca="false">IF(H258="","",J258-L258)</f>
        <v/>
      </c>
      <c r="N258" s="34" t="str">
        <f aca="false">IF(G258="","",IFERROR(INDEX(I_Master!$B$6:$B$85,MATCH(G258,I_Master!$A$6:$A$85,0)),"?"))</f>
        <v/>
      </c>
      <c r="O258" s="34" t="str">
        <f aca="false">IF(G258="","",IFERROR(INDEX(I_Master!$E$6:$E$85,MATCH(G258,I_Master!$A$6:$A$85,0)),"?"))</f>
        <v/>
      </c>
      <c r="P258" s="46" t="str">
        <f aca="false">IF(H258="","",IF(OR(A258&lt;I_Parameter!$C$5,A258&gt;I_Parameter!$C$6),0,IF(B258="Aktual",1,IF(AND(B258="Order",A258&gt;=I_Parameter!$C$4),1,0))))</f>
        <v/>
      </c>
    </row>
    <row r="259" customFormat="false" ht="15" hidden="false" customHeight="false" outlineLevel="0" collapsed="false">
      <c r="A259" s="37"/>
      <c r="B259" s="44"/>
      <c r="C259" s="44"/>
      <c r="D259" s="44"/>
      <c r="E259" s="44"/>
      <c r="F259" s="44"/>
      <c r="G259" s="34" t="str">
        <f aca="false">IF(F259&lt;&gt;"",F259,IF(E259="","",IFERROR(INDEX(I_Item!$C$6:$C$255,MATCH(E259,I_Item!$A$6:$A$255,0)),"KODE BARU")))</f>
        <v/>
      </c>
      <c r="H259" s="45"/>
      <c r="I259" s="42"/>
      <c r="J259" s="11" t="str">
        <f aca="false">IF(H259="","",H259*I259)</f>
        <v/>
      </c>
      <c r="K259" s="42"/>
      <c r="L259" s="11" t="str">
        <f aca="false">IF(H259="","",IF(K259&lt;&gt;"",K259,H259*IFERROR(INDEX(O_Stok!$Q$6:$Q$85,MATCH(G259,O_Stok!$A$6:$A$85,0)),0)))</f>
        <v/>
      </c>
      <c r="M259" s="11" t="str">
        <f aca="false">IF(H259="","",J259-L259)</f>
        <v/>
      </c>
      <c r="N259" s="34" t="str">
        <f aca="false">IF(G259="","",IFERROR(INDEX(I_Master!$B$6:$B$85,MATCH(G259,I_Master!$A$6:$A$85,0)),"?"))</f>
        <v/>
      </c>
      <c r="O259" s="34" t="str">
        <f aca="false">IF(G259="","",IFERROR(INDEX(I_Master!$E$6:$E$85,MATCH(G259,I_Master!$A$6:$A$85,0)),"?"))</f>
        <v/>
      </c>
      <c r="P259" s="46" t="str">
        <f aca="false">IF(H259="","",IF(OR(A259&lt;I_Parameter!$C$5,A259&gt;I_Parameter!$C$6),0,IF(B259="Aktual",1,IF(AND(B259="Order",A259&gt;=I_Parameter!$C$4),1,0))))</f>
        <v/>
      </c>
    </row>
    <row r="260" customFormat="false" ht="15" hidden="false" customHeight="false" outlineLevel="0" collapsed="false">
      <c r="A260" s="37"/>
      <c r="B260" s="44"/>
      <c r="C260" s="44"/>
      <c r="D260" s="44"/>
      <c r="E260" s="44"/>
      <c r="F260" s="44"/>
      <c r="G260" s="34" t="str">
        <f aca="false">IF(F260&lt;&gt;"",F260,IF(E260="","",IFERROR(INDEX(I_Item!$C$6:$C$255,MATCH(E260,I_Item!$A$6:$A$255,0)),"KODE BARU")))</f>
        <v/>
      </c>
      <c r="H260" s="45"/>
      <c r="I260" s="42"/>
      <c r="J260" s="11" t="str">
        <f aca="false">IF(H260="","",H260*I260)</f>
        <v/>
      </c>
      <c r="K260" s="42"/>
      <c r="L260" s="11" t="str">
        <f aca="false">IF(H260="","",IF(K260&lt;&gt;"",K260,H260*IFERROR(INDEX(O_Stok!$Q$6:$Q$85,MATCH(G260,O_Stok!$A$6:$A$85,0)),0)))</f>
        <v/>
      </c>
      <c r="M260" s="11" t="str">
        <f aca="false">IF(H260="","",J260-L260)</f>
        <v/>
      </c>
      <c r="N260" s="34" t="str">
        <f aca="false">IF(G260="","",IFERROR(INDEX(I_Master!$B$6:$B$85,MATCH(G260,I_Master!$A$6:$A$85,0)),"?"))</f>
        <v/>
      </c>
      <c r="O260" s="34" t="str">
        <f aca="false">IF(G260="","",IFERROR(INDEX(I_Master!$E$6:$E$85,MATCH(G260,I_Master!$A$6:$A$85,0)),"?"))</f>
        <v/>
      </c>
      <c r="P260" s="46" t="str">
        <f aca="false">IF(H260="","",IF(OR(A260&lt;I_Parameter!$C$5,A260&gt;I_Parameter!$C$6),0,IF(B260="Aktual",1,IF(AND(B260="Order",A260&gt;=I_Parameter!$C$4),1,0))))</f>
        <v/>
      </c>
    </row>
    <row r="261" customFormat="false" ht="15" hidden="false" customHeight="false" outlineLevel="0" collapsed="false">
      <c r="A261" s="37"/>
      <c r="B261" s="44"/>
      <c r="C261" s="44"/>
      <c r="D261" s="44"/>
      <c r="E261" s="44"/>
      <c r="F261" s="44"/>
      <c r="G261" s="34" t="str">
        <f aca="false">IF(F261&lt;&gt;"",F261,IF(E261="","",IFERROR(INDEX(I_Item!$C$6:$C$255,MATCH(E261,I_Item!$A$6:$A$255,0)),"KODE BARU")))</f>
        <v/>
      </c>
      <c r="H261" s="45"/>
      <c r="I261" s="42"/>
      <c r="J261" s="11" t="str">
        <f aca="false">IF(H261="","",H261*I261)</f>
        <v/>
      </c>
      <c r="K261" s="42"/>
      <c r="L261" s="11" t="str">
        <f aca="false">IF(H261="","",IF(K261&lt;&gt;"",K261,H261*IFERROR(INDEX(O_Stok!$Q$6:$Q$85,MATCH(G261,O_Stok!$A$6:$A$85,0)),0)))</f>
        <v/>
      </c>
      <c r="M261" s="11" t="str">
        <f aca="false">IF(H261="","",J261-L261)</f>
        <v/>
      </c>
      <c r="N261" s="34" t="str">
        <f aca="false">IF(G261="","",IFERROR(INDEX(I_Master!$B$6:$B$85,MATCH(G261,I_Master!$A$6:$A$85,0)),"?"))</f>
        <v/>
      </c>
      <c r="O261" s="34" t="str">
        <f aca="false">IF(G261="","",IFERROR(INDEX(I_Master!$E$6:$E$85,MATCH(G261,I_Master!$A$6:$A$85,0)),"?"))</f>
        <v/>
      </c>
      <c r="P261" s="46" t="str">
        <f aca="false">IF(H261="","",IF(OR(A261&lt;I_Parameter!$C$5,A261&gt;I_Parameter!$C$6),0,IF(B261="Aktual",1,IF(AND(B261="Order",A261&gt;=I_Parameter!$C$4),1,0))))</f>
        <v/>
      </c>
    </row>
    <row r="262" customFormat="false" ht="15" hidden="false" customHeight="false" outlineLevel="0" collapsed="false">
      <c r="A262" s="37"/>
      <c r="B262" s="44"/>
      <c r="C262" s="44"/>
      <c r="D262" s="44"/>
      <c r="E262" s="44"/>
      <c r="F262" s="44"/>
      <c r="G262" s="34" t="str">
        <f aca="false">IF(F262&lt;&gt;"",F262,IF(E262="","",IFERROR(INDEX(I_Item!$C$6:$C$255,MATCH(E262,I_Item!$A$6:$A$255,0)),"KODE BARU")))</f>
        <v/>
      </c>
      <c r="H262" s="45"/>
      <c r="I262" s="42"/>
      <c r="J262" s="11" t="str">
        <f aca="false">IF(H262="","",H262*I262)</f>
        <v/>
      </c>
      <c r="K262" s="42"/>
      <c r="L262" s="11" t="str">
        <f aca="false">IF(H262="","",IF(K262&lt;&gt;"",K262,H262*IFERROR(INDEX(O_Stok!$Q$6:$Q$85,MATCH(G262,O_Stok!$A$6:$A$85,0)),0)))</f>
        <v/>
      </c>
      <c r="M262" s="11" t="str">
        <f aca="false">IF(H262="","",J262-L262)</f>
        <v/>
      </c>
      <c r="N262" s="34" t="str">
        <f aca="false">IF(G262="","",IFERROR(INDEX(I_Master!$B$6:$B$85,MATCH(G262,I_Master!$A$6:$A$85,0)),"?"))</f>
        <v/>
      </c>
      <c r="O262" s="34" t="str">
        <f aca="false">IF(G262="","",IFERROR(INDEX(I_Master!$E$6:$E$85,MATCH(G262,I_Master!$A$6:$A$85,0)),"?"))</f>
        <v/>
      </c>
      <c r="P262" s="46" t="str">
        <f aca="false">IF(H262="","",IF(OR(A262&lt;I_Parameter!$C$5,A262&gt;I_Parameter!$C$6),0,IF(B262="Aktual",1,IF(AND(B262="Order",A262&gt;=I_Parameter!$C$4),1,0))))</f>
        <v/>
      </c>
    </row>
    <row r="263" customFormat="false" ht="15" hidden="false" customHeight="false" outlineLevel="0" collapsed="false">
      <c r="A263" s="37"/>
      <c r="B263" s="44"/>
      <c r="C263" s="44"/>
      <c r="D263" s="44"/>
      <c r="E263" s="44"/>
      <c r="F263" s="44"/>
      <c r="G263" s="34" t="str">
        <f aca="false">IF(F263&lt;&gt;"",F263,IF(E263="","",IFERROR(INDEX(I_Item!$C$6:$C$255,MATCH(E263,I_Item!$A$6:$A$255,0)),"KODE BARU")))</f>
        <v/>
      </c>
      <c r="H263" s="45"/>
      <c r="I263" s="42"/>
      <c r="J263" s="11" t="str">
        <f aca="false">IF(H263="","",H263*I263)</f>
        <v/>
      </c>
      <c r="K263" s="42"/>
      <c r="L263" s="11" t="str">
        <f aca="false">IF(H263="","",IF(K263&lt;&gt;"",K263,H263*IFERROR(INDEX(O_Stok!$Q$6:$Q$85,MATCH(G263,O_Stok!$A$6:$A$85,0)),0)))</f>
        <v/>
      </c>
      <c r="M263" s="11" t="str">
        <f aca="false">IF(H263="","",J263-L263)</f>
        <v/>
      </c>
      <c r="N263" s="34" t="str">
        <f aca="false">IF(G263="","",IFERROR(INDEX(I_Master!$B$6:$B$85,MATCH(G263,I_Master!$A$6:$A$85,0)),"?"))</f>
        <v/>
      </c>
      <c r="O263" s="34" t="str">
        <f aca="false">IF(G263="","",IFERROR(INDEX(I_Master!$E$6:$E$85,MATCH(G263,I_Master!$A$6:$A$85,0)),"?"))</f>
        <v/>
      </c>
      <c r="P263" s="46" t="str">
        <f aca="false">IF(H263="","",IF(OR(A263&lt;I_Parameter!$C$5,A263&gt;I_Parameter!$C$6),0,IF(B263="Aktual",1,IF(AND(B263="Order",A263&gt;=I_Parameter!$C$4),1,0))))</f>
        <v/>
      </c>
    </row>
    <row r="264" customFormat="false" ht="15" hidden="false" customHeight="false" outlineLevel="0" collapsed="false">
      <c r="A264" s="37"/>
      <c r="B264" s="44"/>
      <c r="C264" s="44"/>
      <c r="D264" s="44"/>
      <c r="E264" s="44"/>
      <c r="F264" s="44"/>
      <c r="G264" s="34" t="str">
        <f aca="false">IF(F264&lt;&gt;"",F264,IF(E264="","",IFERROR(INDEX(I_Item!$C$6:$C$255,MATCH(E264,I_Item!$A$6:$A$255,0)),"KODE BARU")))</f>
        <v/>
      </c>
      <c r="H264" s="45"/>
      <c r="I264" s="42"/>
      <c r="J264" s="11" t="str">
        <f aca="false">IF(H264="","",H264*I264)</f>
        <v/>
      </c>
      <c r="K264" s="42"/>
      <c r="L264" s="11" t="str">
        <f aca="false">IF(H264="","",IF(K264&lt;&gt;"",K264,H264*IFERROR(INDEX(O_Stok!$Q$6:$Q$85,MATCH(G264,O_Stok!$A$6:$A$85,0)),0)))</f>
        <v/>
      </c>
      <c r="M264" s="11" t="str">
        <f aca="false">IF(H264="","",J264-L264)</f>
        <v/>
      </c>
      <c r="N264" s="34" t="str">
        <f aca="false">IF(G264="","",IFERROR(INDEX(I_Master!$B$6:$B$85,MATCH(G264,I_Master!$A$6:$A$85,0)),"?"))</f>
        <v/>
      </c>
      <c r="O264" s="34" t="str">
        <f aca="false">IF(G264="","",IFERROR(INDEX(I_Master!$E$6:$E$85,MATCH(G264,I_Master!$A$6:$A$85,0)),"?"))</f>
        <v/>
      </c>
      <c r="P264" s="46" t="str">
        <f aca="false">IF(H264="","",IF(OR(A264&lt;I_Parameter!$C$5,A264&gt;I_Parameter!$C$6),0,IF(B264="Aktual",1,IF(AND(B264="Order",A264&gt;=I_Parameter!$C$4),1,0))))</f>
        <v/>
      </c>
    </row>
    <row r="265" customFormat="false" ht="15" hidden="false" customHeight="false" outlineLevel="0" collapsed="false">
      <c r="A265" s="37"/>
      <c r="B265" s="44"/>
      <c r="C265" s="44"/>
      <c r="D265" s="44"/>
      <c r="E265" s="44"/>
      <c r="F265" s="44"/>
      <c r="G265" s="34" t="str">
        <f aca="false">IF(F265&lt;&gt;"",F265,IF(E265="","",IFERROR(INDEX(I_Item!$C$6:$C$255,MATCH(E265,I_Item!$A$6:$A$255,0)),"KODE BARU")))</f>
        <v/>
      </c>
      <c r="H265" s="45"/>
      <c r="I265" s="42"/>
      <c r="J265" s="11" t="str">
        <f aca="false">IF(H265="","",H265*I265)</f>
        <v/>
      </c>
      <c r="K265" s="42"/>
      <c r="L265" s="11" t="str">
        <f aca="false">IF(H265="","",IF(K265&lt;&gt;"",K265,H265*IFERROR(INDEX(O_Stok!$Q$6:$Q$85,MATCH(G265,O_Stok!$A$6:$A$85,0)),0)))</f>
        <v/>
      </c>
      <c r="M265" s="11" t="str">
        <f aca="false">IF(H265="","",J265-L265)</f>
        <v/>
      </c>
      <c r="N265" s="34" t="str">
        <f aca="false">IF(G265="","",IFERROR(INDEX(I_Master!$B$6:$B$85,MATCH(G265,I_Master!$A$6:$A$85,0)),"?"))</f>
        <v/>
      </c>
      <c r="O265" s="34" t="str">
        <f aca="false">IF(G265="","",IFERROR(INDEX(I_Master!$E$6:$E$85,MATCH(G265,I_Master!$A$6:$A$85,0)),"?"))</f>
        <v/>
      </c>
      <c r="P265" s="46" t="str">
        <f aca="false">IF(H265="","",IF(OR(A265&lt;I_Parameter!$C$5,A265&gt;I_Parameter!$C$6),0,IF(B265="Aktual",1,IF(AND(B265="Order",A265&gt;=I_Parameter!$C$4),1,0))))</f>
        <v/>
      </c>
    </row>
    <row r="266" customFormat="false" ht="15" hidden="false" customHeight="false" outlineLevel="0" collapsed="false">
      <c r="A266" s="37"/>
      <c r="B266" s="44"/>
      <c r="C266" s="44"/>
      <c r="D266" s="44"/>
      <c r="E266" s="44"/>
      <c r="F266" s="44"/>
      <c r="G266" s="34" t="str">
        <f aca="false">IF(F266&lt;&gt;"",F266,IF(E266="","",IFERROR(INDEX(I_Item!$C$6:$C$255,MATCH(E266,I_Item!$A$6:$A$255,0)),"KODE BARU")))</f>
        <v/>
      </c>
      <c r="H266" s="45"/>
      <c r="I266" s="42"/>
      <c r="J266" s="11" t="str">
        <f aca="false">IF(H266="","",H266*I266)</f>
        <v/>
      </c>
      <c r="K266" s="42"/>
      <c r="L266" s="11" t="str">
        <f aca="false">IF(H266="","",IF(K266&lt;&gt;"",K266,H266*IFERROR(INDEX(O_Stok!$Q$6:$Q$85,MATCH(G266,O_Stok!$A$6:$A$85,0)),0)))</f>
        <v/>
      </c>
      <c r="M266" s="11" t="str">
        <f aca="false">IF(H266="","",J266-L266)</f>
        <v/>
      </c>
      <c r="N266" s="34" t="str">
        <f aca="false">IF(G266="","",IFERROR(INDEX(I_Master!$B$6:$B$85,MATCH(G266,I_Master!$A$6:$A$85,0)),"?"))</f>
        <v/>
      </c>
      <c r="O266" s="34" t="str">
        <f aca="false">IF(G266="","",IFERROR(INDEX(I_Master!$E$6:$E$85,MATCH(G266,I_Master!$A$6:$A$85,0)),"?"))</f>
        <v/>
      </c>
      <c r="P266" s="46" t="str">
        <f aca="false">IF(H266="","",IF(OR(A266&lt;I_Parameter!$C$5,A266&gt;I_Parameter!$C$6),0,IF(B266="Aktual",1,IF(AND(B266="Order",A266&gt;=I_Parameter!$C$4),1,0))))</f>
        <v/>
      </c>
    </row>
    <row r="267" customFormat="false" ht="15" hidden="false" customHeight="false" outlineLevel="0" collapsed="false">
      <c r="A267" s="37"/>
      <c r="B267" s="44"/>
      <c r="C267" s="44"/>
      <c r="D267" s="44"/>
      <c r="E267" s="44"/>
      <c r="F267" s="44"/>
      <c r="G267" s="34" t="str">
        <f aca="false">IF(F267&lt;&gt;"",F267,IF(E267="","",IFERROR(INDEX(I_Item!$C$6:$C$255,MATCH(E267,I_Item!$A$6:$A$255,0)),"KODE BARU")))</f>
        <v/>
      </c>
      <c r="H267" s="45"/>
      <c r="I267" s="42"/>
      <c r="J267" s="11" t="str">
        <f aca="false">IF(H267="","",H267*I267)</f>
        <v/>
      </c>
      <c r="K267" s="42"/>
      <c r="L267" s="11" t="str">
        <f aca="false">IF(H267="","",IF(K267&lt;&gt;"",K267,H267*IFERROR(INDEX(O_Stok!$Q$6:$Q$85,MATCH(G267,O_Stok!$A$6:$A$85,0)),0)))</f>
        <v/>
      </c>
      <c r="M267" s="11" t="str">
        <f aca="false">IF(H267="","",J267-L267)</f>
        <v/>
      </c>
      <c r="N267" s="34" t="str">
        <f aca="false">IF(G267="","",IFERROR(INDEX(I_Master!$B$6:$B$85,MATCH(G267,I_Master!$A$6:$A$85,0)),"?"))</f>
        <v/>
      </c>
      <c r="O267" s="34" t="str">
        <f aca="false">IF(G267="","",IFERROR(INDEX(I_Master!$E$6:$E$85,MATCH(G267,I_Master!$A$6:$A$85,0)),"?"))</f>
        <v/>
      </c>
      <c r="P267" s="46" t="str">
        <f aca="false">IF(H267="","",IF(OR(A267&lt;I_Parameter!$C$5,A267&gt;I_Parameter!$C$6),0,IF(B267="Aktual",1,IF(AND(B267="Order",A267&gt;=I_Parameter!$C$4),1,0))))</f>
        <v/>
      </c>
    </row>
    <row r="268" customFormat="false" ht="15" hidden="false" customHeight="false" outlineLevel="0" collapsed="false">
      <c r="A268" s="37"/>
      <c r="B268" s="44"/>
      <c r="C268" s="44"/>
      <c r="D268" s="44"/>
      <c r="E268" s="44"/>
      <c r="F268" s="44"/>
      <c r="G268" s="34" t="str">
        <f aca="false">IF(F268&lt;&gt;"",F268,IF(E268="","",IFERROR(INDEX(I_Item!$C$6:$C$255,MATCH(E268,I_Item!$A$6:$A$255,0)),"KODE BARU")))</f>
        <v/>
      </c>
      <c r="H268" s="45"/>
      <c r="I268" s="42"/>
      <c r="J268" s="11" t="str">
        <f aca="false">IF(H268="","",H268*I268)</f>
        <v/>
      </c>
      <c r="K268" s="42"/>
      <c r="L268" s="11" t="str">
        <f aca="false">IF(H268="","",IF(K268&lt;&gt;"",K268,H268*IFERROR(INDEX(O_Stok!$Q$6:$Q$85,MATCH(G268,O_Stok!$A$6:$A$85,0)),0)))</f>
        <v/>
      </c>
      <c r="M268" s="11" t="str">
        <f aca="false">IF(H268="","",J268-L268)</f>
        <v/>
      </c>
      <c r="N268" s="34" t="str">
        <f aca="false">IF(G268="","",IFERROR(INDEX(I_Master!$B$6:$B$85,MATCH(G268,I_Master!$A$6:$A$85,0)),"?"))</f>
        <v/>
      </c>
      <c r="O268" s="34" t="str">
        <f aca="false">IF(G268="","",IFERROR(INDEX(I_Master!$E$6:$E$85,MATCH(G268,I_Master!$A$6:$A$85,0)),"?"))</f>
        <v/>
      </c>
      <c r="P268" s="46" t="str">
        <f aca="false">IF(H268="","",IF(OR(A268&lt;I_Parameter!$C$5,A268&gt;I_Parameter!$C$6),0,IF(B268="Aktual",1,IF(AND(B268="Order",A268&gt;=I_Parameter!$C$4),1,0))))</f>
        <v/>
      </c>
    </row>
    <row r="269" customFormat="false" ht="15" hidden="false" customHeight="false" outlineLevel="0" collapsed="false">
      <c r="A269" s="37"/>
      <c r="B269" s="44"/>
      <c r="C269" s="44"/>
      <c r="D269" s="44"/>
      <c r="E269" s="44"/>
      <c r="F269" s="44"/>
      <c r="G269" s="34" t="str">
        <f aca="false">IF(F269&lt;&gt;"",F269,IF(E269="","",IFERROR(INDEX(I_Item!$C$6:$C$255,MATCH(E269,I_Item!$A$6:$A$255,0)),"KODE BARU")))</f>
        <v/>
      </c>
      <c r="H269" s="45"/>
      <c r="I269" s="42"/>
      <c r="J269" s="11" t="str">
        <f aca="false">IF(H269="","",H269*I269)</f>
        <v/>
      </c>
      <c r="K269" s="42"/>
      <c r="L269" s="11" t="str">
        <f aca="false">IF(H269="","",IF(K269&lt;&gt;"",K269,H269*IFERROR(INDEX(O_Stok!$Q$6:$Q$85,MATCH(G269,O_Stok!$A$6:$A$85,0)),0)))</f>
        <v/>
      </c>
      <c r="M269" s="11" t="str">
        <f aca="false">IF(H269="","",J269-L269)</f>
        <v/>
      </c>
      <c r="N269" s="34" t="str">
        <f aca="false">IF(G269="","",IFERROR(INDEX(I_Master!$B$6:$B$85,MATCH(G269,I_Master!$A$6:$A$85,0)),"?"))</f>
        <v/>
      </c>
      <c r="O269" s="34" t="str">
        <f aca="false">IF(G269="","",IFERROR(INDEX(I_Master!$E$6:$E$85,MATCH(G269,I_Master!$A$6:$A$85,0)),"?"))</f>
        <v/>
      </c>
      <c r="P269" s="46" t="str">
        <f aca="false">IF(H269="","",IF(OR(A269&lt;I_Parameter!$C$5,A269&gt;I_Parameter!$C$6),0,IF(B269="Aktual",1,IF(AND(B269="Order",A269&gt;=I_Parameter!$C$4),1,0))))</f>
        <v/>
      </c>
    </row>
    <row r="270" customFormat="false" ht="15" hidden="false" customHeight="false" outlineLevel="0" collapsed="false">
      <c r="A270" s="37"/>
      <c r="B270" s="44"/>
      <c r="C270" s="44"/>
      <c r="D270" s="44"/>
      <c r="E270" s="44"/>
      <c r="F270" s="44"/>
      <c r="G270" s="34" t="str">
        <f aca="false">IF(F270&lt;&gt;"",F270,IF(E270="","",IFERROR(INDEX(I_Item!$C$6:$C$255,MATCH(E270,I_Item!$A$6:$A$255,0)),"KODE BARU")))</f>
        <v/>
      </c>
      <c r="H270" s="45"/>
      <c r="I270" s="42"/>
      <c r="J270" s="11" t="str">
        <f aca="false">IF(H270="","",H270*I270)</f>
        <v/>
      </c>
      <c r="K270" s="42"/>
      <c r="L270" s="11" t="str">
        <f aca="false">IF(H270="","",IF(K270&lt;&gt;"",K270,H270*IFERROR(INDEX(O_Stok!$Q$6:$Q$85,MATCH(G270,O_Stok!$A$6:$A$85,0)),0)))</f>
        <v/>
      </c>
      <c r="M270" s="11" t="str">
        <f aca="false">IF(H270="","",J270-L270)</f>
        <v/>
      </c>
      <c r="N270" s="34" t="str">
        <f aca="false">IF(G270="","",IFERROR(INDEX(I_Master!$B$6:$B$85,MATCH(G270,I_Master!$A$6:$A$85,0)),"?"))</f>
        <v/>
      </c>
      <c r="O270" s="34" t="str">
        <f aca="false">IF(G270="","",IFERROR(INDEX(I_Master!$E$6:$E$85,MATCH(G270,I_Master!$A$6:$A$85,0)),"?"))</f>
        <v/>
      </c>
      <c r="P270" s="46" t="str">
        <f aca="false">IF(H270="","",IF(OR(A270&lt;I_Parameter!$C$5,A270&gt;I_Parameter!$C$6),0,IF(B270="Aktual",1,IF(AND(B270="Order",A270&gt;=I_Parameter!$C$4),1,0))))</f>
        <v/>
      </c>
    </row>
    <row r="271" customFormat="false" ht="15" hidden="false" customHeight="false" outlineLevel="0" collapsed="false">
      <c r="A271" s="37"/>
      <c r="B271" s="44"/>
      <c r="C271" s="44"/>
      <c r="D271" s="44"/>
      <c r="E271" s="44"/>
      <c r="F271" s="44"/>
      <c r="G271" s="34" t="str">
        <f aca="false">IF(F271&lt;&gt;"",F271,IF(E271="","",IFERROR(INDEX(I_Item!$C$6:$C$255,MATCH(E271,I_Item!$A$6:$A$255,0)),"KODE BARU")))</f>
        <v/>
      </c>
      <c r="H271" s="45"/>
      <c r="I271" s="42"/>
      <c r="J271" s="11" t="str">
        <f aca="false">IF(H271="","",H271*I271)</f>
        <v/>
      </c>
      <c r="K271" s="42"/>
      <c r="L271" s="11" t="str">
        <f aca="false">IF(H271="","",IF(K271&lt;&gt;"",K271,H271*IFERROR(INDEX(O_Stok!$Q$6:$Q$85,MATCH(G271,O_Stok!$A$6:$A$85,0)),0)))</f>
        <v/>
      </c>
      <c r="M271" s="11" t="str">
        <f aca="false">IF(H271="","",J271-L271)</f>
        <v/>
      </c>
      <c r="N271" s="34" t="str">
        <f aca="false">IF(G271="","",IFERROR(INDEX(I_Master!$B$6:$B$85,MATCH(G271,I_Master!$A$6:$A$85,0)),"?"))</f>
        <v/>
      </c>
      <c r="O271" s="34" t="str">
        <f aca="false">IF(G271="","",IFERROR(INDEX(I_Master!$E$6:$E$85,MATCH(G271,I_Master!$A$6:$A$85,0)),"?"))</f>
        <v/>
      </c>
      <c r="P271" s="46" t="str">
        <f aca="false">IF(H271="","",IF(OR(A271&lt;I_Parameter!$C$5,A271&gt;I_Parameter!$C$6),0,IF(B271="Aktual",1,IF(AND(B271="Order",A271&gt;=I_Parameter!$C$4),1,0))))</f>
        <v/>
      </c>
    </row>
    <row r="272" customFormat="false" ht="15" hidden="false" customHeight="false" outlineLevel="0" collapsed="false">
      <c r="A272" s="37"/>
      <c r="B272" s="44"/>
      <c r="C272" s="44"/>
      <c r="D272" s="44"/>
      <c r="E272" s="44"/>
      <c r="F272" s="44"/>
      <c r="G272" s="34" t="str">
        <f aca="false">IF(F272&lt;&gt;"",F272,IF(E272="","",IFERROR(INDEX(I_Item!$C$6:$C$255,MATCH(E272,I_Item!$A$6:$A$255,0)),"KODE BARU")))</f>
        <v/>
      </c>
      <c r="H272" s="45"/>
      <c r="I272" s="42"/>
      <c r="J272" s="11" t="str">
        <f aca="false">IF(H272="","",H272*I272)</f>
        <v/>
      </c>
      <c r="K272" s="42"/>
      <c r="L272" s="11" t="str">
        <f aca="false">IF(H272="","",IF(K272&lt;&gt;"",K272,H272*IFERROR(INDEX(O_Stok!$Q$6:$Q$85,MATCH(G272,O_Stok!$A$6:$A$85,0)),0)))</f>
        <v/>
      </c>
      <c r="M272" s="11" t="str">
        <f aca="false">IF(H272="","",J272-L272)</f>
        <v/>
      </c>
      <c r="N272" s="34" t="str">
        <f aca="false">IF(G272="","",IFERROR(INDEX(I_Master!$B$6:$B$85,MATCH(G272,I_Master!$A$6:$A$85,0)),"?"))</f>
        <v/>
      </c>
      <c r="O272" s="34" t="str">
        <f aca="false">IF(G272="","",IFERROR(INDEX(I_Master!$E$6:$E$85,MATCH(G272,I_Master!$A$6:$A$85,0)),"?"))</f>
        <v/>
      </c>
      <c r="P272" s="46" t="str">
        <f aca="false">IF(H272="","",IF(OR(A272&lt;I_Parameter!$C$5,A272&gt;I_Parameter!$C$6),0,IF(B272="Aktual",1,IF(AND(B272="Order",A272&gt;=I_Parameter!$C$4),1,0))))</f>
        <v/>
      </c>
    </row>
    <row r="273" customFormat="false" ht="15" hidden="false" customHeight="false" outlineLevel="0" collapsed="false">
      <c r="A273" s="37"/>
      <c r="B273" s="44"/>
      <c r="C273" s="44"/>
      <c r="D273" s="44"/>
      <c r="E273" s="44"/>
      <c r="F273" s="44"/>
      <c r="G273" s="34" t="str">
        <f aca="false">IF(F273&lt;&gt;"",F273,IF(E273="","",IFERROR(INDEX(I_Item!$C$6:$C$255,MATCH(E273,I_Item!$A$6:$A$255,0)),"KODE BARU")))</f>
        <v/>
      </c>
      <c r="H273" s="45"/>
      <c r="I273" s="42"/>
      <c r="J273" s="11" t="str">
        <f aca="false">IF(H273="","",H273*I273)</f>
        <v/>
      </c>
      <c r="K273" s="42"/>
      <c r="L273" s="11" t="str">
        <f aca="false">IF(H273="","",IF(K273&lt;&gt;"",K273,H273*IFERROR(INDEX(O_Stok!$Q$6:$Q$85,MATCH(G273,O_Stok!$A$6:$A$85,0)),0)))</f>
        <v/>
      </c>
      <c r="M273" s="11" t="str">
        <f aca="false">IF(H273="","",J273-L273)</f>
        <v/>
      </c>
      <c r="N273" s="34" t="str">
        <f aca="false">IF(G273="","",IFERROR(INDEX(I_Master!$B$6:$B$85,MATCH(G273,I_Master!$A$6:$A$85,0)),"?"))</f>
        <v/>
      </c>
      <c r="O273" s="34" t="str">
        <f aca="false">IF(G273="","",IFERROR(INDEX(I_Master!$E$6:$E$85,MATCH(G273,I_Master!$A$6:$A$85,0)),"?"))</f>
        <v/>
      </c>
      <c r="P273" s="46" t="str">
        <f aca="false">IF(H273="","",IF(OR(A273&lt;I_Parameter!$C$5,A273&gt;I_Parameter!$C$6),0,IF(B273="Aktual",1,IF(AND(B273="Order",A273&gt;=I_Parameter!$C$4),1,0))))</f>
        <v/>
      </c>
    </row>
    <row r="274" customFormat="false" ht="15" hidden="false" customHeight="false" outlineLevel="0" collapsed="false">
      <c r="A274" s="37"/>
      <c r="B274" s="44"/>
      <c r="C274" s="44"/>
      <c r="D274" s="44"/>
      <c r="E274" s="44"/>
      <c r="F274" s="44"/>
      <c r="G274" s="34" t="str">
        <f aca="false">IF(F274&lt;&gt;"",F274,IF(E274="","",IFERROR(INDEX(I_Item!$C$6:$C$255,MATCH(E274,I_Item!$A$6:$A$255,0)),"KODE BARU")))</f>
        <v/>
      </c>
      <c r="H274" s="45"/>
      <c r="I274" s="42"/>
      <c r="J274" s="11" t="str">
        <f aca="false">IF(H274="","",H274*I274)</f>
        <v/>
      </c>
      <c r="K274" s="42"/>
      <c r="L274" s="11" t="str">
        <f aca="false">IF(H274="","",IF(K274&lt;&gt;"",K274,H274*IFERROR(INDEX(O_Stok!$Q$6:$Q$85,MATCH(G274,O_Stok!$A$6:$A$85,0)),0)))</f>
        <v/>
      </c>
      <c r="M274" s="11" t="str">
        <f aca="false">IF(H274="","",J274-L274)</f>
        <v/>
      </c>
      <c r="N274" s="34" t="str">
        <f aca="false">IF(G274="","",IFERROR(INDEX(I_Master!$B$6:$B$85,MATCH(G274,I_Master!$A$6:$A$85,0)),"?"))</f>
        <v/>
      </c>
      <c r="O274" s="34" t="str">
        <f aca="false">IF(G274="","",IFERROR(INDEX(I_Master!$E$6:$E$85,MATCH(G274,I_Master!$A$6:$A$85,0)),"?"))</f>
        <v/>
      </c>
      <c r="P274" s="46" t="str">
        <f aca="false">IF(H274="","",IF(OR(A274&lt;I_Parameter!$C$5,A274&gt;I_Parameter!$C$6),0,IF(B274="Aktual",1,IF(AND(B274="Order",A274&gt;=I_Parameter!$C$4),1,0))))</f>
        <v/>
      </c>
    </row>
    <row r="275" customFormat="false" ht="15" hidden="false" customHeight="false" outlineLevel="0" collapsed="false">
      <c r="A275" s="37"/>
      <c r="B275" s="44"/>
      <c r="C275" s="44"/>
      <c r="D275" s="44"/>
      <c r="E275" s="44"/>
      <c r="F275" s="44"/>
      <c r="G275" s="34" t="str">
        <f aca="false">IF(F275&lt;&gt;"",F275,IF(E275="","",IFERROR(INDEX(I_Item!$C$6:$C$255,MATCH(E275,I_Item!$A$6:$A$255,0)),"KODE BARU")))</f>
        <v/>
      </c>
      <c r="H275" s="45"/>
      <c r="I275" s="42"/>
      <c r="J275" s="11" t="str">
        <f aca="false">IF(H275="","",H275*I275)</f>
        <v/>
      </c>
      <c r="K275" s="42"/>
      <c r="L275" s="11" t="str">
        <f aca="false">IF(H275="","",IF(K275&lt;&gt;"",K275,H275*IFERROR(INDEX(O_Stok!$Q$6:$Q$85,MATCH(G275,O_Stok!$A$6:$A$85,0)),0)))</f>
        <v/>
      </c>
      <c r="M275" s="11" t="str">
        <f aca="false">IF(H275="","",J275-L275)</f>
        <v/>
      </c>
      <c r="N275" s="34" t="str">
        <f aca="false">IF(G275="","",IFERROR(INDEX(I_Master!$B$6:$B$85,MATCH(G275,I_Master!$A$6:$A$85,0)),"?"))</f>
        <v/>
      </c>
      <c r="O275" s="34" t="str">
        <f aca="false">IF(G275="","",IFERROR(INDEX(I_Master!$E$6:$E$85,MATCH(G275,I_Master!$A$6:$A$85,0)),"?"))</f>
        <v/>
      </c>
      <c r="P275" s="46" t="str">
        <f aca="false">IF(H275="","",IF(OR(A275&lt;I_Parameter!$C$5,A275&gt;I_Parameter!$C$6),0,IF(B275="Aktual",1,IF(AND(B275="Order",A275&gt;=I_Parameter!$C$4),1,0))))</f>
        <v/>
      </c>
    </row>
    <row r="276" customFormat="false" ht="15" hidden="false" customHeight="false" outlineLevel="0" collapsed="false">
      <c r="A276" s="37"/>
      <c r="B276" s="44"/>
      <c r="C276" s="44"/>
      <c r="D276" s="44"/>
      <c r="E276" s="44"/>
      <c r="F276" s="44"/>
      <c r="G276" s="34" t="str">
        <f aca="false">IF(F276&lt;&gt;"",F276,IF(E276="","",IFERROR(INDEX(I_Item!$C$6:$C$255,MATCH(E276,I_Item!$A$6:$A$255,0)),"KODE BARU")))</f>
        <v/>
      </c>
      <c r="H276" s="45"/>
      <c r="I276" s="42"/>
      <c r="J276" s="11" t="str">
        <f aca="false">IF(H276="","",H276*I276)</f>
        <v/>
      </c>
      <c r="K276" s="42"/>
      <c r="L276" s="11" t="str">
        <f aca="false">IF(H276="","",IF(K276&lt;&gt;"",K276,H276*IFERROR(INDEX(O_Stok!$Q$6:$Q$85,MATCH(G276,O_Stok!$A$6:$A$85,0)),0)))</f>
        <v/>
      </c>
      <c r="M276" s="11" t="str">
        <f aca="false">IF(H276="","",J276-L276)</f>
        <v/>
      </c>
      <c r="N276" s="34" t="str">
        <f aca="false">IF(G276="","",IFERROR(INDEX(I_Master!$B$6:$B$85,MATCH(G276,I_Master!$A$6:$A$85,0)),"?"))</f>
        <v/>
      </c>
      <c r="O276" s="34" t="str">
        <f aca="false">IF(G276="","",IFERROR(INDEX(I_Master!$E$6:$E$85,MATCH(G276,I_Master!$A$6:$A$85,0)),"?"))</f>
        <v/>
      </c>
      <c r="P276" s="46" t="str">
        <f aca="false">IF(H276="","",IF(OR(A276&lt;I_Parameter!$C$5,A276&gt;I_Parameter!$C$6),0,IF(B276="Aktual",1,IF(AND(B276="Order",A276&gt;=I_Parameter!$C$4),1,0))))</f>
        <v/>
      </c>
    </row>
    <row r="277" customFormat="false" ht="15" hidden="false" customHeight="false" outlineLevel="0" collapsed="false">
      <c r="A277" s="37"/>
      <c r="B277" s="44"/>
      <c r="C277" s="44"/>
      <c r="D277" s="44"/>
      <c r="E277" s="44"/>
      <c r="F277" s="44"/>
      <c r="G277" s="34" t="str">
        <f aca="false">IF(F277&lt;&gt;"",F277,IF(E277="","",IFERROR(INDEX(I_Item!$C$6:$C$255,MATCH(E277,I_Item!$A$6:$A$255,0)),"KODE BARU")))</f>
        <v/>
      </c>
      <c r="H277" s="45"/>
      <c r="I277" s="42"/>
      <c r="J277" s="11" t="str">
        <f aca="false">IF(H277="","",H277*I277)</f>
        <v/>
      </c>
      <c r="K277" s="42"/>
      <c r="L277" s="11" t="str">
        <f aca="false">IF(H277="","",IF(K277&lt;&gt;"",K277,H277*IFERROR(INDEX(O_Stok!$Q$6:$Q$85,MATCH(G277,O_Stok!$A$6:$A$85,0)),0)))</f>
        <v/>
      </c>
      <c r="M277" s="11" t="str">
        <f aca="false">IF(H277="","",J277-L277)</f>
        <v/>
      </c>
      <c r="N277" s="34" t="str">
        <f aca="false">IF(G277="","",IFERROR(INDEX(I_Master!$B$6:$B$85,MATCH(G277,I_Master!$A$6:$A$85,0)),"?"))</f>
        <v/>
      </c>
      <c r="O277" s="34" t="str">
        <f aca="false">IF(G277="","",IFERROR(INDEX(I_Master!$E$6:$E$85,MATCH(G277,I_Master!$A$6:$A$85,0)),"?"))</f>
        <v/>
      </c>
      <c r="P277" s="46" t="str">
        <f aca="false">IF(H277="","",IF(OR(A277&lt;I_Parameter!$C$5,A277&gt;I_Parameter!$C$6),0,IF(B277="Aktual",1,IF(AND(B277="Order",A277&gt;=I_Parameter!$C$4),1,0))))</f>
        <v/>
      </c>
    </row>
    <row r="278" customFormat="false" ht="15" hidden="false" customHeight="false" outlineLevel="0" collapsed="false">
      <c r="A278" s="37"/>
      <c r="B278" s="44"/>
      <c r="C278" s="44"/>
      <c r="D278" s="44"/>
      <c r="E278" s="44"/>
      <c r="F278" s="44"/>
      <c r="G278" s="34" t="str">
        <f aca="false">IF(F278&lt;&gt;"",F278,IF(E278="","",IFERROR(INDEX(I_Item!$C$6:$C$255,MATCH(E278,I_Item!$A$6:$A$255,0)),"KODE BARU")))</f>
        <v/>
      </c>
      <c r="H278" s="45"/>
      <c r="I278" s="42"/>
      <c r="J278" s="11" t="str">
        <f aca="false">IF(H278="","",H278*I278)</f>
        <v/>
      </c>
      <c r="K278" s="42"/>
      <c r="L278" s="11" t="str">
        <f aca="false">IF(H278="","",IF(K278&lt;&gt;"",K278,H278*IFERROR(INDEX(O_Stok!$Q$6:$Q$85,MATCH(G278,O_Stok!$A$6:$A$85,0)),0)))</f>
        <v/>
      </c>
      <c r="M278" s="11" t="str">
        <f aca="false">IF(H278="","",J278-L278)</f>
        <v/>
      </c>
      <c r="N278" s="34" t="str">
        <f aca="false">IF(G278="","",IFERROR(INDEX(I_Master!$B$6:$B$85,MATCH(G278,I_Master!$A$6:$A$85,0)),"?"))</f>
        <v/>
      </c>
      <c r="O278" s="34" t="str">
        <f aca="false">IF(G278="","",IFERROR(INDEX(I_Master!$E$6:$E$85,MATCH(G278,I_Master!$A$6:$A$85,0)),"?"))</f>
        <v/>
      </c>
      <c r="P278" s="46" t="str">
        <f aca="false">IF(H278="","",IF(OR(A278&lt;I_Parameter!$C$5,A278&gt;I_Parameter!$C$6),0,IF(B278="Aktual",1,IF(AND(B278="Order",A278&gt;=I_Parameter!$C$4),1,0))))</f>
        <v/>
      </c>
    </row>
    <row r="279" customFormat="false" ht="15" hidden="false" customHeight="false" outlineLevel="0" collapsed="false">
      <c r="A279" s="37"/>
      <c r="B279" s="44"/>
      <c r="C279" s="44"/>
      <c r="D279" s="44"/>
      <c r="E279" s="44"/>
      <c r="F279" s="44"/>
      <c r="G279" s="34" t="str">
        <f aca="false">IF(F279&lt;&gt;"",F279,IF(E279="","",IFERROR(INDEX(I_Item!$C$6:$C$255,MATCH(E279,I_Item!$A$6:$A$255,0)),"KODE BARU")))</f>
        <v/>
      </c>
      <c r="H279" s="45"/>
      <c r="I279" s="42"/>
      <c r="J279" s="11" t="str">
        <f aca="false">IF(H279="","",H279*I279)</f>
        <v/>
      </c>
      <c r="K279" s="42"/>
      <c r="L279" s="11" t="str">
        <f aca="false">IF(H279="","",IF(K279&lt;&gt;"",K279,H279*IFERROR(INDEX(O_Stok!$Q$6:$Q$85,MATCH(G279,O_Stok!$A$6:$A$85,0)),0)))</f>
        <v/>
      </c>
      <c r="M279" s="11" t="str">
        <f aca="false">IF(H279="","",J279-L279)</f>
        <v/>
      </c>
      <c r="N279" s="34" t="str">
        <f aca="false">IF(G279="","",IFERROR(INDEX(I_Master!$B$6:$B$85,MATCH(G279,I_Master!$A$6:$A$85,0)),"?"))</f>
        <v/>
      </c>
      <c r="O279" s="34" t="str">
        <f aca="false">IF(G279="","",IFERROR(INDEX(I_Master!$E$6:$E$85,MATCH(G279,I_Master!$A$6:$A$85,0)),"?"))</f>
        <v/>
      </c>
      <c r="P279" s="46" t="str">
        <f aca="false">IF(H279="","",IF(OR(A279&lt;I_Parameter!$C$5,A279&gt;I_Parameter!$C$6),0,IF(B279="Aktual",1,IF(AND(B279="Order",A279&gt;=I_Parameter!$C$4),1,0))))</f>
        <v/>
      </c>
    </row>
    <row r="280" customFormat="false" ht="15" hidden="false" customHeight="false" outlineLevel="0" collapsed="false">
      <c r="A280" s="37"/>
      <c r="B280" s="44"/>
      <c r="C280" s="44"/>
      <c r="D280" s="44"/>
      <c r="E280" s="44"/>
      <c r="F280" s="44"/>
      <c r="G280" s="34" t="str">
        <f aca="false">IF(F280&lt;&gt;"",F280,IF(E280="","",IFERROR(INDEX(I_Item!$C$6:$C$255,MATCH(E280,I_Item!$A$6:$A$255,0)),"KODE BARU")))</f>
        <v/>
      </c>
      <c r="H280" s="45"/>
      <c r="I280" s="42"/>
      <c r="J280" s="11" t="str">
        <f aca="false">IF(H280="","",H280*I280)</f>
        <v/>
      </c>
      <c r="K280" s="42"/>
      <c r="L280" s="11" t="str">
        <f aca="false">IF(H280="","",IF(K280&lt;&gt;"",K280,H280*IFERROR(INDEX(O_Stok!$Q$6:$Q$85,MATCH(G280,O_Stok!$A$6:$A$85,0)),0)))</f>
        <v/>
      </c>
      <c r="M280" s="11" t="str">
        <f aca="false">IF(H280="","",J280-L280)</f>
        <v/>
      </c>
      <c r="N280" s="34" t="str">
        <f aca="false">IF(G280="","",IFERROR(INDEX(I_Master!$B$6:$B$85,MATCH(G280,I_Master!$A$6:$A$85,0)),"?"))</f>
        <v/>
      </c>
      <c r="O280" s="34" t="str">
        <f aca="false">IF(G280="","",IFERROR(INDEX(I_Master!$E$6:$E$85,MATCH(G280,I_Master!$A$6:$A$85,0)),"?"))</f>
        <v/>
      </c>
      <c r="P280" s="46" t="str">
        <f aca="false">IF(H280="","",IF(OR(A280&lt;I_Parameter!$C$5,A280&gt;I_Parameter!$C$6),0,IF(B280="Aktual",1,IF(AND(B280="Order",A280&gt;=I_Parameter!$C$4),1,0))))</f>
        <v/>
      </c>
    </row>
    <row r="281" customFormat="false" ht="15" hidden="false" customHeight="false" outlineLevel="0" collapsed="false">
      <c r="A281" s="37"/>
      <c r="B281" s="44"/>
      <c r="C281" s="44"/>
      <c r="D281" s="44"/>
      <c r="E281" s="44"/>
      <c r="F281" s="44"/>
      <c r="G281" s="34" t="str">
        <f aca="false">IF(F281&lt;&gt;"",F281,IF(E281="","",IFERROR(INDEX(I_Item!$C$6:$C$255,MATCH(E281,I_Item!$A$6:$A$255,0)),"KODE BARU")))</f>
        <v/>
      </c>
      <c r="H281" s="45"/>
      <c r="I281" s="42"/>
      <c r="J281" s="11" t="str">
        <f aca="false">IF(H281="","",H281*I281)</f>
        <v/>
      </c>
      <c r="K281" s="42"/>
      <c r="L281" s="11" t="str">
        <f aca="false">IF(H281="","",IF(K281&lt;&gt;"",K281,H281*IFERROR(INDEX(O_Stok!$Q$6:$Q$85,MATCH(G281,O_Stok!$A$6:$A$85,0)),0)))</f>
        <v/>
      </c>
      <c r="M281" s="11" t="str">
        <f aca="false">IF(H281="","",J281-L281)</f>
        <v/>
      </c>
      <c r="N281" s="34" t="str">
        <f aca="false">IF(G281="","",IFERROR(INDEX(I_Master!$B$6:$B$85,MATCH(G281,I_Master!$A$6:$A$85,0)),"?"))</f>
        <v/>
      </c>
      <c r="O281" s="34" t="str">
        <f aca="false">IF(G281="","",IFERROR(INDEX(I_Master!$E$6:$E$85,MATCH(G281,I_Master!$A$6:$A$85,0)),"?"))</f>
        <v/>
      </c>
      <c r="P281" s="46" t="str">
        <f aca="false">IF(H281="","",IF(OR(A281&lt;I_Parameter!$C$5,A281&gt;I_Parameter!$C$6),0,IF(B281="Aktual",1,IF(AND(B281="Order",A281&gt;=I_Parameter!$C$4),1,0))))</f>
        <v/>
      </c>
    </row>
    <row r="282" customFormat="false" ht="15" hidden="false" customHeight="false" outlineLevel="0" collapsed="false">
      <c r="A282" s="37"/>
      <c r="B282" s="44"/>
      <c r="C282" s="44"/>
      <c r="D282" s="44"/>
      <c r="E282" s="44"/>
      <c r="F282" s="44"/>
      <c r="G282" s="34" t="str">
        <f aca="false">IF(F282&lt;&gt;"",F282,IF(E282="","",IFERROR(INDEX(I_Item!$C$6:$C$255,MATCH(E282,I_Item!$A$6:$A$255,0)),"KODE BARU")))</f>
        <v/>
      </c>
      <c r="H282" s="45"/>
      <c r="I282" s="42"/>
      <c r="J282" s="11" t="str">
        <f aca="false">IF(H282="","",H282*I282)</f>
        <v/>
      </c>
      <c r="K282" s="42"/>
      <c r="L282" s="11" t="str">
        <f aca="false">IF(H282="","",IF(K282&lt;&gt;"",K282,H282*IFERROR(INDEX(O_Stok!$Q$6:$Q$85,MATCH(G282,O_Stok!$A$6:$A$85,0)),0)))</f>
        <v/>
      </c>
      <c r="M282" s="11" t="str">
        <f aca="false">IF(H282="","",J282-L282)</f>
        <v/>
      </c>
      <c r="N282" s="34" t="str">
        <f aca="false">IF(G282="","",IFERROR(INDEX(I_Master!$B$6:$B$85,MATCH(G282,I_Master!$A$6:$A$85,0)),"?"))</f>
        <v/>
      </c>
      <c r="O282" s="34" t="str">
        <f aca="false">IF(G282="","",IFERROR(INDEX(I_Master!$E$6:$E$85,MATCH(G282,I_Master!$A$6:$A$85,0)),"?"))</f>
        <v/>
      </c>
      <c r="P282" s="46" t="str">
        <f aca="false">IF(H282="","",IF(OR(A282&lt;I_Parameter!$C$5,A282&gt;I_Parameter!$C$6),0,IF(B282="Aktual",1,IF(AND(B282="Order",A282&gt;=I_Parameter!$C$4),1,0))))</f>
        <v/>
      </c>
    </row>
    <row r="283" customFormat="false" ht="15" hidden="false" customHeight="false" outlineLevel="0" collapsed="false">
      <c r="A283" s="37"/>
      <c r="B283" s="44"/>
      <c r="C283" s="44"/>
      <c r="D283" s="44"/>
      <c r="E283" s="44"/>
      <c r="F283" s="44"/>
      <c r="G283" s="34" t="str">
        <f aca="false">IF(F283&lt;&gt;"",F283,IF(E283="","",IFERROR(INDEX(I_Item!$C$6:$C$255,MATCH(E283,I_Item!$A$6:$A$255,0)),"KODE BARU")))</f>
        <v/>
      </c>
      <c r="H283" s="45"/>
      <c r="I283" s="42"/>
      <c r="J283" s="11" t="str">
        <f aca="false">IF(H283="","",H283*I283)</f>
        <v/>
      </c>
      <c r="K283" s="42"/>
      <c r="L283" s="11" t="str">
        <f aca="false">IF(H283="","",IF(K283&lt;&gt;"",K283,H283*IFERROR(INDEX(O_Stok!$Q$6:$Q$85,MATCH(G283,O_Stok!$A$6:$A$85,0)),0)))</f>
        <v/>
      </c>
      <c r="M283" s="11" t="str">
        <f aca="false">IF(H283="","",J283-L283)</f>
        <v/>
      </c>
      <c r="N283" s="34" t="str">
        <f aca="false">IF(G283="","",IFERROR(INDEX(I_Master!$B$6:$B$85,MATCH(G283,I_Master!$A$6:$A$85,0)),"?"))</f>
        <v/>
      </c>
      <c r="O283" s="34" t="str">
        <f aca="false">IF(G283="","",IFERROR(INDEX(I_Master!$E$6:$E$85,MATCH(G283,I_Master!$A$6:$A$85,0)),"?"))</f>
        <v/>
      </c>
      <c r="P283" s="46" t="str">
        <f aca="false">IF(H283="","",IF(OR(A283&lt;I_Parameter!$C$5,A283&gt;I_Parameter!$C$6),0,IF(B283="Aktual",1,IF(AND(B283="Order",A283&gt;=I_Parameter!$C$4),1,0))))</f>
        <v/>
      </c>
    </row>
    <row r="284" customFormat="false" ht="15" hidden="false" customHeight="false" outlineLevel="0" collapsed="false">
      <c r="A284" s="37"/>
      <c r="B284" s="44"/>
      <c r="C284" s="44"/>
      <c r="D284" s="44"/>
      <c r="E284" s="44"/>
      <c r="F284" s="44"/>
      <c r="G284" s="34" t="str">
        <f aca="false">IF(F284&lt;&gt;"",F284,IF(E284="","",IFERROR(INDEX(I_Item!$C$6:$C$255,MATCH(E284,I_Item!$A$6:$A$255,0)),"KODE BARU")))</f>
        <v/>
      </c>
      <c r="H284" s="45"/>
      <c r="I284" s="42"/>
      <c r="J284" s="11" t="str">
        <f aca="false">IF(H284="","",H284*I284)</f>
        <v/>
      </c>
      <c r="K284" s="42"/>
      <c r="L284" s="11" t="str">
        <f aca="false">IF(H284="","",IF(K284&lt;&gt;"",K284,H284*IFERROR(INDEX(O_Stok!$Q$6:$Q$85,MATCH(G284,O_Stok!$A$6:$A$85,0)),0)))</f>
        <v/>
      </c>
      <c r="M284" s="11" t="str">
        <f aca="false">IF(H284="","",J284-L284)</f>
        <v/>
      </c>
      <c r="N284" s="34" t="str">
        <f aca="false">IF(G284="","",IFERROR(INDEX(I_Master!$B$6:$B$85,MATCH(G284,I_Master!$A$6:$A$85,0)),"?"))</f>
        <v/>
      </c>
      <c r="O284" s="34" t="str">
        <f aca="false">IF(G284="","",IFERROR(INDEX(I_Master!$E$6:$E$85,MATCH(G284,I_Master!$A$6:$A$85,0)),"?"))</f>
        <v/>
      </c>
      <c r="P284" s="46" t="str">
        <f aca="false">IF(H284="","",IF(OR(A284&lt;I_Parameter!$C$5,A284&gt;I_Parameter!$C$6),0,IF(B284="Aktual",1,IF(AND(B284="Order",A284&gt;=I_Parameter!$C$4),1,0))))</f>
        <v/>
      </c>
    </row>
    <row r="285" customFormat="false" ht="15" hidden="false" customHeight="false" outlineLevel="0" collapsed="false">
      <c r="A285" s="37"/>
      <c r="B285" s="44"/>
      <c r="C285" s="44"/>
      <c r="D285" s="44"/>
      <c r="E285" s="44"/>
      <c r="F285" s="44"/>
      <c r="G285" s="34" t="str">
        <f aca="false">IF(F285&lt;&gt;"",F285,IF(E285="","",IFERROR(INDEX(I_Item!$C$6:$C$255,MATCH(E285,I_Item!$A$6:$A$255,0)),"KODE BARU")))</f>
        <v/>
      </c>
      <c r="H285" s="45"/>
      <c r="I285" s="42"/>
      <c r="J285" s="11" t="str">
        <f aca="false">IF(H285="","",H285*I285)</f>
        <v/>
      </c>
      <c r="K285" s="42"/>
      <c r="L285" s="11" t="str">
        <f aca="false">IF(H285="","",IF(K285&lt;&gt;"",K285,H285*IFERROR(INDEX(O_Stok!$Q$6:$Q$85,MATCH(G285,O_Stok!$A$6:$A$85,0)),0)))</f>
        <v/>
      </c>
      <c r="M285" s="11" t="str">
        <f aca="false">IF(H285="","",J285-L285)</f>
        <v/>
      </c>
      <c r="N285" s="34" t="str">
        <f aca="false">IF(G285="","",IFERROR(INDEX(I_Master!$B$6:$B$85,MATCH(G285,I_Master!$A$6:$A$85,0)),"?"))</f>
        <v/>
      </c>
      <c r="O285" s="34" t="str">
        <f aca="false">IF(G285="","",IFERROR(INDEX(I_Master!$E$6:$E$85,MATCH(G285,I_Master!$A$6:$A$85,0)),"?"))</f>
        <v/>
      </c>
      <c r="P285" s="46" t="str">
        <f aca="false">IF(H285="","",IF(OR(A285&lt;I_Parameter!$C$5,A285&gt;I_Parameter!$C$6),0,IF(B285="Aktual",1,IF(AND(B285="Order",A285&gt;=I_Parameter!$C$4),1,0))))</f>
        <v/>
      </c>
    </row>
    <row r="286" customFormat="false" ht="15" hidden="false" customHeight="false" outlineLevel="0" collapsed="false">
      <c r="A286" s="37"/>
      <c r="B286" s="44"/>
      <c r="C286" s="44"/>
      <c r="D286" s="44"/>
      <c r="E286" s="44"/>
      <c r="F286" s="44"/>
      <c r="G286" s="34" t="str">
        <f aca="false">IF(F286&lt;&gt;"",F286,IF(E286="","",IFERROR(INDEX(I_Item!$C$6:$C$255,MATCH(E286,I_Item!$A$6:$A$255,0)),"KODE BARU")))</f>
        <v/>
      </c>
      <c r="H286" s="45"/>
      <c r="I286" s="42"/>
      <c r="J286" s="11" t="str">
        <f aca="false">IF(H286="","",H286*I286)</f>
        <v/>
      </c>
      <c r="K286" s="42"/>
      <c r="L286" s="11" t="str">
        <f aca="false">IF(H286="","",IF(K286&lt;&gt;"",K286,H286*IFERROR(INDEX(O_Stok!$Q$6:$Q$85,MATCH(G286,O_Stok!$A$6:$A$85,0)),0)))</f>
        <v/>
      </c>
      <c r="M286" s="11" t="str">
        <f aca="false">IF(H286="","",J286-L286)</f>
        <v/>
      </c>
      <c r="N286" s="34" t="str">
        <f aca="false">IF(G286="","",IFERROR(INDEX(I_Master!$B$6:$B$85,MATCH(G286,I_Master!$A$6:$A$85,0)),"?"))</f>
        <v/>
      </c>
      <c r="O286" s="34" t="str">
        <f aca="false">IF(G286="","",IFERROR(INDEX(I_Master!$E$6:$E$85,MATCH(G286,I_Master!$A$6:$A$85,0)),"?"))</f>
        <v/>
      </c>
      <c r="P286" s="46" t="str">
        <f aca="false">IF(H286="","",IF(OR(A286&lt;I_Parameter!$C$5,A286&gt;I_Parameter!$C$6),0,IF(B286="Aktual",1,IF(AND(B286="Order",A286&gt;=I_Parameter!$C$4),1,0))))</f>
        <v/>
      </c>
    </row>
    <row r="287" customFormat="false" ht="15" hidden="false" customHeight="false" outlineLevel="0" collapsed="false">
      <c r="A287" s="37"/>
      <c r="B287" s="44"/>
      <c r="C287" s="44"/>
      <c r="D287" s="44"/>
      <c r="E287" s="44"/>
      <c r="F287" s="44"/>
      <c r="G287" s="34" t="str">
        <f aca="false">IF(F287&lt;&gt;"",F287,IF(E287="","",IFERROR(INDEX(I_Item!$C$6:$C$255,MATCH(E287,I_Item!$A$6:$A$255,0)),"KODE BARU")))</f>
        <v/>
      </c>
      <c r="H287" s="45"/>
      <c r="I287" s="42"/>
      <c r="J287" s="11" t="str">
        <f aca="false">IF(H287="","",H287*I287)</f>
        <v/>
      </c>
      <c r="K287" s="42"/>
      <c r="L287" s="11" t="str">
        <f aca="false">IF(H287="","",IF(K287&lt;&gt;"",K287,H287*IFERROR(INDEX(O_Stok!$Q$6:$Q$85,MATCH(G287,O_Stok!$A$6:$A$85,0)),0)))</f>
        <v/>
      </c>
      <c r="M287" s="11" t="str">
        <f aca="false">IF(H287="","",J287-L287)</f>
        <v/>
      </c>
      <c r="N287" s="34" t="str">
        <f aca="false">IF(G287="","",IFERROR(INDEX(I_Master!$B$6:$B$85,MATCH(G287,I_Master!$A$6:$A$85,0)),"?"))</f>
        <v/>
      </c>
      <c r="O287" s="34" t="str">
        <f aca="false">IF(G287="","",IFERROR(INDEX(I_Master!$E$6:$E$85,MATCH(G287,I_Master!$A$6:$A$85,0)),"?"))</f>
        <v/>
      </c>
      <c r="P287" s="46" t="str">
        <f aca="false">IF(H287="","",IF(OR(A287&lt;I_Parameter!$C$5,A287&gt;I_Parameter!$C$6),0,IF(B287="Aktual",1,IF(AND(B287="Order",A287&gt;=I_Parameter!$C$4),1,0))))</f>
        <v/>
      </c>
    </row>
    <row r="288" customFormat="false" ht="15" hidden="false" customHeight="false" outlineLevel="0" collapsed="false">
      <c r="A288" s="37"/>
      <c r="B288" s="44"/>
      <c r="C288" s="44"/>
      <c r="D288" s="44"/>
      <c r="E288" s="44"/>
      <c r="F288" s="44"/>
      <c r="G288" s="34" t="str">
        <f aca="false">IF(F288&lt;&gt;"",F288,IF(E288="","",IFERROR(INDEX(I_Item!$C$6:$C$255,MATCH(E288,I_Item!$A$6:$A$255,0)),"KODE BARU")))</f>
        <v/>
      </c>
      <c r="H288" s="45"/>
      <c r="I288" s="42"/>
      <c r="J288" s="11" t="str">
        <f aca="false">IF(H288="","",H288*I288)</f>
        <v/>
      </c>
      <c r="K288" s="42"/>
      <c r="L288" s="11" t="str">
        <f aca="false">IF(H288="","",IF(K288&lt;&gt;"",K288,H288*IFERROR(INDEX(O_Stok!$Q$6:$Q$85,MATCH(G288,O_Stok!$A$6:$A$85,0)),0)))</f>
        <v/>
      </c>
      <c r="M288" s="11" t="str">
        <f aca="false">IF(H288="","",J288-L288)</f>
        <v/>
      </c>
      <c r="N288" s="34" t="str">
        <f aca="false">IF(G288="","",IFERROR(INDEX(I_Master!$B$6:$B$85,MATCH(G288,I_Master!$A$6:$A$85,0)),"?"))</f>
        <v/>
      </c>
      <c r="O288" s="34" t="str">
        <f aca="false">IF(G288="","",IFERROR(INDEX(I_Master!$E$6:$E$85,MATCH(G288,I_Master!$A$6:$A$85,0)),"?"))</f>
        <v/>
      </c>
      <c r="P288" s="46" t="str">
        <f aca="false">IF(H288="","",IF(OR(A288&lt;I_Parameter!$C$5,A288&gt;I_Parameter!$C$6),0,IF(B288="Aktual",1,IF(AND(B288="Order",A288&gt;=I_Parameter!$C$4),1,0))))</f>
        <v/>
      </c>
    </row>
    <row r="289" customFormat="false" ht="15" hidden="false" customHeight="false" outlineLevel="0" collapsed="false">
      <c r="A289" s="37"/>
      <c r="B289" s="44"/>
      <c r="C289" s="44"/>
      <c r="D289" s="44"/>
      <c r="E289" s="44"/>
      <c r="F289" s="44"/>
      <c r="G289" s="34" t="str">
        <f aca="false">IF(F289&lt;&gt;"",F289,IF(E289="","",IFERROR(INDEX(I_Item!$C$6:$C$255,MATCH(E289,I_Item!$A$6:$A$255,0)),"KODE BARU")))</f>
        <v/>
      </c>
      <c r="H289" s="45"/>
      <c r="I289" s="42"/>
      <c r="J289" s="11" t="str">
        <f aca="false">IF(H289="","",H289*I289)</f>
        <v/>
      </c>
      <c r="K289" s="42"/>
      <c r="L289" s="11" t="str">
        <f aca="false">IF(H289="","",IF(K289&lt;&gt;"",K289,H289*IFERROR(INDEX(O_Stok!$Q$6:$Q$85,MATCH(G289,O_Stok!$A$6:$A$85,0)),0)))</f>
        <v/>
      </c>
      <c r="M289" s="11" t="str">
        <f aca="false">IF(H289="","",J289-L289)</f>
        <v/>
      </c>
      <c r="N289" s="34" t="str">
        <f aca="false">IF(G289="","",IFERROR(INDEX(I_Master!$B$6:$B$85,MATCH(G289,I_Master!$A$6:$A$85,0)),"?"))</f>
        <v/>
      </c>
      <c r="O289" s="34" t="str">
        <f aca="false">IF(G289="","",IFERROR(INDEX(I_Master!$E$6:$E$85,MATCH(G289,I_Master!$A$6:$A$85,0)),"?"))</f>
        <v/>
      </c>
      <c r="P289" s="46" t="str">
        <f aca="false">IF(H289="","",IF(OR(A289&lt;I_Parameter!$C$5,A289&gt;I_Parameter!$C$6),0,IF(B289="Aktual",1,IF(AND(B289="Order",A289&gt;=I_Parameter!$C$4),1,0))))</f>
        <v/>
      </c>
    </row>
    <row r="290" customFormat="false" ht="15" hidden="false" customHeight="false" outlineLevel="0" collapsed="false">
      <c r="A290" s="37"/>
      <c r="B290" s="44"/>
      <c r="C290" s="44"/>
      <c r="D290" s="44"/>
      <c r="E290" s="44"/>
      <c r="F290" s="44"/>
      <c r="G290" s="34" t="str">
        <f aca="false">IF(F290&lt;&gt;"",F290,IF(E290="","",IFERROR(INDEX(I_Item!$C$6:$C$255,MATCH(E290,I_Item!$A$6:$A$255,0)),"KODE BARU")))</f>
        <v/>
      </c>
      <c r="H290" s="45"/>
      <c r="I290" s="42"/>
      <c r="J290" s="11" t="str">
        <f aca="false">IF(H290="","",H290*I290)</f>
        <v/>
      </c>
      <c r="K290" s="42"/>
      <c r="L290" s="11" t="str">
        <f aca="false">IF(H290="","",IF(K290&lt;&gt;"",K290,H290*IFERROR(INDEX(O_Stok!$Q$6:$Q$85,MATCH(G290,O_Stok!$A$6:$A$85,0)),0)))</f>
        <v/>
      </c>
      <c r="M290" s="11" t="str">
        <f aca="false">IF(H290="","",J290-L290)</f>
        <v/>
      </c>
      <c r="N290" s="34" t="str">
        <f aca="false">IF(G290="","",IFERROR(INDEX(I_Master!$B$6:$B$85,MATCH(G290,I_Master!$A$6:$A$85,0)),"?"))</f>
        <v/>
      </c>
      <c r="O290" s="34" t="str">
        <f aca="false">IF(G290="","",IFERROR(INDEX(I_Master!$E$6:$E$85,MATCH(G290,I_Master!$A$6:$A$85,0)),"?"))</f>
        <v/>
      </c>
      <c r="P290" s="46" t="str">
        <f aca="false">IF(H290="","",IF(OR(A290&lt;I_Parameter!$C$5,A290&gt;I_Parameter!$C$6),0,IF(B290="Aktual",1,IF(AND(B290="Order",A290&gt;=I_Parameter!$C$4),1,0))))</f>
        <v/>
      </c>
    </row>
    <row r="291" customFormat="false" ht="15" hidden="false" customHeight="false" outlineLevel="0" collapsed="false">
      <c r="A291" s="37"/>
      <c r="B291" s="44"/>
      <c r="C291" s="44"/>
      <c r="D291" s="44"/>
      <c r="E291" s="44"/>
      <c r="F291" s="44"/>
      <c r="G291" s="34" t="str">
        <f aca="false">IF(F291&lt;&gt;"",F291,IF(E291="","",IFERROR(INDEX(I_Item!$C$6:$C$255,MATCH(E291,I_Item!$A$6:$A$255,0)),"KODE BARU")))</f>
        <v/>
      </c>
      <c r="H291" s="45"/>
      <c r="I291" s="42"/>
      <c r="J291" s="11" t="str">
        <f aca="false">IF(H291="","",H291*I291)</f>
        <v/>
      </c>
      <c r="K291" s="42"/>
      <c r="L291" s="11" t="str">
        <f aca="false">IF(H291="","",IF(K291&lt;&gt;"",K291,H291*IFERROR(INDEX(O_Stok!$Q$6:$Q$85,MATCH(G291,O_Stok!$A$6:$A$85,0)),0)))</f>
        <v/>
      </c>
      <c r="M291" s="11" t="str">
        <f aca="false">IF(H291="","",J291-L291)</f>
        <v/>
      </c>
      <c r="N291" s="34" t="str">
        <f aca="false">IF(G291="","",IFERROR(INDEX(I_Master!$B$6:$B$85,MATCH(G291,I_Master!$A$6:$A$85,0)),"?"))</f>
        <v/>
      </c>
      <c r="O291" s="34" t="str">
        <f aca="false">IF(G291="","",IFERROR(INDEX(I_Master!$E$6:$E$85,MATCH(G291,I_Master!$A$6:$A$85,0)),"?"))</f>
        <v/>
      </c>
      <c r="P291" s="46" t="str">
        <f aca="false">IF(H291="","",IF(OR(A291&lt;I_Parameter!$C$5,A291&gt;I_Parameter!$C$6),0,IF(B291="Aktual",1,IF(AND(B291="Order",A291&gt;=I_Parameter!$C$4),1,0))))</f>
        <v/>
      </c>
    </row>
    <row r="292" customFormat="false" ht="15" hidden="false" customHeight="false" outlineLevel="0" collapsed="false">
      <c r="A292" s="37"/>
      <c r="B292" s="44"/>
      <c r="C292" s="44"/>
      <c r="D292" s="44"/>
      <c r="E292" s="44"/>
      <c r="F292" s="44"/>
      <c r="G292" s="34" t="str">
        <f aca="false">IF(F292&lt;&gt;"",F292,IF(E292="","",IFERROR(INDEX(I_Item!$C$6:$C$255,MATCH(E292,I_Item!$A$6:$A$255,0)),"KODE BARU")))</f>
        <v/>
      </c>
      <c r="H292" s="45"/>
      <c r="I292" s="42"/>
      <c r="J292" s="11" t="str">
        <f aca="false">IF(H292="","",H292*I292)</f>
        <v/>
      </c>
      <c r="K292" s="42"/>
      <c r="L292" s="11" t="str">
        <f aca="false">IF(H292="","",IF(K292&lt;&gt;"",K292,H292*IFERROR(INDEX(O_Stok!$Q$6:$Q$85,MATCH(G292,O_Stok!$A$6:$A$85,0)),0)))</f>
        <v/>
      </c>
      <c r="M292" s="11" t="str">
        <f aca="false">IF(H292="","",J292-L292)</f>
        <v/>
      </c>
      <c r="N292" s="34" t="str">
        <f aca="false">IF(G292="","",IFERROR(INDEX(I_Master!$B$6:$B$85,MATCH(G292,I_Master!$A$6:$A$85,0)),"?"))</f>
        <v/>
      </c>
      <c r="O292" s="34" t="str">
        <f aca="false">IF(G292="","",IFERROR(INDEX(I_Master!$E$6:$E$85,MATCH(G292,I_Master!$A$6:$A$85,0)),"?"))</f>
        <v/>
      </c>
      <c r="P292" s="46" t="str">
        <f aca="false">IF(H292="","",IF(OR(A292&lt;I_Parameter!$C$5,A292&gt;I_Parameter!$C$6),0,IF(B292="Aktual",1,IF(AND(B292="Order",A292&gt;=I_Parameter!$C$4),1,0))))</f>
        <v/>
      </c>
    </row>
    <row r="293" customFormat="false" ht="15" hidden="false" customHeight="false" outlineLevel="0" collapsed="false">
      <c r="A293" s="37"/>
      <c r="B293" s="44"/>
      <c r="C293" s="44"/>
      <c r="D293" s="44"/>
      <c r="E293" s="44"/>
      <c r="F293" s="44"/>
      <c r="G293" s="34" t="str">
        <f aca="false">IF(F293&lt;&gt;"",F293,IF(E293="","",IFERROR(INDEX(I_Item!$C$6:$C$255,MATCH(E293,I_Item!$A$6:$A$255,0)),"KODE BARU")))</f>
        <v/>
      </c>
      <c r="H293" s="45"/>
      <c r="I293" s="42"/>
      <c r="J293" s="11" t="str">
        <f aca="false">IF(H293="","",H293*I293)</f>
        <v/>
      </c>
      <c r="K293" s="42"/>
      <c r="L293" s="11" t="str">
        <f aca="false">IF(H293="","",IF(K293&lt;&gt;"",K293,H293*IFERROR(INDEX(O_Stok!$Q$6:$Q$85,MATCH(G293,O_Stok!$A$6:$A$85,0)),0)))</f>
        <v/>
      </c>
      <c r="M293" s="11" t="str">
        <f aca="false">IF(H293="","",J293-L293)</f>
        <v/>
      </c>
      <c r="N293" s="34" t="str">
        <f aca="false">IF(G293="","",IFERROR(INDEX(I_Master!$B$6:$B$85,MATCH(G293,I_Master!$A$6:$A$85,0)),"?"))</f>
        <v/>
      </c>
      <c r="O293" s="34" t="str">
        <f aca="false">IF(G293="","",IFERROR(INDEX(I_Master!$E$6:$E$85,MATCH(G293,I_Master!$A$6:$A$85,0)),"?"))</f>
        <v/>
      </c>
      <c r="P293" s="46" t="str">
        <f aca="false">IF(H293="","",IF(OR(A293&lt;I_Parameter!$C$5,A293&gt;I_Parameter!$C$6),0,IF(B293="Aktual",1,IF(AND(B293="Order",A293&gt;=I_Parameter!$C$4),1,0))))</f>
        <v/>
      </c>
    </row>
    <row r="294" customFormat="false" ht="15" hidden="false" customHeight="false" outlineLevel="0" collapsed="false">
      <c r="A294" s="37"/>
      <c r="B294" s="44"/>
      <c r="C294" s="44"/>
      <c r="D294" s="44"/>
      <c r="E294" s="44"/>
      <c r="F294" s="44"/>
      <c r="G294" s="34" t="str">
        <f aca="false">IF(F294&lt;&gt;"",F294,IF(E294="","",IFERROR(INDEX(I_Item!$C$6:$C$255,MATCH(E294,I_Item!$A$6:$A$255,0)),"KODE BARU")))</f>
        <v/>
      </c>
      <c r="H294" s="45"/>
      <c r="I294" s="42"/>
      <c r="J294" s="11" t="str">
        <f aca="false">IF(H294="","",H294*I294)</f>
        <v/>
      </c>
      <c r="K294" s="42"/>
      <c r="L294" s="11" t="str">
        <f aca="false">IF(H294="","",IF(K294&lt;&gt;"",K294,H294*IFERROR(INDEX(O_Stok!$Q$6:$Q$85,MATCH(G294,O_Stok!$A$6:$A$85,0)),0)))</f>
        <v/>
      </c>
      <c r="M294" s="11" t="str">
        <f aca="false">IF(H294="","",J294-L294)</f>
        <v/>
      </c>
      <c r="N294" s="34" t="str">
        <f aca="false">IF(G294="","",IFERROR(INDEX(I_Master!$B$6:$B$85,MATCH(G294,I_Master!$A$6:$A$85,0)),"?"))</f>
        <v/>
      </c>
      <c r="O294" s="34" t="str">
        <f aca="false">IF(G294="","",IFERROR(INDEX(I_Master!$E$6:$E$85,MATCH(G294,I_Master!$A$6:$A$85,0)),"?"))</f>
        <v/>
      </c>
      <c r="P294" s="46" t="str">
        <f aca="false">IF(H294="","",IF(OR(A294&lt;I_Parameter!$C$5,A294&gt;I_Parameter!$C$6),0,IF(B294="Aktual",1,IF(AND(B294="Order",A294&gt;=I_Parameter!$C$4),1,0))))</f>
        <v/>
      </c>
    </row>
    <row r="295" customFormat="false" ht="15" hidden="false" customHeight="false" outlineLevel="0" collapsed="false">
      <c r="A295" s="37"/>
      <c r="B295" s="44"/>
      <c r="C295" s="44"/>
      <c r="D295" s="44"/>
      <c r="E295" s="44"/>
      <c r="F295" s="44"/>
      <c r="G295" s="34" t="str">
        <f aca="false">IF(F295&lt;&gt;"",F295,IF(E295="","",IFERROR(INDEX(I_Item!$C$6:$C$255,MATCH(E295,I_Item!$A$6:$A$255,0)),"KODE BARU")))</f>
        <v/>
      </c>
      <c r="H295" s="45"/>
      <c r="I295" s="42"/>
      <c r="J295" s="11" t="str">
        <f aca="false">IF(H295="","",H295*I295)</f>
        <v/>
      </c>
      <c r="K295" s="42"/>
      <c r="L295" s="11" t="str">
        <f aca="false">IF(H295="","",IF(K295&lt;&gt;"",K295,H295*IFERROR(INDEX(O_Stok!$Q$6:$Q$85,MATCH(G295,O_Stok!$A$6:$A$85,0)),0)))</f>
        <v/>
      </c>
      <c r="M295" s="11" t="str">
        <f aca="false">IF(H295="","",J295-L295)</f>
        <v/>
      </c>
      <c r="N295" s="34" t="str">
        <f aca="false">IF(G295="","",IFERROR(INDEX(I_Master!$B$6:$B$85,MATCH(G295,I_Master!$A$6:$A$85,0)),"?"))</f>
        <v/>
      </c>
      <c r="O295" s="34" t="str">
        <f aca="false">IF(G295="","",IFERROR(INDEX(I_Master!$E$6:$E$85,MATCH(G295,I_Master!$A$6:$A$85,0)),"?"))</f>
        <v/>
      </c>
      <c r="P295" s="46" t="str">
        <f aca="false">IF(H295="","",IF(OR(A295&lt;I_Parameter!$C$5,A295&gt;I_Parameter!$C$6),0,IF(B295="Aktual",1,IF(AND(B295="Order",A295&gt;=I_Parameter!$C$4),1,0))))</f>
        <v/>
      </c>
    </row>
    <row r="296" customFormat="false" ht="15" hidden="false" customHeight="false" outlineLevel="0" collapsed="false">
      <c r="A296" s="37"/>
      <c r="B296" s="44"/>
      <c r="C296" s="44"/>
      <c r="D296" s="44"/>
      <c r="E296" s="44"/>
      <c r="F296" s="44"/>
      <c r="G296" s="34" t="str">
        <f aca="false">IF(F296&lt;&gt;"",F296,IF(E296="","",IFERROR(INDEX(I_Item!$C$6:$C$255,MATCH(E296,I_Item!$A$6:$A$255,0)),"KODE BARU")))</f>
        <v/>
      </c>
      <c r="H296" s="45"/>
      <c r="I296" s="42"/>
      <c r="J296" s="11" t="str">
        <f aca="false">IF(H296="","",H296*I296)</f>
        <v/>
      </c>
      <c r="K296" s="42"/>
      <c r="L296" s="11" t="str">
        <f aca="false">IF(H296="","",IF(K296&lt;&gt;"",K296,H296*IFERROR(INDEX(O_Stok!$Q$6:$Q$85,MATCH(G296,O_Stok!$A$6:$A$85,0)),0)))</f>
        <v/>
      </c>
      <c r="M296" s="11" t="str">
        <f aca="false">IF(H296="","",J296-L296)</f>
        <v/>
      </c>
      <c r="N296" s="34" t="str">
        <f aca="false">IF(G296="","",IFERROR(INDEX(I_Master!$B$6:$B$85,MATCH(G296,I_Master!$A$6:$A$85,0)),"?"))</f>
        <v/>
      </c>
      <c r="O296" s="34" t="str">
        <f aca="false">IF(G296="","",IFERROR(INDEX(I_Master!$E$6:$E$85,MATCH(G296,I_Master!$A$6:$A$85,0)),"?"))</f>
        <v/>
      </c>
      <c r="P296" s="46" t="str">
        <f aca="false">IF(H296="","",IF(OR(A296&lt;I_Parameter!$C$5,A296&gt;I_Parameter!$C$6),0,IF(B296="Aktual",1,IF(AND(B296="Order",A296&gt;=I_Parameter!$C$4),1,0))))</f>
        <v/>
      </c>
    </row>
    <row r="297" customFormat="false" ht="15" hidden="false" customHeight="false" outlineLevel="0" collapsed="false">
      <c r="A297" s="37"/>
      <c r="B297" s="44"/>
      <c r="C297" s="44"/>
      <c r="D297" s="44"/>
      <c r="E297" s="44"/>
      <c r="F297" s="44"/>
      <c r="G297" s="34" t="str">
        <f aca="false">IF(F297&lt;&gt;"",F297,IF(E297="","",IFERROR(INDEX(I_Item!$C$6:$C$255,MATCH(E297,I_Item!$A$6:$A$255,0)),"KODE BARU")))</f>
        <v/>
      </c>
      <c r="H297" s="45"/>
      <c r="I297" s="42"/>
      <c r="J297" s="11" t="str">
        <f aca="false">IF(H297="","",H297*I297)</f>
        <v/>
      </c>
      <c r="K297" s="42"/>
      <c r="L297" s="11" t="str">
        <f aca="false">IF(H297="","",IF(K297&lt;&gt;"",K297,H297*IFERROR(INDEX(O_Stok!$Q$6:$Q$85,MATCH(G297,O_Stok!$A$6:$A$85,0)),0)))</f>
        <v/>
      </c>
      <c r="M297" s="11" t="str">
        <f aca="false">IF(H297="","",J297-L297)</f>
        <v/>
      </c>
      <c r="N297" s="34" t="str">
        <f aca="false">IF(G297="","",IFERROR(INDEX(I_Master!$B$6:$B$85,MATCH(G297,I_Master!$A$6:$A$85,0)),"?"))</f>
        <v/>
      </c>
      <c r="O297" s="34" t="str">
        <f aca="false">IF(G297="","",IFERROR(INDEX(I_Master!$E$6:$E$85,MATCH(G297,I_Master!$A$6:$A$85,0)),"?"))</f>
        <v/>
      </c>
      <c r="P297" s="46" t="str">
        <f aca="false">IF(H297="","",IF(OR(A297&lt;I_Parameter!$C$5,A297&gt;I_Parameter!$C$6),0,IF(B297="Aktual",1,IF(AND(B297="Order",A297&gt;=I_Parameter!$C$4),1,0))))</f>
        <v/>
      </c>
    </row>
    <row r="298" customFormat="false" ht="15" hidden="false" customHeight="false" outlineLevel="0" collapsed="false">
      <c r="A298" s="37"/>
      <c r="B298" s="44"/>
      <c r="C298" s="44"/>
      <c r="D298" s="44"/>
      <c r="E298" s="44"/>
      <c r="F298" s="44"/>
      <c r="G298" s="34" t="str">
        <f aca="false">IF(F298&lt;&gt;"",F298,IF(E298="","",IFERROR(INDEX(I_Item!$C$6:$C$255,MATCH(E298,I_Item!$A$6:$A$255,0)),"KODE BARU")))</f>
        <v/>
      </c>
      <c r="H298" s="45"/>
      <c r="I298" s="42"/>
      <c r="J298" s="11" t="str">
        <f aca="false">IF(H298="","",H298*I298)</f>
        <v/>
      </c>
      <c r="K298" s="42"/>
      <c r="L298" s="11" t="str">
        <f aca="false">IF(H298="","",IF(K298&lt;&gt;"",K298,H298*IFERROR(INDEX(O_Stok!$Q$6:$Q$85,MATCH(G298,O_Stok!$A$6:$A$85,0)),0)))</f>
        <v/>
      </c>
      <c r="M298" s="11" t="str">
        <f aca="false">IF(H298="","",J298-L298)</f>
        <v/>
      </c>
      <c r="N298" s="34" t="str">
        <f aca="false">IF(G298="","",IFERROR(INDEX(I_Master!$B$6:$B$85,MATCH(G298,I_Master!$A$6:$A$85,0)),"?"))</f>
        <v/>
      </c>
      <c r="O298" s="34" t="str">
        <f aca="false">IF(G298="","",IFERROR(INDEX(I_Master!$E$6:$E$85,MATCH(G298,I_Master!$A$6:$A$85,0)),"?"))</f>
        <v/>
      </c>
      <c r="P298" s="46" t="str">
        <f aca="false">IF(H298="","",IF(OR(A298&lt;I_Parameter!$C$5,A298&gt;I_Parameter!$C$6),0,IF(B298="Aktual",1,IF(AND(B298="Order",A298&gt;=I_Parameter!$C$4),1,0))))</f>
        <v/>
      </c>
    </row>
    <row r="299" customFormat="false" ht="15" hidden="false" customHeight="false" outlineLevel="0" collapsed="false">
      <c r="A299" s="37"/>
      <c r="B299" s="44"/>
      <c r="C299" s="44"/>
      <c r="D299" s="44"/>
      <c r="E299" s="44"/>
      <c r="F299" s="44"/>
      <c r="G299" s="34" t="str">
        <f aca="false">IF(F299&lt;&gt;"",F299,IF(E299="","",IFERROR(INDEX(I_Item!$C$6:$C$255,MATCH(E299,I_Item!$A$6:$A$255,0)),"KODE BARU")))</f>
        <v/>
      </c>
      <c r="H299" s="45"/>
      <c r="I299" s="42"/>
      <c r="J299" s="11" t="str">
        <f aca="false">IF(H299="","",H299*I299)</f>
        <v/>
      </c>
      <c r="K299" s="42"/>
      <c r="L299" s="11" t="str">
        <f aca="false">IF(H299="","",IF(K299&lt;&gt;"",K299,H299*IFERROR(INDEX(O_Stok!$Q$6:$Q$85,MATCH(G299,O_Stok!$A$6:$A$85,0)),0)))</f>
        <v/>
      </c>
      <c r="M299" s="11" t="str">
        <f aca="false">IF(H299="","",J299-L299)</f>
        <v/>
      </c>
      <c r="N299" s="34" t="str">
        <f aca="false">IF(G299="","",IFERROR(INDEX(I_Master!$B$6:$B$85,MATCH(G299,I_Master!$A$6:$A$85,0)),"?"))</f>
        <v/>
      </c>
      <c r="O299" s="34" t="str">
        <f aca="false">IF(G299="","",IFERROR(INDEX(I_Master!$E$6:$E$85,MATCH(G299,I_Master!$A$6:$A$85,0)),"?"))</f>
        <v/>
      </c>
      <c r="P299" s="46" t="str">
        <f aca="false">IF(H299="","",IF(OR(A299&lt;I_Parameter!$C$5,A299&gt;I_Parameter!$C$6),0,IF(B299="Aktual",1,IF(AND(B299="Order",A299&gt;=I_Parameter!$C$4),1,0))))</f>
        <v/>
      </c>
    </row>
    <row r="300" customFormat="false" ht="15" hidden="false" customHeight="false" outlineLevel="0" collapsed="false">
      <c r="A300" s="37"/>
      <c r="B300" s="44"/>
      <c r="C300" s="44"/>
      <c r="D300" s="44"/>
      <c r="E300" s="44"/>
      <c r="F300" s="44"/>
      <c r="G300" s="34" t="str">
        <f aca="false">IF(F300&lt;&gt;"",F300,IF(E300="","",IFERROR(INDEX(I_Item!$C$6:$C$255,MATCH(E300,I_Item!$A$6:$A$255,0)),"KODE BARU")))</f>
        <v/>
      </c>
      <c r="H300" s="45"/>
      <c r="I300" s="42"/>
      <c r="J300" s="11" t="str">
        <f aca="false">IF(H300="","",H300*I300)</f>
        <v/>
      </c>
      <c r="K300" s="42"/>
      <c r="L300" s="11" t="str">
        <f aca="false">IF(H300="","",IF(K300&lt;&gt;"",K300,H300*IFERROR(INDEX(O_Stok!$Q$6:$Q$85,MATCH(G300,O_Stok!$A$6:$A$85,0)),0)))</f>
        <v/>
      </c>
      <c r="M300" s="11" t="str">
        <f aca="false">IF(H300="","",J300-L300)</f>
        <v/>
      </c>
      <c r="N300" s="34" t="str">
        <f aca="false">IF(G300="","",IFERROR(INDEX(I_Master!$B$6:$B$85,MATCH(G300,I_Master!$A$6:$A$85,0)),"?"))</f>
        <v/>
      </c>
      <c r="O300" s="34" t="str">
        <f aca="false">IF(G300="","",IFERROR(INDEX(I_Master!$E$6:$E$85,MATCH(G300,I_Master!$A$6:$A$85,0)),"?"))</f>
        <v/>
      </c>
      <c r="P300" s="46" t="str">
        <f aca="false">IF(H300="","",IF(OR(A300&lt;I_Parameter!$C$5,A300&gt;I_Parameter!$C$6),0,IF(B300="Aktual",1,IF(AND(B300="Order",A300&gt;=I_Parameter!$C$4),1,0))))</f>
        <v/>
      </c>
    </row>
    <row r="301" customFormat="false" ht="15" hidden="false" customHeight="false" outlineLevel="0" collapsed="false">
      <c r="A301" s="37"/>
      <c r="B301" s="44"/>
      <c r="C301" s="44"/>
      <c r="D301" s="44"/>
      <c r="E301" s="44"/>
      <c r="F301" s="44"/>
      <c r="G301" s="34" t="str">
        <f aca="false">IF(F301&lt;&gt;"",F301,IF(E301="","",IFERROR(INDEX(I_Item!$C$6:$C$255,MATCH(E301,I_Item!$A$6:$A$255,0)),"KODE BARU")))</f>
        <v/>
      </c>
      <c r="H301" s="45"/>
      <c r="I301" s="42"/>
      <c r="J301" s="11" t="str">
        <f aca="false">IF(H301="","",H301*I301)</f>
        <v/>
      </c>
      <c r="K301" s="42"/>
      <c r="L301" s="11" t="str">
        <f aca="false">IF(H301="","",IF(K301&lt;&gt;"",K301,H301*IFERROR(INDEX(O_Stok!$Q$6:$Q$85,MATCH(G301,O_Stok!$A$6:$A$85,0)),0)))</f>
        <v/>
      </c>
      <c r="M301" s="11" t="str">
        <f aca="false">IF(H301="","",J301-L301)</f>
        <v/>
      </c>
      <c r="N301" s="34" t="str">
        <f aca="false">IF(G301="","",IFERROR(INDEX(I_Master!$B$6:$B$85,MATCH(G301,I_Master!$A$6:$A$85,0)),"?"))</f>
        <v/>
      </c>
      <c r="O301" s="34" t="str">
        <f aca="false">IF(G301="","",IFERROR(INDEX(I_Master!$E$6:$E$85,MATCH(G301,I_Master!$A$6:$A$85,0)),"?"))</f>
        <v/>
      </c>
      <c r="P301" s="46" t="str">
        <f aca="false">IF(H301="","",IF(OR(A301&lt;I_Parameter!$C$5,A301&gt;I_Parameter!$C$6),0,IF(B301="Aktual",1,IF(AND(B301="Order",A301&gt;=I_Parameter!$C$4),1,0))))</f>
        <v/>
      </c>
    </row>
    <row r="302" customFormat="false" ht="15" hidden="false" customHeight="false" outlineLevel="0" collapsed="false">
      <c r="A302" s="37"/>
      <c r="B302" s="44"/>
      <c r="C302" s="44"/>
      <c r="D302" s="44"/>
      <c r="E302" s="44"/>
      <c r="F302" s="44"/>
      <c r="G302" s="34" t="str">
        <f aca="false">IF(F302&lt;&gt;"",F302,IF(E302="","",IFERROR(INDEX(I_Item!$C$6:$C$255,MATCH(E302,I_Item!$A$6:$A$255,0)),"KODE BARU")))</f>
        <v/>
      </c>
      <c r="H302" s="45"/>
      <c r="I302" s="42"/>
      <c r="J302" s="11" t="str">
        <f aca="false">IF(H302="","",H302*I302)</f>
        <v/>
      </c>
      <c r="K302" s="42"/>
      <c r="L302" s="11" t="str">
        <f aca="false">IF(H302="","",IF(K302&lt;&gt;"",K302,H302*IFERROR(INDEX(O_Stok!$Q$6:$Q$85,MATCH(G302,O_Stok!$A$6:$A$85,0)),0)))</f>
        <v/>
      </c>
      <c r="M302" s="11" t="str">
        <f aca="false">IF(H302="","",J302-L302)</f>
        <v/>
      </c>
      <c r="N302" s="34" t="str">
        <f aca="false">IF(G302="","",IFERROR(INDEX(I_Master!$B$6:$B$85,MATCH(G302,I_Master!$A$6:$A$85,0)),"?"))</f>
        <v/>
      </c>
      <c r="O302" s="34" t="str">
        <f aca="false">IF(G302="","",IFERROR(INDEX(I_Master!$E$6:$E$85,MATCH(G302,I_Master!$A$6:$A$85,0)),"?"))</f>
        <v/>
      </c>
      <c r="P302" s="46" t="str">
        <f aca="false">IF(H302="","",IF(OR(A302&lt;I_Parameter!$C$5,A302&gt;I_Parameter!$C$6),0,IF(B302="Aktual",1,IF(AND(B302="Order",A302&gt;=I_Parameter!$C$4),1,0))))</f>
        <v/>
      </c>
    </row>
    <row r="303" customFormat="false" ht="15" hidden="false" customHeight="false" outlineLevel="0" collapsed="false">
      <c r="A303" s="37"/>
      <c r="B303" s="44"/>
      <c r="C303" s="44"/>
      <c r="D303" s="44"/>
      <c r="E303" s="44"/>
      <c r="F303" s="44"/>
      <c r="G303" s="34" t="str">
        <f aca="false">IF(F303&lt;&gt;"",F303,IF(E303="","",IFERROR(INDEX(I_Item!$C$6:$C$255,MATCH(E303,I_Item!$A$6:$A$255,0)),"KODE BARU")))</f>
        <v/>
      </c>
      <c r="H303" s="45"/>
      <c r="I303" s="42"/>
      <c r="J303" s="11" t="str">
        <f aca="false">IF(H303="","",H303*I303)</f>
        <v/>
      </c>
      <c r="K303" s="42"/>
      <c r="L303" s="11" t="str">
        <f aca="false">IF(H303="","",IF(K303&lt;&gt;"",K303,H303*IFERROR(INDEX(O_Stok!$Q$6:$Q$85,MATCH(G303,O_Stok!$A$6:$A$85,0)),0)))</f>
        <v/>
      </c>
      <c r="M303" s="11" t="str">
        <f aca="false">IF(H303="","",J303-L303)</f>
        <v/>
      </c>
      <c r="N303" s="34" t="str">
        <f aca="false">IF(G303="","",IFERROR(INDEX(I_Master!$B$6:$B$85,MATCH(G303,I_Master!$A$6:$A$85,0)),"?"))</f>
        <v/>
      </c>
      <c r="O303" s="34" t="str">
        <f aca="false">IF(G303="","",IFERROR(INDEX(I_Master!$E$6:$E$85,MATCH(G303,I_Master!$A$6:$A$85,0)),"?"))</f>
        <v/>
      </c>
      <c r="P303" s="46" t="str">
        <f aca="false">IF(H303="","",IF(OR(A303&lt;I_Parameter!$C$5,A303&gt;I_Parameter!$C$6),0,IF(B303="Aktual",1,IF(AND(B303="Order",A303&gt;=I_Parameter!$C$4),1,0))))</f>
        <v/>
      </c>
    </row>
    <row r="304" customFormat="false" ht="15" hidden="false" customHeight="false" outlineLevel="0" collapsed="false">
      <c r="A304" s="37"/>
      <c r="B304" s="44"/>
      <c r="C304" s="44"/>
      <c r="D304" s="44"/>
      <c r="E304" s="44"/>
      <c r="F304" s="44"/>
      <c r="G304" s="34" t="str">
        <f aca="false">IF(F304&lt;&gt;"",F304,IF(E304="","",IFERROR(INDEX(I_Item!$C$6:$C$255,MATCH(E304,I_Item!$A$6:$A$255,0)),"KODE BARU")))</f>
        <v/>
      </c>
      <c r="H304" s="45"/>
      <c r="I304" s="42"/>
      <c r="J304" s="11" t="str">
        <f aca="false">IF(H304="","",H304*I304)</f>
        <v/>
      </c>
      <c r="K304" s="42"/>
      <c r="L304" s="11" t="str">
        <f aca="false">IF(H304="","",IF(K304&lt;&gt;"",K304,H304*IFERROR(INDEX(O_Stok!$Q$6:$Q$85,MATCH(G304,O_Stok!$A$6:$A$85,0)),0)))</f>
        <v/>
      </c>
      <c r="M304" s="11" t="str">
        <f aca="false">IF(H304="","",J304-L304)</f>
        <v/>
      </c>
      <c r="N304" s="34" t="str">
        <f aca="false">IF(G304="","",IFERROR(INDEX(I_Master!$B$6:$B$85,MATCH(G304,I_Master!$A$6:$A$85,0)),"?"))</f>
        <v/>
      </c>
      <c r="O304" s="34" t="str">
        <f aca="false">IF(G304="","",IFERROR(INDEX(I_Master!$E$6:$E$85,MATCH(G304,I_Master!$A$6:$A$85,0)),"?"))</f>
        <v/>
      </c>
      <c r="P304" s="46" t="str">
        <f aca="false">IF(H304="","",IF(OR(A304&lt;I_Parameter!$C$5,A304&gt;I_Parameter!$C$6),0,IF(B304="Aktual",1,IF(AND(B304="Order",A304&gt;=I_Parameter!$C$4),1,0))))</f>
        <v/>
      </c>
    </row>
    <row r="305" customFormat="false" ht="15" hidden="false" customHeight="false" outlineLevel="0" collapsed="false">
      <c r="A305" s="37"/>
      <c r="B305" s="44"/>
      <c r="C305" s="44"/>
      <c r="D305" s="44"/>
      <c r="E305" s="44"/>
      <c r="F305" s="44"/>
      <c r="G305" s="34" t="str">
        <f aca="false">IF(F305&lt;&gt;"",F305,IF(E305="","",IFERROR(INDEX(I_Item!$C$6:$C$255,MATCH(E305,I_Item!$A$6:$A$255,0)),"KODE BARU")))</f>
        <v/>
      </c>
      <c r="H305" s="45"/>
      <c r="I305" s="42"/>
      <c r="J305" s="11" t="str">
        <f aca="false">IF(H305="","",H305*I305)</f>
        <v/>
      </c>
      <c r="K305" s="42"/>
      <c r="L305" s="11" t="str">
        <f aca="false">IF(H305="","",IF(K305&lt;&gt;"",K305,H305*IFERROR(INDEX(O_Stok!$Q$6:$Q$85,MATCH(G305,O_Stok!$A$6:$A$85,0)),0)))</f>
        <v/>
      </c>
      <c r="M305" s="11" t="str">
        <f aca="false">IF(H305="","",J305-L305)</f>
        <v/>
      </c>
      <c r="N305" s="34" t="str">
        <f aca="false">IF(G305="","",IFERROR(INDEX(I_Master!$B$6:$B$85,MATCH(G305,I_Master!$A$6:$A$85,0)),"?"))</f>
        <v/>
      </c>
      <c r="O305" s="34" t="str">
        <f aca="false">IF(G305="","",IFERROR(INDEX(I_Master!$E$6:$E$85,MATCH(G305,I_Master!$A$6:$A$85,0)),"?"))</f>
        <v/>
      </c>
      <c r="P305" s="46" t="str">
        <f aca="false">IF(H305="","",IF(OR(A305&lt;I_Parameter!$C$5,A305&gt;I_Parameter!$C$6),0,IF(B305="Aktual",1,IF(AND(B305="Order",A305&gt;=I_Parameter!$C$4),1,0))))</f>
        <v/>
      </c>
    </row>
    <row r="306" customFormat="false" ht="15" hidden="false" customHeight="false" outlineLevel="0" collapsed="false">
      <c r="A306" s="37"/>
      <c r="B306" s="44"/>
      <c r="C306" s="44"/>
      <c r="D306" s="44"/>
      <c r="E306" s="44"/>
      <c r="F306" s="44"/>
      <c r="G306" s="34" t="str">
        <f aca="false">IF(F306&lt;&gt;"",F306,IF(E306="","",IFERROR(INDEX(I_Item!$C$6:$C$255,MATCH(E306,I_Item!$A$6:$A$255,0)),"KODE BARU")))</f>
        <v/>
      </c>
      <c r="H306" s="45"/>
      <c r="I306" s="42"/>
      <c r="J306" s="11" t="str">
        <f aca="false">IF(H306="","",H306*I306)</f>
        <v/>
      </c>
      <c r="K306" s="42"/>
      <c r="L306" s="11" t="str">
        <f aca="false">IF(H306="","",IF(K306&lt;&gt;"",K306,H306*IFERROR(INDEX(O_Stok!$Q$6:$Q$85,MATCH(G306,O_Stok!$A$6:$A$85,0)),0)))</f>
        <v/>
      </c>
      <c r="M306" s="11" t="str">
        <f aca="false">IF(H306="","",J306-L306)</f>
        <v/>
      </c>
      <c r="N306" s="34" t="str">
        <f aca="false">IF(G306="","",IFERROR(INDEX(I_Master!$B$6:$B$85,MATCH(G306,I_Master!$A$6:$A$85,0)),"?"))</f>
        <v/>
      </c>
      <c r="O306" s="34" t="str">
        <f aca="false">IF(G306="","",IFERROR(INDEX(I_Master!$E$6:$E$85,MATCH(G306,I_Master!$A$6:$A$85,0)),"?"))</f>
        <v/>
      </c>
      <c r="P306" s="46" t="str">
        <f aca="false">IF(H306="","",IF(OR(A306&lt;I_Parameter!$C$5,A306&gt;I_Parameter!$C$6),0,IF(B306="Aktual",1,IF(AND(B306="Order",A306&gt;=I_Parameter!$C$4),1,0))))</f>
        <v/>
      </c>
    </row>
    <row r="307" customFormat="false" ht="15" hidden="false" customHeight="false" outlineLevel="0" collapsed="false">
      <c r="A307" s="37"/>
      <c r="B307" s="44"/>
      <c r="C307" s="44"/>
      <c r="D307" s="44"/>
      <c r="E307" s="44"/>
      <c r="F307" s="44"/>
      <c r="G307" s="34" t="str">
        <f aca="false">IF(F307&lt;&gt;"",F307,IF(E307="","",IFERROR(INDEX(I_Item!$C$6:$C$255,MATCH(E307,I_Item!$A$6:$A$255,0)),"KODE BARU")))</f>
        <v/>
      </c>
      <c r="H307" s="45"/>
      <c r="I307" s="42"/>
      <c r="J307" s="11" t="str">
        <f aca="false">IF(H307="","",H307*I307)</f>
        <v/>
      </c>
      <c r="K307" s="42"/>
      <c r="L307" s="11" t="str">
        <f aca="false">IF(H307="","",IF(K307&lt;&gt;"",K307,H307*IFERROR(INDEX(O_Stok!$Q$6:$Q$85,MATCH(G307,O_Stok!$A$6:$A$85,0)),0)))</f>
        <v/>
      </c>
      <c r="M307" s="11" t="str">
        <f aca="false">IF(H307="","",J307-L307)</f>
        <v/>
      </c>
      <c r="N307" s="34" t="str">
        <f aca="false">IF(G307="","",IFERROR(INDEX(I_Master!$B$6:$B$85,MATCH(G307,I_Master!$A$6:$A$85,0)),"?"))</f>
        <v/>
      </c>
      <c r="O307" s="34" t="str">
        <f aca="false">IF(G307="","",IFERROR(INDEX(I_Master!$E$6:$E$85,MATCH(G307,I_Master!$A$6:$A$85,0)),"?"))</f>
        <v/>
      </c>
      <c r="P307" s="46" t="str">
        <f aca="false">IF(H307="","",IF(OR(A307&lt;I_Parameter!$C$5,A307&gt;I_Parameter!$C$6),0,IF(B307="Aktual",1,IF(AND(B307="Order",A307&gt;=I_Parameter!$C$4),1,0))))</f>
        <v/>
      </c>
    </row>
    <row r="308" customFormat="false" ht="15" hidden="false" customHeight="false" outlineLevel="0" collapsed="false">
      <c r="A308" s="37"/>
      <c r="B308" s="44"/>
      <c r="C308" s="44"/>
      <c r="D308" s="44"/>
      <c r="E308" s="44"/>
      <c r="F308" s="44"/>
      <c r="G308" s="34" t="str">
        <f aca="false">IF(F308&lt;&gt;"",F308,IF(E308="","",IFERROR(INDEX(I_Item!$C$6:$C$255,MATCH(E308,I_Item!$A$6:$A$255,0)),"KODE BARU")))</f>
        <v/>
      </c>
      <c r="H308" s="45"/>
      <c r="I308" s="42"/>
      <c r="J308" s="11" t="str">
        <f aca="false">IF(H308="","",H308*I308)</f>
        <v/>
      </c>
      <c r="K308" s="42"/>
      <c r="L308" s="11" t="str">
        <f aca="false">IF(H308="","",IF(K308&lt;&gt;"",K308,H308*IFERROR(INDEX(O_Stok!$Q$6:$Q$85,MATCH(G308,O_Stok!$A$6:$A$85,0)),0)))</f>
        <v/>
      </c>
      <c r="M308" s="11" t="str">
        <f aca="false">IF(H308="","",J308-L308)</f>
        <v/>
      </c>
      <c r="N308" s="34" t="str">
        <f aca="false">IF(G308="","",IFERROR(INDEX(I_Master!$B$6:$B$85,MATCH(G308,I_Master!$A$6:$A$85,0)),"?"))</f>
        <v/>
      </c>
      <c r="O308" s="34" t="str">
        <f aca="false">IF(G308="","",IFERROR(INDEX(I_Master!$E$6:$E$85,MATCH(G308,I_Master!$A$6:$A$85,0)),"?"))</f>
        <v/>
      </c>
      <c r="P308" s="46" t="str">
        <f aca="false">IF(H308="","",IF(OR(A308&lt;I_Parameter!$C$5,A308&gt;I_Parameter!$C$6),0,IF(B308="Aktual",1,IF(AND(B308="Order",A308&gt;=I_Parameter!$C$4),1,0))))</f>
        <v/>
      </c>
    </row>
    <row r="309" customFormat="false" ht="15" hidden="false" customHeight="false" outlineLevel="0" collapsed="false">
      <c r="A309" s="37"/>
      <c r="B309" s="44"/>
      <c r="C309" s="44"/>
      <c r="D309" s="44"/>
      <c r="E309" s="44"/>
      <c r="F309" s="44"/>
      <c r="G309" s="34" t="str">
        <f aca="false">IF(F309&lt;&gt;"",F309,IF(E309="","",IFERROR(INDEX(I_Item!$C$6:$C$255,MATCH(E309,I_Item!$A$6:$A$255,0)),"KODE BARU")))</f>
        <v/>
      </c>
      <c r="H309" s="45"/>
      <c r="I309" s="42"/>
      <c r="J309" s="11" t="str">
        <f aca="false">IF(H309="","",H309*I309)</f>
        <v/>
      </c>
      <c r="K309" s="42"/>
      <c r="L309" s="11" t="str">
        <f aca="false">IF(H309="","",IF(K309&lt;&gt;"",K309,H309*IFERROR(INDEX(O_Stok!$Q$6:$Q$85,MATCH(G309,O_Stok!$A$6:$A$85,0)),0)))</f>
        <v/>
      </c>
      <c r="M309" s="11" t="str">
        <f aca="false">IF(H309="","",J309-L309)</f>
        <v/>
      </c>
      <c r="N309" s="34" t="str">
        <f aca="false">IF(G309="","",IFERROR(INDEX(I_Master!$B$6:$B$85,MATCH(G309,I_Master!$A$6:$A$85,0)),"?"))</f>
        <v/>
      </c>
      <c r="O309" s="34" t="str">
        <f aca="false">IF(G309="","",IFERROR(INDEX(I_Master!$E$6:$E$85,MATCH(G309,I_Master!$A$6:$A$85,0)),"?"))</f>
        <v/>
      </c>
      <c r="P309" s="46" t="str">
        <f aca="false">IF(H309="","",IF(OR(A309&lt;I_Parameter!$C$5,A309&gt;I_Parameter!$C$6),0,IF(B309="Aktual",1,IF(AND(B309="Order",A309&gt;=I_Parameter!$C$4),1,0))))</f>
        <v/>
      </c>
    </row>
    <row r="310" customFormat="false" ht="15" hidden="false" customHeight="false" outlineLevel="0" collapsed="false">
      <c r="A310" s="37"/>
      <c r="B310" s="44"/>
      <c r="C310" s="44"/>
      <c r="D310" s="44"/>
      <c r="E310" s="44"/>
      <c r="F310" s="44"/>
      <c r="G310" s="34" t="str">
        <f aca="false">IF(F310&lt;&gt;"",F310,IF(E310="","",IFERROR(INDEX(I_Item!$C$6:$C$255,MATCH(E310,I_Item!$A$6:$A$255,0)),"KODE BARU")))</f>
        <v/>
      </c>
      <c r="H310" s="45"/>
      <c r="I310" s="42"/>
      <c r="J310" s="11" t="str">
        <f aca="false">IF(H310="","",H310*I310)</f>
        <v/>
      </c>
      <c r="K310" s="42"/>
      <c r="L310" s="11" t="str">
        <f aca="false">IF(H310="","",IF(K310&lt;&gt;"",K310,H310*IFERROR(INDEX(O_Stok!$Q$6:$Q$85,MATCH(G310,O_Stok!$A$6:$A$85,0)),0)))</f>
        <v/>
      </c>
      <c r="M310" s="11" t="str">
        <f aca="false">IF(H310="","",J310-L310)</f>
        <v/>
      </c>
      <c r="N310" s="34" t="str">
        <f aca="false">IF(G310="","",IFERROR(INDEX(I_Master!$B$6:$B$85,MATCH(G310,I_Master!$A$6:$A$85,0)),"?"))</f>
        <v/>
      </c>
      <c r="O310" s="34" t="str">
        <f aca="false">IF(G310="","",IFERROR(INDEX(I_Master!$E$6:$E$85,MATCH(G310,I_Master!$A$6:$A$85,0)),"?"))</f>
        <v/>
      </c>
      <c r="P310" s="46" t="str">
        <f aca="false">IF(H310="","",IF(OR(A310&lt;I_Parameter!$C$5,A310&gt;I_Parameter!$C$6),0,IF(B310="Aktual",1,IF(AND(B310="Order",A310&gt;=I_Parameter!$C$4),1,0))))</f>
        <v/>
      </c>
    </row>
    <row r="311" customFormat="false" ht="15" hidden="false" customHeight="false" outlineLevel="0" collapsed="false">
      <c r="A311" s="37"/>
      <c r="B311" s="44"/>
      <c r="C311" s="44"/>
      <c r="D311" s="44"/>
      <c r="E311" s="44"/>
      <c r="F311" s="44"/>
      <c r="G311" s="34" t="str">
        <f aca="false">IF(F311&lt;&gt;"",F311,IF(E311="","",IFERROR(INDEX(I_Item!$C$6:$C$255,MATCH(E311,I_Item!$A$6:$A$255,0)),"KODE BARU")))</f>
        <v/>
      </c>
      <c r="H311" s="45"/>
      <c r="I311" s="42"/>
      <c r="J311" s="11" t="str">
        <f aca="false">IF(H311="","",H311*I311)</f>
        <v/>
      </c>
      <c r="K311" s="42"/>
      <c r="L311" s="11" t="str">
        <f aca="false">IF(H311="","",IF(K311&lt;&gt;"",K311,H311*IFERROR(INDEX(O_Stok!$Q$6:$Q$85,MATCH(G311,O_Stok!$A$6:$A$85,0)),0)))</f>
        <v/>
      </c>
      <c r="M311" s="11" t="str">
        <f aca="false">IF(H311="","",J311-L311)</f>
        <v/>
      </c>
      <c r="N311" s="34" t="str">
        <f aca="false">IF(G311="","",IFERROR(INDEX(I_Master!$B$6:$B$85,MATCH(G311,I_Master!$A$6:$A$85,0)),"?"))</f>
        <v/>
      </c>
      <c r="O311" s="34" t="str">
        <f aca="false">IF(G311="","",IFERROR(INDEX(I_Master!$E$6:$E$85,MATCH(G311,I_Master!$A$6:$A$85,0)),"?"))</f>
        <v/>
      </c>
      <c r="P311" s="46" t="str">
        <f aca="false">IF(H311="","",IF(OR(A311&lt;I_Parameter!$C$5,A311&gt;I_Parameter!$C$6),0,IF(B311="Aktual",1,IF(AND(B311="Order",A311&gt;=I_Parameter!$C$4),1,0))))</f>
        <v/>
      </c>
    </row>
    <row r="312" customFormat="false" ht="15" hidden="false" customHeight="false" outlineLevel="0" collapsed="false">
      <c r="A312" s="37"/>
      <c r="B312" s="44"/>
      <c r="C312" s="44"/>
      <c r="D312" s="44"/>
      <c r="E312" s="44"/>
      <c r="F312" s="44"/>
      <c r="G312" s="34" t="str">
        <f aca="false">IF(F312&lt;&gt;"",F312,IF(E312="","",IFERROR(INDEX(I_Item!$C$6:$C$255,MATCH(E312,I_Item!$A$6:$A$255,0)),"KODE BARU")))</f>
        <v/>
      </c>
      <c r="H312" s="45"/>
      <c r="I312" s="42"/>
      <c r="J312" s="11" t="str">
        <f aca="false">IF(H312="","",H312*I312)</f>
        <v/>
      </c>
      <c r="K312" s="42"/>
      <c r="L312" s="11" t="str">
        <f aca="false">IF(H312="","",IF(K312&lt;&gt;"",K312,H312*IFERROR(INDEX(O_Stok!$Q$6:$Q$85,MATCH(G312,O_Stok!$A$6:$A$85,0)),0)))</f>
        <v/>
      </c>
      <c r="M312" s="11" t="str">
        <f aca="false">IF(H312="","",J312-L312)</f>
        <v/>
      </c>
      <c r="N312" s="34" t="str">
        <f aca="false">IF(G312="","",IFERROR(INDEX(I_Master!$B$6:$B$85,MATCH(G312,I_Master!$A$6:$A$85,0)),"?"))</f>
        <v/>
      </c>
      <c r="O312" s="34" t="str">
        <f aca="false">IF(G312="","",IFERROR(INDEX(I_Master!$E$6:$E$85,MATCH(G312,I_Master!$A$6:$A$85,0)),"?"))</f>
        <v/>
      </c>
      <c r="P312" s="46" t="str">
        <f aca="false">IF(H312="","",IF(OR(A312&lt;I_Parameter!$C$5,A312&gt;I_Parameter!$C$6),0,IF(B312="Aktual",1,IF(AND(B312="Order",A312&gt;=I_Parameter!$C$4),1,0))))</f>
        <v/>
      </c>
    </row>
    <row r="313" customFormat="false" ht="15" hidden="false" customHeight="false" outlineLevel="0" collapsed="false">
      <c r="A313" s="37"/>
      <c r="B313" s="44"/>
      <c r="C313" s="44"/>
      <c r="D313" s="44"/>
      <c r="E313" s="44"/>
      <c r="F313" s="44"/>
      <c r="G313" s="34" t="str">
        <f aca="false">IF(F313&lt;&gt;"",F313,IF(E313="","",IFERROR(INDEX(I_Item!$C$6:$C$255,MATCH(E313,I_Item!$A$6:$A$255,0)),"KODE BARU")))</f>
        <v/>
      </c>
      <c r="H313" s="45"/>
      <c r="I313" s="42"/>
      <c r="J313" s="11" t="str">
        <f aca="false">IF(H313="","",H313*I313)</f>
        <v/>
      </c>
      <c r="K313" s="42"/>
      <c r="L313" s="11" t="str">
        <f aca="false">IF(H313="","",IF(K313&lt;&gt;"",K313,H313*IFERROR(INDEX(O_Stok!$Q$6:$Q$85,MATCH(G313,O_Stok!$A$6:$A$85,0)),0)))</f>
        <v/>
      </c>
      <c r="M313" s="11" t="str">
        <f aca="false">IF(H313="","",J313-L313)</f>
        <v/>
      </c>
      <c r="N313" s="34" t="str">
        <f aca="false">IF(G313="","",IFERROR(INDEX(I_Master!$B$6:$B$85,MATCH(G313,I_Master!$A$6:$A$85,0)),"?"))</f>
        <v/>
      </c>
      <c r="O313" s="34" t="str">
        <f aca="false">IF(G313="","",IFERROR(INDEX(I_Master!$E$6:$E$85,MATCH(G313,I_Master!$A$6:$A$85,0)),"?"))</f>
        <v/>
      </c>
      <c r="P313" s="46" t="str">
        <f aca="false">IF(H313="","",IF(OR(A313&lt;I_Parameter!$C$5,A313&gt;I_Parameter!$C$6),0,IF(B313="Aktual",1,IF(AND(B313="Order",A313&gt;=I_Parameter!$C$4),1,0))))</f>
        <v/>
      </c>
    </row>
    <row r="314" customFormat="false" ht="15" hidden="false" customHeight="false" outlineLevel="0" collapsed="false">
      <c r="A314" s="37"/>
      <c r="B314" s="44"/>
      <c r="C314" s="44"/>
      <c r="D314" s="44"/>
      <c r="E314" s="44"/>
      <c r="F314" s="44"/>
      <c r="G314" s="34" t="str">
        <f aca="false">IF(F314&lt;&gt;"",F314,IF(E314="","",IFERROR(INDEX(I_Item!$C$6:$C$255,MATCH(E314,I_Item!$A$6:$A$255,0)),"KODE BARU")))</f>
        <v/>
      </c>
      <c r="H314" s="45"/>
      <c r="I314" s="42"/>
      <c r="J314" s="11" t="str">
        <f aca="false">IF(H314="","",H314*I314)</f>
        <v/>
      </c>
      <c r="K314" s="42"/>
      <c r="L314" s="11" t="str">
        <f aca="false">IF(H314="","",IF(K314&lt;&gt;"",K314,H314*IFERROR(INDEX(O_Stok!$Q$6:$Q$85,MATCH(G314,O_Stok!$A$6:$A$85,0)),0)))</f>
        <v/>
      </c>
      <c r="M314" s="11" t="str">
        <f aca="false">IF(H314="","",J314-L314)</f>
        <v/>
      </c>
      <c r="N314" s="34" t="str">
        <f aca="false">IF(G314="","",IFERROR(INDEX(I_Master!$B$6:$B$85,MATCH(G314,I_Master!$A$6:$A$85,0)),"?"))</f>
        <v/>
      </c>
      <c r="O314" s="34" t="str">
        <f aca="false">IF(G314="","",IFERROR(INDEX(I_Master!$E$6:$E$85,MATCH(G314,I_Master!$A$6:$A$85,0)),"?"))</f>
        <v/>
      </c>
      <c r="P314" s="46" t="str">
        <f aca="false">IF(H314="","",IF(OR(A314&lt;I_Parameter!$C$5,A314&gt;I_Parameter!$C$6),0,IF(B314="Aktual",1,IF(AND(B314="Order",A314&gt;=I_Parameter!$C$4),1,0))))</f>
        <v/>
      </c>
    </row>
    <row r="315" customFormat="false" ht="15" hidden="false" customHeight="false" outlineLevel="0" collapsed="false">
      <c r="A315" s="37"/>
      <c r="B315" s="44"/>
      <c r="C315" s="44"/>
      <c r="D315" s="44"/>
      <c r="E315" s="44"/>
      <c r="F315" s="44"/>
      <c r="G315" s="34" t="str">
        <f aca="false">IF(F315&lt;&gt;"",F315,IF(E315="","",IFERROR(INDEX(I_Item!$C$6:$C$255,MATCH(E315,I_Item!$A$6:$A$255,0)),"KODE BARU")))</f>
        <v/>
      </c>
      <c r="H315" s="45"/>
      <c r="I315" s="42"/>
      <c r="J315" s="11" t="str">
        <f aca="false">IF(H315="","",H315*I315)</f>
        <v/>
      </c>
      <c r="K315" s="42"/>
      <c r="L315" s="11" t="str">
        <f aca="false">IF(H315="","",IF(K315&lt;&gt;"",K315,H315*IFERROR(INDEX(O_Stok!$Q$6:$Q$85,MATCH(G315,O_Stok!$A$6:$A$85,0)),0)))</f>
        <v/>
      </c>
      <c r="M315" s="11" t="str">
        <f aca="false">IF(H315="","",J315-L315)</f>
        <v/>
      </c>
      <c r="N315" s="34" t="str">
        <f aca="false">IF(G315="","",IFERROR(INDEX(I_Master!$B$6:$B$85,MATCH(G315,I_Master!$A$6:$A$85,0)),"?"))</f>
        <v/>
      </c>
      <c r="O315" s="34" t="str">
        <f aca="false">IF(G315="","",IFERROR(INDEX(I_Master!$E$6:$E$85,MATCH(G315,I_Master!$A$6:$A$85,0)),"?"))</f>
        <v/>
      </c>
      <c r="P315" s="46" t="str">
        <f aca="false">IF(H315="","",IF(OR(A315&lt;I_Parameter!$C$5,A315&gt;I_Parameter!$C$6),0,IF(B315="Aktual",1,IF(AND(B315="Order",A315&gt;=I_Parameter!$C$4),1,0))))</f>
        <v/>
      </c>
    </row>
    <row r="316" customFormat="false" ht="15" hidden="false" customHeight="false" outlineLevel="0" collapsed="false">
      <c r="A316" s="37"/>
      <c r="B316" s="44"/>
      <c r="C316" s="44"/>
      <c r="D316" s="44"/>
      <c r="E316" s="44"/>
      <c r="F316" s="44"/>
      <c r="G316" s="34" t="str">
        <f aca="false">IF(F316&lt;&gt;"",F316,IF(E316="","",IFERROR(INDEX(I_Item!$C$6:$C$255,MATCH(E316,I_Item!$A$6:$A$255,0)),"KODE BARU")))</f>
        <v/>
      </c>
      <c r="H316" s="45"/>
      <c r="I316" s="42"/>
      <c r="J316" s="11" t="str">
        <f aca="false">IF(H316="","",H316*I316)</f>
        <v/>
      </c>
      <c r="K316" s="42"/>
      <c r="L316" s="11" t="str">
        <f aca="false">IF(H316="","",IF(K316&lt;&gt;"",K316,H316*IFERROR(INDEX(O_Stok!$Q$6:$Q$85,MATCH(G316,O_Stok!$A$6:$A$85,0)),0)))</f>
        <v/>
      </c>
      <c r="M316" s="11" t="str">
        <f aca="false">IF(H316="","",J316-L316)</f>
        <v/>
      </c>
      <c r="N316" s="34" t="str">
        <f aca="false">IF(G316="","",IFERROR(INDEX(I_Master!$B$6:$B$85,MATCH(G316,I_Master!$A$6:$A$85,0)),"?"))</f>
        <v/>
      </c>
      <c r="O316" s="34" t="str">
        <f aca="false">IF(G316="","",IFERROR(INDEX(I_Master!$E$6:$E$85,MATCH(G316,I_Master!$A$6:$A$85,0)),"?"))</f>
        <v/>
      </c>
      <c r="P316" s="46" t="str">
        <f aca="false">IF(H316="","",IF(OR(A316&lt;I_Parameter!$C$5,A316&gt;I_Parameter!$C$6),0,IF(B316="Aktual",1,IF(AND(B316="Order",A316&gt;=I_Parameter!$C$4),1,0))))</f>
        <v/>
      </c>
    </row>
    <row r="317" customFormat="false" ht="15" hidden="false" customHeight="false" outlineLevel="0" collapsed="false">
      <c r="A317" s="37"/>
      <c r="B317" s="44"/>
      <c r="C317" s="44"/>
      <c r="D317" s="44"/>
      <c r="E317" s="44"/>
      <c r="F317" s="44"/>
      <c r="G317" s="34" t="str">
        <f aca="false">IF(F317&lt;&gt;"",F317,IF(E317="","",IFERROR(INDEX(I_Item!$C$6:$C$255,MATCH(E317,I_Item!$A$6:$A$255,0)),"KODE BARU")))</f>
        <v/>
      </c>
      <c r="H317" s="45"/>
      <c r="I317" s="42"/>
      <c r="J317" s="11" t="str">
        <f aca="false">IF(H317="","",H317*I317)</f>
        <v/>
      </c>
      <c r="K317" s="42"/>
      <c r="L317" s="11" t="str">
        <f aca="false">IF(H317="","",IF(K317&lt;&gt;"",K317,H317*IFERROR(INDEX(O_Stok!$Q$6:$Q$85,MATCH(G317,O_Stok!$A$6:$A$85,0)),0)))</f>
        <v/>
      </c>
      <c r="M317" s="11" t="str">
        <f aca="false">IF(H317="","",J317-L317)</f>
        <v/>
      </c>
      <c r="N317" s="34" t="str">
        <f aca="false">IF(G317="","",IFERROR(INDEX(I_Master!$B$6:$B$85,MATCH(G317,I_Master!$A$6:$A$85,0)),"?"))</f>
        <v/>
      </c>
      <c r="O317" s="34" t="str">
        <f aca="false">IF(G317="","",IFERROR(INDEX(I_Master!$E$6:$E$85,MATCH(G317,I_Master!$A$6:$A$85,0)),"?"))</f>
        <v/>
      </c>
      <c r="P317" s="46" t="str">
        <f aca="false">IF(H317="","",IF(OR(A317&lt;I_Parameter!$C$5,A317&gt;I_Parameter!$C$6),0,IF(B317="Aktual",1,IF(AND(B317="Order",A317&gt;=I_Parameter!$C$4),1,0))))</f>
        <v/>
      </c>
    </row>
    <row r="318" customFormat="false" ht="15" hidden="false" customHeight="false" outlineLevel="0" collapsed="false">
      <c r="A318" s="37"/>
      <c r="B318" s="44"/>
      <c r="C318" s="44"/>
      <c r="D318" s="44"/>
      <c r="E318" s="44"/>
      <c r="F318" s="44"/>
      <c r="G318" s="34" t="str">
        <f aca="false">IF(F318&lt;&gt;"",F318,IF(E318="","",IFERROR(INDEX(I_Item!$C$6:$C$255,MATCH(E318,I_Item!$A$6:$A$255,0)),"KODE BARU")))</f>
        <v/>
      </c>
      <c r="H318" s="45"/>
      <c r="I318" s="42"/>
      <c r="J318" s="11" t="str">
        <f aca="false">IF(H318="","",H318*I318)</f>
        <v/>
      </c>
      <c r="K318" s="42"/>
      <c r="L318" s="11" t="str">
        <f aca="false">IF(H318="","",IF(K318&lt;&gt;"",K318,H318*IFERROR(INDEX(O_Stok!$Q$6:$Q$85,MATCH(G318,O_Stok!$A$6:$A$85,0)),0)))</f>
        <v/>
      </c>
      <c r="M318" s="11" t="str">
        <f aca="false">IF(H318="","",J318-L318)</f>
        <v/>
      </c>
      <c r="N318" s="34" t="str">
        <f aca="false">IF(G318="","",IFERROR(INDEX(I_Master!$B$6:$B$85,MATCH(G318,I_Master!$A$6:$A$85,0)),"?"))</f>
        <v/>
      </c>
      <c r="O318" s="34" t="str">
        <f aca="false">IF(G318="","",IFERROR(INDEX(I_Master!$E$6:$E$85,MATCH(G318,I_Master!$A$6:$A$85,0)),"?"))</f>
        <v/>
      </c>
      <c r="P318" s="46" t="str">
        <f aca="false">IF(H318="","",IF(OR(A318&lt;I_Parameter!$C$5,A318&gt;I_Parameter!$C$6),0,IF(B318="Aktual",1,IF(AND(B318="Order",A318&gt;=I_Parameter!$C$4),1,0))))</f>
        <v/>
      </c>
    </row>
    <row r="319" customFormat="false" ht="15" hidden="false" customHeight="false" outlineLevel="0" collapsed="false">
      <c r="A319" s="37"/>
      <c r="B319" s="44"/>
      <c r="C319" s="44"/>
      <c r="D319" s="44"/>
      <c r="E319" s="44"/>
      <c r="F319" s="44"/>
      <c r="G319" s="34" t="str">
        <f aca="false">IF(F319&lt;&gt;"",F319,IF(E319="","",IFERROR(INDEX(I_Item!$C$6:$C$255,MATCH(E319,I_Item!$A$6:$A$255,0)),"KODE BARU")))</f>
        <v/>
      </c>
      <c r="H319" s="45"/>
      <c r="I319" s="42"/>
      <c r="J319" s="11" t="str">
        <f aca="false">IF(H319="","",H319*I319)</f>
        <v/>
      </c>
      <c r="K319" s="42"/>
      <c r="L319" s="11" t="str">
        <f aca="false">IF(H319="","",IF(K319&lt;&gt;"",K319,H319*IFERROR(INDEX(O_Stok!$Q$6:$Q$85,MATCH(G319,O_Stok!$A$6:$A$85,0)),0)))</f>
        <v/>
      </c>
      <c r="M319" s="11" t="str">
        <f aca="false">IF(H319="","",J319-L319)</f>
        <v/>
      </c>
      <c r="N319" s="34" t="str">
        <f aca="false">IF(G319="","",IFERROR(INDEX(I_Master!$B$6:$B$85,MATCH(G319,I_Master!$A$6:$A$85,0)),"?"))</f>
        <v/>
      </c>
      <c r="O319" s="34" t="str">
        <f aca="false">IF(G319="","",IFERROR(INDEX(I_Master!$E$6:$E$85,MATCH(G319,I_Master!$A$6:$A$85,0)),"?"))</f>
        <v/>
      </c>
      <c r="P319" s="46" t="str">
        <f aca="false">IF(H319="","",IF(OR(A319&lt;I_Parameter!$C$5,A319&gt;I_Parameter!$C$6),0,IF(B319="Aktual",1,IF(AND(B319="Order",A319&gt;=I_Parameter!$C$4),1,0))))</f>
        <v/>
      </c>
    </row>
    <row r="320" customFormat="false" ht="15" hidden="false" customHeight="false" outlineLevel="0" collapsed="false">
      <c r="A320" s="37"/>
      <c r="B320" s="44"/>
      <c r="C320" s="44"/>
      <c r="D320" s="44"/>
      <c r="E320" s="44"/>
      <c r="F320" s="44"/>
      <c r="G320" s="34" t="str">
        <f aca="false">IF(F320&lt;&gt;"",F320,IF(E320="","",IFERROR(INDEX(I_Item!$C$6:$C$255,MATCH(E320,I_Item!$A$6:$A$255,0)),"KODE BARU")))</f>
        <v/>
      </c>
      <c r="H320" s="45"/>
      <c r="I320" s="42"/>
      <c r="J320" s="11" t="str">
        <f aca="false">IF(H320="","",H320*I320)</f>
        <v/>
      </c>
      <c r="K320" s="42"/>
      <c r="L320" s="11" t="str">
        <f aca="false">IF(H320="","",IF(K320&lt;&gt;"",K320,H320*IFERROR(INDEX(O_Stok!$Q$6:$Q$85,MATCH(G320,O_Stok!$A$6:$A$85,0)),0)))</f>
        <v/>
      </c>
      <c r="M320" s="11" t="str">
        <f aca="false">IF(H320="","",J320-L320)</f>
        <v/>
      </c>
      <c r="N320" s="34" t="str">
        <f aca="false">IF(G320="","",IFERROR(INDEX(I_Master!$B$6:$B$85,MATCH(G320,I_Master!$A$6:$A$85,0)),"?"))</f>
        <v/>
      </c>
      <c r="O320" s="34" t="str">
        <f aca="false">IF(G320="","",IFERROR(INDEX(I_Master!$E$6:$E$85,MATCH(G320,I_Master!$A$6:$A$85,0)),"?"))</f>
        <v/>
      </c>
      <c r="P320" s="46" t="str">
        <f aca="false">IF(H320="","",IF(OR(A320&lt;I_Parameter!$C$5,A320&gt;I_Parameter!$C$6),0,IF(B320="Aktual",1,IF(AND(B320="Order",A320&gt;=I_Parameter!$C$4),1,0))))</f>
        <v/>
      </c>
    </row>
    <row r="321" customFormat="false" ht="15" hidden="false" customHeight="false" outlineLevel="0" collapsed="false">
      <c r="A321" s="37"/>
      <c r="B321" s="44"/>
      <c r="C321" s="44"/>
      <c r="D321" s="44"/>
      <c r="E321" s="44"/>
      <c r="F321" s="44"/>
      <c r="G321" s="34" t="str">
        <f aca="false">IF(F321&lt;&gt;"",F321,IF(E321="","",IFERROR(INDEX(I_Item!$C$6:$C$255,MATCH(E321,I_Item!$A$6:$A$255,0)),"KODE BARU")))</f>
        <v/>
      </c>
      <c r="H321" s="45"/>
      <c r="I321" s="42"/>
      <c r="J321" s="11" t="str">
        <f aca="false">IF(H321="","",H321*I321)</f>
        <v/>
      </c>
      <c r="K321" s="42"/>
      <c r="L321" s="11" t="str">
        <f aca="false">IF(H321="","",IF(K321&lt;&gt;"",K321,H321*IFERROR(INDEX(O_Stok!$Q$6:$Q$85,MATCH(G321,O_Stok!$A$6:$A$85,0)),0)))</f>
        <v/>
      </c>
      <c r="M321" s="11" t="str">
        <f aca="false">IF(H321="","",J321-L321)</f>
        <v/>
      </c>
      <c r="N321" s="34" t="str">
        <f aca="false">IF(G321="","",IFERROR(INDEX(I_Master!$B$6:$B$85,MATCH(G321,I_Master!$A$6:$A$85,0)),"?"))</f>
        <v/>
      </c>
      <c r="O321" s="34" t="str">
        <f aca="false">IF(G321="","",IFERROR(INDEX(I_Master!$E$6:$E$85,MATCH(G321,I_Master!$A$6:$A$85,0)),"?"))</f>
        <v/>
      </c>
      <c r="P321" s="46" t="str">
        <f aca="false">IF(H321="","",IF(OR(A321&lt;I_Parameter!$C$5,A321&gt;I_Parameter!$C$6),0,IF(B321="Aktual",1,IF(AND(B321="Order",A321&gt;=I_Parameter!$C$4),1,0))))</f>
        <v/>
      </c>
    </row>
    <row r="322" customFormat="false" ht="15" hidden="false" customHeight="false" outlineLevel="0" collapsed="false">
      <c r="A322" s="37"/>
      <c r="B322" s="44"/>
      <c r="C322" s="44"/>
      <c r="D322" s="44"/>
      <c r="E322" s="44"/>
      <c r="F322" s="44"/>
      <c r="G322" s="34" t="str">
        <f aca="false">IF(F322&lt;&gt;"",F322,IF(E322="","",IFERROR(INDEX(I_Item!$C$6:$C$255,MATCH(E322,I_Item!$A$6:$A$255,0)),"KODE BARU")))</f>
        <v/>
      </c>
      <c r="H322" s="45"/>
      <c r="I322" s="42"/>
      <c r="J322" s="11" t="str">
        <f aca="false">IF(H322="","",H322*I322)</f>
        <v/>
      </c>
      <c r="K322" s="42"/>
      <c r="L322" s="11" t="str">
        <f aca="false">IF(H322="","",IF(K322&lt;&gt;"",K322,H322*IFERROR(INDEX(O_Stok!$Q$6:$Q$85,MATCH(G322,O_Stok!$A$6:$A$85,0)),0)))</f>
        <v/>
      </c>
      <c r="M322" s="11" t="str">
        <f aca="false">IF(H322="","",J322-L322)</f>
        <v/>
      </c>
      <c r="N322" s="34" t="str">
        <f aca="false">IF(G322="","",IFERROR(INDEX(I_Master!$B$6:$B$85,MATCH(G322,I_Master!$A$6:$A$85,0)),"?"))</f>
        <v/>
      </c>
      <c r="O322" s="34" t="str">
        <f aca="false">IF(G322="","",IFERROR(INDEX(I_Master!$E$6:$E$85,MATCH(G322,I_Master!$A$6:$A$85,0)),"?"))</f>
        <v/>
      </c>
      <c r="P322" s="46" t="str">
        <f aca="false">IF(H322="","",IF(OR(A322&lt;I_Parameter!$C$5,A322&gt;I_Parameter!$C$6),0,IF(B322="Aktual",1,IF(AND(B322="Order",A322&gt;=I_Parameter!$C$4),1,0))))</f>
        <v/>
      </c>
    </row>
    <row r="323" customFormat="false" ht="15" hidden="false" customHeight="false" outlineLevel="0" collapsed="false">
      <c r="A323" s="37"/>
      <c r="B323" s="44"/>
      <c r="C323" s="44"/>
      <c r="D323" s="44"/>
      <c r="E323" s="44"/>
      <c r="F323" s="44"/>
      <c r="G323" s="34" t="str">
        <f aca="false">IF(F323&lt;&gt;"",F323,IF(E323="","",IFERROR(INDEX(I_Item!$C$6:$C$255,MATCH(E323,I_Item!$A$6:$A$255,0)),"KODE BARU")))</f>
        <v/>
      </c>
      <c r="H323" s="45"/>
      <c r="I323" s="42"/>
      <c r="J323" s="11" t="str">
        <f aca="false">IF(H323="","",H323*I323)</f>
        <v/>
      </c>
      <c r="K323" s="42"/>
      <c r="L323" s="11" t="str">
        <f aca="false">IF(H323="","",IF(K323&lt;&gt;"",K323,H323*IFERROR(INDEX(O_Stok!$Q$6:$Q$85,MATCH(G323,O_Stok!$A$6:$A$85,0)),0)))</f>
        <v/>
      </c>
      <c r="M323" s="11" t="str">
        <f aca="false">IF(H323="","",J323-L323)</f>
        <v/>
      </c>
      <c r="N323" s="34" t="str">
        <f aca="false">IF(G323="","",IFERROR(INDEX(I_Master!$B$6:$B$85,MATCH(G323,I_Master!$A$6:$A$85,0)),"?"))</f>
        <v/>
      </c>
      <c r="O323" s="34" t="str">
        <f aca="false">IF(G323="","",IFERROR(INDEX(I_Master!$E$6:$E$85,MATCH(G323,I_Master!$A$6:$A$85,0)),"?"))</f>
        <v/>
      </c>
      <c r="P323" s="46" t="str">
        <f aca="false">IF(H323="","",IF(OR(A323&lt;I_Parameter!$C$5,A323&gt;I_Parameter!$C$6),0,IF(B323="Aktual",1,IF(AND(B323="Order",A323&gt;=I_Parameter!$C$4),1,0))))</f>
        <v/>
      </c>
    </row>
    <row r="324" customFormat="false" ht="15" hidden="false" customHeight="false" outlineLevel="0" collapsed="false">
      <c r="A324" s="37"/>
      <c r="B324" s="44"/>
      <c r="C324" s="44"/>
      <c r="D324" s="44"/>
      <c r="E324" s="44"/>
      <c r="F324" s="44"/>
      <c r="G324" s="34" t="str">
        <f aca="false">IF(F324&lt;&gt;"",F324,IF(E324="","",IFERROR(INDEX(I_Item!$C$6:$C$255,MATCH(E324,I_Item!$A$6:$A$255,0)),"KODE BARU")))</f>
        <v/>
      </c>
      <c r="H324" s="45"/>
      <c r="I324" s="42"/>
      <c r="J324" s="11" t="str">
        <f aca="false">IF(H324="","",H324*I324)</f>
        <v/>
      </c>
      <c r="K324" s="42"/>
      <c r="L324" s="11" t="str">
        <f aca="false">IF(H324="","",IF(K324&lt;&gt;"",K324,H324*IFERROR(INDEX(O_Stok!$Q$6:$Q$85,MATCH(G324,O_Stok!$A$6:$A$85,0)),0)))</f>
        <v/>
      </c>
      <c r="M324" s="11" t="str">
        <f aca="false">IF(H324="","",J324-L324)</f>
        <v/>
      </c>
      <c r="N324" s="34" t="str">
        <f aca="false">IF(G324="","",IFERROR(INDEX(I_Master!$B$6:$B$85,MATCH(G324,I_Master!$A$6:$A$85,0)),"?"))</f>
        <v/>
      </c>
      <c r="O324" s="34" t="str">
        <f aca="false">IF(G324="","",IFERROR(INDEX(I_Master!$E$6:$E$85,MATCH(G324,I_Master!$A$6:$A$85,0)),"?"))</f>
        <v/>
      </c>
      <c r="P324" s="46" t="str">
        <f aca="false">IF(H324="","",IF(OR(A324&lt;I_Parameter!$C$5,A324&gt;I_Parameter!$C$6),0,IF(B324="Aktual",1,IF(AND(B324="Order",A324&gt;=I_Parameter!$C$4),1,0))))</f>
        <v/>
      </c>
    </row>
    <row r="325" customFormat="false" ht="15" hidden="false" customHeight="false" outlineLevel="0" collapsed="false">
      <c r="A325" s="37"/>
      <c r="B325" s="44"/>
      <c r="C325" s="44"/>
      <c r="D325" s="44"/>
      <c r="E325" s="44"/>
      <c r="F325" s="44"/>
      <c r="G325" s="34" t="str">
        <f aca="false">IF(F325&lt;&gt;"",F325,IF(E325="","",IFERROR(INDEX(I_Item!$C$6:$C$255,MATCH(E325,I_Item!$A$6:$A$255,0)),"KODE BARU")))</f>
        <v/>
      </c>
      <c r="H325" s="45"/>
      <c r="I325" s="42"/>
      <c r="J325" s="11" t="str">
        <f aca="false">IF(H325="","",H325*I325)</f>
        <v/>
      </c>
      <c r="K325" s="42"/>
      <c r="L325" s="11" t="str">
        <f aca="false">IF(H325="","",IF(K325&lt;&gt;"",K325,H325*IFERROR(INDEX(O_Stok!$Q$6:$Q$85,MATCH(G325,O_Stok!$A$6:$A$85,0)),0)))</f>
        <v/>
      </c>
      <c r="M325" s="11" t="str">
        <f aca="false">IF(H325="","",J325-L325)</f>
        <v/>
      </c>
      <c r="N325" s="34" t="str">
        <f aca="false">IF(G325="","",IFERROR(INDEX(I_Master!$B$6:$B$85,MATCH(G325,I_Master!$A$6:$A$85,0)),"?"))</f>
        <v/>
      </c>
      <c r="O325" s="34" t="str">
        <f aca="false">IF(G325="","",IFERROR(INDEX(I_Master!$E$6:$E$85,MATCH(G325,I_Master!$A$6:$A$85,0)),"?"))</f>
        <v/>
      </c>
      <c r="P325" s="46" t="str">
        <f aca="false">IF(H325="","",IF(OR(A325&lt;I_Parameter!$C$5,A325&gt;I_Parameter!$C$6),0,IF(B325="Aktual",1,IF(AND(B325="Order",A325&gt;=I_Parameter!$C$4),1,0))))</f>
        <v/>
      </c>
    </row>
    <row r="326" customFormat="false" ht="15" hidden="false" customHeight="false" outlineLevel="0" collapsed="false">
      <c r="A326" s="37"/>
      <c r="B326" s="44"/>
      <c r="C326" s="44"/>
      <c r="D326" s="44"/>
      <c r="E326" s="44"/>
      <c r="F326" s="44"/>
      <c r="G326" s="34" t="str">
        <f aca="false">IF(F326&lt;&gt;"",F326,IF(E326="","",IFERROR(INDEX(I_Item!$C$6:$C$255,MATCH(E326,I_Item!$A$6:$A$255,0)),"KODE BARU")))</f>
        <v/>
      </c>
      <c r="H326" s="45"/>
      <c r="I326" s="42"/>
      <c r="J326" s="11" t="str">
        <f aca="false">IF(H326="","",H326*I326)</f>
        <v/>
      </c>
      <c r="K326" s="42"/>
      <c r="L326" s="11" t="str">
        <f aca="false">IF(H326="","",IF(K326&lt;&gt;"",K326,H326*IFERROR(INDEX(O_Stok!$Q$6:$Q$85,MATCH(G326,O_Stok!$A$6:$A$85,0)),0)))</f>
        <v/>
      </c>
      <c r="M326" s="11" t="str">
        <f aca="false">IF(H326="","",J326-L326)</f>
        <v/>
      </c>
      <c r="N326" s="34" t="str">
        <f aca="false">IF(G326="","",IFERROR(INDEX(I_Master!$B$6:$B$85,MATCH(G326,I_Master!$A$6:$A$85,0)),"?"))</f>
        <v/>
      </c>
      <c r="O326" s="34" t="str">
        <f aca="false">IF(G326="","",IFERROR(INDEX(I_Master!$E$6:$E$85,MATCH(G326,I_Master!$A$6:$A$85,0)),"?"))</f>
        <v/>
      </c>
      <c r="P326" s="46" t="str">
        <f aca="false">IF(H326="","",IF(OR(A326&lt;I_Parameter!$C$5,A326&gt;I_Parameter!$C$6),0,IF(B326="Aktual",1,IF(AND(B326="Order",A326&gt;=I_Parameter!$C$4),1,0))))</f>
        <v/>
      </c>
    </row>
    <row r="327" customFormat="false" ht="15" hidden="false" customHeight="false" outlineLevel="0" collapsed="false">
      <c r="A327" s="37"/>
      <c r="B327" s="44"/>
      <c r="C327" s="44"/>
      <c r="D327" s="44"/>
      <c r="E327" s="44"/>
      <c r="F327" s="44"/>
      <c r="G327" s="34" t="str">
        <f aca="false">IF(F327&lt;&gt;"",F327,IF(E327="","",IFERROR(INDEX(I_Item!$C$6:$C$255,MATCH(E327,I_Item!$A$6:$A$255,0)),"KODE BARU")))</f>
        <v/>
      </c>
      <c r="H327" s="45"/>
      <c r="I327" s="42"/>
      <c r="J327" s="11" t="str">
        <f aca="false">IF(H327="","",H327*I327)</f>
        <v/>
      </c>
      <c r="K327" s="42"/>
      <c r="L327" s="11" t="str">
        <f aca="false">IF(H327="","",IF(K327&lt;&gt;"",K327,H327*IFERROR(INDEX(O_Stok!$Q$6:$Q$85,MATCH(G327,O_Stok!$A$6:$A$85,0)),0)))</f>
        <v/>
      </c>
      <c r="M327" s="11" t="str">
        <f aca="false">IF(H327="","",J327-L327)</f>
        <v/>
      </c>
      <c r="N327" s="34" t="str">
        <f aca="false">IF(G327="","",IFERROR(INDEX(I_Master!$B$6:$B$85,MATCH(G327,I_Master!$A$6:$A$85,0)),"?"))</f>
        <v/>
      </c>
      <c r="O327" s="34" t="str">
        <f aca="false">IF(G327="","",IFERROR(INDEX(I_Master!$E$6:$E$85,MATCH(G327,I_Master!$A$6:$A$85,0)),"?"))</f>
        <v/>
      </c>
      <c r="P327" s="46" t="str">
        <f aca="false">IF(H327="","",IF(OR(A327&lt;I_Parameter!$C$5,A327&gt;I_Parameter!$C$6),0,IF(B327="Aktual",1,IF(AND(B327="Order",A327&gt;=I_Parameter!$C$4),1,0))))</f>
        <v/>
      </c>
    </row>
    <row r="328" customFormat="false" ht="15" hidden="false" customHeight="false" outlineLevel="0" collapsed="false">
      <c r="A328" s="37"/>
      <c r="B328" s="44"/>
      <c r="C328" s="44"/>
      <c r="D328" s="44"/>
      <c r="E328" s="44"/>
      <c r="F328" s="44"/>
      <c r="G328" s="34" t="str">
        <f aca="false">IF(F328&lt;&gt;"",F328,IF(E328="","",IFERROR(INDEX(I_Item!$C$6:$C$255,MATCH(E328,I_Item!$A$6:$A$255,0)),"KODE BARU")))</f>
        <v/>
      </c>
      <c r="H328" s="45"/>
      <c r="I328" s="42"/>
      <c r="J328" s="11" t="str">
        <f aca="false">IF(H328="","",H328*I328)</f>
        <v/>
      </c>
      <c r="K328" s="42"/>
      <c r="L328" s="11" t="str">
        <f aca="false">IF(H328="","",IF(K328&lt;&gt;"",K328,H328*IFERROR(INDEX(O_Stok!$Q$6:$Q$85,MATCH(G328,O_Stok!$A$6:$A$85,0)),0)))</f>
        <v/>
      </c>
      <c r="M328" s="11" t="str">
        <f aca="false">IF(H328="","",J328-L328)</f>
        <v/>
      </c>
      <c r="N328" s="34" t="str">
        <f aca="false">IF(G328="","",IFERROR(INDEX(I_Master!$B$6:$B$85,MATCH(G328,I_Master!$A$6:$A$85,0)),"?"))</f>
        <v/>
      </c>
      <c r="O328" s="34" t="str">
        <f aca="false">IF(G328="","",IFERROR(INDEX(I_Master!$E$6:$E$85,MATCH(G328,I_Master!$A$6:$A$85,0)),"?"))</f>
        <v/>
      </c>
      <c r="P328" s="46" t="str">
        <f aca="false">IF(H328="","",IF(OR(A328&lt;I_Parameter!$C$5,A328&gt;I_Parameter!$C$6),0,IF(B328="Aktual",1,IF(AND(B328="Order",A328&gt;=I_Parameter!$C$4),1,0))))</f>
        <v/>
      </c>
    </row>
    <row r="329" customFormat="false" ht="15" hidden="false" customHeight="false" outlineLevel="0" collapsed="false">
      <c r="A329" s="37"/>
      <c r="B329" s="44"/>
      <c r="C329" s="44"/>
      <c r="D329" s="44"/>
      <c r="E329" s="44"/>
      <c r="F329" s="44"/>
      <c r="G329" s="34" t="str">
        <f aca="false">IF(F329&lt;&gt;"",F329,IF(E329="","",IFERROR(INDEX(I_Item!$C$6:$C$255,MATCH(E329,I_Item!$A$6:$A$255,0)),"KODE BARU")))</f>
        <v/>
      </c>
      <c r="H329" s="45"/>
      <c r="I329" s="42"/>
      <c r="J329" s="11" t="str">
        <f aca="false">IF(H329="","",H329*I329)</f>
        <v/>
      </c>
      <c r="K329" s="42"/>
      <c r="L329" s="11" t="str">
        <f aca="false">IF(H329="","",IF(K329&lt;&gt;"",K329,H329*IFERROR(INDEX(O_Stok!$Q$6:$Q$85,MATCH(G329,O_Stok!$A$6:$A$85,0)),0)))</f>
        <v/>
      </c>
      <c r="M329" s="11" t="str">
        <f aca="false">IF(H329="","",J329-L329)</f>
        <v/>
      </c>
      <c r="N329" s="34" t="str">
        <f aca="false">IF(G329="","",IFERROR(INDEX(I_Master!$B$6:$B$85,MATCH(G329,I_Master!$A$6:$A$85,0)),"?"))</f>
        <v/>
      </c>
      <c r="O329" s="34" t="str">
        <f aca="false">IF(G329="","",IFERROR(INDEX(I_Master!$E$6:$E$85,MATCH(G329,I_Master!$A$6:$A$85,0)),"?"))</f>
        <v/>
      </c>
      <c r="P329" s="46" t="str">
        <f aca="false">IF(H329="","",IF(OR(A329&lt;I_Parameter!$C$5,A329&gt;I_Parameter!$C$6),0,IF(B329="Aktual",1,IF(AND(B329="Order",A329&gt;=I_Parameter!$C$4),1,0))))</f>
        <v/>
      </c>
    </row>
    <row r="330" customFormat="false" ht="15" hidden="false" customHeight="false" outlineLevel="0" collapsed="false">
      <c r="A330" s="37"/>
      <c r="B330" s="44"/>
      <c r="C330" s="44"/>
      <c r="D330" s="44"/>
      <c r="E330" s="44"/>
      <c r="F330" s="44"/>
      <c r="G330" s="34" t="str">
        <f aca="false">IF(F330&lt;&gt;"",F330,IF(E330="","",IFERROR(INDEX(I_Item!$C$6:$C$255,MATCH(E330,I_Item!$A$6:$A$255,0)),"KODE BARU")))</f>
        <v/>
      </c>
      <c r="H330" s="45"/>
      <c r="I330" s="42"/>
      <c r="J330" s="11" t="str">
        <f aca="false">IF(H330="","",H330*I330)</f>
        <v/>
      </c>
      <c r="K330" s="42"/>
      <c r="L330" s="11" t="str">
        <f aca="false">IF(H330="","",IF(K330&lt;&gt;"",K330,H330*IFERROR(INDEX(O_Stok!$Q$6:$Q$85,MATCH(G330,O_Stok!$A$6:$A$85,0)),0)))</f>
        <v/>
      </c>
      <c r="M330" s="11" t="str">
        <f aca="false">IF(H330="","",J330-L330)</f>
        <v/>
      </c>
      <c r="N330" s="34" t="str">
        <f aca="false">IF(G330="","",IFERROR(INDEX(I_Master!$B$6:$B$85,MATCH(G330,I_Master!$A$6:$A$85,0)),"?"))</f>
        <v/>
      </c>
      <c r="O330" s="34" t="str">
        <f aca="false">IF(G330="","",IFERROR(INDEX(I_Master!$E$6:$E$85,MATCH(G330,I_Master!$A$6:$A$85,0)),"?"))</f>
        <v/>
      </c>
      <c r="P330" s="46" t="str">
        <f aca="false">IF(H330="","",IF(OR(A330&lt;I_Parameter!$C$5,A330&gt;I_Parameter!$C$6),0,IF(B330="Aktual",1,IF(AND(B330="Order",A330&gt;=I_Parameter!$C$4),1,0))))</f>
        <v/>
      </c>
    </row>
    <row r="331" customFormat="false" ht="15" hidden="false" customHeight="false" outlineLevel="0" collapsed="false">
      <c r="A331" s="37"/>
      <c r="B331" s="44"/>
      <c r="C331" s="44"/>
      <c r="D331" s="44"/>
      <c r="E331" s="44"/>
      <c r="F331" s="44"/>
      <c r="G331" s="34" t="str">
        <f aca="false">IF(F331&lt;&gt;"",F331,IF(E331="","",IFERROR(INDEX(I_Item!$C$6:$C$255,MATCH(E331,I_Item!$A$6:$A$255,0)),"KODE BARU")))</f>
        <v/>
      </c>
      <c r="H331" s="45"/>
      <c r="I331" s="42"/>
      <c r="J331" s="11" t="str">
        <f aca="false">IF(H331="","",H331*I331)</f>
        <v/>
      </c>
      <c r="K331" s="42"/>
      <c r="L331" s="11" t="str">
        <f aca="false">IF(H331="","",IF(K331&lt;&gt;"",K331,H331*IFERROR(INDEX(O_Stok!$Q$6:$Q$85,MATCH(G331,O_Stok!$A$6:$A$85,0)),0)))</f>
        <v/>
      </c>
      <c r="M331" s="11" t="str">
        <f aca="false">IF(H331="","",J331-L331)</f>
        <v/>
      </c>
      <c r="N331" s="34" t="str">
        <f aca="false">IF(G331="","",IFERROR(INDEX(I_Master!$B$6:$B$85,MATCH(G331,I_Master!$A$6:$A$85,0)),"?"))</f>
        <v/>
      </c>
      <c r="O331" s="34" t="str">
        <f aca="false">IF(G331="","",IFERROR(INDEX(I_Master!$E$6:$E$85,MATCH(G331,I_Master!$A$6:$A$85,0)),"?"))</f>
        <v/>
      </c>
      <c r="P331" s="46" t="str">
        <f aca="false">IF(H331="","",IF(OR(A331&lt;I_Parameter!$C$5,A331&gt;I_Parameter!$C$6),0,IF(B331="Aktual",1,IF(AND(B331="Order",A331&gt;=I_Parameter!$C$4),1,0))))</f>
        <v/>
      </c>
    </row>
    <row r="332" customFormat="false" ht="15" hidden="false" customHeight="false" outlineLevel="0" collapsed="false">
      <c r="A332" s="37"/>
      <c r="B332" s="44"/>
      <c r="C332" s="44"/>
      <c r="D332" s="44"/>
      <c r="E332" s="44"/>
      <c r="F332" s="44"/>
      <c r="G332" s="34" t="str">
        <f aca="false">IF(F332&lt;&gt;"",F332,IF(E332="","",IFERROR(INDEX(I_Item!$C$6:$C$255,MATCH(E332,I_Item!$A$6:$A$255,0)),"KODE BARU")))</f>
        <v/>
      </c>
      <c r="H332" s="45"/>
      <c r="I332" s="42"/>
      <c r="J332" s="11" t="str">
        <f aca="false">IF(H332="","",H332*I332)</f>
        <v/>
      </c>
      <c r="K332" s="42"/>
      <c r="L332" s="11" t="str">
        <f aca="false">IF(H332="","",IF(K332&lt;&gt;"",K332,H332*IFERROR(INDEX(O_Stok!$Q$6:$Q$85,MATCH(G332,O_Stok!$A$6:$A$85,0)),0)))</f>
        <v/>
      </c>
      <c r="M332" s="11" t="str">
        <f aca="false">IF(H332="","",J332-L332)</f>
        <v/>
      </c>
      <c r="N332" s="34" t="str">
        <f aca="false">IF(G332="","",IFERROR(INDEX(I_Master!$B$6:$B$85,MATCH(G332,I_Master!$A$6:$A$85,0)),"?"))</f>
        <v/>
      </c>
      <c r="O332" s="34" t="str">
        <f aca="false">IF(G332="","",IFERROR(INDEX(I_Master!$E$6:$E$85,MATCH(G332,I_Master!$A$6:$A$85,0)),"?"))</f>
        <v/>
      </c>
      <c r="P332" s="46" t="str">
        <f aca="false">IF(H332="","",IF(OR(A332&lt;I_Parameter!$C$5,A332&gt;I_Parameter!$C$6),0,IF(B332="Aktual",1,IF(AND(B332="Order",A332&gt;=I_Parameter!$C$4),1,0))))</f>
        <v/>
      </c>
    </row>
    <row r="333" customFormat="false" ht="15" hidden="false" customHeight="false" outlineLevel="0" collapsed="false">
      <c r="A333" s="37"/>
      <c r="B333" s="44"/>
      <c r="C333" s="44"/>
      <c r="D333" s="44"/>
      <c r="E333" s="44"/>
      <c r="F333" s="44"/>
      <c r="G333" s="34" t="str">
        <f aca="false">IF(F333&lt;&gt;"",F333,IF(E333="","",IFERROR(INDEX(I_Item!$C$6:$C$255,MATCH(E333,I_Item!$A$6:$A$255,0)),"KODE BARU")))</f>
        <v/>
      </c>
      <c r="H333" s="45"/>
      <c r="I333" s="42"/>
      <c r="J333" s="11" t="str">
        <f aca="false">IF(H333="","",H333*I333)</f>
        <v/>
      </c>
      <c r="K333" s="42"/>
      <c r="L333" s="11" t="str">
        <f aca="false">IF(H333="","",IF(K333&lt;&gt;"",K333,H333*IFERROR(INDEX(O_Stok!$Q$6:$Q$85,MATCH(G333,O_Stok!$A$6:$A$85,0)),0)))</f>
        <v/>
      </c>
      <c r="M333" s="11" t="str">
        <f aca="false">IF(H333="","",J333-L333)</f>
        <v/>
      </c>
      <c r="N333" s="34" t="str">
        <f aca="false">IF(G333="","",IFERROR(INDEX(I_Master!$B$6:$B$85,MATCH(G333,I_Master!$A$6:$A$85,0)),"?"))</f>
        <v/>
      </c>
      <c r="O333" s="34" t="str">
        <f aca="false">IF(G333="","",IFERROR(INDEX(I_Master!$E$6:$E$85,MATCH(G333,I_Master!$A$6:$A$85,0)),"?"))</f>
        <v/>
      </c>
      <c r="P333" s="46" t="str">
        <f aca="false">IF(H333="","",IF(OR(A333&lt;I_Parameter!$C$5,A333&gt;I_Parameter!$C$6),0,IF(B333="Aktual",1,IF(AND(B333="Order",A333&gt;=I_Parameter!$C$4),1,0))))</f>
        <v/>
      </c>
    </row>
    <row r="334" customFormat="false" ht="15" hidden="false" customHeight="false" outlineLevel="0" collapsed="false">
      <c r="A334" s="37"/>
      <c r="B334" s="44"/>
      <c r="C334" s="44"/>
      <c r="D334" s="44"/>
      <c r="E334" s="44"/>
      <c r="F334" s="44"/>
      <c r="G334" s="34" t="str">
        <f aca="false">IF(F334&lt;&gt;"",F334,IF(E334="","",IFERROR(INDEX(I_Item!$C$6:$C$255,MATCH(E334,I_Item!$A$6:$A$255,0)),"KODE BARU")))</f>
        <v/>
      </c>
      <c r="H334" s="45"/>
      <c r="I334" s="42"/>
      <c r="J334" s="11" t="str">
        <f aca="false">IF(H334="","",H334*I334)</f>
        <v/>
      </c>
      <c r="K334" s="42"/>
      <c r="L334" s="11" t="str">
        <f aca="false">IF(H334="","",IF(K334&lt;&gt;"",K334,H334*IFERROR(INDEX(O_Stok!$Q$6:$Q$85,MATCH(G334,O_Stok!$A$6:$A$85,0)),0)))</f>
        <v/>
      </c>
      <c r="M334" s="11" t="str">
        <f aca="false">IF(H334="","",J334-L334)</f>
        <v/>
      </c>
      <c r="N334" s="34" t="str">
        <f aca="false">IF(G334="","",IFERROR(INDEX(I_Master!$B$6:$B$85,MATCH(G334,I_Master!$A$6:$A$85,0)),"?"))</f>
        <v/>
      </c>
      <c r="O334" s="34" t="str">
        <f aca="false">IF(G334="","",IFERROR(INDEX(I_Master!$E$6:$E$85,MATCH(G334,I_Master!$A$6:$A$85,0)),"?"))</f>
        <v/>
      </c>
      <c r="P334" s="46" t="str">
        <f aca="false">IF(H334="","",IF(OR(A334&lt;I_Parameter!$C$5,A334&gt;I_Parameter!$C$6),0,IF(B334="Aktual",1,IF(AND(B334="Order",A334&gt;=I_Parameter!$C$4),1,0))))</f>
        <v/>
      </c>
    </row>
    <row r="335" customFormat="false" ht="15" hidden="false" customHeight="false" outlineLevel="0" collapsed="false">
      <c r="A335" s="37"/>
      <c r="B335" s="44"/>
      <c r="C335" s="44"/>
      <c r="D335" s="44"/>
      <c r="E335" s="44"/>
      <c r="F335" s="44"/>
      <c r="G335" s="34" t="str">
        <f aca="false">IF(F335&lt;&gt;"",F335,IF(E335="","",IFERROR(INDEX(I_Item!$C$6:$C$255,MATCH(E335,I_Item!$A$6:$A$255,0)),"KODE BARU")))</f>
        <v/>
      </c>
      <c r="H335" s="45"/>
      <c r="I335" s="42"/>
      <c r="J335" s="11" t="str">
        <f aca="false">IF(H335="","",H335*I335)</f>
        <v/>
      </c>
      <c r="K335" s="42"/>
      <c r="L335" s="11" t="str">
        <f aca="false">IF(H335="","",IF(K335&lt;&gt;"",K335,H335*IFERROR(INDEX(O_Stok!$Q$6:$Q$85,MATCH(G335,O_Stok!$A$6:$A$85,0)),0)))</f>
        <v/>
      </c>
      <c r="M335" s="11" t="str">
        <f aca="false">IF(H335="","",J335-L335)</f>
        <v/>
      </c>
      <c r="N335" s="34" t="str">
        <f aca="false">IF(G335="","",IFERROR(INDEX(I_Master!$B$6:$B$85,MATCH(G335,I_Master!$A$6:$A$85,0)),"?"))</f>
        <v/>
      </c>
      <c r="O335" s="34" t="str">
        <f aca="false">IF(G335="","",IFERROR(INDEX(I_Master!$E$6:$E$85,MATCH(G335,I_Master!$A$6:$A$85,0)),"?"))</f>
        <v/>
      </c>
      <c r="P335" s="46" t="str">
        <f aca="false">IF(H335="","",IF(OR(A335&lt;I_Parameter!$C$5,A335&gt;I_Parameter!$C$6),0,IF(B335="Aktual",1,IF(AND(B335="Order",A335&gt;=I_Parameter!$C$4),1,0))))</f>
        <v/>
      </c>
    </row>
    <row r="336" customFormat="false" ht="15" hidden="false" customHeight="false" outlineLevel="0" collapsed="false">
      <c r="A336" s="37"/>
      <c r="B336" s="44"/>
      <c r="C336" s="44"/>
      <c r="D336" s="44"/>
      <c r="E336" s="44"/>
      <c r="F336" s="44"/>
      <c r="G336" s="34" t="str">
        <f aca="false">IF(F336&lt;&gt;"",F336,IF(E336="","",IFERROR(INDEX(I_Item!$C$6:$C$255,MATCH(E336,I_Item!$A$6:$A$255,0)),"KODE BARU")))</f>
        <v/>
      </c>
      <c r="H336" s="45"/>
      <c r="I336" s="42"/>
      <c r="J336" s="11" t="str">
        <f aca="false">IF(H336="","",H336*I336)</f>
        <v/>
      </c>
      <c r="K336" s="42"/>
      <c r="L336" s="11" t="str">
        <f aca="false">IF(H336="","",IF(K336&lt;&gt;"",K336,H336*IFERROR(INDEX(O_Stok!$Q$6:$Q$85,MATCH(G336,O_Stok!$A$6:$A$85,0)),0)))</f>
        <v/>
      </c>
      <c r="M336" s="11" t="str">
        <f aca="false">IF(H336="","",J336-L336)</f>
        <v/>
      </c>
      <c r="N336" s="34" t="str">
        <f aca="false">IF(G336="","",IFERROR(INDEX(I_Master!$B$6:$B$85,MATCH(G336,I_Master!$A$6:$A$85,0)),"?"))</f>
        <v/>
      </c>
      <c r="O336" s="34" t="str">
        <f aca="false">IF(G336="","",IFERROR(INDEX(I_Master!$E$6:$E$85,MATCH(G336,I_Master!$A$6:$A$85,0)),"?"))</f>
        <v/>
      </c>
      <c r="P336" s="46" t="str">
        <f aca="false">IF(H336="","",IF(OR(A336&lt;I_Parameter!$C$5,A336&gt;I_Parameter!$C$6),0,IF(B336="Aktual",1,IF(AND(B336="Order",A336&gt;=I_Parameter!$C$4),1,0))))</f>
        <v/>
      </c>
    </row>
    <row r="337" customFormat="false" ht="15" hidden="false" customHeight="false" outlineLevel="0" collapsed="false">
      <c r="A337" s="37"/>
      <c r="B337" s="44"/>
      <c r="C337" s="44"/>
      <c r="D337" s="44"/>
      <c r="E337" s="44"/>
      <c r="F337" s="44"/>
      <c r="G337" s="34" t="str">
        <f aca="false">IF(F337&lt;&gt;"",F337,IF(E337="","",IFERROR(INDEX(I_Item!$C$6:$C$255,MATCH(E337,I_Item!$A$6:$A$255,0)),"KODE BARU")))</f>
        <v/>
      </c>
      <c r="H337" s="45"/>
      <c r="I337" s="42"/>
      <c r="J337" s="11" t="str">
        <f aca="false">IF(H337="","",H337*I337)</f>
        <v/>
      </c>
      <c r="K337" s="42"/>
      <c r="L337" s="11" t="str">
        <f aca="false">IF(H337="","",IF(K337&lt;&gt;"",K337,H337*IFERROR(INDEX(O_Stok!$Q$6:$Q$85,MATCH(G337,O_Stok!$A$6:$A$85,0)),0)))</f>
        <v/>
      </c>
      <c r="M337" s="11" t="str">
        <f aca="false">IF(H337="","",J337-L337)</f>
        <v/>
      </c>
      <c r="N337" s="34" t="str">
        <f aca="false">IF(G337="","",IFERROR(INDEX(I_Master!$B$6:$B$85,MATCH(G337,I_Master!$A$6:$A$85,0)),"?"))</f>
        <v/>
      </c>
      <c r="O337" s="34" t="str">
        <f aca="false">IF(G337="","",IFERROR(INDEX(I_Master!$E$6:$E$85,MATCH(G337,I_Master!$A$6:$A$85,0)),"?"))</f>
        <v/>
      </c>
      <c r="P337" s="46" t="str">
        <f aca="false">IF(H337="","",IF(OR(A337&lt;I_Parameter!$C$5,A337&gt;I_Parameter!$C$6),0,IF(B337="Aktual",1,IF(AND(B337="Order",A337&gt;=I_Parameter!$C$4),1,0))))</f>
        <v/>
      </c>
    </row>
    <row r="338" customFormat="false" ht="15" hidden="false" customHeight="false" outlineLevel="0" collapsed="false">
      <c r="A338" s="37"/>
      <c r="B338" s="44"/>
      <c r="C338" s="44"/>
      <c r="D338" s="44"/>
      <c r="E338" s="44"/>
      <c r="F338" s="44"/>
      <c r="G338" s="34" t="str">
        <f aca="false">IF(F338&lt;&gt;"",F338,IF(E338="","",IFERROR(INDEX(I_Item!$C$6:$C$255,MATCH(E338,I_Item!$A$6:$A$255,0)),"KODE BARU")))</f>
        <v/>
      </c>
      <c r="H338" s="45"/>
      <c r="I338" s="42"/>
      <c r="J338" s="11" t="str">
        <f aca="false">IF(H338="","",H338*I338)</f>
        <v/>
      </c>
      <c r="K338" s="42"/>
      <c r="L338" s="11" t="str">
        <f aca="false">IF(H338="","",IF(K338&lt;&gt;"",K338,H338*IFERROR(INDEX(O_Stok!$Q$6:$Q$85,MATCH(G338,O_Stok!$A$6:$A$85,0)),0)))</f>
        <v/>
      </c>
      <c r="M338" s="11" t="str">
        <f aca="false">IF(H338="","",J338-L338)</f>
        <v/>
      </c>
      <c r="N338" s="34" t="str">
        <f aca="false">IF(G338="","",IFERROR(INDEX(I_Master!$B$6:$B$85,MATCH(G338,I_Master!$A$6:$A$85,0)),"?"))</f>
        <v/>
      </c>
      <c r="O338" s="34" t="str">
        <f aca="false">IF(G338="","",IFERROR(INDEX(I_Master!$E$6:$E$85,MATCH(G338,I_Master!$A$6:$A$85,0)),"?"))</f>
        <v/>
      </c>
      <c r="P338" s="46" t="str">
        <f aca="false">IF(H338="","",IF(OR(A338&lt;I_Parameter!$C$5,A338&gt;I_Parameter!$C$6),0,IF(B338="Aktual",1,IF(AND(B338="Order",A338&gt;=I_Parameter!$C$4),1,0))))</f>
        <v/>
      </c>
    </row>
    <row r="339" customFormat="false" ht="15" hidden="false" customHeight="false" outlineLevel="0" collapsed="false">
      <c r="A339" s="37"/>
      <c r="B339" s="44"/>
      <c r="C339" s="44"/>
      <c r="D339" s="44"/>
      <c r="E339" s="44"/>
      <c r="F339" s="44"/>
      <c r="G339" s="34" t="str">
        <f aca="false">IF(F339&lt;&gt;"",F339,IF(E339="","",IFERROR(INDEX(I_Item!$C$6:$C$255,MATCH(E339,I_Item!$A$6:$A$255,0)),"KODE BARU")))</f>
        <v/>
      </c>
      <c r="H339" s="45"/>
      <c r="I339" s="42"/>
      <c r="J339" s="11" t="str">
        <f aca="false">IF(H339="","",H339*I339)</f>
        <v/>
      </c>
      <c r="K339" s="42"/>
      <c r="L339" s="11" t="str">
        <f aca="false">IF(H339="","",IF(K339&lt;&gt;"",K339,H339*IFERROR(INDEX(O_Stok!$Q$6:$Q$85,MATCH(G339,O_Stok!$A$6:$A$85,0)),0)))</f>
        <v/>
      </c>
      <c r="M339" s="11" t="str">
        <f aca="false">IF(H339="","",J339-L339)</f>
        <v/>
      </c>
      <c r="N339" s="34" t="str">
        <f aca="false">IF(G339="","",IFERROR(INDEX(I_Master!$B$6:$B$85,MATCH(G339,I_Master!$A$6:$A$85,0)),"?"))</f>
        <v/>
      </c>
      <c r="O339" s="34" t="str">
        <f aca="false">IF(G339="","",IFERROR(INDEX(I_Master!$E$6:$E$85,MATCH(G339,I_Master!$A$6:$A$85,0)),"?"))</f>
        <v/>
      </c>
      <c r="P339" s="46" t="str">
        <f aca="false">IF(H339="","",IF(OR(A339&lt;I_Parameter!$C$5,A339&gt;I_Parameter!$C$6),0,IF(B339="Aktual",1,IF(AND(B339="Order",A339&gt;=I_Parameter!$C$4),1,0))))</f>
        <v/>
      </c>
    </row>
    <row r="340" customFormat="false" ht="15" hidden="false" customHeight="false" outlineLevel="0" collapsed="false">
      <c r="A340" s="37"/>
      <c r="B340" s="44"/>
      <c r="C340" s="44"/>
      <c r="D340" s="44"/>
      <c r="E340" s="44"/>
      <c r="F340" s="44"/>
      <c r="G340" s="34" t="str">
        <f aca="false">IF(F340&lt;&gt;"",F340,IF(E340="","",IFERROR(INDEX(I_Item!$C$6:$C$255,MATCH(E340,I_Item!$A$6:$A$255,0)),"KODE BARU")))</f>
        <v/>
      </c>
      <c r="H340" s="45"/>
      <c r="I340" s="42"/>
      <c r="J340" s="11" t="str">
        <f aca="false">IF(H340="","",H340*I340)</f>
        <v/>
      </c>
      <c r="K340" s="42"/>
      <c r="L340" s="11" t="str">
        <f aca="false">IF(H340="","",IF(K340&lt;&gt;"",K340,H340*IFERROR(INDEX(O_Stok!$Q$6:$Q$85,MATCH(G340,O_Stok!$A$6:$A$85,0)),0)))</f>
        <v/>
      </c>
      <c r="M340" s="11" t="str">
        <f aca="false">IF(H340="","",J340-L340)</f>
        <v/>
      </c>
      <c r="N340" s="34" t="str">
        <f aca="false">IF(G340="","",IFERROR(INDEX(I_Master!$B$6:$B$85,MATCH(G340,I_Master!$A$6:$A$85,0)),"?"))</f>
        <v/>
      </c>
      <c r="O340" s="34" t="str">
        <f aca="false">IF(G340="","",IFERROR(INDEX(I_Master!$E$6:$E$85,MATCH(G340,I_Master!$A$6:$A$85,0)),"?"))</f>
        <v/>
      </c>
      <c r="P340" s="46" t="str">
        <f aca="false">IF(H340="","",IF(OR(A340&lt;I_Parameter!$C$5,A340&gt;I_Parameter!$C$6),0,IF(B340="Aktual",1,IF(AND(B340="Order",A340&gt;=I_Parameter!$C$4),1,0))))</f>
        <v/>
      </c>
    </row>
    <row r="341" customFormat="false" ht="15" hidden="false" customHeight="false" outlineLevel="0" collapsed="false">
      <c r="A341" s="37"/>
      <c r="B341" s="44"/>
      <c r="C341" s="44"/>
      <c r="D341" s="44"/>
      <c r="E341" s="44"/>
      <c r="F341" s="44"/>
      <c r="G341" s="34" t="str">
        <f aca="false">IF(F341&lt;&gt;"",F341,IF(E341="","",IFERROR(INDEX(I_Item!$C$6:$C$255,MATCH(E341,I_Item!$A$6:$A$255,0)),"KODE BARU")))</f>
        <v/>
      </c>
      <c r="H341" s="45"/>
      <c r="I341" s="42"/>
      <c r="J341" s="11" t="str">
        <f aca="false">IF(H341="","",H341*I341)</f>
        <v/>
      </c>
      <c r="K341" s="42"/>
      <c r="L341" s="11" t="str">
        <f aca="false">IF(H341="","",IF(K341&lt;&gt;"",K341,H341*IFERROR(INDEX(O_Stok!$Q$6:$Q$85,MATCH(G341,O_Stok!$A$6:$A$85,0)),0)))</f>
        <v/>
      </c>
      <c r="M341" s="11" t="str">
        <f aca="false">IF(H341="","",J341-L341)</f>
        <v/>
      </c>
      <c r="N341" s="34" t="str">
        <f aca="false">IF(G341="","",IFERROR(INDEX(I_Master!$B$6:$B$85,MATCH(G341,I_Master!$A$6:$A$85,0)),"?"))</f>
        <v/>
      </c>
      <c r="O341" s="34" t="str">
        <f aca="false">IF(G341="","",IFERROR(INDEX(I_Master!$E$6:$E$85,MATCH(G341,I_Master!$A$6:$A$85,0)),"?"))</f>
        <v/>
      </c>
      <c r="P341" s="46" t="str">
        <f aca="false">IF(H341="","",IF(OR(A341&lt;I_Parameter!$C$5,A341&gt;I_Parameter!$C$6),0,IF(B341="Aktual",1,IF(AND(B341="Order",A341&gt;=I_Parameter!$C$4),1,0))))</f>
        <v/>
      </c>
    </row>
    <row r="342" customFormat="false" ht="15" hidden="false" customHeight="false" outlineLevel="0" collapsed="false">
      <c r="A342" s="37"/>
      <c r="B342" s="44"/>
      <c r="C342" s="44"/>
      <c r="D342" s="44"/>
      <c r="E342" s="44"/>
      <c r="F342" s="44"/>
      <c r="G342" s="34" t="str">
        <f aca="false">IF(F342&lt;&gt;"",F342,IF(E342="","",IFERROR(INDEX(I_Item!$C$6:$C$255,MATCH(E342,I_Item!$A$6:$A$255,0)),"KODE BARU")))</f>
        <v/>
      </c>
      <c r="H342" s="45"/>
      <c r="I342" s="42"/>
      <c r="J342" s="11" t="str">
        <f aca="false">IF(H342="","",H342*I342)</f>
        <v/>
      </c>
      <c r="K342" s="42"/>
      <c r="L342" s="11" t="str">
        <f aca="false">IF(H342="","",IF(K342&lt;&gt;"",K342,H342*IFERROR(INDEX(O_Stok!$Q$6:$Q$85,MATCH(G342,O_Stok!$A$6:$A$85,0)),0)))</f>
        <v/>
      </c>
      <c r="M342" s="11" t="str">
        <f aca="false">IF(H342="","",J342-L342)</f>
        <v/>
      </c>
      <c r="N342" s="34" t="str">
        <f aca="false">IF(G342="","",IFERROR(INDEX(I_Master!$B$6:$B$85,MATCH(G342,I_Master!$A$6:$A$85,0)),"?"))</f>
        <v/>
      </c>
      <c r="O342" s="34" t="str">
        <f aca="false">IF(G342="","",IFERROR(INDEX(I_Master!$E$6:$E$85,MATCH(G342,I_Master!$A$6:$A$85,0)),"?"))</f>
        <v/>
      </c>
      <c r="P342" s="46" t="str">
        <f aca="false">IF(H342="","",IF(OR(A342&lt;I_Parameter!$C$5,A342&gt;I_Parameter!$C$6),0,IF(B342="Aktual",1,IF(AND(B342="Order",A342&gt;=I_Parameter!$C$4),1,0))))</f>
        <v/>
      </c>
    </row>
    <row r="343" customFormat="false" ht="15" hidden="false" customHeight="false" outlineLevel="0" collapsed="false">
      <c r="A343" s="37"/>
      <c r="B343" s="44"/>
      <c r="C343" s="44"/>
      <c r="D343" s="44"/>
      <c r="E343" s="44"/>
      <c r="F343" s="44"/>
      <c r="G343" s="34" t="str">
        <f aca="false">IF(F343&lt;&gt;"",F343,IF(E343="","",IFERROR(INDEX(I_Item!$C$6:$C$255,MATCH(E343,I_Item!$A$6:$A$255,0)),"KODE BARU")))</f>
        <v/>
      </c>
      <c r="H343" s="45"/>
      <c r="I343" s="42"/>
      <c r="J343" s="11" t="str">
        <f aca="false">IF(H343="","",H343*I343)</f>
        <v/>
      </c>
      <c r="K343" s="42"/>
      <c r="L343" s="11" t="str">
        <f aca="false">IF(H343="","",IF(K343&lt;&gt;"",K343,H343*IFERROR(INDEX(O_Stok!$Q$6:$Q$85,MATCH(G343,O_Stok!$A$6:$A$85,0)),0)))</f>
        <v/>
      </c>
      <c r="M343" s="11" t="str">
        <f aca="false">IF(H343="","",J343-L343)</f>
        <v/>
      </c>
      <c r="N343" s="34" t="str">
        <f aca="false">IF(G343="","",IFERROR(INDEX(I_Master!$B$6:$B$85,MATCH(G343,I_Master!$A$6:$A$85,0)),"?"))</f>
        <v/>
      </c>
      <c r="O343" s="34" t="str">
        <f aca="false">IF(G343="","",IFERROR(INDEX(I_Master!$E$6:$E$85,MATCH(G343,I_Master!$A$6:$A$85,0)),"?"))</f>
        <v/>
      </c>
      <c r="P343" s="46" t="str">
        <f aca="false">IF(H343="","",IF(OR(A343&lt;I_Parameter!$C$5,A343&gt;I_Parameter!$C$6),0,IF(B343="Aktual",1,IF(AND(B343="Order",A343&gt;=I_Parameter!$C$4),1,0))))</f>
        <v/>
      </c>
    </row>
    <row r="344" customFormat="false" ht="15" hidden="false" customHeight="false" outlineLevel="0" collapsed="false">
      <c r="A344" s="37"/>
      <c r="B344" s="44"/>
      <c r="C344" s="44"/>
      <c r="D344" s="44"/>
      <c r="E344" s="44"/>
      <c r="F344" s="44"/>
      <c r="G344" s="34" t="str">
        <f aca="false">IF(F344&lt;&gt;"",F344,IF(E344="","",IFERROR(INDEX(I_Item!$C$6:$C$255,MATCH(E344,I_Item!$A$6:$A$255,0)),"KODE BARU")))</f>
        <v/>
      </c>
      <c r="H344" s="45"/>
      <c r="I344" s="42"/>
      <c r="J344" s="11" t="str">
        <f aca="false">IF(H344="","",H344*I344)</f>
        <v/>
      </c>
      <c r="K344" s="42"/>
      <c r="L344" s="11" t="str">
        <f aca="false">IF(H344="","",IF(K344&lt;&gt;"",K344,H344*IFERROR(INDEX(O_Stok!$Q$6:$Q$85,MATCH(G344,O_Stok!$A$6:$A$85,0)),0)))</f>
        <v/>
      </c>
      <c r="M344" s="11" t="str">
        <f aca="false">IF(H344="","",J344-L344)</f>
        <v/>
      </c>
      <c r="N344" s="34" t="str">
        <f aca="false">IF(G344="","",IFERROR(INDEX(I_Master!$B$6:$B$85,MATCH(G344,I_Master!$A$6:$A$85,0)),"?"))</f>
        <v/>
      </c>
      <c r="O344" s="34" t="str">
        <f aca="false">IF(G344="","",IFERROR(INDEX(I_Master!$E$6:$E$85,MATCH(G344,I_Master!$A$6:$A$85,0)),"?"))</f>
        <v/>
      </c>
      <c r="P344" s="46" t="str">
        <f aca="false">IF(H344="","",IF(OR(A344&lt;I_Parameter!$C$5,A344&gt;I_Parameter!$C$6),0,IF(B344="Aktual",1,IF(AND(B344="Order",A344&gt;=I_Parameter!$C$4),1,0))))</f>
        <v/>
      </c>
    </row>
    <row r="345" customFormat="false" ht="15" hidden="false" customHeight="false" outlineLevel="0" collapsed="false">
      <c r="A345" s="37"/>
      <c r="B345" s="44"/>
      <c r="C345" s="44"/>
      <c r="D345" s="44"/>
      <c r="E345" s="44"/>
      <c r="F345" s="44"/>
      <c r="G345" s="34" t="str">
        <f aca="false">IF(F345&lt;&gt;"",F345,IF(E345="","",IFERROR(INDEX(I_Item!$C$6:$C$255,MATCH(E345,I_Item!$A$6:$A$255,0)),"KODE BARU")))</f>
        <v/>
      </c>
      <c r="H345" s="45"/>
      <c r="I345" s="42"/>
      <c r="J345" s="11" t="str">
        <f aca="false">IF(H345="","",H345*I345)</f>
        <v/>
      </c>
      <c r="K345" s="42"/>
      <c r="L345" s="11" t="str">
        <f aca="false">IF(H345="","",IF(K345&lt;&gt;"",K345,H345*IFERROR(INDEX(O_Stok!$Q$6:$Q$85,MATCH(G345,O_Stok!$A$6:$A$85,0)),0)))</f>
        <v/>
      </c>
      <c r="M345" s="11" t="str">
        <f aca="false">IF(H345="","",J345-L345)</f>
        <v/>
      </c>
      <c r="N345" s="34" t="str">
        <f aca="false">IF(G345="","",IFERROR(INDEX(I_Master!$B$6:$B$85,MATCH(G345,I_Master!$A$6:$A$85,0)),"?"))</f>
        <v/>
      </c>
      <c r="O345" s="34" t="str">
        <f aca="false">IF(G345="","",IFERROR(INDEX(I_Master!$E$6:$E$85,MATCH(G345,I_Master!$A$6:$A$85,0)),"?"))</f>
        <v/>
      </c>
      <c r="P345" s="46" t="str">
        <f aca="false">IF(H345="","",IF(OR(A345&lt;I_Parameter!$C$5,A345&gt;I_Parameter!$C$6),0,IF(B345="Aktual",1,IF(AND(B345="Order",A345&gt;=I_Parameter!$C$4),1,0))))</f>
        <v/>
      </c>
    </row>
    <row r="346" customFormat="false" ht="15" hidden="false" customHeight="false" outlineLevel="0" collapsed="false">
      <c r="A346" s="37"/>
      <c r="B346" s="44"/>
      <c r="C346" s="44"/>
      <c r="D346" s="44"/>
      <c r="E346" s="44"/>
      <c r="F346" s="44"/>
      <c r="G346" s="34" t="str">
        <f aca="false">IF(F346&lt;&gt;"",F346,IF(E346="","",IFERROR(INDEX(I_Item!$C$6:$C$255,MATCH(E346,I_Item!$A$6:$A$255,0)),"KODE BARU")))</f>
        <v/>
      </c>
      <c r="H346" s="45"/>
      <c r="I346" s="42"/>
      <c r="J346" s="11" t="str">
        <f aca="false">IF(H346="","",H346*I346)</f>
        <v/>
      </c>
      <c r="K346" s="42"/>
      <c r="L346" s="11" t="str">
        <f aca="false">IF(H346="","",IF(K346&lt;&gt;"",K346,H346*IFERROR(INDEX(O_Stok!$Q$6:$Q$85,MATCH(G346,O_Stok!$A$6:$A$85,0)),0)))</f>
        <v/>
      </c>
      <c r="M346" s="11" t="str">
        <f aca="false">IF(H346="","",J346-L346)</f>
        <v/>
      </c>
      <c r="N346" s="34" t="str">
        <f aca="false">IF(G346="","",IFERROR(INDEX(I_Master!$B$6:$B$85,MATCH(G346,I_Master!$A$6:$A$85,0)),"?"))</f>
        <v/>
      </c>
      <c r="O346" s="34" t="str">
        <f aca="false">IF(G346="","",IFERROR(INDEX(I_Master!$E$6:$E$85,MATCH(G346,I_Master!$A$6:$A$85,0)),"?"))</f>
        <v/>
      </c>
      <c r="P346" s="46" t="str">
        <f aca="false">IF(H346="","",IF(OR(A346&lt;I_Parameter!$C$5,A346&gt;I_Parameter!$C$6),0,IF(B346="Aktual",1,IF(AND(B346="Order",A346&gt;=I_Parameter!$C$4),1,0))))</f>
        <v/>
      </c>
    </row>
    <row r="347" customFormat="false" ht="15" hidden="false" customHeight="false" outlineLevel="0" collapsed="false">
      <c r="A347" s="37"/>
      <c r="B347" s="44"/>
      <c r="C347" s="44"/>
      <c r="D347" s="44"/>
      <c r="E347" s="44"/>
      <c r="F347" s="44"/>
      <c r="G347" s="34" t="str">
        <f aca="false">IF(F347&lt;&gt;"",F347,IF(E347="","",IFERROR(INDEX(I_Item!$C$6:$C$255,MATCH(E347,I_Item!$A$6:$A$255,0)),"KODE BARU")))</f>
        <v/>
      </c>
      <c r="H347" s="45"/>
      <c r="I347" s="42"/>
      <c r="J347" s="11" t="str">
        <f aca="false">IF(H347="","",H347*I347)</f>
        <v/>
      </c>
      <c r="K347" s="42"/>
      <c r="L347" s="11" t="str">
        <f aca="false">IF(H347="","",IF(K347&lt;&gt;"",K347,H347*IFERROR(INDEX(O_Stok!$Q$6:$Q$85,MATCH(G347,O_Stok!$A$6:$A$85,0)),0)))</f>
        <v/>
      </c>
      <c r="M347" s="11" t="str">
        <f aca="false">IF(H347="","",J347-L347)</f>
        <v/>
      </c>
      <c r="N347" s="34" t="str">
        <f aca="false">IF(G347="","",IFERROR(INDEX(I_Master!$B$6:$B$85,MATCH(G347,I_Master!$A$6:$A$85,0)),"?"))</f>
        <v/>
      </c>
      <c r="O347" s="34" t="str">
        <f aca="false">IF(G347="","",IFERROR(INDEX(I_Master!$E$6:$E$85,MATCH(G347,I_Master!$A$6:$A$85,0)),"?"))</f>
        <v/>
      </c>
      <c r="P347" s="46" t="str">
        <f aca="false">IF(H347="","",IF(OR(A347&lt;I_Parameter!$C$5,A347&gt;I_Parameter!$C$6),0,IF(B347="Aktual",1,IF(AND(B347="Order",A347&gt;=I_Parameter!$C$4),1,0))))</f>
        <v/>
      </c>
    </row>
    <row r="348" customFormat="false" ht="15" hidden="false" customHeight="false" outlineLevel="0" collapsed="false">
      <c r="A348" s="37"/>
      <c r="B348" s="44"/>
      <c r="C348" s="44"/>
      <c r="D348" s="44"/>
      <c r="E348" s="44"/>
      <c r="F348" s="44"/>
      <c r="G348" s="34" t="str">
        <f aca="false">IF(F348&lt;&gt;"",F348,IF(E348="","",IFERROR(INDEX(I_Item!$C$6:$C$255,MATCH(E348,I_Item!$A$6:$A$255,0)),"KODE BARU")))</f>
        <v/>
      </c>
      <c r="H348" s="45"/>
      <c r="I348" s="42"/>
      <c r="J348" s="11" t="str">
        <f aca="false">IF(H348="","",H348*I348)</f>
        <v/>
      </c>
      <c r="K348" s="42"/>
      <c r="L348" s="11" t="str">
        <f aca="false">IF(H348="","",IF(K348&lt;&gt;"",K348,H348*IFERROR(INDEX(O_Stok!$Q$6:$Q$85,MATCH(G348,O_Stok!$A$6:$A$85,0)),0)))</f>
        <v/>
      </c>
      <c r="M348" s="11" t="str">
        <f aca="false">IF(H348="","",J348-L348)</f>
        <v/>
      </c>
      <c r="N348" s="34" t="str">
        <f aca="false">IF(G348="","",IFERROR(INDEX(I_Master!$B$6:$B$85,MATCH(G348,I_Master!$A$6:$A$85,0)),"?"))</f>
        <v/>
      </c>
      <c r="O348" s="34" t="str">
        <f aca="false">IF(G348="","",IFERROR(INDEX(I_Master!$E$6:$E$85,MATCH(G348,I_Master!$A$6:$A$85,0)),"?"))</f>
        <v/>
      </c>
      <c r="P348" s="46" t="str">
        <f aca="false">IF(H348="","",IF(OR(A348&lt;I_Parameter!$C$5,A348&gt;I_Parameter!$C$6),0,IF(B348="Aktual",1,IF(AND(B348="Order",A348&gt;=I_Parameter!$C$4),1,0))))</f>
        <v/>
      </c>
    </row>
    <row r="349" customFormat="false" ht="15" hidden="false" customHeight="false" outlineLevel="0" collapsed="false">
      <c r="A349" s="37"/>
      <c r="B349" s="44"/>
      <c r="C349" s="44"/>
      <c r="D349" s="44"/>
      <c r="E349" s="44"/>
      <c r="F349" s="44"/>
      <c r="G349" s="34" t="str">
        <f aca="false">IF(F349&lt;&gt;"",F349,IF(E349="","",IFERROR(INDEX(I_Item!$C$6:$C$255,MATCH(E349,I_Item!$A$6:$A$255,0)),"KODE BARU")))</f>
        <v/>
      </c>
      <c r="H349" s="45"/>
      <c r="I349" s="42"/>
      <c r="J349" s="11" t="str">
        <f aca="false">IF(H349="","",H349*I349)</f>
        <v/>
      </c>
      <c r="K349" s="42"/>
      <c r="L349" s="11" t="str">
        <f aca="false">IF(H349="","",IF(K349&lt;&gt;"",K349,H349*IFERROR(INDEX(O_Stok!$Q$6:$Q$85,MATCH(G349,O_Stok!$A$6:$A$85,0)),0)))</f>
        <v/>
      </c>
      <c r="M349" s="11" t="str">
        <f aca="false">IF(H349="","",J349-L349)</f>
        <v/>
      </c>
      <c r="N349" s="34" t="str">
        <f aca="false">IF(G349="","",IFERROR(INDEX(I_Master!$B$6:$B$85,MATCH(G349,I_Master!$A$6:$A$85,0)),"?"))</f>
        <v/>
      </c>
      <c r="O349" s="34" t="str">
        <f aca="false">IF(G349="","",IFERROR(INDEX(I_Master!$E$6:$E$85,MATCH(G349,I_Master!$A$6:$A$85,0)),"?"))</f>
        <v/>
      </c>
      <c r="P349" s="46" t="str">
        <f aca="false">IF(H349="","",IF(OR(A349&lt;I_Parameter!$C$5,A349&gt;I_Parameter!$C$6),0,IF(B349="Aktual",1,IF(AND(B349="Order",A349&gt;=I_Parameter!$C$4),1,0))))</f>
        <v/>
      </c>
    </row>
    <row r="350" customFormat="false" ht="15" hidden="false" customHeight="false" outlineLevel="0" collapsed="false">
      <c r="A350" s="37"/>
      <c r="B350" s="44"/>
      <c r="C350" s="44"/>
      <c r="D350" s="44"/>
      <c r="E350" s="44"/>
      <c r="F350" s="44"/>
      <c r="G350" s="34" t="str">
        <f aca="false">IF(F350&lt;&gt;"",F350,IF(E350="","",IFERROR(INDEX(I_Item!$C$6:$C$255,MATCH(E350,I_Item!$A$6:$A$255,0)),"KODE BARU")))</f>
        <v/>
      </c>
      <c r="H350" s="45"/>
      <c r="I350" s="42"/>
      <c r="J350" s="11" t="str">
        <f aca="false">IF(H350="","",H350*I350)</f>
        <v/>
      </c>
      <c r="K350" s="42"/>
      <c r="L350" s="11" t="str">
        <f aca="false">IF(H350="","",IF(K350&lt;&gt;"",K350,H350*IFERROR(INDEX(O_Stok!$Q$6:$Q$85,MATCH(G350,O_Stok!$A$6:$A$85,0)),0)))</f>
        <v/>
      </c>
      <c r="M350" s="11" t="str">
        <f aca="false">IF(H350="","",J350-L350)</f>
        <v/>
      </c>
      <c r="N350" s="34" t="str">
        <f aca="false">IF(G350="","",IFERROR(INDEX(I_Master!$B$6:$B$85,MATCH(G350,I_Master!$A$6:$A$85,0)),"?"))</f>
        <v/>
      </c>
      <c r="O350" s="34" t="str">
        <f aca="false">IF(G350="","",IFERROR(INDEX(I_Master!$E$6:$E$85,MATCH(G350,I_Master!$A$6:$A$85,0)),"?"))</f>
        <v/>
      </c>
      <c r="P350" s="46" t="str">
        <f aca="false">IF(H350="","",IF(OR(A350&lt;I_Parameter!$C$5,A350&gt;I_Parameter!$C$6),0,IF(B350="Aktual",1,IF(AND(B350="Order",A350&gt;=I_Parameter!$C$4),1,0))))</f>
        <v/>
      </c>
    </row>
    <row r="351" customFormat="false" ht="15" hidden="false" customHeight="false" outlineLevel="0" collapsed="false">
      <c r="A351" s="37"/>
      <c r="B351" s="44"/>
      <c r="C351" s="44"/>
      <c r="D351" s="44"/>
      <c r="E351" s="44"/>
      <c r="F351" s="44"/>
      <c r="G351" s="34" t="str">
        <f aca="false">IF(F351&lt;&gt;"",F351,IF(E351="","",IFERROR(INDEX(I_Item!$C$6:$C$255,MATCH(E351,I_Item!$A$6:$A$255,0)),"KODE BARU")))</f>
        <v/>
      </c>
      <c r="H351" s="45"/>
      <c r="I351" s="42"/>
      <c r="J351" s="11" t="str">
        <f aca="false">IF(H351="","",H351*I351)</f>
        <v/>
      </c>
      <c r="K351" s="42"/>
      <c r="L351" s="11" t="str">
        <f aca="false">IF(H351="","",IF(K351&lt;&gt;"",K351,H351*IFERROR(INDEX(O_Stok!$Q$6:$Q$85,MATCH(G351,O_Stok!$A$6:$A$85,0)),0)))</f>
        <v/>
      </c>
      <c r="M351" s="11" t="str">
        <f aca="false">IF(H351="","",J351-L351)</f>
        <v/>
      </c>
      <c r="N351" s="34" t="str">
        <f aca="false">IF(G351="","",IFERROR(INDEX(I_Master!$B$6:$B$85,MATCH(G351,I_Master!$A$6:$A$85,0)),"?"))</f>
        <v/>
      </c>
      <c r="O351" s="34" t="str">
        <f aca="false">IF(G351="","",IFERROR(INDEX(I_Master!$E$6:$E$85,MATCH(G351,I_Master!$A$6:$A$85,0)),"?"))</f>
        <v/>
      </c>
      <c r="P351" s="46" t="str">
        <f aca="false">IF(H351="","",IF(OR(A351&lt;I_Parameter!$C$5,A351&gt;I_Parameter!$C$6),0,IF(B351="Aktual",1,IF(AND(B351="Order",A351&gt;=I_Parameter!$C$4),1,0))))</f>
        <v/>
      </c>
    </row>
    <row r="352" customFormat="false" ht="15" hidden="false" customHeight="false" outlineLevel="0" collapsed="false">
      <c r="A352" s="37"/>
      <c r="B352" s="44"/>
      <c r="C352" s="44"/>
      <c r="D352" s="44"/>
      <c r="E352" s="44"/>
      <c r="F352" s="44"/>
      <c r="G352" s="34" t="str">
        <f aca="false">IF(F352&lt;&gt;"",F352,IF(E352="","",IFERROR(INDEX(I_Item!$C$6:$C$255,MATCH(E352,I_Item!$A$6:$A$255,0)),"KODE BARU")))</f>
        <v/>
      </c>
      <c r="H352" s="45"/>
      <c r="I352" s="42"/>
      <c r="J352" s="11" t="str">
        <f aca="false">IF(H352="","",H352*I352)</f>
        <v/>
      </c>
      <c r="K352" s="42"/>
      <c r="L352" s="11" t="str">
        <f aca="false">IF(H352="","",IF(K352&lt;&gt;"",K352,H352*IFERROR(INDEX(O_Stok!$Q$6:$Q$85,MATCH(G352,O_Stok!$A$6:$A$85,0)),0)))</f>
        <v/>
      </c>
      <c r="M352" s="11" t="str">
        <f aca="false">IF(H352="","",J352-L352)</f>
        <v/>
      </c>
      <c r="N352" s="34" t="str">
        <f aca="false">IF(G352="","",IFERROR(INDEX(I_Master!$B$6:$B$85,MATCH(G352,I_Master!$A$6:$A$85,0)),"?"))</f>
        <v/>
      </c>
      <c r="O352" s="34" t="str">
        <f aca="false">IF(G352="","",IFERROR(INDEX(I_Master!$E$6:$E$85,MATCH(G352,I_Master!$A$6:$A$85,0)),"?"))</f>
        <v/>
      </c>
      <c r="P352" s="46" t="str">
        <f aca="false">IF(H352="","",IF(OR(A352&lt;I_Parameter!$C$5,A352&gt;I_Parameter!$C$6),0,IF(B352="Aktual",1,IF(AND(B352="Order",A352&gt;=I_Parameter!$C$4),1,0))))</f>
        <v/>
      </c>
    </row>
    <row r="353" customFormat="false" ht="15" hidden="false" customHeight="false" outlineLevel="0" collapsed="false">
      <c r="A353" s="37"/>
      <c r="B353" s="44"/>
      <c r="C353" s="44"/>
      <c r="D353" s="44"/>
      <c r="E353" s="44"/>
      <c r="F353" s="44"/>
      <c r="G353" s="34" t="str">
        <f aca="false">IF(F353&lt;&gt;"",F353,IF(E353="","",IFERROR(INDEX(I_Item!$C$6:$C$255,MATCH(E353,I_Item!$A$6:$A$255,0)),"KODE BARU")))</f>
        <v/>
      </c>
      <c r="H353" s="45"/>
      <c r="I353" s="42"/>
      <c r="J353" s="11" t="str">
        <f aca="false">IF(H353="","",H353*I353)</f>
        <v/>
      </c>
      <c r="K353" s="42"/>
      <c r="L353" s="11" t="str">
        <f aca="false">IF(H353="","",IF(K353&lt;&gt;"",K353,H353*IFERROR(INDEX(O_Stok!$Q$6:$Q$85,MATCH(G353,O_Stok!$A$6:$A$85,0)),0)))</f>
        <v/>
      </c>
      <c r="M353" s="11" t="str">
        <f aca="false">IF(H353="","",J353-L353)</f>
        <v/>
      </c>
      <c r="N353" s="34" t="str">
        <f aca="false">IF(G353="","",IFERROR(INDEX(I_Master!$B$6:$B$85,MATCH(G353,I_Master!$A$6:$A$85,0)),"?"))</f>
        <v/>
      </c>
      <c r="O353" s="34" t="str">
        <f aca="false">IF(G353="","",IFERROR(INDEX(I_Master!$E$6:$E$85,MATCH(G353,I_Master!$A$6:$A$85,0)),"?"))</f>
        <v/>
      </c>
      <c r="P353" s="46" t="str">
        <f aca="false">IF(H353="","",IF(OR(A353&lt;I_Parameter!$C$5,A353&gt;I_Parameter!$C$6),0,IF(B353="Aktual",1,IF(AND(B353="Order",A353&gt;=I_Parameter!$C$4),1,0))))</f>
        <v/>
      </c>
    </row>
    <row r="354" customFormat="false" ht="15" hidden="false" customHeight="false" outlineLevel="0" collapsed="false">
      <c r="A354" s="37"/>
      <c r="B354" s="44"/>
      <c r="C354" s="44"/>
      <c r="D354" s="44"/>
      <c r="E354" s="44"/>
      <c r="F354" s="44"/>
      <c r="G354" s="34" t="str">
        <f aca="false">IF(F354&lt;&gt;"",F354,IF(E354="","",IFERROR(INDEX(I_Item!$C$6:$C$255,MATCH(E354,I_Item!$A$6:$A$255,0)),"KODE BARU")))</f>
        <v/>
      </c>
      <c r="H354" s="45"/>
      <c r="I354" s="42"/>
      <c r="J354" s="11" t="str">
        <f aca="false">IF(H354="","",H354*I354)</f>
        <v/>
      </c>
      <c r="K354" s="42"/>
      <c r="L354" s="11" t="str">
        <f aca="false">IF(H354="","",IF(K354&lt;&gt;"",K354,H354*IFERROR(INDEX(O_Stok!$Q$6:$Q$85,MATCH(G354,O_Stok!$A$6:$A$85,0)),0)))</f>
        <v/>
      </c>
      <c r="M354" s="11" t="str">
        <f aca="false">IF(H354="","",J354-L354)</f>
        <v/>
      </c>
      <c r="N354" s="34" t="str">
        <f aca="false">IF(G354="","",IFERROR(INDEX(I_Master!$B$6:$B$85,MATCH(G354,I_Master!$A$6:$A$85,0)),"?"))</f>
        <v/>
      </c>
      <c r="O354" s="34" t="str">
        <f aca="false">IF(G354="","",IFERROR(INDEX(I_Master!$E$6:$E$85,MATCH(G354,I_Master!$A$6:$A$85,0)),"?"))</f>
        <v/>
      </c>
      <c r="P354" s="46" t="str">
        <f aca="false">IF(H354="","",IF(OR(A354&lt;I_Parameter!$C$5,A354&gt;I_Parameter!$C$6),0,IF(B354="Aktual",1,IF(AND(B354="Order",A354&gt;=I_Parameter!$C$4),1,0))))</f>
        <v/>
      </c>
    </row>
    <row r="355" customFormat="false" ht="15" hidden="false" customHeight="false" outlineLevel="0" collapsed="false">
      <c r="A355" s="37"/>
      <c r="B355" s="44"/>
      <c r="C355" s="44"/>
      <c r="D355" s="44"/>
      <c r="E355" s="44"/>
      <c r="F355" s="44"/>
      <c r="G355" s="34" t="str">
        <f aca="false">IF(F355&lt;&gt;"",F355,IF(E355="","",IFERROR(INDEX(I_Item!$C$6:$C$255,MATCH(E355,I_Item!$A$6:$A$255,0)),"KODE BARU")))</f>
        <v/>
      </c>
      <c r="H355" s="45"/>
      <c r="I355" s="42"/>
      <c r="J355" s="11" t="str">
        <f aca="false">IF(H355="","",H355*I355)</f>
        <v/>
      </c>
      <c r="K355" s="42"/>
      <c r="L355" s="11" t="str">
        <f aca="false">IF(H355="","",IF(K355&lt;&gt;"",K355,H355*IFERROR(INDEX(O_Stok!$Q$6:$Q$85,MATCH(G355,O_Stok!$A$6:$A$85,0)),0)))</f>
        <v/>
      </c>
      <c r="M355" s="11" t="str">
        <f aca="false">IF(H355="","",J355-L355)</f>
        <v/>
      </c>
      <c r="N355" s="34" t="str">
        <f aca="false">IF(G355="","",IFERROR(INDEX(I_Master!$B$6:$B$85,MATCH(G355,I_Master!$A$6:$A$85,0)),"?"))</f>
        <v/>
      </c>
      <c r="O355" s="34" t="str">
        <f aca="false">IF(G355="","",IFERROR(INDEX(I_Master!$E$6:$E$85,MATCH(G355,I_Master!$A$6:$A$85,0)),"?"))</f>
        <v/>
      </c>
      <c r="P355" s="46" t="str">
        <f aca="false">IF(H355="","",IF(OR(A355&lt;I_Parameter!$C$5,A355&gt;I_Parameter!$C$6),0,IF(B355="Aktual",1,IF(AND(B355="Order",A355&gt;=I_Parameter!$C$4),1,0))))</f>
        <v/>
      </c>
    </row>
    <row r="356" customFormat="false" ht="15" hidden="false" customHeight="false" outlineLevel="0" collapsed="false">
      <c r="A356" s="37"/>
      <c r="B356" s="44"/>
      <c r="C356" s="44"/>
      <c r="D356" s="44"/>
      <c r="E356" s="44"/>
      <c r="F356" s="44"/>
      <c r="G356" s="34" t="str">
        <f aca="false">IF(F356&lt;&gt;"",F356,IF(E356="","",IFERROR(INDEX(I_Item!$C$6:$C$255,MATCH(E356,I_Item!$A$6:$A$255,0)),"KODE BARU")))</f>
        <v/>
      </c>
      <c r="H356" s="45"/>
      <c r="I356" s="42"/>
      <c r="J356" s="11" t="str">
        <f aca="false">IF(H356="","",H356*I356)</f>
        <v/>
      </c>
      <c r="K356" s="42"/>
      <c r="L356" s="11" t="str">
        <f aca="false">IF(H356="","",IF(K356&lt;&gt;"",K356,H356*IFERROR(INDEX(O_Stok!$Q$6:$Q$85,MATCH(G356,O_Stok!$A$6:$A$85,0)),0)))</f>
        <v/>
      </c>
      <c r="M356" s="11" t="str">
        <f aca="false">IF(H356="","",J356-L356)</f>
        <v/>
      </c>
      <c r="N356" s="34" t="str">
        <f aca="false">IF(G356="","",IFERROR(INDEX(I_Master!$B$6:$B$85,MATCH(G356,I_Master!$A$6:$A$85,0)),"?"))</f>
        <v/>
      </c>
      <c r="O356" s="34" t="str">
        <f aca="false">IF(G356="","",IFERROR(INDEX(I_Master!$E$6:$E$85,MATCH(G356,I_Master!$A$6:$A$85,0)),"?"))</f>
        <v/>
      </c>
      <c r="P356" s="46" t="str">
        <f aca="false">IF(H356="","",IF(OR(A356&lt;I_Parameter!$C$5,A356&gt;I_Parameter!$C$6),0,IF(B356="Aktual",1,IF(AND(B356="Order",A356&gt;=I_Parameter!$C$4),1,0))))</f>
        <v/>
      </c>
    </row>
    <row r="357" customFormat="false" ht="15" hidden="false" customHeight="false" outlineLevel="0" collapsed="false">
      <c r="A357" s="37"/>
      <c r="B357" s="44"/>
      <c r="C357" s="44"/>
      <c r="D357" s="44"/>
      <c r="E357" s="44"/>
      <c r="F357" s="44"/>
      <c r="G357" s="34" t="str">
        <f aca="false">IF(F357&lt;&gt;"",F357,IF(E357="","",IFERROR(INDEX(I_Item!$C$6:$C$255,MATCH(E357,I_Item!$A$6:$A$255,0)),"KODE BARU")))</f>
        <v/>
      </c>
      <c r="H357" s="45"/>
      <c r="I357" s="42"/>
      <c r="J357" s="11" t="str">
        <f aca="false">IF(H357="","",H357*I357)</f>
        <v/>
      </c>
      <c r="K357" s="42"/>
      <c r="L357" s="11" t="str">
        <f aca="false">IF(H357="","",IF(K357&lt;&gt;"",K357,H357*IFERROR(INDEX(O_Stok!$Q$6:$Q$85,MATCH(G357,O_Stok!$A$6:$A$85,0)),0)))</f>
        <v/>
      </c>
      <c r="M357" s="11" t="str">
        <f aca="false">IF(H357="","",J357-L357)</f>
        <v/>
      </c>
      <c r="N357" s="34" t="str">
        <f aca="false">IF(G357="","",IFERROR(INDEX(I_Master!$B$6:$B$85,MATCH(G357,I_Master!$A$6:$A$85,0)),"?"))</f>
        <v/>
      </c>
      <c r="O357" s="34" t="str">
        <f aca="false">IF(G357="","",IFERROR(INDEX(I_Master!$E$6:$E$85,MATCH(G357,I_Master!$A$6:$A$85,0)),"?"))</f>
        <v/>
      </c>
      <c r="P357" s="46" t="str">
        <f aca="false">IF(H357="","",IF(OR(A357&lt;I_Parameter!$C$5,A357&gt;I_Parameter!$C$6),0,IF(B357="Aktual",1,IF(AND(B357="Order",A357&gt;=I_Parameter!$C$4),1,0))))</f>
        <v/>
      </c>
    </row>
    <row r="358" customFormat="false" ht="15" hidden="false" customHeight="false" outlineLevel="0" collapsed="false">
      <c r="A358" s="37"/>
      <c r="B358" s="44"/>
      <c r="C358" s="44"/>
      <c r="D358" s="44"/>
      <c r="E358" s="44"/>
      <c r="F358" s="44"/>
      <c r="G358" s="34" t="str">
        <f aca="false">IF(F358&lt;&gt;"",F358,IF(E358="","",IFERROR(INDEX(I_Item!$C$6:$C$255,MATCH(E358,I_Item!$A$6:$A$255,0)),"KODE BARU")))</f>
        <v/>
      </c>
      <c r="H358" s="45"/>
      <c r="I358" s="42"/>
      <c r="J358" s="11" t="str">
        <f aca="false">IF(H358="","",H358*I358)</f>
        <v/>
      </c>
      <c r="K358" s="42"/>
      <c r="L358" s="11" t="str">
        <f aca="false">IF(H358="","",IF(K358&lt;&gt;"",K358,H358*IFERROR(INDEX(O_Stok!$Q$6:$Q$85,MATCH(G358,O_Stok!$A$6:$A$85,0)),0)))</f>
        <v/>
      </c>
      <c r="M358" s="11" t="str">
        <f aca="false">IF(H358="","",J358-L358)</f>
        <v/>
      </c>
      <c r="N358" s="34" t="str">
        <f aca="false">IF(G358="","",IFERROR(INDEX(I_Master!$B$6:$B$85,MATCH(G358,I_Master!$A$6:$A$85,0)),"?"))</f>
        <v/>
      </c>
      <c r="O358" s="34" t="str">
        <f aca="false">IF(G358="","",IFERROR(INDEX(I_Master!$E$6:$E$85,MATCH(G358,I_Master!$A$6:$A$85,0)),"?"))</f>
        <v/>
      </c>
      <c r="P358" s="46" t="str">
        <f aca="false">IF(H358="","",IF(OR(A358&lt;I_Parameter!$C$5,A358&gt;I_Parameter!$C$6),0,IF(B358="Aktual",1,IF(AND(B358="Order",A358&gt;=I_Parameter!$C$4),1,0))))</f>
        <v/>
      </c>
    </row>
    <row r="359" customFormat="false" ht="15" hidden="false" customHeight="false" outlineLevel="0" collapsed="false">
      <c r="A359" s="37"/>
      <c r="B359" s="44"/>
      <c r="C359" s="44"/>
      <c r="D359" s="44"/>
      <c r="E359" s="44"/>
      <c r="F359" s="44"/>
      <c r="G359" s="34" t="str">
        <f aca="false">IF(F359&lt;&gt;"",F359,IF(E359="","",IFERROR(INDEX(I_Item!$C$6:$C$255,MATCH(E359,I_Item!$A$6:$A$255,0)),"KODE BARU")))</f>
        <v/>
      </c>
      <c r="H359" s="45"/>
      <c r="I359" s="42"/>
      <c r="J359" s="11" t="str">
        <f aca="false">IF(H359="","",H359*I359)</f>
        <v/>
      </c>
      <c r="K359" s="42"/>
      <c r="L359" s="11" t="str">
        <f aca="false">IF(H359="","",IF(K359&lt;&gt;"",K359,H359*IFERROR(INDEX(O_Stok!$Q$6:$Q$85,MATCH(G359,O_Stok!$A$6:$A$85,0)),0)))</f>
        <v/>
      </c>
      <c r="M359" s="11" t="str">
        <f aca="false">IF(H359="","",J359-L359)</f>
        <v/>
      </c>
      <c r="N359" s="34" t="str">
        <f aca="false">IF(G359="","",IFERROR(INDEX(I_Master!$B$6:$B$85,MATCH(G359,I_Master!$A$6:$A$85,0)),"?"))</f>
        <v/>
      </c>
      <c r="O359" s="34" t="str">
        <f aca="false">IF(G359="","",IFERROR(INDEX(I_Master!$E$6:$E$85,MATCH(G359,I_Master!$A$6:$A$85,0)),"?"))</f>
        <v/>
      </c>
      <c r="P359" s="46" t="str">
        <f aca="false">IF(H359="","",IF(OR(A359&lt;I_Parameter!$C$5,A359&gt;I_Parameter!$C$6),0,IF(B359="Aktual",1,IF(AND(B359="Order",A359&gt;=I_Parameter!$C$4),1,0))))</f>
        <v/>
      </c>
    </row>
    <row r="360" customFormat="false" ht="15" hidden="false" customHeight="false" outlineLevel="0" collapsed="false">
      <c r="A360" s="37"/>
      <c r="B360" s="44"/>
      <c r="C360" s="44"/>
      <c r="D360" s="44"/>
      <c r="E360" s="44"/>
      <c r="F360" s="44"/>
      <c r="G360" s="34" t="str">
        <f aca="false">IF(F360&lt;&gt;"",F360,IF(E360="","",IFERROR(INDEX(I_Item!$C$6:$C$255,MATCH(E360,I_Item!$A$6:$A$255,0)),"KODE BARU")))</f>
        <v/>
      </c>
      <c r="H360" s="45"/>
      <c r="I360" s="42"/>
      <c r="J360" s="11" t="str">
        <f aca="false">IF(H360="","",H360*I360)</f>
        <v/>
      </c>
      <c r="K360" s="42"/>
      <c r="L360" s="11" t="str">
        <f aca="false">IF(H360="","",IF(K360&lt;&gt;"",K360,H360*IFERROR(INDEX(O_Stok!$Q$6:$Q$85,MATCH(G360,O_Stok!$A$6:$A$85,0)),0)))</f>
        <v/>
      </c>
      <c r="M360" s="11" t="str">
        <f aca="false">IF(H360="","",J360-L360)</f>
        <v/>
      </c>
      <c r="N360" s="34" t="str">
        <f aca="false">IF(G360="","",IFERROR(INDEX(I_Master!$B$6:$B$85,MATCH(G360,I_Master!$A$6:$A$85,0)),"?"))</f>
        <v/>
      </c>
      <c r="O360" s="34" t="str">
        <f aca="false">IF(G360="","",IFERROR(INDEX(I_Master!$E$6:$E$85,MATCH(G360,I_Master!$A$6:$A$85,0)),"?"))</f>
        <v/>
      </c>
      <c r="P360" s="46" t="str">
        <f aca="false">IF(H360="","",IF(OR(A360&lt;I_Parameter!$C$5,A360&gt;I_Parameter!$C$6),0,IF(B360="Aktual",1,IF(AND(B360="Order",A360&gt;=I_Parameter!$C$4),1,0))))</f>
        <v/>
      </c>
    </row>
    <row r="361" customFormat="false" ht="15" hidden="false" customHeight="false" outlineLevel="0" collapsed="false">
      <c r="A361" s="37"/>
      <c r="B361" s="44"/>
      <c r="C361" s="44"/>
      <c r="D361" s="44"/>
      <c r="E361" s="44"/>
      <c r="F361" s="44"/>
      <c r="G361" s="34" t="str">
        <f aca="false">IF(F361&lt;&gt;"",F361,IF(E361="","",IFERROR(INDEX(I_Item!$C$6:$C$255,MATCH(E361,I_Item!$A$6:$A$255,0)),"KODE BARU")))</f>
        <v/>
      </c>
      <c r="H361" s="45"/>
      <c r="I361" s="42"/>
      <c r="J361" s="11" t="str">
        <f aca="false">IF(H361="","",H361*I361)</f>
        <v/>
      </c>
      <c r="K361" s="42"/>
      <c r="L361" s="11" t="str">
        <f aca="false">IF(H361="","",IF(K361&lt;&gt;"",K361,H361*IFERROR(INDEX(O_Stok!$Q$6:$Q$85,MATCH(G361,O_Stok!$A$6:$A$85,0)),0)))</f>
        <v/>
      </c>
      <c r="M361" s="11" t="str">
        <f aca="false">IF(H361="","",J361-L361)</f>
        <v/>
      </c>
      <c r="N361" s="34" t="str">
        <f aca="false">IF(G361="","",IFERROR(INDEX(I_Master!$B$6:$B$85,MATCH(G361,I_Master!$A$6:$A$85,0)),"?"))</f>
        <v/>
      </c>
      <c r="O361" s="34" t="str">
        <f aca="false">IF(G361="","",IFERROR(INDEX(I_Master!$E$6:$E$85,MATCH(G361,I_Master!$A$6:$A$85,0)),"?"))</f>
        <v/>
      </c>
      <c r="P361" s="46" t="str">
        <f aca="false">IF(H361="","",IF(OR(A361&lt;I_Parameter!$C$5,A361&gt;I_Parameter!$C$6),0,IF(B361="Aktual",1,IF(AND(B361="Order",A361&gt;=I_Parameter!$C$4),1,0))))</f>
        <v/>
      </c>
    </row>
    <row r="362" customFormat="false" ht="15" hidden="false" customHeight="false" outlineLevel="0" collapsed="false">
      <c r="A362" s="37"/>
      <c r="B362" s="44"/>
      <c r="C362" s="44"/>
      <c r="D362" s="44"/>
      <c r="E362" s="44"/>
      <c r="F362" s="44"/>
      <c r="G362" s="34" t="str">
        <f aca="false">IF(F362&lt;&gt;"",F362,IF(E362="","",IFERROR(INDEX(I_Item!$C$6:$C$255,MATCH(E362,I_Item!$A$6:$A$255,0)),"KODE BARU")))</f>
        <v/>
      </c>
      <c r="H362" s="45"/>
      <c r="I362" s="42"/>
      <c r="J362" s="11" t="str">
        <f aca="false">IF(H362="","",H362*I362)</f>
        <v/>
      </c>
      <c r="K362" s="42"/>
      <c r="L362" s="11" t="str">
        <f aca="false">IF(H362="","",IF(K362&lt;&gt;"",K362,H362*IFERROR(INDEX(O_Stok!$Q$6:$Q$85,MATCH(G362,O_Stok!$A$6:$A$85,0)),0)))</f>
        <v/>
      </c>
      <c r="M362" s="11" t="str">
        <f aca="false">IF(H362="","",J362-L362)</f>
        <v/>
      </c>
      <c r="N362" s="34" t="str">
        <f aca="false">IF(G362="","",IFERROR(INDEX(I_Master!$B$6:$B$85,MATCH(G362,I_Master!$A$6:$A$85,0)),"?"))</f>
        <v/>
      </c>
      <c r="O362" s="34" t="str">
        <f aca="false">IF(G362="","",IFERROR(INDEX(I_Master!$E$6:$E$85,MATCH(G362,I_Master!$A$6:$A$85,0)),"?"))</f>
        <v/>
      </c>
      <c r="P362" s="46" t="str">
        <f aca="false">IF(H362="","",IF(OR(A362&lt;I_Parameter!$C$5,A362&gt;I_Parameter!$C$6),0,IF(B362="Aktual",1,IF(AND(B362="Order",A362&gt;=I_Parameter!$C$4),1,0))))</f>
        <v/>
      </c>
    </row>
    <row r="363" customFormat="false" ht="15" hidden="false" customHeight="false" outlineLevel="0" collapsed="false">
      <c r="A363" s="37"/>
      <c r="B363" s="44"/>
      <c r="C363" s="44"/>
      <c r="D363" s="44"/>
      <c r="E363" s="44"/>
      <c r="F363" s="44"/>
      <c r="G363" s="34" t="str">
        <f aca="false">IF(F363&lt;&gt;"",F363,IF(E363="","",IFERROR(INDEX(I_Item!$C$6:$C$255,MATCH(E363,I_Item!$A$6:$A$255,0)),"KODE BARU")))</f>
        <v/>
      </c>
      <c r="H363" s="45"/>
      <c r="I363" s="42"/>
      <c r="J363" s="11" t="str">
        <f aca="false">IF(H363="","",H363*I363)</f>
        <v/>
      </c>
      <c r="K363" s="42"/>
      <c r="L363" s="11" t="str">
        <f aca="false">IF(H363="","",IF(K363&lt;&gt;"",K363,H363*IFERROR(INDEX(O_Stok!$Q$6:$Q$85,MATCH(G363,O_Stok!$A$6:$A$85,0)),0)))</f>
        <v/>
      </c>
      <c r="M363" s="11" t="str">
        <f aca="false">IF(H363="","",J363-L363)</f>
        <v/>
      </c>
      <c r="N363" s="34" t="str">
        <f aca="false">IF(G363="","",IFERROR(INDEX(I_Master!$B$6:$B$85,MATCH(G363,I_Master!$A$6:$A$85,0)),"?"))</f>
        <v/>
      </c>
      <c r="O363" s="34" t="str">
        <f aca="false">IF(G363="","",IFERROR(INDEX(I_Master!$E$6:$E$85,MATCH(G363,I_Master!$A$6:$A$85,0)),"?"))</f>
        <v/>
      </c>
      <c r="P363" s="46" t="str">
        <f aca="false">IF(H363="","",IF(OR(A363&lt;I_Parameter!$C$5,A363&gt;I_Parameter!$C$6),0,IF(B363="Aktual",1,IF(AND(B363="Order",A363&gt;=I_Parameter!$C$4),1,0))))</f>
        <v/>
      </c>
    </row>
    <row r="364" customFormat="false" ht="15" hidden="false" customHeight="false" outlineLevel="0" collapsed="false">
      <c r="A364" s="37"/>
      <c r="B364" s="44"/>
      <c r="C364" s="44"/>
      <c r="D364" s="44"/>
      <c r="E364" s="44"/>
      <c r="F364" s="44"/>
      <c r="G364" s="34" t="str">
        <f aca="false">IF(F364&lt;&gt;"",F364,IF(E364="","",IFERROR(INDEX(I_Item!$C$6:$C$255,MATCH(E364,I_Item!$A$6:$A$255,0)),"KODE BARU")))</f>
        <v/>
      </c>
      <c r="H364" s="45"/>
      <c r="I364" s="42"/>
      <c r="J364" s="11" t="str">
        <f aca="false">IF(H364="","",H364*I364)</f>
        <v/>
      </c>
      <c r="K364" s="42"/>
      <c r="L364" s="11" t="str">
        <f aca="false">IF(H364="","",IF(K364&lt;&gt;"",K364,H364*IFERROR(INDEX(O_Stok!$Q$6:$Q$85,MATCH(G364,O_Stok!$A$6:$A$85,0)),0)))</f>
        <v/>
      </c>
      <c r="M364" s="11" t="str">
        <f aca="false">IF(H364="","",J364-L364)</f>
        <v/>
      </c>
      <c r="N364" s="34" t="str">
        <f aca="false">IF(G364="","",IFERROR(INDEX(I_Master!$B$6:$B$85,MATCH(G364,I_Master!$A$6:$A$85,0)),"?"))</f>
        <v/>
      </c>
      <c r="O364" s="34" t="str">
        <f aca="false">IF(G364="","",IFERROR(INDEX(I_Master!$E$6:$E$85,MATCH(G364,I_Master!$A$6:$A$85,0)),"?"))</f>
        <v/>
      </c>
      <c r="P364" s="46" t="str">
        <f aca="false">IF(H364="","",IF(OR(A364&lt;I_Parameter!$C$5,A364&gt;I_Parameter!$C$6),0,IF(B364="Aktual",1,IF(AND(B364="Order",A364&gt;=I_Parameter!$C$4),1,0))))</f>
        <v/>
      </c>
    </row>
    <row r="365" customFormat="false" ht="15" hidden="false" customHeight="false" outlineLevel="0" collapsed="false">
      <c r="A365" s="37"/>
      <c r="B365" s="44"/>
      <c r="C365" s="44"/>
      <c r="D365" s="44"/>
      <c r="E365" s="44"/>
      <c r="F365" s="44"/>
      <c r="G365" s="34" t="str">
        <f aca="false">IF(F365&lt;&gt;"",F365,IF(E365="","",IFERROR(INDEX(I_Item!$C$6:$C$255,MATCH(E365,I_Item!$A$6:$A$255,0)),"KODE BARU")))</f>
        <v/>
      </c>
      <c r="H365" s="45"/>
      <c r="I365" s="42"/>
      <c r="J365" s="11" t="str">
        <f aca="false">IF(H365="","",H365*I365)</f>
        <v/>
      </c>
      <c r="K365" s="42"/>
      <c r="L365" s="11" t="str">
        <f aca="false">IF(H365="","",IF(K365&lt;&gt;"",K365,H365*IFERROR(INDEX(O_Stok!$Q$6:$Q$85,MATCH(G365,O_Stok!$A$6:$A$85,0)),0)))</f>
        <v/>
      </c>
      <c r="M365" s="11" t="str">
        <f aca="false">IF(H365="","",J365-L365)</f>
        <v/>
      </c>
      <c r="N365" s="34" t="str">
        <f aca="false">IF(G365="","",IFERROR(INDEX(I_Master!$B$6:$B$85,MATCH(G365,I_Master!$A$6:$A$85,0)),"?"))</f>
        <v/>
      </c>
      <c r="O365" s="34" t="str">
        <f aca="false">IF(G365="","",IFERROR(INDEX(I_Master!$E$6:$E$85,MATCH(G365,I_Master!$A$6:$A$85,0)),"?"))</f>
        <v/>
      </c>
      <c r="P365" s="46" t="str">
        <f aca="false">IF(H365="","",IF(OR(A365&lt;I_Parameter!$C$5,A365&gt;I_Parameter!$C$6),0,IF(B365="Aktual",1,IF(AND(B365="Order",A365&gt;=I_Parameter!$C$4),1,0))))</f>
        <v/>
      </c>
    </row>
    <row r="366" customFormat="false" ht="15" hidden="false" customHeight="false" outlineLevel="0" collapsed="false">
      <c r="A366" s="37"/>
      <c r="B366" s="44"/>
      <c r="C366" s="44"/>
      <c r="D366" s="44"/>
      <c r="E366" s="44"/>
      <c r="F366" s="44"/>
      <c r="G366" s="34" t="str">
        <f aca="false">IF(F366&lt;&gt;"",F366,IF(E366="","",IFERROR(INDEX(I_Item!$C$6:$C$255,MATCH(E366,I_Item!$A$6:$A$255,0)),"KODE BARU")))</f>
        <v/>
      </c>
      <c r="H366" s="45"/>
      <c r="I366" s="42"/>
      <c r="J366" s="11" t="str">
        <f aca="false">IF(H366="","",H366*I366)</f>
        <v/>
      </c>
      <c r="K366" s="42"/>
      <c r="L366" s="11" t="str">
        <f aca="false">IF(H366="","",IF(K366&lt;&gt;"",K366,H366*IFERROR(INDEX(O_Stok!$Q$6:$Q$85,MATCH(G366,O_Stok!$A$6:$A$85,0)),0)))</f>
        <v/>
      </c>
      <c r="M366" s="11" t="str">
        <f aca="false">IF(H366="","",J366-L366)</f>
        <v/>
      </c>
      <c r="N366" s="34" t="str">
        <f aca="false">IF(G366="","",IFERROR(INDEX(I_Master!$B$6:$B$85,MATCH(G366,I_Master!$A$6:$A$85,0)),"?"))</f>
        <v/>
      </c>
      <c r="O366" s="34" t="str">
        <f aca="false">IF(G366="","",IFERROR(INDEX(I_Master!$E$6:$E$85,MATCH(G366,I_Master!$A$6:$A$85,0)),"?"))</f>
        <v/>
      </c>
      <c r="P366" s="46" t="str">
        <f aca="false">IF(H366="","",IF(OR(A366&lt;I_Parameter!$C$5,A366&gt;I_Parameter!$C$6),0,IF(B366="Aktual",1,IF(AND(B366="Order",A366&gt;=I_Parameter!$C$4),1,0))))</f>
        <v/>
      </c>
    </row>
    <row r="367" customFormat="false" ht="15" hidden="false" customHeight="false" outlineLevel="0" collapsed="false">
      <c r="A367" s="37"/>
      <c r="B367" s="44"/>
      <c r="C367" s="44"/>
      <c r="D367" s="44"/>
      <c r="E367" s="44"/>
      <c r="F367" s="44"/>
      <c r="G367" s="34" t="str">
        <f aca="false">IF(F367&lt;&gt;"",F367,IF(E367="","",IFERROR(INDEX(I_Item!$C$6:$C$255,MATCH(E367,I_Item!$A$6:$A$255,0)),"KODE BARU")))</f>
        <v/>
      </c>
      <c r="H367" s="45"/>
      <c r="I367" s="42"/>
      <c r="J367" s="11" t="str">
        <f aca="false">IF(H367="","",H367*I367)</f>
        <v/>
      </c>
      <c r="K367" s="42"/>
      <c r="L367" s="11" t="str">
        <f aca="false">IF(H367="","",IF(K367&lt;&gt;"",K367,H367*IFERROR(INDEX(O_Stok!$Q$6:$Q$85,MATCH(G367,O_Stok!$A$6:$A$85,0)),0)))</f>
        <v/>
      </c>
      <c r="M367" s="11" t="str">
        <f aca="false">IF(H367="","",J367-L367)</f>
        <v/>
      </c>
      <c r="N367" s="34" t="str">
        <f aca="false">IF(G367="","",IFERROR(INDEX(I_Master!$B$6:$B$85,MATCH(G367,I_Master!$A$6:$A$85,0)),"?"))</f>
        <v/>
      </c>
      <c r="O367" s="34" t="str">
        <f aca="false">IF(G367="","",IFERROR(INDEX(I_Master!$E$6:$E$85,MATCH(G367,I_Master!$A$6:$A$85,0)),"?"))</f>
        <v/>
      </c>
      <c r="P367" s="46" t="str">
        <f aca="false">IF(H367="","",IF(OR(A367&lt;I_Parameter!$C$5,A367&gt;I_Parameter!$C$6),0,IF(B367="Aktual",1,IF(AND(B367="Order",A367&gt;=I_Parameter!$C$4),1,0))))</f>
        <v/>
      </c>
    </row>
    <row r="368" customFormat="false" ht="15" hidden="false" customHeight="false" outlineLevel="0" collapsed="false">
      <c r="A368" s="37"/>
      <c r="B368" s="44"/>
      <c r="C368" s="44"/>
      <c r="D368" s="44"/>
      <c r="E368" s="44"/>
      <c r="F368" s="44"/>
      <c r="G368" s="34" t="str">
        <f aca="false">IF(F368&lt;&gt;"",F368,IF(E368="","",IFERROR(INDEX(I_Item!$C$6:$C$255,MATCH(E368,I_Item!$A$6:$A$255,0)),"KODE BARU")))</f>
        <v/>
      </c>
      <c r="H368" s="45"/>
      <c r="I368" s="42"/>
      <c r="J368" s="11" t="str">
        <f aca="false">IF(H368="","",H368*I368)</f>
        <v/>
      </c>
      <c r="K368" s="42"/>
      <c r="L368" s="11" t="str">
        <f aca="false">IF(H368="","",IF(K368&lt;&gt;"",K368,H368*IFERROR(INDEX(O_Stok!$Q$6:$Q$85,MATCH(G368,O_Stok!$A$6:$A$85,0)),0)))</f>
        <v/>
      </c>
      <c r="M368" s="11" t="str">
        <f aca="false">IF(H368="","",J368-L368)</f>
        <v/>
      </c>
      <c r="N368" s="34" t="str">
        <f aca="false">IF(G368="","",IFERROR(INDEX(I_Master!$B$6:$B$85,MATCH(G368,I_Master!$A$6:$A$85,0)),"?"))</f>
        <v/>
      </c>
      <c r="O368" s="34" t="str">
        <f aca="false">IF(G368="","",IFERROR(INDEX(I_Master!$E$6:$E$85,MATCH(G368,I_Master!$A$6:$A$85,0)),"?"))</f>
        <v/>
      </c>
      <c r="P368" s="46" t="str">
        <f aca="false">IF(H368="","",IF(OR(A368&lt;I_Parameter!$C$5,A368&gt;I_Parameter!$C$6),0,IF(B368="Aktual",1,IF(AND(B368="Order",A368&gt;=I_Parameter!$C$4),1,0))))</f>
        <v/>
      </c>
    </row>
    <row r="369" customFormat="false" ht="15" hidden="false" customHeight="false" outlineLevel="0" collapsed="false">
      <c r="A369" s="37"/>
      <c r="B369" s="44"/>
      <c r="C369" s="44"/>
      <c r="D369" s="44"/>
      <c r="E369" s="44"/>
      <c r="F369" s="44"/>
      <c r="G369" s="34" t="str">
        <f aca="false">IF(F369&lt;&gt;"",F369,IF(E369="","",IFERROR(INDEX(I_Item!$C$6:$C$255,MATCH(E369,I_Item!$A$6:$A$255,0)),"KODE BARU")))</f>
        <v/>
      </c>
      <c r="H369" s="45"/>
      <c r="I369" s="42"/>
      <c r="J369" s="11" t="str">
        <f aca="false">IF(H369="","",H369*I369)</f>
        <v/>
      </c>
      <c r="K369" s="42"/>
      <c r="L369" s="11" t="str">
        <f aca="false">IF(H369="","",IF(K369&lt;&gt;"",K369,H369*IFERROR(INDEX(O_Stok!$Q$6:$Q$85,MATCH(G369,O_Stok!$A$6:$A$85,0)),0)))</f>
        <v/>
      </c>
      <c r="M369" s="11" t="str">
        <f aca="false">IF(H369="","",J369-L369)</f>
        <v/>
      </c>
      <c r="N369" s="34" t="str">
        <f aca="false">IF(G369="","",IFERROR(INDEX(I_Master!$B$6:$B$85,MATCH(G369,I_Master!$A$6:$A$85,0)),"?"))</f>
        <v/>
      </c>
      <c r="O369" s="34" t="str">
        <f aca="false">IF(G369="","",IFERROR(INDEX(I_Master!$E$6:$E$85,MATCH(G369,I_Master!$A$6:$A$85,0)),"?"))</f>
        <v/>
      </c>
      <c r="P369" s="46" t="str">
        <f aca="false">IF(H369="","",IF(OR(A369&lt;I_Parameter!$C$5,A369&gt;I_Parameter!$C$6),0,IF(B369="Aktual",1,IF(AND(B369="Order",A369&gt;=I_Parameter!$C$4),1,0))))</f>
        <v/>
      </c>
    </row>
    <row r="370" customFormat="false" ht="15" hidden="false" customHeight="false" outlineLevel="0" collapsed="false">
      <c r="A370" s="37"/>
      <c r="B370" s="44"/>
      <c r="C370" s="44"/>
      <c r="D370" s="44"/>
      <c r="E370" s="44"/>
      <c r="F370" s="44"/>
      <c r="G370" s="34" t="str">
        <f aca="false">IF(F370&lt;&gt;"",F370,IF(E370="","",IFERROR(INDEX(I_Item!$C$6:$C$255,MATCH(E370,I_Item!$A$6:$A$255,0)),"KODE BARU")))</f>
        <v/>
      </c>
      <c r="H370" s="45"/>
      <c r="I370" s="42"/>
      <c r="J370" s="11" t="str">
        <f aca="false">IF(H370="","",H370*I370)</f>
        <v/>
      </c>
      <c r="K370" s="42"/>
      <c r="L370" s="11" t="str">
        <f aca="false">IF(H370="","",IF(K370&lt;&gt;"",K370,H370*IFERROR(INDEX(O_Stok!$Q$6:$Q$85,MATCH(G370,O_Stok!$A$6:$A$85,0)),0)))</f>
        <v/>
      </c>
      <c r="M370" s="11" t="str">
        <f aca="false">IF(H370="","",J370-L370)</f>
        <v/>
      </c>
      <c r="N370" s="34" t="str">
        <f aca="false">IF(G370="","",IFERROR(INDEX(I_Master!$B$6:$B$85,MATCH(G370,I_Master!$A$6:$A$85,0)),"?"))</f>
        <v/>
      </c>
      <c r="O370" s="34" t="str">
        <f aca="false">IF(G370="","",IFERROR(INDEX(I_Master!$E$6:$E$85,MATCH(G370,I_Master!$A$6:$A$85,0)),"?"))</f>
        <v/>
      </c>
      <c r="P370" s="46" t="str">
        <f aca="false">IF(H370="","",IF(OR(A370&lt;I_Parameter!$C$5,A370&gt;I_Parameter!$C$6),0,IF(B370="Aktual",1,IF(AND(B370="Order",A370&gt;=I_Parameter!$C$4),1,0))))</f>
        <v/>
      </c>
    </row>
    <row r="371" customFormat="false" ht="15" hidden="false" customHeight="false" outlineLevel="0" collapsed="false">
      <c r="A371" s="37"/>
      <c r="B371" s="44"/>
      <c r="C371" s="44"/>
      <c r="D371" s="44"/>
      <c r="E371" s="44"/>
      <c r="F371" s="44"/>
      <c r="G371" s="34" t="str">
        <f aca="false">IF(F371&lt;&gt;"",F371,IF(E371="","",IFERROR(INDEX(I_Item!$C$6:$C$255,MATCH(E371,I_Item!$A$6:$A$255,0)),"KODE BARU")))</f>
        <v/>
      </c>
      <c r="H371" s="45"/>
      <c r="I371" s="42"/>
      <c r="J371" s="11" t="str">
        <f aca="false">IF(H371="","",H371*I371)</f>
        <v/>
      </c>
      <c r="K371" s="42"/>
      <c r="L371" s="11" t="str">
        <f aca="false">IF(H371="","",IF(K371&lt;&gt;"",K371,H371*IFERROR(INDEX(O_Stok!$Q$6:$Q$85,MATCH(G371,O_Stok!$A$6:$A$85,0)),0)))</f>
        <v/>
      </c>
      <c r="M371" s="11" t="str">
        <f aca="false">IF(H371="","",J371-L371)</f>
        <v/>
      </c>
      <c r="N371" s="34" t="str">
        <f aca="false">IF(G371="","",IFERROR(INDEX(I_Master!$B$6:$B$85,MATCH(G371,I_Master!$A$6:$A$85,0)),"?"))</f>
        <v/>
      </c>
      <c r="O371" s="34" t="str">
        <f aca="false">IF(G371="","",IFERROR(INDEX(I_Master!$E$6:$E$85,MATCH(G371,I_Master!$A$6:$A$85,0)),"?"))</f>
        <v/>
      </c>
      <c r="P371" s="46" t="str">
        <f aca="false">IF(H371="","",IF(OR(A371&lt;I_Parameter!$C$5,A371&gt;I_Parameter!$C$6),0,IF(B371="Aktual",1,IF(AND(B371="Order",A371&gt;=I_Parameter!$C$4),1,0))))</f>
        <v/>
      </c>
    </row>
    <row r="372" customFormat="false" ht="15" hidden="false" customHeight="false" outlineLevel="0" collapsed="false">
      <c r="A372" s="37"/>
      <c r="B372" s="44"/>
      <c r="C372" s="44"/>
      <c r="D372" s="44"/>
      <c r="E372" s="44"/>
      <c r="F372" s="44"/>
      <c r="G372" s="34" t="str">
        <f aca="false">IF(F372&lt;&gt;"",F372,IF(E372="","",IFERROR(INDEX(I_Item!$C$6:$C$255,MATCH(E372,I_Item!$A$6:$A$255,0)),"KODE BARU")))</f>
        <v/>
      </c>
      <c r="H372" s="45"/>
      <c r="I372" s="42"/>
      <c r="J372" s="11" t="str">
        <f aca="false">IF(H372="","",H372*I372)</f>
        <v/>
      </c>
      <c r="K372" s="42"/>
      <c r="L372" s="11" t="str">
        <f aca="false">IF(H372="","",IF(K372&lt;&gt;"",K372,H372*IFERROR(INDEX(O_Stok!$Q$6:$Q$85,MATCH(G372,O_Stok!$A$6:$A$85,0)),0)))</f>
        <v/>
      </c>
      <c r="M372" s="11" t="str">
        <f aca="false">IF(H372="","",J372-L372)</f>
        <v/>
      </c>
      <c r="N372" s="34" t="str">
        <f aca="false">IF(G372="","",IFERROR(INDEX(I_Master!$B$6:$B$85,MATCH(G372,I_Master!$A$6:$A$85,0)),"?"))</f>
        <v/>
      </c>
      <c r="O372" s="34" t="str">
        <f aca="false">IF(G372="","",IFERROR(INDEX(I_Master!$E$6:$E$85,MATCH(G372,I_Master!$A$6:$A$85,0)),"?"))</f>
        <v/>
      </c>
      <c r="P372" s="46" t="str">
        <f aca="false">IF(H372="","",IF(OR(A372&lt;I_Parameter!$C$5,A372&gt;I_Parameter!$C$6),0,IF(B372="Aktual",1,IF(AND(B372="Order",A372&gt;=I_Parameter!$C$4),1,0))))</f>
        <v/>
      </c>
    </row>
    <row r="373" customFormat="false" ht="15" hidden="false" customHeight="false" outlineLevel="0" collapsed="false">
      <c r="A373" s="37"/>
      <c r="B373" s="44"/>
      <c r="C373" s="44"/>
      <c r="D373" s="44"/>
      <c r="E373" s="44"/>
      <c r="F373" s="44"/>
      <c r="G373" s="34" t="str">
        <f aca="false">IF(F373&lt;&gt;"",F373,IF(E373="","",IFERROR(INDEX(I_Item!$C$6:$C$255,MATCH(E373,I_Item!$A$6:$A$255,0)),"KODE BARU")))</f>
        <v/>
      </c>
      <c r="H373" s="45"/>
      <c r="I373" s="42"/>
      <c r="J373" s="11" t="str">
        <f aca="false">IF(H373="","",H373*I373)</f>
        <v/>
      </c>
      <c r="K373" s="42"/>
      <c r="L373" s="11" t="str">
        <f aca="false">IF(H373="","",IF(K373&lt;&gt;"",K373,H373*IFERROR(INDEX(O_Stok!$Q$6:$Q$85,MATCH(G373,O_Stok!$A$6:$A$85,0)),0)))</f>
        <v/>
      </c>
      <c r="M373" s="11" t="str">
        <f aca="false">IF(H373="","",J373-L373)</f>
        <v/>
      </c>
      <c r="N373" s="34" t="str">
        <f aca="false">IF(G373="","",IFERROR(INDEX(I_Master!$B$6:$B$85,MATCH(G373,I_Master!$A$6:$A$85,0)),"?"))</f>
        <v/>
      </c>
      <c r="O373" s="34" t="str">
        <f aca="false">IF(G373="","",IFERROR(INDEX(I_Master!$E$6:$E$85,MATCH(G373,I_Master!$A$6:$A$85,0)),"?"))</f>
        <v/>
      </c>
      <c r="P373" s="46" t="str">
        <f aca="false">IF(H373="","",IF(OR(A373&lt;I_Parameter!$C$5,A373&gt;I_Parameter!$C$6),0,IF(B373="Aktual",1,IF(AND(B373="Order",A373&gt;=I_Parameter!$C$4),1,0))))</f>
        <v/>
      </c>
    </row>
    <row r="374" customFormat="false" ht="15" hidden="false" customHeight="false" outlineLevel="0" collapsed="false">
      <c r="A374" s="37"/>
      <c r="B374" s="44"/>
      <c r="C374" s="44"/>
      <c r="D374" s="44"/>
      <c r="E374" s="44"/>
      <c r="F374" s="44"/>
      <c r="G374" s="34" t="str">
        <f aca="false">IF(F374&lt;&gt;"",F374,IF(E374="","",IFERROR(INDEX(I_Item!$C$6:$C$255,MATCH(E374,I_Item!$A$6:$A$255,0)),"KODE BARU")))</f>
        <v/>
      </c>
      <c r="H374" s="45"/>
      <c r="I374" s="42"/>
      <c r="J374" s="11" t="str">
        <f aca="false">IF(H374="","",H374*I374)</f>
        <v/>
      </c>
      <c r="K374" s="42"/>
      <c r="L374" s="11" t="str">
        <f aca="false">IF(H374="","",IF(K374&lt;&gt;"",K374,H374*IFERROR(INDEX(O_Stok!$Q$6:$Q$85,MATCH(G374,O_Stok!$A$6:$A$85,0)),0)))</f>
        <v/>
      </c>
      <c r="M374" s="11" t="str">
        <f aca="false">IF(H374="","",J374-L374)</f>
        <v/>
      </c>
      <c r="N374" s="34" t="str">
        <f aca="false">IF(G374="","",IFERROR(INDEX(I_Master!$B$6:$B$85,MATCH(G374,I_Master!$A$6:$A$85,0)),"?"))</f>
        <v/>
      </c>
      <c r="O374" s="34" t="str">
        <f aca="false">IF(G374="","",IFERROR(INDEX(I_Master!$E$6:$E$85,MATCH(G374,I_Master!$A$6:$A$85,0)),"?"))</f>
        <v/>
      </c>
      <c r="P374" s="46" t="str">
        <f aca="false">IF(H374="","",IF(OR(A374&lt;I_Parameter!$C$5,A374&gt;I_Parameter!$C$6),0,IF(B374="Aktual",1,IF(AND(B374="Order",A374&gt;=I_Parameter!$C$4),1,0))))</f>
        <v/>
      </c>
    </row>
    <row r="375" customFormat="false" ht="15" hidden="false" customHeight="false" outlineLevel="0" collapsed="false">
      <c r="A375" s="37"/>
      <c r="B375" s="44"/>
      <c r="C375" s="44"/>
      <c r="D375" s="44"/>
      <c r="E375" s="44"/>
      <c r="F375" s="44"/>
      <c r="G375" s="34" t="str">
        <f aca="false">IF(F375&lt;&gt;"",F375,IF(E375="","",IFERROR(INDEX(I_Item!$C$6:$C$255,MATCH(E375,I_Item!$A$6:$A$255,0)),"KODE BARU")))</f>
        <v/>
      </c>
      <c r="H375" s="45"/>
      <c r="I375" s="42"/>
      <c r="J375" s="11" t="str">
        <f aca="false">IF(H375="","",H375*I375)</f>
        <v/>
      </c>
      <c r="K375" s="42"/>
      <c r="L375" s="11" t="str">
        <f aca="false">IF(H375="","",IF(K375&lt;&gt;"",K375,H375*IFERROR(INDEX(O_Stok!$Q$6:$Q$85,MATCH(G375,O_Stok!$A$6:$A$85,0)),0)))</f>
        <v/>
      </c>
      <c r="M375" s="11" t="str">
        <f aca="false">IF(H375="","",J375-L375)</f>
        <v/>
      </c>
      <c r="N375" s="34" t="str">
        <f aca="false">IF(G375="","",IFERROR(INDEX(I_Master!$B$6:$B$85,MATCH(G375,I_Master!$A$6:$A$85,0)),"?"))</f>
        <v/>
      </c>
      <c r="O375" s="34" t="str">
        <f aca="false">IF(G375="","",IFERROR(INDEX(I_Master!$E$6:$E$85,MATCH(G375,I_Master!$A$6:$A$85,0)),"?"))</f>
        <v/>
      </c>
      <c r="P375" s="46" t="str">
        <f aca="false">IF(H375="","",IF(OR(A375&lt;I_Parameter!$C$5,A375&gt;I_Parameter!$C$6),0,IF(B375="Aktual",1,IF(AND(B375="Order",A375&gt;=I_Parameter!$C$4),1,0))))</f>
        <v/>
      </c>
    </row>
    <row r="376" customFormat="false" ht="15" hidden="false" customHeight="false" outlineLevel="0" collapsed="false">
      <c r="A376" s="37"/>
      <c r="B376" s="44"/>
      <c r="C376" s="44"/>
      <c r="D376" s="44"/>
      <c r="E376" s="44"/>
      <c r="F376" s="44"/>
      <c r="G376" s="34" t="str">
        <f aca="false">IF(F376&lt;&gt;"",F376,IF(E376="","",IFERROR(INDEX(I_Item!$C$6:$C$255,MATCH(E376,I_Item!$A$6:$A$255,0)),"KODE BARU")))</f>
        <v/>
      </c>
      <c r="H376" s="45"/>
      <c r="I376" s="42"/>
      <c r="J376" s="11" t="str">
        <f aca="false">IF(H376="","",H376*I376)</f>
        <v/>
      </c>
      <c r="K376" s="42"/>
      <c r="L376" s="11" t="str">
        <f aca="false">IF(H376="","",IF(K376&lt;&gt;"",K376,H376*IFERROR(INDEX(O_Stok!$Q$6:$Q$85,MATCH(G376,O_Stok!$A$6:$A$85,0)),0)))</f>
        <v/>
      </c>
      <c r="M376" s="11" t="str">
        <f aca="false">IF(H376="","",J376-L376)</f>
        <v/>
      </c>
      <c r="N376" s="34" t="str">
        <f aca="false">IF(G376="","",IFERROR(INDEX(I_Master!$B$6:$B$85,MATCH(G376,I_Master!$A$6:$A$85,0)),"?"))</f>
        <v/>
      </c>
      <c r="O376" s="34" t="str">
        <f aca="false">IF(G376="","",IFERROR(INDEX(I_Master!$E$6:$E$85,MATCH(G376,I_Master!$A$6:$A$85,0)),"?"))</f>
        <v/>
      </c>
      <c r="P376" s="46" t="str">
        <f aca="false">IF(H376="","",IF(OR(A376&lt;I_Parameter!$C$5,A376&gt;I_Parameter!$C$6),0,IF(B376="Aktual",1,IF(AND(B376="Order",A376&gt;=I_Parameter!$C$4),1,0))))</f>
        <v/>
      </c>
    </row>
    <row r="377" customFormat="false" ht="15" hidden="false" customHeight="false" outlineLevel="0" collapsed="false">
      <c r="A377" s="37"/>
      <c r="B377" s="44"/>
      <c r="C377" s="44"/>
      <c r="D377" s="44"/>
      <c r="E377" s="44"/>
      <c r="F377" s="44"/>
      <c r="G377" s="34" t="str">
        <f aca="false">IF(F377&lt;&gt;"",F377,IF(E377="","",IFERROR(INDEX(I_Item!$C$6:$C$255,MATCH(E377,I_Item!$A$6:$A$255,0)),"KODE BARU")))</f>
        <v/>
      </c>
      <c r="H377" s="45"/>
      <c r="I377" s="42"/>
      <c r="J377" s="11" t="str">
        <f aca="false">IF(H377="","",H377*I377)</f>
        <v/>
      </c>
      <c r="K377" s="42"/>
      <c r="L377" s="11" t="str">
        <f aca="false">IF(H377="","",IF(K377&lt;&gt;"",K377,H377*IFERROR(INDEX(O_Stok!$Q$6:$Q$85,MATCH(G377,O_Stok!$A$6:$A$85,0)),0)))</f>
        <v/>
      </c>
      <c r="M377" s="11" t="str">
        <f aca="false">IF(H377="","",J377-L377)</f>
        <v/>
      </c>
      <c r="N377" s="34" t="str">
        <f aca="false">IF(G377="","",IFERROR(INDEX(I_Master!$B$6:$B$85,MATCH(G377,I_Master!$A$6:$A$85,0)),"?"))</f>
        <v/>
      </c>
      <c r="O377" s="34" t="str">
        <f aca="false">IF(G377="","",IFERROR(INDEX(I_Master!$E$6:$E$85,MATCH(G377,I_Master!$A$6:$A$85,0)),"?"))</f>
        <v/>
      </c>
      <c r="P377" s="46" t="str">
        <f aca="false">IF(H377="","",IF(OR(A377&lt;I_Parameter!$C$5,A377&gt;I_Parameter!$C$6),0,IF(B377="Aktual",1,IF(AND(B377="Order",A377&gt;=I_Parameter!$C$4),1,0))))</f>
        <v/>
      </c>
    </row>
    <row r="378" customFormat="false" ht="15" hidden="false" customHeight="false" outlineLevel="0" collapsed="false">
      <c r="A378" s="37"/>
      <c r="B378" s="44"/>
      <c r="C378" s="44"/>
      <c r="D378" s="44"/>
      <c r="E378" s="44"/>
      <c r="F378" s="44"/>
      <c r="G378" s="34" t="str">
        <f aca="false">IF(F378&lt;&gt;"",F378,IF(E378="","",IFERROR(INDEX(I_Item!$C$6:$C$255,MATCH(E378,I_Item!$A$6:$A$255,0)),"KODE BARU")))</f>
        <v/>
      </c>
      <c r="H378" s="45"/>
      <c r="I378" s="42"/>
      <c r="J378" s="11" t="str">
        <f aca="false">IF(H378="","",H378*I378)</f>
        <v/>
      </c>
      <c r="K378" s="42"/>
      <c r="L378" s="11" t="str">
        <f aca="false">IF(H378="","",IF(K378&lt;&gt;"",K378,H378*IFERROR(INDEX(O_Stok!$Q$6:$Q$85,MATCH(G378,O_Stok!$A$6:$A$85,0)),0)))</f>
        <v/>
      </c>
      <c r="M378" s="11" t="str">
        <f aca="false">IF(H378="","",J378-L378)</f>
        <v/>
      </c>
      <c r="N378" s="34" t="str">
        <f aca="false">IF(G378="","",IFERROR(INDEX(I_Master!$B$6:$B$85,MATCH(G378,I_Master!$A$6:$A$85,0)),"?"))</f>
        <v/>
      </c>
      <c r="O378" s="34" t="str">
        <f aca="false">IF(G378="","",IFERROR(INDEX(I_Master!$E$6:$E$85,MATCH(G378,I_Master!$A$6:$A$85,0)),"?"))</f>
        <v/>
      </c>
      <c r="P378" s="46" t="str">
        <f aca="false">IF(H378="","",IF(OR(A378&lt;I_Parameter!$C$5,A378&gt;I_Parameter!$C$6),0,IF(B378="Aktual",1,IF(AND(B378="Order",A378&gt;=I_Parameter!$C$4),1,0))))</f>
        <v/>
      </c>
    </row>
    <row r="379" customFormat="false" ht="15" hidden="false" customHeight="false" outlineLevel="0" collapsed="false">
      <c r="A379" s="37"/>
      <c r="B379" s="44"/>
      <c r="C379" s="44"/>
      <c r="D379" s="44"/>
      <c r="E379" s="44"/>
      <c r="F379" s="44"/>
      <c r="G379" s="34" t="str">
        <f aca="false">IF(F379&lt;&gt;"",F379,IF(E379="","",IFERROR(INDEX(I_Item!$C$6:$C$255,MATCH(E379,I_Item!$A$6:$A$255,0)),"KODE BARU")))</f>
        <v/>
      </c>
      <c r="H379" s="45"/>
      <c r="I379" s="42"/>
      <c r="J379" s="11" t="str">
        <f aca="false">IF(H379="","",H379*I379)</f>
        <v/>
      </c>
      <c r="K379" s="42"/>
      <c r="L379" s="11" t="str">
        <f aca="false">IF(H379="","",IF(K379&lt;&gt;"",K379,H379*IFERROR(INDEX(O_Stok!$Q$6:$Q$85,MATCH(G379,O_Stok!$A$6:$A$85,0)),0)))</f>
        <v/>
      </c>
      <c r="M379" s="11" t="str">
        <f aca="false">IF(H379="","",J379-L379)</f>
        <v/>
      </c>
      <c r="N379" s="34" t="str">
        <f aca="false">IF(G379="","",IFERROR(INDEX(I_Master!$B$6:$B$85,MATCH(G379,I_Master!$A$6:$A$85,0)),"?"))</f>
        <v/>
      </c>
      <c r="O379" s="34" t="str">
        <f aca="false">IF(G379="","",IFERROR(INDEX(I_Master!$E$6:$E$85,MATCH(G379,I_Master!$A$6:$A$85,0)),"?"))</f>
        <v/>
      </c>
      <c r="P379" s="46" t="str">
        <f aca="false">IF(H379="","",IF(OR(A379&lt;I_Parameter!$C$5,A379&gt;I_Parameter!$C$6),0,IF(B379="Aktual",1,IF(AND(B379="Order",A379&gt;=I_Parameter!$C$4),1,0))))</f>
        <v/>
      </c>
    </row>
    <row r="380" customFormat="false" ht="15" hidden="false" customHeight="false" outlineLevel="0" collapsed="false">
      <c r="A380" s="37"/>
      <c r="B380" s="44"/>
      <c r="C380" s="44"/>
      <c r="D380" s="44"/>
      <c r="E380" s="44"/>
      <c r="F380" s="44"/>
      <c r="G380" s="34" t="str">
        <f aca="false">IF(F380&lt;&gt;"",F380,IF(E380="","",IFERROR(INDEX(I_Item!$C$6:$C$255,MATCH(E380,I_Item!$A$6:$A$255,0)),"KODE BARU")))</f>
        <v/>
      </c>
      <c r="H380" s="45"/>
      <c r="I380" s="42"/>
      <c r="J380" s="11" t="str">
        <f aca="false">IF(H380="","",H380*I380)</f>
        <v/>
      </c>
      <c r="K380" s="42"/>
      <c r="L380" s="11" t="str">
        <f aca="false">IF(H380="","",IF(K380&lt;&gt;"",K380,H380*IFERROR(INDEX(O_Stok!$Q$6:$Q$85,MATCH(G380,O_Stok!$A$6:$A$85,0)),0)))</f>
        <v/>
      </c>
      <c r="M380" s="11" t="str">
        <f aca="false">IF(H380="","",J380-L380)</f>
        <v/>
      </c>
      <c r="N380" s="34" t="str">
        <f aca="false">IF(G380="","",IFERROR(INDEX(I_Master!$B$6:$B$85,MATCH(G380,I_Master!$A$6:$A$85,0)),"?"))</f>
        <v/>
      </c>
      <c r="O380" s="34" t="str">
        <f aca="false">IF(G380="","",IFERROR(INDEX(I_Master!$E$6:$E$85,MATCH(G380,I_Master!$A$6:$A$85,0)),"?"))</f>
        <v/>
      </c>
      <c r="P380" s="46" t="str">
        <f aca="false">IF(H380="","",IF(OR(A380&lt;I_Parameter!$C$5,A380&gt;I_Parameter!$C$6),0,IF(B380="Aktual",1,IF(AND(B380="Order",A380&gt;=I_Parameter!$C$4),1,0))))</f>
        <v/>
      </c>
    </row>
    <row r="381" customFormat="false" ht="15" hidden="false" customHeight="false" outlineLevel="0" collapsed="false">
      <c r="A381" s="37"/>
      <c r="B381" s="44"/>
      <c r="C381" s="44"/>
      <c r="D381" s="44"/>
      <c r="E381" s="44"/>
      <c r="F381" s="44"/>
      <c r="G381" s="34" t="str">
        <f aca="false">IF(F381&lt;&gt;"",F381,IF(E381="","",IFERROR(INDEX(I_Item!$C$6:$C$255,MATCH(E381,I_Item!$A$6:$A$255,0)),"KODE BARU")))</f>
        <v/>
      </c>
      <c r="H381" s="45"/>
      <c r="I381" s="42"/>
      <c r="J381" s="11" t="str">
        <f aca="false">IF(H381="","",H381*I381)</f>
        <v/>
      </c>
      <c r="K381" s="42"/>
      <c r="L381" s="11" t="str">
        <f aca="false">IF(H381="","",IF(K381&lt;&gt;"",K381,H381*IFERROR(INDEX(O_Stok!$Q$6:$Q$85,MATCH(G381,O_Stok!$A$6:$A$85,0)),0)))</f>
        <v/>
      </c>
      <c r="M381" s="11" t="str">
        <f aca="false">IF(H381="","",J381-L381)</f>
        <v/>
      </c>
      <c r="N381" s="34" t="str">
        <f aca="false">IF(G381="","",IFERROR(INDEX(I_Master!$B$6:$B$85,MATCH(G381,I_Master!$A$6:$A$85,0)),"?"))</f>
        <v/>
      </c>
      <c r="O381" s="34" t="str">
        <f aca="false">IF(G381="","",IFERROR(INDEX(I_Master!$E$6:$E$85,MATCH(G381,I_Master!$A$6:$A$85,0)),"?"))</f>
        <v/>
      </c>
      <c r="P381" s="46" t="str">
        <f aca="false">IF(H381="","",IF(OR(A381&lt;I_Parameter!$C$5,A381&gt;I_Parameter!$C$6),0,IF(B381="Aktual",1,IF(AND(B381="Order",A381&gt;=I_Parameter!$C$4),1,0))))</f>
        <v/>
      </c>
    </row>
    <row r="382" customFormat="false" ht="15" hidden="false" customHeight="false" outlineLevel="0" collapsed="false">
      <c r="A382" s="37"/>
      <c r="B382" s="44"/>
      <c r="C382" s="44"/>
      <c r="D382" s="44"/>
      <c r="E382" s="44"/>
      <c r="F382" s="44"/>
      <c r="G382" s="34" t="str">
        <f aca="false">IF(F382&lt;&gt;"",F382,IF(E382="","",IFERROR(INDEX(I_Item!$C$6:$C$255,MATCH(E382,I_Item!$A$6:$A$255,0)),"KODE BARU")))</f>
        <v/>
      </c>
      <c r="H382" s="45"/>
      <c r="I382" s="42"/>
      <c r="J382" s="11" t="str">
        <f aca="false">IF(H382="","",H382*I382)</f>
        <v/>
      </c>
      <c r="K382" s="42"/>
      <c r="L382" s="11" t="str">
        <f aca="false">IF(H382="","",IF(K382&lt;&gt;"",K382,H382*IFERROR(INDEX(O_Stok!$Q$6:$Q$85,MATCH(G382,O_Stok!$A$6:$A$85,0)),0)))</f>
        <v/>
      </c>
      <c r="M382" s="11" t="str">
        <f aca="false">IF(H382="","",J382-L382)</f>
        <v/>
      </c>
      <c r="N382" s="34" t="str">
        <f aca="false">IF(G382="","",IFERROR(INDEX(I_Master!$B$6:$B$85,MATCH(G382,I_Master!$A$6:$A$85,0)),"?"))</f>
        <v/>
      </c>
      <c r="O382" s="34" t="str">
        <f aca="false">IF(G382="","",IFERROR(INDEX(I_Master!$E$6:$E$85,MATCH(G382,I_Master!$A$6:$A$85,0)),"?"))</f>
        <v/>
      </c>
      <c r="P382" s="46" t="str">
        <f aca="false">IF(H382="","",IF(OR(A382&lt;I_Parameter!$C$5,A382&gt;I_Parameter!$C$6),0,IF(B382="Aktual",1,IF(AND(B382="Order",A382&gt;=I_Parameter!$C$4),1,0))))</f>
        <v/>
      </c>
    </row>
    <row r="383" customFormat="false" ht="15" hidden="false" customHeight="false" outlineLevel="0" collapsed="false">
      <c r="A383" s="37"/>
      <c r="B383" s="44"/>
      <c r="C383" s="44"/>
      <c r="D383" s="44"/>
      <c r="E383" s="44"/>
      <c r="F383" s="44"/>
      <c r="G383" s="34" t="str">
        <f aca="false">IF(F383&lt;&gt;"",F383,IF(E383="","",IFERROR(INDEX(I_Item!$C$6:$C$255,MATCH(E383,I_Item!$A$6:$A$255,0)),"KODE BARU")))</f>
        <v/>
      </c>
      <c r="H383" s="45"/>
      <c r="I383" s="42"/>
      <c r="J383" s="11" t="str">
        <f aca="false">IF(H383="","",H383*I383)</f>
        <v/>
      </c>
      <c r="K383" s="42"/>
      <c r="L383" s="11" t="str">
        <f aca="false">IF(H383="","",IF(K383&lt;&gt;"",K383,H383*IFERROR(INDEX(O_Stok!$Q$6:$Q$85,MATCH(G383,O_Stok!$A$6:$A$85,0)),0)))</f>
        <v/>
      </c>
      <c r="M383" s="11" t="str">
        <f aca="false">IF(H383="","",J383-L383)</f>
        <v/>
      </c>
      <c r="N383" s="34" t="str">
        <f aca="false">IF(G383="","",IFERROR(INDEX(I_Master!$B$6:$B$85,MATCH(G383,I_Master!$A$6:$A$85,0)),"?"))</f>
        <v/>
      </c>
      <c r="O383" s="34" t="str">
        <f aca="false">IF(G383="","",IFERROR(INDEX(I_Master!$E$6:$E$85,MATCH(G383,I_Master!$A$6:$A$85,0)),"?"))</f>
        <v/>
      </c>
      <c r="P383" s="46" t="str">
        <f aca="false">IF(H383="","",IF(OR(A383&lt;I_Parameter!$C$5,A383&gt;I_Parameter!$C$6),0,IF(B383="Aktual",1,IF(AND(B383="Order",A383&gt;=I_Parameter!$C$4),1,0))))</f>
        <v/>
      </c>
    </row>
    <row r="384" customFormat="false" ht="15" hidden="false" customHeight="false" outlineLevel="0" collapsed="false">
      <c r="A384" s="37"/>
      <c r="B384" s="44"/>
      <c r="C384" s="44"/>
      <c r="D384" s="44"/>
      <c r="E384" s="44"/>
      <c r="F384" s="44"/>
      <c r="G384" s="34" t="str">
        <f aca="false">IF(F384&lt;&gt;"",F384,IF(E384="","",IFERROR(INDEX(I_Item!$C$6:$C$255,MATCH(E384,I_Item!$A$6:$A$255,0)),"KODE BARU")))</f>
        <v/>
      </c>
      <c r="H384" s="45"/>
      <c r="I384" s="42"/>
      <c r="J384" s="11" t="str">
        <f aca="false">IF(H384="","",H384*I384)</f>
        <v/>
      </c>
      <c r="K384" s="42"/>
      <c r="L384" s="11" t="str">
        <f aca="false">IF(H384="","",IF(K384&lt;&gt;"",K384,H384*IFERROR(INDEX(O_Stok!$Q$6:$Q$85,MATCH(G384,O_Stok!$A$6:$A$85,0)),0)))</f>
        <v/>
      </c>
      <c r="M384" s="11" t="str">
        <f aca="false">IF(H384="","",J384-L384)</f>
        <v/>
      </c>
      <c r="N384" s="34" t="str">
        <f aca="false">IF(G384="","",IFERROR(INDEX(I_Master!$B$6:$B$85,MATCH(G384,I_Master!$A$6:$A$85,0)),"?"))</f>
        <v/>
      </c>
      <c r="O384" s="34" t="str">
        <f aca="false">IF(G384="","",IFERROR(INDEX(I_Master!$E$6:$E$85,MATCH(G384,I_Master!$A$6:$A$85,0)),"?"))</f>
        <v/>
      </c>
      <c r="P384" s="46" t="str">
        <f aca="false">IF(H384="","",IF(OR(A384&lt;I_Parameter!$C$5,A384&gt;I_Parameter!$C$6),0,IF(B384="Aktual",1,IF(AND(B384="Order",A384&gt;=I_Parameter!$C$4),1,0))))</f>
        <v/>
      </c>
    </row>
    <row r="385" customFormat="false" ht="15" hidden="false" customHeight="false" outlineLevel="0" collapsed="false">
      <c r="A385" s="37"/>
      <c r="B385" s="44"/>
      <c r="C385" s="44"/>
      <c r="D385" s="44"/>
      <c r="E385" s="44"/>
      <c r="F385" s="44"/>
      <c r="G385" s="34" t="str">
        <f aca="false">IF(F385&lt;&gt;"",F385,IF(E385="","",IFERROR(INDEX(I_Item!$C$6:$C$255,MATCH(E385,I_Item!$A$6:$A$255,0)),"KODE BARU")))</f>
        <v/>
      </c>
      <c r="H385" s="45"/>
      <c r="I385" s="42"/>
      <c r="J385" s="11" t="str">
        <f aca="false">IF(H385="","",H385*I385)</f>
        <v/>
      </c>
      <c r="K385" s="42"/>
      <c r="L385" s="11" t="str">
        <f aca="false">IF(H385="","",IF(K385&lt;&gt;"",K385,H385*IFERROR(INDEX(O_Stok!$Q$6:$Q$85,MATCH(G385,O_Stok!$A$6:$A$85,0)),0)))</f>
        <v/>
      </c>
      <c r="M385" s="11" t="str">
        <f aca="false">IF(H385="","",J385-L385)</f>
        <v/>
      </c>
      <c r="N385" s="34" t="str">
        <f aca="false">IF(G385="","",IFERROR(INDEX(I_Master!$B$6:$B$85,MATCH(G385,I_Master!$A$6:$A$85,0)),"?"))</f>
        <v/>
      </c>
      <c r="O385" s="34" t="str">
        <f aca="false">IF(G385="","",IFERROR(INDEX(I_Master!$E$6:$E$85,MATCH(G385,I_Master!$A$6:$A$85,0)),"?"))</f>
        <v/>
      </c>
      <c r="P385" s="46" t="str">
        <f aca="false">IF(H385="","",IF(OR(A385&lt;I_Parameter!$C$5,A385&gt;I_Parameter!$C$6),0,IF(B385="Aktual",1,IF(AND(B385="Order",A385&gt;=I_Parameter!$C$4),1,0))))</f>
        <v/>
      </c>
    </row>
    <row r="386" customFormat="false" ht="15" hidden="false" customHeight="false" outlineLevel="0" collapsed="false">
      <c r="A386" s="37"/>
      <c r="B386" s="44"/>
      <c r="C386" s="44"/>
      <c r="D386" s="44"/>
      <c r="E386" s="44"/>
      <c r="F386" s="44"/>
      <c r="G386" s="34" t="str">
        <f aca="false">IF(F386&lt;&gt;"",F386,IF(E386="","",IFERROR(INDEX(I_Item!$C$6:$C$255,MATCH(E386,I_Item!$A$6:$A$255,0)),"KODE BARU")))</f>
        <v/>
      </c>
      <c r="H386" s="45"/>
      <c r="I386" s="42"/>
      <c r="J386" s="11" t="str">
        <f aca="false">IF(H386="","",H386*I386)</f>
        <v/>
      </c>
      <c r="K386" s="42"/>
      <c r="L386" s="11" t="str">
        <f aca="false">IF(H386="","",IF(K386&lt;&gt;"",K386,H386*IFERROR(INDEX(O_Stok!$Q$6:$Q$85,MATCH(G386,O_Stok!$A$6:$A$85,0)),0)))</f>
        <v/>
      </c>
      <c r="M386" s="11" t="str">
        <f aca="false">IF(H386="","",J386-L386)</f>
        <v/>
      </c>
      <c r="N386" s="34" t="str">
        <f aca="false">IF(G386="","",IFERROR(INDEX(I_Master!$B$6:$B$85,MATCH(G386,I_Master!$A$6:$A$85,0)),"?"))</f>
        <v/>
      </c>
      <c r="O386" s="34" t="str">
        <f aca="false">IF(G386="","",IFERROR(INDEX(I_Master!$E$6:$E$85,MATCH(G386,I_Master!$A$6:$A$85,0)),"?"))</f>
        <v/>
      </c>
      <c r="P386" s="46" t="str">
        <f aca="false">IF(H386="","",IF(OR(A386&lt;I_Parameter!$C$5,A386&gt;I_Parameter!$C$6),0,IF(B386="Aktual",1,IF(AND(B386="Order",A386&gt;=I_Parameter!$C$4),1,0))))</f>
        <v/>
      </c>
    </row>
    <row r="387" customFormat="false" ht="15" hidden="false" customHeight="false" outlineLevel="0" collapsed="false">
      <c r="A387" s="37"/>
      <c r="B387" s="44"/>
      <c r="C387" s="44"/>
      <c r="D387" s="44"/>
      <c r="E387" s="44"/>
      <c r="F387" s="44"/>
      <c r="G387" s="34" t="str">
        <f aca="false">IF(F387&lt;&gt;"",F387,IF(E387="","",IFERROR(INDEX(I_Item!$C$6:$C$255,MATCH(E387,I_Item!$A$6:$A$255,0)),"KODE BARU")))</f>
        <v/>
      </c>
      <c r="H387" s="45"/>
      <c r="I387" s="42"/>
      <c r="J387" s="11" t="str">
        <f aca="false">IF(H387="","",H387*I387)</f>
        <v/>
      </c>
      <c r="K387" s="42"/>
      <c r="L387" s="11" t="str">
        <f aca="false">IF(H387="","",IF(K387&lt;&gt;"",K387,H387*IFERROR(INDEX(O_Stok!$Q$6:$Q$85,MATCH(G387,O_Stok!$A$6:$A$85,0)),0)))</f>
        <v/>
      </c>
      <c r="M387" s="11" t="str">
        <f aca="false">IF(H387="","",J387-L387)</f>
        <v/>
      </c>
      <c r="N387" s="34" t="str">
        <f aca="false">IF(G387="","",IFERROR(INDEX(I_Master!$B$6:$B$85,MATCH(G387,I_Master!$A$6:$A$85,0)),"?"))</f>
        <v/>
      </c>
      <c r="O387" s="34" t="str">
        <f aca="false">IF(G387="","",IFERROR(INDEX(I_Master!$E$6:$E$85,MATCH(G387,I_Master!$A$6:$A$85,0)),"?"))</f>
        <v/>
      </c>
      <c r="P387" s="46" t="str">
        <f aca="false">IF(H387="","",IF(OR(A387&lt;I_Parameter!$C$5,A387&gt;I_Parameter!$C$6),0,IF(B387="Aktual",1,IF(AND(B387="Order",A387&gt;=I_Parameter!$C$4),1,0))))</f>
        <v/>
      </c>
    </row>
    <row r="388" customFormat="false" ht="15" hidden="false" customHeight="false" outlineLevel="0" collapsed="false">
      <c r="A388" s="37"/>
      <c r="B388" s="44"/>
      <c r="C388" s="44"/>
      <c r="D388" s="44"/>
      <c r="E388" s="44"/>
      <c r="F388" s="44"/>
      <c r="G388" s="34" t="str">
        <f aca="false">IF(F388&lt;&gt;"",F388,IF(E388="","",IFERROR(INDEX(I_Item!$C$6:$C$255,MATCH(E388,I_Item!$A$6:$A$255,0)),"KODE BARU")))</f>
        <v/>
      </c>
      <c r="H388" s="45"/>
      <c r="I388" s="42"/>
      <c r="J388" s="11" t="str">
        <f aca="false">IF(H388="","",H388*I388)</f>
        <v/>
      </c>
      <c r="K388" s="42"/>
      <c r="L388" s="11" t="str">
        <f aca="false">IF(H388="","",IF(K388&lt;&gt;"",K388,H388*IFERROR(INDEX(O_Stok!$Q$6:$Q$85,MATCH(G388,O_Stok!$A$6:$A$85,0)),0)))</f>
        <v/>
      </c>
      <c r="M388" s="11" t="str">
        <f aca="false">IF(H388="","",J388-L388)</f>
        <v/>
      </c>
      <c r="N388" s="34" t="str">
        <f aca="false">IF(G388="","",IFERROR(INDEX(I_Master!$B$6:$B$85,MATCH(G388,I_Master!$A$6:$A$85,0)),"?"))</f>
        <v/>
      </c>
      <c r="O388" s="34" t="str">
        <f aca="false">IF(G388="","",IFERROR(INDEX(I_Master!$E$6:$E$85,MATCH(G388,I_Master!$A$6:$A$85,0)),"?"))</f>
        <v/>
      </c>
      <c r="P388" s="46" t="str">
        <f aca="false">IF(H388="","",IF(OR(A388&lt;I_Parameter!$C$5,A388&gt;I_Parameter!$C$6),0,IF(B388="Aktual",1,IF(AND(B388="Order",A388&gt;=I_Parameter!$C$4),1,0))))</f>
        <v/>
      </c>
    </row>
    <row r="389" customFormat="false" ht="15" hidden="false" customHeight="false" outlineLevel="0" collapsed="false">
      <c r="A389" s="37"/>
      <c r="B389" s="44"/>
      <c r="C389" s="44"/>
      <c r="D389" s="44"/>
      <c r="E389" s="44"/>
      <c r="F389" s="44"/>
      <c r="G389" s="34" t="str">
        <f aca="false">IF(F389&lt;&gt;"",F389,IF(E389="","",IFERROR(INDEX(I_Item!$C$6:$C$255,MATCH(E389,I_Item!$A$6:$A$255,0)),"KODE BARU")))</f>
        <v/>
      </c>
      <c r="H389" s="45"/>
      <c r="I389" s="42"/>
      <c r="J389" s="11" t="str">
        <f aca="false">IF(H389="","",H389*I389)</f>
        <v/>
      </c>
      <c r="K389" s="42"/>
      <c r="L389" s="11" t="str">
        <f aca="false">IF(H389="","",IF(K389&lt;&gt;"",K389,H389*IFERROR(INDEX(O_Stok!$Q$6:$Q$85,MATCH(G389,O_Stok!$A$6:$A$85,0)),0)))</f>
        <v/>
      </c>
      <c r="M389" s="11" t="str">
        <f aca="false">IF(H389="","",J389-L389)</f>
        <v/>
      </c>
      <c r="N389" s="34" t="str">
        <f aca="false">IF(G389="","",IFERROR(INDEX(I_Master!$B$6:$B$85,MATCH(G389,I_Master!$A$6:$A$85,0)),"?"))</f>
        <v/>
      </c>
      <c r="O389" s="34" t="str">
        <f aca="false">IF(G389="","",IFERROR(INDEX(I_Master!$E$6:$E$85,MATCH(G389,I_Master!$A$6:$A$85,0)),"?"))</f>
        <v/>
      </c>
      <c r="P389" s="46" t="str">
        <f aca="false">IF(H389="","",IF(OR(A389&lt;I_Parameter!$C$5,A389&gt;I_Parameter!$C$6),0,IF(B389="Aktual",1,IF(AND(B389="Order",A389&gt;=I_Parameter!$C$4),1,0))))</f>
        <v/>
      </c>
    </row>
    <row r="390" customFormat="false" ht="15" hidden="false" customHeight="false" outlineLevel="0" collapsed="false">
      <c r="A390" s="37"/>
      <c r="B390" s="44"/>
      <c r="C390" s="44"/>
      <c r="D390" s="44"/>
      <c r="E390" s="44"/>
      <c r="F390" s="44"/>
      <c r="G390" s="34" t="str">
        <f aca="false">IF(F390&lt;&gt;"",F390,IF(E390="","",IFERROR(INDEX(I_Item!$C$6:$C$255,MATCH(E390,I_Item!$A$6:$A$255,0)),"KODE BARU")))</f>
        <v/>
      </c>
      <c r="H390" s="45"/>
      <c r="I390" s="42"/>
      <c r="J390" s="11" t="str">
        <f aca="false">IF(H390="","",H390*I390)</f>
        <v/>
      </c>
      <c r="K390" s="42"/>
      <c r="L390" s="11" t="str">
        <f aca="false">IF(H390="","",IF(K390&lt;&gt;"",K390,H390*IFERROR(INDEX(O_Stok!$Q$6:$Q$85,MATCH(G390,O_Stok!$A$6:$A$85,0)),0)))</f>
        <v/>
      </c>
      <c r="M390" s="11" t="str">
        <f aca="false">IF(H390="","",J390-L390)</f>
        <v/>
      </c>
      <c r="N390" s="34" t="str">
        <f aca="false">IF(G390="","",IFERROR(INDEX(I_Master!$B$6:$B$85,MATCH(G390,I_Master!$A$6:$A$85,0)),"?"))</f>
        <v/>
      </c>
      <c r="O390" s="34" t="str">
        <f aca="false">IF(G390="","",IFERROR(INDEX(I_Master!$E$6:$E$85,MATCH(G390,I_Master!$A$6:$A$85,0)),"?"))</f>
        <v/>
      </c>
      <c r="P390" s="46" t="str">
        <f aca="false">IF(H390="","",IF(OR(A390&lt;I_Parameter!$C$5,A390&gt;I_Parameter!$C$6),0,IF(B390="Aktual",1,IF(AND(B390="Order",A390&gt;=I_Parameter!$C$4),1,0))))</f>
        <v/>
      </c>
    </row>
    <row r="391" customFormat="false" ht="15" hidden="false" customHeight="false" outlineLevel="0" collapsed="false">
      <c r="A391" s="37"/>
      <c r="B391" s="44"/>
      <c r="C391" s="44"/>
      <c r="D391" s="44"/>
      <c r="E391" s="44"/>
      <c r="F391" s="44"/>
      <c r="G391" s="34" t="str">
        <f aca="false">IF(F391&lt;&gt;"",F391,IF(E391="","",IFERROR(INDEX(I_Item!$C$6:$C$255,MATCH(E391,I_Item!$A$6:$A$255,0)),"KODE BARU")))</f>
        <v/>
      </c>
      <c r="H391" s="45"/>
      <c r="I391" s="42"/>
      <c r="J391" s="11" t="str">
        <f aca="false">IF(H391="","",H391*I391)</f>
        <v/>
      </c>
      <c r="K391" s="42"/>
      <c r="L391" s="11" t="str">
        <f aca="false">IF(H391="","",IF(K391&lt;&gt;"",K391,H391*IFERROR(INDEX(O_Stok!$Q$6:$Q$85,MATCH(G391,O_Stok!$A$6:$A$85,0)),0)))</f>
        <v/>
      </c>
      <c r="M391" s="11" t="str">
        <f aca="false">IF(H391="","",J391-L391)</f>
        <v/>
      </c>
      <c r="N391" s="34" t="str">
        <f aca="false">IF(G391="","",IFERROR(INDEX(I_Master!$B$6:$B$85,MATCH(G391,I_Master!$A$6:$A$85,0)),"?"))</f>
        <v/>
      </c>
      <c r="O391" s="34" t="str">
        <f aca="false">IF(G391="","",IFERROR(INDEX(I_Master!$E$6:$E$85,MATCH(G391,I_Master!$A$6:$A$85,0)),"?"))</f>
        <v/>
      </c>
      <c r="P391" s="46" t="str">
        <f aca="false">IF(H391="","",IF(OR(A391&lt;I_Parameter!$C$5,A391&gt;I_Parameter!$C$6),0,IF(B391="Aktual",1,IF(AND(B391="Order",A391&gt;=I_Parameter!$C$4),1,0))))</f>
        <v/>
      </c>
    </row>
    <row r="392" customFormat="false" ht="15" hidden="false" customHeight="false" outlineLevel="0" collapsed="false">
      <c r="A392" s="37"/>
      <c r="B392" s="44"/>
      <c r="C392" s="44"/>
      <c r="D392" s="44"/>
      <c r="E392" s="44"/>
      <c r="F392" s="44"/>
      <c r="G392" s="34" t="str">
        <f aca="false">IF(F392&lt;&gt;"",F392,IF(E392="","",IFERROR(INDEX(I_Item!$C$6:$C$255,MATCH(E392,I_Item!$A$6:$A$255,0)),"KODE BARU")))</f>
        <v/>
      </c>
      <c r="H392" s="45"/>
      <c r="I392" s="42"/>
      <c r="J392" s="11" t="str">
        <f aca="false">IF(H392="","",H392*I392)</f>
        <v/>
      </c>
      <c r="K392" s="42"/>
      <c r="L392" s="11" t="str">
        <f aca="false">IF(H392="","",IF(K392&lt;&gt;"",K392,H392*IFERROR(INDEX(O_Stok!$Q$6:$Q$85,MATCH(G392,O_Stok!$A$6:$A$85,0)),0)))</f>
        <v/>
      </c>
      <c r="M392" s="11" t="str">
        <f aca="false">IF(H392="","",J392-L392)</f>
        <v/>
      </c>
      <c r="N392" s="34" t="str">
        <f aca="false">IF(G392="","",IFERROR(INDEX(I_Master!$B$6:$B$85,MATCH(G392,I_Master!$A$6:$A$85,0)),"?"))</f>
        <v/>
      </c>
      <c r="O392" s="34" t="str">
        <f aca="false">IF(G392="","",IFERROR(INDEX(I_Master!$E$6:$E$85,MATCH(G392,I_Master!$A$6:$A$85,0)),"?"))</f>
        <v/>
      </c>
      <c r="P392" s="46" t="str">
        <f aca="false">IF(H392="","",IF(OR(A392&lt;I_Parameter!$C$5,A392&gt;I_Parameter!$C$6),0,IF(B392="Aktual",1,IF(AND(B392="Order",A392&gt;=I_Parameter!$C$4),1,0))))</f>
        <v/>
      </c>
    </row>
    <row r="393" customFormat="false" ht="15" hidden="false" customHeight="false" outlineLevel="0" collapsed="false">
      <c r="A393" s="37"/>
      <c r="B393" s="44"/>
      <c r="C393" s="44"/>
      <c r="D393" s="44"/>
      <c r="E393" s="44"/>
      <c r="F393" s="44"/>
      <c r="G393" s="34" t="str">
        <f aca="false">IF(F393&lt;&gt;"",F393,IF(E393="","",IFERROR(INDEX(I_Item!$C$6:$C$255,MATCH(E393,I_Item!$A$6:$A$255,0)),"KODE BARU")))</f>
        <v/>
      </c>
      <c r="H393" s="45"/>
      <c r="I393" s="42"/>
      <c r="J393" s="11" t="str">
        <f aca="false">IF(H393="","",H393*I393)</f>
        <v/>
      </c>
      <c r="K393" s="42"/>
      <c r="L393" s="11" t="str">
        <f aca="false">IF(H393="","",IF(K393&lt;&gt;"",K393,H393*IFERROR(INDEX(O_Stok!$Q$6:$Q$85,MATCH(G393,O_Stok!$A$6:$A$85,0)),0)))</f>
        <v/>
      </c>
      <c r="M393" s="11" t="str">
        <f aca="false">IF(H393="","",J393-L393)</f>
        <v/>
      </c>
      <c r="N393" s="34" t="str">
        <f aca="false">IF(G393="","",IFERROR(INDEX(I_Master!$B$6:$B$85,MATCH(G393,I_Master!$A$6:$A$85,0)),"?"))</f>
        <v/>
      </c>
      <c r="O393" s="34" t="str">
        <f aca="false">IF(G393="","",IFERROR(INDEX(I_Master!$E$6:$E$85,MATCH(G393,I_Master!$A$6:$A$85,0)),"?"))</f>
        <v/>
      </c>
      <c r="P393" s="46" t="str">
        <f aca="false">IF(H393="","",IF(OR(A393&lt;I_Parameter!$C$5,A393&gt;I_Parameter!$C$6),0,IF(B393="Aktual",1,IF(AND(B393="Order",A393&gt;=I_Parameter!$C$4),1,0))))</f>
        <v/>
      </c>
    </row>
    <row r="394" customFormat="false" ht="15" hidden="false" customHeight="false" outlineLevel="0" collapsed="false">
      <c r="A394" s="37"/>
      <c r="B394" s="44"/>
      <c r="C394" s="44"/>
      <c r="D394" s="44"/>
      <c r="E394" s="44"/>
      <c r="F394" s="44"/>
      <c r="G394" s="34" t="str">
        <f aca="false">IF(F394&lt;&gt;"",F394,IF(E394="","",IFERROR(INDEX(I_Item!$C$6:$C$255,MATCH(E394,I_Item!$A$6:$A$255,0)),"KODE BARU")))</f>
        <v/>
      </c>
      <c r="H394" s="45"/>
      <c r="I394" s="42"/>
      <c r="J394" s="11" t="str">
        <f aca="false">IF(H394="","",H394*I394)</f>
        <v/>
      </c>
      <c r="K394" s="42"/>
      <c r="L394" s="11" t="str">
        <f aca="false">IF(H394="","",IF(K394&lt;&gt;"",K394,H394*IFERROR(INDEX(O_Stok!$Q$6:$Q$85,MATCH(G394,O_Stok!$A$6:$A$85,0)),0)))</f>
        <v/>
      </c>
      <c r="M394" s="11" t="str">
        <f aca="false">IF(H394="","",J394-L394)</f>
        <v/>
      </c>
      <c r="N394" s="34" t="str">
        <f aca="false">IF(G394="","",IFERROR(INDEX(I_Master!$B$6:$B$85,MATCH(G394,I_Master!$A$6:$A$85,0)),"?"))</f>
        <v/>
      </c>
      <c r="O394" s="34" t="str">
        <f aca="false">IF(G394="","",IFERROR(INDEX(I_Master!$E$6:$E$85,MATCH(G394,I_Master!$A$6:$A$85,0)),"?"))</f>
        <v/>
      </c>
      <c r="P394" s="46" t="str">
        <f aca="false">IF(H394="","",IF(OR(A394&lt;I_Parameter!$C$5,A394&gt;I_Parameter!$C$6),0,IF(B394="Aktual",1,IF(AND(B394="Order",A394&gt;=I_Parameter!$C$4),1,0))))</f>
        <v/>
      </c>
    </row>
    <row r="395" customFormat="false" ht="15" hidden="false" customHeight="false" outlineLevel="0" collapsed="false">
      <c r="A395" s="37"/>
      <c r="B395" s="44"/>
      <c r="C395" s="44"/>
      <c r="D395" s="44"/>
      <c r="E395" s="44"/>
      <c r="F395" s="44"/>
      <c r="G395" s="34" t="str">
        <f aca="false">IF(F395&lt;&gt;"",F395,IF(E395="","",IFERROR(INDEX(I_Item!$C$6:$C$255,MATCH(E395,I_Item!$A$6:$A$255,0)),"KODE BARU")))</f>
        <v/>
      </c>
      <c r="H395" s="45"/>
      <c r="I395" s="42"/>
      <c r="J395" s="11" t="str">
        <f aca="false">IF(H395="","",H395*I395)</f>
        <v/>
      </c>
      <c r="K395" s="42"/>
      <c r="L395" s="11" t="str">
        <f aca="false">IF(H395="","",IF(K395&lt;&gt;"",K395,H395*IFERROR(INDEX(O_Stok!$Q$6:$Q$85,MATCH(G395,O_Stok!$A$6:$A$85,0)),0)))</f>
        <v/>
      </c>
      <c r="M395" s="11" t="str">
        <f aca="false">IF(H395="","",J395-L395)</f>
        <v/>
      </c>
      <c r="N395" s="34" t="str">
        <f aca="false">IF(G395="","",IFERROR(INDEX(I_Master!$B$6:$B$85,MATCH(G395,I_Master!$A$6:$A$85,0)),"?"))</f>
        <v/>
      </c>
      <c r="O395" s="34" t="str">
        <f aca="false">IF(G395="","",IFERROR(INDEX(I_Master!$E$6:$E$85,MATCH(G395,I_Master!$A$6:$A$85,0)),"?"))</f>
        <v/>
      </c>
      <c r="P395" s="46" t="str">
        <f aca="false">IF(H395="","",IF(OR(A395&lt;I_Parameter!$C$5,A395&gt;I_Parameter!$C$6),0,IF(B395="Aktual",1,IF(AND(B395="Order",A395&gt;=I_Parameter!$C$4),1,0))))</f>
        <v/>
      </c>
    </row>
    <row r="396" customFormat="false" ht="15" hidden="false" customHeight="false" outlineLevel="0" collapsed="false">
      <c r="A396" s="37"/>
      <c r="B396" s="44"/>
      <c r="C396" s="44"/>
      <c r="D396" s="44"/>
      <c r="E396" s="44"/>
      <c r="F396" s="44"/>
      <c r="G396" s="34" t="str">
        <f aca="false">IF(F396&lt;&gt;"",F396,IF(E396="","",IFERROR(INDEX(I_Item!$C$6:$C$255,MATCH(E396,I_Item!$A$6:$A$255,0)),"KODE BARU")))</f>
        <v/>
      </c>
      <c r="H396" s="45"/>
      <c r="I396" s="42"/>
      <c r="J396" s="11" t="str">
        <f aca="false">IF(H396="","",H396*I396)</f>
        <v/>
      </c>
      <c r="K396" s="42"/>
      <c r="L396" s="11" t="str">
        <f aca="false">IF(H396="","",IF(K396&lt;&gt;"",K396,H396*IFERROR(INDEX(O_Stok!$Q$6:$Q$85,MATCH(G396,O_Stok!$A$6:$A$85,0)),0)))</f>
        <v/>
      </c>
      <c r="M396" s="11" t="str">
        <f aca="false">IF(H396="","",J396-L396)</f>
        <v/>
      </c>
      <c r="N396" s="34" t="str">
        <f aca="false">IF(G396="","",IFERROR(INDEX(I_Master!$B$6:$B$85,MATCH(G396,I_Master!$A$6:$A$85,0)),"?"))</f>
        <v/>
      </c>
      <c r="O396" s="34" t="str">
        <f aca="false">IF(G396="","",IFERROR(INDEX(I_Master!$E$6:$E$85,MATCH(G396,I_Master!$A$6:$A$85,0)),"?"))</f>
        <v/>
      </c>
      <c r="P396" s="46" t="str">
        <f aca="false">IF(H396="","",IF(OR(A396&lt;I_Parameter!$C$5,A396&gt;I_Parameter!$C$6),0,IF(B396="Aktual",1,IF(AND(B396="Order",A396&gt;=I_Parameter!$C$4),1,0))))</f>
        <v/>
      </c>
    </row>
    <row r="397" customFormat="false" ht="15" hidden="false" customHeight="false" outlineLevel="0" collapsed="false">
      <c r="A397" s="37"/>
      <c r="B397" s="44"/>
      <c r="C397" s="44"/>
      <c r="D397" s="44"/>
      <c r="E397" s="44"/>
      <c r="F397" s="44"/>
      <c r="G397" s="34" t="str">
        <f aca="false">IF(F397&lt;&gt;"",F397,IF(E397="","",IFERROR(INDEX(I_Item!$C$6:$C$255,MATCH(E397,I_Item!$A$6:$A$255,0)),"KODE BARU")))</f>
        <v/>
      </c>
      <c r="H397" s="45"/>
      <c r="I397" s="42"/>
      <c r="J397" s="11" t="str">
        <f aca="false">IF(H397="","",H397*I397)</f>
        <v/>
      </c>
      <c r="K397" s="42"/>
      <c r="L397" s="11" t="str">
        <f aca="false">IF(H397="","",IF(K397&lt;&gt;"",K397,H397*IFERROR(INDEX(O_Stok!$Q$6:$Q$85,MATCH(G397,O_Stok!$A$6:$A$85,0)),0)))</f>
        <v/>
      </c>
      <c r="M397" s="11" t="str">
        <f aca="false">IF(H397="","",J397-L397)</f>
        <v/>
      </c>
      <c r="N397" s="34" t="str">
        <f aca="false">IF(G397="","",IFERROR(INDEX(I_Master!$B$6:$B$85,MATCH(G397,I_Master!$A$6:$A$85,0)),"?"))</f>
        <v/>
      </c>
      <c r="O397" s="34" t="str">
        <f aca="false">IF(G397="","",IFERROR(INDEX(I_Master!$E$6:$E$85,MATCH(G397,I_Master!$A$6:$A$85,0)),"?"))</f>
        <v/>
      </c>
      <c r="P397" s="46" t="str">
        <f aca="false">IF(H397="","",IF(OR(A397&lt;I_Parameter!$C$5,A397&gt;I_Parameter!$C$6),0,IF(B397="Aktual",1,IF(AND(B397="Order",A397&gt;=I_Parameter!$C$4),1,0))))</f>
        <v/>
      </c>
    </row>
    <row r="398" customFormat="false" ht="15" hidden="false" customHeight="false" outlineLevel="0" collapsed="false">
      <c r="A398" s="37"/>
      <c r="B398" s="44"/>
      <c r="C398" s="44"/>
      <c r="D398" s="44"/>
      <c r="E398" s="44"/>
      <c r="F398" s="44"/>
      <c r="G398" s="34" t="str">
        <f aca="false">IF(F398&lt;&gt;"",F398,IF(E398="","",IFERROR(INDEX(I_Item!$C$6:$C$255,MATCH(E398,I_Item!$A$6:$A$255,0)),"KODE BARU")))</f>
        <v/>
      </c>
      <c r="H398" s="45"/>
      <c r="I398" s="42"/>
      <c r="J398" s="11" t="str">
        <f aca="false">IF(H398="","",H398*I398)</f>
        <v/>
      </c>
      <c r="K398" s="42"/>
      <c r="L398" s="11" t="str">
        <f aca="false">IF(H398="","",IF(K398&lt;&gt;"",K398,H398*IFERROR(INDEX(O_Stok!$Q$6:$Q$85,MATCH(G398,O_Stok!$A$6:$A$85,0)),0)))</f>
        <v/>
      </c>
      <c r="M398" s="11" t="str">
        <f aca="false">IF(H398="","",J398-L398)</f>
        <v/>
      </c>
      <c r="N398" s="34" t="str">
        <f aca="false">IF(G398="","",IFERROR(INDEX(I_Master!$B$6:$B$85,MATCH(G398,I_Master!$A$6:$A$85,0)),"?"))</f>
        <v/>
      </c>
      <c r="O398" s="34" t="str">
        <f aca="false">IF(G398="","",IFERROR(INDEX(I_Master!$E$6:$E$85,MATCH(G398,I_Master!$A$6:$A$85,0)),"?"))</f>
        <v/>
      </c>
      <c r="P398" s="46" t="str">
        <f aca="false">IF(H398="","",IF(OR(A398&lt;I_Parameter!$C$5,A398&gt;I_Parameter!$C$6),0,IF(B398="Aktual",1,IF(AND(B398="Order",A398&gt;=I_Parameter!$C$4),1,0))))</f>
        <v/>
      </c>
    </row>
    <row r="399" customFormat="false" ht="15" hidden="false" customHeight="false" outlineLevel="0" collapsed="false">
      <c r="A399" s="37"/>
      <c r="B399" s="44"/>
      <c r="C399" s="44"/>
      <c r="D399" s="44"/>
      <c r="E399" s="44"/>
      <c r="F399" s="44"/>
      <c r="G399" s="34" t="str">
        <f aca="false">IF(F399&lt;&gt;"",F399,IF(E399="","",IFERROR(INDEX(I_Item!$C$6:$C$255,MATCH(E399,I_Item!$A$6:$A$255,0)),"KODE BARU")))</f>
        <v/>
      </c>
      <c r="H399" s="45"/>
      <c r="I399" s="42"/>
      <c r="J399" s="11" t="str">
        <f aca="false">IF(H399="","",H399*I399)</f>
        <v/>
      </c>
      <c r="K399" s="42"/>
      <c r="L399" s="11" t="str">
        <f aca="false">IF(H399="","",IF(K399&lt;&gt;"",K399,H399*IFERROR(INDEX(O_Stok!$Q$6:$Q$85,MATCH(G399,O_Stok!$A$6:$A$85,0)),0)))</f>
        <v/>
      </c>
      <c r="M399" s="11" t="str">
        <f aca="false">IF(H399="","",J399-L399)</f>
        <v/>
      </c>
      <c r="N399" s="34" t="str">
        <f aca="false">IF(G399="","",IFERROR(INDEX(I_Master!$B$6:$B$85,MATCH(G399,I_Master!$A$6:$A$85,0)),"?"))</f>
        <v/>
      </c>
      <c r="O399" s="34" t="str">
        <f aca="false">IF(G399="","",IFERROR(INDEX(I_Master!$E$6:$E$85,MATCH(G399,I_Master!$A$6:$A$85,0)),"?"))</f>
        <v/>
      </c>
      <c r="P399" s="46" t="str">
        <f aca="false">IF(H399="","",IF(OR(A399&lt;I_Parameter!$C$5,A399&gt;I_Parameter!$C$6),0,IF(B399="Aktual",1,IF(AND(B399="Order",A399&gt;=I_Parameter!$C$4),1,0))))</f>
        <v/>
      </c>
    </row>
    <row r="400" customFormat="false" ht="15" hidden="false" customHeight="false" outlineLevel="0" collapsed="false">
      <c r="A400" s="37"/>
      <c r="B400" s="44"/>
      <c r="C400" s="44"/>
      <c r="D400" s="44"/>
      <c r="E400" s="44"/>
      <c r="F400" s="44"/>
      <c r="G400" s="34" t="str">
        <f aca="false">IF(F400&lt;&gt;"",F400,IF(E400="","",IFERROR(INDEX(I_Item!$C$6:$C$255,MATCH(E400,I_Item!$A$6:$A$255,0)),"KODE BARU")))</f>
        <v/>
      </c>
      <c r="H400" s="45"/>
      <c r="I400" s="42"/>
      <c r="J400" s="11" t="str">
        <f aca="false">IF(H400="","",H400*I400)</f>
        <v/>
      </c>
      <c r="K400" s="42"/>
      <c r="L400" s="11" t="str">
        <f aca="false">IF(H400="","",IF(K400&lt;&gt;"",K400,H400*IFERROR(INDEX(O_Stok!$Q$6:$Q$85,MATCH(G400,O_Stok!$A$6:$A$85,0)),0)))</f>
        <v/>
      </c>
      <c r="M400" s="11" t="str">
        <f aca="false">IF(H400="","",J400-L400)</f>
        <v/>
      </c>
      <c r="N400" s="34" t="str">
        <f aca="false">IF(G400="","",IFERROR(INDEX(I_Master!$B$6:$B$85,MATCH(G400,I_Master!$A$6:$A$85,0)),"?"))</f>
        <v/>
      </c>
      <c r="O400" s="34" t="str">
        <f aca="false">IF(G400="","",IFERROR(INDEX(I_Master!$E$6:$E$85,MATCH(G400,I_Master!$A$6:$A$85,0)),"?"))</f>
        <v/>
      </c>
      <c r="P400" s="46" t="str">
        <f aca="false">IF(H400="","",IF(OR(A400&lt;I_Parameter!$C$5,A400&gt;I_Parameter!$C$6),0,IF(B400="Aktual",1,IF(AND(B400="Order",A400&gt;=I_Parameter!$C$4),1,0))))</f>
        <v/>
      </c>
    </row>
    <row r="401" customFormat="false" ht="15" hidden="false" customHeight="false" outlineLevel="0" collapsed="false">
      <c r="A401" s="37"/>
      <c r="B401" s="44"/>
      <c r="C401" s="44"/>
      <c r="D401" s="44"/>
      <c r="E401" s="44"/>
      <c r="F401" s="44"/>
      <c r="G401" s="34" t="str">
        <f aca="false">IF(F401&lt;&gt;"",F401,IF(E401="","",IFERROR(INDEX(I_Item!$C$6:$C$255,MATCH(E401,I_Item!$A$6:$A$255,0)),"KODE BARU")))</f>
        <v/>
      </c>
      <c r="H401" s="45"/>
      <c r="I401" s="42"/>
      <c r="J401" s="11" t="str">
        <f aca="false">IF(H401="","",H401*I401)</f>
        <v/>
      </c>
      <c r="K401" s="42"/>
      <c r="L401" s="11" t="str">
        <f aca="false">IF(H401="","",IF(K401&lt;&gt;"",K401,H401*IFERROR(INDEX(O_Stok!$Q$6:$Q$85,MATCH(G401,O_Stok!$A$6:$A$85,0)),0)))</f>
        <v/>
      </c>
      <c r="M401" s="11" t="str">
        <f aca="false">IF(H401="","",J401-L401)</f>
        <v/>
      </c>
      <c r="N401" s="34" t="str">
        <f aca="false">IF(G401="","",IFERROR(INDEX(I_Master!$B$6:$B$85,MATCH(G401,I_Master!$A$6:$A$85,0)),"?"))</f>
        <v/>
      </c>
      <c r="O401" s="34" t="str">
        <f aca="false">IF(G401="","",IFERROR(INDEX(I_Master!$E$6:$E$85,MATCH(G401,I_Master!$A$6:$A$85,0)),"?"))</f>
        <v/>
      </c>
      <c r="P401" s="46" t="str">
        <f aca="false">IF(H401="","",IF(OR(A401&lt;I_Parameter!$C$5,A401&gt;I_Parameter!$C$6),0,IF(B401="Aktual",1,IF(AND(B401="Order",A401&gt;=I_Parameter!$C$4),1,0))))</f>
        <v/>
      </c>
    </row>
    <row r="402" customFormat="false" ht="15" hidden="false" customHeight="false" outlineLevel="0" collapsed="false">
      <c r="A402" s="37"/>
      <c r="B402" s="44"/>
      <c r="C402" s="44"/>
      <c r="D402" s="44"/>
      <c r="E402" s="44"/>
      <c r="F402" s="44"/>
      <c r="G402" s="34" t="str">
        <f aca="false">IF(F402&lt;&gt;"",F402,IF(E402="","",IFERROR(INDEX(I_Item!$C$6:$C$255,MATCH(E402,I_Item!$A$6:$A$255,0)),"KODE BARU")))</f>
        <v/>
      </c>
      <c r="H402" s="45"/>
      <c r="I402" s="42"/>
      <c r="J402" s="11" t="str">
        <f aca="false">IF(H402="","",H402*I402)</f>
        <v/>
      </c>
      <c r="K402" s="42"/>
      <c r="L402" s="11" t="str">
        <f aca="false">IF(H402="","",IF(K402&lt;&gt;"",K402,H402*IFERROR(INDEX(O_Stok!$Q$6:$Q$85,MATCH(G402,O_Stok!$A$6:$A$85,0)),0)))</f>
        <v/>
      </c>
      <c r="M402" s="11" t="str">
        <f aca="false">IF(H402="","",J402-L402)</f>
        <v/>
      </c>
      <c r="N402" s="34" t="str">
        <f aca="false">IF(G402="","",IFERROR(INDEX(I_Master!$B$6:$B$85,MATCH(G402,I_Master!$A$6:$A$85,0)),"?"))</f>
        <v/>
      </c>
      <c r="O402" s="34" t="str">
        <f aca="false">IF(G402="","",IFERROR(INDEX(I_Master!$E$6:$E$85,MATCH(G402,I_Master!$A$6:$A$85,0)),"?"))</f>
        <v/>
      </c>
      <c r="P402" s="46" t="str">
        <f aca="false">IF(H402="","",IF(OR(A402&lt;I_Parameter!$C$5,A402&gt;I_Parameter!$C$6),0,IF(B402="Aktual",1,IF(AND(B402="Order",A402&gt;=I_Parameter!$C$4),1,0))))</f>
        <v/>
      </c>
    </row>
    <row r="403" customFormat="false" ht="15" hidden="false" customHeight="false" outlineLevel="0" collapsed="false">
      <c r="A403" s="37"/>
      <c r="B403" s="44"/>
      <c r="C403" s="44"/>
      <c r="D403" s="44"/>
      <c r="E403" s="44"/>
      <c r="F403" s="44"/>
      <c r="G403" s="34" t="str">
        <f aca="false">IF(F403&lt;&gt;"",F403,IF(E403="","",IFERROR(INDEX(I_Item!$C$6:$C$255,MATCH(E403,I_Item!$A$6:$A$255,0)),"KODE BARU")))</f>
        <v/>
      </c>
      <c r="H403" s="45"/>
      <c r="I403" s="42"/>
      <c r="J403" s="11" t="str">
        <f aca="false">IF(H403="","",H403*I403)</f>
        <v/>
      </c>
      <c r="K403" s="42"/>
      <c r="L403" s="11" t="str">
        <f aca="false">IF(H403="","",IF(K403&lt;&gt;"",K403,H403*IFERROR(INDEX(O_Stok!$Q$6:$Q$85,MATCH(G403,O_Stok!$A$6:$A$85,0)),0)))</f>
        <v/>
      </c>
      <c r="M403" s="11" t="str">
        <f aca="false">IF(H403="","",J403-L403)</f>
        <v/>
      </c>
      <c r="N403" s="34" t="str">
        <f aca="false">IF(G403="","",IFERROR(INDEX(I_Master!$B$6:$B$85,MATCH(G403,I_Master!$A$6:$A$85,0)),"?"))</f>
        <v/>
      </c>
      <c r="O403" s="34" t="str">
        <f aca="false">IF(G403="","",IFERROR(INDEX(I_Master!$E$6:$E$85,MATCH(G403,I_Master!$A$6:$A$85,0)),"?"))</f>
        <v/>
      </c>
      <c r="P403" s="46" t="str">
        <f aca="false">IF(H403="","",IF(OR(A403&lt;I_Parameter!$C$5,A403&gt;I_Parameter!$C$6),0,IF(B403="Aktual",1,IF(AND(B403="Order",A403&gt;=I_Parameter!$C$4),1,0))))</f>
        <v/>
      </c>
    </row>
    <row r="404" customFormat="false" ht="15" hidden="false" customHeight="false" outlineLevel="0" collapsed="false">
      <c r="A404" s="37"/>
      <c r="B404" s="44"/>
      <c r="C404" s="44"/>
      <c r="D404" s="44"/>
      <c r="E404" s="44"/>
      <c r="F404" s="44"/>
      <c r="G404" s="34" t="str">
        <f aca="false">IF(F404&lt;&gt;"",F404,IF(E404="","",IFERROR(INDEX(I_Item!$C$6:$C$255,MATCH(E404,I_Item!$A$6:$A$255,0)),"KODE BARU")))</f>
        <v/>
      </c>
      <c r="H404" s="45"/>
      <c r="I404" s="42"/>
      <c r="J404" s="11" t="str">
        <f aca="false">IF(H404="","",H404*I404)</f>
        <v/>
      </c>
      <c r="K404" s="42"/>
      <c r="L404" s="11" t="str">
        <f aca="false">IF(H404="","",IF(K404&lt;&gt;"",K404,H404*IFERROR(INDEX(O_Stok!$Q$6:$Q$85,MATCH(G404,O_Stok!$A$6:$A$85,0)),0)))</f>
        <v/>
      </c>
      <c r="M404" s="11" t="str">
        <f aca="false">IF(H404="","",J404-L404)</f>
        <v/>
      </c>
      <c r="N404" s="34" t="str">
        <f aca="false">IF(G404="","",IFERROR(INDEX(I_Master!$B$6:$B$85,MATCH(G404,I_Master!$A$6:$A$85,0)),"?"))</f>
        <v/>
      </c>
      <c r="O404" s="34" t="str">
        <f aca="false">IF(G404="","",IFERROR(INDEX(I_Master!$E$6:$E$85,MATCH(G404,I_Master!$A$6:$A$85,0)),"?"))</f>
        <v/>
      </c>
      <c r="P404" s="46" t="str">
        <f aca="false">IF(H404="","",IF(OR(A404&lt;I_Parameter!$C$5,A404&gt;I_Parameter!$C$6),0,IF(B404="Aktual",1,IF(AND(B404="Order",A404&gt;=I_Parameter!$C$4),1,0))))</f>
        <v/>
      </c>
    </row>
    <row r="405" customFormat="false" ht="15" hidden="false" customHeight="false" outlineLevel="0" collapsed="false">
      <c r="A405" s="37"/>
      <c r="B405" s="44"/>
      <c r="C405" s="44"/>
      <c r="D405" s="44"/>
      <c r="E405" s="44"/>
      <c r="F405" s="44"/>
      <c r="G405" s="34" t="str">
        <f aca="false">IF(F405&lt;&gt;"",F405,IF(E405="","",IFERROR(INDEX(I_Item!$C$6:$C$255,MATCH(E405,I_Item!$A$6:$A$255,0)),"KODE BARU")))</f>
        <v/>
      </c>
      <c r="H405" s="45"/>
      <c r="I405" s="42"/>
      <c r="J405" s="11" t="str">
        <f aca="false">IF(H405="","",H405*I405)</f>
        <v/>
      </c>
      <c r="K405" s="42"/>
      <c r="L405" s="11" t="str">
        <f aca="false">IF(H405="","",IF(K405&lt;&gt;"",K405,H405*IFERROR(INDEX(O_Stok!$Q$6:$Q$85,MATCH(G405,O_Stok!$A$6:$A$85,0)),0)))</f>
        <v/>
      </c>
      <c r="M405" s="11" t="str">
        <f aca="false">IF(H405="","",J405-L405)</f>
        <v/>
      </c>
      <c r="N405" s="34" t="str">
        <f aca="false">IF(G405="","",IFERROR(INDEX(I_Master!$B$6:$B$85,MATCH(G405,I_Master!$A$6:$A$85,0)),"?"))</f>
        <v/>
      </c>
      <c r="O405" s="34" t="str">
        <f aca="false">IF(G405="","",IFERROR(INDEX(I_Master!$E$6:$E$85,MATCH(G405,I_Master!$A$6:$A$85,0)),"?"))</f>
        <v/>
      </c>
      <c r="P405" s="46" t="str">
        <f aca="false">IF(H405="","",IF(OR(A405&lt;I_Parameter!$C$5,A405&gt;I_Parameter!$C$6),0,IF(B405="Aktual",1,IF(AND(B405="Order",A405&gt;=I_Parameter!$C$4),1,0))))</f>
        <v/>
      </c>
    </row>
    <row r="406" customFormat="false" ht="15" hidden="false" customHeight="false" outlineLevel="0" collapsed="false">
      <c r="A406" s="37"/>
      <c r="B406" s="44"/>
      <c r="C406" s="44"/>
      <c r="D406" s="44"/>
      <c r="E406" s="44"/>
      <c r="F406" s="44"/>
      <c r="G406" s="34" t="str">
        <f aca="false">IF(F406&lt;&gt;"",F406,IF(E406="","",IFERROR(INDEX(I_Item!$C$6:$C$255,MATCH(E406,I_Item!$A$6:$A$255,0)),"KODE BARU")))</f>
        <v/>
      </c>
      <c r="H406" s="45"/>
      <c r="I406" s="42"/>
      <c r="J406" s="11" t="str">
        <f aca="false">IF(H406="","",H406*I406)</f>
        <v/>
      </c>
      <c r="K406" s="42"/>
      <c r="L406" s="11" t="str">
        <f aca="false">IF(H406="","",IF(K406&lt;&gt;"",K406,H406*IFERROR(INDEX(O_Stok!$Q$6:$Q$85,MATCH(G406,O_Stok!$A$6:$A$85,0)),0)))</f>
        <v/>
      </c>
      <c r="M406" s="11" t="str">
        <f aca="false">IF(H406="","",J406-L406)</f>
        <v/>
      </c>
      <c r="N406" s="34" t="str">
        <f aca="false">IF(G406="","",IFERROR(INDEX(I_Master!$B$6:$B$85,MATCH(G406,I_Master!$A$6:$A$85,0)),"?"))</f>
        <v/>
      </c>
      <c r="O406" s="34" t="str">
        <f aca="false">IF(G406="","",IFERROR(INDEX(I_Master!$E$6:$E$85,MATCH(G406,I_Master!$A$6:$A$85,0)),"?"))</f>
        <v/>
      </c>
      <c r="P406" s="46" t="str">
        <f aca="false">IF(H406="","",IF(OR(A406&lt;I_Parameter!$C$5,A406&gt;I_Parameter!$C$6),0,IF(B406="Aktual",1,IF(AND(B406="Order",A406&gt;=I_Parameter!$C$4),1,0))))</f>
        <v/>
      </c>
    </row>
    <row r="407" customFormat="false" ht="15" hidden="false" customHeight="false" outlineLevel="0" collapsed="false">
      <c r="A407" s="37"/>
      <c r="B407" s="44"/>
      <c r="C407" s="44"/>
      <c r="D407" s="44"/>
      <c r="E407" s="44"/>
      <c r="F407" s="44"/>
      <c r="G407" s="34" t="str">
        <f aca="false">IF(F407&lt;&gt;"",F407,IF(E407="","",IFERROR(INDEX(I_Item!$C$6:$C$255,MATCH(E407,I_Item!$A$6:$A$255,0)),"KODE BARU")))</f>
        <v/>
      </c>
      <c r="H407" s="45"/>
      <c r="I407" s="42"/>
      <c r="J407" s="11" t="str">
        <f aca="false">IF(H407="","",H407*I407)</f>
        <v/>
      </c>
      <c r="K407" s="42"/>
      <c r="L407" s="11" t="str">
        <f aca="false">IF(H407="","",IF(K407&lt;&gt;"",K407,H407*IFERROR(INDEX(O_Stok!$Q$6:$Q$85,MATCH(G407,O_Stok!$A$6:$A$85,0)),0)))</f>
        <v/>
      </c>
      <c r="M407" s="11" t="str">
        <f aca="false">IF(H407="","",J407-L407)</f>
        <v/>
      </c>
      <c r="N407" s="34" t="str">
        <f aca="false">IF(G407="","",IFERROR(INDEX(I_Master!$B$6:$B$85,MATCH(G407,I_Master!$A$6:$A$85,0)),"?"))</f>
        <v/>
      </c>
      <c r="O407" s="34" t="str">
        <f aca="false">IF(G407="","",IFERROR(INDEX(I_Master!$E$6:$E$85,MATCH(G407,I_Master!$A$6:$A$85,0)),"?"))</f>
        <v/>
      </c>
      <c r="P407" s="46" t="str">
        <f aca="false">IF(H407="","",IF(OR(A407&lt;I_Parameter!$C$5,A407&gt;I_Parameter!$C$6),0,IF(B407="Aktual",1,IF(AND(B407="Order",A407&gt;=I_Parameter!$C$4),1,0))))</f>
        <v/>
      </c>
    </row>
    <row r="408" customFormat="false" ht="15" hidden="false" customHeight="false" outlineLevel="0" collapsed="false">
      <c r="A408" s="37"/>
      <c r="B408" s="44"/>
      <c r="C408" s="44"/>
      <c r="D408" s="44"/>
      <c r="E408" s="44"/>
      <c r="F408" s="44"/>
      <c r="G408" s="34" t="str">
        <f aca="false">IF(F408&lt;&gt;"",F408,IF(E408="","",IFERROR(INDEX(I_Item!$C$6:$C$255,MATCH(E408,I_Item!$A$6:$A$255,0)),"KODE BARU")))</f>
        <v/>
      </c>
      <c r="H408" s="45"/>
      <c r="I408" s="42"/>
      <c r="J408" s="11" t="str">
        <f aca="false">IF(H408="","",H408*I408)</f>
        <v/>
      </c>
      <c r="K408" s="42"/>
      <c r="L408" s="11" t="str">
        <f aca="false">IF(H408="","",IF(K408&lt;&gt;"",K408,H408*IFERROR(INDEX(O_Stok!$Q$6:$Q$85,MATCH(G408,O_Stok!$A$6:$A$85,0)),0)))</f>
        <v/>
      </c>
      <c r="M408" s="11" t="str">
        <f aca="false">IF(H408="","",J408-L408)</f>
        <v/>
      </c>
      <c r="N408" s="34" t="str">
        <f aca="false">IF(G408="","",IFERROR(INDEX(I_Master!$B$6:$B$85,MATCH(G408,I_Master!$A$6:$A$85,0)),"?"))</f>
        <v/>
      </c>
      <c r="O408" s="34" t="str">
        <f aca="false">IF(G408="","",IFERROR(INDEX(I_Master!$E$6:$E$85,MATCH(G408,I_Master!$A$6:$A$85,0)),"?"))</f>
        <v/>
      </c>
      <c r="P408" s="46" t="str">
        <f aca="false">IF(H408="","",IF(OR(A408&lt;I_Parameter!$C$5,A408&gt;I_Parameter!$C$6),0,IF(B408="Aktual",1,IF(AND(B408="Order",A408&gt;=I_Parameter!$C$4),1,0))))</f>
        <v/>
      </c>
    </row>
    <row r="409" customFormat="false" ht="15" hidden="false" customHeight="false" outlineLevel="0" collapsed="false">
      <c r="A409" s="37"/>
      <c r="B409" s="44"/>
      <c r="C409" s="44"/>
      <c r="D409" s="44"/>
      <c r="E409" s="44"/>
      <c r="F409" s="44"/>
      <c r="G409" s="34" t="str">
        <f aca="false">IF(F409&lt;&gt;"",F409,IF(E409="","",IFERROR(INDEX(I_Item!$C$6:$C$255,MATCH(E409,I_Item!$A$6:$A$255,0)),"KODE BARU")))</f>
        <v/>
      </c>
      <c r="H409" s="45"/>
      <c r="I409" s="42"/>
      <c r="J409" s="11" t="str">
        <f aca="false">IF(H409="","",H409*I409)</f>
        <v/>
      </c>
      <c r="K409" s="42"/>
      <c r="L409" s="11" t="str">
        <f aca="false">IF(H409="","",IF(K409&lt;&gt;"",K409,H409*IFERROR(INDEX(O_Stok!$Q$6:$Q$85,MATCH(G409,O_Stok!$A$6:$A$85,0)),0)))</f>
        <v/>
      </c>
      <c r="M409" s="11" t="str">
        <f aca="false">IF(H409="","",J409-L409)</f>
        <v/>
      </c>
      <c r="N409" s="34" t="str">
        <f aca="false">IF(G409="","",IFERROR(INDEX(I_Master!$B$6:$B$85,MATCH(G409,I_Master!$A$6:$A$85,0)),"?"))</f>
        <v/>
      </c>
      <c r="O409" s="34" t="str">
        <f aca="false">IF(G409="","",IFERROR(INDEX(I_Master!$E$6:$E$85,MATCH(G409,I_Master!$A$6:$A$85,0)),"?"))</f>
        <v/>
      </c>
      <c r="P409" s="46" t="str">
        <f aca="false">IF(H409="","",IF(OR(A409&lt;I_Parameter!$C$5,A409&gt;I_Parameter!$C$6),0,IF(B409="Aktual",1,IF(AND(B409="Order",A409&gt;=I_Parameter!$C$4),1,0))))</f>
        <v/>
      </c>
    </row>
    <row r="410" customFormat="false" ht="15" hidden="false" customHeight="false" outlineLevel="0" collapsed="false">
      <c r="A410" s="37"/>
      <c r="B410" s="44"/>
      <c r="C410" s="44"/>
      <c r="D410" s="44"/>
      <c r="E410" s="44"/>
      <c r="F410" s="44"/>
      <c r="G410" s="34" t="str">
        <f aca="false">IF(F410&lt;&gt;"",F410,IF(E410="","",IFERROR(INDEX(I_Item!$C$6:$C$255,MATCH(E410,I_Item!$A$6:$A$255,0)),"KODE BARU")))</f>
        <v/>
      </c>
      <c r="H410" s="45"/>
      <c r="I410" s="42"/>
      <c r="J410" s="11" t="str">
        <f aca="false">IF(H410="","",H410*I410)</f>
        <v/>
      </c>
      <c r="K410" s="42"/>
      <c r="L410" s="11" t="str">
        <f aca="false">IF(H410="","",IF(K410&lt;&gt;"",K410,H410*IFERROR(INDEX(O_Stok!$Q$6:$Q$85,MATCH(G410,O_Stok!$A$6:$A$85,0)),0)))</f>
        <v/>
      </c>
      <c r="M410" s="11" t="str">
        <f aca="false">IF(H410="","",J410-L410)</f>
        <v/>
      </c>
      <c r="N410" s="34" t="str">
        <f aca="false">IF(G410="","",IFERROR(INDEX(I_Master!$B$6:$B$85,MATCH(G410,I_Master!$A$6:$A$85,0)),"?"))</f>
        <v/>
      </c>
      <c r="O410" s="34" t="str">
        <f aca="false">IF(G410="","",IFERROR(INDEX(I_Master!$E$6:$E$85,MATCH(G410,I_Master!$A$6:$A$85,0)),"?"))</f>
        <v/>
      </c>
      <c r="P410" s="46" t="str">
        <f aca="false">IF(H410="","",IF(OR(A410&lt;I_Parameter!$C$5,A410&gt;I_Parameter!$C$6),0,IF(B410="Aktual",1,IF(AND(B410="Order",A410&gt;=I_Parameter!$C$4),1,0))))</f>
        <v/>
      </c>
    </row>
    <row r="411" customFormat="false" ht="15" hidden="false" customHeight="false" outlineLevel="0" collapsed="false">
      <c r="A411" s="37"/>
      <c r="B411" s="44"/>
      <c r="C411" s="44"/>
      <c r="D411" s="44"/>
      <c r="E411" s="44"/>
      <c r="F411" s="44"/>
      <c r="G411" s="34" t="str">
        <f aca="false">IF(F411&lt;&gt;"",F411,IF(E411="","",IFERROR(INDEX(I_Item!$C$6:$C$255,MATCH(E411,I_Item!$A$6:$A$255,0)),"KODE BARU")))</f>
        <v/>
      </c>
      <c r="H411" s="45"/>
      <c r="I411" s="42"/>
      <c r="J411" s="11" t="str">
        <f aca="false">IF(H411="","",H411*I411)</f>
        <v/>
      </c>
      <c r="K411" s="42"/>
      <c r="L411" s="11" t="str">
        <f aca="false">IF(H411="","",IF(K411&lt;&gt;"",K411,H411*IFERROR(INDEX(O_Stok!$Q$6:$Q$85,MATCH(G411,O_Stok!$A$6:$A$85,0)),0)))</f>
        <v/>
      </c>
      <c r="M411" s="11" t="str">
        <f aca="false">IF(H411="","",J411-L411)</f>
        <v/>
      </c>
      <c r="N411" s="34" t="str">
        <f aca="false">IF(G411="","",IFERROR(INDEX(I_Master!$B$6:$B$85,MATCH(G411,I_Master!$A$6:$A$85,0)),"?"))</f>
        <v/>
      </c>
      <c r="O411" s="34" t="str">
        <f aca="false">IF(G411="","",IFERROR(INDEX(I_Master!$E$6:$E$85,MATCH(G411,I_Master!$A$6:$A$85,0)),"?"))</f>
        <v/>
      </c>
      <c r="P411" s="46" t="str">
        <f aca="false">IF(H411="","",IF(OR(A411&lt;I_Parameter!$C$5,A411&gt;I_Parameter!$C$6),0,IF(B411="Aktual",1,IF(AND(B411="Order",A411&gt;=I_Parameter!$C$4),1,0))))</f>
        <v/>
      </c>
    </row>
    <row r="412" customFormat="false" ht="15" hidden="false" customHeight="false" outlineLevel="0" collapsed="false">
      <c r="A412" s="37"/>
      <c r="B412" s="44"/>
      <c r="C412" s="44"/>
      <c r="D412" s="44"/>
      <c r="E412" s="44"/>
      <c r="F412" s="44"/>
      <c r="G412" s="34" t="str">
        <f aca="false">IF(F412&lt;&gt;"",F412,IF(E412="","",IFERROR(INDEX(I_Item!$C$6:$C$255,MATCH(E412,I_Item!$A$6:$A$255,0)),"KODE BARU")))</f>
        <v/>
      </c>
      <c r="H412" s="45"/>
      <c r="I412" s="42"/>
      <c r="J412" s="11" t="str">
        <f aca="false">IF(H412="","",H412*I412)</f>
        <v/>
      </c>
      <c r="K412" s="42"/>
      <c r="L412" s="11" t="str">
        <f aca="false">IF(H412="","",IF(K412&lt;&gt;"",K412,H412*IFERROR(INDEX(O_Stok!$Q$6:$Q$85,MATCH(G412,O_Stok!$A$6:$A$85,0)),0)))</f>
        <v/>
      </c>
      <c r="M412" s="11" t="str">
        <f aca="false">IF(H412="","",J412-L412)</f>
        <v/>
      </c>
      <c r="N412" s="34" t="str">
        <f aca="false">IF(G412="","",IFERROR(INDEX(I_Master!$B$6:$B$85,MATCH(G412,I_Master!$A$6:$A$85,0)),"?"))</f>
        <v/>
      </c>
      <c r="O412" s="34" t="str">
        <f aca="false">IF(G412="","",IFERROR(INDEX(I_Master!$E$6:$E$85,MATCH(G412,I_Master!$A$6:$A$85,0)),"?"))</f>
        <v/>
      </c>
      <c r="P412" s="46" t="str">
        <f aca="false">IF(H412="","",IF(OR(A412&lt;I_Parameter!$C$5,A412&gt;I_Parameter!$C$6),0,IF(B412="Aktual",1,IF(AND(B412="Order",A412&gt;=I_Parameter!$C$4),1,0))))</f>
        <v/>
      </c>
    </row>
    <row r="413" customFormat="false" ht="15" hidden="false" customHeight="false" outlineLevel="0" collapsed="false">
      <c r="A413" s="37"/>
      <c r="B413" s="44"/>
      <c r="C413" s="44"/>
      <c r="D413" s="44"/>
      <c r="E413" s="44"/>
      <c r="F413" s="44"/>
      <c r="G413" s="34" t="str">
        <f aca="false">IF(F413&lt;&gt;"",F413,IF(E413="","",IFERROR(INDEX(I_Item!$C$6:$C$255,MATCH(E413,I_Item!$A$6:$A$255,0)),"KODE BARU")))</f>
        <v/>
      </c>
      <c r="H413" s="45"/>
      <c r="I413" s="42"/>
      <c r="J413" s="11" t="str">
        <f aca="false">IF(H413="","",H413*I413)</f>
        <v/>
      </c>
      <c r="K413" s="42"/>
      <c r="L413" s="11" t="str">
        <f aca="false">IF(H413="","",IF(K413&lt;&gt;"",K413,H413*IFERROR(INDEX(O_Stok!$Q$6:$Q$85,MATCH(G413,O_Stok!$A$6:$A$85,0)),0)))</f>
        <v/>
      </c>
      <c r="M413" s="11" t="str">
        <f aca="false">IF(H413="","",J413-L413)</f>
        <v/>
      </c>
      <c r="N413" s="34" t="str">
        <f aca="false">IF(G413="","",IFERROR(INDEX(I_Master!$B$6:$B$85,MATCH(G413,I_Master!$A$6:$A$85,0)),"?"))</f>
        <v/>
      </c>
      <c r="O413" s="34" t="str">
        <f aca="false">IF(G413="","",IFERROR(INDEX(I_Master!$E$6:$E$85,MATCH(G413,I_Master!$A$6:$A$85,0)),"?"))</f>
        <v/>
      </c>
      <c r="P413" s="46" t="str">
        <f aca="false">IF(H413="","",IF(OR(A413&lt;I_Parameter!$C$5,A413&gt;I_Parameter!$C$6),0,IF(B413="Aktual",1,IF(AND(B413="Order",A413&gt;=I_Parameter!$C$4),1,0))))</f>
        <v/>
      </c>
    </row>
    <row r="414" customFormat="false" ht="15" hidden="false" customHeight="false" outlineLevel="0" collapsed="false">
      <c r="A414" s="37"/>
      <c r="B414" s="44"/>
      <c r="C414" s="44"/>
      <c r="D414" s="44"/>
      <c r="E414" s="44"/>
      <c r="F414" s="44"/>
      <c r="G414" s="34" t="str">
        <f aca="false">IF(F414&lt;&gt;"",F414,IF(E414="","",IFERROR(INDEX(I_Item!$C$6:$C$255,MATCH(E414,I_Item!$A$6:$A$255,0)),"KODE BARU")))</f>
        <v/>
      </c>
      <c r="H414" s="45"/>
      <c r="I414" s="42"/>
      <c r="J414" s="11" t="str">
        <f aca="false">IF(H414="","",H414*I414)</f>
        <v/>
      </c>
      <c r="K414" s="42"/>
      <c r="L414" s="11" t="str">
        <f aca="false">IF(H414="","",IF(K414&lt;&gt;"",K414,H414*IFERROR(INDEX(O_Stok!$Q$6:$Q$85,MATCH(G414,O_Stok!$A$6:$A$85,0)),0)))</f>
        <v/>
      </c>
      <c r="M414" s="11" t="str">
        <f aca="false">IF(H414="","",J414-L414)</f>
        <v/>
      </c>
      <c r="N414" s="34" t="str">
        <f aca="false">IF(G414="","",IFERROR(INDEX(I_Master!$B$6:$B$85,MATCH(G414,I_Master!$A$6:$A$85,0)),"?"))</f>
        <v/>
      </c>
      <c r="O414" s="34" t="str">
        <f aca="false">IF(G414="","",IFERROR(INDEX(I_Master!$E$6:$E$85,MATCH(G414,I_Master!$A$6:$A$85,0)),"?"))</f>
        <v/>
      </c>
      <c r="P414" s="46" t="str">
        <f aca="false">IF(H414="","",IF(OR(A414&lt;I_Parameter!$C$5,A414&gt;I_Parameter!$C$6),0,IF(B414="Aktual",1,IF(AND(B414="Order",A414&gt;=I_Parameter!$C$4),1,0))))</f>
        <v/>
      </c>
    </row>
    <row r="415" customFormat="false" ht="15" hidden="false" customHeight="false" outlineLevel="0" collapsed="false">
      <c r="A415" s="37"/>
      <c r="B415" s="44"/>
      <c r="C415" s="44"/>
      <c r="D415" s="44"/>
      <c r="E415" s="44"/>
      <c r="F415" s="44"/>
      <c r="G415" s="34" t="str">
        <f aca="false">IF(F415&lt;&gt;"",F415,IF(E415="","",IFERROR(INDEX(I_Item!$C$6:$C$255,MATCH(E415,I_Item!$A$6:$A$255,0)),"KODE BARU")))</f>
        <v/>
      </c>
      <c r="H415" s="45"/>
      <c r="I415" s="42"/>
      <c r="J415" s="11" t="str">
        <f aca="false">IF(H415="","",H415*I415)</f>
        <v/>
      </c>
      <c r="K415" s="42"/>
      <c r="L415" s="11" t="str">
        <f aca="false">IF(H415="","",IF(K415&lt;&gt;"",K415,H415*IFERROR(INDEX(O_Stok!$Q$6:$Q$85,MATCH(G415,O_Stok!$A$6:$A$85,0)),0)))</f>
        <v/>
      </c>
      <c r="M415" s="11" t="str">
        <f aca="false">IF(H415="","",J415-L415)</f>
        <v/>
      </c>
      <c r="N415" s="34" t="str">
        <f aca="false">IF(G415="","",IFERROR(INDEX(I_Master!$B$6:$B$85,MATCH(G415,I_Master!$A$6:$A$85,0)),"?"))</f>
        <v/>
      </c>
      <c r="O415" s="34" t="str">
        <f aca="false">IF(G415="","",IFERROR(INDEX(I_Master!$E$6:$E$85,MATCH(G415,I_Master!$A$6:$A$85,0)),"?"))</f>
        <v/>
      </c>
      <c r="P415" s="46" t="str">
        <f aca="false">IF(H415="","",IF(OR(A415&lt;I_Parameter!$C$5,A415&gt;I_Parameter!$C$6),0,IF(B415="Aktual",1,IF(AND(B415="Order",A415&gt;=I_Parameter!$C$4),1,0))))</f>
        <v/>
      </c>
    </row>
    <row r="416" customFormat="false" ht="15" hidden="false" customHeight="false" outlineLevel="0" collapsed="false">
      <c r="A416" s="37"/>
      <c r="B416" s="44"/>
      <c r="C416" s="44"/>
      <c r="D416" s="44"/>
      <c r="E416" s="44"/>
      <c r="F416" s="44"/>
      <c r="G416" s="34" t="str">
        <f aca="false">IF(F416&lt;&gt;"",F416,IF(E416="","",IFERROR(INDEX(I_Item!$C$6:$C$255,MATCH(E416,I_Item!$A$6:$A$255,0)),"KODE BARU")))</f>
        <v/>
      </c>
      <c r="H416" s="45"/>
      <c r="I416" s="42"/>
      <c r="J416" s="11" t="str">
        <f aca="false">IF(H416="","",H416*I416)</f>
        <v/>
      </c>
      <c r="K416" s="42"/>
      <c r="L416" s="11" t="str">
        <f aca="false">IF(H416="","",IF(K416&lt;&gt;"",K416,H416*IFERROR(INDEX(O_Stok!$Q$6:$Q$85,MATCH(G416,O_Stok!$A$6:$A$85,0)),0)))</f>
        <v/>
      </c>
      <c r="M416" s="11" t="str">
        <f aca="false">IF(H416="","",J416-L416)</f>
        <v/>
      </c>
      <c r="N416" s="34" t="str">
        <f aca="false">IF(G416="","",IFERROR(INDEX(I_Master!$B$6:$B$85,MATCH(G416,I_Master!$A$6:$A$85,0)),"?"))</f>
        <v/>
      </c>
      <c r="O416" s="34" t="str">
        <f aca="false">IF(G416="","",IFERROR(INDEX(I_Master!$E$6:$E$85,MATCH(G416,I_Master!$A$6:$A$85,0)),"?"))</f>
        <v/>
      </c>
      <c r="P416" s="46" t="str">
        <f aca="false">IF(H416="","",IF(OR(A416&lt;I_Parameter!$C$5,A416&gt;I_Parameter!$C$6),0,IF(B416="Aktual",1,IF(AND(B416="Order",A416&gt;=I_Parameter!$C$4),1,0))))</f>
        <v/>
      </c>
    </row>
    <row r="417" customFormat="false" ht="15" hidden="false" customHeight="false" outlineLevel="0" collapsed="false">
      <c r="A417" s="37"/>
      <c r="B417" s="44"/>
      <c r="C417" s="44"/>
      <c r="D417" s="44"/>
      <c r="E417" s="44"/>
      <c r="F417" s="44"/>
      <c r="G417" s="34" t="str">
        <f aca="false">IF(F417&lt;&gt;"",F417,IF(E417="","",IFERROR(INDEX(I_Item!$C$6:$C$255,MATCH(E417,I_Item!$A$6:$A$255,0)),"KODE BARU")))</f>
        <v/>
      </c>
      <c r="H417" s="45"/>
      <c r="I417" s="42"/>
      <c r="J417" s="11" t="str">
        <f aca="false">IF(H417="","",H417*I417)</f>
        <v/>
      </c>
      <c r="K417" s="42"/>
      <c r="L417" s="11" t="str">
        <f aca="false">IF(H417="","",IF(K417&lt;&gt;"",K417,H417*IFERROR(INDEX(O_Stok!$Q$6:$Q$85,MATCH(G417,O_Stok!$A$6:$A$85,0)),0)))</f>
        <v/>
      </c>
      <c r="M417" s="11" t="str">
        <f aca="false">IF(H417="","",J417-L417)</f>
        <v/>
      </c>
      <c r="N417" s="34" t="str">
        <f aca="false">IF(G417="","",IFERROR(INDEX(I_Master!$B$6:$B$85,MATCH(G417,I_Master!$A$6:$A$85,0)),"?"))</f>
        <v/>
      </c>
      <c r="O417" s="34" t="str">
        <f aca="false">IF(G417="","",IFERROR(INDEX(I_Master!$E$6:$E$85,MATCH(G417,I_Master!$A$6:$A$85,0)),"?"))</f>
        <v/>
      </c>
      <c r="P417" s="46" t="str">
        <f aca="false">IF(H417="","",IF(OR(A417&lt;I_Parameter!$C$5,A417&gt;I_Parameter!$C$6),0,IF(B417="Aktual",1,IF(AND(B417="Order",A417&gt;=I_Parameter!$C$4),1,0))))</f>
        <v/>
      </c>
    </row>
    <row r="418" customFormat="false" ht="15" hidden="false" customHeight="false" outlineLevel="0" collapsed="false">
      <c r="A418" s="37"/>
      <c r="B418" s="44"/>
      <c r="C418" s="44"/>
      <c r="D418" s="44"/>
      <c r="E418" s="44"/>
      <c r="F418" s="44"/>
      <c r="G418" s="34" t="str">
        <f aca="false">IF(F418&lt;&gt;"",F418,IF(E418="","",IFERROR(INDEX(I_Item!$C$6:$C$255,MATCH(E418,I_Item!$A$6:$A$255,0)),"KODE BARU")))</f>
        <v/>
      </c>
      <c r="H418" s="45"/>
      <c r="I418" s="42"/>
      <c r="J418" s="11" t="str">
        <f aca="false">IF(H418="","",H418*I418)</f>
        <v/>
      </c>
      <c r="K418" s="42"/>
      <c r="L418" s="11" t="str">
        <f aca="false">IF(H418="","",IF(K418&lt;&gt;"",K418,H418*IFERROR(INDEX(O_Stok!$Q$6:$Q$85,MATCH(G418,O_Stok!$A$6:$A$85,0)),0)))</f>
        <v/>
      </c>
      <c r="M418" s="11" t="str">
        <f aca="false">IF(H418="","",J418-L418)</f>
        <v/>
      </c>
      <c r="N418" s="34" t="str">
        <f aca="false">IF(G418="","",IFERROR(INDEX(I_Master!$B$6:$B$85,MATCH(G418,I_Master!$A$6:$A$85,0)),"?"))</f>
        <v/>
      </c>
      <c r="O418" s="34" t="str">
        <f aca="false">IF(G418="","",IFERROR(INDEX(I_Master!$E$6:$E$85,MATCH(G418,I_Master!$A$6:$A$85,0)),"?"))</f>
        <v/>
      </c>
      <c r="P418" s="46" t="str">
        <f aca="false">IF(H418="","",IF(OR(A418&lt;I_Parameter!$C$5,A418&gt;I_Parameter!$C$6),0,IF(B418="Aktual",1,IF(AND(B418="Order",A418&gt;=I_Parameter!$C$4),1,0))))</f>
        <v/>
      </c>
    </row>
    <row r="419" customFormat="false" ht="15" hidden="false" customHeight="false" outlineLevel="0" collapsed="false">
      <c r="A419" s="37"/>
      <c r="B419" s="44"/>
      <c r="C419" s="44"/>
      <c r="D419" s="44"/>
      <c r="E419" s="44"/>
      <c r="F419" s="44"/>
      <c r="G419" s="34" t="str">
        <f aca="false">IF(F419&lt;&gt;"",F419,IF(E419="","",IFERROR(INDEX(I_Item!$C$6:$C$255,MATCH(E419,I_Item!$A$6:$A$255,0)),"KODE BARU")))</f>
        <v/>
      </c>
      <c r="H419" s="45"/>
      <c r="I419" s="42"/>
      <c r="J419" s="11" t="str">
        <f aca="false">IF(H419="","",H419*I419)</f>
        <v/>
      </c>
      <c r="K419" s="42"/>
      <c r="L419" s="11" t="str">
        <f aca="false">IF(H419="","",IF(K419&lt;&gt;"",K419,H419*IFERROR(INDEX(O_Stok!$Q$6:$Q$85,MATCH(G419,O_Stok!$A$6:$A$85,0)),0)))</f>
        <v/>
      </c>
      <c r="M419" s="11" t="str">
        <f aca="false">IF(H419="","",J419-L419)</f>
        <v/>
      </c>
      <c r="N419" s="34" t="str">
        <f aca="false">IF(G419="","",IFERROR(INDEX(I_Master!$B$6:$B$85,MATCH(G419,I_Master!$A$6:$A$85,0)),"?"))</f>
        <v/>
      </c>
      <c r="O419" s="34" t="str">
        <f aca="false">IF(G419="","",IFERROR(INDEX(I_Master!$E$6:$E$85,MATCH(G419,I_Master!$A$6:$A$85,0)),"?"))</f>
        <v/>
      </c>
      <c r="P419" s="46" t="str">
        <f aca="false">IF(H419="","",IF(OR(A419&lt;I_Parameter!$C$5,A419&gt;I_Parameter!$C$6),0,IF(B419="Aktual",1,IF(AND(B419="Order",A419&gt;=I_Parameter!$C$4),1,0))))</f>
        <v/>
      </c>
    </row>
    <row r="420" customFormat="false" ht="15" hidden="false" customHeight="false" outlineLevel="0" collapsed="false">
      <c r="A420" s="37"/>
      <c r="B420" s="44"/>
      <c r="C420" s="44"/>
      <c r="D420" s="44"/>
      <c r="E420" s="44"/>
      <c r="F420" s="44"/>
      <c r="G420" s="34" t="str">
        <f aca="false">IF(F420&lt;&gt;"",F420,IF(E420="","",IFERROR(INDEX(I_Item!$C$6:$C$255,MATCH(E420,I_Item!$A$6:$A$255,0)),"KODE BARU")))</f>
        <v/>
      </c>
      <c r="H420" s="45"/>
      <c r="I420" s="42"/>
      <c r="J420" s="11" t="str">
        <f aca="false">IF(H420="","",H420*I420)</f>
        <v/>
      </c>
      <c r="K420" s="42"/>
      <c r="L420" s="11" t="str">
        <f aca="false">IF(H420="","",IF(K420&lt;&gt;"",K420,H420*IFERROR(INDEX(O_Stok!$Q$6:$Q$85,MATCH(G420,O_Stok!$A$6:$A$85,0)),0)))</f>
        <v/>
      </c>
      <c r="M420" s="11" t="str">
        <f aca="false">IF(H420="","",J420-L420)</f>
        <v/>
      </c>
      <c r="N420" s="34" t="str">
        <f aca="false">IF(G420="","",IFERROR(INDEX(I_Master!$B$6:$B$85,MATCH(G420,I_Master!$A$6:$A$85,0)),"?"))</f>
        <v/>
      </c>
      <c r="O420" s="34" t="str">
        <f aca="false">IF(G420="","",IFERROR(INDEX(I_Master!$E$6:$E$85,MATCH(G420,I_Master!$A$6:$A$85,0)),"?"))</f>
        <v/>
      </c>
      <c r="P420" s="46" t="str">
        <f aca="false">IF(H420="","",IF(OR(A420&lt;I_Parameter!$C$5,A420&gt;I_Parameter!$C$6),0,IF(B420="Aktual",1,IF(AND(B420="Order",A420&gt;=I_Parameter!$C$4),1,0))))</f>
        <v/>
      </c>
    </row>
    <row r="421" customFormat="false" ht="15" hidden="false" customHeight="false" outlineLevel="0" collapsed="false">
      <c r="A421" s="37"/>
      <c r="B421" s="44"/>
      <c r="C421" s="44"/>
      <c r="D421" s="44"/>
      <c r="E421" s="44"/>
      <c r="F421" s="44"/>
      <c r="G421" s="34" t="str">
        <f aca="false">IF(F421&lt;&gt;"",F421,IF(E421="","",IFERROR(INDEX(I_Item!$C$6:$C$255,MATCH(E421,I_Item!$A$6:$A$255,0)),"KODE BARU")))</f>
        <v/>
      </c>
      <c r="H421" s="45"/>
      <c r="I421" s="42"/>
      <c r="J421" s="11" t="str">
        <f aca="false">IF(H421="","",H421*I421)</f>
        <v/>
      </c>
      <c r="K421" s="42"/>
      <c r="L421" s="11" t="str">
        <f aca="false">IF(H421="","",IF(K421&lt;&gt;"",K421,H421*IFERROR(INDEX(O_Stok!$Q$6:$Q$85,MATCH(G421,O_Stok!$A$6:$A$85,0)),0)))</f>
        <v/>
      </c>
      <c r="M421" s="11" t="str">
        <f aca="false">IF(H421="","",J421-L421)</f>
        <v/>
      </c>
      <c r="N421" s="34" t="str">
        <f aca="false">IF(G421="","",IFERROR(INDEX(I_Master!$B$6:$B$85,MATCH(G421,I_Master!$A$6:$A$85,0)),"?"))</f>
        <v/>
      </c>
      <c r="O421" s="34" t="str">
        <f aca="false">IF(G421="","",IFERROR(INDEX(I_Master!$E$6:$E$85,MATCH(G421,I_Master!$A$6:$A$85,0)),"?"))</f>
        <v/>
      </c>
      <c r="P421" s="46" t="str">
        <f aca="false">IF(H421="","",IF(OR(A421&lt;I_Parameter!$C$5,A421&gt;I_Parameter!$C$6),0,IF(B421="Aktual",1,IF(AND(B421="Order",A421&gt;=I_Parameter!$C$4),1,0))))</f>
        <v/>
      </c>
    </row>
    <row r="422" customFormat="false" ht="15" hidden="false" customHeight="false" outlineLevel="0" collapsed="false">
      <c r="A422" s="37"/>
      <c r="B422" s="44"/>
      <c r="C422" s="44"/>
      <c r="D422" s="44"/>
      <c r="E422" s="44"/>
      <c r="F422" s="44"/>
      <c r="G422" s="34" t="str">
        <f aca="false">IF(F422&lt;&gt;"",F422,IF(E422="","",IFERROR(INDEX(I_Item!$C$6:$C$255,MATCH(E422,I_Item!$A$6:$A$255,0)),"KODE BARU")))</f>
        <v/>
      </c>
      <c r="H422" s="45"/>
      <c r="I422" s="42"/>
      <c r="J422" s="11" t="str">
        <f aca="false">IF(H422="","",H422*I422)</f>
        <v/>
      </c>
      <c r="K422" s="42"/>
      <c r="L422" s="11" t="str">
        <f aca="false">IF(H422="","",IF(K422&lt;&gt;"",K422,H422*IFERROR(INDEX(O_Stok!$Q$6:$Q$85,MATCH(G422,O_Stok!$A$6:$A$85,0)),0)))</f>
        <v/>
      </c>
      <c r="M422" s="11" t="str">
        <f aca="false">IF(H422="","",J422-L422)</f>
        <v/>
      </c>
      <c r="N422" s="34" t="str">
        <f aca="false">IF(G422="","",IFERROR(INDEX(I_Master!$B$6:$B$85,MATCH(G422,I_Master!$A$6:$A$85,0)),"?"))</f>
        <v/>
      </c>
      <c r="O422" s="34" t="str">
        <f aca="false">IF(G422="","",IFERROR(INDEX(I_Master!$E$6:$E$85,MATCH(G422,I_Master!$A$6:$A$85,0)),"?"))</f>
        <v/>
      </c>
      <c r="P422" s="46" t="str">
        <f aca="false">IF(H422="","",IF(OR(A422&lt;I_Parameter!$C$5,A422&gt;I_Parameter!$C$6),0,IF(B422="Aktual",1,IF(AND(B422="Order",A422&gt;=I_Parameter!$C$4),1,0))))</f>
        <v/>
      </c>
    </row>
    <row r="423" customFormat="false" ht="15" hidden="false" customHeight="false" outlineLevel="0" collapsed="false">
      <c r="A423" s="37"/>
      <c r="B423" s="44"/>
      <c r="C423" s="44"/>
      <c r="D423" s="44"/>
      <c r="E423" s="44"/>
      <c r="F423" s="44"/>
      <c r="G423" s="34" t="str">
        <f aca="false">IF(F423&lt;&gt;"",F423,IF(E423="","",IFERROR(INDEX(I_Item!$C$6:$C$255,MATCH(E423,I_Item!$A$6:$A$255,0)),"KODE BARU")))</f>
        <v/>
      </c>
      <c r="H423" s="45"/>
      <c r="I423" s="42"/>
      <c r="J423" s="11" t="str">
        <f aca="false">IF(H423="","",H423*I423)</f>
        <v/>
      </c>
      <c r="K423" s="42"/>
      <c r="L423" s="11" t="str">
        <f aca="false">IF(H423="","",IF(K423&lt;&gt;"",K423,H423*IFERROR(INDEX(O_Stok!$Q$6:$Q$85,MATCH(G423,O_Stok!$A$6:$A$85,0)),0)))</f>
        <v/>
      </c>
      <c r="M423" s="11" t="str">
        <f aca="false">IF(H423="","",J423-L423)</f>
        <v/>
      </c>
      <c r="N423" s="34" t="str">
        <f aca="false">IF(G423="","",IFERROR(INDEX(I_Master!$B$6:$B$85,MATCH(G423,I_Master!$A$6:$A$85,0)),"?"))</f>
        <v/>
      </c>
      <c r="O423" s="34" t="str">
        <f aca="false">IF(G423="","",IFERROR(INDEX(I_Master!$E$6:$E$85,MATCH(G423,I_Master!$A$6:$A$85,0)),"?"))</f>
        <v/>
      </c>
      <c r="P423" s="46" t="str">
        <f aca="false">IF(H423="","",IF(OR(A423&lt;I_Parameter!$C$5,A423&gt;I_Parameter!$C$6),0,IF(B423="Aktual",1,IF(AND(B423="Order",A423&gt;=I_Parameter!$C$4),1,0))))</f>
        <v/>
      </c>
    </row>
    <row r="424" customFormat="false" ht="15" hidden="false" customHeight="false" outlineLevel="0" collapsed="false">
      <c r="A424" s="37"/>
      <c r="B424" s="44"/>
      <c r="C424" s="44"/>
      <c r="D424" s="44"/>
      <c r="E424" s="44"/>
      <c r="F424" s="44"/>
      <c r="G424" s="34" t="str">
        <f aca="false">IF(F424&lt;&gt;"",F424,IF(E424="","",IFERROR(INDEX(I_Item!$C$6:$C$255,MATCH(E424,I_Item!$A$6:$A$255,0)),"KODE BARU")))</f>
        <v/>
      </c>
      <c r="H424" s="45"/>
      <c r="I424" s="42"/>
      <c r="J424" s="11" t="str">
        <f aca="false">IF(H424="","",H424*I424)</f>
        <v/>
      </c>
      <c r="K424" s="42"/>
      <c r="L424" s="11" t="str">
        <f aca="false">IF(H424="","",IF(K424&lt;&gt;"",K424,H424*IFERROR(INDEX(O_Stok!$Q$6:$Q$85,MATCH(G424,O_Stok!$A$6:$A$85,0)),0)))</f>
        <v/>
      </c>
      <c r="M424" s="11" t="str">
        <f aca="false">IF(H424="","",J424-L424)</f>
        <v/>
      </c>
      <c r="N424" s="34" t="str">
        <f aca="false">IF(G424="","",IFERROR(INDEX(I_Master!$B$6:$B$85,MATCH(G424,I_Master!$A$6:$A$85,0)),"?"))</f>
        <v/>
      </c>
      <c r="O424" s="34" t="str">
        <f aca="false">IF(G424="","",IFERROR(INDEX(I_Master!$E$6:$E$85,MATCH(G424,I_Master!$A$6:$A$85,0)),"?"))</f>
        <v/>
      </c>
      <c r="P424" s="46" t="str">
        <f aca="false">IF(H424="","",IF(OR(A424&lt;I_Parameter!$C$5,A424&gt;I_Parameter!$C$6),0,IF(B424="Aktual",1,IF(AND(B424="Order",A424&gt;=I_Parameter!$C$4),1,0))))</f>
        <v/>
      </c>
    </row>
    <row r="425" customFormat="false" ht="15" hidden="false" customHeight="false" outlineLevel="0" collapsed="false">
      <c r="A425" s="37"/>
      <c r="B425" s="44"/>
      <c r="C425" s="44"/>
      <c r="D425" s="44"/>
      <c r="E425" s="44"/>
      <c r="F425" s="44"/>
      <c r="G425" s="34" t="str">
        <f aca="false">IF(F425&lt;&gt;"",F425,IF(E425="","",IFERROR(INDEX(I_Item!$C$6:$C$255,MATCH(E425,I_Item!$A$6:$A$255,0)),"KODE BARU")))</f>
        <v/>
      </c>
      <c r="H425" s="45"/>
      <c r="I425" s="42"/>
      <c r="J425" s="11" t="str">
        <f aca="false">IF(H425="","",H425*I425)</f>
        <v/>
      </c>
      <c r="K425" s="42"/>
      <c r="L425" s="11" t="str">
        <f aca="false">IF(H425="","",IF(K425&lt;&gt;"",K425,H425*IFERROR(INDEX(O_Stok!$Q$6:$Q$85,MATCH(G425,O_Stok!$A$6:$A$85,0)),0)))</f>
        <v/>
      </c>
      <c r="M425" s="11" t="str">
        <f aca="false">IF(H425="","",J425-L425)</f>
        <v/>
      </c>
      <c r="N425" s="34" t="str">
        <f aca="false">IF(G425="","",IFERROR(INDEX(I_Master!$B$6:$B$85,MATCH(G425,I_Master!$A$6:$A$85,0)),"?"))</f>
        <v/>
      </c>
      <c r="O425" s="34" t="str">
        <f aca="false">IF(G425="","",IFERROR(INDEX(I_Master!$E$6:$E$85,MATCH(G425,I_Master!$A$6:$A$85,0)),"?"))</f>
        <v/>
      </c>
      <c r="P425" s="46" t="str">
        <f aca="false">IF(H425="","",IF(OR(A425&lt;I_Parameter!$C$5,A425&gt;I_Parameter!$C$6),0,IF(B425="Aktual",1,IF(AND(B425="Order",A425&gt;=I_Parameter!$C$4),1,0))))</f>
        <v/>
      </c>
    </row>
    <row r="426" customFormat="false" ht="15" hidden="false" customHeight="false" outlineLevel="0" collapsed="false">
      <c r="A426" s="37"/>
      <c r="B426" s="44"/>
      <c r="C426" s="44"/>
      <c r="D426" s="44"/>
      <c r="E426" s="44"/>
      <c r="F426" s="44"/>
      <c r="G426" s="34" t="str">
        <f aca="false">IF(F426&lt;&gt;"",F426,IF(E426="","",IFERROR(INDEX(I_Item!$C$6:$C$255,MATCH(E426,I_Item!$A$6:$A$255,0)),"KODE BARU")))</f>
        <v/>
      </c>
      <c r="H426" s="45"/>
      <c r="I426" s="42"/>
      <c r="J426" s="11" t="str">
        <f aca="false">IF(H426="","",H426*I426)</f>
        <v/>
      </c>
      <c r="K426" s="42"/>
      <c r="L426" s="11" t="str">
        <f aca="false">IF(H426="","",IF(K426&lt;&gt;"",K426,H426*IFERROR(INDEX(O_Stok!$Q$6:$Q$85,MATCH(G426,O_Stok!$A$6:$A$85,0)),0)))</f>
        <v/>
      </c>
      <c r="M426" s="11" t="str">
        <f aca="false">IF(H426="","",J426-L426)</f>
        <v/>
      </c>
      <c r="N426" s="34" t="str">
        <f aca="false">IF(G426="","",IFERROR(INDEX(I_Master!$B$6:$B$85,MATCH(G426,I_Master!$A$6:$A$85,0)),"?"))</f>
        <v/>
      </c>
      <c r="O426" s="34" t="str">
        <f aca="false">IF(G426="","",IFERROR(INDEX(I_Master!$E$6:$E$85,MATCH(G426,I_Master!$A$6:$A$85,0)),"?"))</f>
        <v/>
      </c>
      <c r="P426" s="46" t="str">
        <f aca="false">IF(H426="","",IF(OR(A426&lt;I_Parameter!$C$5,A426&gt;I_Parameter!$C$6),0,IF(B426="Aktual",1,IF(AND(B426="Order",A426&gt;=I_Parameter!$C$4),1,0))))</f>
        <v/>
      </c>
    </row>
    <row r="427" customFormat="false" ht="15" hidden="false" customHeight="false" outlineLevel="0" collapsed="false">
      <c r="A427" s="37"/>
      <c r="B427" s="44"/>
      <c r="C427" s="44"/>
      <c r="D427" s="44"/>
      <c r="E427" s="44"/>
      <c r="F427" s="44"/>
      <c r="G427" s="34" t="str">
        <f aca="false">IF(F427&lt;&gt;"",F427,IF(E427="","",IFERROR(INDEX(I_Item!$C$6:$C$255,MATCH(E427,I_Item!$A$6:$A$255,0)),"KODE BARU")))</f>
        <v/>
      </c>
      <c r="H427" s="45"/>
      <c r="I427" s="42"/>
      <c r="J427" s="11" t="str">
        <f aca="false">IF(H427="","",H427*I427)</f>
        <v/>
      </c>
      <c r="K427" s="42"/>
      <c r="L427" s="11" t="str">
        <f aca="false">IF(H427="","",IF(K427&lt;&gt;"",K427,H427*IFERROR(INDEX(O_Stok!$Q$6:$Q$85,MATCH(G427,O_Stok!$A$6:$A$85,0)),0)))</f>
        <v/>
      </c>
      <c r="M427" s="11" t="str">
        <f aca="false">IF(H427="","",J427-L427)</f>
        <v/>
      </c>
      <c r="N427" s="34" t="str">
        <f aca="false">IF(G427="","",IFERROR(INDEX(I_Master!$B$6:$B$85,MATCH(G427,I_Master!$A$6:$A$85,0)),"?"))</f>
        <v/>
      </c>
      <c r="O427" s="34" t="str">
        <f aca="false">IF(G427="","",IFERROR(INDEX(I_Master!$E$6:$E$85,MATCH(G427,I_Master!$A$6:$A$85,0)),"?"))</f>
        <v/>
      </c>
      <c r="P427" s="46" t="str">
        <f aca="false">IF(H427="","",IF(OR(A427&lt;I_Parameter!$C$5,A427&gt;I_Parameter!$C$6),0,IF(B427="Aktual",1,IF(AND(B427="Order",A427&gt;=I_Parameter!$C$4),1,0))))</f>
        <v/>
      </c>
    </row>
    <row r="428" customFormat="false" ht="15" hidden="false" customHeight="false" outlineLevel="0" collapsed="false">
      <c r="A428" s="37"/>
      <c r="B428" s="44"/>
      <c r="C428" s="44"/>
      <c r="D428" s="44"/>
      <c r="E428" s="44"/>
      <c r="F428" s="44"/>
      <c r="G428" s="34" t="str">
        <f aca="false">IF(F428&lt;&gt;"",F428,IF(E428="","",IFERROR(INDEX(I_Item!$C$6:$C$255,MATCH(E428,I_Item!$A$6:$A$255,0)),"KODE BARU")))</f>
        <v/>
      </c>
      <c r="H428" s="45"/>
      <c r="I428" s="42"/>
      <c r="J428" s="11" t="str">
        <f aca="false">IF(H428="","",H428*I428)</f>
        <v/>
      </c>
      <c r="K428" s="42"/>
      <c r="L428" s="11" t="str">
        <f aca="false">IF(H428="","",IF(K428&lt;&gt;"",K428,H428*IFERROR(INDEX(O_Stok!$Q$6:$Q$85,MATCH(G428,O_Stok!$A$6:$A$85,0)),0)))</f>
        <v/>
      </c>
      <c r="M428" s="11" t="str">
        <f aca="false">IF(H428="","",J428-L428)</f>
        <v/>
      </c>
      <c r="N428" s="34" t="str">
        <f aca="false">IF(G428="","",IFERROR(INDEX(I_Master!$B$6:$B$85,MATCH(G428,I_Master!$A$6:$A$85,0)),"?"))</f>
        <v/>
      </c>
      <c r="O428" s="34" t="str">
        <f aca="false">IF(G428="","",IFERROR(INDEX(I_Master!$E$6:$E$85,MATCH(G428,I_Master!$A$6:$A$85,0)),"?"))</f>
        <v/>
      </c>
      <c r="P428" s="46" t="str">
        <f aca="false">IF(H428="","",IF(OR(A428&lt;I_Parameter!$C$5,A428&gt;I_Parameter!$C$6),0,IF(B428="Aktual",1,IF(AND(B428="Order",A428&gt;=I_Parameter!$C$4),1,0))))</f>
        <v/>
      </c>
    </row>
    <row r="429" customFormat="false" ht="15" hidden="false" customHeight="false" outlineLevel="0" collapsed="false">
      <c r="A429" s="37"/>
      <c r="B429" s="44"/>
      <c r="C429" s="44"/>
      <c r="D429" s="44"/>
      <c r="E429" s="44"/>
      <c r="F429" s="44"/>
      <c r="G429" s="34" t="str">
        <f aca="false">IF(F429&lt;&gt;"",F429,IF(E429="","",IFERROR(INDEX(I_Item!$C$6:$C$255,MATCH(E429,I_Item!$A$6:$A$255,0)),"KODE BARU")))</f>
        <v/>
      </c>
      <c r="H429" s="45"/>
      <c r="I429" s="42"/>
      <c r="J429" s="11" t="str">
        <f aca="false">IF(H429="","",H429*I429)</f>
        <v/>
      </c>
      <c r="K429" s="42"/>
      <c r="L429" s="11" t="str">
        <f aca="false">IF(H429="","",IF(K429&lt;&gt;"",K429,H429*IFERROR(INDEX(O_Stok!$Q$6:$Q$85,MATCH(G429,O_Stok!$A$6:$A$85,0)),0)))</f>
        <v/>
      </c>
      <c r="M429" s="11" t="str">
        <f aca="false">IF(H429="","",J429-L429)</f>
        <v/>
      </c>
      <c r="N429" s="34" t="str">
        <f aca="false">IF(G429="","",IFERROR(INDEX(I_Master!$B$6:$B$85,MATCH(G429,I_Master!$A$6:$A$85,0)),"?"))</f>
        <v/>
      </c>
      <c r="O429" s="34" t="str">
        <f aca="false">IF(G429="","",IFERROR(INDEX(I_Master!$E$6:$E$85,MATCH(G429,I_Master!$A$6:$A$85,0)),"?"))</f>
        <v/>
      </c>
      <c r="P429" s="46" t="str">
        <f aca="false">IF(H429="","",IF(OR(A429&lt;I_Parameter!$C$5,A429&gt;I_Parameter!$C$6),0,IF(B429="Aktual",1,IF(AND(B429="Order",A429&gt;=I_Parameter!$C$4),1,0))))</f>
        <v/>
      </c>
    </row>
    <row r="430" customFormat="false" ht="15" hidden="false" customHeight="false" outlineLevel="0" collapsed="false">
      <c r="A430" s="37"/>
      <c r="B430" s="44"/>
      <c r="C430" s="44"/>
      <c r="D430" s="44"/>
      <c r="E430" s="44"/>
      <c r="F430" s="44"/>
      <c r="G430" s="34" t="str">
        <f aca="false">IF(F430&lt;&gt;"",F430,IF(E430="","",IFERROR(INDEX(I_Item!$C$6:$C$255,MATCH(E430,I_Item!$A$6:$A$255,0)),"KODE BARU")))</f>
        <v/>
      </c>
      <c r="H430" s="45"/>
      <c r="I430" s="42"/>
      <c r="J430" s="11" t="str">
        <f aca="false">IF(H430="","",H430*I430)</f>
        <v/>
      </c>
      <c r="K430" s="42"/>
      <c r="L430" s="11" t="str">
        <f aca="false">IF(H430="","",IF(K430&lt;&gt;"",K430,H430*IFERROR(INDEX(O_Stok!$Q$6:$Q$85,MATCH(G430,O_Stok!$A$6:$A$85,0)),0)))</f>
        <v/>
      </c>
      <c r="M430" s="11" t="str">
        <f aca="false">IF(H430="","",J430-L430)</f>
        <v/>
      </c>
      <c r="N430" s="34" t="str">
        <f aca="false">IF(G430="","",IFERROR(INDEX(I_Master!$B$6:$B$85,MATCH(G430,I_Master!$A$6:$A$85,0)),"?"))</f>
        <v/>
      </c>
      <c r="O430" s="34" t="str">
        <f aca="false">IF(G430="","",IFERROR(INDEX(I_Master!$E$6:$E$85,MATCH(G430,I_Master!$A$6:$A$85,0)),"?"))</f>
        <v/>
      </c>
      <c r="P430" s="46" t="str">
        <f aca="false">IF(H430="","",IF(OR(A430&lt;I_Parameter!$C$5,A430&gt;I_Parameter!$C$6),0,IF(B430="Aktual",1,IF(AND(B430="Order",A430&gt;=I_Parameter!$C$4),1,0))))</f>
        <v/>
      </c>
    </row>
    <row r="431" customFormat="false" ht="15" hidden="false" customHeight="false" outlineLevel="0" collapsed="false">
      <c r="A431" s="37"/>
      <c r="B431" s="44"/>
      <c r="C431" s="44"/>
      <c r="D431" s="44"/>
      <c r="E431" s="44"/>
      <c r="F431" s="44"/>
      <c r="G431" s="34" t="str">
        <f aca="false">IF(F431&lt;&gt;"",F431,IF(E431="","",IFERROR(INDEX(I_Item!$C$6:$C$255,MATCH(E431,I_Item!$A$6:$A$255,0)),"KODE BARU")))</f>
        <v/>
      </c>
      <c r="H431" s="45"/>
      <c r="I431" s="42"/>
      <c r="J431" s="11" t="str">
        <f aca="false">IF(H431="","",H431*I431)</f>
        <v/>
      </c>
      <c r="K431" s="42"/>
      <c r="L431" s="11" t="str">
        <f aca="false">IF(H431="","",IF(K431&lt;&gt;"",K431,H431*IFERROR(INDEX(O_Stok!$Q$6:$Q$85,MATCH(G431,O_Stok!$A$6:$A$85,0)),0)))</f>
        <v/>
      </c>
      <c r="M431" s="11" t="str">
        <f aca="false">IF(H431="","",J431-L431)</f>
        <v/>
      </c>
      <c r="N431" s="34" t="str">
        <f aca="false">IF(G431="","",IFERROR(INDEX(I_Master!$B$6:$B$85,MATCH(G431,I_Master!$A$6:$A$85,0)),"?"))</f>
        <v/>
      </c>
      <c r="O431" s="34" t="str">
        <f aca="false">IF(G431="","",IFERROR(INDEX(I_Master!$E$6:$E$85,MATCH(G431,I_Master!$A$6:$A$85,0)),"?"))</f>
        <v/>
      </c>
      <c r="P431" s="46" t="str">
        <f aca="false">IF(H431="","",IF(OR(A431&lt;I_Parameter!$C$5,A431&gt;I_Parameter!$C$6),0,IF(B431="Aktual",1,IF(AND(B431="Order",A431&gt;=I_Parameter!$C$4),1,0))))</f>
        <v/>
      </c>
    </row>
    <row r="432" customFormat="false" ht="15" hidden="false" customHeight="false" outlineLevel="0" collapsed="false">
      <c r="A432" s="37"/>
      <c r="B432" s="44"/>
      <c r="C432" s="44"/>
      <c r="D432" s="44"/>
      <c r="E432" s="44"/>
      <c r="F432" s="44"/>
      <c r="G432" s="34" t="str">
        <f aca="false">IF(F432&lt;&gt;"",F432,IF(E432="","",IFERROR(INDEX(I_Item!$C$6:$C$255,MATCH(E432,I_Item!$A$6:$A$255,0)),"KODE BARU")))</f>
        <v/>
      </c>
      <c r="H432" s="45"/>
      <c r="I432" s="42"/>
      <c r="J432" s="11" t="str">
        <f aca="false">IF(H432="","",H432*I432)</f>
        <v/>
      </c>
      <c r="K432" s="42"/>
      <c r="L432" s="11" t="str">
        <f aca="false">IF(H432="","",IF(K432&lt;&gt;"",K432,H432*IFERROR(INDEX(O_Stok!$Q$6:$Q$85,MATCH(G432,O_Stok!$A$6:$A$85,0)),0)))</f>
        <v/>
      </c>
      <c r="M432" s="11" t="str">
        <f aca="false">IF(H432="","",J432-L432)</f>
        <v/>
      </c>
      <c r="N432" s="34" t="str">
        <f aca="false">IF(G432="","",IFERROR(INDEX(I_Master!$B$6:$B$85,MATCH(G432,I_Master!$A$6:$A$85,0)),"?"))</f>
        <v/>
      </c>
      <c r="O432" s="34" t="str">
        <f aca="false">IF(G432="","",IFERROR(INDEX(I_Master!$E$6:$E$85,MATCH(G432,I_Master!$A$6:$A$85,0)),"?"))</f>
        <v/>
      </c>
      <c r="P432" s="46" t="str">
        <f aca="false">IF(H432="","",IF(OR(A432&lt;I_Parameter!$C$5,A432&gt;I_Parameter!$C$6),0,IF(B432="Aktual",1,IF(AND(B432="Order",A432&gt;=I_Parameter!$C$4),1,0))))</f>
        <v/>
      </c>
    </row>
    <row r="433" customFormat="false" ht="15" hidden="false" customHeight="false" outlineLevel="0" collapsed="false">
      <c r="A433" s="37"/>
      <c r="B433" s="44"/>
      <c r="C433" s="44"/>
      <c r="D433" s="44"/>
      <c r="E433" s="44"/>
      <c r="F433" s="44"/>
      <c r="G433" s="34" t="str">
        <f aca="false">IF(F433&lt;&gt;"",F433,IF(E433="","",IFERROR(INDEX(I_Item!$C$6:$C$255,MATCH(E433,I_Item!$A$6:$A$255,0)),"KODE BARU")))</f>
        <v/>
      </c>
      <c r="H433" s="45"/>
      <c r="I433" s="42"/>
      <c r="J433" s="11" t="str">
        <f aca="false">IF(H433="","",H433*I433)</f>
        <v/>
      </c>
      <c r="K433" s="42"/>
      <c r="L433" s="11" t="str">
        <f aca="false">IF(H433="","",IF(K433&lt;&gt;"",K433,H433*IFERROR(INDEX(O_Stok!$Q$6:$Q$85,MATCH(G433,O_Stok!$A$6:$A$85,0)),0)))</f>
        <v/>
      </c>
      <c r="M433" s="11" t="str">
        <f aca="false">IF(H433="","",J433-L433)</f>
        <v/>
      </c>
      <c r="N433" s="34" t="str">
        <f aca="false">IF(G433="","",IFERROR(INDEX(I_Master!$B$6:$B$85,MATCH(G433,I_Master!$A$6:$A$85,0)),"?"))</f>
        <v/>
      </c>
      <c r="O433" s="34" t="str">
        <f aca="false">IF(G433="","",IFERROR(INDEX(I_Master!$E$6:$E$85,MATCH(G433,I_Master!$A$6:$A$85,0)),"?"))</f>
        <v/>
      </c>
      <c r="P433" s="46" t="str">
        <f aca="false">IF(H433="","",IF(OR(A433&lt;I_Parameter!$C$5,A433&gt;I_Parameter!$C$6),0,IF(B433="Aktual",1,IF(AND(B433="Order",A433&gt;=I_Parameter!$C$4),1,0))))</f>
        <v/>
      </c>
    </row>
    <row r="434" customFormat="false" ht="15" hidden="false" customHeight="false" outlineLevel="0" collapsed="false">
      <c r="A434" s="37"/>
      <c r="B434" s="44"/>
      <c r="C434" s="44"/>
      <c r="D434" s="44"/>
      <c r="E434" s="44"/>
      <c r="F434" s="44"/>
      <c r="G434" s="34" t="str">
        <f aca="false">IF(F434&lt;&gt;"",F434,IF(E434="","",IFERROR(INDEX(I_Item!$C$6:$C$255,MATCH(E434,I_Item!$A$6:$A$255,0)),"KODE BARU")))</f>
        <v/>
      </c>
      <c r="H434" s="45"/>
      <c r="I434" s="42"/>
      <c r="J434" s="11" t="str">
        <f aca="false">IF(H434="","",H434*I434)</f>
        <v/>
      </c>
      <c r="K434" s="42"/>
      <c r="L434" s="11" t="str">
        <f aca="false">IF(H434="","",IF(K434&lt;&gt;"",K434,H434*IFERROR(INDEX(O_Stok!$Q$6:$Q$85,MATCH(G434,O_Stok!$A$6:$A$85,0)),0)))</f>
        <v/>
      </c>
      <c r="M434" s="11" t="str">
        <f aca="false">IF(H434="","",J434-L434)</f>
        <v/>
      </c>
      <c r="N434" s="34" t="str">
        <f aca="false">IF(G434="","",IFERROR(INDEX(I_Master!$B$6:$B$85,MATCH(G434,I_Master!$A$6:$A$85,0)),"?"))</f>
        <v/>
      </c>
      <c r="O434" s="34" t="str">
        <f aca="false">IF(G434="","",IFERROR(INDEX(I_Master!$E$6:$E$85,MATCH(G434,I_Master!$A$6:$A$85,0)),"?"))</f>
        <v/>
      </c>
      <c r="P434" s="46" t="str">
        <f aca="false">IF(H434="","",IF(OR(A434&lt;I_Parameter!$C$5,A434&gt;I_Parameter!$C$6),0,IF(B434="Aktual",1,IF(AND(B434="Order",A434&gt;=I_Parameter!$C$4),1,0))))</f>
        <v/>
      </c>
    </row>
    <row r="435" customFormat="false" ht="15" hidden="false" customHeight="false" outlineLevel="0" collapsed="false">
      <c r="A435" s="37"/>
      <c r="B435" s="44"/>
      <c r="C435" s="44"/>
      <c r="D435" s="44"/>
      <c r="E435" s="44"/>
      <c r="F435" s="44"/>
      <c r="G435" s="34" t="str">
        <f aca="false">IF(F435&lt;&gt;"",F435,IF(E435="","",IFERROR(INDEX(I_Item!$C$6:$C$255,MATCH(E435,I_Item!$A$6:$A$255,0)),"KODE BARU")))</f>
        <v/>
      </c>
      <c r="H435" s="45"/>
      <c r="I435" s="42"/>
      <c r="J435" s="11" t="str">
        <f aca="false">IF(H435="","",H435*I435)</f>
        <v/>
      </c>
      <c r="K435" s="42"/>
      <c r="L435" s="11" t="str">
        <f aca="false">IF(H435="","",IF(K435&lt;&gt;"",K435,H435*IFERROR(INDEX(O_Stok!$Q$6:$Q$85,MATCH(G435,O_Stok!$A$6:$A$85,0)),0)))</f>
        <v/>
      </c>
      <c r="M435" s="11" t="str">
        <f aca="false">IF(H435="","",J435-L435)</f>
        <v/>
      </c>
      <c r="N435" s="34" t="str">
        <f aca="false">IF(G435="","",IFERROR(INDEX(I_Master!$B$6:$B$85,MATCH(G435,I_Master!$A$6:$A$85,0)),"?"))</f>
        <v/>
      </c>
      <c r="O435" s="34" t="str">
        <f aca="false">IF(G435="","",IFERROR(INDEX(I_Master!$E$6:$E$85,MATCH(G435,I_Master!$A$6:$A$85,0)),"?"))</f>
        <v/>
      </c>
      <c r="P435" s="46" t="str">
        <f aca="false">IF(H435="","",IF(OR(A435&lt;I_Parameter!$C$5,A435&gt;I_Parameter!$C$6),0,IF(B435="Aktual",1,IF(AND(B435="Order",A435&gt;=I_Parameter!$C$4),1,0))))</f>
        <v/>
      </c>
    </row>
    <row r="436" customFormat="false" ht="15" hidden="false" customHeight="false" outlineLevel="0" collapsed="false">
      <c r="A436" s="37"/>
      <c r="B436" s="44"/>
      <c r="C436" s="44"/>
      <c r="D436" s="44"/>
      <c r="E436" s="44"/>
      <c r="F436" s="44"/>
      <c r="G436" s="34" t="str">
        <f aca="false">IF(F436&lt;&gt;"",F436,IF(E436="","",IFERROR(INDEX(I_Item!$C$6:$C$255,MATCH(E436,I_Item!$A$6:$A$255,0)),"KODE BARU")))</f>
        <v/>
      </c>
      <c r="H436" s="45"/>
      <c r="I436" s="42"/>
      <c r="J436" s="11" t="str">
        <f aca="false">IF(H436="","",H436*I436)</f>
        <v/>
      </c>
      <c r="K436" s="42"/>
      <c r="L436" s="11" t="str">
        <f aca="false">IF(H436="","",IF(K436&lt;&gt;"",K436,H436*IFERROR(INDEX(O_Stok!$Q$6:$Q$85,MATCH(G436,O_Stok!$A$6:$A$85,0)),0)))</f>
        <v/>
      </c>
      <c r="M436" s="11" t="str">
        <f aca="false">IF(H436="","",J436-L436)</f>
        <v/>
      </c>
      <c r="N436" s="34" t="str">
        <f aca="false">IF(G436="","",IFERROR(INDEX(I_Master!$B$6:$B$85,MATCH(G436,I_Master!$A$6:$A$85,0)),"?"))</f>
        <v/>
      </c>
      <c r="O436" s="34" t="str">
        <f aca="false">IF(G436="","",IFERROR(INDEX(I_Master!$E$6:$E$85,MATCH(G436,I_Master!$A$6:$A$85,0)),"?"))</f>
        <v/>
      </c>
      <c r="P436" s="46" t="str">
        <f aca="false">IF(H436="","",IF(OR(A436&lt;I_Parameter!$C$5,A436&gt;I_Parameter!$C$6),0,IF(B436="Aktual",1,IF(AND(B436="Order",A436&gt;=I_Parameter!$C$4),1,0))))</f>
        <v/>
      </c>
    </row>
    <row r="437" customFormat="false" ht="15" hidden="false" customHeight="false" outlineLevel="0" collapsed="false">
      <c r="A437" s="37"/>
      <c r="B437" s="44"/>
      <c r="C437" s="44"/>
      <c r="D437" s="44"/>
      <c r="E437" s="44"/>
      <c r="F437" s="44"/>
      <c r="G437" s="34" t="str">
        <f aca="false">IF(F437&lt;&gt;"",F437,IF(E437="","",IFERROR(INDEX(I_Item!$C$6:$C$255,MATCH(E437,I_Item!$A$6:$A$255,0)),"KODE BARU")))</f>
        <v/>
      </c>
      <c r="H437" s="45"/>
      <c r="I437" s="42"/>
      <c r="J437" s="11" t="str">
        <f aca="false">IF(H437="","",H437*I437)</f>
        <v/>
      </c>
      <c r="K437" s="42"/>
      <c r="L437" s="11" t="str">
        <f aca="false">IF(H437="","",IF(K437&lt;&gt;"",K437,H437*IFERROR(INDEX(O_Stok!$Q$6:$Q$85,MATCH(G437,O_Stok!$A$6:$A$85,0)),0)))</f>
        <v/>
      </c>
      <c r="M437" s="11" t="str">
        <f aca="false">IF(H437="","",J437-L437)</f>
        <v/>
      </c>
      <c r="N437" s="34" t="str">
        <f aca="false">IF(G437="","",IFERROR(INDEX(I_Master!$B$6:$B$85,MATCH(G437,I_Master!$A$6:$A$85,0)),"?"))</f>
        <v/>
      </c>
      <c r="O437" s="34" t="str">
        <f aca="false">IF(G437="","",IFERROR(INDEX(I_Master!$E$6:$E$85,MATCH(G437,I_Master!$A$6:$A$85,0)),"?"))</f>
        <v/>
      </c>
      <c r="P437" s="46" t="str">
        <f aca="false">IF(H437="","",IF(OR(A437&lt;I_Parameter!$C$5,A437&gt;I_Parameter!$C$6),0,IF(B437="Aktual",1,IF(AND(B437="Order",A437&gt;=I_Parameter!$C$4),1,0))))</f>
        <v/>
      </c>
    </row>
    <row r="438" customFormat="false" ht="15" hidden="false" customHeight="false" outlineLevel="0" collapsed="false">
      <c r="A438" s="37"/>
      <c r="B438" s="44"/>
      <c r="C438" s="44"/>
      <c r="D438" s="44"/>
      <c r="E438" s="44"/>
      <c r="F438" s="44"/>
      <c r="G438" s="34" t="str">
        <f aca="false">IF(F438&lt;&gt;"",F438,IF(E438="","",IFERROR(INDEX(I_Item!$C$6:$C$255,MATCH(E438,I_Item!$A$6:$A$255,0)),"KODE BARU")))</f>
        <v/>
      </c>
      <c r="H438" s="45"/>
      <c r="I438" s="42"/>
      <c r="J438" s="11" t="str">
        <f aca="false">IF(H438="","",H438*I438)</f>
        <v/>
      </c>
      <c r="K438" s="42"/>
      <c r="L438" s="11" t="str">
        <f aca="false">IF(H438="","",IF(K438&lt;&gt;"",K438,H438*IFERROR(INDEX(O_Stok!$Q$6:$Q$85,MATCH(G438,O_Stok!$A$6:$A$85,0)),0)))</f>
        <v/>
      </c>
      <c r="M438" s="11" t="str">
        <f aca="false">IF(H438="","",J438-L438)</f>
        <v/>
      </c>
      <c r="N438" s="34" t="str">
        <f aca="false">IF(G438="","",IFERROR(INDEX(I_Master!$B$6:$B$85,MATCH(G438,I_Master!$A$6:$A$85,0)),"?"))</f>
        <v/>
      </c>
      <c r="O438" s="34" t="str">
        <f aca="false">IF(G438="","",IFERROR(INDEX(I_Master!$E$6:$E$85,MATCH(G438,I_Master!$A$6:$A$85,0)),"?"))</f>
        <v/>
      </c>
      <c r="P438" s="46" t="str">
        <f aca="false">IF(H438="","",IF(OR(A438&lt;I_Parameter!$C$5,A438&gt;I_Parameter!$C$6),0,IF(B438="Aktual",1,IF(AND(B438="Order",A438&gt;=I_Parameter!$C$4),1,0))))</f>
        <v/>
      </c>
    </row>
    <row r="439" customFormat="false" ht="15" hidden="false" customHeight="false" outlineLevel="0" collapsed="false">
      <c r="A439" s="37"/>
      <c r="B439" s="44"/>
      <c r="C439" s="44"/>
      <c r="D439" s="44"/>
      <c r="E439" s="44"/>
      <c r="F439" s="44"/>
      <c r="G439" s="34" t="str">
        <f aca="false">IF(F439&lt;&gt;"",F439,IF(E439="","",IFERROR(INDEX(I_Item!$C$6:$C$255,MATCH(E439,I_Item!$A$6:$A$255,0)),"KODE BARU")))</f>
        <v/>
      </c>
      <c r="H439" s="45"/>
      <c r="I439" s="42"/>
      <c r="J439" s="11" t="str">
        <f aca="false">IF(H439="","",H439*I439)</f>
        <v/>
      </c>
      <c r="K439" s="42"/>
      <c r="L439" s="11" t="str">
        <f aca="false">IF(H439="","",IF(K439&lt;&gt;"",K439,H439*IFERROR(INDEX(O_Stok!$Q$6:$Q$85,MATCH(G439,O_Stok!$A$6:$A$85,0)),0)))</f>
        <v/>
      </c>
      <c r="M439" s="11" t="str">
        <f aca="false">IF(H439="","",J439-L439)</f>
        <v/>
      </c>
      <c r="N439" s="34" t="str">
        <f aca="false">IF(G439="","",IFERROR(INDEX(I_Master!$B$6:$B$85,MATCH(G439,I_Master!$A$6:$A$85,0)),"?"))</f>
        <v/>
      </c>
      <c r="O439" s="34" t="str">
        <f aca="false">IF(G439="","",IFERROR(INDEX(I_Master!$E$6:$E$85,MATCH(G439,I_Master!$A$6:$A$85,0)),"?"))</f>
        <v/>
      </c>
      <c r="P439" s="46" t="str">
        <f aca="false">IF(H439="","",IF(OR(A439&lt;I_Parameter!$C$5,A439&gt;I_Parameter!$C$6),0,IF(B439="Aktual",1,IF(AND(B439="Order",A439&gt;=I_Parameter!$C$4),1,0))))</f>
        <v/>
      </c>
    </row>
    <row r="440" customFormat="false" ht="15" hidden="false" customHeight="false" outlineLevel="0" collapsed="false">
      <c r="A440" s="37"/>
      <c r="B440" s="44"/>
      <c r="C440" s="44"/>
      <c r="D440" s="44"/>
      <c r="E440" s="44"/>
      <c r="F440" s="44"/>
      <c r="G440" s="34" t="str">
        <f aca="false">IF(F440&lt;&gt;"",F440,IF(E440="","",IFERROR(INDEX(I_Item!$C$6:$C$255,MATCH(E440,I_Item!$A$6:$A$255,0)),"KODE BARU")))</f>
        <v/>
      </c>
      <c r="H440" s="45"/>
      <c r="I440" s="42"/>
      <c r="J440" s="11" t="str">
        <f aca="false">IF(H440="","",H440*I440)</f>
        <v/>
      </c>
      <c r="K440" s="42"/>
      <c r="L440" s="11" t="str">
        <f aca="false">IF(H440="","",IF(K440&lt;&gt;"",K440,H440*IFERROR(INDEX(O_Stok!$Q$6:$Q$85,MATCH(G440,O_Stok!$A$6:$A$85,0)),0)))</f>
        <v/>
      </c>
      <c r="M440" s="11" t="str">
        <f aca="false">IF(H440="","",J440-L440)</f>
        <v/>
      </c>
      <c r="N440" s="34" t="str">
        <f aca="false">IF(G440="","",IFERROR(INDEX(I_Master!$B$6:$B$85,MATCH(G440,I_Master!$A$6:$A$85,0)),"?"))</f>
        <v/>
      </c>
      <c r="O440" s="34" t="str">
        <f aca="false">IF(G440="","",IFERROR(INDEX(I_Master!$E$6:$E$85,MATCH(G440,I_Master!$A$6:$A$85,0)),"?"))</f>
        <v/>
      </c>
      <c r="P440" s="46" t="str">
        <f aca="false">IF(H440="","",IF(OR(A440&lt;I_Parameter!$C$5,A440&gt;I_Parameter!$C$6),0,IF(B440="Aktual",1,IF(AND(B440="Order",A440&gt;=I_Parameter!$C$4),1,0))))</f>
        <v/>
      </c>
    </row>
    <row r="441" customFormat="false" ht="15" hidden="false" customHeight="false" outlineLevel="0" collapsed="false">
      <c r="A441" s="37"/>
      <c r="B441" s="44"/>
      <c r="C441" s="44"/>
      <c r="D441" s="44"/>
      <c r="E441" s="44"/>
      <c r="F441" s="44"/>
      <c r="G441" s="34" t="str">
        <f aca="false">IF(F441&lt;&gt;"",F441,IF(E441="","",IFERROR(INDEX(I_Item!$C$6:$C$255,MATCH(E441,I_Item!$A$6:$A$255,0)),"KODE BARU")))</f>
        <v/>
      </c>
      <c r="H441" s="45"/>
      <c r="I441" s="42"/>
      <c r="J441" s="11" t="str">
        <f aca="false">IF(H441="","",H441*I441)</f>
        <v/>
      </c>
      <c r="K441" s="42"/>
      <c r="L441" s="11" t="str">
        <f aca="false">IF(H441="","",IF(K441&lt;&gt;"",K441,H441*IFERROR(INDEX(O_Stok!$Q$6:$Q$85,MATCH(G441,O_Stok!$A$6:$A$85,0)),0)))</f>
        <v/>
      </c>
      <c r="M441" s="11" t="str">
        <f aca="false">IF(H441="","",J441-L441)</f>
        <v/>
      </c>
      <c r="N441" s="34" t="str">
        <f aca="false">IF(G441="","",IFERROR(INDEX(I_Master!$B$6:$B$85,MATCH(G441,I_Master!$A$6:$A$85,0)),"?"))</f>
        <v/>
      </c>
      <c r="O441" s="34" t="str">
        <f aca="false">IF(G441="","",IFERROR(INDEX(I_Master!$E$6:$E$85,MATCH(G441,I_Master!$A$6:$A$85,0)),"?"))</f>
        <v/>
      </c>
      <c r="P441" s="46" t="str">
        <f aca="false">IF(H441="","",IF(OR(A441&lt;I_Parameter!$C$5,A441&gt;I_Parameter!$C$6),0,IF(B441="Aktual",1,IF(AND(B441="Order",A441&gt;=I_Parameter!$C$4),1,0))))</f>
        <v/>
      </c>
    </row>
    <row r="442" customFormat="false" ht="15" hidden="false" customHeight="false" outlineLevel="0" collapsed="false">
      <c r="A442" s="37"/>
      <c r="B442" s="44"/>
      <c r="C442" s="44"/>
      <c r="D442" s="44"/>
      <c r="E442" s="44"/>
      <c r="F442" s="44"/>
      <c r="G442" s="34" t="str">
        <f aca="false">IF(F442&lt;&gt;"",F442,IF(E442="","",IFERROR(INDEX(I_Item!$C$6:$C$255,MATCH(E442,I_Item!$A$6:$A$255,0)),"KODE BARU")))</f>
        <v/>
      </c>
      <c r="H442" s="45"/>
      <c r="I442" s="42"/>
      <c r="J442" s="11" t="str">
        <f aca="false">IF(H442="","",H442*I442)</f>
        <v/>
      </c>
      <c r="K442" s="42"/>
      <c r="L442" s="11" t="str">
        <f aca="false">IF(H442="","",IF(K442&lt;&gt;"",K442,H442*IFERROR(INDEX(O_Stok!$Q$6:$Q$85,MATCH(G442,O_Stok!$A$6:$A$85,0)),0)))</f>
        <v/>
      </c>
      <c r="M442" s="11" t="str">
        <f aca="false">IF(H442="","",J442-L442)</f>
        <v/>
      </c>
      <c r="N442" s="34" t="str">
        <f aca="false">IF(G442="","",IFERROR(INDEX(I_Master!$B$6:$B$85,MATCH(G442,I_Master!$A$6:$A$85,0)),"?"))</f>
        <v/>
      </c>
      <c r="O442" s="34" t="str">
        <f aca="false">IF(G442="","",IFERROR(INDEX(I_Master!$E$6:$E$85,MATCH(G442,I_Master!$A$6:$A$85,0)),"?"))</f>
        <v/>
      </c>
      <c r="P442" s="46" t="str">
        <f aca="false">IF(H442="","",IF(OR(A442&lt;I_Parameter!$C$5,A442&gt;I_Parameter!$C$6),0,IF(B442="Aktual",1,IF(AND(B442="Order",A442&gt;=I_Parameter!$C$4),1,0))))</f>
        <v/>
      </c>
    </row>
    <row r="443" customFormat="false" ht="15" hidden="false" customHeight="false" outlineLevel="0" collapsed="false">
      <c r="A443" s="37"/>
      <c r="B443" s="44"/>
      <c r="C443" s="44"/>
      <c r="D443" s="44"/>
      <c r="E443" s="44"/>
      <c r="F443" s="44"/>
      <c r="G443" s="34" t="str">
        <f aca="false">IF(F443&lt;&gt;"",F443,IF(E443="","",IFERROR(INDEX(I_Item!$C$6:$C$255,MATCH(E443,I_Item!$A$6:$A$255,0)),"KODE BARU")))</f>
        <v/>
      </c>
      <c r="H443" s="45"/>
      <c r="I443" s="42"/>
      <c r="J443" s="11" t="str">
        <f aca="false">IF(H443="","",H443*I443)</f>
        <v/>
      </c>
      <c r="K443" s="42"/>
      <c r="L443" s="11" t="str">
        <f aca="false">IF(H443="","",IF(K443&lt;&gt;"",K443,H443*IFERROR(INDEX(O_Stok!$Q$6:$Q$85,MATCH(G443,O_Stok!$A$6:$A$85,0)),0)))</f>
        <v/>
      </c>
      <c r="M443" s="11" t="str">
        <f aca="false">IF(H443="","",J443-L443)</f>
        <v/>
      </c>
      <c r="N443" s="34" t="str">
        <f aca="false">IF(G443="","",IFERROR(INDEX(I_Master!$B$6:$B$85,MATCH(G443,I_Master!$A$6:$A$85,0)),"?"))</f>
        <v/>
      </c>
      <c r="O443" s="34" t="str">
        <f aca="false">IF(G443="","",IFERROR(INDEX(I_Master!$E$6:$E$85,MATCH(G443,I_Master!$A$6:$A$85,0)),"?"))</f>
        <v/>
      </c>
      <c r="P443" s="46" t="str">
        <f aca="false">IF(H443="","",IF(OR(A443&lt;I_Parameter!$C$5,A443&gt;I_Parameter!$C$6),0,IF(B443="Aktual",1,IF(AND(B443="Order",A443&gt;=I_Parameter!$C$4),1,0))))</f>
        <v/>
      </c>
    </row>
    <row r="444" customFormat="false" ht="15" hidden="false" customHeight="false" outlineLevel="0" collapsed="false">
      <c r="A444" s="37"/>
      <c r="B444" s="44"/>
      <c r="C444" s="44"/>
      <c r="D444" s="44"/>
      <c r="E444" s="44"/>
      <c r="F444" s="44"/>
      <c r="G444" s="34" t="str">
        <f aca="false">IF(F444&lt;&gt;"",F444,IF(E444="","",IFERROR(INDEX(I_Item!$C$6:$C$255,MATCH(E444,I_Item!$A$6:$A$255,0)),"KODE BARU")))</f>
        <v/>
      </c>
      <c r="H444" s="45"/>
      <c r="I444" s="42"/>
      <c r="J444" s="11" t="str">
        <f aca="false">IF(H444="","",H444*I444)</f>
        <v/>
      </c>
      <c r="K444" s="42"/>
      <c r="L444" s="11" t="str">
        <f aca="false">IF(H444="","",IF(K444&lt;&gt;"",K444,H444*IFERROR(INDEX(O_Stok!$Q$6:$Q$85,MATCH(G444,O_Stok!$A$6:$A$85,0)),0)))</f>
        <v/>
      </c>
      <c r="M444" s="11" t="str">
        <f aca="false">IF(H444="","",J444-L444)</f>
        <v/>
      </c>
      <c r="N444" s="34" t="str">
        <f aca="false">IF(G444="","",IFERROR(INDEX(I_Master!$B$6:$B$85,MATCH(G444,I_Master!$A$6:$A$85,0)),"?"))</f>
        <v/>
      </c>
      <c r="O444" s="34" t="str">
        <f aca="false">IF(G444="","",IFERROR(INDEX(I_Master!$E$6:$E$85,MATCH(G444,I_Master!$A$6:$A$85,0)),"?"))</f>
        <v/>
      </c>
      <c r="P444" s="46" t="str">
        <f aca="false">IF(H444="","",IF(OR(A444&lt;I_Parameter!$C$5,A444&gt;I_Parameter!$C$6),0,IF(B444="Aktual",1,IF(AND(B444="Order",A444&gt;=I_Parameter!$C$4),1,0))))</f>
        <v/>
      </c>
    </row>
    <row r="445" customFormat="false" ht="15" hidden="false" customHeight="false" outlineLevel="0" collapsed="false">
      <c r="A445" s="37"/>
      <c r="B445" s="44"/>
      <c r="C445" s="44"/>
      <c r="D445" s="44"/>
      <c r="E445" s="44"/>
      <c r="F445" s="44"/>
      <c r="G445" s="34" t="str">
        <f aca="false">IF(F445&lt;&gt;"",F445,IF(E445="","",IFERROR(INDEX(I_Item!$C$6:$C$255,MATCH(E445,I_Item!$A$6:$A$255,0)),"KODE BARU")))</f>
        <v/>
      </c>
      <c r="H445" s="45"/>
      <c r="I445" s="42"/>
      <c r="J445" s="11" t="str">
        <f aca="false">IF(H445="","",H445*I445)</f>
        <v/>
      </c>
      <c r="K445" s="42"/>
      <c r="L445" s="11" t="str">
        <f aca="false">IF(H445="","",IF(K445&lt;&gt;"",K445,H445*IFERROR(INDEX(O_Stok!$Q$6:$Q$85,MATCH(G445,O_Stok!$A$6:$A$85,0)),0)))</f>
        <v/>
      </c>
      <c r="M445" s="11" t="str">
        <f aca="false">IF(H445="","",J445-L445)</f>
        <v/>
      </c>
      <c r="N445" s="34" t="str">
        <f aca="false">IF(G445="","",IFERROR(INDEX(I_Master!$B$6:$B$85,MATCH(G445,I_Master!$A$6:$A$85,0)),"?"))</f>
        <v/>
      </c>
      <c r="O445" s="34" t="str">
        <f aca="false">IF(G445="","",IFERROR(INDEX(I_Master!$E$6:$E$85,MATCH(G445,I_Master!$A$6:$A$85,0)),"?"))</f>
        <v/>
      </c>
      <c r="P445" s="46" t="str">
        <f aca="false">IF(H445="","",IF(OR(A445&lt;I_Parameter!$C$5,A445&gt;I_Parameter!$C$6),0,IF(B445="Aktual",1,IF(AND(B445="Order",A445&gt;=I_Parameter!$C$4),1,0))))</f>
        <v/>
      </c>
    </row>
    <row r="446" customFormat="false" ht="15" hidden="false" customHeight="false" outlineLevel="0" collapsed="false">
      <c r="A446" s="37"/>
      <c r="B446" s="44"/>
      <c r="C446" s="44"/>
      <c r="D446" s="44"/>
      <c r="E446" s="44"/>
      <c r="F446" s="44"/>
      <c r="G446" s="34" t="str">
        <f aca="false">IF(F446&lt;&gt;"",F446,IF(E446="","",IFERROR(INDEX(I_Item!$C$6:$C$255,MATCH(E446,I_Item!$A$6:$A$255,0)),"KODE BARU")))</f>
        <v/>
      </c>
      <c r="H446" s="45"/>
      <c r="I446" s="42"/>
      <c r="J446" s="11" t="str">
        <f aca="false">IF(H446="","",H446*I446)</f>
        <v/>
      </c>
      <c r="K446" s="42"/>
      <c r="L446" s="11" t="str">
        <f aca="false">IF(H446="","",IF(K446&lt;&gt;"",K446,H446*IFERROR(INDEX(O_Stok!$Q$6:$Q$85,MATCH(G446,O_Stok!$A$6:$A$85,0)),0)))</f>
        <v/>
      </c>
      <c r="M446" s="11" t="str">
        <f aca="false">IF(H446="","",J446-L446)</f>
        <v/>
      </c>
      <c r="N446" s="34" t="str">
        <f aca="false">IF(G446="","",IFERROR(INDEX(I_Master!$B$6:$B$85,MATCH(G446,I_Master!$A$6:$A$85,0)),"?"))</f>
        <v/>
      </c>
      <c r="O446" s="34" t="str">
        <f aca="false">IF(G446="","",IFERROR(INDEX(I_Master!$E$6:$E$85,MATCH(G446,I_Master!$A$6:$A$85,0)),"?"))</f>
        <v/>
      </c>
      <c r="P446" s="46" t="str">
        <f aca="false">IF(H446="","",IF(OR(A446&lt;I_Parameter!$C$5,A446&gt;I_Parameter!$C$6),0,IF(B446="Aktual",1,IF(AND(B446="Order",A446&gt;=I_Parameter!$C$4),1,0))))</f>
        <v/>
      </c>
    </row>
    <row r="447" customFormat="false" ht="15" hidden="false" customHeight="false" outlineLevel="0" collapsed="false">
      <c r="A447" s="37"/>
      <c r="B447" s="44"/>
      <c r="C447" s="44"/>
      <c r="D447" s="44"/>
      <c r="E447" s="44"/>
      <c r="F447" s="44"/>
      <c r="G447" s="34" t="str">
        <f aca="false">IF(F447&lt;&gt;"",F447,IF(E447="","",IFERROR(INDEX(I_Item!$C$6:$C$255,MATCH(E447,I_Item!$A$6:$A$255,0)),"KODE BARU")))</f>
        <v/>
      </c>
      <c r="H447" s="45"/>
      <c r="I447" s="42"/>
      <c r="J447" s="11" t="str">
        <f aca="false">IF(H447="","",H447*I447)</f>
        <v/>
      </c>
      <c r="K447" s="42"/>
      <c r="L447" s="11" t="str">
        <f aca="false">IF(H447="","",IF(K447&lt;&gt;"",K447,H447*IFERROR(INDEX(O_Stok!$Q$6:$Q$85,MATCH(G447,O_Stok!$A$6:$A$85,0)),0)))</f>
        <v/>
      </c>
      <c r="M447" s="11" t="str">
        <f aca="false">IF(H447="","",J447-L447)</f>
        <v/>
      </c>
      <c r="N447" s="34" t="str">
        <f aca="false">IF(G447="","",IFERROR(INDEX(I_Master!$B$6:$B$85,MATCH(G447,I_Master!$A$6:$A$85,0)),"?"))</f>
        <v/>
      </c>
      <c r="O447" s="34" t="str">
        <f aca="false">IF(G447="","",IFERROR(INDEX(I_Master!$E$6:$E$85,MATCH(G447,I_Master!$A$6:$A$85,0)),"?"))</f>
        <v/>
      </c>
      <c r="P447" s="46" t="str">
        <f aca="false">IF(H447="","",IF(OR(A447&lt;I_Parameter!$C$5,A447&gt;I_Parameter!$C$6),0,IF(B447="Aktual",1,IF(AND(B447="Order",A447&gt;=I_Parameter!$C$4),1,0))))</f>
        <v/>
      </c>
    </row>
    <row r="448" customFormat="false" ht="15" hidden="false" customHeight="false" outlineLevel="0" collapsed="false">
      <c r="A448" s="37"/>
      <c r="B448" s="44"/>
      <c r="C448" s="44"/>
      <c r="D448" s="44"/>
      <c r="E448" s="44"/>
      <c r="F448" s="44"/>
      <c r="G448" s="34" t="str">
        <f aca="false">IF(F448&lt;&gt;"",F448,IF(E448="","",IFERROR(INDEX(I_Item!$C$6:$C$255,MATCH(E448,I_Item!$A$6:$A$255,0)),"KODE BARU")))</f>
        <v/>
      </c>
      <c r="H448" s="45"/>
      <c r="I448" s="42"/>
      <c r="J448" s="11" t="str">
        <f aca="false">IF(H448="","",H448*I448)</f>
        <v/>
      </c>
      <c r="K448" s="42"/>
      <c r="L448" s="11" t="str">
        <f aca="false">IF(H448="","",IF(K448&lt;&gt;"",K448,H448*IFERROR(INDEX(O_Stok!$Q$6:$Q$85,MATCH(G448,O_Stok!$A$6:$A$85,0)),0)))</f>
        <v/>
      </c>
      <c r="M448" s="11" t="str">
        <f aca="false">IF(H448="","",J448-L448)</f>
        <v/>
      </c>
      <c r="N448" s="34" t="str">
        <f aca="false">IF(G448="","",IFERROR(INDEX(I_Master!$B$6:$B$85,MATCH(G448,I_Master!$A$6:$A$85,0)),"?"))</f>
        <v/>
      </c>
      <c r="O448" s="34" t="str">
        <f aca="false">IF(G448="","",IFERROR(INDEX(I_Master!$E$6:$E$85,MATCH(G448,I_Master!$A$6:$A$85,0)),"?"))</f>
        <v/>
      </c>
      <c r="P448" s="46" t="str">
        <f aca="false">IF(H448="","",IF(OR(A448&lt;I_Parameter!$C$5,A448&gt;I_Parameter!$C$6),0,IF(B448="Aktual",1,IF(AND(B448="Order",A448&gt;=I_Parameter!$C$4),1,0))))</f>
        <v/>
      </c>
    </row>
    <row r="449" customFormat="false" ht="15" hidden="false" customHeight="false" outlineLevel="0" collapsed="false">
      <c r="A449" s="37"/>
      <c r="B449" s="44"/>
      <c r="C449" s="44"/>
      <c r="D449" s="44"/>
      <c r="E449" s="44"/>
      <c r="F449" s="44"/>
      <c r="G449" s="34" t="str">
        <f aca="false">IF(F449&lt;&gt;"",F449,IF(E449="","",IFERROR(INDEX(I_Item!$C$6:$C$255,MATCH(E449,I_Item!$A$6:$A$255,0)),"KODE BARU")))</f>
        <v/>
      </c>
      <c r="H449" s="45"/>
      <c r="I449" s="42"/>
      <c r="J449" s="11" t="str">
        <f aca="false">IF(H449="","",H449*I449)</f>
        <v/>
      </c>
      <c r="K449" s="42"/>
      <c r="L449" s="11" t="str">
        <f aca="false">IF(H449="","",IF(K449&lt;&gt;"",K449,H449*IFERROR(INDEX(O_Stok!$Q$6:$Q$85,MATCH(G449,O_Stok!$A$6:$A$85,0)),0)))</f>
        <v/>
      </c>
      <c r="M449" s="11" t="str">
        <f aca="false">IF(H449="","",J449-L449)</f>
        <v/>
      </c>
      <c r="N449" s="34" t="str">
        <f aca="false">IF(G449="","",IFERROR(INDEX(I_Master!$B$6:$B$85,MATCH(G449,I_Master!$A$6:$A$85,0)),"?"))</f>
        <v/>
      </c>
      <c r="O449" s="34" t="str">
        <f aca="false">IF(G449="","",IFERROR(INDEX(I_Master!$E$6:$E$85,MATCH(G449,I_Master!$A$6:$A$85,0)),"?"))</f>
        <v/>
      </c>
      <c r="P449" s="46" t="str">
        <f aca="false">IF(H449="","",IF(OR(A449&lt;I_Parameter!$C$5,A449&gt;I_Parameter!$C$6),0,IF(B449="Aktual",1,IF(AND(B449="Order",A449&gt;=I_Parameter!$C$4),1,0))))</f>
        <v/>
      </c>
    </row>
    <row r="450" customFormat="false" ht="15" hidden="false" customHeight="false" outlineLevel="0" collapsed="false">
      <c r="A450" s="37"/>
      <c r="B450" s="44"/>
      <c r="C450" s="44"/>
      <c r="D450" s="44"/>
      <c r="E450" s="44"/>
      <c r="F450" s="44"/>
      <c r="G450" s="34" t="str">
        <f aca="false">IF(F450&lt;&gt;"",F450,IF(E450="","",IFERROR(INDEX(I_Item!$C$6:$C$255,MATCH(E450,I_Item!$A$6:$A$255,0)),"KODE BARU")))</f>
        <v/>
      </c>
      <c r="H450" s="45"/>
      <c r="I450" s="42"/>
      <c r="J450" s="11" t="str">
        <f aca="false">IF(H450="","",H450*I450)</f>
        <v/>
      </c>
      <c r="K450" s="42"/>
      <c r="L450" s="11" t="str">
        <f aca="false">IF(H450="","",IF(K450&lt;&gt;"",K450,H450*IFERROR(INDEX(O_Stok!$Q$6:$Q$85,MATCH(G450,O_Stok!$A$6:$A$85,0)),0)))</f>
        <v/>
      </c>
      <c r="M450" s="11" t="str">
        <f aca="false">IF(H450="","",J450-L450)</f>
        <v/>
      </c>
      <c r="N450" s="34" t="str">
        <f aca="false">IF(G450="","",IFERROR(INDEX(I_Master!$B$6:$B$85,MATCH(G450,I_Master!$A$6:$A$85,0)),"?"))</f>
        <v/>
      </c>
      <c r="O450" s="34" t="str">
        <f aca="false">IF(G450="","",IFERROR(INDEX(I_Master!$E$6:$E$85,MATCH(G450,I_Master!$A$6:$A$85,0)),"?"))</f>
        <v/>
      </c>
      <c r="P450" s="46" t="str">
        <f aca="false">IF(H450="","",IF(OR(A450&lt;I_Parameter!$C$5,A450&gt;I_Parameter!$C$6),0,IF(B450="Aktual",1,IF(AND(B450="Order",A450&gt;=I_Parameter!$C$4),1,0))))</f>
        <v/>
      </c>
    </row>
    <row r="451" customFormat="false" ht="15" hidden="false" customHeight="false" outlineLevel="0" collapsed="false">
      <c r="A451" s="37"/>
      <c r="B451" s="44"/>
      <c r="C451" s="44"/>
      <c r="D451" s="44"/>
      <c r="E451" s="44"/>
      <c r="F451" s="44"/>
      <c r="G451" s="34" t="str">
        <f aca="false">IF(F451&lt;&gt;"",F451,IF(E451="","",IFERROR(INDEX(I_Item!$C$6:$C$255,MATCH(E451,I_Item!$A$6:$A$255,0)),"KODE BARU")))</f>
        <v/>
      </c>
      <c r="H451" s="45"/>
      <c r="I451" s="42"/>
      <c r="J451" s="11" t="str">
        <f aca="false">IF(H451="","",H451*I451)</f>
        <v/>
      </c>
      <c r="K451" s="42"/>
      <c r="L451" s="11" t="str">
        <f aca="false">IF(H451="","",IF(K451&lt;&gt;"",K451,H451*IFERROR(INDEX(O_Stok!$Q$6:$Q$85,MATCH(G451,O_Stok!$A$6:$A$85,0)),0)))</f>
        <v/>
      </c>
      <c r="M451" s="11" t="str">
        <f aca="false">IF(H451="","",J451-L451)</f>
        <v/>
      </c>
      <c r="N451" s="34" t="str">
        <f aca="false">IF(G451="","",IFERROR(INDEX(I_Master!$B$6:$B$85,MATCH(G451,I_Master!$A$6:$A$85,0)),"?"))</f>
        <v/>
      </c>
      <c r="O451" s="34" t="str">
        <f aca="false">IF(G451="","",IFERROR(INDEX(I_Master!$E$6:$E$85,MATCH(G451,I_Master!$A$6:$A$85,0)),"?"))</f>
        <v/>
      </c>
      <c r="P451" s="46" t="str">
        <f aca="false">IF(H451="","",IF(OR(A451&lt;I_Parameter!$C$5,A451&gt;I_Parameter!$C$6),0,IF(B451="Aktual",1,IF(AND(B451="Order",A451&gt;=I_Parameter!$C$4),1,0))))</f>
        <v/>
      </c>
    </row>
    <row r="452" customFormat="false" ht="15" hidden="false" customHeight="false" outlineLevel="0" collapsed="false">
      <c r="A452" s="37"/>
      <c r="B452" s="44"/>
      <c r="C452" s="44"/>
      <c r="D452" s="44"/>
      <c r="E452" s="44"/>
      <c r="F452" s="44"/>
      <c r="G452" s="34" t="str">
        <f aca="false">IF(F452&lt;&gt;"",F452,IF(E452="","",IFERROR(INDEX(I_Item!$C$6:$C$255,MATCH(E452,I_Item!$A$6:$A$255,0)),"KODE BARU")))</f>
        <v/>
      </c>
      <c r="H452" s="45"/>
      <c r="I452" s="42"/>
      <c r="J452" s="11" t="str">
        <f aca="false">IF(H452="","",H452*I452)</f>
        <v/>
      </c>
      <c r="K452" s="42"/>
      <c r="L452" s="11" t="str">
        <f aca="false">IF(H452="","",IF(K452&lt;&gt;"",K452,H452*IFERROR(INDEX(O_Stok!$Q$6:$Q$85,MATCH(G452,O_Stok!$A$6:$A$85,0)),0)))</f>
        <v/>
      </c>
      <c r="M452" s="11" t="str">
        <f aca="false">IF(H452="","",J452-L452)</f>
        <v/>
      </c>
      <c r="N452" s="34" t="str">
        <f aca="false">IF(G452="","",IFERROR(INDEX(I_Master!$B$6:$B$85,MATCH(G452,I_Master!$A$6:$A$85,0)),"?"))</f>
        <v/>
      </c>
      <c r="O452" s="34" t="str">
        <f aca="false">IF(G452="","",IFERROR(INDEX(I_Master!$E$6:$E$85,MATCH(G452,I_Master!$A$6:$A$85,0)),"?"))</f>
        <v/>
      </c>
      <c r="P452" s="46" t="str">
        <f aca="false">IF(H452="","",IF(OR(A452&lt;I_Parameter!$C$5,A452&gt;I_Parameter!$C$6),0,IF(B452="Aktual",1,IF(AND(B452="Order",A452&gt;=I_Parameter!$C$4),1,0))))</f>
        <v/>
      </c>
    </row>
    <row r="453" customFormat="false" ht="15" hidden="false" customHeight="false" outlineLevel="0" collapsed="false">
      <c r="A453" s="37"/>
      <c r="B453" s="44"/>
      <c r="C453" s="44"/>
      <c r="D453" s="44"/>
      <c r="E453" s="44"/>
      <c r="F453" s="44"/>
      <c r="G453" s="34" t="str">
        <f aca="false">IF(F453&lt;&gt;"",F453,IF(E453="","",IFERROR(INDEX(I_Item!$C$6:$C$255,MATCH(E453,I_Item!$A$6:$A$255,0)),"KODE BARU")))</f>
        <v/>
      </c>
      <c r="H453" s="45"/>
      <c r="I453" s="42"/>
      <c r="J453" s="11" t="str">
        <f aca="false">IF(H453="","",H453*I453)</f>
        <v/>
      </c>
      <c r="K453" s="42"/>
      <c r="L453" s="11" t="str">
        <f aca="false">IF(H453="","",IF(K453&lt;&gt;"",K453,H453*IFERROR(INDEX(O_Stok!$Q$6:$Q$85,MATCH(G453,O_Stok!$A$6:$A$85,0)),0)))</f>
        <v/>
      </c>
      <c r="M453" s="11" t="str">
        <f aca="false">IF(H453="","",J453-L453)</f>
        <v/>
      </c>
      <c r="N453" s="34" t="str">
        <f aca="false">IF(G453="","",IFERROR(INDEX(I_Master!$B$6:$B$85,MATCH(G453,I_Master!$A$6:$A$85,0)),"?"))</f>
        <v/>
      </c>
      <c r="O453" s="34" t="str">
        <f aca="false">IF(G453="","",IFERROR(INDEX(I_Master!$E$6:$E$85,MATCH(G453,I_Master!$A$6:$A$85,0)),"?"))</f>
        <v/>
      </c>
      <c r="P453" s="46" t="str">
        <f aca="false">IF(H453="","",IF(OR(A453&lt;I_Parameter!$C$5,A453&gt;I_Parameter!$C$6),0,IF(B453="Aktual",1,IF(AND(B453="Order",A453&gt;=I_Parameter!$C$4),1,0))))</f>
        <v/>
      </c>
    </row>
    <row r="454" customFormat="false" ht="15" hidden="false" customHeight="false" outlineLevel="0" collapsed="false">
      <c r="A454" s="37"/>
      <c r="B454" s="44"/>
      <c r="C454" s="44"/>
      <c r="D454" s="44"/>
      <c r="E454" s="44"/>
      <c r="F454" s="44"/>
      <c r="G454" s="34" t="str">
        <f aca="false">IF(F454&lt;&gt;"",F454,IF(E454="","",IFERROR(INDEX(I_Item!$C$6:$C$255,MATCH(E454,I_Item!$A$6:$A$255,0)),"KODE BARU")))</f>
        <v/>
      </c>
      <c r="H454" s="45"/>
      <c r="I454" s="42"/>
      <c r="J454" s="11" t="str">
        <f aca="false">IF(H454="","",H454*I454)</f>
        <v/>
      </c>
      <c r="K454" s="42"/>
      <c r="L454" s="11" t="str">
        <f aca="false">IF(H454="","",IF(K454&lt;&gt;"",K454,H454*IFERROR(INDEX(O_Stok!$Q$6:$Q$85,MATCH(G454,O_Stok!$A$6:$A$85,0)),0)))</f>
        <v/>
      </c>
      <c r="M454" s="11" t="str">
        <f aca="false">IF(H454="","",J454-L454)</f>
        <v/>
      </c>
      <c r="N454" s="34" t="str">
        <f aca="false">IF(G454="","",IFERROR(INDEX(I_Master!$B$6:$B$85,MATCH(G454,I_Master!$A$6:$A$85,0)),"?"))</f>
        <v/>
      </c>
      <c r="O454" s="34" t="str">
        <f aca="false">IF(G454="","",IFERROR(INDEX(I_Master!$E$6:$E$85,MATCH(G454,I_Master!$A$6:$A$85,0)),"?"))</f>
        <v/>
      </c>
      <c r="P454" s="46" t="str">
        <f aca="false">IF(H454="","",IF(OR(A454&lt;I_Parameter!$C$5,A454&gt;I_Parameter!$C$6),0,IF(B454="Aktual",1,IF(AND(B454="Order",A454&gt;=I_Parameter!$C$4),1,0))))</f>
        <v/>
      </c>
    </row>
    <row r="455" customFormat="false" ht="15" hidden="false" customHeight="false" outlineLevel="0" collapsed="false">
      <c r="A455" s="37"/>
      <c r="B455" s="44"/>
      <c r="C455" s="44"/>
      <c r="D455" s="44"/>
      <c r="E455" s="44"/>
      <c r="F455" s="44"/>
      <c r="G455" s="34" t="str">
        <f aca="false">IF(F455&lt;&gt;"",F455,IF(E455="","",IFERROR(INDEX(I_Item!$C$6:$C$255,MATCH(E455,I_Item!$A$6:$A$255,0)),"KODE BARU")))</f>
        <v/>
      </c>
      <c r="H455" s="45"/>
      <c r="I455" s="42"/>
      <c r="J455" s="11" t="str">
        <f aca="false">IF(H455="","",H455*I455)</f>
        <v/>
      </c>
      <c r="K455" s="42"/>
      <c r="L455" s="11" t="str">
        <f aca="false">IF(H455="","",IF(K455&lt;&gt;"",K455,H455*IFERROR(INDEX(O_Stok!$Q$6:$Q$85,MATCH(G455,O_Stok!$A$6:$A$85,0)),0)))</f>
        <v/>
      </c>
      <c r="M455" s="11" t="str">
        <f aca="false">IF(H455="","",J455-L455)</f>
        <v/>
      </c>
      <c r="N455" s="34" t="str">
        <f aca="false">IF(G455="","",IFERROR(INDEX(I_Master!$B$6:$B$85,MATCH(G455,I_Master!$A$6:$A$85,0)),"?"))</f>
        <v/>
      </c>
      <c r="O455" s="34" t="str">
        <f aca="false">IF(G455="","",IFERROR(INDEX(I_Master!$E$6:$E$85,MATCH(G455,I_Master!$A$6:$A$85,0)),"?"))</f>
        <v/>
      </c>
      <c r="P455" s="46" t="str">
        <f aca="false">IF(H455="","",IF(OR(A455&lt;I_Parameter!$C$5,A455&gt;I_Parameter!$C$6),0,IF(B455="Aktual",1,IF(AND(B455="Order",A455&gt;=I_Parameter!$C$4),1,0))))</f>
        <v/>
      </c>
    </row>
    <row r="456" customFormat="false" ht="15" hidden="false" customHeight="false" outlineLevel="0" collapsed="false">
      <c r="A456" s="37"/>
      <c r="B456" s="44"/>
      <c r="C456" s="44"/>
      <c r="D456" s="44"/>
      <c r="E456" s="44"/>
      <c r="F456" s="44"/>
      <c r="G456" s="34" t="str">
        <f aca="false">IF(F456&lt;&gt;"",F456,IF(E456="","",IFERROR(INDEX(I_Item!$C$6:$C$255,MATCH(E456,I_Item!$A$6:$A$255,0)),"KODE BARU")))</f>
        <v/>
      </c>
      <c r="H456" s="45"/>
      <c r="I456" s="42"/>
      <c r="J456" s="11" t="str">
        <f aca="false">IF(H456="","",H456*I456)</f>
        <v/>
      </c>
      <c r="K456" s="42"/>
      <c r="L456" s="11" t="str">
        <f aca="false">IF(H456="","",IF(K456&lt;&gt;"",K456,H456*IFERROR(INDEX(O_Stok!$Q$6:$Q$85,MATCH(G456,O_Stok!$A$6:$A$85,0)),0)))</f>
        <v/>
      </c>
      <c r="M456" s="11" t="str">
        <f aca="false">IF(H456="","",J456-L456)</f>
        <v/>
      </c>
      <c r="N456" s="34" t="str">
        <f aca="false">IF(G456="","",IFERROR(INDEX(I_Master!$B$6:$B$85,MATCH(G456,I_Master!$A$6:$A$85,0)),"?"))</f>
        <v/>
      </c>
      <c r="O456" s="34" t="str">
        <f aca="false">IF(G456="","",IFERROR(INDEX(I_Master!$E$6:$E$85,MATCH(G456,I_Master!$A$6:$A$85,0)),"?"))</f>
        <v/>
      </c>
      <c r="P456" s="46" t="str">
        <f aca="false">IF(H456="","",IF(OR(A456&lt;I_Parameter!$C$5,A456&gt;I_Parameter!$C$6),0,IF(B456="Aktual",1,IF(AND(B456="Order",A456&gt;=I_Parameter!$C$4),1,0))))</f>
        <v/>
      </c>
    </row>
    <row r="457" customFormat="false" ht="15" hidden="false" customHeight="false" outlineLevel="0" collapsed="false">
      <c r="A457" s="37"/>
      <c r="B457" s="44"/>
      <c r="C457" s="44"/>
      <c r="D457" s="44"/>
      <c r="E457" s="44"/>
      <c r="F457" s="44"/>
      <c r="G457" s="34" t="str">
        <f aca="false">IF(F457&lt;&gt;"",F457,IF(E457="","",IFERROR(INDEX(I_Item!$C$6:$C$255,MATCH(E457,I_Item!$A$6:$A$255,0)),"KODE BARU")))</f>
        <v/>
      </c>
      <c r="H457" s="45"/>
      <c r="I457" s="42"/>
      <c r="J457" s="11" t="str">
        <f aca="false">IF(H457="","",H457*I457)</f>
        <v/>
      </c>
      <c r="K457" s="42"/>
      <c r="L457" s="11" t="str">
        <f aca="false">IF(H457="","",IF(K457&lt;&gt;"",K457,H457*IFERROR(INDEX(O_Stok!$Q$6:$Q$85,MATCH(G457,O_Stok!$A$6:$A$85,0)),0)))</f>
        <v/>
      </c>
      <c r="M457" s="11" t="str">
        <f aca="false">IF(H457="","",J457-L457)</f>
        <v/>
      </c>
      <c r="N457" s="34" t="str">
        <f aca="false">IF(G457="","",IFERROR(INDEX(I_Master!$B$6:$B$85,MATCH(G457,I_Master!$A$6:$A$85,0)),"?"))</f>
        <v/>
      </c>
      <c r="O457" s="34" t="str">
        <f aca="false">IF(G457="","",IFERROR(INDEX(I_Master!$E$6:$E$85,MATCH(G457,I_Master!$A$6:$A$85,0)),"?"))</f>
        <v/>
      </c>
      <c r="P457" s="46" t="str">
        <f aca="false">IF(H457="","",IF(OR(A457&lt;I_Parameter!$C$5,A457&gt;I_Parameter!$C$6),0,IF(B457="Aktual",1,IF(AND(B457="Order",A457&gt;=I_Parameter!$C$4),1,0))))</f>
        <v/>
      </c>
    </row>
    <row r="458" customFormat="false" ht="15" hidden="false" customHeight="false" outlineLevel="0" collapsed="false">
      <c r="A458" s="37"/>
      <c r="B458" s="44"/>
      <c r="C458" s="44"/>
      <c r="D458" s="44"/>
      <c r="E458" s="44"/>
      <c r="F458" s="44"/>
      <c r="G458" s="34" t="str">
        <f aca="false">IF(F458&lt;&gt;"",F458,IF(E458="","",IFERROR(INDEX(I_Item!$C$6:$C$255,MATCH(E458,I_Item!$A$6:$A$255,0)),"KODE BARU")))</f>
        <v/>
      </c>
      <c r="H458" s="45"/>
      <c r="I458" s="42"/>
      <c r="J458" s="11" t="str">
        <f aca="false">IF(H458="","",H458*I458)</f>
        <v/>
      </c>
      <c r="K458" s="42"/>
      <c r="L458" s="11" t="str">
        <f aca="false">IF(H458="","",IF(K458&lt;&gt;"",K458,H458*IFERROR(INDEX(O_Stok!$Q$6:$Q$85,MATCH(G458,O_Stok!$A$6:$A$85,0)),0)))</f>
        <v/>
      </c>
      <c r="M458" s="11" t="str">
        <f aca="false">IF(H458="","",J458-L458)</f>
        <v/>
      </c>
      <c r="N458" s="34" t="str">
        <f aca="false">IF(G458="","",IFERROR(INDEX(I_Master!$B$6:$B$85,MATCH(G458,I_Master!$A$6:$A$85,0)),"?"))</f>
        <v/>
      </c>
      <c r="O458" s="34" t="str">
        <f aca="false">IF(G458="","",IFERROR(INDEX(I_Master!$E$6:$E$85,MATCH(G458,I_Master!$A$6:$A$85,0)),"?"))</f>
        <v/>
      </c>
      <c r="P458" s="46" t="str">
        <f aca="false">IF(H458="","",IF(OR(A458&lt;I_Parameter!$C$5,A458&gt;I_Parameter!$C$6),0,IF(B458="Aktual",1,IF(AND(B458="Order",A458&gt;=I_Parameter!$C$4),1,0))))</f>
        <v/>
      </c>
    </row>
    <row r="459" customFormat="false" ht="15" hidden="false" customHeight="false" outlineLevel="0" collapsed="false">
      <c r="A459" s="37"/>
      <c r="B459" s="44"/>
      <c r="C459" s="44"/>
      <c r="D459" s="44"/>
      <c r="E459" s="44"/>
      <c r="F459" s="44"/>
      <c r="G459" s="34" t="str">
        <f aca="false">IF(F459&lt;&gt;"",F459,IF(E459="","",IFERROR(INDEX(I_Item!$C$6:$C$255,MATCH(E459,I_Item!$A$6:$A$255,0)),"KODE BARU")))</f>
        <v/>
      </c>
      <c r="H459" s="45"/>
      <c r="I459" s="42"/>
      <c r="J459" s="11" t="str">
        <f aca="false">IF(H459="","",H459*I459)</f>
        <v/>
      </c>
      <c r="K459" s="42"/>
      <c r="L459" s="11" t="str">
        <f aca="false">IF(H459="","",IF(K459&lt;&gt;"",K459,H459*IFERROR(INDEX(O_Stok!$Q$6:$Q$85,MATCH(G459,O_Stok!$A$6:$A$85,0)),0)))</f>
        <v/>
      </c>
      <c r="M459" s="11" t="str">
        <f aca="false">IF(H459="","",J459-L459)</f>
        <v/>
      </c>
      <c r="N459" s="34" t="str">
        <f aca="false">IF(G459="","",IFERROR(INDEX(I_Master!$B$6:$B$85,MATCH(G459,I_Master!$A$6:$A$85,0)),"?"))</f>
        <v/>
      </c>
      <c r="O459" s="34" t="str">
        <f aca="false">IF(G459="","",IFERROR(INDEX(I_Master!$E$6:$E$85,MATCH(G459,I_Master!$A$6:$A$85,0)),"?"))</f>
        <v/>
      </c>
      <c r="P459" s="46" t="str">
        <f aca="false">IF(H459="","",IF(OR(A459&lt;I_Parameter!$C$5,A459&gt;I_Parameter!$C$6),0,IF(B459="Aktual",1,IF(AND(B459="Order",A459&gt;=I_Parameter!$C$4),1,0))))</f>
        <v/>
      </c>
    </row>
    <row r="460" customFormat="false" ht="15" hidden="false" customHeight="false" outlineLevel="0" collapsed="false">
      <c r="A460" s="37"/>
      <c r="B460" s="44"/>
      <c r="C460" s="44"/>
      <c r="D460" s="44"/>
      <c r="E460" s="44"/>
      <c r="F460" s="44"/>
      <c r="G460" s="34" t="str">
        <f aca="false">IF(F460&lt;&gt;"",F460,IF(E460="","",IFERROR(INDEX(I_Item!$C$6:$C$255,MATCH(E460,I_Item!$A$6:$A$255,0)),"KODE BARU")))</f>
        <v/>
      </c>
      <c r="H460" s="45"/>
      <c r="I460" s="42"/>
      <c r="J460" s="11" t="str">
        <f aca="false">IF(H460="","",H460*I460)</f>
        <v/>
      </c>
      <c r="K460" s="42"/>
      <c r="L460" s="11" t="str">
        <f aca="false">IF(H460="","",IF(K460&lt;&gt;"",K460,H460*IFERROR(INDEX(O_Stok!$Q$6:$Q$85,MATCH(G460,O_Stok!$A$6:$A$85,0)),0)))</f>
        <v/>
      </c>
      <c r="M460" s="11" t="str">
        <f aca="false">IF(H460="","",J460-L460)</f>
        <v/>
      </c>
      <c r="N460" s="34" t="str">
        <f aca="false">IF(G460="","",IFERROR(INDEX(I_Master!$B$6:$B$85,MATCH(G460,I_Master!$A$6:$A$85,0)),"?"))</f>
        <v/>
      </c>
      <c r="O460" s="34" t="str">
        <f aca="false">IF(G460="","",IFERROR(INDEX(I_Master!$E$6:$E$85,MATCH(G460,I_Master!$A$6:$A$85,0)),"?"))</f>
        <v/>
      </c>
      <c r="P460" s="46" t="str">
        <f aca="false">IF(H460="","",IF(OR(A460&lt;I_Parameter!$C$5,A460&gt;I_Parameter!$C$6),0,IF(B460="Aktual",1,IF(AND(B460="Order",A460&gt;=I_Parameter!$C$4),1,0))))</f>
        <v/>
      </c>
    </row>
    <row r="461" customFormat="false" ht="15" hidden="false" customHeight="false" outlineLevel="0" collapsed="false">
      <c r="A461" s="37"/>
      <c r="B461" s="44"/>
      <c r="C461" s="44"/>
      <c r="D461" s="44"/>
      <c r="E461" s="44"/>
      <c r="F461" s="44"/>
      <c r="G461" s="34" t="str">
        <f aca="false">IF(F461&lt;&gt;"",F461,IF(E461="","",IFERROR(INDEX(I_Item!$C$6:$C$255,MATCH(E461,I_Item!$A$6:$A$255,0)),"KODE BARU")))</f>
        <v/>
      </c>
      <c r="H461" s="45"/>
      <c r="I461" s="42"/>
      <c r="J461" s="11" t="str">
        <f aca="false">IF(H461="","",H461*I461)</f>
        <v/>
      </c>
      <c r="K461" s="42"/>
      <c r="L461" s="11" t="str">
        <f aca="false">IF(H461="","",IF(K461&lt;&gt;"",K461,H461*IFERROR(INDEX(O_Stok!$Q$6:$Q$85,MATCH(G461,O_Stok!$A$6:$A$85,0)),0)))</f>
        <v/>
      </c>
      <c r="M461" s="11" t="str">
        <f aca="false">IF(H461="","",J461-L461)</f>
        <v/>
      </c>
      <c r="N461" s="34" t="str">
        <f aca="false">IF(G461="","",IFERROR(INDEX(I_Master!$B$6:$B$85,MATCH(G461,I_Master!$A$6:$A$85,0)),"?"))</f>
        <v/>
      </c>
      <c r="O461" s="34" t="str">
        <f aca="false">IF(G461="","",IFERROR(INDEX(I_Master!$E$6:$E$85,MATCH(G461,I_Master!$A$6:$A$85,0)),"?"))</f>
        <v/>
      </c>
      <c r="P461" s="46" t="str">
        <f aca="false">IF(H461="","",IF(OR(A461&lt;I_Parameter!$C$5,A461&gt;I_Parameter!$C$6),0,IF(B461="Aktual",1,IF(AND(B461="Order",A461&gt;=I_Parameter!$C$4),1,0))))</f>
        <v/>
      </c>
    </row>
    <row r="462" customFormat="false" ht="15" hidden="false" customHeight="false" outlineLevel="0" collapsed="false">
      <c r="A462" s="37"/>
      <c r="B462" s="44"/>
      <c r="C462" s="44"/>
      <c r="D462" s="44"/>
      <c r="E462" s="44"/>
      <c r="F462" s="44"/>
      <c r="G462" s="34" t="str">
        <f aca="false">IF(F462&lt;&gt;"",F462,IF(E462="","",IFERROR(INDEX(I_Item!$C$6:$C$255,MATCH(E462,I_Item!$A$6:$A$255,0)),"KODE BARU")))</f>
        <v/>
      </c>
      <c r="H462" s="45"/>
      <c r="I462" s="42"/>
      <c r="J462" s="11" t="str">
        <f aca="false">IF(H462="","",H462*I462)</f>
        <v/>
      </c>
      <c r="K462" s="42"/>
      <c r="L462" s="11" t="str">
        <f aca="false">IF(H462="","",IF(K462&lt;&gt;"",K462,H462*IFERROR(INDEX(O_Stok!$Q$6:$Q$85,MATCH(G462,O_Stok!$A$6:$A$85,0)),0)))</f>
        <v/>
      </c>
      <c r="M462" s="11" t="str">
        <f aca="false">IF(H462="","",J462-L462)</f>
        <v/>
      </c>
      <c r="N462" s="34" t="str">
        <f aca="false">IF(G462="","",IFERROR(INDEX(I_Master!$B$6:$B$85,MATCH(G462,I_Master!$A$6:$A$85,0)),"?"))</f>
        <v/>
      </c>
      <c r="O462" s="34" t="str">
        <f aca="false">IF(G462="","",IFERROR(INDEX(I_Master!$E$6:$E$85,MATCH(G462,I_Master!$A$6:$A$85,0)),"?"))</f>
        <v/>
      </c>
      <c r="P462" s="46" t="str">
        <f aca="false">IF(H462="","",IF(OR(A462&lt;I_Parameter!$C$5,A462&gt;I_Parameter!$C$6),0,IF(B462="Aktual",1,IF(AND(B462="Order",A462&gt;=I_Parameter!$C$4),1,0))))</f>
        <v/>
      </c>
    </row>
    <row r="463" customFormat="false" ht="15" hidden="false" customHeight="false" outlineLevel="0" collapsed="false">
      <c r="A463" s="37"/>
      <c r="B463" s="44"/>
      <c r="C463" s="44"/>
      <c r="D463" s="44"/>
      <c r="E463" s="44"/>
      <c r="F463" s="44"/>
      <c r="G463" s="34" t="str">
        <f aca="false">IF(F463&lt;&gt;"",F463,IF(E463="","",IFERROR(INDEX(I_Item!$C$6:$C$255,MATCH(E463,I_Item!$A$6:$A$255,0)),"KODE BARU")))</f>
        <v/>
      </c>
      <c r="H463" s="45"/>
      <c r="I463" s="42"/>
      <c r="J463" s="11" t="str">
        <f aca="false">IF(H463="","",H463*I463)</f>
        <v/>
      </c>
      <c r="K463" s="42"/>
      <c r="L463" s="11" t="str">
        <f aca="false">IF(H463="","",IF(K463&lt;&gt;"",K463,H463*IFERROR(INDEX(O_Stok!$Q$6:$Q$85,MATCH(G463,O_Stok!$A$6:$A$85,0)),0)))</f>
        <v/>
      </c>
      <c r="M463" s="11" t="str">
        <f aca="false">IF(H463="","",J463-L463)</f>
        <v/>
      </c>
      <c r="N463" s="34" t="str">
        <f aca="false">IF(G463="","",IFERROR(INDEX(I_Master!$B$6:$B$85,MATCH(G463,I_Master!$A$6:$A$85,0)),"?"))</f>
        <v/>
      </c>
      <c r="O463" s="34" t="str">
        <f aca="false">IF(G463="","",IFERROR(INDEX(I_Master!$E$6:$E$85,MATCH(G463,I_Master!$A$6:$A$85,0)),"?"))</f>
        <v/>
      </c>
      <c r="P463" s="46" t="str">
        <f aca="false">IF(H463="","",IF(OR(A463&lt;I_Parameter!$C$5,A463&gt;I_Parameter!$C$6),0,IF(B463="Aktual",1,IF(AND(B463="Order",A463&gt;=I_Parameter!$C$4),1,0))))</f>
        <v/>
      </c>
    </row>
    <row r="464" customFormat="false" ht="15" hidden="false" customHeight="false" outlineLevel="0" collapsed="false">
      <c r="A464" s="37"/>
      <c r="B464" s="44"/>
      <c r="C464" s="44"/>
      <c r="D464" s="44"/>
      <c r="E464" s="44"/>
      <c r="F464" s="44"/>
      <c r="G464" s="34" t="str">
        <f aca="false">IF(F464&lt;&gt;"",F464,IF(E464="","",IFERROR(INDEX(I_Item!$C$6:$C$255,MATCH(E464,I_Item!$A$6:$A$255,0)),"KODE BARU")))</f>
        <v/>
      </c>
      <c r="H464" s="45"/>
      <c r="I464" s="42"/>
      <c r="J464" s="11" t="str">
        <f aca="false">IF(H464="","",H464*I464)</f>
        <v/>
      </c>
      <c r="K464" s="42"/>
      <c r="L464" s="11" t="str">
        <f aca="false">IF(H464="","",IF(K464&lt;&gt;"",K464,H464*IFERROR(INDEX(O_Stok!$Q$6:$Q$85,MATCH(G464,O_Stok!$A$6:$A$85,0)),0)))</f>
        <v/>
      </c>
      <c r="M464" s="11" t="str">
        <f aca="false">IF(H464="","",J464-L464)</f>
        <v/>
      </c>
      <c r="N464" s="34" t="str">
        <f aca="false">IF(G464="","",IFERROR(INDEX(I_Master!$B$6:$B$85,MATCH(G464,I_Master!$A$6:$A$85,0)),"?"))</f>
        <v/>
      </c>
      <c r="O464" s="34" t="str">
        <f aca="false">IF(G464="","",IFERROR(INDEX(I_Master!$E$6:$E$85,MATCH(G464,I_Master!$A$6:$A$85,0)),"?"))</f>
        <v/>
      </c>
      <c r="P464" s="46" t="str">
        <f aca="false">IF(H464="","",IF(OR(A464&lt;I_Parameter!$C$5,A464&gt;I_Parameter!$C$6),0,IF(B464="Aktual",1,IF(AND(B464="Order",A464&gt;=I_Parameter!$C$4),1,0))))</f>
        <v/>
      </c>
    </row>
    <row r="465" customFormat="false" ht="15" hidden="false" customHeight="false" outlineLevel="0" collapsed="false">
      <c r="A465" s="37"/>
      <c r="B465" s="44"/>
      <c r="C465" s="44"/>
      <c r="D465" s="44"/>
      <c r="E465" s="44"/>
      <c r="F465" s="44"/>
      <c r="G465" s="34" t="str">
        <f aca="false">IF(F465&lt;&gt;"",F465,IF(E465="","",IFERROR(INDEX(I_Item!$C$6:$C$255,MATCH(E465,I_Item!$A$6:$A$255,0)),"KODE BARU")))</f>
        <v/>
      </c>
      <c r="H465" s="45"/>
      <c r="I465" s="42"/>
      <c r="J465" s="11" t="str">
        <f aca="false">IF(H465="","",H465*I465)</f>
        <v/>
      </c>
      <c r="K465" s="42"/>
      <c r="L465" s="11" t="str">
        <f aca="false">IF(H465="","",IF(K465&lt;&gt;"",K465,H465*IFERROR(INDEX(O_Stok!$Q$6:$Q$85,MATCH(G465,O_Stok!$A$6:$A$85,0)),0)))</f>
        <v/>
      </c>
      <c r="M465" s="11" t="str">
        <f aca="false">IF(H465="","",J465-L465)</f>
        <v/>
      </c>
      <c r="N465" s="34" t="str">
        <f aca="false">IF(G465="","",IFERROR(INDEX(I_Master!$B$6:$B$85,MATCH(G465,I_Master!$A$6:$A$85,0)),"?"))</f>
        <v/>
      </c>
      <c r="O465" s="34" t="str">
        <f aca="false">IF(G465="","",IFERROR(INDEX(I_Master!$E$6:$E$85,MATCH(G465,I_Master!$A$6:$A$85,0)),"?"))</f>
        <v/>
      </c>
      <c r="P465" s="46" t="str">
        <f aca="false">IF(H465="","",IF(OR(A465&lt;I_Parameter!$C$5,A465&gt;I_Parameter!$C$6),0,IF(B465="Aktual",1,IF(AND(B465="Order",A465&gt;=I_Parameter!$C$4),1,0))))</f>
        <v/>
      </c>
    </row>
    <row r="466" customFormat="false" ht="15" hidden="false" customHeight="false" outlineLevel="0" collapsed="false">
      <c r="A466" s="37"/>
      <c r="B466" s="44"/>
      <c r="C466" s="44"/>
      <c r="D466" s="44"/>
      <c r="E466" s="44"/>
      <c r="F466" s="44"/>
      <c r="G466" s="34" t="str">
        <f aca="false">IF(F466&lt;&gt;"",F466,IF(E466="","",IFERROR(INDEX(I_Item!$C$6:$C$255,MATCH(E466,I_Item!$A$6:$A$255,0)),"KODE BARU")))</f>
        <v/>
      </c>
      <c r="H466" s="45"/>
      <c r="I466" s="42"/>
      <c r="J466" s="11" t="str">
        <f aca="false">IF(H466="","",H466*I466)</f>
        <v/>
      </c>
      <c r="K466" s="42"/>
      <c r="L466" s="11" t="str">
        <f aca="false">IF(H466="","",IF(K466&lt;&gt;"",K466,H466*IFERROR(INDEX(O_Stok!$Q$6:$Q$85,MATCH(G466,O_Stok!$A$6:$A$85,0)),0)))</f>
        <v/>
      </c>
      <c r="M466" s="11" t="str">
        <f aca="false">IF(H466="","",J466-L466)</f>
        <v/>
      </c>
      <c r="N466" s="34" t="str">
        <f aca="false">IF(G466="","",IFERROR(INDEX(I_Master!$B$6:$B$85,MATCH(G466,I_Master!$A$6:$A$85,0)),"?"))</f>
        <v/>
      </c>
      <c r="O466" s="34" t="str">
        <f aca="false">IF(G466="","",IFERROR(INDEX(I_Master!$E$6:$E$85,MATCH(G466,I_Master!$A$6:$A$85,0)),"?"))</f>
        <v/>
      </c>
      <c r="P466" s="46" t="str">
        <f aca="false">IF(H466="","",IF(OR(A466&lt;I_Parameter!$C$5,A466&gt;I_Parameter!$C$6),0,IF(B466="Aktual",1,IF(AND(B466="Order",A466&gt;=I_Parameter!$C$4),1,0))))</f>
        <v/>
      </c>
    </row>
    <row r="467" customFormat="false" ht="15" hidden="false" customHeight="false" outlineLevel="0" collapsed="false">
      <c r="A467" s="37"/>
      <c r="B467" s="44"/>
      <c r="C467" s="44"/>
      <c r="D467" s="44"/>
      <c r="E467" s="44"/>
      <c r="F467" s="44"/>
      <c r="G467" s="34" t="str">
        <f aca="false">IF(F467&lt;&gt;"",F467,IF(E467="","",IFERROR(INDEX(I_Item!$C$6:$C$255,MATCH(E467,I_Item!$A$6:$A$255,0)),"KODE BARU")))</f>
        <v/>
      </c>
      <c r="H467" s="45"/>
      <c r="I467" s="42"/>
      <c r="J467" s="11" t="str">
        <f aca="false">IF(H467="","",H467*I467)</f>
        <v/>
      </c>
      <c r="K467" s="42"/>
      <c r="L467" s="11" t="str">
        <f aca="false">IF(H467="","",IF(K467&lt;&gt;"",K467,H467*IFERROR(INDEX(O_Stok!$Q$6:$Q$85,MATCH(G467,O_Stok!$A$6:$A$85,0)),0)))</f>
        <v/>
      </c>
      <c r="M467" s="11" t="str">
        <f aca="false">IF(H467="","",J467-L467)</f>
        <v/>
      </c>
      <c r="N467" s="34" t="str">
        <f aca="false">IF(G467="","",IFERROR(INDEX(I_Master!$B$6:$B$85,MATCH(G467,I_Master!$A$6:$A$85,0)),"?"))</f>
        <v/>
      </c>
      <c r="O467" s="34" t="str">
        <f aca="false">IF(G467="","",IFERROR(INDEX(I_Master!$E$6:$E$85,MATCH(G467,I_Master!$A$6:$A$85,0)),"?"))</f>
        <v/>
      </c>
      <c r="P467" s="46" t="str">
        <f aca="false">IF(H467="","",IF(OR(A467&lt;I_Parameter!$C$5,A467&gt;I_Parameter!$C$6),0,IF(B467="Aktual",1,IF(AND(B467="Order",A467&gt;=I_Parameter!$C$4),1,0))))</f>
        <v/>
      </c>
    </row>
    <row r="468" customFormat="false" ht="15" hidden="false" customHeight="false" outlineLevel="0" collapsed="false">
      <c r="A468" s="37"/>
      <c r="B468" s="44"/>
      <c r="C468" s="44"/>
      <c r="D468" s="44"/>
      <c r="E468" s="44"/>
      <c r="F468" s="44"/>
      <c r="G468" s="34" t="str">
        <f aca="false">IF(F468&lt;&gt;"",F468,IF(E468="","",IFERROR(INDEX(I_Item!$C$6:$C$255,MATCH(E468,I_Item!$A$6:$A$255,0)),"KODE BARU")))</f>
        <v/>
      </c>
      <c r="H468" s="45"/>
      <c r="I468" s="42"/>
      <c r="J468" s="11" t="str">
        <f aca="false">IF(H468="","",H468*I468)</f>
        <v/>
      </c>
      <c r="K468" s="42"/>
      <c r="L468" s="11" t="str">
        <f aca="false">IF(H468="","",IF(K468&lt;&gt;"",K468,H468*IFERROR(INDEX(O_Stok!$Q$6:$Q$85,MATCH(G468,O_Stok!$A$6:$A$85,0)),0)))</f>
        <v/>
      </c>
      <c r="M468" s="11" t="str">
        <f aca="false">IF(H468="","",J468-L468)</f>
        <v/>
      </c>
      <c r="N468" s="34" t="str">
        <f aca="false">IF(G468="","",IFERROR(INDEX(I_Master!$B$6:$B$85,MATCH(G468,I_Master!$A$6:$A$85,0)),"?"))</f>
        <v/>
      </c>
      <c r="O468" s="34" t="str">
        <f aca="false">IF(G468="","",IFERROR(INDEX(I_Master!$E$6:$E$85,MATCH(G468,I_Master!$A$6:$A$85,0)),"?"))</f>
        <v/>
      </c>
      <c r="P468" s="46" t="str">
        <f aca="false">IF(H468="","",IF(OR(A468&lt;I_Parameter!$C$5,A468&gt;I_Parameter!$C$6),0,IF(B468="Aktual",1,IF(AND(B468="Order",A468&gt;=I_Parameter!$C$4),1,0))))</f>
        <v/>
      </c>
    </row>
    <row r="469" customFormat="false" ht="15" hidden="false" customHeight="false" outlineLevel="0" collapsed="false">
      <c r="A469" s="37"/>
      <c r="B469" s="44"/>
      <c r="C469" s="44"/>
      <c r="D469" s="44"/>
      <c r="E469" s="44"/>
      <c r="F469" s="44"/>
      <c r="G469" s="34" t="str">
        <f aca="false">IF(F469&lt;&gt;"",F469,IF(E469="","",IFERROR(INDEX(I_Item!$C$6:$C$255,MATCH(E469,I_Item!$A$6:$A$255,0)),"KODE BARU")))</f>
        <v/>
      </c>
      <c r="H469" s="45"/>
      <c r="I469" s="42"/>
      <c r="J469" s="11" t="str">
        <f aca="false">IF(H469="","",H469*I469)</f>
        <v/>
      </c>
      <c r="K469" s="42"/>
      <c r="L469" s="11" t="str">
        <f aca="false">IF(H469="","",IF(K469&lt;&gt;"",K469,H469*IFERROR(INDEX(O_Stok!$Q$6:$Q$85,MATCH(G469,O_Stok!$A$6:$A$85,0)),0)))</f>
        <v/>
      </c>
      <c r="M469" s="11" t="str">
        <f aca="false">IF(H469="","",J469-L469)</f>
        <v/>
      </c>
      <c r="N469" s="34" t="str">
        <f aca="false">IF(G469="","",IFERROR(INDEX(I_Master!$B$6:$B$85,MATCH(G469,I_Master!$A$6:$A$85,0)),"?"))</f>
        <v/>
      </c>
      <c r="O469" s="34" t="str">
        <f aca="false">IF(G469="","",IFERROR(INDEX(I_Master!$E$6:$E$85,MATCH(G469,I_Master!$A$6:$A$85,0)),"?"))</f>
        <v/>
      </c>
      <c r="P469" s="46" t="str">
        <f aca="false">IF(H469="","",IF(OR(A469&lt;I_Parameter!$C$5,A469&gt;I_Parameter!$C$6),0,IF(B469="Aktual",1,IF(AND(B469="Order",A469&gt;=I_Parameter!$C$4),1,0))))</f>
        <v/>
      </c>
    </row>
    <row r="470" customFormat="false" ht="15" hidden="false" customHeight="false" outlineLevel="0" collapsed="false">
      <c r="A470" s="37"/>
      <c r="B470" s="44"/>
      <c r="C470" s="44"/>
      <c r="D470" s="44"/>
      <c r="E470" s="44"/>
      <c r="F470" s="44"/>
      <c r="G470" s="34" t="str">
        <f aca="false">IF(F470&lt;&gt;"",F470,IF(E470="","",IFERROR(INDEX(I_Item!$C$6:$C$255,MATCH(E470,I_Item!$A$6:$A$255,0)),"KODE BARU")))</f>
        <v/>
      </c>
      <c r="H470" s="45"/>
      <c r="I470" s="42"/>
      <c r="J470" s="11" t="str">
        <f aca="false">IF(H470="","",H470*I470)</f>
        <v/>
      </c>
      <c r="K470" s="42"/>
      <c r="L470" s="11" t="str">
        <f aca="false">IF(H470="","",IF(K470&lt;&gt;"",K470,H470*IFERROR(INDEX(O_Stok!$Q$6:$Q$85,MATCH(G470,O_Stok!$A$6:$A$85,0)),0)))</f>
        <v/>
      </c>
      <c r="M470" s="11" t="str">
        <f aca="false">IF(H470="","",J470-L470)</f>
        <v/>
      </c>
      <c r="N470" s="34" t="str">
        <f aca="false">IF(G470="","",IFERROR(INDEX(I_Master!$B$6:$B$85,MATCH(G470,I_Master!$A$6:$A$85,0)),"?"))</f>
        <v/>
      </c>
      <c r="O470" s="34" t="str">
        <f aca="false">IF(G470="","",IFERROR(INDEX(I_Master!$E$6:$E$85,MATCH(G470,I_Master!$A$6:$A$85,0)),"?"))</f>
        <v/>
      </c>
      <c r="P470" s="46" t="str">
        <f aca="false">IF(H470="","",IF(OR(A470&lt;I_Parameter!$C$5,A470&gt;I_Parameter!$C$6),0,IF(B470="Aktual",1,IF(AND(B470="Order",A470&gt;=I_Parameter!$C$4),1,0))))</f>
        <v/>
      </c>
    </row>
    <row r="471" customFormat="false" ht="15" hidden="false" customHeight="false" outlineLevel="0" collapsed="false">
      <c r="A471" s="37"/>
      <c r="B471" s="44"/>
      <c r="C471" s="44"/>
      <c r="D471" s="44"/>
      <c r="E471" s="44"/>
      <c r="F471" s="44"/>
      <c r="G471" s="34" t="str">
        <f aca="false">IF(F471&lt;&gt;"",F471,IF(E471="","",IFERROR(INDEX(I_Item!$C$6:$C$255,MATCH(E471,I_Item!$A$6:$A$255,0)),"KODE BARU")))</f>
        <v/>
      </c>
      <c r="H471" s="45"/>
      <c r="I471" s="42"/>
      <c r="J471" s="11" t="str">
        <f aca="false">IF(H471="","",H471*I471)</f>
        <v/>
      </c>
      <c r="K471" s="42"/>
      <c r="L471" s="11" t="str">
        <f aca="false">IF(H471="","",IF(K471&lt;&gt;"",K471,H471*IFERROR(INDEX(O_Stok!$Q$6:$Q$85,MATCH(G471,O_Stok!$A$6:$A$85,0)),0)))</f>
        <v/>
      </c>
      <c r="M471" s="11" t="str">
        <f aca="false">IF(H471="","",J471-L471)</f>
        <v/>
      </c>
      <c r="N471" s="34" t="str">
        <f aca="false">IF(G471="","",IFERROR(INDEX(I_Master!$B$6:$B$85,MATCH(G471,I_Master!$A$6:$A$85,0)),"?"))</f>
        <v/>
      </c>
      <c r="O471" s="34" t="str">
        <f aca="false">IF(G471="","",IFERROR(INDEX(I_Master!$E$6:$E$85,MATCH(G471,I_Master!$A$6:$A$85,0)),"?"))</f>
        <v/>
      </c>
      <c r="P471" s="46" t="str">
        <f aca="false">IF(H471="","",IF(OR(A471&lt;I_Parameter!$C$5,A471&gt;I_Parameter!$C$6),0,IF(B471="Aktual",1,IF(AND(B471="Order",A471&gt;=I_Parameter!$C$4),1,0))))</f>
        <v/>
      </c>
    </row>
    <row r="472" customFormat="false" ht="15" hidden="false" customHeight="false" outlineLevel="0" collapsed="false">
      <c r="A472" s="37"/>
      <c r="B472" s="44"/>
      <c r="C472" s="44"/>
      <c r="D472" s="44"/>
      <c r="E472" s="44"/>
      <c r="F472" s="44"/>
      <c r="G472" s="34" t="str">
        <f aca="false">IF(F472&lt;&gt;"",F472,IF(E472="","",IFERROR(INDEX(I_Item!$C$6:$C$255,MATCH(E472,I_Item!$A$6:$A$255,0)),"KODE BARU")))</f>
        <v/>
      </c>
      <c r="H472" s="45"/>
      <c r="I472" s="42"/>
      <c r="J472" s="11" t="str">
        <f aca="false">IF(H472="","",H472*I472)</f>
        <v/>
      </c>
      <c r="K472" s="42"/>
      <c r="L472" s="11" t="str">
        <f aca="false">IF(H472="","",IF(K472&lt;&gt;"",K472,H472*IFERROR(INDEX(O_Stok!$Q$6:$Q$85,MATCH(G472,O_Stok!$A$6:$A$85,0)),0)))</f>
        <v/>
      </c>
      <c r="M472" s="11" t="str">
        <f aca="false">IF(H472="","",J472-L472)</f>
        <v/>
      </c>
      <c r="N472" s="34" t="str">
        <f aca="false">IF(G472="","",IFERROR(INDEX(I_Master!$B$6:$B$85,MATCH(G472,I_Master!$A$6:$A$85,0)),"?"))</f>
        <v/>
      </c>
      <c r="O472" s="34" t="str">
        <f aca="false">IF(G472="","",IFERROR(INDEX(I_Master!$E$6:$E$85,MATCH(G472,I_Master!$A$6:$A$85,0)),"?"))</f>
        <v/>
      </c>
      <c r="P472" s="46" t="str">
        <f aca="false">IF(H472="","",IF(OR(A472&lt;I_Parameter!$C$5,A472&gt;I_Parameter!$C$6),0,IF(B472="Aktual",1,IF(AND(B472="Order",A472&gt;=I_Parameter!$C$4),1,0))))</f>
        <v/>
      </c>
    </row>
    <row r="473" customFormat="false" ht="15" hidden="false" customHeight="false" outlineLevel="0" collapsed="false">
      <c r="A473" s="37"/>
      <c r="B473" s="44"/>
      <c r="C473" s="44"/>
      <c r="D473" s="44"/>
      <c r="E473" s="44"/>
      <c r="F473" s="44"/>
      <c r="G473" s="34" t="str">
        <f aca="false">IF(F473&lt;&gt;"",F473,IF(E473="","",IFERROR(INDEX(I_Item!$C$6:$C$255,MATCH(E473,I_Item!$A$6:$A$255,0)),"KODE BARU")))</f>
        <v/>
      </c>
      <c r="H473" s="45"/>
      <c r="I473" s="42"/>
      <c r="J473" s="11" t="str">
        <f aca="false">IF(H473="","",H473*I473)</f>
        <v/>
      </c>
      <c r="K473" s="42"/>
      <c r="L473" s="11" t="str">
        <f aca="false">IF(H473="","",IF(K473&lt;&gt;"",K473,H473*IFERROR(INDEX(O_Stok!$Q$6:$Q$85,MATCH(G473,O_Stok!$A$6:$A$85,0)),0)))</f>
        <v/>
      </c>
      <c r="M473" s="11" t="str">
        <f aca="false">IF(H473="","",J473-L473)</f>
        <v/>
      </c>
      <c r="N473" s="34" t="str">
        <f aca="false">IF(G473="","",IFERROR(INDEX(I_Master!$B$6:$B$85,MATCH(G473,I_Master!$A$6:$A$85,0)),"?"))</f>
        <v/>
      </c>
      <c r="O473" s="34" t="str">
        <f aca="false">IF(G473="","",IFERROR(INDEX(I_Master!$E$6:$E$85,MATCH(G473,I_Master!$A$6:$A$85,0)),"?"))</f>
        <v/>
      </c>
      <c r="P473" s="46" t="str">
        <f aca="false">IF(H473="","",IF(OR(A473&lt;I_Parameter!$C$5,A473&gt;I_Parameter!$C$6),0,IF(B473="Aktual",1,IF(AND(B473="Order",A473&gt;=I_Parameter!$C$4),1,0))))</f>
        <v/>
      </c>
    </row>
    <row r="474" customFormat="false" ht="15" hidden="false" customHeight="false" outlineLevel="0" collapsed="false">
      <c r="A474" s="37"/>
      <c r="B474" s="44"/>
      <c r="C474" s="44"/>
      <c r="D474" s="44"/>
      <c r="E474" s="44"/>
      <c r="F474" s="44"/>
      <c r="G474" s="34" t="str">
        <f aca="false">IF(F474&lt;&gt;"",F474,IF(E474="","",IFERROR(INDEX(I_Item!$C$6:$C$255,MATCH(E474,I_Item!$A$6:$A$255,0)),"KODE BARU")))</f>
        <v/>
      </c>
      <c r="H474" s="45"/>
      <c r="I474" s="42"/>
      <c r="J474" s="11" t="str">
        <f aca="false">IF(H474="","",H474*I474)</f>
        <v/>
      </c>
      <c r="K474" s="42"/>
      <c r="L474" s="11" t="str">
        <f aca="false">IF(H474="","",IF(K474&lt;&gt;"",K474,H474*IFERROR(INDEX(O_Stok!$Q$6:$Q$85,MATCH(G474,O_Stok!$A$6:$A$85,0)),0)))</f>
        <v/>
      </c>
      <c r="M474" s="11" t="str">
        <f aca="false">IF(H474="","",J474-L474)</f>
        <v/>
      </c>
      <c r="N474" s="34" t="str">
        <f aca="false">IF(G474="","",IFERROR(INDEX(I_Master!$B$6:$B$85,MATCH(G474,I_Master!$A$6:$A$85,0)),"?"))</f>
        <v/>
      </c>
      <c r="O474" s="34" t="str">
        <f aca="false">IF(G474="","",IFERROR(INDEX(I_Master!$E$6:$E$85,MATCH(G474,I_Master!$A$6:$A$85,0)),"?"))</f>
        <v/>
      </c>
      <c r="P474" s="46" t="str">
        <f aca="false">IF(H474="","",IF(OR(A474&lt;I_Parameter!$C$5,A474&gt;I_Parameter!$C$6),0,IF(B474="Aktual",1,IF(AND(B474="Order",A474&gt;=I_Parameter!$C$4),1,0))))</f>
        <v/>
      </c>
    </row>
    <row r="475" customFormat="false" ht="15" hidden="false" customHeight="false" outlineLevel="0" collapsed="false">
      <c r="A475" s="37"/>
      <c r="B475" s="44"/>
      <c r="C475" s="44"/>
      <c r="D475" s="44"/>
      <c r="E475" s="44"/>
      <c r="F475" s="44"/>
      <c r="G475" s="34" t="str">
        <f aca="false">IF(F475&lt;&gt;"",F475,IF(E475="","",IFERROR(INDEX(I_Item!$C$6:$C$255,MATCH(E475,I_Item!$A$6:$A$255,0)),"KODE BARU")))</f>
        <v/>
      </c>
      <c r="H475" s="45"/>
      <c r="I475" s="42"/>
      <c r="J475" s="11" t="str">
        <f aca="false">IF(H475="","",H475*I475)</f>
        <v/>
      </c>
      <c r="K475" s="42"/>
      <c r="L475" s="11" t="str">
        <f aca="false">IF(H475="","",IF(K475&lt;&gt;"",K475,H475*IFERROR(INDEX(O_Stok!$Q$6:$Q$85,MATCH(G475,O_Stok!$A$6:$A$85,0)),0)))</f>
        <v/>
      </c>
      <c r="M475" s="11" t="str">
        <f aca="false">IF(H475="","",J475-L475)</f>
        <v/>
      </c>
      <c r="N475" s="34" t="str">
        <f aca="false">IF(G475="","",IFERROR(INDEX(I_Master!$B$6:$B$85,MATCH(G475,I_Master!$A$6:$A$85,0)),"?"))</f>
        <v/>
      </c>
      <c r="O475" s="34" t="str">
        <f aca="false">IF(G475="","",IFERROR(INDEX(I_Master!$E$6:$E$85,MATCH(G475,I_Master!$A$6:$A$85,0)),"?"))</f>
        <v/>
      </c>
      <c r="P475" s="46" t="str">
        <f aca="false">IF(H475="","",IF(OR(A475&lt;I_Parameter!$C$5,A475&gt;I_Parameter!$C$6),0,IF(B475="Aktual",1,IF(AND(B475="Order",A475&gt;=I_Parameter!$C$4),1,0))))</f>
        <v/>
      </c>
    </row>
    <row r="476" customFormat="false" ht="15" hidden="false" customHeight="false" outlineLevel="0" collapsed="false">
      <c r="A476" s="37"/>
      <c r="B476" s="44"/>
      <c r="C476" s="44"/>
      <c r="D476" s="44"/>
      <c r="E476" s="44"/>
      <c r="F476" s="44"/>
      <c r="G476" s="34" t="str">
        <f aca="false">IF(F476&lt;&gt;"",F476,IF(E476="","",IFERROR(INDEX(I_Item!$C$6:$C$255,MATCH(E476,I_Item!$A$6:$A$255,0)),"KODE BARU")))</f>
        <v/>
      </c>
      <c r="H476" s="45"/>
      <c r="I476" s="42"/>
      <c r="J476" s="11" t="str">
        <f aca="false">IF(H476="","",H476*I476)</f>
        <v/>
      </c>
      <c r="K476" s="42"/>
      <c r="L476" s="11" t="str">
        <f aca="false">IF(H476="","",IF(K476&lt;&gt;"",K476,H476*IFERROR(INDEX(O_Stok!$Q$6:$Q$85,MATCH(G476,O_Stok!$A$6:$A$85,0)),0)))</f>
        <v/>
      </c>
      <c r="M476" s="11" t="str">
        <f aca="false">IF(H476="","",J476-L476)</f>
        <v/>
      </c>
      <c r="N476" s="34" t="str">
        <f aca="false">IF(G476="","",IFERROR(INDEX(I_Master!$B$6:$B$85,MATCH(G476,I_Master!$A$6:$A$85,0)),"?"))</f>
        <v/>
      </c>
      <c r="O476" s="34" t="str">
        <f aca="false">IF(G476="","",IFERROR(INDEX(I_Master!$E$6:$E$85,MATCH(G476,I_Master!$A$6:$A$85,0)),"?"))</f>
        <v/>
      </c>
      <c r="P476" s="46" t="str">
        <f aca="false">IF(H476="","",IF(OR(A476&lt;I_Parameter!$C$5,A476&gt;I_Parameter!$C$6),0,IF(B476="Aktual",1,IF(AND(B476="Order",A476&gt;=I_Parameter!$C$4),1,0))))</f>
        <v/>
      </c>
    </row>
    <row r="477" customFormat="false" ht="15" hidden="false" customHeight="false" outlineLevel="0" collapsed="false">
      <c r="A477" s="37"/>
      <c r="B477" s="44"/>
      <c r="C477" s="44"/>
      <c r="D477" s="44"/>
      <c r="E477" s="44"/>
      <c r="F477" s="44"/>
      <c r="G477" s="34" t="str">
        <f aca="false">IF(F477&lt;&gt;"",F477,IF(E477="","",IFERROR(INDEX(I_Item!$C$6:$C$255,MATCH(E477,I_Item!$A$6:$A$255,0)),"KODE BARU")))</f>
        <v/>
      </c>
      <c r="H477" s="45"/>
      <c r="I477" s="42"/>
      <c r="J477" s="11" t="str">
        <f aca="false">IF(H477="","",H477*I477)</f>
        <v/>
      </c>
      <c r="K477" s="42"/>
      <c r="L477" s="11" t="str">
        <f aca="false">IF(H477="","",IF(K477&lt;&gt;"",K477,H477*IFERROR(INDEX(O_Stok!$Q$6:$Q$85,MATCH(G477,O_Stok!$A$6:$A$85,0)),0)))</f>
        <v/>
      </c>
      <c r="M477" s="11" t="str">
        <f aca="false">IF(H477="","",J477-L477)</f>
        <v/>
      </c>
      <c r="N477" s="34" t="str">
        <f aca="false">IF(G477="","",IFERROR(INDEX(I_Master!$B$6:$B$85,MATCH(G477,I_Master!$A$6:$A$85,0)),"?"))</f>
        <v/>
      </c>
      <c r="O477" s="34" t="str">
        <f aca="false">IF(G477="","",IFERROR(INDEX(I_Master!$E$6:$E$85,MATCH(G477,I_Master!$A$6:$A$85,0)),"?"))</f>
        <v/>
      </c>
      <c r="P477" s="46" t="str">
        <f aca="false">IF(H477="","",IF(OR(A477&lt;I_Parameter!$C$5,A477&gt;I_Parameter!$C$6),0,IF(B477="Aktual",1,IF(AND(B477="Order",A477&gt;=I_Parameter!$C$4),1,0))))</f>
        <v/>
      </c>
    </row>
    <row r="478" customFormat="false" ht="15" hidden="false" customHeight="false" outlineLevel="0" collapsed="false">
      <c r="A478" s="37"/>
      <c r="B478" s="44"/>
      <c r="C478" s="44"/>
      <c r="D478" s="44"/>
      <c r="E478" s="44"/>
      <c r="F478" s="44"/>
      <c r="G478" s="34" t="str">
        <f aca="false">IF(F478&lt;&gt;"",F478,IF(E478="","",IFERROR(INDEX(I_Item!$C$6:$C$255,MATCH(E478,I_Item!$A$6:$A$255,0)),"KODE BARU")))</f>
        <v/>
      </c>
      <c r="H478" s="45"/>
      <c r="I478" s="42"/>
      <c r="J478" s="11" t="str">
        <f aca="false">IF(H478="","",H478*I478)</f>
        <v/>
      </c>
      <c r="K478" s="42"/>
      <c r="L478" s="11" t="str">
        <f aca="false">IF(H478="","",IF(K478&lt;&gt;"",K478,H478*IFERROR(INDEX(O_Stok!$Q$6:$Q$85,MATCH(G478,O_Stok!$A$6:$A$85,0)),0)))</f>
        <v/>
      </c>
      <c r="M478" s="11" t="str">
        <f aca="false">IF(H478="","",J478-L478)</f>
        <v/>
      </c>
      <c r="N478" s="34" t="str">
        <f aca="false">IF(G478="","",IFERROR(INDEX(I_Master!$B$6:$B$85,MATCH(G478,I_Master!$A$6:$A$85,0)),"?"))</f>
        <v/>
      </c>
      <c r="O478" s="34" t="str">
        <f aca="false">IF(G478="","",IFERROR(INDEX(I_Master!$E$6:$E$85,MATCH(G478,I_Master!$A$6:$A$85,0)),"?"))</f>
        <v/>
      </c>
      <c r="P478" s="46" t="str">
        <f aca="false">IF(H478="","",IF(OR(A478&lt;I_Parameter!$C$5,A478&gt;I_Parameter!$C$6),0,IF(B478="Aktual",1,IF(AND(B478="Order",A478&gt;=I_Parameter!$C$4),1,0))))</f>
        <v/>
      </c>
    </row>
    <row r="479" customFormat="false" ht="15" hidden="false" customHeight="false" outlineLevel="0" collapsed="false">
      <c r="A479" s="37"/>
      <c r="B479" s="44"/>
      <c r="C479" s="44"/>
      <c r="D479" s="44"/>
      <c r="E479" s="44"/>
      <c r="F479" s="44"/>
      <c r="G479" s="34" t="str">
        <f aca="false">IF(F479&lt;&gt;"",F479,IF(E479="","",IFERROR(INDEX(I_Item!$C$6:$C$255,MATCH(E479,I_Item!$A$6:$A$255,0)),"KODE BARU")))</f>
        <v/>
      </c>
      <c r="H479" s="45"/>
      <c r="I479" s="42"/>
      <c r="J479" s="11" t="str">
        <f aca="false">IF(H479="","",H479*I479)</f>
        <v/>
      </c>
      <c r="K479" s="42"/>
      <c r="L479" s="11" t="str">
        <f aca="false">IF(H479="","",IF(K479&lt;&gt;"",K479,H479*IFERROR(INDEX(O_Stok!$Q$6:$Q$85,MATCH(G479,O_Stok!$A$6:$A$85,0)),0)))</f>
        <v/>
      </c>
      <c r="M479" s="11" t="str">
        <f aca="false">IF(H479="","",J479-L479)</f>
        <v/>
      </c>
      <c r="N479" s="34" t="str">
        <f aca="false">IF(G479="","",IFERROR(INDEX(I_Master!$B$6:$B$85,MATCH(G479,I_Master!$A$6:$A$85,0)),"?"))</f>
        <v/>
      </c>
      <c r="O479" s="34" t="str">
        <f aca="false">IF(G479="","",IFERROR(INDEX(I_Master!$E$6:$E$85,MATCH(G479,I_Master!$A$6:$A$85,0)),"?"))</f>
        <v/>
      </c>
      <c r="P479" s="46" t="str">
        <f aca="false">IF(H479="","",IF(OR(A479&lt;I_Parameter!$C$5,A479&gt;I_Parameter!$C$6),0,IF(B479="Aktual",1,IF(AND(B479="Order",A479&gt;=I_Parameter!$C$4),1,0))))</f>
        <v/>
      </c>
    </row>
    <row r="480" customFormat="false" ht="15" hidden="false" customHeight="false" outlineLevel="0" collapsed="false">
      <c r="A480" s="37"/>
      <c r="B480" s="44"/>
      <c r="C480" s="44"/>
      <c r="D480" s="44"/>
      <c r="E480" s="44"/>
      <c r="F480" s="44"/>
      <c r="G480" s="34" t="str">
        <f aca="false">IF(F480&lt;&gt;"",F480,IF(E480="","",IFERROR(INDEX(I_Item!$C$6:$C$255,MATCH(E480,I_Item!$A$6:$A$255,0)),"KODE BARU")))</f>
        <v/>
      </c>
      <c r="H480" s="45"/>
      <c r="I480" s="42"/>
      <c r="J480" s="11" t="str">
        <f aca="false">IF(H480="","",H480*I480)</f>
        <v/>
      </c>
      <c r="K480" s="42"/>
      <c r="L480" s="11" t="str">
        <f aca="false">IF(H480="","",IF(K480&lt;&gt;"",K480,H480*IFERROR(INDEX(O_Stok!$Q$6:$Q$85,MATCH(G480,O_Stok!$A$6:$A$85,0)),0)))</f>
        <v/>
      </c>
      <c r="M480" s="11" t="str">
        <f aca="false">IF(H480="","",J480-L480)</f>
        <v/>
      </c>
      <c r="N480" s="34" t="str">
        <f aca="false">IF(G480="","",IFERROR(INDEX(I_Master!$B$6:$B$85,MATCH(G480,I_Master!$A$6:$A$85,0)),"?"))</f>
        <v/>
      </c>
      <c r="O480" s="34" t="str">
        <f aca="false">IF(G480="","",IFERROR(INDEX(I_Master!$E$6:$E$85,MATCH(G480,I_Master!$A$6:$A$85,0)),"?"))</f>
        <v/>
      </c>
      <c r="P480" s="46" t="str">
        <f aca="false">IF(H480="","",IF(OR(A480&lt;I_Parameter!$C$5,A480&gt;I_Parameter!$C$6),0,IF(B480="Aktual",1,IF(AND(B480="Order",A480&gt;=I_Parameter!$C$4),1,0))))</f>
        <v/>
      </c>
    </row>
    <row r="481" customFormat="false" ht="15" hidden="false" customHeight="false" outlineLevel="0" collapsed="false">
      <c r="A481" s="37"/>
      <c r="B481" s="44"/>
      <c r="C481" s="44"/>
      <c r="D481" s="44"/>
      <c r="E481" s="44"/>
      <c r="F481" s="44"/>
      <c r="G481" s="34" t="str">
        <f aca="false">IF(F481&lt;&gt;"",F481,IF(E481="","",IFERROR(INDEX(I_Item!$C$6:$C$255,MATCH(E481,I_Item!$A$6:$A$255,0)),"KODE BARU")))</f>
        <v/>
      </c>
      <c r="H481" s="45"/>
      <c r="I481" s="42"/>
      <c r="J481" s="11" t="str">
        <f aca="false">IF(H481="","",H481*I481)</f>
        <v/>
      </c>
      <c r="K481" s="42"/>
      <c r="L481" s="11" t="str">
        <f aca="false">IF(H481="","",IF(K481&lt;&gt;"",K481,H481*IFERROR(INDEX(O_Stok!$Q$6:$Q$85,MATCH(G481,O_Stok!$A$6:$A$85,0)),0)))</f>
        <v/>
      </c>
      <c r="M481" s="11" t="str">
        <f aca="false">IF(H481="","",J481-L481)</f>
        <v/>
      </c>
      <c r="N481" s="34" t="str">
        <f aca="false">IF(G481="","",IFERROR(INDEX(I_Master!$B$6:$B$85,MATCH(G481,I_Master!$A$6:$A$85,0)),"?"))</f>
        <v/>
      </c>
      <c r="O481" s="34" t="str">
        <f aca="false">IF(G481="","",IFERROR(INDEX(I_Master!$E$6:$E$85,MATCH(G481,I_Master!$A$6:$A$85,0)),"?"))</f>
        <v/>
      </c>
      <c r="P481" s="46" t="str">
        <f aca="false">IF(H481="","",IF(OR(A481&lt;I_Parameter!$C$5,A481&gt;I_Parameter!$C$6),0,IF(B481="Aktual",1,IF(AND(B481="Order",A481&gt;=I_Parameter!$C$4),1,0))))</f>
        <v/>
      </c>
    </row>
    <row r="482" customFormat="false" ht="15" hidden="false" customHeight="false" outlineLevel="0" collapsed="false">
      <c r="A482" s="37"/>
      <c r="B482" s="44"/>
      <c r="C482" s="44"/>
      <c r="D482" s="44"/>
      <c r="E482" s="44"/>
      <c r="F482" s="44"/>
      <c r="G482" s="34" t="str">
        <f aca="false">IF(F482&lt;&gt;"",F482,IF(E482="","",IFERROR(INDEX(I_Item!$C$6:$C$255,MATCH(E482,I_Item!$A$6:$A$255,0)),"KODE BARU")))</f>
        <v/>
      </c>
      <c r="H482" s="45"/>
      <c r="I482" s="42"/>
      <c r="J482" s="11" t="str">
        <f aca="false">IF(H482="","",H482*I482)</f>
        <v/>
      </c>
      <c r="K482" s="42"/>
      <c r="L482" s="11" t="str">
        <f aca="false">IF(H482="","",IF(K482&lt;&gt;"",K482,H482*IFERROR(INDEX(O_Stok!$Q$6:$Q$85,MATCH(G482,O_Stok!$A$6:$A$85,0)),0)))</f>
        <v/>
      </c>
      <c r="M482" s="11" t="str">
        <f aca="false">IF(H482="","",J482-L482)</f>
        <v/>
      </c>
      <c r="N482" s="34" t="str">
        <f aca="false">IF(G482="","",IFERROR(INDEX(I_Master!$B$6:$B$85,MATCH(G482,I_Master!$A$6:$A$85,0)),"?"))</f>
        <v/>
      </c>
      <c r="O482" s="34" t="str">
        <f aca="false">IF(G482="","",IFERROR(INDEX(I_Master!$E$6:$E$85,MATCH(G482,I_Master!$A$6:$A$85,0)),"?"))</f>
        <v/>
      </c>
      <c r="P482" s="46" t="str">
        <f aca="false">IF(H482="","",IF(OR(A482&lt;I_Parameter!$C$5,A482&gt;I_Parameter!$C$6),0,IF(B482="Aktual",1,IF(AND(B482="Order",A482&gt;=I_Parameter!$C$4),1,0))))</f>
        <v/>
      </c>
    </row>
    <row r="483" customFormat="false" ht="15" hidden="false" customHeight="false" outlineLevel="0" collapsed="false">
      <c r="A483" s="37"/>
      <c r="B483" s="44"/>
      <c r="C483" s="44"/>
      <c r="D483" s="44"/>
      <c r="E483" s="44"/>
      <c r="F483" s="44"/>
      <c r="G483" s="34" t="str">
        <f aca="false">IF(F483&lt;&gt;"",F483,IF(E483="","",IFERROR(INDEX(I_Item!$C$6:$C$255,MATCH(E483,I_Item!$A$6:$A$255,0)),"KODE BARU")))</f>
        <v/>
      </c>
      <c r="H483" s="45"/>
      <c r="I483" s="42"/>
      <c r="J483" s="11" t="str">
        <f aca="false">IF(H483="","",H483*I483)</f>
        <v/>
      </c>
      <c r="K483" s="42"/>
      <c r="L483" s="11" t="str">
        <f aca="false">IF(H483="","",IF(K483&lt;&gt;"",K483,H483*IFERROR(INDEX(O_Stok!$Q$6:$Q$85,MATCH(G483,O_Stok!$A$6:$A$85,0)),0)))</f>
        <v/>
      </c>
      <c r="M483" s="11" t="str">
        <f aca="false">IF(H483="","",J483-L483)</f>
        <v/>
      </c>
      <c r="N483" s="34" t="str">
        <f aca="false">IF(G483="","",IFERROR(INDEX(I_Master!$B$6:$B$85,MATCH(G483,I_Master!$A$6:$A$85,0)),"?"))</f>
        <v/>
      </c>
      <c r="O483" s="34" t="str">
        <f aca="false">IF(G483="","",IFERROR(INDEX(I_Master!$E$6:$E$85,MATCH(G483,I_Master!$A$6:$A$85,0)),"?"))</f>
        <v/>
      </c>
      <c r="P483" s="46" t="str">
        <f aca="false">IF(H483="","",IF(OR(A483&lt;I_Parameter!$C$5,A483&gt;I_Parameter!$C$6),0,IF(B483="Aktual",1,IF(AND(B483="Order",A483&gt;=I_Parameter!$C$4),1,0))))</f>
        <v/>
      </c>
    </row>
    <row r="484" customFormat="false" ht="15" hidden="false" customHeight="false" outlineLevel="0" collapsed="false">
      <c r="A484" s="37"/>
      <c r="B484" s="44"/>
      <c r="C484" s="44"/>
      <c r="D484" s="44"/>
      <c r="E484" s="44"/>
      <c r="F484" s="44"/>
      <c r="G484" s="34" t="str">
        <f aca="false">IF(F484&lt;&gt;"",F484,IF(E484="","",IFERROR(INDEX(I_Item!$C$6:$C$255,MATCH(E484,I_Item!$A$6:$A$255,0)),"KODE BARU")))</f>
        <v/>
      </c>
      <c r="H484" s="45"/>
      <c r="I484" s="42"/>
      <c r="J484" s="11" t="str">
        <f aca="false">IF(H484="","",H484*I484)</f>
        <v/>
      </c>
      <c r="K484" s="42"/>
      <c r="L484" s="11" t="str">
        <f aca="false">IF(H484="","",IF(K484&lt;&gt;"",K484,H484*IFERROR(INDEX(O_Stok!$Q$6:$Q$85,MATCH(G484,O_Stok!$A$6:$A$85,0)),0)))</f>
        <v/>
      </c>
      <c r="M484" s="11" t="str">
        <f aca="false">IF(H484="","",J484-L484)</f>
        <v/>
      </c>
      <c r="N484" s="34" t="str">
        <f aca="false">IF(G484="","",IFERROR(INDEX(I_Master!$B$6:$B$85,MATCH(G484,I_Master!$A$6:$A$85,0)),"?"))</f>
        <v/>
      </c>
      <c r="O484" s="34" t="str">
        <f aca="false">IF(G484="","",IFERROR(INDEX(I_Master!$E$6:$E$85,MATCH(G484,I_Master!$A$6:$A$85,0)),"?"))</f>
        <v/>
      </c>
      <c r="P484" s="46" t="str">
        <f aca="false">IF(H484="","",IF(OR(A484&lt;I_Parameter!$C$5,A484&gt;I_Parameter!$C$6),0,IF(B484="Aktual",1,IF(AND(B484="Order",A484&gt;=I_Parameter!$C$4),1,0))))</f>
        <v/>
      </c>
    </row>
    <row r="485" customFormat="false" ht="15" hidden="false" customHeight="false" outlineLevel="0" collapsed="false">
      <c r="A485" s="37"/>
      <c r="B485" s="44"/>
      <c r="C485" s="44"/>
      <c r="D485" s="44"/>
      <c r="E485" s="44"/>
      <c r="F485" s="44"/>
      <c r="G485" s="34" t="str">
        <f aca="false">IF(F485&lt;&gt;"",F485,IF(E485="","",IFERROR(INDEX(I_Item!$C$6:$C$255,MATCH(E485,I_Item!$A$6:$A$255,0)),"KODE BARU")))</f>
        <v/>
      </c>
      <c r="H485" s="45"/>
      <c r="I485" s="42"/>
      <c r="J485" s="11" t="str">
        <f aca="false">IF(H485="","",H485*I485)</f>
        <v/>
      </c>
      <c r="K485" s="42"/>
      <c r="L485" s="11" t="str">
        <f aca="false">IF(H485="","",IF(K485&lt;&gt;"",K485,H485*IFERROR(INDEX(O_Stok!$Q$6:$Q$85,MATCH(G485,O_Stok!$A$6:$A$85,0)),0)))</f>
        <v/>
      </c>
      <c r="M485" s="11" t="str">
        <f aca="false">IF(H485="","",J485-L485)</f>
        <v/>
      </c>
      <c r="N485" s="34" t="str">
        <f aca="false">IF(G485="","",IFERROR(INDEX(I_Master!$B$6:$B$85,MATCH(G485,I_Master!$A$6:$A$85,0)),"?"))</f>
        <v/>
      </c>
      <c r="O485" s="34" t="str">
        <f aca="false">IF(G485="","",IFERROR(INDEX(I_Master!$E$6:$E$85,MATCH(G485,I_Master!$A$6:$A$85,0)),"?"))</f>
        <v/>
      </c>
      <c r="P485" s="46" t="str">
        <f aca="false">IF(H485="","",IF(OR(A485&lt;I_Parameter!$C$5,A485&gt;I_Parameter!$C$6),0,IF(B485="Aktual",1,IF(AND(B485="Order",A485&gt;=I_Parameter!$C$4),1,0))))</f>
        <v/>
      </c>
    </row>
    <row r="486" customFormat="false" ht="15" hidden="false" customHeight="false" outlineLevel="0" collapsed="false">
      <c r="A486" s="37"/>
      <c r="B486" s="44"/>
      <c r="C486" s="44"/>
      <c r="D486" s="44"/>
      <c r="E486" s="44"/>
      <c r="F486" s="44"/>
      <c r="G486" s="34" t="str">
        <f aca="false">IF(F486&lt;&gt;"",F486,IF(E486="","",IFERROR(INDEX(I_Item!$C$6:$C$255,MATCH(E486,I_Item!$A$6:$A$255,0)),"KODE BARU")))</f>
        <v/>
      </c>
      <c r="H486" s="45"/>
      <c r="I486" s="42"/>
      <c r="J486" s="11" t="str">
        <f aca="false">IF(H486="","",H486*I486)</f>
        <v/>
      </c>
      <c r="K486" s="42"/>
      <c r="L486" s="11" t="str">
        <f aca="false">IF(H486="","",IF(K486&lt;&gt;"",K486,H486*IFERROR(INDEX(O_Stok!$Q$6:$Q$85,MATCH(G486,O_Stok!$A$6:$A$85,0)),0)))</f>
        <v/>
      </c>
      <c r="M486" s="11" t="str">
        <f aca="false">IF(H486="","",J486-L486)</f>
        <v/>
      </c>
      <c r="N486" s="34" t="str">
        <f aca="false">IF(G486="","",IFERROR(INDEX(I_Master!$B$6:$B$85,MATCH(G486,I_Master!$A$6:$A$85,0)),"?"))</f>
        <v/>
      </c>
      <c r="O486" s="34" t="str">
        <f aca="false">IF(G486="","",IFERROR(INDEX(I_Master!$E$6:$E$85,MATCH(G486,I_Master!$A$6:$A$85,0)),"?"))</f>
        <v/>
      </c>
      <c r="P486" s="46" t="str">
        <f aca="false">IF(H486="","",IF(OR(A486&lt;I_Parameter!$C$5,A486&gt;I_Parameter!$C$6),0,IF(B486="Aktual",1,IF(AND(B486="Order",A486&gt;=I_Parameter!$C$4),1,0))))</f>
        <v/>
      </c>
    </row>
    <row r="487" customFormat="false" ht="15" hidden="false" customHeight="false" outlineLevel="0" collapsed="false">
      <c r="A487" s="37"/>
      <c r="B487" s="44"/>
      <c r="C487" s="44"/>
      <c r="D487" s="44"/>
      <c r="E487" s="44"/>
      <c r="F487" s="44"/>
      <c r="G487" s="34" t="str">
        <f aca="false">IF(F487&lt;&gt;"",F487,IF(E487="","",IFERROR(INDEX(I_Item!$C$6:$C$255,MATCH(E487,I_Item!$A$6:$A$255,0)),"KODE BARU")))</f>
        <v/>
      </c>
      <c r="H487" s="45"/>
      <c r="I487" s="42"/>
      <c r="J487" s="11" t="str">
        <f aca="false">IF(H487="","",H487*I487)</f>
        <v/>
      </c>
      <c r="K487" s="42"/>
      <c r="L487" s="11" t="str">
        <f aca="false">IF(H487="","",IF(K487&lt;&gt;"",K487,H487*IFERROR(INDEX(O_Stok!$Q$6:$Q$85,MATCH(G487,O_Stok!$A$6:$A$85,0)),0)))</f>
        <v/>
      </c>
      <c r="M487" s="11" t="str">
        <f aca="false">IF(H487="","",J487-L487)</f>
        <v/>
      </c>
      <c r="N487" s="34" t="str">
        <f aca="false">IF(G487="","",IFERROR(INDEX(I_Master!$B$6:$B$85,MATCH(G487,I_Master!$A$6:$A$85,0)),"?"))</f>
        <v/>
      </c>
      <c r="O487" s="34" t="str">
        <f aca="false">IF(G487="","",IFERROR(INDEX(I_Master!$E$6:$E$85,MATCH(G487,I_Master!$A$6:$A$85,0)),"?"))</f>
        <v/>
      </c>
      <c r="P487" s="46" t="str">
        <f aca="false">IF(H487="","",IF(OR(A487&lt;I_Parameter!$C$5,A487&gt;I_Parameter!$C$6),0,IF(B487="Aktual",1,IF(AND(B487="Order",A487&gt;=I_Parameter!$C$4),1,0))))</f>
        <v/>
      </c>
    </row>
    <row r="488" customFormat="false" ht="15" hidden="false" customHeight="false" outlineLevel="0" collapsed="false">
      <c r="A488" s="37"/>
      <c r="B488" s="44"/>
      <c r="C488" s="44"/>
      <c r="D488" s="44"/>
      <c r="E488" s="44"/>
      <c r="F488" s="44"/>
      <c r="G488" s="34" t="str">
        <f aca="false">IF(F488&lt;&gt;"",F488,IF(E488="","",IFERROR(INDEX(I_Item!$C$6:$C$255,MATCH(E488,I_Item!$A$6:$A$255,0)),"KODE BARU")))</f>
        <v/>
      </c>
      <c r="H488" s="45"/>
      <c r="I488" s="42"/>
      <c r="J488" s="11" t="str">
        <f aca="false">IF(H488="","",H488*I488)</f>
        <v/>
      </c>
      <c r="K488" s="42"/>
      <c r="L488" s="11" t="str">
        <f aca="false">IF(H488="","",IF(K488&lt;&gt;"",K488,H488*IFERROR(INDEX(O_Stok!$Q$6:$Q$85,MATCH(G488,O_Stok!$A$6:$A$85,0)),0)))</f>
        <v/>
      </c>
      <c r="M488" s="11" t="str">
        <f aca="false">IF(H488="","",J488-L488)</f>
        <v/>
      </c>
      <c r="N488" s="34" t="str">
        <f aca="false">IF(G488="","",IFERROR(INDEX(I_Master!$B$6:$B$85,MATCH(G488,I_Master!$A$6:$A$85,0)),"?"))</f>
        <v/>
      </c>
      <c r="O488" s="34" t="str">
        <f aca="false">IF(G488="","",IFERROR(INDEX(I_Master!$E$6:$E$85,MATCH(G488,I_Master!$A$6:$A$85,0)),"?"))</f>
        <v/>
      </c>
      <c r="P488" s="46" t="str">
        <f aca="false">IF(H488="","",IF(OR(A488&lt;I_Parameter!$C$5,A488&gt;I_Parameter!$C$6),0,IF(B488="Aktual",1,IF(AND(B488="Order",A488&gt;=I_Parameter!$C$4),1,0))))</f>
        <v/>
      </c>
    </row>
    <row r="489" customFormat="false" ht="15" hidden="false" customHeight="false" outlineLevel="0" collapsed="false">
      <c r="A489" s="37"/>
      <c r="B489" s="44"/>
      <c r="C489" s="44"/>
      <c r="D489" s="44"/>
      <c r="E489" s="44"/>
      <c r="F489" s="44"/>
      <c r="G489" s="34" t="str">
        <f aca="false">IF(F489&lt;&gt;"",F489,IF(E489="","",IFERROR(INDEX(I_Item!$C$6:$C$255,MATCH(E489,I_Item!$A$6:$A$255,0)),"KODE BARU")))</f>
        <v/>
      </c>
      <c r="H489" s="45"/>
      <c r="I489" s="42"/>
      <c r="J489" s="11" t="str">
        <f aca="false">IF(H489="","",H489*I489)</f>
        <v/>
      </c>
      <c r="K489" s="42"/>
      <c r="L489" s="11" t="str">
        <f aca="false">IF(H489="","",IF(K489&lt;&gt;"",K489,H489*IFERROR(INDEX(O_Stok!$Q$6:$Q$85,MATCH(G489,O_Stok!$A$6:$A$85,0)),0)))</f>
        <v/>
      </c>
      <c r="M489" s="11" t="str">
        <f aca="false">IF(H489="","",J489-L489)</f>
        <v/>
      </c>
      <c r="N489" s="34" t="str">
        <f aca="false">IF(G489="","",IFERROR(INDEX(I_Master!$B$6:$B$85,MATCH(G489,I_Master!$A$6:$A$85,0)),"?"))</f>
        <v/>
      </c>
      <c r="O489" s="34" t="str">
        <f aca="false">IF(G489="","",IFERROR(INDEX(I_Master!$E$6:$E$85,MATCH(G489,I_Master!$A$6:$A$85,0)),"?"))</f>
        <v/>
      </c>
      <c r="P489" s="46" t="str">
        <f aca="false">IF(H489="","",IF(OR(A489&lt;I_Parameter!$C$5,A489&gt;I_Parameter!$C$6),0,IF(B489="Aktual",1,IF(AND(B489="Order",A489&gt;=I_Parameter!$C$4),1,0))))</f>
        <v/>
      </c>
    </row>
    <row r="490" customFormat="false" ht="15" hidden="false" customHeight="false" outlineLevel="0" collapsed="false">
      <c r="A490" s="37"/>
      <c r="B490" s="44"/>
      <c r="C490" s="44"/>
      <c r="D490" s="44"/>
      <c r="E490" s="44"/>
      <c r="F490" s="44"/>
      <c r="G490" s="34" t="str">
        <f aca="false">IF(F490&lt;&gt;"",F490,IF(E490="","",IFERROR(INDEX(I_Item!$C$6:$C$255,MATCH(E490,I_Item!$A$6:$A$255,0)),"KODE BARU")))</f>
        <v/>
      </c>
      <c r="H490" s="45"/>
      <c r="I490" s="42"/>
      <c r="J490" s="11" t="str">
        <f aca="false">IF(H490="","",H490*I490)</f>
        <v/>
      </c>
      <c r="K490" s="42"/>
      <c r="L490" s="11" t="str">
        <f aca="false">IF(H490="","",IF(K490&lt;&gt;"",K490,H490*IFERROR(INDEX(O_Stok!$Q$6:$Q$85,MATCH(G490,O_Stok!$A$6:$A$85,0)),0)))</f>
        <v/>
      </c>
      <c r="M490" s="11" t="str">
        <f aca="false">IF(H490="","",J490-L490)</f>
        <v/>
      </c>
      <c r="N490" s="34" t="str">
        <f aca="false">IF(G490="","",IFERROR(INDEX(I_Master!$B$6:$B$85,MATCH(G490,I_Master!$A$6:$A$85,0)),"?"))</f>
        <v/>
      </c>
      <c r="O490" s="34" t="str">
        <f aca="false">IF(G490="","",IFERROR(INDEX(I_Master!$E$6:$E$85,MATCH(G490,I_Master!$A$6:$A$85,0)),"?"))</f>
        <v/>
      </c>
      <c r="P490" s="46" t="str">
        <f aca="false">IF(H490="","",IF(OR(A490&lt;I_Parameter!$C$5,A490&gt;I_Parameter!$C$6),0,IF(B490="Aktual",1,IF(AND(B490="Order",A490&gt;=I_Parameter!$C$4),1,0))))</f>
        <v/>
      </c>
    </row>
    <row r="491" customFormat="false" ht="15" hidden="false" customHeight="false" outlineLevel="0" collapsed="false">
      <c r="A491" s="37"/>
      <c r="B491" s="44"/>
      <c r="C491" s="44"/>
      <c r="D491" s="44"/>
      <c r="E491" s="44"/>
      <c r="F491" s="44"/>
      <c r="G491" s="34" t="str">
        <f aca="false">IF(F491&lt;&gt;"",F491,IF(E491="","",IFERROR(INDEX(I_Item!$C$6:$C$255,MATCH(E491,I_Item!$A$6:$A$255,0)),"KODE BARU")))</f>
        <v/>
      </c>
      <c r="H491" s="45"/>
      <c r="I491" s="42"/>
      <c r="J491" s="11" t="str">
        <f aca="false">IF(H491="","",H491*I491)</f>
        <v/>
      </c>
      <c r="K491" s="42"/>
      <c r="L491" s="11" t="str">
        <f aca="false">IF(H491="","",IF(K491&lt;&gt;"",K491,H491*IFERROR(INDEX(O_Stok!$Q$6:$Q$85,MATCH(G491,O_Stok!$A$6:$A$85,0)),0)))</f>
        <v/>
      </c>
      <c r="M491" s="11" t="str">
        <f aca="false">IF(H491="","",J491-L491)</f>
        <v/>
      </c>
      <c r="N491" s="34" t="str">
        <f aca="false">IF(G491="","",IFERROR(INDEX(I_Master!$B$6:$B$85,MATCH(G491,I_Master!$A$6:$A$85,0)),"?"))</f>
        <v/>
      </c>
      <c r="O491" s="34" t="str">
        <f aca="false">IF(G491="","",IFERROR(INDEX(I_Master!$E$6:$E$85,MATCH(G491,I_Master!$A$6:$A$85,0)),"?"))</f>
        <v/>
      </c>
      <c r="P491" s="46" t="str">
        <f aca="false">IF(H491="","",IF(OR(A491&lt;I_Parameter!$C$5,A491&gt;I_Parameter!$C$6),0,IF(B491="Aktual",1,IF(AND(B491="Order",A491&gt;=I_Parameter!$C$4),1,0))))</f>
        <v/>
      </c>
    </row>
    <row r="492" customFormat="false" ht="15" hidden="false" customHeight="false" outlineLevel="0" collapsed="false">
      <c r="A492" s="37"/>
      <c r="B492" s="44"/>
      <c r="C492" s="44"/>
      <c r="D492" s="44"/>
      <c r="E492" s="44"/>
      <c r="F492" s="44"/>
      <c r="G492" s="34" t="str">
        <f aca="false">IF(F492&lt;&gt;"",F492,IF(E492="","",IFERROR(INDEX(I_Item!$C$6:$C$255,MATCH(E492,I_Item!$A$6:$A$255,0)),"KODE BARU")))</f>
        <v/>
      </c>
      <c r="H492" s="45"/>
      <c r="I492" s="42"/>
      <c r="J492" s="11" t="str">
        <f aca="false">IF(H492="","",H492*I492)</f>
        <v/>
      </c>
      <c r="K492" s="42"/>
      <c r="L492" s="11" t="str">
        <f aca="false">IF(H492="","",IF(K492&lt;&gt;"",K492,H492*IFERROR(INDEX(O_Stok!$Q$6:$Q$85,MATCH(G492,O_Stok!$A$6:$A$85,0)),0)))</f>
        <v/>
      </c>
      <c r="M492" s="11" t="str">
        <f aca="false">IF(H492="","",J492-L492)</f>
        <v/>
      </c>
      <c r="N492" s="34" t="str">
        <f aca="false">IF(G492="","",IFERROR(INDEX(I_Master!$B$6:$B$85,MATCH(G492,I_Master!$A$6:$A$85,0)),"?"))</f>
        <v/>
      </c>
      <c r="O492" s="34" t="str">
        <f aca="false">IF(G492="","",IFERROR(INDEX(I_Master!$E$6:$E$85,MATCH(G492,I_Master!$A$6:$A$85,0)),"?"))</f>
        <v/>
      </c>
      <c r="P492" s="46" t="str">
        <f aca="false">IF(H492="","",IF(OR(A492&lt;I_Parameter!$C$5,A492&gt;I_Parameter!$C$6),0,IF(B492="Aktual",1,IF(AND(B492="Order",A492&gt;=I_Parameter!$C$4),1,0))))</f>
        <v/>
      </c>
    </row>
    <row r="493" customFormat="false" ht="15" hidden="false" customHeight="false" outlineLevel="0" collapsed="false">
      <c r="A493" s="37"/>
      <c r="B493" s="44"/>
      <c r="C493" s="44"/>
      <c r="D493" s="44"/>
      <c r="E493" s="44"/>
      <c r="F493" s="44"/>
      <c r="G493" s="34" t="str">
        <f aca="false">IF(F493&lt;&gt;"",F493,IF(E493="","",IFERROR(INDEX(I_Item!$C$6:$C$255,MATCH(E493,I_Item!$A$6:$A$255,0)),"KODE BARU")))</f>
        <v/>
      </c>
      <c r="H493" s="45"/>
      <c r="I493" s="42"/>
      <c r="J493" s="11" t="str">
        <f aca="false">IF(H493="","",H493*I493)</f>
        <v/>
      </c>
      <c r="K493" s="42"/>
      <c r="L493" s="11" t="str">
        <f aca="false">IF(H493="","",IF(K493&lt;&gt;"",K493,H493*IFERROR(INDEX(O_Stok!$Q$6:$Q$85,MATCH(G493,O_Stok!$A$6:$A$85,0)),0)))</f>
        <v/>
      </c>
      <c r="M493" s="11" t="str">
        <f aca="false">IF(H493="","",J493-L493)</f>
        <v/>
      </c>
      <c r="N493" s="34" t="str">
        <f aca="false">IF(G493="","",IFERROR(INDEX(I_Master!$B$6:$B$85,MATCH(G493,I_Master!$A$6:$A$85,0)),"?"))</f>
        <v/>
      </c>
      <c r="O493" s="34" t="str">
        <f aca="false">IF(G493="","",IFERROR(INDEX(I_Master!$E$6:$E$85,MATCH(G493,I_Master!$A$6:$A$85,0)),"?"))</f>
        <v/>
      </c>
      <c r="P493" s="46" t="str">
        <f aca="false">IF(H493="","",IF(OR(A493&lt;I_Parameter!$C$5,A493&gt;I_Parameter!$C$6),0,IF(B493="Aktual",1,IF(AND(B493="Order",A493&gt;=I_Parameter!$C$4),1,0))))</f>
        <v/>
      </c>
    </row>
    <row r="494" customFormat="false" ht="15" hidden="false" customHeight="false" outlineLevel="0" collapsed="false">
      <c r="A494" s="37"/>
      <c r="B494" s="44"/>
      <c r="C494" s="44"/>
      <c r="D494" s="44"/>
      <c r="E494" s="44"/>
      <c r="F494" s="44"/>
      <c r="G494" s="34" t="str">
        <f aca="false">IF(F494&lt;&gt;"",F494,IF(E494="","",IFERROR(INDEX(I_Item!$C$6:$C$255,MATCH(E494,I_Item!$A$6:$A$255,0)),"KODE BARU")))</f>
        <v/>
      </c>
      <c r="H494" s="45"/>
      <c r="I494" s="42"/>
      <c r="J494" s="11" t="str">
        <f aca="false">IF(H494="","",H494*I494)</f>
        <v/>
      </c>
      <c r="K494" s="42"/>
      <c r="L494" s="11" t="str">
        <f aca="false">IF(H494="","",IF(K494&lt;&gt;"",K494,H494*IFERROR(INDEX(O_Stok!$Q$6:$Q$85,MATCH(G494,O_Stok!$A$6:$A$85,0)),0)))</f>
        <v/>
      </c>
      <c r="M494" s="11" t="str">
        <f aca="false">IF(H494="","",J494-L494)</f>
        <v/>
      </c>
      <c r="N494" s="34" t="str">
        <f aca="false">IF(G494="","",IFERROR(INDEX(I_Master!$B$6:$B$85,MATCH(G494,I_Master!$A$6:$A$85,0)),"?"))</f>
        <v/>
      </c>
      <c r="O494" s="34" t="str">
        <f aca="false">IF(G494="","",IFERROR(INDEX(I_Master!$E$6:$E$85,MATCH(G494,I_Master!$A$6:$A$85,0)),"?"))</f>
        <v/>
      </c>
      <c r="P494" s="46" t="str">
        <f aca="false">IF(H494="","",IF(OR(A494&lt;I_Parameter!$C$5,A494&gt;I_Parameter!$C$6),0,IF(B494="Aktual",1,IF(AND(B494="Order",A494&gt;=I_Parameter!$C$4),1,0))))</f>
        <v/>
      </c>
    </row>
    <row r="495" customFormat="false" ht="15" hidden="false" customHeight="false" outlineLevel="0" collapsed="false">
      <c r="A495" s="37"/>
      <c r="B495" s="44"/>
      <c r="C495" s="44"/>
      <c r="D495" s="44"/>
      <c r="E495" s="44"/>
      <c r="F495" s="44"/>
      <c r="G495" s="34" t="str">
        <f aca="false">IF(F495&lt;&gt;"",F495,IF(E495="","",IFERROR(INDEX(I_Item!$C$6:$C$255,MATCH(E495,I_Item!$A$6:$A$255,0)),"KODE BARU")))</f>
        <v/>
      </c>
      <c r="H495" s="45"/>
      <c r="I495" s="42"/>
      <c r="J495" s="11" t="str">
        <f aca="false">IF(H495="","",H495*I495)</f>
        <v/>
      </c>
      <c r="K495" s="42"/>
      <c r="L495" s="11" t="str">
        <f aca="false">IF(H495="","",IF(K495&lt;&gt;"",K495,H495*IFERROR(INDEX(O_Stok!$Q$6:$Q$85,MATCH(G495,O_Stok!$A$6:$A$85,0)),0)))</f>
        <v/>
      </c>
      <c r="M495" s="11" t="str">
        <f aca="false">IF(H495="","",J495-L495)</f>
        <v/>
      </c>
      <c r="N495" s="34" t="str">
        <f aca="false">IF(G495="","",IFERROR(INDEX(I_Master!$B$6:$B$85,MATCH(G495,I_Master!$A$6:$A$85,0)),"?"))</f>
        <v/>
      </c>
      <c r="O495" s="34" t="str">
        <f aca="false">IF(G495="","",IFERROR(INDEX(I_Master!$E$6:$E$85,MATCH(G495,I_Master!$A$6:$A$85,0)),"?"))</f>
        <v/>
      </c>
      <c r="P495" s="46" t="str">
        <f aca="false">IF(H495="","",IF(OR(A495&lt;I_Parameter!$C$5,A495&gt;I_Parameter!$C$6),0,IF(B495="Aktual",1,IF(AND(B495="Order",A495&gt;=I_Parameter!$C$4),1,0))))</f>
        <v/>
      </c>
    </row>
    <row r="496" customFormat="false" ht="15" hidden="false" customHeight="false" outlineLevel="0" collapsed="false">
      <c r="A496" s="37"/>
      <c r="B496" s="44"/>
      <c r="C496" s="44"/>
      <c r="D496" s="44"/>
      <c r="E496" s="44"/>
      <c r="F496" s="44"/>
      <c r="G496" s="34" t="str">
        <f aca="false">IF(F496&lt;&gt;"",F496,IF(E496="","",IFERROR(INDEX(I_Item!$C$6:$C$255,MATCH(E496,I_Item!$A$6:$A$255,0)),"KODE BARU")))</f>
        <v/>
      </c>
      <c r="H496" s="45"/>
      <c r="I496" s="42"/>
      <c r="J496" s="11" t="str">
        <f aca="false">IF(H496="","",H496*I496)</f>
        <v/>
      </c>
      <c r="K496" s="42"/>
      <c r="L496" s="11" t="str">
        <f aca="false">IF(H496="","",IF(K496&lt;&gt;"",K496,H496*IFERROR(INDEX(O_Stok!$Q$6:$Q$85,MATCH(G496,O_Stok!$A$6:$A$85,0)),0)))</f>
        <v/>
      </c>
      <c r="M496" s="11" t="str">
        <f aca="false">IF(H496="","",J496-L496)</f>
        <v/>
      </c>
      <c r="N496" s="34" t="str">
        <f aca="false">IF(G496="","",IFERROR(INDEX(I_Master!$B$6:$B$85,MATCH(G496,I_Master!$A$6:$A$85,0)),"?"))</f>
        <v/>
      </c>
      <c r="O496" s="34" t="str">
        <f aca="false">IF(G496="","",IFERROR(INDEX(I_Master!$E$6:$E$85,MATCH(G496,I_Master!$A$6:$A$85,0)),"?"))</f>
        <v/>
      </c>
      <c r="P496" s="46" t="str">
        <f aca="false">IF(H496="","",IF(OR(A496&lt;I_Parameter!$C$5,A496&gt;I_Parameter!$C$6),0,IF(B496="Aktual",1,IF(AND(B496="Order",A496&gt;=I_Parameter!$C$4),1,0))))</f>
        <v/>
      </c>
    </row>
    <row r="497" customFormat="false" ht="15" hidden="false" customHeight="false" outlineLevel="0" collapsed="false">
      <c r="A497" s="37"/>
      <c r="B497" s="44"/>
      <c r="C497" s="44"/>
      <c r="D497" s="44"/>
      <c r="E497" s="44"/>
      <c r="F497" s="44"/>
      <c r="G497" s="34" t="str">
        <f aca="false">IF(F497&lt;&gt;"",F497,IF(E497="","",IFERROR(INDEX(I_Item!$C$6:$C$255,MATCH(E497,I_Item!$A$6:$A$255,0)),"KODE BARU")))</f>
        <v/>
      </c>
      <c r="H497" s="45"/>
      <c r="I497" s="42"/>
      <c r="J497" s="11" t="str">
        <f aca="false">IF(H497="","",H497*I497)</f>
        <v/>
      </c>
      <c r="K497" s="42"/>
      <c r="L497" s="11" t="str">
        <f aca="false">IF(H497="","",IF(K497&lt;&gt;"",K497,H497*IFERROR(INDEX(O_Stok!$Q$6:$Q$85,MATCH(G497,O_Stok!$A$6:$A$85,0)),0)))</f>
        <v/>
      </c>
      <c r="M497" s="11" t="str">
        <f aca="false">IF(H497="","",J497-L497)</f>
        <v/>
      </c>
      <c r="N497" s="34" t="str">
        <f aca="false">IF(G497="","",IFERROR(INDEX(I_Master!$B$6:$B$85,MATCH(G497,I_Master!$A$6:$A$85,0)),"?"))</f>
        <v/>
      </c>
      <c r="O497" s="34" t="str">
        <f aca="false">IF(G497="","",IFERROR(INDEX(I_Master!$E$6:$E$85,MATCH(G497,I_Master!$A$6:$A$85,0)),"?"))</f>
        <v/>
      </c>
      <c r="P497" s="46" t="str">
        <f aca="false">IF(H497="","",IF(OR(A497&lt;I_Parameter!$C$5,A497&gt;I_Parameter!$C$6),0,IF(B497="Aktual",1,IF(AND(B497="Order",A497&gt;=I_Parameter!$C$4),1,0))))</f>
        <v/>
      </c>
    </row>
    <row r="498" customFormat="false" ht="15" hidden="false" customHeight="false" outlineLevel="0" collapsed="false">
      <c r="A498" s="37"/>
      <c r="B498" s="44"/>
      <c r="C498" s="44"/>
      <c r="D498" s="44"/>
      <c r="E498" s="44"/>
      <c r="F498" s="44"/>
      <c r="G498" s="34" t="str">
        <f aca="false">IF(F498&lt;&gt;"",F498,IF(E498="","",IFERROR(INDEX(I_Item!$C$6:$C$255,MATCH(E498,I_Item!$A$6:$A$255,0)),"KODE BARU")))</f>
        <v/>
      </c>
      <c r="H498" s="45"/>
      <c r="I498" s="42"/>
      <c r="J498" s="11" t="str">
        <f aca="false">IF(H498="","",H498*I498)</f>
        <v/>
      </c>
      <c r="K498" s="42"/>
      <c r="L498" s="11" t="str">
        <f aca="false">IF(H498="","",IF(K498&lt;&gt;"",K498,H498*IFERROR(INDEX(O_Stok!$Q$6:$Q$85,MATCH(G498,O_Stok!$A$6:$A$85,0)),0)))</f>
        <v/>
      </c>
      <c r="M498" s="11" t="str">
        <f aca="false">IF(H498="","",J498-L498)</f>
        <v/>
      </c>
      <c r="N498" s="34" t="str">
        <f aca="false">IF(G498="","",IFERROR(INDEX(I_Master!$B$6:$B$85,MATCH(G498,I_Master!$A$6:$A$85,0)),"?"))</f>
        <v/>
      </c>
      <c r="O498" s="34" t="str">
        <f aca="false">IF(G498="","",IFERROR(INDEX(I_Master!$E$6:$E$85,MATCH(G498,I_Master!$A$6:$A$85,0)),"?"))</f>
        <v/>
      </c>
      <c r="P498" s="46" t="str">
        <f aca="false">IF(H498="","",IF(OR(A498&lt;I_Parameter!$C$5,A498&gt;I_Parameter!$C$6),0,IF(B498="Aktual",1,IF(AND(B498="Order",A498&gt;=I_Parameter!$C$4),1,0))))</f>
        <v/>
      </c>
    </row>
    <row r="499" customFormat="false" ht="15" hidden="false" customHeight="false" outlineLevel="0" collapsed="false">
      <c r="A499" s="37"/>
      <c r="B499" s="44"/>
      <c r="C499" s="44"/>
      <c r="D499" s="44"/>
      <c r="E499" s="44"/>
      <c r="F499" s="44"/>
      <c r="G499" s="34" t="str">
        <f aca="false">IF(F499&lt;&gt;"",F499,IF(E499="","",IFERROR(INDEX(I_Item!$C$6:$C$255,MATCH(E499,I_Item!$A$6:$A$255,0)),"KODE BARU")))</f>
        <v/>
      </c>
      <c r="H499" s="45"/>
      <c r="I499" s="42"/>
      <c r="J499" s="11" t="str">
        <f aca="false">IF(H499="","",H499*I499)</f>
        <v/>
      </c>
      <c r="K499" s="42"/>
      <c r="L499" s="11" t="str">
        <f aca="false">IF(H499="","",IF(K499&lt;&gt;"",K499,H499*IFERROR(INDEX(O_Stok!$Q$6:$Q$85,MATCH(G499,O_Stok!$A$6:$A$85,0)),0)))</f>
        <v/>
      </c>
      <c r="M499" s="11" t="str">
        <f aca="false">IF(H499="","",J499-L499)</f>
        <v/>
      </c>
      <c r="N499" s="34" t="str">
        <f aca="false">IF(G499="","",IFERROR(INDEX(I_Master!$B$6:$B$85,MATCH(G499,I_Master!$A$6:$A$85,0)),"?"))</f>
        <v/>
      </c>
      <c r="O499" s="34" t="str">
        <f aca="false">IF(G499="","",IFERROR(INDEX(I_Master!$E$6:$E$85,MATCH(G499,I_Master!$A$6:$A$85,0)),"?"))</f>
        <v/>
      </c>
      <c r="P499" s="46" t="str">
        <f aca="false">IF(H499="","",IF(OR(A499&lt;I_Parameter!$C$5,A499&gt;I_Parameter!$C$6),0,IF(B499="Aktual",1,IF(AND(B499="Order",A499&gt;=I_Parameter!$C$4),1,0))))</f>
        <v/>
      </c>
    </row>
    <row r="500" customFormat="false" ht="15" hidden="false" customHeight="false" outlineLevel="0" collapsed="false">
      <c r="A500" s="37"/>
      <c r="B500" s="44"/>
      <c r="C500" s="44"/>
      <c r="D500" s="44"/>
      <c r="E500" s="44"/>
      <c r="F500" s="44"/>
      <c r="G500" s="34" t="str">
        <f aca="false">IF(F500&lt;&gt;"",F500,IF(E500="","",IFERROR(INDEX(I_Item!$C$6:$C$255,MATCH(E500,I_Item!$A$6:$A$255,0)),"KODE BARU")))</f>
        <v/>
      </c>
      <c r="H500" s="45"/>
      <c r="I500" s="42"/>
      <c r="J500" s="11" t="str">
        <f aca="false">IF(H500="","",H500*I500)</f>
        <v/>
      </c>
      <c r="K500" s="42"/>
      <c r="L500" s="11" t="str">
        <f aca="false">IF(H500="","",IF(K500&lt;&gt;"",K500,H500*IFERROR(INDEX(O_Stok!$Q$6:$Q$85,MATCH(G500,O_Stok!$A$6:$A$85,0)),0)))</f>
        <v/>
      </c>
      <c r="M500" s="11" t="str">
        <f aca="false">IF(H500="","",J500-L500)</f>
        <v/>
      </c>
      <c r="N500" s="34" t="str">
        <f aca="false">IF(G500="","",IFERROR(INDEX(I_Master!$B$6:$B$85,MATCH(G500,I_Master!$A$6:$A$85,0)),"?"))</f>
        <v/>
      </c>
      <c r="O500" s="34" t="str">
        <f aca="false">IF(G500="","",IFERROR(INDEX(I_Master!$E$6:$E$85,MATCH(G500,I_Master!$A$6:$A$85,0)),"?"))</f>
        <v/>
      </c>
      <c r="P500" s="46" t="str">
        <f aca="false">IF(H500="","",IF(OR(A500&lt;I_Parameter!$C$5,A500&gt;I_Parameter!$C$6),0,IF(B500="Aktual",1,IF(AND(B500="Order",A500&gt;=I_Parameter!$C$4),1,0))))</f>
        <v/>
      </c>
    </row>
    <row r="501" customFormat="false" ht="15" hidden="false" customHeight="false" outlineLevel="0" collapsed="false">
      <c r="A501" s="37"/>
      <c r="B501" s="44"/>
      <c r="C501" s="44"/>
      <c r="D501" s="44"/>
      <c r="E501" s="44"/>
      <c r="F501" s="44"/>
      <c r="G501" s="34" t="str">
        <f aca="false">IF(F501&lt;&gt;"",F501,IF(E501="","",IFERROR(INDEX(I_Item!$C$6:$C$255,MATCH(E501,I_Item!$A$6:$A$255,0)),"KODE BARU")))</f>
        <v/>
      </c>
      <c r="H501" s="45"/>
      <c r="I501" s="42"/>
      <c r="J501" s="11" t="str">
        <f aca="false">IF(H501="","",H501*I501)</f>
        <v/>
      </c>
      <c r="K501" s="42"/>
      <c r="L501" s="11" t="str">
        <f aca="false">IF(H501="","",IF(K501&lt;&gt;"",K501,H501*IFERROR(INDEX(O_Stok!$Q$6:$Q$85,MATCH(G501,O_Stok!$A$6:$A$85,0)),0)))</f>
        <v/>
      </c>
      <c r="M501" s="11" t="str">
        <f aca="false">IF(H501="","",J501-L501)</f>
        <v/>
      </c>
      <c r="N501" s="34" t="str">
        <f aca="false">IF(G501="","",IFERROR(INDEX(I_Master!$B$6:$B$85,MATCH(G501,I_Master!$A$6:$A$85,0)),"?"))</f>
        <v/>
      </c>
      <c r="O501" s="34" t="str">
        <f aca="false">IF(G501="","",IFERROR(INDEX(I_Master!$E$6:$E$85,MATCH(G501,I_Master!$A$6:$A$85,0)),"?"))</f>
        <v/>
      </c>
      <c r="P501" s="46" t="str">
        <f aca="false">IF(H501="","",IF(OR(A501&lt;I_Parameter!$C$5,A501&gt;I_Parameter!$C$6),0,IF(B501="Aktual",1,IF(AND(B501="Order",A501&gt;=I_Parameter!$C$4),1,0))))</f>
        <v/>
      </c>
    </row>
    <row r="502" customFormat="false" ht="15" hidden="false" customHeight="false" outlineLevel="0" collapsed="false">
      <c r="A502" s="37"/>
      <c r="B502" s="44"/>
      <c r="C502" s="44"/>
      <c r="D502" s="44"/>
      <c r="E502" s="44"/>
      <c r="F502" s="44"/>
      <c r="G502" s="34" t="str">
        <f aca="false">IF(F502&lt;&gt;"",F502,IF(E502="","",IFERROR(INDEX(I_Item!$C$6:$C$255,MATCH(E502,I_Item!$A$6:$A$255,0)),"KODE BARU")))</f>
        <v/>
      </c>
      <c r="H502" s="45"/>
      <c r="I502" s="42"/>
      <c r="J502" s="11" t="str">
        <f aca="false">IF(H502="","",H502*I502)</f>
        <v/>
      </c>
      <c r="K502" s="42"/>
      <c r="L502" s="11" t="str">
        <f aca="false">IF(H502="","",IF(K502&lt;&gt;"",K502,H502*IFERROR(INDEX(O_Stok!$Q$6:$Q$85,MATCH(G502,O_Stok!$A$6:$A$85,0)),0)))</f>
        <v/>
      </c>
      <c r="M502" s="11" t="str">
        <f aca="false">IF(H502="","",J502-L502)</f>
        <v/>
      </c>
      <c r="N502" s="34" t="str">
        <f aca="false">IF(G502="","",IFERROR(INDEX(I_Master!$B$6:$B$85,MATCH(G502,I_Master!$A$6:$A$85,0)),"?"))</f>
        <v/>
      </c>
      <c r="O502" s="34" t="str">
        <f aca="false">IF(G502="","",IFERROR(INDEX(I_Master!$E$6:$E$85,MATCH(G502,I_Master!$A$6:$A$85,0)),"?"))</f>
        <v/>
      </c>
      <c r="P502" s="46" t="str">
        <f aca="false">IF(H502="","",IF(OR(A502&lt;I_Parameter!$C$5,A502&gt;I_Parameter!$C$6),0,IF(B502="Aktual",1,IF(AND(B502="Order",A502&gt;=I_Parameter!$C$4),1,0))))</f>
        <v/>
      </c>
    </row>
    <row r="503" customFormat="false" ht="15" hidden="false" customHeight="false" outlineLevel="0" collapsed="false">
      <c r="A503" s="37"/>
      <c r="B503" s="44"/>
      <c r="C503" s="44"/>
      <c r="D503" s="44"/>
      <c r="E503" s="44"/>
      <c r="F503" s="44"/>
      <c r="G503" s="34" t="str">
        <f aca="false">IF(F503&lt;&gt;"",F503,IF(E503="","",IFERROR(INDEX(I_Item!$C$6:$C$255,MATCH(E503,I_Item!$A$6:$A$255,0)),"KODE BARU")))</f>
        <v/>
      </c>
      <c r="H503" s="45"/>
      <c r="I503" s="42"/>
      <c r="J503" s="11" t="str">
        <f aca="false">IF(H503="","",H503*I503)</f>
        <v/>
      </c>
      <c r="K503" s="42"/>
      <c r="L503" s="11" t="str">
        <f aca="false">IF(H503="","",IF(K503&lt;&gt;"",K503,H503*IFERROR(INDEX(O_Stok!$Q$6:$Q$85,MATCH(G503,O_Stok!$A$6:$A$85,0)),0)))</f>
        <v/>
      </c>
      <c r="M503" s="11" t="str">
        <f aca="false">IF(H503="","",J503-L503)</f>
        <v/>
      </c>
      <c r="N503" s="34" t="str">
        <f aca="false">IF(G503="","",IFERROR(INDEX(I_Master!$B$6:$B$85,MATCH(G503,I_Master!$A$6:$A$85,0)),"?"))</f>
        <v/>
      </c>
      <c r="O503" s="34" t="str">
        <f aca="false">IF(G503="","",IFERROR(INDEX(I_Master!$E$6:$E$85,MATCH(G503,I_Master!$A$6:$A$85,0)),"?"))</f>
        <v/>
      </c>
      <c r="P503" s="46" t="str">
        <f aca="false">IF(H503="","",IF(OR(A503&lt;I_Parameter!$C$5,A503&gt;I_Parameter!$C$6),0,IF(B503="Aktual",1,IF(AND(B503="Order",A503&gt;=I_Parameter!$C$4),1,0))))</f>
        <v/>
      </c>
    </row>
    <row r="504" customFormat="false" ht="15" hidden="false" customHeight="false" outlineLevel="0" collapsed="false">
      <c r="A504" s="37"/>
      <c r="B504" s="44"/>
      <c r="C504" s="44"/>
      <c r="D504" s="44"/>
      <c r="E504" s="44"/>
      <c r="F504" s="44"/>
      <c r="G504" s="34" t="str">
        <f aca="false">IF(F504&lt;&gt;"",F504,IF(E504="","",IFERROR(INDEX(I_Item!$C$6:$C$255,MATCH(E504,I_Item!$A$6:$A$255,0)),"KODE BARU")))</f>
        <v/>
      </c>
      <c r="H504" s="45"/>
      <c r="I504" s="42"/>
      <c r="J504" s="11" t="str">
        <f aca="false">IF(H504="","",H504*I504)</f>
        <v/>
      </c>
      <c r="K504" s="42"/>
      <c r="L504" s="11" t="str">
        <f aca="false">IF(H504="","",IF(K504&lt;&gt;"",K504,H504*IFERROR(INDEX(O_Stok!$Q$6:$Q$85,MATCH(G504,O_Stok!$A$6:$A$85,0)),0)))</f>
        <v/>
      </c>
      <c r="M504" s="11" t="str">
        <f aca="false">IF(H504="","",J504-L504)</f>
        <v/>
      </c>
      <c r="N504" s="34" t="str">
        <f aca="false">IF(G504="","",IFERROR(INDEX(I_Master!$B$6:$B$85,MATCH(G504,I_Master!$A$6:$A$85,0)),"?"))</f>
        <v/>
      </c>
      <c r="O504" s="34" t="str">
        <f aca="false">IF(G504="","",IFERROR(INDEX(I_Master!$E$6:$E$85,MATCH(G504,I_Master!$A$6:$A$85,0)),"?"))</f>
        <v/>
      </c>
      <c r="P504" s="46" t="str">
        <f aca="false">IF(H504="","",IF(OR(A504&lt;I_Parameter!$C$5,A504&gt;I_Parameter!$C$6),0,IF(B504="Aktual",1,IF(AND(B504="Order",A504&gt;=I_Parameter!$C$4),1,0))))</f>
        <v/>
      </c>
    </row>
    <row r="505" customFormat="false" ht="15" hidden="false" customHeight="false" outlineLevel="0" collapsed="false">
      <c r="A505" s="37"/>
      <c r="B505" s="44"/>
      <c r="C505" s="44"/>
      <c r="D505" s="44"/>
      <c r="E505" s="44"/>
      <c r="F505" s="44"/>
      <c r="G505" s="34" t="str">
        <f aca="false">IF(F505&lt;&gt;"",F505,IF(E505="","",IFERROR(INDEX(I_Item!$C$6:$C$255,MATCH(E505,I_Item!$A$6:$A$255,0)),"KODE BARU")))</f>
        <v/>
      </c>
      <c r="H505" s="45"/>
      <c r="I505" s="42"/>
      <c r="J505" s="11" t="str">
        <f aca="false">IF(H505="","",H505*I505)</f>
        <v/>
      </c>
      <c r="K505" s="42"/>
      <c r="L505" s="11" t="str">
        <f aca="false">IF(H505="","",IF(K505&lt;&gt;"",K505,H505*IFERROR(INDEX(O_Stok!$Q$6:$Q$85,MATCH(G505,O_Stok!$A$6:$A$85,0)),0)))</f>
        <v/>
      </c>
      <c r="M505" s="11" t="str">
        <f aca="false">IF(H505="","",J505-L505)</f>
        <v/>
      </c>
      <c r="N505" s="34" t="str">
        <f aca="false">IF(G505="","",IFERROR(INDEX(I_Master!$B$6:$B$85,MATCH(G505,I_Master!$A$6:$A$85,0)),"?"))</f>
        <v/>
      </c>
      <c r="O505" s="34" t="str">
        <f aca="false">IF(G505="","",IFERROR(INDEX(I_Master!$E$6:$E$85,MATCH(G505,I_Master!$A$6:$A$85,0)),"?"))</f>
        <v/>
      </c>
      <c r="P505" s="46" t="str">
        <f aca="false">IF(H505="","",IF(OR(A505&lt;I_Parameter!$C$5,A505&gt;I_Parameter!$C$6),0,IF(B505="Aktual",1,IF(AND(B505="Order",A505&gt;=I_Parameter!$C$4),1,0))))</f>
        <v/>
      </c>
    </row>
    <row r="506" customFormat="false" ht="15" hidden="false" customHeight="false" outlineLevel="0" collapsed="false">
      <c r="A506" s="37"/>
      <c r="B506" s="44"/>
      <c r="C506" s="44"/>
      <c r="D506" s="44"/>
      <c r="E506" s="44"/>
      <c r="F506" s="44"/>
      <c r="G506" s="34" t="str">
        <f aca="false">IF(F506&lt;&gt;"",F506,IF(E506="","",IFERROR(INDEX(I_Item!$C$6:$C$255,MATCH(E506,I_Item!$A$6:$A$255,0)),"KODE BARU")))</f>
        <v/>
      </c>
      <c r="H506" s="45"/>
      <c r="I506" s="42"/>
      <c r="J506" s="11" t="str">
        <f aca="false">IF(H506="","",H506*I506)</f>
        <v/>
      </c>
      <c r="K506" s="42"/>
      <c r="L506" s="11" t="str">
        <f aca="false">IF(H506="","",IF(K506&lt;&gt;"",K506,H506*IFERROR(INDEX(O_Stok!$Q$6:$Q$85,MATCH(G506,O_Stok!$A$6:$A$85,0)),0)))</f>
        <v/>
      </c>
      <c r="M506" s="11" t="str">
        <f aca="false">IF(H506="","",J506-L506)</f>
        <v/>
      </c>
      <c r="N506" s="34" t="str">
        <f aca="false">IF(G506="","",IFERROR(INDEX(I_Master!$B$6:$B$85,MATCH(G506,I_Master!$A$6:$A$85,0)),"?"))</f>
        <v/>
      </c>
      <c r="O506" s="34" t="str">
        <f aca="false">IF(G506="","",IFERROR(INDEX(I_Master!$E$6:$E$85,MATCH(G506,I_Master!$A$6:$A$85,0)),"?"))</f>
        <v/>
      </c>
      <c r="P506" s="46" t="str">
        <f aca="false">IF(H506="","",IF(OR(A506&lt;I_Parameter!$C$5,A506&gt;I_Parameter!$C$6),0,IF(B506="Aktual",1,IF(AND(B506="Order",A506&gt;=I_Parameter!$C$4),1,0))))</f>
        <v/>
      </c>
    </row>
    <row r="507" customFormat="false" ht="15" hidden="false" customHeight="false" outlineLevel="0" collapsed="false">
      <c r="A507" s="37"/>
      <c r="B507" s="44"/>
      <c r="C507" s="44"/>
      <c r="D507" s="44"/>
      <c r="E507" s="44"/>
      <c r="F507" s="44"/>
      <c r="G507" s="34" t="str">
        <f aca="false">IF(F507&lt;&gt;"",F507,IF(E507="","",IFERROR(INDEX(I_Item!$C$6:$C$255,MATCH(E507,I_Item!$A$6:$A$255,0)),"KODE BARU")))</f>
        <v/>
      </c>
      <c r="H507" s="45"/>
      <c r="I507" s="42"/>
      <c r="J507" s="11" t="str">
        <f aca="false">IF(H507="","",H507*I507)</f>
        <v/>
      </c>
      <c r="K507" s="42"/>
      <c r="L507" s="11" t="str">
        <f aca="false">IF(H507="","",IF(K507&lt;&gt;"",K507,H507*IFERROR(INDEX(O_Stok!$Q$6:$Q$85,MATCH(G507,O_Stok!$A$6:$A$85,0)),0)))</f>
        <v/>
      </c>
      <c r="M507" s="11" t="str">
        <f aca="false">IF(H507="","",J507-L507)</f>
        <v/>
      </c>
      <c r="N507" s="34" t="str">
        <f aca="false">IF(G507="","",IFERROR(INDEX(I_Master!$B$6:$B$85,MATCH(G507,I_Master!$A$6:$A$85,0)),"?"))</f>
        <v/>
      </c>
      <c r="O507" s="34" t="str">
        <f aca="false">IF(G507="","",IFERROR(INDEX(I_Master!$E$6:$E$85,MATCH(G507,I_Master!$A$6:$A$85,0)),"?"))</f>
        <v/>
      </c>
      <c r="P507" s="46" t="str">
        <f aca="false">IF(H507="","",IF(OR(A507&lt;I_Parameter!$C$5,A507&gt;I_Parameter!$C$6),0,IF(B507="Aktual",1,IF(AND(B507="Order",A507&gt;=I_Parameter!$C$4),1,0))))</f>
        <v/>
      </c>
    </row>
    <row r="508" customFormat="false" ht="15" hidden="false" customHeight="false" outlineLevel="0" collapsed="false">
      <c r="A508" s="37"/>
      <c r="B508" s="44"/>
      <c r="C508" s="44"/>
      <c r="D508" s="44"/>
      <c r="E508" s="44"/>
      <c r="F508" s="44"/>
      <c r="G508" s="34" t="str">
        <f aca="false">IF(F508&lt;&gt;"",F508,IF(E508="","",IFERROR(INDEX(I_Item!$C$6:$C$255,MATCH(E508,I_Item!$A$6:$A$255,0)),"KODE BARU")))</f>
        <v/>
      </c>
      <c r="H508" s="45"/>
      <c r="I508" s="42"/>
      <c r="J508" s="11" t="str">
        <f aca="false">IF(H508="","",H508*I508)</f>
        <v/>
      </c>
      <c r="K508" s="42"/>
      <c r="L508" s="11" t="str">
        <f aca="false">IF(H508="","",IF(K508&lt;&gt;"",K508,H508*IFERROR(INDEX(O_Stok!$Q$6:$Q$85,MATCH(G508,O_Stok!$A$6:$A$85,0)),0)))</f>
        <v/>
      </c>
      <c r="M508" s="11" t="str">
        <f aca="false">IF(H508="","",J508-L508)</f>
        <v/>
      </c>
      <c r="N508" s="34" t="str">
        <f aca="false">IF(G508="","",IFERROR(INDEX(I_Master!$B$6:$B$85,MATCH(G508,I_Master!$A$6:$A$85,0)),"?"))</f>
        <v/>
      </c>
      <c r="O508" s="34" t="str">
        <f aca="false">IF(G508="","",IFERROR(INDEX(I_Master!$E$6:$E$85,MATCH(G508,I_Master!$A$6:$A$85,0)),"?"))</f>
        <v/>
      </c>
      <c r="P508" s="46" t="str">
        <f aca="false">IF(H508="","",IF(OR(A508&lt;I_Parameter!$C$5,A508&gt;I_Parameter!$C$6),0,IF(B508="Aktual",1,IF(AND(B508="Order",A508&gt;=I_Parameter!$C$4),1,0))))</f>
        <v/>
      </c>
    </row>
    <row r="509" customFormat="false" ht="15" hidden="false" customHeight="false" outlineLevel="0" collapsed="false">
      <c r="A509" s="37"/>
      <c r="B509" s="44"/>
      <c r="C509" s="44"/>
      <c r="D509" s="44"/>
      <c r="E509" s="44"/>
      <c r="F509" s="44"/>
      <c r="G509" s="34" t="str">
        <f aca="false">IF(F509&lt;&gt;"",F509,IF(E509="","",IFERROR(INDEX(I_Item!$C$6:$C$255,MATCH(E509,I_Item!$A$6:$A$255,0)),"KODE BARU")))</f>
        <v/>
      </c>
      <c r="H509" s="45"/>
      <c r="I509" s="42"/>
      <c r="J509" s="11" t="str">
        <f aca="false">IF(H509="","",H509*I509)</f>
        <v/>
      </c>
      <c r="K509" s="42"/>
      <c r="L509" s="11" t="str">
        <f aca="false">IF(H509="","",IF(K509&lt;&gt;"",K509,H509*IFERROR(INDEX(O_Stok!$Q$6:$Q$85,MATCH(G509,O_Stok!$A$6:$A$85,0)),0)))</f>
        <v/>
      </c>
      <c r="M509" s="11" t="str">
        <f aca="false">IF(H509="","",J509-L509)</f>
        <v/>
      </c>
      <c r="N509" s="34" t="str">
        <f aca="false">IF(G509="","",IFERROR(INDEX(I_Master!$B$6:$B$85,MATCH(G509,I_Master!$A$6:$A$85,0)),"?"))</f>
        <v/>
      </c>
      <c r="O509" s="34" t="str">
        <f aca="false">IF(G509="","",IFERROR(INDEX(I_Master!$E$6:$E$85,MATCH(G509,I_Master!$A$6:$A$85,0)),"?"))</f>
        <v/>
      </c>
      <c r="P509" s="46" t="str">
        <f aca="false">IF(H509="","",IF(OR(A509&lt;I_Parameter!$C$5,A509&gt;I_Parameter!$C$6),0,IF(B509="Aktual",1,IF(AND(B509="Order",A509&gt;=I_Parameter!$C$4),1,0))))</f>
        <v/>
      </c>
    </row>
    <row r="510" customFormat="false" ht="15" hidden="false" customHeight="false" outlineLevel="0" collapsed="false">
      <c r="A510" s="37"/>
      <c r="B510" s="44"/>
      <c r="C510" s="44"/>
      <c r="D510" s="44"/>
      <c r="E510" s="44"/>
      <c r="F510" s="44"/>
      <c r="G510" s="34" t="str">
        <f aca="false">IF(F510&lt;&gt;"",F510,IF(E510="","",IFERROR(INDEX(I_Item!$C$6:$C$255,MATCH(E510,I_Item!$A$6:$A$255,0)),"KODE BARU")))</f>
        <v/>
      </c>
      <c r="H510" s="45"/>
      <c r="I510" s="42"/>
      <c r="J510" s="11" t="str">
        <f aca="false">IF(H510="","",H510*I510)</f>
        <v/>
      </c>
      <c r="K510" s="42"/>
      <c r="L510" s="11" t="str">
        <f aca="false">IF(H510="","",IF(K510&lt;&gt;"",K510,H510*IFERROR(INDEX(O_Stok!$Q$6:$Q$85,MATCH(G510,O_Stok!$A$6:$A$85,0)),0)))</f>
        <v/>
      </c>
      <c r="M510" s="11" t="str">
        <f aca="false">IF(H510="","",J510-L510)</f>
        <v/>
      </c>
      <c r="N510" s="34" t="str">
        <f aca="false">IF(G510="","",IFERROR(INDEX(I_Master!$B$6:$B$85,MATCH(G510,I_Master!$A$6:$A$85,0)),"?"))</f>
        <v/>
      </c>
      <c r="O510" s="34" t="str">
        <f aca="false">IF(G510="","",IFERROR(INDEX(I_Master!$E$6:$E$85,MATCH(G510,I_Master!$A$6:$A$85,0)),"?"))</f>
        <v/>
      </c>
      <c r="P510" s="46" t="str">
        <f aca="false">IF(H510="","",IF(OR(A510&lt;I_Parameter!$C$5,A510&gt;I_Parameter!$C$6),0,IF(B510="Aktual",1,IF(AND(B510="Order",A510&gt;=I_Parameter!$C$4),1,0))))</f>
        <v/>
      </c>
    </row>
    <row r="511" customFormat="false" ht="15" hidden="false" customHeight="false" outlineLevel="0" collapsed="false">
      <c r="A511" s="37"/>
      <c r="B511" s="44"/>
      <c r="C511" s="44"/>
      <c r="D511" s="44"/>
      <c r="E511" s="44"/>
      <c r="F511" s="44"/>
      <c r="G511" s="34" t="str">
        <f aca="false">IF(F511&lt;&gt;"",F511,IF(E511="","",IFERROR(INDEX(I_Item!$C$6:$C$255,MATCH(E511,I_Item!$A$6:$A$255,0)),"KODE BARU")))</f>
        <v/>
      </c>
      <c r="H511" s="45"/>
      <c r="I511" s="42"/>
      <c r="J511" s="11" t="str">
        <f aca="false">IF(H511="","",H511*I511)</f>
        <v/>
      </c>
      <c r="K511" s="42"/>
      <c r="L511" s="11" t="str">
        <f aca="false">IF(H511="","",IF(K511&lt;&gt;"",K511,H511*IFERROR(INDEX(O_Stok!$Q$6:$Q$85,MATCH(G511,O_Stok!$A$6:$A$85,0)),0)))</f>
        <v/>
      </c>
      <c r="M511" s="11" t="str">
        <f aca="false">IF(H511="","",J511-L511)</f>
        <v/>
      </c>
      <c r="N511" s="34" t="str">
        <f aca="false">IF(G511="","",IFERROR(INDEX(I_Master!$B$6:$B$85,MATCH(G511,I_Master!$A$6:$A$85,0)),"?"))</f>
        <v/>
      </c>
      <c r="O511" s="34" t="str">
        <f aca="false">IF(G511="","",IFERROR(INDEX(I_Master!$E$6:$E$85,MATCH(G511,I_Master!$A$6:$A$85,0)),"?"))</f>
        <v/>
      </c>
      <c r="P511" s="46" t="str">
        <f aca="false">IF(H511="","",IF(OR(A511&lt;I_Parameter!$C$5,A511&gt;I_Parameter!$C$6),0,IF(B511="Aktual",1,IF(AND(B511="Order",A511&gt;=I_Parameter!$C$4),1,0))))</f>
        <v/>
      </c>
    </row>
    <row r="512" customFormat="false" ht="15" hidden="false" customHeight="false" outlineLevel="0" collapsed="false">
      <c r="A512" s="37"/>
      <c r="B512" s="44"/>
      <c r="C512" s="44"/>
      <c r="D512" s="44"/>
      <c r="E512" s="44"/>
      <c r="F512" s="44"/>
      <c r="G512" s="34" t="str">
        <f aca="false">IF(F512&lt;&gt;"",F512,IF(E512="","",IFERROR(INDEX(I_Item!$C$6:$C$255,MATCH(E512,I_Item!$A$6:$A$255,0)),"KODE BARU")))</f>
        <v/>
      </c>
      <c r="H512" s="45"/>
      <c r="I512" s="42"/>
      <c r="J512" s="11" t="str">
        <f aca="false">IF(H512="","",H512*I512)</f>
        <v/>
      </c>
      <c r="K512" s="42"/>
      <c r="L512" s="11" t="str">
        <f aca="false">IF(H512="","",IF(K512&lt;&gt;"",K512,H512*IFERROR(INDEX(O_Stok!$Q$6:$Q$85,MATCH(G512,O_Stok!$A$6:$A$85,0)),0)))</f>
        <v/>
      </c>
      <c r="M512" s="11" t="str">
        <f aca="false">IF(H512="","",J512-L512)</f>
        <v/>
      </c>
      <c r="N512" s="34" t="str">
        <f aca="false">IF(G512="","",IFERROR(INDEX(I_Master!$B$6:$B$85,MATCH(G512,I_Master!$A$6:$A$85,0)),"?"))</f>
        <v/>
      </c>
      <c r="O512" s="34" t="str">
        <f aca="false">IF(G512="","",IFERROR(INDEX(I_Master!$E$6:$E$85,MATCH(G512,I_Master!$A$6:$A$85,0)),"?"))</f>
        <v/>
      </c>
      <c r="P512" s="46" t="str">
        <f aca="false">IF(H512="","",IF(OR(A512&lt;I_Parameter!$C$5,A512&gt;I_Parameter!$C$6),0,IF(B512="Aktual",1,IF(AND(B512="Order",A512&gt;=I_Parameter!$C$4),1,0))))</f>
        <v/>
      </c>
    </row>
    <row r="513" customFormat="false" ht="15" hidden="false" customHeight="false" outlineLevel="0" collapsed="false">
      <c r="A513" s="37"/>
      <c r="B513" s="44"/>
      <c r="C513" s="44"/>
      <c r="D513" s="44"/>
      <c r="E513" s="44"/>
      <c r="F513" s="44"/>
      <c r="G513" s="34" t="str">
        <f aca="false">IF(F513&lt;&gt;"",F513,IF(E513="","",IFERROR(INDEX(I_Item!$C$6:$C$255,MATCH(E513,I_Item!$A$6:$A$255,0)),"KODE BARU")))</f>
        <v/>
      </c>
      <c r="H513" s="45"/>
      <c r="I513" s="42"/>
      <c r="J513" s="11" t="str">
        <f aca="false">IF(H513="","",H513*I513)</f>
        <v/>
      </c>
      <c r="K513" s="42"/>
      <c r="L513" s="11" t="str">
        <f aca="false">IF(H513="","",IF(K513&lt;&gt;"",K513,H513*IFERROR(INDEX(O_Stok!$Q$6:$Q$85,MATCH(G513,O_Stok!$A$6:$A$85,0)),0)))</f>
        <v/>
      </c>
      <c r="M513" s="11" t="str">
        <f aca="false">IF(H513="","",J513-L513)</f>
        <v/>
      </c>
      <c r="N513" s="34" t="str">
        <f aca="false">IF(G513="","",IFERROR(INDEX(I_Master!$B$6:$B$85,MATCH(G513,I_Master!$A$6:$A$85,0)),"?"))</f>
        <v/>
      </c>
      <c r="O513" s="34" t="str">
        <f aca="false">IF(G513="","",IFERROR(INDEX(I_Master!$E$6:$E$85,MATCH(G513,I_Master!$A$6:$A$85,0)),"?"))</f>
        <v/>
      </c>
      <c r="P513" s="46" t="str">
        <f aca="false">IF(H513="","",IF(OR(A513&lt;I_Parameter!$C$5,A513&gt;I_Parameter!$C$6),0,IF(B513="Aktual",1,IF(AND(B513="Order",A513&gt;=I_Parameter!$C$4),1,0))))</f>
        <v/>
      </c>
    </row>
    <row r="514" customFormat="false" ht="15" hidden="false" customHeight="false" outlineLevel="0" collapsed="false">
      <c r="A514" s="37"/>
      <c r="B514" s="44"/>
      <c r="C514" s="44"/>
      <c r="D514" s="44"/>
      <c r="E514" s="44"/>
      <c r="F514" s="44"/>
      <c r="G514" s="34" t="str">
        <f aca="false">IF(F514&lt;&gt;"",F514,IF(E514="","",IFERROR(INDEX(I_Item!$C$6:$C$255,MATCH(E514,I_Item!$A$6:$A$255,0)),"KODE BARU")))</f>
        <v/>
      </c>
      <c r="H514" s="45"/>
      <c r="I514" s="42"/>
      <c r="J514" s="11" t="str">
        <f aca="false">IF(H514="","",H514*I514)</f>
        <v/>
      </c>
      <c r="K514" s="42"/>
      <c r="L514" s="11" t="str">
        <f aca="false">IF(H514="","",IF(K514&lt;&gt;"",K514,H514*IFERROR(INDEX(O_Stok!$Q$6:$Q$85,MATCH(G514,O_Stok!$A$6:$A$85,0)),0)))</f>
        <v/>
      </c>
      <c r="M514" s="11" t="str">
        <f aca="false">IF(H514="","",J514-L514)</f>
        <v/>
      </c>
      <c r="N514" s="34" t="str">
        <f aca="false">IF(G514="","",IFERROR(INDEX(I_Master!$B$6:$B$85,MATCH(G514,I_Master!$A$6:$A$85,0)),"?"))</f>
        <v/>
      </c>
      <c r="O514" s="34" t="str">
        <f aca="false">IF(G514="","",IFERROR(INDEX(I_Master!$E$6:$E$85,MATCH(G514,I_Master!$A$6:$A$85,0)),"?"))</f>
        <v/>
      </c>
      <c r="P514" s="46" t="str">
        <f aca="false">IF(H514="","",IF(OR(A514&lt;I_Parameter!$C$5,A514&gt;I_Parameter!$C$6),0,IF(B514="Aktual",1,IF(AND(B514="Order",A514&gt;=I_Parameter!$C$4),1,0))))</f>
        <v/>
      </c>
    </row>
    <row r="515" customFormat="false" ht="15" hidden="false" customHeight="false" outlineLevel="0" collapsed="false">
      <c r="A515" s="37"/>
      <c r="B515" s="44"/>
      <c r="C515" s="44"/>
      <c r="D515" s="44"/>
      <c r="E515" s="44"/>
      <c r="F515" s="44"/>
      <c r="G515" s="34" t="str">
        <f aca="false">IF(F515&lt;&gt;"",F515,IF(E515="","",IFERROR(INDEX(I_Item!$C$6:$C$255,MATCH(E515,I_Item!$A$6:$A$255,0)),"KODE BARU")))</f>
        <v/>
      </c>
      <c r="H515" s="45"/>
      <c r="I515" s="42"/>
      <c r="J515" s="11" t="str">
        <f aca="false">IF(H515="","",H515*I515)</f>
        <v/>
      </c>
      <c r="K515" s="42"/>
      <c r="L515" s="11" t="str">
        <f aca="false">IF(H515="","",IF(K515&lt;&gt;"",K515,H515*IFERROR(INDEX(O_Stok!$Q$6:$Q$85,MATCH(G515,O_Stok!$A$6:$A$85,0)),0)))</f>
        <v/>
      </c>
      <c r="M515" s="11" t="str">
        <f aca="false">IF(H515="","",J515-L515)</f>
        <v/>
      </c>
      <c r="N515" s="34" t="str">
        <f aca="false">IF(G515="","",IFERROR(INDEX(I_Master!$B$6:$B$85,MATCH(G515,I_Master!$A$6:$A$85,0)),"?"))</f>
        <v/>
      </c>
      <c r="O515" s="34" t="str">
        <f aca="false">IF(G515="","",IFERROR(INDEX(I_Master!$E$6:$E$85,MATCH(G515,I_Master!$A$6:$A$85,0)),"?"))</f>
        <v/>
      </c>
      <c r="P515" s="46" t="str">
        <f aca="false">IF(H515="","",IF(OR(A515&lt;I_Parameter!$C$5,A515&gt;I_Parameter!$C$6),0,IF(B515="Aktual",1,IF(AND(B515="Order",A515&gt;=I_Parameter!$C$4),1,0))))</f>
        <v/>
      </c>
    </row>
    <row r="516" customFormat="false" ht="15" hidden="false" customHeight="false" outlineLevel="0" collapsed="false">
      <c r="A516" s="37"/>
      <c r="B516" s="44"/>
      <c r="C516" s="44"/>
      <c r="D516" s="44"/>
      <c r="E516" s="44"/>
      <c r="F516" s="44"/>
      <c r="G516" s="34" t="str">
        <f aca="false">IF(F516&lt;&gt;"",F516,IF(E516="","",IFERROR(INDEX(I_Item!$C$6:$C$255,MATCH(E516,I_Item!$A$6:$A$255,0)),"KODE BARU")))</f>
        <v/>
      </c>
      <c r="H516" s="45"/>
      <c r="I516" s="42"/>
      <c r="J516" s="11" t="str">
        <f aca="false">IF(H516="","",H516*I516)</f>
        <v/>
      </c>
      <c r="K516" s="42"/>
      <c r="L516" s="11" t="str">
        <f aca="false">IF(H516="","",IF(K516&lt;&gt;"",K516,H516*IFERROR(INDEX(O_Stok!$Q$6:$Q$85,MATCH(G516,O_Stok!$A$6:$A$85,0)),0)))</f>
        <v/>
      </c>
      <c r="M516" s="11" t="str">
        <f aca="false">IF(H516="","",J516-L516)</f>
        <v/>
      </c>
      <c r="N516" s="34" t="str">
        <f aca="false">IF(G516="","",IFERROR(INDEX(I_Master!$B$6:$B$85,MATCH(G516,I_Master!$A$6:$A$85,0)),"?"))</f>
        <v/>
      </c>
      <c r="O516" s="34" t="str">
        <f aca="false">IF(G516="","",IFERROR(INDEX(I_Master!$E$6:$E$85,MATCH(G516,I_Master!$A$6:$A$85,0)),"?"))</f>
        <v/>
      </c>
      <c r="P516" s="46" t="str">
        <f aca="false">IF(H516="","",IF(OR(A516&lt;I_Parameter!$C$5,A516&gt;I_Parameter!$C$6),0,IF(B516="Aktual",1,IF(AND(B516="Order",A516&gt;=I_Parameter!$C$4),1,0))))</f>
        <v/>
      </c>
    </row>
    <row r="517" customFormat="false" ht="15" hidden="false" customHeight="false" outlineLevel="0" collapsed="false">
      <c r="A517" s="37"/>
      <c r="B517" s="44"/>
      <c r="C517" s="44"/>
      <c r="D517" s="44"/>
      <c r="E517" s="44"/>
      <c r="F517" s="44"/>
      <c r="G517" s="34" t="str">
        <f aca="false">IF(F517&lt;&gt;"",F517,IF(E517="","",IFERROR(INDEX(I_Item!$C$6:$C$255,MATCH(E517,I_Item!$A$6:$A$255,0)),"KODE BARU")))</f>
        <v/>
      </c>
      <c r="H517" s="45"/>
      <c r="I517" s="42"/>
      <c r="J517" s="11" t="str">
        <f aca="false">IF(H517="","",H517*I517)</f>
        <v/>
      </c>
      <c r="K517" s="42"/>
      <c r="L517" s="11" t="str">
        <f aca="false">IF(H517="","",IF(K517&lt;&gt;"",K517,H517*IFERROR(INDEX(O_Stok!$Q$6:$Q$85,MATCH(G517,O_Stok!$A$6:$A$85,0)),0)))</f>
        <v/>
      </c>
      <c r="M517" s="11" t="str">
        <f aca="false">IF(H517="","",J517-L517)</f>
        <v/>
      </c>
      <c r="N517" s="34" t="str">
        <f aca="false">IF(G517="","",IFERROR(INDEX(I_Master!$B$6:$B$85,MATCH(G517,I_Master!$A$6:$A$85,0)),"?"))</f>
        <v/>
      </c>
      <c r="O517" s="34" t="str">
        <f aca="false">IF(G517="","",IFERROR(INDEX(I_Master!$E$6:$E$85,MATCH(G517,I_Master!$A$6:$A$85,0)),"?"))</f>
        <v/>
      </c>
      <c r="P517" s="46" t="str">
        <f aca="false">IF(H517="","",IF(OR(A517&lt;I_Parameter!$C$5,A517&gt;I_Parameter!$C$6),0,IF(B517="Aktual",1,IF(AND(B517="Order",A517&gt;=I_Parameter!$C$4),1,0))))</f>
        <v/>
      </c>
    </row>
    <row r="518" customFormat="false" ht="15" hidden="false" customHeight="false" outlineLevel="0" collapsed="false">
      <c r="A518" s="37"/>
      <c r="B518" s="44"/>
      <c r="C518" s="44"/>
      <c r="D518" s="44"/>
      <c r="E518" s="44"/>
      <c r="F518" s="44"/>
      <c r="G518" s="34" t="str">
        <f aca="false">IF(F518&lt;&gt;"",F518,IF(E518="","",IFERROR(INDEX(I_Item!$C$6:$C$255,MATCH(E518,I_Item!$A$6:$A$255,0)),"KODE BARU")))</f>
        <v/>
      </c>
      <c r="H518" s="45"/>
      <c r="I518" s="42"/>
      <c r="J518" s="11" t="str">
        <f aca="false">IF(H518="","",H518*I518)</f>
        <v/>
      </c>
      <c r="K518" s="42"/>
      <c r="L518" s="11" t="str">
        <f aca="false">IF(H518="","",IF(K518&lt;&gt;"",K518,H518*IFERROR(INDEX(O_Stok!$Q$6:$Q$85,MATCH(G518,O_Stok!$A$6:$A$85,0)),0)))</f>
        <v/>
      </c>
      <c r="M518" s="11" t="str">
        <f aca="false">IF(H518="","",J518-L518)</f>
        <v/>
      </c>
      <c r="N518" s="34" t="str">
        <f aca="false">IF(G518="","",IFERROR(INDEX(I_Master!$B$6:$B$85,MATCH(G518,I_Master!$A$6:$A$85,0)),"?"))</f>
        <v/>
      </c>
      <c r="O518" s="34" t="str">
        <f aca="false">IF(G518="","",IFERROR(INDEX(I_Master!$E$6:$E$85,MATCH(G518,I_Master!$A$6:$A$85,0)),"?"))</f>
        <v/>
      </c>
      <c r="P518" s="46" t="str">
        <f aca="false">IF(H518="","",IF(OR(A518&lt;I_Parameter!$C$5,A518&gt;I_Parameter!$C$6),0,IF(B518="Aktual",1,IF(AND(B518="Order",A518&gt;=I_Parameter!$C$4),1,0))))</f>
        <v/>
      </c>
    </row>
    <row r="519" customFormat="false" ht="15" hidden="false" customHeight="false" outlineLevel="0" collapsed="false">
      <c r="A519" s="37"/>
      <c r="B519" s="44"/>
      <c r="C519" s="44"/>
      <c r="D519" s="44"/>
      <c r="E519" s="44"/>
      <c r="F519" s="44"/>
      <c r="G519" s="34" t="str">
        <f aca="false">IF(F519&lt;&gt;"",F519,IF(E519="","",IFERROR(INDEX(I_Item!$C$6:$C$255,MATCH(E519,I_Item!$A$6:$A$255,0)),"KODE BARU")))</f>
        <v/>
      </c>
      <c r="H519" s="45"/>
      <c r="I519" s="42"/>
      <c r="J519" s="11" t="str">
        <f aca="false">IF(H519="","",H519*I519)</f>
        <v/>
      </c>
      <c r="K519" s="42"/>
      <c r="L519" s="11" t="str">
        <f aca="false">IF(H519="","",IF(K519&lt;&gt;"",K519,H519*IFERROR(INDEX(O_Stok!$Q$6:$Q$85,MATCH(G519,O_Stok!$A$6:$A$85,0)),0)))</f>
        <v/>
      </c>
      <c r="M519" s="11" t="str">
        <f aca="false">IF(H519="","",J519-L519)</f>
        <v/>
      </c>
      <c r="N519" s="34" t="str">
        <f aca="false">IF(G519="","",IFERROR(INDEX(I_Master!$B$6:$B$85,MATCH(G519,I_Master!$A$6:$A$85,0)),"?"))</f>
        <v/>
      </c>
      <c r="O519" s="34" t="str">
        <f aca="false">IF(G519="","",IFERROR(INDEX(I_Master!$E$6:$E$85,MATCH(G519,I_Master!$A$6:$A$85,0)),"?"))</f>
        <v/>
      </c>
      <c r="P519" s="46" t="str">
        <f aca="false">IF(H519="","",IF(OR(A519&lt;I_Parameter!$C$5,A519&gt;I_Parameter!$C$6),0,IF(B519="Aktual",1,IF(AND(B519="Order",A519&gt;=I_Parameter!$C$4),1,0))))</f>
        <v/>
      </c>
    </row>
    <row r="520" customFormat="false" ht="15" hidden="false" customHeight="false" outlineLevel="0" collapsed="false">
      <c r="A520" s="37"/>
      <c r="B520" s="44"/>
      <c r="C520" s="44"/>
      <c r="D520" s="44"/>
      <c r="E520" s="44"/>
      <c r="F520" s="44"/>
      <c r="G520" s="34" t="str">
        <f aca="false">IF(F520&lt;&gt;"",F520,IF(E520="","",IFERROR(INDEX(I_Item!$C$6:$C$255,MATCH(E520,I_Item!$A$6:$A$255,0)),"KODE BARU")))</f>
        <v/>
      </c>
      <c r="H520" s="45"/>
      <c r="I520" s="42"/>
      <c r="J520" s="11" t="str">
        <f aca="false">IF(H520="","",H520*I520)</f>
        <v/>
      </c>
      <c r="K520" s="42"/>
      <c r="L520" s="11" t="str">
        <f aca="false">IF(H520="","",IF(K520&lt;&gt;"",K520,H520*IFERROR(INDEX(O_Stok!$Q$6:$Q$85,MATCH(G520,O_Stok!$A$6:$A$85,0)),0)))</f>
        <v/>
      </c>
      <c r="M520" s="11" t="str">
        <f aca="false">IF(H520="","",J520-L520)</f>
        <v/>
      </c>
      <c r="N520" s="34" t="str">
        <f aca="false">IF(G520="","",IFERROR(INDEX(I_Master!$B$6:$B$85,MATCH(G520,I_Master!$A$6:$A$85,0)),"?"))</f>
        <v/>
      </c>
      <c r="O520" s="34" t="str">
        <f aca="false">IF(G520="","",IFERROR(INDEX(I_Master!$E$6:$E$85,MATCH(G520,I_Master!$A$6:$A$85,0)),"?"))</f>
        <v/>
      </c>
      <c r="P520" s="46" t="str">
        <f aca="false">IF(H520="","",IF(OR(A520&lt;I_Parameter!$C$5,A520&gt;I_Parameter!$C$6),0,IF(B520="Aktual",1,IF(AND(B520="Order",A520&gt;=I_Parameter!$C$4),1,0))))</f>
        <v/>
      </c>
    </row>
    <row r="521" customFormat="false" ht="15" hidden="false" customHeight="false" outlineLevel="0" collapsed="false">
      <c r="A521" s="37"/>
      <c r="B521" s="44"/>
      <c r="C521" s="44"/>
      <c r="D521" s="44"/>
      <c r="E521" s="44"/>
      <c r="F521" s="44"/>
      <c r="G521" s="34" t="str">
        <f aca="false">IF(F521&lt;&gt;"",F521,IF(E521="","",IFERROR(INDEX(I_Item!$C$6:$C$255,MATCH(E521,I_Item!$A$6:$A$255,0)),"KODE BARU")))</f>
        <v/>
      </c>
      <c r="H521" s="45"/>
      <c r="I521" s="42"/>
      <c r="J521" s="11" t="str">
        <f aca="false">IF(H521="","",H521*I521)</f>
        <v/>
      </c>
      <c r="K521" s="42"/>
      <c r="L521" s="11" t="str">
        <f aca="false">IF(H521="","",IF(K521&lt;&gt;"",K521,H521*IFERROR(INDEX(O_Stok!$Q$6:$Q$85,MATCH(G521,O_Stok!$A$6:$A$85,0)),0)))</f>
        <v/>
      </c>
      <c r="M521" s="11" t="str">
        <f aca="false">IF(H521="","",J521-L521)</f>
        <v/>
      </c>
      <c r="N521" s="34" t="str">
        <f aca="false">IF(G521="","",IFERROR(INDEX(I_Master!$B$6:$B$85,MATCH(G521,I_Master!$A$6:$A$85,0)),"?"))</f>
        <v/>
      </c>
      <c r="O521" s="34" t="str">
        <f aca="false">IF(G521="","",IFERROR(INDEX(I_Master!$E$6:$E$85,MATCH(G521,I_Master!$A$6:$A$85,0)),"?"))</f>
        <v/>
      </c>
      <c r="P521" s="46" t="str">
        <f aca="false">IF(H521="","",IF(OR(A521&lt;I_Parameter!$C$5,A521&gt;I_Parameter!$C$6),0,IF(B521="Aktual",1,IF(AND(B521="Order",A521&gt;=I_Parameter!$C$4),1,0))))</f>
        <v/>
      </c>
    </row>
    <row r="522" customFormat="false" ht="15" hidden="false" customHeight="false" outlineLevel="0" collapsed="false">
      <c r="A522" s="37"/>
      <c r="B522" s="44"/>
      <c r="C522" s="44"/>
      <c r="D522" s="44"/>
      <c r="E522" s="44"/>
      <c r="F522" s="44"/>
      <c r="G522" s="34" t="str">
        <f aca="false">IF(F522&lt;&gt;"",F522,IF(E522="","",IFERROR(INDEX(I_Item!$C$6:$C$255,MATCH(E522,I_Item!$A$6:$A$255,0)),"KODE BARU")))</f>
        <v/>
      </c>
      <c r="H522" s="45"/>
      <c r="I522" s="42"/>
      <c r="J522" s="11" t="str">
        <f aca="false">IF(H522="","",H522*I522)</f>
        <v/>
      </c>
      <c r="K522" s="42"/>
      <c r="L522" s="11" t="str">
        <f aca="false">IF(H522="","",IF(K522&lt;&gt;"",K522,H522*IFERROR(INDEX(O_Stok!$Q$6:$Q$85,MATCH(G522,O_Stok!$A$6:$A$85,0)),0)))</f>
        <v/>
      </c>
      <c r="M522" s="11" t="str">
        <f aca="false">IF(H522="","",J522-L522)</f>
        <v/>
      </c>
      <c r="N522" s="34" t="str">
        <f aca="false">IF(G522="","",IFERROR(INDEX(I_Master!$B$6:$B$85,MATCH(G522,I_Master!$A$6:$A$85,0)),"?"))</f>
        <v/>
      </c>
      <c r="O522" s="34" t="str">
        <f aca="false">IF(G522="","",IFERROR(INDEX(I_Master!$E$6:$E$85,MATCH(G522,I_Master!$A$6:$A$85,0)),"?"))</f>
        <v/>
      </c>
      <c r="P522" s="46" t="str">
        <f aca="false">IF(H522="","",IF(OR(A522&lt;I_Parameter!$C$5,A522&gt;I_Parameter!$C$6),0,IF(B522="Aktual",1,IF(AND(B522="Order",A522&gt;=I_Parameter!$C$4),1,0))))</f>
        <v/>
      </c>
    </row>
    <row r="523" customFormat="false" ht="15" hidden="false" customHeight="false" outlineLevel="0" collapsed="false">
      <c r="A523" s="37"/>
      <c r="B523" s="44"/>
      <c r="C523" s="44"/>
      <c r="D523" s="44"/>
      <c r="E523" s="44"/>
      <c r="F523" s="44"/>
      <c r="G523" s="34" t="str">
        <f aca="false">IF(F523&lt;&gt;"",F523,IF(E523="","",IFERROR(INDEX(I_Item!$C$6:$C$255,MATCH(E523,I_Item!$A$6:$A$255,0)),"KODE BARU")))</f>
        <v/>
      </c>
      <c r="H523" s="45"/>
      <c r="I523" s="42"/>
      <c r="J523" s="11" t="str">
        <f aca="false">IF(H523="","",H523*I523)</f>
        <v/>
      </c>
      <c r="K523" s="42"/>
      <c r="L523" s="11" t="str">
        <f aca="false">IF(H523="","",IF(K523&lt;&gt;"",K523,H523*IFERROR(INDEX(O_Stok!$Q$6:$Q$85,MATCH(G523,O_Stok!$A$6:$A$85,0)),0)))</f>
        <v/>
      </c>
      <c r="M523" s="11" t="str">
        <f aca="false">IF(H523="","",J523-L523)</f>
        <v/>
      </c>
      <c r="N523" s="34" t="str">
        <f aca="false">IF(G523="","",IFERROR(INDEX(I_Master!$B$6:$B$85,MATCH(G523,I_Master!$A$6:$A$85,0)),"?"))</f>
        <v/>
      </c>
      <c r="O523" s="34" t="str">
        <f aca="false">IF(G523="","",IFERROR(INDEX(I_Master!$E$6:$E$85,MATCH(G523,I_Master!$A$6:$A$85,0)),"?"))</f>
        <v/>
      </c>
      <c r="P523" s="46" t="str">
        <f aca="false">IF(H523="","",IF(OR(A523&lt;I_Parameter!$C$5,A523&gt;I_Parameter!$C$6),0,IF(B523="Aktual",1,IF(AND(B523="Order",A523&gt;=I_Parameter!$C$4),1,0))))</f>
        <v/>
      </c>
    </row>
    <row r="524" customFormat="false" ht="15" hidden="false" customHeight="false" outlineLevel="0" collapsed="false">
      <c r="A524" s="37"/>
      <c r="B524" s="44"/>
      <c r="C524" s="44"/>
      <c r="D524" s="44"/>
      <c r="E524" s="44"/>
      <c r="F524" s="44"/>
      <c r="G524" s="34" t="str">
        <f aca="false">IF(F524&lt;&gt;"",F524,IF(E524="","",IFERROR(INDEX(I_Item!$C$6:$C$255,MATCH(E524,I_Item!$A$6:$A$255,0)),"KODE BARU")))</f>
        <v/>
      </c>
      <c r="H524" s="45"/>
      <c r="I524" s="42"/>
      <c r="J524" s="11" t="str">
        <f aca="false">IF(H524="","",H524*I524)</f>
        <v/>
      </c>
      <c r="K524" s="42"/>
      <c r="L524" s="11" t="str">
        <f aca="false">IF(H524="","",IF(K524&lt;&gt;"",K524,H524*IFERROR(INDEX(O_Stok!$Q$6:$Q$85,MATCH(G524,O_Stok!$A$6:$A$85,0)),0)))</f>
        <v/>
      </c>
      <c r="M524" s="11" t="str">
        <f aca="false">IF(H524="","",J524-L524)</f>
        <v/>
      </c>
      <c r="N524" s="34" t="str">
        <f aca="false">IF(G524="","",IFERROR(INDEX(I_Master!$B$6:$B$85,MATCH(G524,I_Master!$A$6:$A$85,0)),"?"))</f>
        <v/>
      </c>
      <c r="O524" s="34" t="str">
        <f aca="false">IF(G524="","",IFERROR(INDEX(I_Master!$E$6:$E$85,MATCH(G524,I_Master!$A$6:$A$85,0)),"?"))</f>
        <v/>
      </c>
      <c r="P524" s="46" t="str">
        <f aca="false">IF(H524="","",IF(OR(A524&lt;I_Parameter!$C$5,A524&gt;I_Parameter!$C$6),0,IF(B524="Aktual",1,IF(AND(B524="Order",A524&gt;=I_Parameter!$C$4),1,0))))</f>
        <v/>
      </c>
    </row>
    <row r="525" customFormat="false" ht="15" hidden="false" customHeight="false" outlineLevel="0" collapsed="false">
      <c r="A525" s="37"/>
      <c r="B525" s="44"/>
      <c r="C525" s="44"/>
      <c r="D525" s="44"/>
      <c r="E525" s="44"/>
      <c r="F525" s="44"/>
      <c r="G525" s="34" t="str">
        <f aca="false">IF(F525&lt;&gt;"",F525,IF(E525="","",IFERROR(INDEX(I_Item!$C$6:$C$255,MATCH(E525,I_Item!$A$6:$A$255,0)),"KODE BARU")))</f>
        <v/>
      </c>
      <c r="H525" s="45"/>
      <c r="I525" s="42"/>
      <c r="J525" s="11" t="str">
        <f aca="false">IF(H525="","",H525*I525)</f>
        <v/>
      </c>
      <c r="K525" s="42"/>
      <c r="L525" s="11" t="str">
        <f aca="false">IF(H525="","",IF(K525&lt;&gt;"",K525,H525*IFERROR(INDEX(O_Stok!$Q$6:$Q$85,MATCH(G525,O_Stok!$A$6:$A$85,0)),0)))</f>
        <v/>
      </c>
      <c r="M525" s="11" t="str">
        <f aca="false">IF(H525="","",J525-L525)</f>
        <v/>
      </c>
      <c r="N525" s="34" t="str">
        <f aca="false">IF(G525="","",IFERROR(INDEX(I_Master!$B$6:$B$85,MATCH(G525,I_Master!$A$6:$A$85,0)),"?"))</f>
        <v/>
      </c>
      <c r="O525" s="34" t="str">
        <f aca="false">IF(G525="","",IFERROR(INDEX(I_Master!$E$6:$E$85,MATCH(G525,I_Master!$A$6:$A$85,0)),"?"))</f>
        <v/>
      </c>
      <c r="P525" s="46" t="str">
        <f aca="false">IF(H525="","",IF(OR(A525&lt;I_Parameter!$C$5,A525&gt;I_Parameter!$C$6),0,IF(B525="Aktual",1,IF(AND(B525="Order",A525&gt;=I_Parameter!$C$4),1,0))))</f>
        <v/>
      </c>
    </row>
    <row r="526" customFormat="false" ht="15" hidden="false" customHeight="false" outlineLevel="0" collapsed="false">
      <c r="A526" s="37"/>
      <c r="B526" s="44"/>
      <c r="C526" s="44"/>
      <c r="D526" s="44"/>
      <c r="E526" s="44"/>
      <c r="F526" s="44"/>
      <c r="G526" s="34" t="str">
        <f aca="false">IF(F526&lt;&gt;"",F526,IF(E526="","",IFERROR(INDEX(I_Item!$C$6:$C$255,MATCH(E526,I_Item!$A$6:$A$255,0)),"KODE BARU")))</f>
        <v/>
      </c>
      <c r="H526" s="45"/>
      <c r="I526" s="42"/>
      <c r="J526" s="11" t="str">
        <f aca="false">IF(H526="","",H526*I526)</f>
        <v/>
      </c>
      <c r="K526" s="42"/>
      <c r="L526" s="11" t="str">
        <f aca="false">IF(H526="","",IF(K526&lt;&gt;"",K526,H526*IFERROR(INDEX(O_Stok!$Q$6:$Q$85,MATCH(G526,O_Stok!$A$6:$A$85,0)),0)))</f>
        <v/>
      </c>
      <c r="M526" s="11" t="str">
        <f aca="false">IF(H526="","",J526-L526)</f>
        <v/>
      </c>
      <c r="N526" s="34" t="str">
        <f aca="false">IF(G526="","",IFERROR(INDEX(I_Master!$B$6:$B$85,MATCH(G526,I_Master!$A$6:$A$85,0)),"?"))</f>
        <v/>
      </c>
      <c r="O526" s="34" t="str">
        <f aca="false">IF(G526="","",IFERROR(INDEX(I_Master!$E$6:$E$85,MATCH(G526,I_Master!$A$6:$A$85,0)),"?"))</f>
        <v/>
      </c>
      <c r="P526" s="46" t="str">
        <f aca="false">IF(H526="","",IF(OR(A526&lt;I_Parameter!$C$5,A526&gt;I_Parameter!$C$6),0,IF(B526="Aktual",1,IF(AND(B526="Order",A526&gt;=I_Parameter!$C$4),1,0))))</f>
        <v/>
      </c>
    </row>
    <row r="527" customFormat="false" ht="15" hidden="false" customHeight="false" outlineLevel="0" collapsed="false">
      <c r="A527" s="37"/>
      <c r="B527" s="44"/>
      <c r="C527" s="44"/>
      <c r="D527" s="44"/>
      <c r="E527" s="44"/>
      <c r="F527" s="44"/>
      <c r="G527" s="34" t="str">
        <f aca="false">IF(F527&lt;&gt;"",F527,IF(E527="","",IFERROR(INDEX(I_Item!$C$6:$C$255,MATCH(E527,I_Item!$A$6:$A$255,0)),"KODE BARU")))</f>
        <v/>
      </c>
      <c r="H527" s="45"/>
      <c r="I527" s="42"/>
      <c r="J527" s="11" t="str">
        <f aca="false">IF(H527="","",H527*I527)</f>
        <v/>
      </c>
      <c r="K527" s="42"/>
      <c r="L527" s="11" t="str">
        <f aca="false">IF(H527="","",IF(K527&lt;&gt;"",K527,H527*IFERROR(INDEX(O_Stok!$Q$6:$Q$85,MATCH(G527,O_Stok!$A$6:$A$85,0)),0)))</f>
        <v/>
      </c>
      <c r="M527" s="11" t="str">
        <f aca="false">IF(H527="","",J527-L527)</f>
        <v/>
      </c>
      <c r="N527" s="34" t="str">
        <f aca="false">IF(G527="","",IFERROR(INDEX(I_Master!$B$6:$B$85,MATCH(G527,I_Master!$A$6:$A$85,0)),"?"))</f>
        <v/>
      </c>
      <c r="O527" s="34" t="str">
        <f aca="false">IF(G527="","",IFERROR(INDEX(I_Master!$E$6:$E$85,MATCH(G527,I_Master!$A$6:$A$85,0)),"?"))</f>
        <v/>
      </c>
      <c r="P527" s="46" t="str">
        <f aca="false">IF(H527="","",IF(OR(A527&lt;I_Parameter!$C$5,A527&gt;I_Parameter!$C$6),0,IF(B527="Aktual",1,IF(AND(B527="Order",A527&gt;=I_Parameter!$C$4),1,0))))</f>
        <v/>
      </c>
    </row>
    <row r="528" customFormat="false" ht="15" hidden="false" customHeight="false" outlineLevel="0" collapsed="false">
      <c r="A528" s="37"/>
      <c r="B528" s="44"/>
      <c r="C528" s="44"/>
      <c r="D528" s="44"/>
      <c r="E528" s="44"/>
      <c r="F528" s="44"/>
      <c r="G528" s="34" t="str">
        <f aca="false">IF(F528&lt;&gt;"",F528,IF(E528="","",IFERROR(INDEX(I_Item!$C$6:$C$255,MATCH(E528,I_Item!$A$6:$A$255,0)),"KODE BARU")))</f>
        <v/>
      </c>
      <c r="H528" s="45"/>
      <c r="I528" s="42"/>
      <c r="J528" s="11" t="str">
        <f aca="false">IF(H528="","",H528*I528)</f>
        <v/>
      </c>
      <c r="K528" s="42"/>
      <c r="L528" s="11" t="str">
        <f aca="false">IF(H528="","",IF(K528&lt;&gt;"",K528,H528*IFERROR(INDEX(O_Stok!$Q$6:$Q$85,MATCH(G528,O_Stok!$A$6:$A$85,0)),0)))</f>
        <v/>
      </c>
      <c r="M528" s="11" t="str">
        <f aca="false">IF(H528="","",J528-L528)</f>
        <v/>
      </c>
      <c r="N528" s="34" t="str">
        <f aca="false">IF(G528="","",IFERROR(INDEX(I_Master!$B$6:$B$85,MATCH(G528,I_Master!$A$6:$A$85,0)),"?"))</f>
        <v/>
      </c>
      <c r="O528" s="34" t="str">
        <f aca="false">IF(G528="","",IFERROR(INDEX(I_Master!$E$6:$E$85,MATCH(G528,I_Master!$A$6:$A$85,0)),"?"))</f>
        <v/>
      </c>
      <c r="P528" s="46" t="str">
        <f aca="false">IF(H528="","",IF(OR(A528&lt;I_Parameter!$C$5,A528&gt;I_Parameter!$C$6),0,IF(B528="Aktual",1,IF(AND(B528="Order",A528&gt;=I_Parameter!$C$4),1,0))))</f>
        <v/>
      </c>
    </row>
    <row r="529" customFormat="false" ht="15" hidden="false" customHeight="false" outlineLevel="0" collapsed="false">
      <c r="A529" s="37"/>
      <c r="B529" s="44"/>
      <c r="C529" s="44"/>
      <c r="D529" s="44"/>
      <c r="E529" s="44"/>
      <c r="F529" s="44"/>
      <c r="G529" s="34" t="str">
        <f aca="false">IF(F529&lt;&gt;"",F529,IF(E529="","",IFERROR(INDEX(I_Item!$C$6:$C$255,MATCH(E529,I_Item!$A$6:$A$255,0)),"KODE BARU")))</f>
        <v/>
      </c>
      <c r="H529" s="45"/>
      <c r="I529" s="42"/>
      <c r="J529" s="11" t="str">
        <f aca="false">IF(H529="","",H529*I529)</f>
        <v/>
      </c>
      <c r="K529" s="42"/>
      <c r="L529" s="11" t="str">
        <f aca="false">IF(H529="","",IF(K529&lt;&gt;"",K529,H529*IFERROR(INDEX(O_Stok!$Q$6:$Q$85,MATCH(G529,O_Stok!$A$6:$A$85,0)),0)))</f>
        <v/>
      </c>
      <c r="M529" s="11" t="str">
        <f aca="false">IF(H529="","",J529-L529)</f>
        <v/>
      </c>
      <c r="N529" s="34" t="str">
        <f aca="false">IF(G529="","",IFERROR(INDEX(I_Master!$B$6:$B$85,MATCH(G529,I_Master!$A$6:$A$85,0)),"?"))</f>
        <v/>
      </c>
      <c r="O529" s="34" t="str">
        <f aca="false">IF(G529="","",IFERROR(INDEX(I_Master!$E$6:$E$85,MATCH(G529,I_Master!$A$6:$A$85,0)),"?"))</f>
        <v/>
      </c>
      <c r="P529" s="46" t="str">
        <f aca="false">IF(H529="","",IF(OR(A529&lt;I_Parameter!$C$5,A529&gt;I_Parameter!$C$6),0,IF(B529="Aktual",1,IF(AND(B529="Order",A529&gt;=I_Parameter!$C$4),1,0))))</f>
        <v/>
      </c>
    </row>
    <row r="530" customFormat="false" ht="15" hidden="false" customHeight="false" outlineLevel="0" collapsed="false">
      <c r="A530" s="37"/>
      <c r="B530" s="44"/>
      <c r="C530" s="44"/>
      <c r="D530" s="44"/>
      <c r="E530" s="44"/>
      <c r="F530" s="44"/>
      <c r="G530" s="34" t="str">
        <f aca="false">IF(F530&lt;&gt;"",F530,IF(E530="","",IFERROR(INDEX(I_Item!$C$6:$C$255,MATCH(E530,I_Item!$A$6:$A$255,0)),"KODE BARU")))</f>
        <v/>
      </c>
      <c r="H530" s="45"/>
      <c r="I530" s="42"/>
      <c r="J530" s="11" t="str">
        <f aca="false">IF(H530="","",H530*I530)</f>
        <v/>
      </c>
      <c r="K530" s="42"/>
      <c r="L530" s="11" t="str">
        <f aca="false">IF(H530="","",IF(K530&lt;&gt;"",K530,H530*IFERROR(INDEX(O_Stok!$Q$6:$Q$85,MATCH(G530,O_Stok!$A$6:$A$85,0)),0)))</f>
        <v/>
      </c>
      <c r="M530" s="11" t="str">
        <f aca="false">IF(H530="","",J530-L530)</f>
        <v/>
      </c>
      <c r="N530" s="34" t="str">
        <f aca="false">IF(G530="","",IFERROR(INDEX(I_Master!$B$6:$B$85,MATCH(G530,I_Master!$A$6:$A$85,0)),"?"))</f>
        <v/>
      </c>
      <c r="O530" s="34" t="str">
        <f aca="false">IF(G530="","",IFERROR(INDEX(I_Master!$E$6:$E$85,MATCH(G530,I_Master!$A$6:$A$85,0)),"?"))</f>
        <v/>
      </c>
      <c r="P530" s="46" t="str">
        <f aca="false">IF(H530="","",IF(OR(A530&lt;I_Parameter!$C$5,A530&gt;I_Parameter!$C$6),0,IF(B530="Aktual",1,IF(AND(B530="Order",A530&gt;=I_Parameter!$C$4),1,0))))</f>
        <v/>
      </c>
    </row>
    <row r="531" customFormat="false" ht="15" hidden="false" customHeight="false" outlineLevel="0" collapsed="false">
      <c r="A531" s="37"/>
      <c r="B531" s="44"/>
      <c r="C531" s="44"/>
      <c r="D531" s="44"/>
      <c r="E531" s="44"/>
      <c r="F531" s="44"/>
      <c r="G531" s="34" t="str">
        <f aca="false">IF(F531&lt;&gt;"",F531,IF(E531="","",IFERROR(INDEX(I_Item!$C$6:$C$255,MATCH(E531,I_Item!$A$6:$A$255,0)),"KODE BARU")))</f>
        <v/>
      </c>
      <c r="H531" s="45"/>
      <c r="I531" s="42"/>
      <c r="J531" s="11" t="str">
        <f aca="false">IF(H531="","",H531*I531)</f>
        <v/>
      </c>
      <c r="K531" s="42"/>
      <c r="L531" s="11" t="str">
        <f aca="false">IF(H531="","",IF(K531&lt;&gt;"",K531,H531*IFERROR(INDEX(O_Stok!$Q$6:$Q$85,MATCH(G531,O_Stok!$A$6:$A$85,0)),0)))</f>
        <v/>
      </c>
      <c r="M531" s="11" t="str">
        <f aca="false">IF(H531="","",J531-L531)</f>
        <v/>
      </c>
      <c r="N531" s="34" t="str">
        <f aca="false">IF(G531="","",IFERROR(INDEX(I_Master!$B$6:$B$85,MATCH(G531,I_Master!$A$6:$A$85,0)),"?"))</f>
        <v/>
      </c>
      <c r="O531" s="34" t="str">
        <f aca="false">IF(G531="","",IFERROR(INDEX(I_Master!$E$6:$E$85,MATCH(G531,I_Master!$A$6:$A$85,0)),"?"))</f>
        <v/>
      </c>
      <c r="P531" s="46" t="str">
        <f aca="false">IF(H531="","",IF(OR(A531&lt;I_Parameter!$C$5,A531&gt;I_Parameter!$C$6),0,IF(B531="Aktual",1,IF(AND(B531="Order",A531&gt;=I_Parameter!$C$4),1,0))))</f>
        <v/>
      </c>
    </row>
    <row r="532" customFormat="false" ht="15" hidden="false" customHeight="false" outlineLevel="0" collapsed="false">
      <c r="A532" s="37"/>
      <c r="B532" s="44"/>
      <c r="C532" s="44"/>
      <c r="D532" s="44"/>
      <c r="E532" s="44"/>
      <c r="F532" s="44"/>
      <c r="G532" s="34" t="str">
        <f aca="false">IF(F532&lt;&gt;"",F532,IF(E532="","",IFERROR(INDEX(I_Item!$C$6:$C$255,MATCH(E532,I_Item!$A$6:$A$255,0)),"KODE BARU")))</f>
        <v/>
      </c>
      <c r="H532" s="45"/>
      <c r="I532" s="42"/>
      <c r="J532" s="11" t="str">
        <f aca="false">IF(H532="","",H532*I532)</f>
        <v/>
      </c>
      <c r="K532" s="42"/>
      <c r="L532" s="11" t="str">
        <f aca="false">IF(H532="","",IF(K532&lt;&gt;"",K532,H532*IFERROR(INDEX(O_Stok!$Q$6:$Q$85,MATCH(G532,O_Stok!$A$6:$A$85,0)),0)))</f>
        <v/>
      </c>
      <c r="M532" s="11" t="str">
        <f aca="false">IF(H532="","",J532-L532)</f>
        <v/>
      </c>
      <c r="N532" s="34" t="str">
        <f aca="false">IF(G532="","",IFERROR(INDEX(I_Master!$B$6:$B$85,MATCH(G532,I_Master!$A$6:$A$85,0)),"?"))</f>
        <v/>
      </c>
      <c r="O532" s="34" t="str">
        <f aca="false">IF(G532="","",IFERROR(INDEX(I_Master!$E$6:$E$85,MATCH(G532,I_Master!$A$6:$A$85,0)),"?"))</f>
        <v/>
      </c>
      <c r="P532" s="46" t="str">
        <f aca="false">IF(H532="","",IF(OR(A532&lt;I_Parameter!$C$5,A532&gt;I_Parameter!$C$6),0,IF(B532="Aktual",1,IF(AND(B532="Order",A532&gt;=I_Parameter!$C$4),1,0))))</f>
        <v/>
      </c>
    </row>
    <row r="533" customFormat="false" ht="15" hidden="false" customHeight="false" outlineLevel="0" collapsed="false">
      <c r="A533" s="37"/>
      <c r="B533" s="44"/>
      <c r="C533" s="44"/>
      <c r="D533" s="44"/>
      <c r="E533" s="44"/>
      <c r="F533" s="44"/>
      <c r="G533" s="34" t="str">
        <f aca="false">IF(F533&lt;&gt;"",F533,IF(E533="","",IFERROR(INDEX(I_Item!$C$6:$C$255,MATCH(E533,I_Item!$A$6:$A$255,0)),"KODE BARU")))</f>
        <v/>
      </c>
      <c r="H533" s="45"/>
      <c r="I533" s="42"/>
      <c r="J533" s="11" t="str">
        <f aca="false">IF(H533="","",H533*I533)</f>
        <v/>
      </c>
      <c r="K533" s="42"/>
      <c r="L533" s="11" t="str">
        <f aca="false">IF(H533="","",IF(K533&lt;&gt;"",K533,H533*IFERROR(INDEX(O_Stok!$Q$6:$Q$85,MATCH(G533,O_Stok!$A$6:$A$85,0)),0)))</f>
        <v/>
      </c>
      <c r="M533" s="11" t="str">
        <f aca="false">IF(H533="","",J533-L533)</f>
        <v/>
      </c>
      <c r="N533" s="34" t="str">
        <f aca="false">IF(G533="","",IFERROR(INDEX(I_Master!$B$6:$B$85,MATCH(G533,I_Master!$A$6:$A$85,0)),"?"))</f>
        <v/>
      </c>
      <c r="O533" s="34" t="str">
        <f aca="false">IF(G533="","",IFERROR(INDEX(I_Master!$E$6:$E$85,MATCH(G533,I_Master!$A$6:$A$85,0)),"?"))</f>
        <v/>
      </c>
      <c r="P533" s="46" t="str">
        <f aca="false">IF(H533="","",IF(OR(A533&lt;I_Parameter!$C$5,A533&gt;I_Parameter!$C$6),0,IF(B533="Aktual",1,IF(AND(B533="Order",A533&gt;=I_Parameter!$C$4),1,0))))</f>
        <v/>
      </c>
    </row>
    <row r="534" customFormat="false" ht="15" hidden="false" customHeight="false" outlineLevel="0" collapsed="false">
      <c r="A534" s="37"/>
      <c r="B534" s="44"/>
      <c r="C534" s="44"/>
      <c r="D534" s="44"/>
      <c r="E534" s="44"/>
      <c r="F534" s="44"/>
      <c r="G534" s="34" t="str">
        <f aca="false">IF(F534&lt;&gt;"",F534,IF(E534="","",IFERROR(INDEX(I_Item!$C$6:$C$255,MATCH(E534,I_Item!$A$6:$A$255,0)),"KODE BARU")))</f>
        <v/>
      </c>
      <c r="H534" s="45"/>
      <c r="I534" s="42"/>
      <c r="J534" s="11" t="str">
        <f aca="false">IF(H534="","",H534*I534)</f>
        <v/>
      </c>
      <c r="K534" s="42"/>
      <c r="L534" s="11" t="str">
        <f aca="false">IF(H534="","",IF(K534&lt;&gt;"",K534,H534*IFERROR(INDEX(O_Stok!$Q$6:$Q$85,MATCH(G534,O_Stok!$A$6:$A$85,0)),0)))</f>
        <v/>
      </c>
      <c r="M534" s="11" t="str">
        <f aca="false">IF(H534="","",J534-L534)</f>
        <v/>
      </c>
      <c r="N534" s="34" t="str">
        <f aca="false">IF(G534="","",IFERROR(INDEX(I_Master!$B$6:$B$85,MATCH(G534,I_Master!$A$6:$A$85,0)),"?"))</f>
        <v/>
      </c>
      <c r="O534" s="34" t="str">
        <f aca="false">IF(G534="","",IFERROR(INDEX(I_Master!$E$6:$E$85,MATCH(G534,I_Master!$A$6:$A$85,0)),"?"))</f>
        <v/>
      </c>
      <c r="P534" s="46" t="str">
        <f aca="false">IF(H534="","",IF(OR(A534&lt;I_Parameter!$C$5,A534&gt;I_Parameter!$C$6),0,IF(B534="Aktual",1,IF(AND(B534="Order",A534&gt;=I_Parameter!$C$4),1,0))))</f>
        <v/>
      </c>
    </row>
    <row r="535" customFormat="false" ht="15" hidden="false" customHeight="false" outlineLevel="0" collapsed="false">
      <c r="A535" s="37"/>
      <c r="B535" s="44"/>
      <c r="C535" s="44"/>
      <c r="D535" s="44"/>
      <c r="E535" s="44"/>
      <c r="F535" s="44"/>
      <c r="G535" s="34" t="str">
        <f aca="false">IF(F535&lt;&gt;"",F535,IF(E535="","",IFERROR(INDEX(I_Item!$C$6:$C$255,MATCH(E535,I_Item!$A$6:$A$255,0)),"KODE BARU")))</f>
        <v/>
      </c>
      <c r="H535" s="45"/>
      <c r="I535" s="42"/>
      <c r="J535" s="11" t="str">
        <f aca="false">IF(H535="","",H535*I535)</f>
        <v/>
      </c>
      <c r="K535" s="42"/>
      <c r="L535" s="11" t="str">
        <f aca="false">IF(H535="","",IF(K535&lt;&gt;"",K535,H535*IFERROR(INDEX(O_Stok!$Q$6:$Q$85,MATCH(G535,O_Stok!$A$6:$A$85,0)),0)))</f>
        <v/>
      </c>
      <c r="M535" s="11" t="str">
        <f aca="false">IF(H535="","",J535-L535)</f>
        <v/>
      </c>
      <c r="N535" s="34" t="str">
        <f aca="false">IF(G535="","",IFERROR(INDEX(I_Master!$B$6:$B$85,MATCH(G535,I_Master!$A$6:$A$85,0)),"?"))</f>
        <v/>
      </c>
      <c r="O535" s="34" t="str">
        <f aca="false">IF(G535="","",IFERROR(INDEX(I_Master!$E$6:$E$85,MATCH(G535,I_Master!$A$6:$A$85,0)),"?"))</f>
        <v/>
      </c>
      <c r="P535" s="46" t="str">
        <f aca="false">IF(H535="","",IF(OR(A535&lt;I_Parameter!$C$5,A535&gt;I_Parameter!$C$6),0,IF(B535="Aktual",1,IF(AND(B535="Order",A535&gt;=I_Parameter!$C$4),1,0))))</f>
        <v/>
      </c>
    </row>
    <row r="536" customFormat="false" ht="15" hidden="false" customHeight="false" outlineLevel="0" collapsed="false">
      <c r="A536" s="37"/>
      <c r="B536" s="44"/>
      <c r="C536" s="44"/>
      <c r="D536" s="44"/>
      <c r="E536" s="44"/>
      <c r="F536" s="44"/>
      <c r="G536" s="34" t="str">
        <f aca="false">IF(F536&lt;&gt;"",F536,IF(E536="","",IFERROR(INDEX(I_Item!$C$6:$C$255,MATCH(E536,I_Item!$A$6:$A$255,0)),"KODE BARU")))</f>
        <v/>
      </c>
      <c r="H536" s="45"/>
      <c r="I536" s="42"/>
      <c r="J536" s="11" t="str">
        <f aca="false">IF(H536="","",H536*I536)</f>
        <v/>
      </c>
      <c r="K536" s="42"/>
      <c r="L536" s="11" t="str">
        <f aca="false">IF(H536="","",IF(K536&lt;&gt;"",K536,H536*IFERROR(INDEX(O_Stok!$Q$6:$Q$85,MATCH(G536,O_Stok!$A$6:$A$85,0)),0)))</f>
        <v/>
      </c>
      <c r="M536" s="11" t="str">
        <f aca="false">IF(H536="","",J536-L536)</f>
        <v/>
      </c>
      <c r="N536" s="34" t="str">
        <f aca="false">IF(G536="","",IFERROR(INDEX(I_Master!$B$6:$B$85,MATCH(G536,I_Master!$A$6:$A$85,0)),"?"))</f>
        <v/>
      </c>
      <c r="O536" s="34" t="str">
        <f aca="false">IF(G536="","",IFERROR(INDEX(I_Master!$E$6:$E$85,MATCH(G536,I_Master!$A$6:$A$85,0)),"?"))</f>
        <v/>
      </c>
      <c r="P536" s="46" t="str">
        <f aca="false">IF(H536="","",IF(OR(A536&lt;I_Parameter!$C$5,A536&gt;I_Parameter!$C$6),0,IF(B536="Aktual",1,IF(AND(B536="Order",A536&gt;=I_Parameter!$C$4),1,0))))</f>
        <v/>
      </c>
    </row>
    <row r="537" customFormat="false" ht="15" hidden="false" customHeight="false" outlineLevel="0" collapsed="false">
      <c r="A537" s="37"/>
      <c r="B537" s="44"/>
      <c r="C537" s="44"/>
      <c r="D537" s="44"/>
      <c r="E537" s="44"/>
      <c r="F537" s="44"/>
      <c r="G537" s="34" t="str">
        <f aca="false">IF(F537&lt;&gt;"",F537,IF(E537="","",IFERROR(INDEX(I_Item!$C$6:$C$255,MATCH(E537,I_Item!$A$6:$A$255,0)),"KODE BARU")))</f>
        <v/>
      </c>
      <c r="H537" s="45"/>
      <c r="I537" s="42"/>
      <c r="J537" s="11" t="str">
        <f aca="false">IF(H537="","",H537*I537)</f>
        <v/>
      </c>
      <c r="K537" s="42"/>
      <c r="L537" s="11" t="str">
        <f aca="false">IF(H537="","",IF(K537&lt;&gt;"",K537,H537*IFERROR(INDEX(O_Stok!$Q$6:$Q$85,MATCH(G537,O_Stok!$A$6:$A$85,0)),0)))</f>
        <v/>
      </c>
      <c r="M537" s="11" t="str">
        <f aca="false">IF(H537="","",J537-L537)</f>
        <v/>
      </c>
      <c r="N537" s="34" t="str">
        <f aca="false">IF(G537="","",IFERROR(INDEX(I_Master!$B$6:$B$85,MATCH(G537,I_Master!$A$6:$A$85,0)),"?"))</f>
        <v/>
      </c>
      <c r="O537" s="34" t="str">
        <f aca="false">IF(G537="","",IFERROR(INDEX(I_Master!$E$6:$E$85,MATCH(G537,I_Master!$A$6:$A$85,0)),"?"))</f>
        <v/>
      </c>
      <c r="P537" s="46" t="str">
        <f aca="false">IF(H537="","",IF(OR(A537&lt;I_Parameter!$C$5,A537&gt;I_Parameter!$C$6),0,IF(B537="Aktual",1,IF(AND(B537="Order",A537&gt;=I_Parameter!$C$4),1,0))))</f>
        <v/>
      </c>
    </row>
    <row r="538" customFormat="false" ht="15" hidden="false" customHeight="false" outlineLevel="0" collapsed="false">
      <c r="A538" s="37"/>
      <c r="B538" s="44"/>
      <c r="C538" s="44"/>
      <c r="D538" s="44"/>
      <c r="E538" s="44"/>
      <c r="F538" s="44"/>
      <c r="G538" s="34" t="str">
        <f aca="false">IF(F538&lt;&gt;"",F538,IF(E538="","",IFERROR(INDEX(I_Item!$C$6:$C$255,MATCH(E538,I_Item!$A$6:$A$255,0)),"KODE BARU")))</f>
        <v/>
      </c>
      <c r="H538" s="45"/>
      <c r="I538" s="42"/>
      <c r="J538" s="11" t="str">
        <f aca="false">IF(H538="","",H538*I538)</f>
        <v/>
      </c>
      <c r="K538" s="42"/>
      <c r="L538" s="11" t="str">
        <f aca="false">IF(H538="","",IF(K538&lt;&gt;"",K538,H538*IFERROR(INDEX(O_Stok!$Q$6:$Q$85,MATCH(G538,O_Stok!$A$6:$A$85,0)),0)))</f>
        <v/>
      </c>
      <c r="M538" s="11" t="str">
        <f aca="false">IF(H538="","",J538-L538)</f>
        <v/>
      </c>
      <c r="N538" s="34" t="str">
        <f aca="false">IF(G538="","",IFERROR(INDEX(I_Master!$B$6:$B$85,MATCH(G538,I_Master!$A$6:$A$85,0)),"?"))</f>
        <v/>
      </c>
      <c r="O538" s="34" t="str">
        <f aca="false">IF(G538="","",IFERROR(INDEX(I_Master!$E$6:$E$85,MATCH(G538,I_Master!$A$6:$A$85,0)),"?"))</f>
        <v/>
      </c>
      <c r="P538" s="46" t="str">
        <f aca="false">IF(H538="","",IF(OR(A538&lt;I_Parameter!$C$5,A538&gt;I_Parameter!$C$6),0,IF(B538="Aktual",1,IF(AND(B538="Order",A538&gt;=I_Parameter!$C$4),1,0))))</f>
        <v/>
      </c>
    </row>
    <row r="539" customFormat="false" ht="15" hidden="false" customHeight="false" outlineLevel="0" collapsed="false">
      <c r="A539" s="37"/>
      <c r="B539" s="44"/>
      <c r="C539" s="44"/>
      <c r="D539" s="44"/>
      <c r="E539" s="44"/>
      <c r="F539" s="44"/>
      <c r="G539" s="34" t="str">
        <f aca="false">IF(F539&lt;&gt;"",F539,IF(E539="","",IFERROR(INDEX(I_Item!$C$6:$C$255,MATCH(E539,I_Item!$A$6:$A$255,0)),"KODE BARU")))</f>
        <v/>
      </c>
      <c r="H539" s="45"/>
      <c r="I539" s="42"/>
      <c r="J539" s="11" t="str">
        <f aca="false">IF(H539="","",H539*I539)</f>
        <v/>
      </c>
      <c r="K539" s="42"/>
      <c r="L539" s="11" t="str">
        <f aca="false">IF(H539="","",IF(K539&lt;&gt;"",K539,H539*IFERROR(INDEX(O_Stok!$Q$6:$Q$85,MATCH(G539,O_Stok!$A$6:$A$85,0)),0)))</f>
        <v/>
      </c>
      <c r="M539" s="11" t="str">
        <f aca="false">IF(H539="","",J539-L539)</f>
        <v/>
      </c>
      <c r="N539" s="34" t="str">
        <f aca="false">IF(G539="","",IFERROR(INDEX(I_Master!$B$6:$B$85,MATCH(G539,I_Master!$A$6:$A$85,0)),"?"))</f>
        <v/>
      </c>
      <c r="O539" s="34" t="str">
        <f aca="false">IF(G539="","",IFERROR(INDEX(I_Master!$E$6:$E$85,MATCH(G539,I_Master!$A$6:$A$85,0)),"?"))</f>
        <v/>
      </c>
      <c r="P539" s="46" t="str">
        <f aca="false">IF(H539="","",IF(OR(A539&lt;I_Parameter!$C$5,A539&gt;I_Parameter!$C$6),0,IF(B539="Aktual",1,IF(AND(B539="Order",A539&gt;=I_Parameter!$C$4),1,0))))</f>
        <v/>
      </c>
    </row>
    <row r="540" customFormat="false" ht="15" hidden="false" customHeight="false" outlineLevel="0" collapsed="false">
      <c r="A540" s="37"/>
      <c r="B540" s="44"/>
      <c r="C540" s="44"/>
      <c r="D540" s="44"/>
      <c r="E540" s="44"/>
      <c r="F540" s="44"/>
      <c r="G540" s="34" t="str">
        <f aca="false">IF(F540&lt;&gt;"",F540,IF(E540="","",IFERROR(INDEX(I_Item!$C$6:$C$255,MATCH(E540,I_Item!$A$6:$A$255,0)),"KODE BARU")))</f>
        <v/>
      </c>
      <c r="H540" s="45"/>
      <c r="I540" s="42"/>
      <c r="J540" s="11" t="str">
        <f aca="false">IF(H540="","",H540*I540)</f>
        <v/>
      </c>
      <c r="K540" s="42"/>
      <c r="L540" s="11" t="str">
        <f aca="false">IF(H540="","",IF(K540&lt;&gt;"",K540,H540*IFERROR(INDEX(O_Stok!$Q$6:$Q$85,MATCH(G540,O_Stok!$A$6:$A$85,0)),0)))</f>
        <v/>
      </c>
      <c r="M540" s="11" t="str">
        <f aca="false">IF(H540="","",J540-L540)</f>
        <v/>
      </c>
      <c r="N540" s="34" t="str">
        <f aca="false">IF(G540="","",IFERROR(INDEX(I_Master!$B$6:$B$85,MATCH(G540,I_Master!$A$6:$A$85,0)),"?"))</f>
        <v/>
      </c>
      <c r="O540" s="34" t="str">
        <f aca="false">IF(G540="","",IFERROR(INDEX(I_Master!$E$6:$E$85,MATCH(G540,I_Master!$A$6:$A$85,0)),"?"))</f>
        <v/>
      </c>
      <c r="P540" s="46" t="str">
        <f aca="false">IF(H540="","",IF(OR(A540&lt;I_Parameter!$C$5,A540&gt;I_Parameter!$C$6),0,IF(B540="Aktual",1,IF(AND(B540="Order",A540&gt;=I_Parameter!$C$4),1,0))))</f>
        <v/>
      </c>
    </row>
    <row r="541" customFormat="false" ht="15" hidden="false" customHeight="false" outlineLevel="0" collapsed="false">
      <c r="A541" s="37"/>
      <c r="B541" s="44"/>
      <c r="C541" s="44"/>
      <c r="D541" s="44"/>
      <c r="E541" s="44"/>
      <c r="F541" s="44"/>
      <c r="G541" s="34" t="str">
        <f aca="false">IF(F541&lt;&gt;"",F541,IF(E541="","",IFERROR(INDEX(I_Item!$C$6:$C$255,MATCH(E541,I_Item!$A$6:$A$255,0)),"KODE BARU")))</f>
        <v/>
      </c>
      <c r="H541" s="45"/>
      <c r="I541" s="42"/>
      <c r="J541" s="11" t="str">
        <f aca="false">IF(H541="","",H541*I541)</f>
        <v/>
      </c>
      <c r="K541" s="42"/>
      <c r="L541" s="11" t="str">
        <f aca="false">IF(H541="","",IF(K541&lt;&gt;"",K541,H541*IFERROR(INDEX(O_Stok!$Q$6:$Q$85,MATCH(G541,O_Stok!$A$6:$A$85,0)),0)))</f>
        <v/>
      </c>
      <c r="M541" s="11" t="str">
        <f aca="false">IF(H541="","",J541-L541)</f>
        <v/>
      </c>
      <c r="N541" s="34" t="str">
        <f aca="false">IF(G541="","",IFERROR(INDEX(I_Master!$B$6:$B$85,MATCH(G541,I_Master!$A$6:$A$85,0)),"?"))</f>
        <v/>
      </c>
      <c r="O541" s="34" t="str">
        <f aca="false">IF(G541="","",IFERROR(INDEX(I_Master!$E$6:$E$85,MATCH(G541,I_Master!$A$6:$A$85,0)),"?"))</f>
        <v/>
      </c>
      <c r="P541" s="46" t="str">
        <f aca="false">IF(H541="","",IF(OR(A541&lt;I_Parameter!$C$5,A541&gt;I_Parameter!$C$6),0,IF(B541="Aktual",1,IF(AND(B541="Order",A541&gt;=I_Parameter!$C$4),1,0))))</f>
        <v/>
      </c>
    </row>
    <row r="542" customFormat="false" ht="15" hidden="false" customHeight="false" outlineLevel="0" collapsed="false">
      <c r="A542" s="37"/>
      <c r="B542" s="44"/>
      <c r="C542" s="44"/>
      <c r="D542" s="44"/>
      <c r="E542" s="44"/>
      <c r="F542" s="44"/>
      <c r="G542" s="34" t="str">
        <f aca="false">IF(F542&lt;&gt;"",F542,IF(E542="","",IFERROR(INDEX(I_Item!$C$6:$C$255,MATCH(E542,I_Item!$A$6:$A$255,0)),"KODE BARU")))</f>
        <v/>
      </c>
      <c r="H542" s="45"/>
      <c r="I542" s="42"/>
      <c r="J542" s="11" t="str">
        <f aca="false">IF(H542="","",H542*I542)</f>
        <v/>
      </c>
      <c r="K542" s="42"/>
      <c r="L542" s="11" t="str">
        <f aca="false">IF(H542="","",IF(K542&lt;&gt;"",K542,H542*IFERROR(INDEX(O_Stok!$Q$6:$Q$85,MATCH(G542,O_Stok!$A$6:$A$85,0)),0)))</f>
        <v/>
      </c>
      <c r="M542" s="11" t="str">
        <f aca="false">IF(H542="","",J542-L542)</f>
        <v/>
      </c>
      <c r="N542" s="34" t="str">
        <f aca="false">IF(G542="","",IFERROR(INDEX(I_Master!$B$6:$B$85,MATCH(G542,I_Master!$A$6:$A$85,0)),"?"))</f>
        <v/>
      </c>
      <c r="O542" s="34" t="str">
        <f aca="false">IF(G542="","",IFERROR(INDEX(I_Master!$E$6:$E$85,MATCH(G542,I_Master!$A$6:$A$85,0)),"?"))</f>
        <v/>
      </c>
      <c r="P542" s="46" t="str">
        <f aca="false">IF(H542="","",IF(OR(A542&lt;I_Parameter!$C$5,A542&gt;I_Parameter!$C$6),0,IF(B542="Aktual",1,IF(AND(B542="Order",A542&gt;=I_Parameter!$C$4),1,0))))</f>
        <v/>
      </c>
    </row>
    <row r="543" customFormat="false" ht="15" hidden="false" customHeight="false" outlineLevel="0" collapsed="false">
      <c r="A543" s="37"/>
      <c r="B543" s="44"/>
      <c r="C543" s="44"/>
      <c r="D543" s="44"/>
      <c r="E543" s="44"/>
      <c r="F543" s="44"/>
      <c r="G543" s="34" t="str">
        <f aca="false">IF(F543&lt;&gt;"",F543,IF(E543="","",IFERROR(INDEX(I_Item!$C$6:$C$255,MATCH(E543,I_Item!$A$6:$A$255,0)),"KODE BARU")))</f>
        <v/>
      </c>
      <c r="H543" s="45"/>
      <c r="I543" s="42"/>
      <c r="J543" s="11" t="str">
        <f aca="false">IF(H543="","",H543*I543)</f>
        <v/>
      </c>
      <c r="K543" s="42"/>
      <c r="L543" s="11" t="str">
        <f aca="false">IF(H543="","",IF(K543&lt;&gt;"",K543,H543*IFERROR(INDEX(O_Stok!$Q$6:$Q$85,MATCH(G543,O_Stok!$A$6:$A$85,0)),0)))</f>
        <v/>
      </c>
      <c r="M543" s="11" t="str">
        <f aca="false">IF(H543="","",J543-L543)</f>
        <v/>
      </c>
      <c r="N543" s="34" t="str">
        <f aca="false">IF(G543="","",IFERROR(INDEX(I_Master!$B$6:$B$85,MATCH(G543,I_Master!$A$6:$A$85,0)),"?"))</f>
        <v/>
      </c>
      <c r="O543" s="34" t="str">
        <f aca="false">IF(G543="","",IFERROR(INDEX(I_Master!$E$6:$E$85,MATCH(G543,I_Master!$A$6:$A$85,0)),"?"))</f>
        <v/>
      </c>
      <c r="P543" s="46" t="str">
        <f aca="false">IF(H543="","",IF(OR(A543&lt;I_Parameter!$C$5,A543&gt;I_Parameter!$C$6),0,IF(B543="Aktual",1,IF(AND(B543="Order",A543&gt;=I_Parameter!$C$4),1,0))))</f>
        <v/>
      </c>
    </row>
    <row r="544" customFormat="false" ht="15" hidden="false" customHeight="false" outlineLevel="0" collapsed="false">
      <c r="A544" s="37"/>
      <c r="B544" s="44"/>
      <c r="C544" s="44"/>
      <c r="D544" s="44"/>
      <c r="E544" s="44"/>
      <c r="F544" s="44"/>
      <c r="G544" s="34" t="str">
        <f aca="false">IF(F544&lt;&gt;"",F544,IF(E544="","",IFERROR(INDEX(I_Item!$C$6:$C$255,MATCH(E544,I_Item!$A$6:$A$255,0)),"KODE BARU")))</f>
        <v/>
      </c>
      <c r="H544" s="45"/>
      <c r="I544" s="42"/>
      <c r="J544" s="11" t="str">
        <f aca="false">IF(H544="","",H544*I544)</f>
        <v/>
      </c>
      <c r="K544" s="42"/>
      <c r="L544" s="11" t="str">
        <f aca="false">IF(H544="","",IF(K544&lt;&gt;"",K544,H544*IFERROR(INDEX(O_Stok!$Q$6:$Q$85,MATCH(G544,O_Stok!$A$6:$A$85,0)),0)))</f>
        <v/>
      </c>
      <c r="M544" s="11" t="str">
        <f aca="false">IF(H544="","",J544-L544)</f>
        <v/>
      </c>
      <c r="N544" s="34" t="str">
        <f aca="false">IF(G544="","",IFERROR(INDEX(I_Master!$B$6:$B$85,MATCH(G544,I_Master!$A$6:$A$85,0)),"?"))</f>
        <v/>
      </c>
      <c r="O544" s="34" t="str">
        <f aca="false">IF(G544="","",IFERROR(INDEX(I_Master!$E$6:$E$85,MATCH(G544,I_Master!$A$6:$A$85,0)),"?"))</f>
        <v/>
      </c>
      <c r="P544" s="46" t="str">
        <f aca="false">IF(H544="","",IF(OR(A544&lt;I_Parameter!$C$5,A544&gt;I_Parameter!$C$6),0,IF(B544="Aktual",1,IF(AND(B544="Order",A544&gt;=I_Parameter!$C$4),1,0))))</f>
        <v/>
      </c>
    </row>
    <row r="545" customFormat="false" ht="15" hidden="false" customHeight="false" outlineLevel="0" collapsed="false">
      <c r="A545" s="37"/>
      <c r="B545" s="44"/>
      <c r="C545" s="44"/>
      <c r="D545" s="44"/>
      <c r="E545" s="44"/>
      <c r="F545" s="44"/>
      <c r="G545" s="34" t="str">
        <f aca="false">IF(F545&lt;&gt;"",F545,IF(E545="","",IFERROR(INDEX(I_Item!$C$6:$C$255,MATCH(E545,I_Item!$A$6:$A$255,0)),"KODE BARU")))</f>
        <v/>
      </c>
      <c r="H545" s="45"/>
      <c r="I545" s="42"/>
      <c r="J545" s="11" t="str">
        <f aca="false">IF(H545="","",H545*I545)</f>
        <v/>
      </c>
      <c r="K545" s="42"/>
      <c r="L545" s="11" t="str">
        <f aca="false">IF(H545="","",IF(K545&lt;&gt;"",K545,H545*IFERROR(INDEX(O_Stok!$Q$6:$Q$85,MATCH(G545,O_Stok!$A$6:$A$85,0)),0)))</f>
        <v/>
      </c>
      <c r="M545" s="11" t="str">
        <f aca="false">IF(H545="","",J545-L545)</f>
        <v/>
      </c>
      <c r="N545" s="34" t="str">
        <f aca="false">IF(G545="","",IFERROR(INDEX(I_Master!$B$6:$B$85,MATCH(G545,I_Master!$A$6:$A$85,0)),"?"))</f>
        <v/>
      </c>
      <c r="O545" s="34" t="str">
        <f aca="false">IF(G545="","",IFERROR(INDEX(I_Master!$E$6:$E$85,MATCH(G545,I_Master!$A$6:$A$85,0)),"?"))</f>
        <v/>
      </c>
      <c r="P545" s="46" t="str">
        <f aca="false">IF(H545="","",IF(OR(A545&lt;I_Parameter!$C$5,A545&gt;I_Parameter!$C$6),0,IF(B545="Aktual",1,IF(AND(B545="Order",A545&gt;=I_Parameter!$C$4),1,0))))</f>
        <v/>
      </c>
    </row>
    <row r="546" customFormat="false" ht="15" hidden="false" customHeight="false" outlineLevel="0" collapsed="false">
      <c r="A546" s="37"/>
      <c r="B546" s="44"/>
      <c r="C546" s="44"/>
      <c r="D546" s="44"/>
      <c r="E546" s="44"/>
      <c r="F546" s="44"/>
      <c r="G546" s="34" t="str">
        <f aca="false">IF(F546&lt;&gt;"",F546,IF(E546="","",IFERROR(INDEX(I_Item!$C$6:$C$255,MATCH(E546,I_Item!$A$6:$A$255,0)),"KODE BARU")))</f>
        <v/>
      </c>
      <c r="H546" s="45"/>
      <c r="I546" s="42"/>
      <c r="J546" s="11" t="str">
        <f aca="false">IF(H546="","",H546*I546)</f>
        <v/>
      </c>
      <c r="K546" s="42"/>
      <c r="L546" s="11" t="str">
        <f aca="false">IF(H546="","",IF(K546&lt;&gt;"",K546,H546*IFERROR(INDEX(O_Stok!$Q$6:$Q$85,MATCH(G546,O_Stok!$A$6:$A$85,0)),0)))</f>
        <v/>
      </c>
      <c r="M546" s="11" t="str">
        <f aca="false">IF(H546="","",J546-L546)</f>
        <v/>
      </c>
      <c r="N546" s="34" t="str">
        <f aca="false">IF(G546="","",IFERROR(INDEX(I_Master!$B$6:$B$85,MATCH(G546,I_Master!$A$6:$A$85,0)),"?"))</f>
        <v/>
      </c>
      <c r="O546" s="34" t="str">
        <f aca="false">IF(G546="","",IFERROR(INDEX(I_Master!$E$6:$E$85,MATCH(G546,I_Master!$A$6:$A$85,0)),"?"))</f>
        <v/>
      </c>
      <c r="P546" s="46" t="str">
        <f aca="false">IF(H546="","",IF(OR(A546&lt;I_Parameter!$C$5,A546&gt;I_Parameter!$C$6),0,IF(B546="Aktual",1,IF(AND(B546="Order",A546&gt;=I_Parameter!$C$4),1,0))))</f>
        <v/>
      </c>
    </row>
    <row r="547" customFormat="false" ht="15" hidden="false" customHeight="false" outlineLevel="0" collapsed="false">
      <c r="A547" s="37"/>
      <c r="B547" s="44"/>
      <c r="C547" s="44"/>
      <c r="D547" s="44"/>
      <c r="E547" s="44"/>
      <c r="F547" s="44"/>
      <c r="G547" s="34" t="str">
        <f aca="false">IF(F547&lt;&gt;"",F547,IF(E547="","",IFERROR(INDEX(I_Item!$C$6:$C$255,MATCH(E547,I_Item!$A$6:$A$255,0)),"KODE BARU")))</f>
        <v/>
      </c>
      <c r="H547" s="45"/>
      <c r="I547" s="42"/>
      <c r="J547" s="11" t="str">
        <f aca="false">IF(H547="","",H547*I547)</f>
        <v/>
      </c>
      <c r="K547" s="42"/>
      <c r="L547" s="11" t="str">
        <f aca="false">IF(H547="","",IF(K547&lt;&gt;"",K547,H547*IFERROR(INDEX(O_Stok!$Q$6:$Q$85,MATCH(G547,O_Stok!$A$6:$A$85,0)),0)))</f>
        <v/>
      </c>
      <c r="M547" s="11" t="str">
        <f aca="false">IF(H547="","",J547-L547)</f>
        <v/>
      </c>
      <c r="N547" s="34" t="str">
        <f aca="false">IF(G547="","",IFERROR(INDEX(I_Master!$B$6:$B$85,MATCH(G547,I_Master!$A$6:$A$85,0)),"?"))</f>
        <v/>
      </c>
      <c r="O547" s="34" t="str">
        <f aca="false">IF(G547="","",IFERROR(INDEX(I_Master!$E$6:$E$85,MATCH(G547,I_Master!$A$6:$A$85,0)),"?"))</f>
        <v/>
      </c>
      <c r="P547" s="46" t="str">
        <f aca="false">IF(H547="","",IF(OR(A547&lt;I_Parameter!$C$5,A547&gt;I_Parameter!$C$6),0,IF(B547="Aktual",1,IF(AND(B547="Order",A547&gt;=I_Parameter!$C$4),1,0))))</f>
        <v/>
      </c>
    </row>
    <row r="548" customFormat="false" ht="15" hidden="false" customHeight="false" outlineLevel="0" collapsed="false">
      <c r="A548" s="37"/>
      <c r="B548" s="44"/>
      <c r="C548" s="44"/>
      <c r="D548" s="44"/>
      <c r="E548" s="44"/>
      <c r="F548" s="44"/>
      <c r="G548" s="34" t="str">
        <f aca="false">IF(F548&lt;&gt;"",F548,IF(E548="","",IFERROR(INDEX(I_Item!$C$6:$C$255,MATCH(E548,I_Item!$A$6:$A$255,0)),"KODE BARU")))</f>
        <v/>
      </c>
      <c r="H548" s="45"/>
      <c r="I548" s="42"/>
      <c r="J548" s="11" t="str">
        <f aca="false">IF(H548="","",H548*I548)</f>
        <v/>
      </c>
      <c r="K548" s="42"/>
      <c r="L548" s="11" t="str">
        <f aca="false">IF(H548="","",IF(K548&lt;&gt;"",K548,H548*IFERROR(INDEX(O_Stok!$Q$6:$Q$85,MATCH(G548,O_Stok!$A$6:$A$85,0)),0)))</f>
        <v/>
      </c>
      <c r="M548" s="11" t="str">
        <f aca="false">IF(H548="","",J548-L548)</f>
        <v/>
      </c>
      <c r="N548" s="34" t="str">
        <f aca="false">IF(G548="","",IFERROR(INDEX(I_Master!$B$6:$B$85,MATCH(G548,I_Master!$A$6:$A$85,0)),"?"))</f>
        <v/>
      </c>
      <c r="O548" s="34" t="str">
        <f aca="false">IF(G548="","",IFERROR(INDEX(I_Master!$E$6:$E$85,MATCH(G548,I_Master!$A$6:$A$85,0)),"?"))</f>
        <v/>
      </c>
      <c r="P548" s="46" t="str">
        <f aca="false">IF(H548="","",IF(OR(A548&lt;I_Parameter!$C$5,A548&gt;I_Parameter!$C$6),0,IF(B548="Aktual",1,IF(AND(B548="Order",A548&gt;=I_Parameter!$C$4),1,0))))</f>
        <v/>
      </c>
    </row>
    <row r="549" customFormat="false" ht="15" hidden="false" customHeight="false" outlineLevel="0" collapsed="false">
      <c r="A549" s="37"/>
      <c r="B549" s="44"/>
      <c r="C549" s="44"/>
      <c r="D549" s="44"/>
      <c r="E549" s="44"/>
      <c r="F549" s="44"/>
      <c r="G549" s="34" t="str">
        <f aca="false">IF(F549&lt;&gt;"",F549,IF(E549="","",IFERROR(INDEX(I_Item!$C$6:$C$255,MATCH(E549,I_Item!$A$6:$A$255,0)),"KODE BARU")))</f>
        <v/>
      </c>
      <c r="H549" s="45"/>
      <c r="I549" s="42"/>
      <c r="J549" s="11" t="str">
        <f aca="false">IF(H549="","",H549*I549)</f>
        <v/>
      </c>
      <c r="K549" s="42"/>
      <c r="L549" s="11" t="str">
        <f aca="false">IF(H549="","",IF(K549&lt;&gt;"",K549,H549*IFERROR(INDEX(O_Stok!$Q$6:$Q$85,MATCH(G549,O_Stok!$A$6:$A$85,0)),0)))</f>
        <v/>
      </c>
      <c r="M549" s="11" t="str">
        <f aca="false">IF(H549="","",J549-L549)</f>
        <v/>
      </c>
      <c r="N549" s="34" t="str">
        <f aca="false">IF(G549="","",IFERROR(INDEX(I_Master!$B$6:$B$85,MATCH(G549,I_Master!$A$6:$A$85,0)),"?"))</f>
        <v/>
      </c>
      <c r="O549" s="34" t="str">
        <f aca="false">IF(G549="","",IFERROR(INDEX(I_Master!$E$6:$E$85,MATCH(G549,I_Master!$A$6:$A$85,0)),"?"))</f>
        <v/>
      </c>
      <c r="P549" s="46" t="str">
        <f aca="false">IF(H549="","",IF(OR(A549&lt;I_Parameter!$C$5,A549&gt;I_Parameter!$C$6),0,IF(B549="Aktual",1,IF(AND(B549="Order",A549&gt;=I_Parameter!$C$4),1,0))))</f>
        <v/>
      </c>
    </row>
    <row r="550" customFormat="false" ht="15" hidden="false" customHeight="false" outlineLevel="0" collapsed="false">
      <c r="A550" s="37"/>
      <c r="B550" s="44"/>
      <c r="C550" s="44"/>
      <c r="D550" s="44"/>
      <c r="E550" s="44"/>
      <c r="F550" s="44"/>
      <c r="G550" s="34" t="str">
        <f aca="false">IF(F550&lt;&gt;"",F550,IF(E550="","",IFERROR(INDEX(I_Item!$C$6:$C$255,MATCH(E550,I_Item!$A$6:$A$255,0)),"KODE BARU")))</f>
        <v/>
      </c>
      <c r="H550" s="45"/>
      <c r="I550" s="42"/>
      <c r="J550" s="11" t="str">
        <f aca="false">IF(H550="","",H550*I550)</f>
        <v/>
      </c>
      <c r="K550" s="42"/>
      <c r="L550" s="11" t="str">
        <f aca="false">IF(H550="","",IF(K550&lt;&gt;"",K550,H550*IFERROR(INDEX(O_Stok!$Q$6:$Q$85,MATCH(G550,O_Stok!$A$6:$A$85,0)),0)))</f>
        <v/>
      </c>
      <c r="M550" s="11" t="str">
        <f aca="false">IF(H550="","",J550-L550)</f>
        <v/>
      </c>
      <c r="N550" s="34" t="str">
        <f aca="false">IF(G550="","",IFERROR(INDEX(I_Master!$B$6:$B$85,MATCH(G550,I_Master!$A$6:$A$85,0)),"?"))</f>
        <v/>
      </c>
      <c r="O550" s="34" t="str">
        <f aca="false">IF(G550="","",IFERROR(INDEX(I_Master!$E$6:$E$85,MATCH(G550,I_Master!$A$6:$A$85,0)),"?"))</f>
        <v/>
      </c>
      <c r="P550" s="46" t="str">
        <f aca="false">IF(H550="","",IF(OR(A550&lt;I_Parameter!$C$5,A550&gt;I_Parameter!$C$6),0,IF(B550="Aktual",1,IF(AND(B550="Order",A550&gt;=I_Parameter!$C$4),1,0))))</f>
        <v/>
      </c>
    </row>
    <row r="551" customFormat="false" ht="15" hidden="false" customHeight="false" outlineLevel="0" collapsed="false">
      <c r="A551" s="37"/>
      <c r="B551" s="44"/>
      <c r="C551" s="44"/>
      <c r="D551" s="44"/>
      <c r="E551" s="44"/>
      <c r="F551" s="44"/>
      <c r="G551" s="34" t="str">
        <f aca="false">IF(F551&lt;&gt;"",F551,IF(E551="","",IFERROR(INDEX(I_Item!$C$6:$C$255,MATCH(E551,I_Item!$A$6:$A$255,0)),"KODE BARU")))</f>
        <v/>
      </c>
      <c r="H551" s="45"/>
      <c r="I551" s="42"/>
      <c r="J551" s="11" t="str">
        <f aca="false">IF(H551="","",H551*I551)</f>
        <v/>
      </c>
      <c r="K551" s="42"/>
      <c r="L551" s="11" t="str">
        <f aca="false">IF(H551="","",IF(K551&lt;&gt;"",K551,H551*IFERROR(INDEX(O_Stok!$Q$6:$Q$85,MATCH(G551,O_Stok!$A$6:$A$85,0)),0)))</f>
        <v/>
      </c>
      <c r="M551" s="11" t="str">
        <f aca="false">IF(H551="","",J551-L551)</f>
        <v/>
      </c>
      <c r="N551" s="34" t="str">
        <f aca="false">IF(G551="","",IFERROR(INDEX(I_Master!$B$6:$B$85,MATCH(G551,I_Master!$A$6:$A$85,0)),"?"))</f>
        <v/>
      </c>
      <c r="O551" s="34" t="str">
        <f aca="false">IF(G551="","",IFERROR(INDEX(I_Master!$E$6:$E$85,MATCH(G551,I_Master!$A$6:$A$85,0)),"?"))</f>
        <v/>
      </c>
      <c r="P551" s="46" t="str">
        <f aca="false">IF(H551="","",IF(OR(A551&lt;I_Parameter!$C$5,A551&gt;I_Parameter!$C$6),0,IF(B551="Aktual",1,IF(AND(B551="Order",A551&gt;=I_Parameter!$C$4),1,0))))</f>
        <v/>
      </c>
    </row>
    <row r="552" customFormat="false" ht="15" hidden="false" customHeight="false" outlineLevel="0" collapsed="false">
      <c r="A552" s="37"/>
      <c r="B552" s="44"/>
      <c r="C552" s="44"/>
      <c r="D552" s="44"/>
      <c r="E552" s="44"/>
      <c r="F552" s="44"/>
      <c r="G552" s="34" t="str">
        <f aca="false">IF(F552&lt;&gt;"",F552,IF(E552="","",IFERROR(INDEX(I_Item!$C$6:$C$255,MATCH(E552,I_Item!$A$6:$A$255,0)),"KODE BARU")))</f>
        <v/>
      </c>
      <c r="H552" s="45"/>
      <c r="I552" s="42"/>
      <c r="J552" s="11" t="str">
        <f aca="false">IF(H552="","",H552*I552)</f>
        <v/>
      </c>
      <c r="K552" s="42"/>
      <c r="L552" s="11" t="str">
        <f aca="false">IF(H552="","",IF(K552&lt;&gt;"",K552,H552*IFERROR(INDEX(O_Stok!$Q$6:$Q$85,MATCH(G552,O_Stok!$A$6:$A$85,0)),0)))</f>
        <v/>
      </c>
      <c r="M552" s="11" t="str">
        <f aca="false">IF(H552="","",J552-L552)</f>
        <v/>
      </c>
      <c r="N552" s="34" t="str">
        <f aca="false">IF(G552="","",IFERROR(INDEX(I_Master!$B$6:$B$85,MATCH(G552,I_Master!$A$6:$A$85,0)),"?"))</f>
        <v/>
      </c>
      <c r="O552" s="34" t="str">
        <f aca="false">IF(G552="","",IFERROR(INDEX(I_Master!$E$6:$E$85,MATCH(G552,I_Master!$A$6:$A$85,0)),"?"))</f>
        <v/>
      </c>
      <c r="P552" s="46" t="str">
        <f aca="false">IF(H552="","",IF(OR(A552&lt;I_Parameter!$C$5,A552&gt;I_Parameter!$C$6),0,IF(B552="Aktual",1,IF(AND(B552="Order",A552&gt;=I_Parameter!$C$4),1,0))))</f>
        <v/>
      </c>
    </row>
    <row r="553" customFormat="false" ht="15" hidden="false" customHeight="false" outlineLevel="0" collapsed="false">
      <c r="A553" s="37"/>
      <c r="B553" s="44"/>
      <c r="C553" s="44"/>
      <c r="D553" s="44"/>
      <c r="E553" s="44"/>
      <c r="F553" s="44"/>
      <c r="G553" s="34" t="str">
        <f aca="false">IF(F553&lt;&gt;"",F553,IF(E553="","",IFERROR(INDEX(I_Item!$C$6:$C$255,MATCH(E553,I_Item!$A$6:$A$255,0)),"KODE BARU")))</f>
        <v/>
      </c>
      <c r="H553" s="45"/>
      <c r="I553" s="42"/>
      <c r="J553" s="11" t="str">
        <f aca="false">IF(H553="","",H553*I553)</f>
        <v/>
      </c>
      <c r="K553" s="42"/>
      <c r="L553" s="11" t="str">
        <f aca="false">IF(H553="","",IF(K553&lt;&gt;"",K553,H553*IFERROR(INDEX(O_Stok!$Q$6:$Q$85,MATCH(G553,O_Stok!$A$6:$A$85,0)),0)))</f>
        <v/>
      </c>
      <c r="M553" s="11" t="str">
        <f aca="false">IF(H553="","",J553-L553)</f>
        <v/>
      </c>
      <c r="N553" s="34" t="str">
        <f aca="false">IF(G553="","",IFERROR(INDEX(I_Master!$B$6:$B$85,MATCH(G553,I_Master!$A$6:$A$85,0)),"?"))</f>
        <v/>
      </c>
      <c r="O553" s="34" t="str">
        <f aca="false">IF(G553="","",IFERROR(INDEX(I_Master!$E$6:$E$85,MATCH(G553,I_Master!$A$6:$A$85,0)),"?"))</f>
        <v/>
      </c>
      <c r="P553" s="46" t="str">
        <f aca="false">IF(H553="","",IF(OR(A553&lt;I_Parameter!$C$5,A553&gt;I_Parameter!$C$6),0,IF(B553="Aktual",1,IF(AND(B553="Order",A553&gt;=I_Parameter!$C$4),1,0))))</f>
        <v/>
      </c>
    </row>
    <row r="554" customFormat="false" ht="15" hidden="false" customHeight="false" outlineLevel="0" collapsed="false">
      <c r="A554" s="37"/>
      <c r="B554" s="44"/>
      <c r="C554" s="44"/>
      <c r="D554" s="44"/>
      <c r="E554" s="44"/>
      <c r="F554" s="44"/>
      <c r="G554" s="34" t="str">
        <f aca="false">IF(F554&lt;&gt;"",F554,IF(E554="","",IFERROR(INDEX(I_Item!$C$6:$C$255,MATCH(E554,I_Item!$A$6:$A$255,0)),"KODE BARU")))</f>
        <v/>
      </c>
      <c r="H554" s="45"/>
      <c r="I554" s="42"/>
      <c r="J554" s="11" t="str">
        <f aca="false">IF(H554="","",H554*I554)</f>
        <v/>
      </c>
      <c r="K554" s="42"/>
      <c r="L554" s="11" t="str">
        <f aca="false">IF(H554="","",IF(K554&lt;&gt;"",K554,H554*IFERROR(INDEX(O_Stok!$Q$6:$Q$85,MATCH(G554,O_Stok!$A$6:$A$85,0)),0)))</f>
        <v/>
      </c>
      <c r="M554" s="11" t="str">
        <f aca="false">IF(H554="","",J554-L554)</f>
        <v/>
      </c>
      <c r="N554" s="34" t="str">
        <f aca="false">IF(G554="","",IFERROR(INDEX(I_Master!$B$6:$B$85,MATCH(G554,I_Master!$A$6:$A$85,0)),"?"))</f>
        <v/>
      </c>
      <c r="O554" s="34" t="str">
        <f aca="false">IF(G554="","",IFERROR(INDEX(I_Master!$E$6:$E$85,MATCH(G554,I_Master!$A$6:$A$85,0)),"?"))</f>
        <v/>
      </c>
      <c r="P554" s="46" t="str">
        <f aca="false">IF(H554="","",IF(OR(A554&lt;I_Parameter!$C$5,A554&gt;I_Parameter!$C$6),0,IF(B554="Aktual",1,IF(AND(B554="Order",A554&gt;=I_Parameter!$C$4),1,0))))</f>
        <v/>
      </c>
    </row>
    <row r="555" customFormat="false" ht="15" hidden="false" customHeight="false" outlineLevel="0" collapsed="false">
      <c r="A555" s="37"/>
      <c r="B555" s="44"/>
      <c r="C555" s="44"/>
      <c r="D555" s="44"/>
      <c r="E555" s="44"/>
      <c r="F555" s="44"/>
      <c r="G555" s="34" t="str">
        <f aca="false">IF(F555&lt;&gt;"",F555,IF(E555="","",IFERROR(INDEX(I_Item!$C$6:$C$255,MATCH(E555,I_Item!$A$6:$A$255,0)),"KODE BARU")))</f>
        <v/>
      </c>
      <c r="H555" s="45"/>
      <c r="I555" s="42"/>
      <c r="J555" s="11" t="str">
        <f aca="false">IF(H555="","",H555*I555)</f>
        <v/>
      </c>
      <c r="K555" s="42"/>
      <c r="L555" s="11" t="str">
        <f aca="false">IF(H555="","",IF(K555&lt;&gt;"",K555,H555*IFERROR(INDEX(O_Stok!$Q$6:$Q$85,MATCH(G555,O_Stok!$A$6:$A$85,0)),0)))</f>
        <v/>
      </c>
      <c r="M555" s="11" t="str">
        <f aca="false">IF(H555="","",J555-L555)</f>
        <v/>
      </c>
      <c r="N555" s="34" t="str">
        <f aca="false">IF(G555="","",IFERROR(INDEX(I_Master!$B$6:$B$85,MATCH(G555,I_Master!$A$6:$A$85,0)),"?"))</f>
        <v/>
      </c>
      <c r="O555" s="34" t="str">
        <f aca="false">IF(G555="","",IFERROR(INDEX(I_Master!$E$6:$E$85,MATCH(G555,I_Master!$A$6:$A$85,0)),"?"))</f>
        <v/>
      </c>
      <c r="P555" s="46" t="str">
        <f aca="false">IF(H555="","",IF(OR(A555&lt;I_Parameter!$C$5,A555&gt;I_Parameter!$C$6),0,IF(B555="Aktual",1,IF(AND(B555="Order",A555&gt;=I_Parameter!$C$4),1,0))))</f>
        <v/>
      </c>
    </row>
    <row r="556" customFormat="false" ht="15" hidden="false" customHeight="false" outlineLevel="0" collapsed="false">
      <c r="A556" s="37"/>
      <c r="B556" s="44"/>
      <c r="C556" s="44"/>
      <c r="D556" s="44"/>
      <c r="E556" s="44"/>
      <c r="F556" s="44"/>
      <c r="G556" s="34" t="str">
        <f aca="false">IF(F556&lt;&gt;"",F556,IF(E556="","",IFERROR(INDEX(I_Item!$C$6:$C$255,MATCH(E556,I_Item!$A$6:$A$255,0)),"KODE BARU")))</f>
        <v/>
      </c>
      <c r="H556" s="45"/>
      <c r="I556" s="42"/>
      <c r="J556" s="11" t="str">
        <f aca="false">IF(H556="","",H556*I556)</f>
        <v/>
      </c>
      <c r="K556" s="42"/>
      <c r="L556" s="11" t="str">
        <f aca="false">IF(H556="","",IF(K556&lt;&gt;"",K556,H556*IFERROR(INDEX(O_Stok!$Q$6:$Q$85,MATCH(G556,O_Stok!$A$6:$A$85,0)),0)))</f>
        <v/>
      </c>
      <c r="M556" s="11" t="str">
        <f aca="false">IF(H556="","",J556-L556)</f>
        <v/>
      </c>
      <c r="N556" s="34" t="str">
        <f aca="false">IF(G556="","",IFERROR(INDEX(I_Master!$B$6:$B$85,MATCH(G556,I_Master!$A$6:$A$85,0)),"?"))</f>
        <v/>
      </c>
      <c r="O556" s="34" t="str">
        <f aca="false">IF(G556="","",IFERROR(INDEX(I_Master!$E$6:$E$85,MATCH(G556,I_Master!$A$6:$A$85,0)),"?"))</f>
        <v/>
      </c>
      <c r="P556" s="46" t="str">
        <f aca="false">IF(H556="","",IF(OR(A556&lt;I_Parameter!$C$5,A556&gt;I_Parameter!$C$6),0,IF(B556="Aktual",1,IF(AND(B556="Order",A556&gt;=I_Parameter!$C$4),1,0))))</f>
        <v/>
      </c>
    </row>
    <row r="557" customFormat="false" ht="15" hidden="false" customHeight="false" outlineLevel="0" collapsed="false">
      <c r="A557" s="37"/>
      <c r="B557" s="44"/>
      <c r="C557" s="44"/>
      <c r="D557" s="44"/>
      <c r="E557" s="44"/>
      <c r="F557" s="44"/>
      <c r="G557" s="34" t="str">
        <f aca="false">IF(F557&lt;&gt;"",F557,IF(E557="","",IFERROR(INDEX(I_Item!$C$6:$C$255,MATCH(E557,I_Item!$A$6:$A$255,0)),"KODE BARU")))</f>
        <v/>
      </c>
      <c r="H557" s="45"/>
      <c r="I557" s="42"/>
      <c r="J557" s="11" t="str">
        <f aca="false">IF(H557="","",H557*I557)</f>
        <v/>
      </c>
      <c r="K557" s="42"/>
      <c r="L557" s="11" t="str">
        <f aca="false">IF(H557="","",IF(K557&lt;&gt;"",K557,H557*IFERROR(INDEX(O_Stok!$Q$6:$Q$85,MATCH(G557,O_Stok!$A$6:$A$85,0)),0)))</f>
        <v/>
      </c>
      <c r="M557" s="11" t="str">
        <f aca="false">IF(H557="","",J557-L557)</f>
        <v/>
      </c>
      <c r="N557" s="34" t="str">
        <f aca="false">IF(G557="","",IFERROR(INDEX(I_Master!$B$6:$B$85,MATCH(G557,I_Master!$A$6:$A$85,0)),"?"))</f>
        <v/>
      </c>
      <c r="O557" s="34" t="str">
        <f aca="false">IF(G557="","",IFERROR(INDEX(I_Master!$E$6:$E$85,MATCH(G557,I_Master!$A$6:$A$85,0)),"?"))</f>
        <v/>
      </c>
      <c r="P557" s="46" t="str">
        <f aca="false">IF(H557="","",IF(OR(A557&lt;I_Parameter!$C$5,A557&gt;I_Parameter!$C$6),0,IF(B557="Aktual",1,IF(AND(B557="Order",A557&gt;=I_Parameter!$C$4),1,0))))</f>
        <v/>
      </c>
    </row>
    <row r="558" customFormat="false" ht="15" hidden="false" customHeight="false" outlineLevel="0" collapsed="false">
      <c r="A558" s="37"/>
      <c r="B558" s="44"/>
      <c r="C558" s="44"/>
      <c r="D558" s="44"/>
      <c r="E558" s="44"/>
      <c r="F558" s="44"/>
      <c r="G558" s="34" t="str">
        <f aca="false">IF(F558&lt;&gt;"",F558,IF(E558="","",IFERROR(INDEX(I_Item!$C$6:$C$255,MATCH(E558,I_Item!$A$6:$A$255,0)),"KODE BARU")))</f>
        <v/>
      </c>
      <c r="H558" s="45"/>
      <c r="I558" s="42"/>
      <c r="J558" s="11" t="str">
        <f aca="false">IF(H558="","",H558*I558)</f>
        <v/>
      </c>
      <c r="K558" s="42"/>
      <c r="L558" s="11" t="str">
        <f aca="false">IF(H558="","",IF(K558&lt;&gt;"",K558,H558*IFERROR(INDEX(O_Stok!$Q$6:$Q$85,MATCH(G558,O_Stok!$A$6:$A$85,0)),0)))</f>
        <v/>
      </c>
      <c r="M558" s="11" t="str">
        <f aca="false">IF(H558="","",J558-L558)</f>
        <v/>
      </c>
      <c r="N558" s="34" t="str">
        <f aca="false">IF(G558="","",IFERROR(INDEX(I_Master!$B$6:$B$85,MATCH(G558,I_Master!$A$6:$A$85,0)),"?"))</f>
        <v/>
      </c>
      <c r="O558" s="34" t="str">
        <f aca="false">IF(G558="","",IFERROR(INDEX(I_Master!$E$6:$E$85,MATCH(G558,I_Master!$A$6:$A$85,0)),"?"))</f>
        <v/>
      </c>
      <c r="P558" s="46" t="str">
        <f aca="false">IF(H558="","",IF(OR(A558&lt;I_Parameter!$C$5,A558&gt;I_Parameter!$C$6),0,IF(B558="Aktual",1,IF(AND(B558="Order",A558&gt;=I_Parameter!$C$4),1,0))))</f>
        <v/>
      </c>
    </row>
    <row r="559" customFormat="false" ht="15" hidden="false" customHeight="false" outlineLevel="0" collapsed="false">
      <c r="A559" s="37"/>
      <c r="B559" s="44"/>
      <c r="C559" s="44"/>
      <c r="D559" s="44"/>
      <c r="E559" s="44"/>
      <c r="F559" s="44"/>
      <c r="G559" s="34" t="str">
        <f aca="false">IF(F559&lt;&gt;"",F559,IF(E559="","",IFERROR(INDEX(I_Item!$C$6:$C$255,MATCH(E559,I_Item!$A$6:$A$255,0)),"KODE BARU")))</f>
        <v/>
      </c>
      <c r="H559" s="45"/>
      <c r="I559" s="42"/>
      <c r="J559" s="11" t="str">
        <f aca="false">IF(H559="","",H559*I559)</f>
        <v/>
      </c>
      <c r="K559" s="42"/>
      <c r="L559" s="11" t="str">
        <f aca="false">IF(H559="","",IF(K559&lt;&gt;"",K559,H559*IFERROR(INDEX(O_Stok!$Q$6:$Q$85,MATCH(G559,O_Stok!$A$6:$A$85,0)),0)))</f>
        <v/>
      </c>
      <c r="M559" s="11" t="str">
        <f aca="false">IF(H559="","",J559-L559)</f>
        <v/>
      </c>
      <c r="N559" s="34" t="str">
        <f aca="false">IF(G559="","",IFERROR(INDEX(I_Master!$B$6:$B$85,MATCH(G559,I_Master!$A$6:$A$85,0)),"?"))</f>
        <v/>
      </c>
      <c r="O559" s="34" t="str">
        <f aca="false">IF(G559="","",IFERROR(INDEX(I_Master!$E$6:$E$85,MATCH(G559,I_Master!$A$6:$A$85,0)),"?"))</f>
        <v/>
      </c>
      <c r="P559" s="46" t="str">
        <f aca="false">IF(H559="","",IF(OR(A559&lt;I_Parameter!$C$5,A559&gt;I_Parameter!$C$6),0,IF(B559="Aktual",1,IF(AND(B559="Order",A559&gt;=I_Parameter!$C$4),1,0))))</f>
        <v/>
      </c>
    </row>
    <row r="560" customFormat="false" ht="15" hidden="false" customHeight="false" outlineLevel="0" collapsed="false">
      <c r="A560" s="37"/>
      <c r="B560" s="44"/>
      <c r="C560" s="44"/>
      <c r="D560" s="44"/>
      <c r="E560" s="44"/>
      <c r="F560" s="44"/>
      <c r="G560" s="34" t="str">
        <f aca="false">IF(F560&lt;&gt;"",F560,IF(E560="","",IFERROR(INDEX(I_Item!$C$6:$C$255,MATCH(E560,I_Item!$A$6:$A$255,0)),"KODE BARU")))</f>
        <v/>
      </c>
      <c r="H560" s="45"/>
      <c r="I560" s="42"/>
      <c r="J560" s="11" t="str">
        <f aca="false">IF(H560="","",H560*I560)</f>
        <v/>
      </c>
      <c r="K560" s="42"/>
      <c r="L560" s="11" t="str">
        <f aca="false">IF(H560="","",IF(K560&lt;&gt;"",K560,H560*IFERROR(INDEX(O_Stok!$Q$6:$Q$85,MATCH(G560,O_Stok!$A$6:$A$85,0)),0)))</f>
        <v/>
      </c>
      <c r="M560" s="11" t="str">
        <f aca="false">IF(H560="","",J560-L560)</f>
        <v/>
      </c>
      <c r="N560" s="34" t="str">
        <f aca="false">IF(G560="","",IFERROR(INDEX(I_Master!$B$6:$B$85,MATCH(G560,I_Master!$A$6:$A$85,0)),"?"))</f>
        <v/>
      </c>
      <c r="O560" s="34" t="str">
        <f aca="false">IF(G560="","",IFERROR(INDEX(I_Master!$E$6:$E$85,MATCH(G560,I_Master!$A$6:$A$85,0)),"?"))</f>
        <v/>
      </c>
      <c r="P560" s="46" t="str">
        <f aca="false">IF(H560="","",IF(OR(A560&lt;I_Parameter!$C$5,A560&gt;I_Parameter!$C$6),0,IF(B560="Aktual",1,IF(AND(B560="Order",A560&gt;=I_Parameter!$C$4),1,0))))</f>
        <v/>
      </c>
    </row>
    <row r="561" customFormat="false" ht="15" hidden="false" customHeight="false" outlineLevel="0" collapsed="false">
      <c r="A561" s="37"/>
      <c r="B561" s="44"/>
      <c r="C561" s="44"/>
      <c r="D561" s="44"/>
      <c r="E561" s="44"/>
      <c r="F561" s="44"/>
      <c r="G561" s="34" t="str">
        <f aca="false">IF(F561&lt;&gt;"",F561,IF(E561="","",IFERROR(INDEX(I_Item!$C$6:$C$255,MATCH(E561,I_Item!$A$6:$A$255,0)),"KODE BARU")))</f>
        <v/>
      </c>
      <c r="H561" s="45"/>
      <c r="I561" s="42"/>
      <c r="J561" s="11" t="str">
        <f aca="false">IF(H561="","",H561*I561)</f>
        <v/>
      </c>
      <c r="K561" s="42"/>
      <c r="L561" s="11" t="str">
        <f aca="false">IF(H561="","",IF(K561&lt;&gt;"",K561,H561*IFERROR(INDEX(O_Stok!$Q$6:$Q$85,MATCH(G561,O_Stok!$A$6:$A$85,0)),0)))</f>
        <v/>
      </c>
      <c r="M561" s="11" t="str">
        <f aca="false">IF(H561="","",J561-L561)</f>
        <v/>
      </c>
      <c r="N561" s="34" t="str">
        <f aca="false">IF(G561="","",IFERROR(INDEX(I_Master!$B$6:$B$85,MATCH(G561,I_Master!$A$6:$A$85,0)),"?"))</f>
        <v/>
      </c>
      <c r="O561" s="34" t="str">
        <f aca="false">IF(G561="","",IFERROR(INDEX(I_Master!$E$6:$E$85,MATCH(G561,I_Master!$A$6:$A$85,0)),"?"))</f>
        <v/>
      </c>
      <c r="P561" s="46" t="str">
        <f aca="false">IF(H561="","",IF(OR(A561&lt;I_Parameter!$C$5,A561&gt;I_Parameter!$C$6),0,IF(B561="Aktual",1,IF(AND(B561="Order",A561&gt;=I_Parameter!$C$4),1,0))))</f>
        <v/>
      </c>
    </row>
    <row r="562" customFormat="false" ht="15" hidden="false" customHeight="false" outlineLevel="0" collapsed="false">
      <c r="A562" s="37"/>
      <c r="B562" s="44"/>
      <c r="C562" s="44"/>
      <c r="D562" s="44"/>
      <c r="E562" s="44"/>
      <c r="F562" s="44"/>
      <c r="G562" s="34" t="str">
        <f aca="false">IF(F562&lt;&gt;"",F562,IF(E562="","",IFERROR(INDEX(I_Item!$C$6:$C$255,MATCH(E562,I_Item!$A$6:$A$255,0)),"KODE BARU")))</f>
        <v/>
      </c>
      <c r="H562" s="45"/>
      <c r="I562" s="42"/>
      <c r="J562" s="11" t="str">
        <f aca="false">IF(H562="","",H562*I562)</f>
        <v/>
      </c>
      <c r="K562" s="42"/>
      <c r="L562" s="11" t="str">
        <f aca="false">IF(H562="","",IF(K562&lt;&gt;"",K562,H562*IFERROR(INDEX(O_Stok!$Q$6:$Q$85,MATCH(G562,O_Stok!$A$6:$A$85,0)),0)))</f>
        <v/>
      </c>
      <c r="M562" s="11" t="str">
        <f aca="false">IF(H562="","",J562-L562)</f>
        <v/>
      </c>
      <c r="N562" s="34" t="str">
        <f aca="false">IF(G562="","",IFERROR(INDEX(I_Master!$B$6:$B$85,MATCH(G562,I_Master!$A$6:$A$85,0)),"?"))</f>
        <v/>
      </c>
      <c r="O562" s="34" t="str">
        <f aca="false">IF(G562="","",IFERROR(INDEX(I_Master!$E$6:$E$85,MATCH(G562,I_Master!$A$6:$A$85,0)),"?"))</f>
        <v/>
      </c>
      <c r="P562" s="46" t="str">
        <f aca="false">IF(H562="","",IF(OR(A562&lt;I_Parameter!$C$5,A562&gt;I_Parameter!$C$6),0,IF(B562="Aktual",1,IF(AND(B562="Order",A562&gt;=I_Parameter!$C$4),1,0))))</f>
        <v/>
      </c>
    </row>
    <row r="563" customFormat="false" ht="15" hidden="false" customHeight="false" outlineLevel="0" collapsed="false">
      <c r="A563" s="37"/>
      <c r="B563" s="44"/>
      <c r="C563" s="44"/>
      <c r="D563" s="44"/>
      <c r="E563" s="44"/>
      <c r="F563" s="44"/>
      <c r="G563" s="34" t="str">
        <f aca="false">IF(F563&lt;&gt;"",F563,IF(E563="","",IFERROR(INDEX(I_Item!$C$6:$C$255,MATCH(E563,I_Item!$A$6:$A$255,0)),"KODE BARU")))</f>
        <v/>
      </c>
      <c r="H563" s="45"/>
      <c r="I563" s="42"/>
      <c r="J563" s="11" t="str">
        <f aca="false">IF(H563="","",H563*I563)</f>
        <v/>
      </c>
      <c r="K563" s="42"/>
      <c r="L563" s="11" t="str">
        <f aca="false">IF(H563="","",IF(K563&lt;&gt;"",K563,H563*IFERROR(INDEX(O_Stok!$Q$6:$Q$85,MATCH(G563,O_Stok!$A$6:$A$85,0)),0)))</f>
        <v/>
      </c>
      <c r="M563" s="11" t="str">
        <f aca="false">IF(H563="","",J563-L563)</f>
        <v/>
      </c>
      <c r="N563" s="34" t="str">
        <f aca="false">IF(G563="","",IFERROR(INDEX(I_Master!$B$6:$B$85,MATCH(G563,I_Master!$A$6:$A$85,0)),"?"))</f>
        <v/>
      </c>
      <c r="O563" s="34" t="str">
        <f aca="false">IF(G563="","",IFERROR(INDEX(I_Master!$E$6:$E$85,MATCH(G563,I_Master!$A$6:$A$85,0)),"?"))</f>
        <v/>
      </c>
      <c r="P563" s="46" t="str">
        <f aca="false">IF(H563="","",IF(OR(A563&lt;I_Parameter!$C$5,A563&gt;I_Parameter!$C$6),0,IF(B563="Aktual",1,IF(AND(B563="Order",A563&gt;=I_Parameter!$C$4),1,0))))</f>
        <v/>
      </c>
    </row>
    <row r="564" customFormat="false" ht="15" hidden="false" customHeight="false" outlineLevel="0" collapsed="false">
      <c r="A564" s="37"/>
      <c r="B564" s="44"/>
      <c r="C564" s="44"/>
      <c r="D564" s="44"/>
      <c r="E564" s="44"/>
      <c r="F564" s="44"/>
      <c r="G564" s="34" t="str">
        <f aca="false">IF(F564&lt;&gt;"",F564,IF(E564="","",IFERROR(INDEX(I_Item!$C$6:$C$255,MATCH(E564,I_Item!$A$6:$A$255,0)),"KODE BARU")))</f>
        <v/>
      </c>
      <c r="H564" s="45"/>
      <c r="I564" s="42"/>
      <c r="J564" s="11" t="str">
        <f aca="false">IF(H564="","",H564*I564)</f>
        <v/>
      </c>
      <c r="K564" s="42"/>
      <c r="L564" s="11" t="str">
        <f aca="false">IF(H564="","",IF(K564&lt;&gt;"",K564,H564*IFERROR(INDEX(O_Stok!$Q$6:$Q$85,MATCH(G564,O_Stok!$A$6:$A$85,0)),0)))</f>
        <v/>
      </c>
      <c r="M564" s="11" t="str">
        <f aca="false">IF(H564="","",J564-L564)</f>
        <v/>
      </c>
      <c r="N564" s="34" t="str">
        <f aca="false">IF(G564="","",IFERROR(INDEX(I_Master!$B$6:$B$85,MATCH(G564,I_Master!$A$6:$A$85,0)),"?"))</f>
        <v/>
      </c>
      <c r="O564" s="34" t="str">
        <f aca="false">IF(G564="","",IFERROR(INDEX(I_Master!$E$6:$E$85,MATCH(G564,I_Master!$A$6:$A$85,0)),"?"))</f>
        <v/>
      </c>
      <c r="P564" s="46" t="str">
        <f aca="false">IF(H564="","",IF(OR(A564&lt;I_Parameter!$C$5,A564&gt;I_Parameter!$C$6),0,IF(B564="Aktual",1,IF(AND(B564="Order",A564&gt;=I_Parameter!$C$4),1,0))))</f>
        <v/>
      </c>
    </row>
    <row r="565" customFormat="false" ht="15" hidden="false" customHeight="false" outlineLevel="0" collapsed="false">
      <c r="A565" s="37"/>
      <c r="B565" s="44"/>
      <c r="C565" s="44"/>
      <c r="D565" s="44"/>
      <c r="E565" s="44"/>
      <c r="F565" s="44"/>
      <c r="G565" s="34" t="str">
        <f aca="false">IF(F565&lt;&gt;"",F565,IF(E565="","",IFERROR(INDEX(I_Item!$C$6:$C$255,MATCH(E565,I_Item!$A$6:$A$255,0)),"KODE BARU")))</f>
        <v/>
      </c>
      <c r="H565" s="45"/>
      <c r="I565" s="42"/>
      <c r="J565" s="11" t="str">
        <f aca="false">IF(H565="","",H565*I565)</f>
        <v/>
      </c>
      <c r="K565" s="42"/>
      <c r="L565" s="11" t="str">
        <f aca="false">IF(H565="","",IF(K565&lt;&gt;"",K565,H565*IFERROR(INDEX(O_Stok!$Q$6:$Q$85,MATCH(G565,O_Stok!$A$6:$A$85,0)),0)))</f>
        <v/>
      </c>
      <c r="M565" s="11" t="str">
        <f aca="false">IF(H565="","",J565-L565)</f>
        <v/>
      </c>
      <c r="N565" s="34" t="str">
        <f aca="false">IF(G565="","",IFERROR(INDEX(I_Master!$B$6:$B$85,MATCH(G565,I_Master!$A$6:$A$85,0)),"?"))</f>
        <v/>
      </c>
      <c r="O565" s="34" t="str">
        <f aca="false">IF(G565="","",IFERROR(INDEX(I_Master!$E$6:$E$85,MATCH(G565,I_Master!$A$6:$A$85,0)),"?"))</f>
        <v/>
      </c>
      <c r="P565" s="46" t="str">
        <f aca="false">IF(H565="","",IF(OR(A565&lt;I_Parameter!$C$5,A565&gt;I_Parameter!$C$6),0,IF(B565="Aktual",1,IF(AND(B565="Order",A565&gt;=I_Parameter!$C$4),1,0))))</f>
        <v/>
      </c>
    </row>
    <row r="566" customFormat="false" ht="15" hidden="false" customHeight="false" outlineLevel="0" collapsed="false">
      <c r="A566" s="37"/>
      <c r="B566" s="44"/>
      <c r="C566" s="44"/>
      <c r="D566" s="44"/>
      <c r="E566" s="44"/>
      <c r="F566" s="44"/>
      <c r="G566" s="34" t="str">
        <f aca="false">IF(F566&lt;&gt;"",F566,IF(E566="","",IFERROR(INDEX(I_Item!$C$6:$C$255,MATCH(E566,I_Item!$A$6:$A$255,0)),"KODE BARU")))</f>
        <v/>
      </c>
      <c r="H566" s="45"/>
      <c r="I566" s="42"/>
      <c r="J566" s="11" t="str">
        <f aca="false">IF(H566="","",H566*I566)</f>
        <v/>
      </c>
      <c r="K566" s="42"/>
      <c r="L566" s="11" t="str">
        <f aca="false">IF(H566="","",IF(K566&lt;&gt;"",K566,H566*IFERROR(INDEX(O_Stok!$Q$6:$Q$85,MATCH(G566,O_Stok!$A$6:$A$85,0)),0)))</f>
        <v/>
      </c>
      <c r="M566" s="11" t="str">
        <f aca="false">IF(H566="","",J566-L566)</f>
        <v/>
      </c>
      <c r="N566" s="34" t="str">
        <f aca="false">IF(G566="","",IFERROR(INDEX(I_Master!$B$6:$B$85,MATCH(G566,I_Master!$A$6:$A$85,0)),"?"))</f>
        <v/>
      </c>
      <c r="O566" s="34" t="str">
        <f aca="false">IF(G566="","",IFERROR(INDEX(I_Master!$E$6:$E$85,MATCH(G566,I_Master!$A$6:$A$85,0)),"?"))</f>
        <v/>
      </c>
      <c r="P566" s="46" t="str">
        <f aca="false">IF(H566="","",IF(OR(A566&lt;I_Parameter!$C$5,A566&gt;I_Parameter!$C$6),0,IF(B566="Aktual",1,IF(AND(B566="Order",A566&gt;=I_Parameter!$C$4),1,0))))</f>
        <v/>
      </c>
    </row>
    <row r="567" customFormat="false" ht="15" hidden="false" customHeight="false" outlineLevel="0" collapsed="false">
      <c r="A567" s="37"/>
      <c r="B567" s="44"/>
      <c r="C567" s="44"/>
      <c r="D567" s="44"/>
      <c r="E567" s="44"/>
      <c r="F567" s="44"/>
      <c r="G567" s="34" t="str">
        <f aca="false">IF(F567&lt;&gt;"",F567,IF(E567="","",IFERROR(INDEX(I_Item!$C$6:$C$255,MATCH(E567,I_Item!$A$6:$A$255,0)),"KODE BARU")))</f>
        <v/>
      </c>
      <c r="H567" s="45"/>
      <c r="I567" s="42"/>
      <c r="J567" s="11" t="str">
        <f aca="false">IF(H567="","",H567*I567)</f>
        <v/>
      </c>
      <c r="K567" s="42"/>
      <c r="L567" s="11" t="str">
        <f aca="false">IF(H567="","",IF(K567&lt;&gt;"",K567,H567*IFERROR(INDEX(O_Stok!$Q$6:$Q$85,MATCH(G567,O_Stok!$A$6:$A$85,0)),0)))</f>
        <v/>
      </c>
      <c r="M567" s="11" t="str">
        <f aca="false">IF(H567="","",J567-L567)</f>
        <v/>
      </c>
      <c r="N567" s="34" t="str">
        <f aca="false">IF(G567="","",IFERROR(INDEX(I_Master!$B$6:$B$85,MATCH(G567,I_Master!$A$6:$A$85,0)),"?"))</f>
        <v/>
      </c>
      <c r="O567" s="34" t="str">
        <f aca="false">IF(G567="","",IFERROR(INDEX(I_Master!$E$6:$E$85,MATCH(G567,I_Master!$A$6:$A$85,0)),"?"))</f>
        <v/>
      </c>
      <c r="P567" s="46" t="str">
        <f aca="false">IF(H567="","",IF(OR(A567&lt;I_Parameter!$C$5,A567&gt;I_Parameter!$C$6),0,IF(B567="Aktual",1,IF(AND(B567="Order",A567&gt;=I_Parameter!$C$4),1,0))))</f>
        <v/>
      </c>
    </row>
    <row r="568" customFormat="false" ht="15" hidden="false" customHeight="false" outlineLevel="0" collapsed="false">
      <c r="A568" s="37"/>
      <c r="B568" s="44"/>
      <c r="C568" s="44"/>
      <c r="D568" s="44"/>
      <c r="E568" s="44"/>
      <c r="F568" s="44"/>
      <c r="G568" s="34" t="str">
        <f aca="false">IF(F568&lt;&gt;"",F568,IF(E568="","",IFERROR(INDEX(I_Item!$C$6:$C$255,MATCH(E568,I_Item!$A$6:$A$255,0)),"KODE BARU")))</f>
        <v/>
      </c>
      <c r="H568" s="45"/>
      <c r="I568" s="42"/>
      <c r="J568" s="11" t="str">
        <f aca="false">IF(H568="","",H568*I568)</f>
        <v/>
      </c>
      <c r="K568" s="42"/>
      <c r="L568" s="11" t="str">
        <f aca="false">IF(H568="","",IF(K568&lt;&gt;"",K568,H568*IFERROR(INDEX(O_Stok!$Q$6:$Q$85,MATCH(G568,O_Stok!$A$6:$A$85,0)),0)))</f>
        <v/>
      </c>
      <c r="M568" s="11" t="str">
        <f aca="false">IF(H568="","",J568-L568)</f>
        <v/>
      </c>
      <c r="N568" s="34" t="str">
        <f aca="false">IF(G568="","",IFERROR(INDEX(I_Master!$B$6:$B$85,MATCH(G568,I_Master!$A$6:$A$85,0)),"?"))</f>
        <v/>
      </c>
      <c r="O568" s="34" t="str">
        <f aca="false">IF(G568="","",IFERROR(INDEX(I_Master!$E$6:$E$85,MATCH(G568,I_Master!$A$6:$A$85,0)),"?"))</f>
        <v/>
      </c>
      <c r="P568" s="46" t="str">
        <f aca="false">IF(H568="","",IF(OR(A568&lt;I_Parameter!$C$5,A568&gt;I_Parameter!$C$6),0,IF(B568="Aktual",1,IF(AND(B568="Order",A568&gt;=I_Parameter!$C$4),1,0))))</f>
        <v/>
      </c>
    </row>
    <row r="569" customFormat="false" ht="15" hidden="false" customHeight="false" outlineLevel="0" collapsed="false">
      <c r="A569" s="37"/>
      <c r="B569" s="44"/>
      <c r="C569" s="44"/>
      <c r="D569" s="44"/>
      <c r="E569" s="44"/>
      <c r="F569" s="44"/>
      <c r="G569" s="34" t="str">
        <f aca="false">IF(F569&lt;&gt;"",F569,IF(E569="","",IFERROR(INDEX(I_Item!$C$6:$C$255,MATCH(E569,I_Item!$A$6:$A$255,0)),"KODE BARU")))</f>
        <v/>
      </c>
      <c r="H569" s="45"/>
      <c r="I569" s="42"/>
      <c r="J569" s="11" t="str">
        <f aca="false">IF(H569="","",H569*I569)</f>
        <v/>
      </c>
      <c r="K569" s="42"/>
      <c r="L569" s="11" t="str">
        <f aca="false">IF(H569="","",IF(K569&lt;&gt;"",K569,H569*IFERROR(INDEX(O_Stok!$Q$6:$Q$85,MATCH(G569,O_Stok!$A$6:$A$85,0)),0)))</f>
        <v/>
      </c>
      <c r="M569" s="11" t="str">
        <f aca="false">IF(H569="","",J569-L569)</f>
        <v/>
      </c>
      <c r="N569" s="34" t="str">
        <f aca="false">IF(G569="","",IFERROR(INDEX(I_Master!$B$6:$B$85,MATCH(G569,I_Master!$A$6:$A$85,0)),"?"))</f>
        <v/>
      </c>
      <c r="O569" s="34" t="str">
        <f aca="false">IF(G569="","",IFERROR(INDEX(I_Master!$E$6:$E$85,MATCH(G569,I_Master!$A$6:$A$85,0)),"?"))</f>
        <v/>
      </c>
      <c r="P569" s="46" t="str">
        <f aca="false">IF(H569="","",IF(OR(A569&lt;I_Parameter!$C$5,A569&gt;I_Parameter!$C$6),0,IF(B569="Aktual",1,IF(AND(B569="Order",A569&gt;=I_Parameter!$C$4),1,0))))</f>
        <v/>
      </c>
    </row>
    <row r="570" customFormat="false" ht="15" hidden="false" customHeight="false" outlineLevel="0" collapsed="false">
      <c r="A570" s="37"/>
      <c r="B570" s="44"/>
      <c r="C570" s="44"/>
      <c r="D570" s="44"/>
      <c r="E570" s="44"/>
      <c r="F570" s="44"/>
      <c r="G570" s="34" t="str">
        <f aca="false">IF(F570&lt;&gt;"",F570,IF(E570="","",IFERROR(INDEX(I_Item!$C$6:$C$255,MATCH(E570,I_Item!$A$6:$A$255,0)),"KODE BARU")))</f>
        <v/>
      </c>
      <c r="H570" s="45"/>
      <c r="I570" s="42"/>
      <c r="J570" s="11" t="str">
        <f aca="false">IF(H570="","",H570*I570)</f>
        <v/>
      </c>
      <c r="K570" s="42"/>
      <c r="L570" s="11" t="str">
        <f aca="false">IF(H570="","",IF(K570&lt;&gt;"",K570,H570*IFERROR(INDEX(O_Stok!$Q$6:$Q$85,MATCH(G570,O_Stok!$A$6:$A$85,0)),0)))</f>
        <v/>
      </c>
      <c r="M570" s="11" t="str">
        <f aca="false">IF(H570="","",J570-L570)</f>
        <v/>
      </c>
      <c r="N570" s="34" t="str">
        <f aca="false">IF(G570="","",IFERROR(INDEX(I_Master!$B$6:$B$85,MATCH(G570,I_Master!$A$6:$A$85,0)),"?"))</f>
        <v/>
      </c>
      <c r="O570" s="34" t="str">
        <f aca="false">IF(G570="","",IFERROR(INDEX(I_Master!$E$6:$E$85,MATCH(G570,I_Master!$A$6:$A$85,0)),"?"))</f>
        <v/>
      </c>
      <c r="P570" s="46" t="str">
        <f aca="false">IF(H570="","",IF(OR(A570&lt;I_Parameter!$C$5,A570&gt;I_Parameter!$C$6),0,IF(B570="Aktual",1,IF(AND(B570="Order",A570&gt;=I_Parameter!$C$4),1,0))))</f>
        <v/>
      </c>
    </row>
    <row r="571" customFormat="false" ht="15" hidden="false" customHeight="false" outlineLevel="0" collapsed="false">
      <c r="A571" s="37"/>
      <c r="B571" s="44"/>
      <c r="C571" s="44"/>
      <c r="D571" s="44"/>
      <c r="E571" s="44"/>
      <c r="F571" s="44"/>
      <c r="G571" s="34" t="str">
        <f aca="false">IF(F571&lt;&gt;"",F571,IF(E571="","",IFERROR(INDEX(I_Item!$C$6:$C$255,MATCH(E571,I_Item!$A$6:$A$255,0)),"KODE BARU")))</f>
        <v/>
      </c>
      <c r="H571" s="45"/>
      <c r="I571" s="42"/>
      <c r="J571" s="11" t="str">
        <f aca="false">IF(H571="","",H571*I571)</f>
        <v/>
      </c>
      <c r="K571" s="42"/>
      <c r="L571" s="11" t="str">
        <f aca="false">IF(H571="","",IF(K571&lt;&gt;"",K571,H571*IFERROR(INDEX(O_Stok!$Q$6:$Q$85,MATCH(G571,O_Stok!$A$6:$A$85,0)),0)))</f>
        <v/>
      </c>
      <c r="M571" s="11" t="str">
        <f aca="false">IF(H571="","",J571-L571)</f>
        <v/>
      </c>
      <c r="N571" s="34" t="str">
        <f aca="false">IF(G571="","",IFERROR(INDEX(I_Master!$B$6:$B$85,MATCH(G571,I_Master!$A$6:$A$85,0)),"?"))</f>
        <v/>
      </c>
      <c r="O571" s="34" t="str">
        <f aca="false">IF(G571="","",IFERROR(INDEX(I_Master!$E$6:$E$85,MATCH(G571,I_Master!$A$6:$A$85,0)),"?"))</f>
        <v/>
      </c>
      <c r="P571" s="46" t="str">
        <f aca="false">IF(H571="","",IF(OR(A571&lt;I_Parameter!$C$5,A571&gt;I_Parameter!$C$6),0,IF(B571="Aktual",1,IF(AND(B571="Order",A571&gt;=I_Parameter!$C$4),1,0))))</f>
        <v/>
      </c>
    </row>
    <row r="572" customFormat="false" ht="15" hidden="false" customHeight="false" outlineLevel="0" collapsed="false">
      <c r="A572" s="37"/>
      <c r="B572" s="44"/>
      <c r="C572" s="44"/>
      <c r="D572" s="44"/>
      <c r="E572" s="44"/>
      <c r="F572" s="44"/>
      <c r="G572" s="34" t="str">
        <f aca="false">IF(F572&lt;&gt;"",F572,IF(E572="","",IFERROR(INDEX(I_Item!$C$6:$C$255,MATCH(E572,I_Item!$A$6:$A$255,0)),"KODE BARU")))</f>
        <v/>
      </c>
      <c r="H572" s="45"/>
      <c r="I572" s="42"/>
      <c r="J572" s="11" t="str">
        <f aca="false">IF(H572="","",H572*I572)</f>
        <v/>
      </c>
      <c r="K572" s="42"/>
      <c r="L572" s="11" t="str">
        <f aca="false">IF(H572="","",IF(K572&lt;&gt;"",K572,H572*IFERROR(INDEX(O_Stok!$Q$6:$Q$85,MATCH(G572,O_Stok!$A$6:$A$85,0)),0)))</f>
        <v/>
      </c>
      <c r="M572" s="11" t="str">
        <f aca="false">IF(H572="","",J572-L572)</f>
        <v/>
      </c>
      <c r="N572" s="34" t="str">
        <f aca="false">IF(G572="","",IFERROR(INDEX(I_Master!$B$6:$B$85,MATCH(G572,I_Master!$A$6:$A$85,0)),"?"))</f>
        <v/>
      </c>
      <c r="O572" s="34" t="str">
        <f aca="false">IF(G572="","",IFERROR(INDEX(I_Master!$E$6:$E$85,MATCH(G572,I_Master!$A$6:$A$85,0)),"?"))</f>
        <v/>
      </c>
      <c r="P572" s="46" t="str">
        <f aca="false">IF(H572="","",IF(OR(A572&lt;I_Parameter!$C$5,A572&gt;I_Parameter!$C$6),0,IF(B572="Aktual",1,IF(AND(B572="Order",A572&gt;=I_Parameter!$C$4),1,0))))</f>
        <v/>
      </c>
    </row>
    <row r="573" customFormat="false" ht="15" hidden="false" customHeight="false" outlineLevel="0" collapsed="false">
      <c r="A573" s="37"/>
      <c r="B573" s="44"/>
      <c r="C573" s="44"/>
      <c r="D573" s="44"/>
      <c r="E573" s="44"/>
      <c r="F573" s="44"/>
      <c r="G573" s="34" t="str">
        <f aca="false">IF(F573&lt;&gt;"",F573,IF(E573="","",IFERROR(INDEX(I_Item!$C$6:$C$255,MATCH(E573,I_Item!$A$6:$A$255,0)),"KODE BARU")))</f>
        <v/>
      </c>
      <c r="H573" s="45"/>
      <c r="I573" s="42"/>
      <c r="J573" s="11" t="str">
        <f aca="false">IF(H573="","",H573*I573)</f>
        <v/>
      </c>
      <c r="K573" s="42"/>
      <c r="L573" s="11" t="str">
        <f aca="false">IF(H573="","",IF(K573&lt;&gt;"",K573,H573*IFERROR(INDEX(O_Stok!$Q$6:$Q$85,MATCH(G573,O_Stok!$A$6:$A$85,0)),0)))</f>
        <v/>
      </c>
      <c r="M573" s="11" t="str">
        <f aca="false">IF(H573="","",J573-L573)</f>
        <v/>
      </c>
      <c r="N573" s="34" t="str">
        <f aca="false">IF(G573="","",IFERROR(INDEX(I_Master!$B$6:$B$85,MATCH(G573,I_Master!$A$6:$A$85,0)),"?"))</f>
        <v/>
      </c>
      <c r="O573" s="34" t="str">
        <f aca="false">IF(G573="","",IFERROR(INDEX(I_Master!$E$6:$E$85,MATCH(G573,I_Master!$A$6:$A$85,0)),"?"))</f>
        <v/>
      </c>
      <c r="P573" s="46" t="str">
        <f aca="false">IF(H573="","",IF(OR(A573&lt;I_Parameter!$C$5,A573&gt;I_Parameter!$C$6),0,IF(B573="Aktual",1,IF(AND(B573="Order",A573&gt;=I_Parameter!$C$4),1,0))))</f>
        <v/>
      </c>
    </row>
    <row r="574" customFormat="false" ht="15" hidden="false" customHeight="false" outlineLevel="0" collapsed="false">
      <c r="A574" s="37"/>
      <c r="B574" s="44"/>
      <c r="C574" s="44"/>
      <c r="D574" s="44"/>
      <c r="E574" s="44"/>
      <c r="F574" s="44"/>
      <c r="G574" s="34" t="str">
        <f aca="false">IF(F574&lt;&gt;"",F574,IF(E574="","",IFERROR(INDEX(I_Item!$C$6:$C$255,MATCH(E574,I_Item!$A$6:$A$255,0)),"KODE BARU")))</f>
        <v/>
      </c>
      <c r="H574" s="45"/>
      <c r="I574" s="42"/>
      <c r="J574" s="11" t="str">
        <f aca="false">IF(H574="","",H574*I574)</f>
        <v/>
      </c>
      <c r="K574" s="42"/>
      <c r="L574" s="11" t="str">
        <f aca="false">IF(H574="","",IF(K574&lt;&gt;"",K574,H574*IFERROR(INDEX(O_Stok!$Q$6:$Q$85,MATCH(G574,O_Stok!$A$6:$A$85,0)),0)))</f>
        <v/>
      </c>
      <c r="M574" s="11" t="str">
        <f aca="false">IF(H574="","",J574-L574)</f>
        <v/>
      </c>
      <c r="N574" s="34" t="str">
        <f aca="false">IF(G574="","",IFERROR(INDEX(I_Master!$B$6:$B$85,MATCH(G574,I_Master!$A$6:$A$85,0)),"?"))</f>
        <v/>
      </c>
      <c r="O574" s="34" t="str">
        <f aca="false">IF(G574="","",IFERROR(INDEX(I_Master!$E$6:$E$85,MATCH(G574,I_Master!$A$6:$A$85,0)),"?"))</f>
        <v/>
      </c>
      <c r="P574" s="46" t="str">
        <f aca="false">IF(H574="","",IF(OR(A574&lt;I_Parameter!$C$5,A574&gt;I_Parameter!$C$6),0,IF(B574="Aktual",1,IF(AND(B574="Order",A574&gt;=I_Parameter!$C$4),1,0))))</f>
        <v/>
      </c>
    </row>
    <row r="575" customFormat="false" ht="15" hidden="false" customHeight="false" outlineLevel="0" collapsed="false">
      <c r="A575" s="37"/>
      <c r="B575" s="44"/>
      <c r="C575" s="44"/>
      <c r="D575" s="44"/>
      <c r="E575" s="44"/>
      <c r="F575" s="44"/>
      <c r="G575" s="34" t="str">
        <f aca="false">IF(F575&lt;&gt;"",F575,IF(E575="","",IFERROR(INDEX(I_Item!$C$6:$C$255,MATCH(E575,I_Item!$A$6:$A$255,0)),"KODE BARU")))</f>
        <v/>
      </c>
      <c r="H575" s="45"/>
      <c r="I575" s="42"/>
      <c r="J575" s="11" t="str">
        <f aca="false">IF(H575="","",H575*I575)</f>
        <v/>
      </c>
      <c r="K575" s="42"/>
      <c r="L575" s="11" t="str">
        <f aca="false">IF(H575="","",IF(K575&lt;&gt;"",K575,H575*IFERROR(INDEX(O_Stok!$Q$6:$Q$85,MATCH(G575,O_Stok!$A$6:$A$85,0)),0)))</f>
        <v/>
      </c>
      <c r="M575" s="11" t="str">
        <f aca="false">IF(H575="","",J575-L575)</f>
        <v/>
      </c>
      <c r="N575" s="34" t="str">
        <f aca="false">IF(G575="","",IFERROR(INDEX(I_Master!$B$6:$B$85,MATCH(G575,I_Master!$A$6:$A$85,0)),"?"))</f>
        <v/>
      </c>
      <c r="O575" s="34" t="str">
        <f aca="false">IF(G575="","",IFERROR(INDEX(I_Master!$E$6:$E$85,MATCH(G575,I_Master!$A$6:$A$85,0)),"?"))</f>
        <v/>
      </c>
      <c r="P575" s="46" t="str">
        <f aca="false">IF(H575="","",IF(OR(A575&lt;I_Parameter!$C$5,A575&gt;I_Parameter!$C$6),0,IF(B575="Aktual",1,IF(AND(B575="Order",A575&gt;=I_Parameter!$C$4),1,0))))</f>
        <v/>
      </c>
    </row>
    <row r="576" customFormat="false" ht="15" hidden="false" customHeight="false" outlineLevel="0" collapsed="false">
      <c r="A576" s="37"/>
      <c r="B576" s="44"/>
      <c r="C576" s="44"/>
      <c r="D576" s="44"/>
      <c r="E576" s="44"/>
      <c r="F576" s="44"/>
      <c r="G576" s="34" t="str">
        <f aca="false">IF(F576&lt;&gt;"",F576,IF(E576="","",IFERROR(INDEX(I_Item!$C$6:$C$255,MATCH(E576,I_Item!$A$6:$A$255,0)),"KODE BARU")))</f>
        <v/>
      </c>
      <c r="H576" s="45"/>
      <c r="I576" s="42"/>
      <c r="J576" s="11" t="str">
        <f aca="false">IF(H576="","",H576*I576)</f>
        <v/>
      </c>
      <c r="K576" s="42"/>
      <c r="L576" s="11" t="str">
        <f aca="false">IF(H576="","",IF(K576&lt;&gt;"",K576,H576*IFERROR(INDEX(O_Stok!$Q$6:$Q$85,MATCH(G576,O_Stok!$A$6:$A$85,0)),0)))</f>
        <v/>
      </c>
      <c r="M576" s="11" t="str">
        <f aca="false">IF(H576="","",J576-L576)</f>
        <v/>
      </c>
      <c r="N576" s="34" t="str">
        <f aca="false">IF(G576="","",IFERROR(INDEX(I_Master!$B$6:$B$85,MATCH(G576,I_Master!$A$6:$A$85,0)),"?"))</f>
        <v/>
      </c>
      <c r="O576" s="34" t="str">
        <f aca="false">IF(G576="","",IFERROR(INDEX(I_Master!$E$6:$E$85,MATCH(G576,I_Master!$A$6:$A$85,0)),"?"))</f>
        <v/>
      </c>
      <c r="P576" s="46" t="str">
        <f aca="false">IF(H576="","",IF(OR(A576&lt;I_Parameter!$C$5,A576&gt;I_Parameter!$C$6),0,IF(B576="Aktual",1,IF(AND(B576="Order",A576&gt;=I_Parameter!$C$4),1,0))))</f>
        <v/>
      </c>
    </row>
    <row r="577" customFormat="false" ht="15" hidden="false" customHeight="false" outlineLevel="0" collapsed="false">
      <c r="A577" s="37"/>
      <c r="B577" s="44"/>
      <c r="C577" s="44"/>
      <c r="D577" s="44"/>
      <c r="E577" s="44"/>
      <c r="F577" s="44"/>
      <c r="G577" s="34" t="str">
        <f aca="false">IF(F577&lt;&gt;"",F577,IF(E577="","",IFERROR(INDEX(I_Item!$C$6:$C$255,MATCH(E577,I_Item!$A$6:$A$255,0)),"KODE BARU")))</f>
        <v/>
      </c>
      <c r="H577" s="45"/>
      <c r="I577" s="42"/>
      <c r="J577" s="11" t="str">
        <f aca="false">IF(H577="","",H577*I577)</f>
        <v/>
      </c>
      <c r="K577" s="42"/>
      <c r="L577" s="11" t="str">
        <f aca="false">IF(H577="","",IF(K577&lt;&gt;"",K577,H577*IFERROR(INDEX(O_Stok!$Q$6:$Q$85,MATCH(G577,O_Stok!$A$6:$A$85,0)),0)))</f>
        <v/>
      </c>
      <c r="M577" s="11" t="str">
        <f aca="false">IF(H577="","",J577-L577)</f>
        <v/>
      </c>
      <c r="N577" s="34" t="str">
        <f aca="false">IF(G577="","",IFERROR(INDEX(I_Master!$B$6:$B$85,MATCH(G577,I_Master!$A$6:$A$85,0)),"?"))</f>
        <v/>
      </c>
      <c r="O577" s="34" t="str">
        <f aca="false">IF(G577="","",IFERROR(INDEX(I_Master!$E$6:$E$85,MATCH(G577,I_Master!$A$6:$A$85,0)),"?"))</f>
        <v/>
      </c>
      <c r="P577" s="46" t="str">
        <f aca="false">IF(H577="","",IF(OR(A577&lt;I_Parameter!$C$5,A577&gt;I_Parameter!$C$6),0,IF(B577="Aktual",1,IF(AND(B577="Order",A577&gt;=I_Parameter!$C$4),1,0))))</f>
        <v/>
      </c>
    </row>
    <row r="578" customFormat="false" ht="15" hidden="false" customHeight="false" outlineLevel="0" collapsed="false">
      <c r="A578" s="37"/>
      <c r="B578" s="44"/>
      <c r="C578" s="44"/>
      <c r="D578" s="44"/>
      <c r="E578" s="44"/>
      <c r="F578" s="44"/>
      <c r="G578" s="34" t="str">
        <f aca="false">IF(F578&lt;&gt;"",F578,IF(E578="","",IFERROR(INDEX(I_Item!$C$6:$C$255,MATCH(E578,I_Item!$A$6:$A$255,0)),"KODE BARU")))</f>
        <v/>
      </c>
      <c r="H578" s="45"/>
      <c r="I578" s="42"/>
      <c r="J578" s="11" t="str">
        <f aca="false">IF(H578="","",H578*I578)</f>
        <v/>
      </c>
      <c r="K578" s="42"/>
      <c r="L578" s="11" t="str">
        <f aca="false">IF(H578="","",IF(K578&lt;&gt;"",K578,H578*IFERROR(INDEX(O_Stok!$Q$6:$Q$85,MATCH(G578,O_Stok!$A$6:$A$85,0)),0)))</f>
        <v/>
      </c>
      <c r="M578" s="11" t="str">
        <f aca="false">IF(H578="","",J578-L578)</f>
        <v/>
      </c>
      <c r="N578" s="34" t="str">
        <f aca="false">IF(G578="","",IFERROR(INDEX(I_Master!$B$6:$B$85,MATCH(G578,I_Master!$A$6:$A$85,0)),"?"))</f>
        <v/>
      </c>
      <c r="O578" s="34" t="str">
        <f aca="false">IF(G578="","",IFERROR(INDEX(I_Master!$E$6:$E$85,MATCH(G578,I_Master!$A$6:$A$85,0)),"?"))</f>
        <v/>
      </c>
      <c r="P578" s="46" t="str">
        <f aca="false">IF(H578="","",IF(OR(A578&lt;I_Parameter!$C$5,A578&gt;I_Parameter!$C$6),0,IF(B578="Aktual",1,IF(AND(B578="Order",A578&gt;=I_Parameter!$C$4),1,0))))</f>
        <v/>
      </c>
    </row>
    <row r="579" customFormat="false" ht="15" hidden="false" customHeight="false" outlineLevel="0" collapsed="false">
      <c r="A579" s="37"/>
      <c r="B579" s="44"/>
      <c r="C579" s="44"/>
      <c r="D579" s="44"/>
      <c r="E579" s="44"/>
      <c r="F579" s="44"/>
      <c r="G579" s="34" t="str">
        <f aca="false">IF(F579&lt;&gt;"",F579,IF(E579="","",IFERROR(INDEX(I_Item!$C$6:$C$255,MATCH(E579,I_Item!$A$6:$A$255,0)),"KODE BARU")))</f>
        <v/>
      </c>
      <c r="H579" s="45"/>
      <c r="I579" s="42"/>
      <c r="J579" s="11" t="str">
        <f aca="false">IF(H579="","",H579*I579)</f>
        <v/>
      </c>
      <c r="K579" s="42"/>
      <c r="L579" s="11" t="str">
        <f aca="false">IF(H579="","",IF(K579&lt;&gt;"",K579,H579*IFERROR(INDEX(O_Stok!$Q$6:$Q$85,MATCH(G579,O_Stok!$A$6:$A$85,0)),0)))</f>
        <v/>
      </c>
      <c r="M579" s="11" t="str">
        <f aca="false">IF(H579="","",J579-L579)</f>
        <v/>
      </c>
      <c r="N579" s="34" t="str">
        <f aca="false">IF(G579="","",IFERROR(INDEX(I_Master!$B$6:$B$85,MATCH(G579,I_Master!$A$6:$A$85,0)),"?"))</f>
        <v/>
      </c>
      <c r="O579" s="34" t="str">
        <f aca="false">IF(G579="","",IFERROR(INDEX(I_Master!$E$6:$E$85,MATCH(G579,I_Master!$A$6:$A$85,0)),"?"))</f>
        <v/>
      </c>
      <c r="P579" s="46" t="str">
        <f aca="false">IF(H579="","",IF(OR(A579&lt;I_Parameter!$C$5,A579&gt;I_Parameter!$C$6),0,IF(B579="Aktual",1,IF(AND(B579="Order",A579&gt;=I_Parameter!$C$4),1,0))))</f>
        <v/>
      </c>
    </row>
    <row r="580" customFormat="false" ht="15" hidden="false" customHeight="false" outlineLevel="0" collapsed="false">
      <c r="A580" s="37"/>
      <c r="B580" s="44"/>
      <c r="C580" s="44"/>
      <c r="D580" s="44"/>
      <c r="E580" s="44"/>
      <c r="F580" s="44"/>
      <c r="G580" s="34" t="str">
        <f aca="false">IF(F580&lt;&gt;"",F580,IF(E580="","",IFERROR(INDEX(I_Item!$C$6:$C$255,MATCH(E580,I_Item!$A$6:$A$255,0)),"KODE BARU")))</f>
        <v/>
      </c>
      <c r="H580" s="45"/>
      <c r="I580" s="42"/>
      <c r="J580" s="11" t="str">
        <f aca="false">IF(H580="","",H580*I580)</f>
        <v/>
      </c>
      <c r="K580" s="42"/>
      <c r="L580" s="11" t="str">
        <f aca="false">IF(H580="","",IF(K580&lt;&gt;"",K580,H580*IFERROR(INDEX(O_Stok!$Q$6:$Q$85,MATCH(G580,O_Stok!$A$6:$A$85,0)),0)))</f>
        <v/>
      </c>
      <c r="M580" s="11" t="str">
        <f aca="false">IF(H580="","",J580-L580)</f>
        <v/>
      </c>
      <c r="N580" s="34" t="str">
        <f aca="false">IF(G580="","",IFERROR(INDEX(I_Master!$B$6:$B$85,MATCH(G580,I_Master!$A$6:$A$85,0)),"?"))</f>
        <v/>
      </c>
      <c r="O580" s="34" t="str">
        <f aca="false">IF(G580="","",IFERROR(INDEX(I_Master!$E$6:$E$85,MATCH(G580,I_Master!$A$6:$A$85,0)),"?"))</f>
        <v/>
      </c>
      <c r="P580" s="46" t="str">
        <f aca="false">IF(H580="","",IF(OR(A580&lt;I_Parameter!$C$5,A580&gt;I_Parameter!$C$6),0,IF(B580="Aktual",1,IF(AND(B580="Order",A580&gt;=I_Parameter!$C$4),1,0))))</f>
        <v/>
      </c>
    </row>
    <row r="581" customFormat="false" ht="15" hidden="false" customHeight="false" outlineLevel="0" collapsed="false">
      <c r="A581" s="37"/>
      <c r="B581" s="44"/>
      <c r="C581" s="44"/>
      <c r="D581" s="44"/>
      <c r="E581" s="44"/>
      <c r="F581" s="44"/>
      <c r="G581" s="34" t="str">
        <f aca="false">IF(F581&lt;&gt;"",F581,IF(E581="","",IFERROR(INDEX(I_Item!$C$6:$C$255,MATCH(E581,I_Item!$A$6:$A$255,0)),"KODE BARU")))</f>
        <v/>
      </c>
      <c r="H581" s="45"/>
      <c r="I581" s="42"/>
      <c r="J581" s="11" t="str">
        <f aca="false">IF(H581="","",H581*I581)</f>
        <v/>
      </c>
      <c r="K581" s="42"/>
      <c r="L581" s="11" t="str">
        <f aca="false">IF(H581="","",IF(K581&lt;&gt;"",K581,H581*IFERROR(INDEX(O_Stok!$Q$6:$Q$85,MATCH(G581,O_Stok!$A$6:$A$85,0)),0)))</f>
        <v/>
      </c>
      <c r="M581" s="11" t="str">
        <f aca="false">IF(H581="","",J581-L581)</f>
        <v/>
      </c>
      <c r="N581" s="34" t="str">
        <f aca="false">IF(G581="","",IFERROR(INDEX(I_Master!$B$6:$B$85,MATCH(G581,I_Master!$A$6:$A$85,0)),"?"))</f>
        <v/>
      </c>
      <c r="O581" s="34" t="str">
        <f aca="false">IF(G581="","",IFERROR(INDEX(I_Master!$E$6:$E$85,MATCH(G581,I_Master!$A$6:$A$85,0)),"?"))</f>
        <v/>
      </c>
      <c r="P581" s="46" t="str">
        <f aca="false">IF(H581="","",IF(OR(A581&lt;I_Parameter!$C$5,A581&gt;I_Parameter!$C$6),0,IF(B581="Aktual",1,IF(AND(B581="Order",A581&gt;=I_Parameter!$C$4),1,0))))</f>
        <v/>
      </c>
    </row>
    <row r="582" customFormat="false" ht="15" hidden="false" customHeight="false" outlineLevel="0" collapsed="false">
      <c r="A582" s="37"/>
      <c r="B582" s="44"/>
      <c r="C582" s="44"/>
      <c r="D582" s="44"/>
      <c r="E582" s="44"/>
      <c r="F582" s="44"/>
      <c r="G582" s="34" t="str">
        <f aca="false">IF(F582&lt;&gt;"",F582,IF(E582="","",IFERROR(INDEX(I_Item!$C$6:$C$255,MATCH(E582,I_Item!$A$6:$A$255,0)),"KODE BARU")))</f>
        <v/>
      </c>
      <c r="H582" s="45"/>
      <c r="I582" s="42"/>
      <c r="J582" s="11" t="str">
        <f aca="false">IF(H582="","",H582*I582)</f>
        <v/>
      </c>
      <c r="K582" s="42"/>
      <c r="L582" s="11" t="str">
        <f aca="false">IF(H582="","",IF(K582&lt;&gt;"",K582,H582*IFERROR(INDEX(O_Stok!$Q$6:$Q$85,MATCH(G582,O_Stok!$A$6:$A$85,0)),0)))</f>
        <v/>
      </c>
      <c r="M582" s="11" t="str">
        <f aca="false">IF(H582="","",J582-L582)</f>
        <v/>
      </c>
      <c r="N582" s="34" t="str">
        <f aca="false">IF(G582="","",IFERROR(INDEX(I_Master!$B$6:$B$85,MATCH(G582,I_Master!$A$6:$A$85,0)),"?"))</f>
        <v/>
      </c>
      <c r="O582" s="34" t="str">
        <f aca="false">IF(G582="","",IFERROR(INDEX(I_Master!$E$6:$E$85,MATCH(G582,I_Master!$A$6:$A$85,0)),"?"))</f>
        <v/>
      </c>
      <c r="P582" s="46" t="str">
        <f aca="false">IF(H582="","",IF(OR(A582&lt;I_Parameter!$C$5,A582&gt;I_Parameter!$C$6),0,IF(B582="Aktual",1,IF(AND(B582="Order",A582&gt;=I_Parameter!$C$4),1,0))))</f>
        <v/>
      </c>
    </row>
    <row r="583" customFormat="false" ht="15" hidden="false" customHeight="false" outlineLevel="0" collapsed="false">
      <c r="A583" s="37"/>
      <c r="B583" s="44"/>
      <c r="C583" s="44"/>
      <c r="D583" s="44"/>
      <c r="E583" s="44"/>
      <c r="F583" s="44"/>
      <c r="G583" s="34" t="str">
        <f aca="false">IF(F583&lt;&gt;"",F583,IF(E583="","",IFERROR(INDEX(I_Item!$C$6:$C$255,MATCH(E583,I_Item!$A$6:$A$255,0)),"KODE BARU")))</f>
        <v/>
      </c>
      <c r="H583" s="45"/>
      <c r="I583" s="42"/>
      <c r="J583" s="11" t="str">
        <f aca="false">IF(H583="","",H583*I583)</f>
        <v/>
      </c>
      <c r="K583" s="42"/>
      <c r="L583" s="11" t="str">
        <f aca="false">IF(H583="","",IF(K583&lt;&gt;"",K583,H583*IFERROR(INDEX(O_Stok!$Q$6:$Q$85,MATCH(G583,O_Stok!$A$6:$A$85,0)),0)))</f>
        <v/>
      </c>
      <c r="M583" s="11" t="str">
        <f aca="false">IF(H583="","",J583-L583)</f>
        <v/>
      </c>
      <c r="N583" s="34" t="str">
        <f aca="false">IF(G583="","",IFERROR(INDEX(I_Master!$B$6:$B$85,MATCH(G583,I_Master!$A$6:$A$85,0)),"?"))</f>
        <v/>
      </c>
      <c r="O583" s="34" t="str">
        <f aca="false">IF(G583="","",IFERROR(INDEX(I_Master!$E$6:$E$85,MATCH(G583,I_Master!$A$6:$A$85,0)),"?"))</f>
        <v/>
      </c>
      <c r="P583" s="46" t="str">
        <f aca="false">IF(H583="","",IF(OR(A583&lt;I_Parameter!$C$5,A583&gt;I_Parameter!$C$6),0,IF(B583="Aktual",1,IF(AND(B583="Order",A583&gt;=I_Parameter!$C$4),1,0))))</f>
        <v/>
      </c>
    </row>
    <row r="584" customFormat="false" ht="15" hidden="false" customHeight="false" outlineLevel="0" collapsed="false">
      <c r="A584" s="37"/>
      <c r="B584" s="44"/>
      <c r="C584" s="44"/>
      <c r="D584" s="44"/>
      <c r="E584" s="44"/>
      <c r="F584" s="44"/>
      <c r="G584" s="34" t="str">
        <f aca="false">IF(F584&lt;&gt;"",F584,IF(E584="","",IFERROR(INDEX(I_Item!$C$6:$C$255,MATCH(E584,I_Item!$A$6:$A$255,0)),"KODE BARU")))</f>
        <v/>
      </c>
      <c r="H584" s="45"/>
      <c r="I584" s="42"/>
      <c r="J584" s="11" t="str">
        <f aca="false">IF(H584="","",H584*I584)</f>
        <v/>
      </c>
      <c r="K584" s="42"/>
      <c r="L584" s="11" t="str">
        <f aca="false">IF(H584="","",IF(K584&lt;&gt;"",K584,H584*IFERROR(INDEX(O_Stok!$Q$6:$Q$85,MATCH(G584,O_Stok!$A$6:$A$85,0)),0)))</f>
        <v/>
      </c>
      <c r="M584" s="11" t="str">
        <f aca="false">IF(H584="","",J584-L584)</f>
        <v/>
      </c>
      <c r="N584" s="34" t="str">
        <f aca="false">IF(G584="","",IFERROR(INDEX(I_Master!$B$6:$B$85,MATCH(G584,I_Master!$A$6:$A$85,0)),"?"))</f>
        <v/>
      </c>
      <c r="O584" s="34" t="str">
        <f aca="false">IF(G584="","",IFERROR(INDEX(I_Master!$E$6:$E$85,MATCH(G584,I_Master!$A$6:$A$85,0)),"?"))</f>
        <v/>
      </c>
      <c r="P584" s="46" t="str">
        <f aca="false">IF(H584="","",IF(OR(A584&lt;I_Parameter!$C$5,A584&gt;I_Parameter!$C$6),0,IF(B584="Aktual",1,IF(AND(B584="Order",A584&gt;=I_Parameter!$C$4),1,0))))</f>
        <v/>
      </c>
    </row>
    <row r="585" customFormat="false" ht="15" hidden="false" customHeight="false" outlineLevel="0" collapsed="false">
      <c r="A585" s="37"/>
      <c r="B585" s="44"/>
      <c r="C585" s="44"/>
      <c r="D585" s="44"/>
      <c r="E585" s="44"/>
      <c r="F585" s="44"/>
      <c r="G585" s="34" t="str">
        <f aca="false">IF(F585&lt;&gt;"",F585,IF(E585="","",IFERROR(INDEX(I_Item!$C$6:$C$255,MATCH(E585,I_Item!$A$6:$A$255,0)),"KODE BARU")))</f>
        <v/>
      </c>
      <c r="H585" s="45"/>
      <c r="I585" s="42"/>
      <c r="J585" s="11" t="str">
        <f aca="false">IF(H585="","",H585*I585)</f>
        <v/>
      </c>
      <c r="K585" s="42"/>
      <c r="L585" s="11" t="str">
        <f aca="false">IF(H585="","",IF(K585&lt;&gt;"",K585,H585*IFERROR(INDEX(O_Stok!$Q$6:$Q$85,MATCH(G585,O_Stok!$A$6:$A$85,0)),0)))</f>
        <v/>
      </c>
      <c r="M585" s="11" t="str">
        <f aca="false">IF(H585="","",J585-L585)</f>
        <v/>
      </c>
      <c r="N585" s="34" t="str">
        <f aca="false">IF(G585="","",IFERROR(INDEX(I_Master!$B$6:$B$85,MATCH(G585,I_Master!$A$6:$A$85,0)),"?"))</f>
        <v/>
      </c>
      <c r="O585" s="34" t="str">
        <f aca="false">IF(G585="","",IFERROR(INDEX(I_Master!$E$6:$E$85,MATCH(G585,I_Master!$A$6:$A$85,0)),"?"))</f>
        <v/>
      </c>
      <c r="P585" s="46" t="str">
        <f aca="false">IF(H585="","",IF(OR(A585&lt;I_Parameter!$C$5,A585&gt;I_Parameter!$C$6),0,IF(B585="Aktual",1,IF(AND(B585="Order",A585&gt;=I_Parameter!$C$4),1,0))))</f>
        <v/>
      </c>
    </row>
    <row r="586" customFormat="false" ht="15" hidden="false" customHeight="false" outlineLevel="0" collapsed="false">
      <c r="A586" s="37"/>
      <c r="B586" s="44"/>
      <c r="C586" s="44"/>
      <c r="D586" s="44"/>
      <c r="E586" s="44"/>
      <c r="F586" s="44"/>
      <c r="G586" s="34" t="str">
        <f aca="false">IF(F586&lt;&gt;"",F586,IF(E586="","",IFERROR(INDEX(I_Item!$C$6:$C$255,MATCH(E586,I_Item!$A$6:$A$255,0)),"KODE BARU")))</f>
        <v/>
      </c>
      <c r="H586" s="45"/>
      <c r="I586" s="42"/>
      <c r="J586" s="11" t="str">
        <f aca="false">IF(H586="","",H586*I586)</f>
        <v/>
      </c>
      <c r="K586" s="42"/>
      <c r="L586" s="11" t="str">
        <f aca="false">IF(H586="","",IF(K586&lt;&gt;"",K586,H586*IFERROR(INDEX(O_Stok!$Q$6:$Q$85,MATCH(G586,O_Stok!$A$6:$A$85,0)),0)))</f>
        <v/>
      </c>
      <c r="M586" s="11" t="str">
        <f aca="false">IF(H586="","",J586-L586)</f>
        <v/>
      </c>
      <c r="N586" s="34" t="str">
        <f aca="false">IF(G586="","",IFERROR(INDEX(I_Master!$B$6:$B$85,MATCH(G586,I_Master!$A$6:$A$85,0)),"?"))</f>
        <v/>
      </c>
      <c r="O586" s="34" t="str">
        <f aca="false">IF(G586="","",IFERROR(INDEX(I_Master!$E$6:$E$85,MATCH(G586,I_Master!$A$6:$A$85,0)),"?"))</f>
        <v/>
      </c>
      <c r="P586" s="46" t="str">
        <f aca="false">IF(H586="","",IF(OR(A586&lt;I_Parameter!$C$5,A586&gt;I_Parameter!$C$6),0,IF(B586="Aktual",1,IF(AND(B586="Order",A586&gt;=I_Parameter!$C$4),1,0))))</f>
        <v/>
      </c>
    </row>
    <row r="587" customFormat="false" ht="15" hidden="false" customHeight="false" outlineLevel="0" collapsed="false">
      <c r="A587" s="37"/>
      <c r="B587" s="44"/>
      <c r="C587" s="44"/>
      <c r="D587" s="44"/>
      <c r="E587" s="44"/>
      <c r="F587" s="44"/>
      <c r="G587" s="34" t="str">
        <f aca="false">IF(F587&lt;&gt;"",F587,IF(E587="","",IFERROR(INDEX(I_Item!$C$6:$C$255,MATCH(E587,I_Item!$A$6:$A$255,0)),"KODE BARU")))</f>
        <v/>
      </c>
      <c r="H587" s="45"/>
      <c r="I587" s="42"/>
      <c r="J587" s="11" t="str">
        <f aca="false">IF(H587="","",H587*I587)</f>
        <v/>
      </c>
      <c r="K587" s="42"/>
      <c r="L587" s="11" t="str">
        <f aca="false">IF(H587="","",IF(K587&lt;&gt;"",K587,H587*IFERROR(INDEX(O_Stok!$Q$6:$Q$85,MATCH(G587,O_Stok!$A$6:$A$85,0)),0)))</f>
        <v/>
      </c>
      <c r="M587" s="11" t="str">
        <f aca="false">IF(H587="","",J587-L587)</f>
        <v/>
      </c>
      <c r="N587" s="34" t="str">
        <f aca="false">IF(G587="","",IFERROR(INDEX(I_Master!$B$6:$B$85,MATCH(G587,I_Master!$A$6:$A$85,0)),"?"))</f>
        <v/>
      </c>
      <c r="O587" s="34" t="str">
        <f aca="false">IF(G587="","",IFERROR(INDEX(I_Master!$E$6:$E$85,MATCH(G587,I_Master!$A$6:$A$85,0)),"?"))</f>
        <v/>
      </c>
      <c r="P587" s="46" t="str">
        <f aca="false">IF(H587="","",IF(OR(A587&lt;I_Parameter!$C$5,A587&gt;I_Parameter!$C$6),0,IF(B587="Aktual",1,IF(AND(B587="Order",A587&gt;=I_Parameter!$C$4),1,0))))</f>
        <v/>
      </c>
    </row>
    <row r="588" customFormat="false" ht="15" hidden="false" customHeight="false" outlineLevel="0" collapsed="false">
      <c r="A588" s="37"/>
      <c r="B588" s="44"/>
      <c r="C588" s="44"/>
      <c r="D588" s="44"/>
      <c r="E588" s="44"/>
      <c r="F588" s="44"/>
      <c r="G588" s="34" t="str">
        <f aca="false">IF(F588&lt;&gt;"",F588,IF(E588="","",IFERROR(INDEX(I_Item!$C$6:$C$255,MATCH(E588,I_Item!$A$6:$A$255,0)),"KODE BARU")))</f>
        <v/>
      </c>
      <c r="H588" s="45"/>
      <c r="I588" s="42"/>
      <c r="J588" s="11" t="str">
        <f aca="false">IF(H588="","",H588*I588)</f>
        <v/>
      </c>
      <c r="K588" s="42"/>
      <c r="L588" s="11" t="str">
        <f aca="false">IF(H588="","",IF(K588&lt;&gt;"",K588,H588*IFERROR(INDEX(O_Stok!$Q$6:$Q$85,MATCH(G588,O_Stok!$A$6:$A$85,0)),0)))</f>
        <v/>
      </c>
      <c r="M588" s="11" t="str">
        <f aca="false">IF(H588="","",J588-L588)</f>
        <v/>
      </c>
      <c r="N588" s="34" t="str">
        <f aca="false">IF(G588="","",IFERROR(INDEX(I_Master!$B$6:$B$85,MATCH(G588,I_Master!$A$6:$A$85,0)),"?"))</f>
        <v/>
      </c>
      <c r="O588" s="34" t="str">
        <f aca="false">IF(G588="","",IFERROR(INDEX(I_Master!$E$6:$E$85,MATCH(G588,I_Master!$A$6:$A$85,0)),"?"))</f>
        <v/>
      </c>
      <c r="P588" s="46" t="str">
        <f aca="false">IF(H588="","",IF(OR(A588&lt;I_Parameter!$C$5,A588&gt;I_Parameter!$C$6),0,IF(B588="Aktual",1,IF(AND(B588="Order",A588&gt;=I_Parameter!$C$4),1,0))))</f>
        <v/>
      </c>
    </row>
    <row r="589" customFormat="false" ht="15" hidden="false" customHeight="false" outlineLevel="0" collapsed="false">
      <c r="A589" s="37"/>
      <c r="B589" s="44"/>
      <c r="C589" s="44"/>
      <c r="D589" s="44"/>
      <c r="E589" s="44"/>
      <c r="F589" s="44"/>
      <c r="G589" s="34" t="str">
        <f aca="false">IF(F589&lt;&gt;"",F589,IF(E589="","",IFERROR(INDEX(I_Item!$C$6:$C$255,MATCH(E589,I_Item!$A$6:$A$255,0)),"KODE BARU")))</f>
        <v/>
      </c>
      <c r="H589" s="45"/>
      <c r="I589" s="42"/>
      <c r="J589" s="11" t="str">
        <f aca="false">IF(H589="","",H589*I589)</f>
        <v/>
      </c>
      <c r="K589" s="42"/>
      <c r="L589" s="11" t="str">
        <f aca="false">IF(H589="","",IF(K589&lt;&gt;"",K589,H589*IFERROR(INDEX(O_Stok!$Q$6:$Q$85,MATCH(G589,O_Stok!$A$6:$A$85,0)),0)))</f>
        <v/>
      </c>
      <c r="M589" s="11" t="str">
        <f aca="false">IF(H589="","",J589-L589)</f>
        <v/>
      </c>
      <c r="N589" s="34" t="str">
        <f aca="false">IF(G589="","",IFERROR(INDEX(I_Master!$B$6:$B$85,MATCH(G589,I_Master!$A$6:$A$85,0)),"?"))</f>
        <v/>
      </c>
      <c r="O589" s="34" t="str">
        <f aca="false">IF(G589="","",IFERROR(INDEX(I_Master!$E$6:$E$85,MATCH(G589,I_Master!$A$6:$A$85,0)),"?"))</f>
        <v/>
      </c>
      <c r="P589" s="46" t="str">
        <f aca="false">IF(H589="","",IF(OR(A589&lt;I_Parameter!$C$5,A589&gt;I_Parameter!$C$6),0,IF(B589="Aktual",1,IF(AND(B589="Order",A589&gt;=I_Parameter!$C$4),1,0))))</f>
        <v/>
      </c>
    </row>
    <row r="590" customFormat="false" ht="15" hidden="false" customHeight="false" outlineLevel="0" collapsed="false">
      <c r="A590" s="37"/>
      <c r="B590" s="44"/>
      <c r="C590" s="44"/>
      <c r="D590" s="44"/>
      <c r="E590" s="44"/>
      <c r="F590" s="44"/>
      <c r="G590" s="34" t="str">
        <f aca="false">IF(F590&lt;&gt;"",F590,IF(E590="","",IFERROR(INDEX(I_Item!$C$6:$C$255,MATCH(E590,I_Item!$A$6:$A$255,0)),"KODE BARU")))</f>
        <v/>
      </c>
      <c r="H590" s="45"/>
      <c r="I590" s="42"/>
      <c r="J590" s="11" t="str">
        <f aca="false">IF(H590="","",H590*I590)</f>
        <v/>
      </c>
      <c r="K590" s="42"/>
      <c r="L590" s="11" t="str">
        <f aca="false">IF(H590="","",IF(K590&lt;&gt;"",K590,H590*IFERROR(INDEX(O_Stok!$Q$6:$Q$85,MATCH(G590,O_Stok!$A$6:$A$85,0)),0)))</f>
        <v/>
      </c>
      <c r="M590" s="11" t="str">
        <f aca="false">IF(H590="","",J590-L590)</f>
        <v/>
      </c>
      <c r="N590" s="34" t="str">
        <f aca="false">IF(G590="","",IFERROR(INDEX(I_Master!$B$6:$B$85,MATCH(G590,I_Master!$A$6:$A$85,0)),"?"))</f>
        <v/>
      </c>
      <c r="O590" s="34" t="str">
        <f aca="false">IF(G590="","",IFERROR(INDEX(I_Master!$E$6:$E$85,MATCH(G590,I_Master!$A$6:$A$85,0)),"?"))</f>
        <v/>
      </c>
      <c r="P590" s="46" t="str">
        <f aca="false">IF(H590="","",IF(OR(A590&lt;I_Parameter!$C$5,A590&gt;I_Parameter!$C$6),0,IF(B590="Aktual",1,IF(AND(B590="Order",A590&gt;=I_Parameter!$C$4),1,0))))</f>
        <v/>
      </c>
    </row>
    <row r="591" customFormat="false" ht="15" hidden="false" customHeight="false" outlineLevel="0" collapsed="false">
      <c r="A591" s="37"/>
      <c r="B591" s="44"/>
      <c r="C591" s="44"/>
      <c r="D591" s="44"/>
      <c r="E591" s="44"/>
      <c r="F591" s="44"/>
      <c r="G591" s="34" t="str">
        <f aca="false">IF(F591&lt;&gt;"",F591,IF(E591="","",IFERROR(INDEX(I_Item!$C$6:$C$255,MATCH(E591,I_Item!$A$6:$A$255,0)),"KODE BARU")))</f>
        <v/>
      </c>
      <c r="H591" s="45"/>
      <c r="I591" s="42"/>
      <c r="J591" s="11" t="str">
        <f aca="false">IF(H591="","",H591*I591)</f>
        <v/>
      </c>
      <c r="K591" s="42"/>
      <c r="L591" s="11" t="str">
        <f aca="false">IF(H591="","",IF(K591&lt;&gt;"",K591,H591*IFERROR(INDEX(O_Stok!$Q$6:$Q$85,MATCH(G591,O_Stok!$A$6:$A$85,0)),0)))</f>
        <v/>
      </c>
      <c r="M591" s="11" t="str">
        <f aca="false">IF(H591="","",J591-L591)</f>
        <v/>
      </c>
      <c r="N591" s="34" t="str">
        <f aca="false">IF(G591="","",IFERROR(INDEX(I_Master!$B$6:$B$85,MATCH(G591,I_Master!$A$6:$A$85,0)),"?"))</f>
        <v/>
      </c>
      <c r="O591" s="34" t="str">
        <f aca="false">IF(G591="","",IFERROR(INDEX(I_Master!$E$6:$E$85,MATCH(G591,I_Master!$A$6:$A$85,0)),"?"))</f>
        <v/>
      </c>
      <c r="P591" s="46" t="str">
        <f aca="false">IF(H591="","",IF(OR(A591&lt;I_Parameter!$C$5,A591&gt;I_Parameter!$C$6),0,IF(B591="Aktual",1,IF(AND(B591="Order",A591&gt;=I_Parameter!$C$4),1,0))))</f>
        <v/>
      </c>
    </row>
    <row r="592" customFormat="false" ht="15" hidden="false" customHeight="false" outlineLevel="0" collapsed="false">
      <c r="A592" s="37"/>
      <c r="B592" s="44"/>
      <c r="C592" s="44"/>
      <c r="D592" s="44"/>
      <c r="E592" s="44"/>
      <c r="F592" s="44"/>
      <c r="G592" s="34" t="str">
        <f aca="false">IF(F592&lt;&gt;"",F592,IF(E592="","",IFERROR(INDEX(I_Item!$C$6:$C$255,MATCH(E592,I_Item!$A$6:$A$255,0)),"KODE BARU")))</f>
        <v/>
      </c>
      <c r="H592" s="45"/>
      <c r="I592" s="42"/>
      <c r="J592" s="11" t="str">
        <f aca="false">IF(H592="","",H592*I592)</f>
        <v/>
      </c>
      <c r="K592" s="42"/>
      <c r="L592" s="11" t="str">
        <f aca="false">IF(H592="","",IF(K592&lt;&gt;"",K592,H592*IFERROR(INDEX(O_Stok!$Q$6:$Q$85,MATCH(G592,O_Stok!$A$6:$A$85,0)),0)))</f>
        <v/>
      </c>
      <c r="M592" s="11" t="str">
        <f aca="false">IF(H592="","",J592-L592)</f>
        <v/>
      </c>
      <c r="N592" s="34" t="str">
        <f aca="false">IF(G592="","",IFERROR(INDEX(I_Master!$B$6:$B$85,MATCH(G592,I_Master!$A$6:$A$85,0)),"?"))</f>
        <v/>
      </c>
      <c r="O592" s="34" t="str">
        <f aca="false">IF(G592="","",IFERROR(INDEX(I_Master!$E$6:$E$85,MATCH(G592,I_Master!$A$6:$A$85,0)),"?"))</f>
        <v/>
      </c>
      <c r="P592" s="46" t="str">
        <f aca="false">IF(H592="","",IF(OR(A592&lt;I_Parameter!$C$5,A592&gt;I_Parameter!$C$6),0,IF(B592="Aktual",1,IF(AND(B592="Order",A592&gt;=I_Parameter!$C$4),1,0))))</f>
        <v/>
      </c>
    </row>
    <row r="593" customFormat="false" ht="15" hidden="false" customHeight="false" outlineLevel="0" collapsed="false">
      <c r="A593" s="37"/>
      <c r="B593" s="44"/>
      <c r="C593" s="44"/>
      <c r="D593" s="44"/>
      <c r="E593" s="44"/>
      <c r="F593" s="44"/>
      <c r="G593" s="34" t="str">
        <f aca="false">IF(F593&lt;&gt;"",F593,IF(E593="","",IFERROR(INDEX(I_Item!$C$6:$C$255,MATCH(E593,I_Item!$A$6:$A$255,0)),"KODE BARU")))</f>
        <v/>
      </c>
      <c r="H593" s="45"/>
      <c r="I593" s="42"/>
      <c r="J593" s="11" t="str">
        <f aca="false">IF(H593="","",H593*I593)</f>
        <v/>
      </c>
      <c r="K593" s="42"/>
      <c r="L593" s="11" t="str">
        <f aca="false">IF(H593="","",IF(K593&lt;&gt;"",K593,H593*IFERROR(INDEX(O_Stok!$Q$6:$Q$85,MATCH(G593,O_Stok!$A$6:$A$85,0)),0)))</f>
        <v/>
      </c>
      <c r="M593" s="11" t="str">
        <f aca="false">IF(H593="","",J593-L593)</f>
        <v/>
      </c>
      <c r="N593" s="34" t="str">
        <f aca="false">IF(G593="","",IFERROR(INDEX(I_Master!$B$6:$B$85,MATCH(G593,I_Master!$A$6:$A$85,0)),"?"))</f>
        <v/>
      </c>
      <c r="O593" s="34" t="str">
        <f aca="false">IF(G593="","",IFERROR(INDEX(I_Master!$E$6:$E$85,MATCH(G593,I_Master!$A$6:$A$85,0)),"?"))</f>
        <v/>
      </c>
      <c r="P593" s="46" t="str">
        <f aca="false">IF(H593="","",IF(OR(A593&lt;I_Parameter!$C$5,A593&gt;I_Parameter!$C$6),0,IF(B593="Aktual",1,IF(AND(B593="Order",A593&gt;=I_Parameter!$C$4),1,0))))</f>
        <v/>
      </c>
    </row>
    <row r="594" customFormat="false" ht="15" hidden="false" customHeight="false" outlineLevel="0" collapsed="false">
      <c r="A594" s="37"/>
      <c r="B594" s="44"/>
      <c r="C594" s="44"/>
      <c r="D594" s="44"/>
      <c r="E594" s="44"/>
      <c r="F594" s="44"/>
      <c r="G594" s="34" t="str">
        <f aca="false">IF(F594&lt;&gt;"",F594,IF(E594="","",IFERROR(INDEX(I_Item!$C$6:$C$255,MATCH(E594,I_Item!$A$6:$A$255,0)),"KODE BARU")))</f>
        <v/>
      </c>
      <c r="H594" s="45"/>
      <c r="I594" s="42"/>
      <c r="J594" s="11" t="str">
        <f aca="false">IF(H594="","",H594*I594)</f>
        <v/>
      </c>
      <c r="K594" s="42"/>
      <c r="L594" s="11" t="str">
        <f aca="false">IF(H594="","",IF(K594&lt;&gt;"",K594,H594*IFERROR(INDEX(O_Stok!$Q$6:$Q$85,MATCH(G594,O_Stok!$A$6:$A$85,0)),0)))</f>
        <v/>
      </c>
      <c r="M594" s="11" t="str">
        <f aca="false">IF(H594="","",J594-L594)</f>
        <v/>
      </c>
      <c r="N594" s="34" t="str">
        <f aca="false">IF(G594="","",IFERROR(INDEX(I_Master!$B$6:$B$85,MATCH(G594,I_Master!$A$6:$A$85,0)),"?"))</f>
        <v/>
      </c>
      <c r="O594" s="34" t="str">
        <f aca="false">IF(G594="","",IFERROR(INDEX(I_Master!$E$6:$E$85,MATCH(G594,I_Master!$A$6:$A$85,0)),"?"))</f>
        <v/>
      </c>
      <c r="P594" s="46" t="str">
        <f aca="false">IF(H594="","",IF(OR(A594&lt;I_Parameter!$C$5,A594&gt;I_Parameter!$C$6),0,IF(B594="Aktual",1,IF(AND(B594="Order",A594&gt;=I_Parameter!$C$4),1,0))))</f>
        <v/>
      </c>
    </row>
    <row r="595" customFormat="false" ht="15" hidden="false" customHeight="false" outlineLevel="0" collapsed="false">
      <c r="A595" s="37"/>
      <c r="B595" s="44"/>
      <c r="C595" s="44"/>
      <c r="D595" s="44"/>
      <c r="E595" s="44"/>
      <c r="F595" s="44"/>
      <c r="G595" s="34" t="str">
        <f aca="false">IF(F595&lt;&gt;"",F595,IF(E595="","",IFERROR(INDEX(I_Item!$C$6:$C$255,MATCH(E595,I_Item!$A$6:$A$255,0)),"KODE BARU")))</f>
        <v/>
      </c>
      <c r="H595" s="45"/>
      <c r="I595" s="42"/>
      <c r="J595" s="11" t="str">
        <f aca="false">IF(H595="","",H595*I595)</f>
        <v/>
      </c>
      <c r="K595" s="42"/>
      <c r="L595" s="11" t="str">
        <f aca="false">IF(H595="","",IF(K595&lt;&gt;"",K595,H595*IFERROR(INDEX(O_Stok!$Q$6:$Q$85,MATCH(G595,O_Stok!$A$6:$A$85,0)),0)))</f>
        <v/>
      </c>
      <c r="M595" s="11" t="str">
        <f aca="false">IF(H595="","",J595-L595)</f>
        <v/>
      </c>
      <c r="N595" s="34" t="str">
        <f aca="false">IF(G595="","",IFERROR(INDEX(I_Master!$B$6:$B$85,MATCH(G595,I_Master!$A$6:$A$85,0)),"?"))</f>
        <v/>
      </c>
      <c r="O595" s="34" t="str">
        <f aca="false">IF(G595="","",IFERROR(INDEX(I_Master!$E$6:$E$85,MATCH(G595,I_Master!$A$6:$A$85,0)),"?"))</f>
        <v/>
      </c>
      <c r="P595" s="46" t="str">
        <f aca="false">IF(H595="","",IF(OR(A595&lt;I_Parameter!$C$5,A595&gt;I_Parameter!$C$6),0,IF(B595="Aktual",1,IF(AND(B595="Order",A595&gt;=I_Parameter!$C$4),1,0))))</f>
        <v/>
      </c>
    </row>
    <row r="596" customFormat="false" ht="15" hidden="false" customHeight="false" outlineLevel="0" collapsed="false">
      <c r="A596" s="37"/>
      <c r="B596" s="44"/>
      <c r="C596" s="44"/>
      <c r="D596" s="44"/>
      <c r="E596" s="44"/>
      <c r="F596" s="44"/>
      <c r="G596" s="34" t="str">
        <f aca="false">IF(F596&lt;&gt;"",F596,IF(E596="","",IFERROR(INDEX(I_Item!$C$6:$C$255,MATCH(E596,I_Item!$A$6:$A$255,0)),"KODE BARU")))</f>
        <v/>
      </c>
      <c r="H596" s="45"/>
      <c r="I596" s="42"/>
      <c r="J596" s="11" t="str">
        <f aca="false">IF(H596="","",H596*I596)</f>
        <v/>
      </c>
      <c r="K596" s="42"/>
      <c r="L596" s="11" t="str">
        <f aca="false">IF(H596="","",IF(K596&lt;&gt;"",K596,H596*IFERROR(INDEX(O_Stok!$Q$6:$Q$85,MATCH(G596,O_Stok!$A$6:$A$85,0)),0)))</f>
        <v/>
      </c>
      <c r="M596" s="11" t="str">
        <f aca="false">IF(H596="","",J596-L596)</f>
        <v/>
      </c>
      <c r="N596" s="34" t="str">
        <f aca="false">IF(G596="","",IFERROR(INDEX(I_Master!$B$6:$B$85,MATCH(G596,I_Master!$A$6:$A$85,0)),"?"))</f>
        <v/>
      </c>
      <c r="O596" s="34" t="str">
        <f aca="false">IF(G596="","",IFERROR(INDEX(I_Master!$E$6:$E$85,MATCH(G596,I_Master!$A$6:$A$85,0)),"?"))</f>
        <v/>
      </c>
      <c r="P596" s="46" t="str">
        <f aca="false">IF(H596="","",IF(OR(A596&lt;I_Parameter!$C$5,A596&gt;I_Parameter!$C$6),0,IF(B596="Aktual",1,IF(AND(B596="Order",A596&gt;=I_Parameter!$C$4),1,0))))</f>
        <v/>
      </c>
    </row>
    <row r="597" customFormat="false" ht="15" hidden="false" customHeight="false" outlineLevel="0" collapsed="false">
      <c r="A597" s="37"/>
      <c r="B597" s="44"/>
      <c r="C597" s="44"/>
      <c r="D597" s="44"/>
      <c r="E597" s="44"/>
      <c r="F597" s="44"/>
      <c r="G597" s="34" t="str">
        <f aca="false">IF(F597&lt;&gt;"",F597,IF(E597="","",IFERROR(INDEX(I_Item!$C$6:$C$255,MATCH(E597,I_Item!$A$6:$A$255,0)),"KODE BARU")))</f>
        <v/>
      </c>
      <c r="H597" s="45"/>
      <c r="I597" s="42"/>
      <c r="J597" s="11" t="str">
        <f aca="false">IF(H597="","",H597*I597)</f>
        <v/>
      </c>
      <c r="K597" s="42"/>
      <c r="L597" s="11" t="str">
        <f aca="false">IF(H597="","",IF(K597&lt;&gt;"",K597,H597*IFERROR(INDEX(O_Stok!$Q$6:$Q$85,MATCH(G597,O_Stok!$A$6:$A$85,0)),0)))</f>
        <v/>
      </c>
      <c r="M597" s="11" t="str">
        <f aca="false">IF(H597="","",J597-L597)</f>
        <v/>
      </c>
      <c r="N597" s="34" t="str">
        <f aca="false">IF(G597="","",IFERROR(INDEX(I_Master!$B$6:$B$85,MATCH(G597,I_Master!$A$6:$A$85,0)),"?"))</f>
        <v/>
      </c>
      <c r="O597" s="34" t="str">
        <f aca="false">IF(G597="","",IFERROR(INDEX(I_Master!$E$6:$E$85,MATCH(G597,I_Master!$A$6:$A$85,0)),"?"))</f>
        <v/>
      </c>
      <c r="P597" s="46" t="str">
        <f aca="false">IF(H597="","",IF(OR(A597&lt;I_Parameter!$C$5,A597&gt;I_Parameter!$C$6),0,IF(B597="Aktual",1,IF(AND(B597="Order",A597&gt;=I_Parameter!$C$4),1,0))))</f>
        <v/>
      </c>
    </row>
    <row r="598" customFormat="false" ht="15" hidden="false" customHeight="false" outlineLevel="0" collapsed="false">
      <c r="A598" s="37"/>
      <c r="B598" s="44"/>
      <c r="C598" s="44"/>
      <c r="D598" s="44"/>
      <c r="E598" s="44"/>
      <c r="F598" s="44"/>
      <c r="G598" s="34" t="str">
        <f aca="false">IF(F598&lt;&gt;"",F598,IF(E598="","",IFERROR(INDEX(I_Item!$C$6:$C$255,MATCH(E598,I_Item!$A$6:$A$255,0)),"KODE BARU")))</f>
        <v/>
      </c>
      <c r="H598" s="45"/>
      <c r="I598" s="42"/>
      <c r="J598" s="11" t="str">
        <f aca="false">IF(H598="","",H598*I598)</f>
        <v/>
      </c>
      <c r="K598" s="42"/>
      <c r="L598" s="11" t="str">
        <f aca="false">IF(H598="","",IF(K598&lt;&gt;"",K598,H598*IFERROR(INDEX(O_Stok!$Q$6:$Q$85,MATCH(G598,O_Stok!$A$6:$A$85,0)),0)))</f>
        <v/>
      </c>
      <c r="M598" s="11" t="str">
        <f aca="false">IF(H598="","",J598-L598)</f>
        <v/>
      </c>
      <c r="N598" s="34" t="str">
        <f aca="false">IF(G598="","",IFERROR(INDEX(I_Master!$B$6:$B$85,MATCH(G598,I_Master!$A$6:$A$85,0)),"?"))</f>
        <v/>
      </c>
      <c r="O598" s="34" t="str">
        <f aca="false">IF(G598="","",IFERROR(INDEX(I_Master!$E$6:$E$85,MATCH(G598,I_Master!$A$6:$A$85,0)),"?"))</f>
        <v/>
      </c>
      <c r="P598" s="46" t="str">
        <f aca="false">IF(H598="","",IF(OR(A598&lt;I_Parameter!$C$5,A598&gt;I_Parameter!$C$6),0,IF(B598="Aktual",1,IF(AND(B598="Order",A598&gt;=I_Parameter!$C$4),1,0))))</f>
        <v/>
      </c>
    </row>
    <row r="599" customFormat="false" ht="15" hidden="false" customHeight="false" outlineLevel="0" collapsed="false">
      <c r="A599" s="37"/>
      <c r="B599" s="44"/>
      <c r="C599" s="44"/>
      <c r="D599" s="44"/>
      <c r="E599" s="44"/>
      <c r="F599" s="44"/>
      <c r="G599" s="34" t="str">
        <f aca="false">IF(F599&lt;&gt;"",F599,IF(E599="","",IFERROR(INDEX(I_Item!$C$6:$C$255,MATCH(E599,I_Item!$A$6:$A$255,0)),"KODE BARU")))</f>
        <v/>
      </c>
      <c r="H599" s="45"/>
      <c r="I599" s="42"/>
      <c r="J599" s="11" t="str">
        <f aca="false">IF(H599="","",H599*I599)</f>
        <v/>
      </c>
      <c r="K599" s="42"/>
      <c r="L599" s="11" t="str">
        <f aca="false">IF(H599="","",IF(K599&lt;&gt;"",K599,H599*IFERROR(INDEX(O_Stok!$Q$6:$Q$85,MATCH(G599,O_Stok!$A$6:$A$85,0)),0)))</f>
        <v/>
      </c>
      <c r="M599" s="11" t="str">
        <f aca="false">IF(H599="","",J599-L599)</f>
        <v/>
      </c>
      <c r="N599" s="34" t="str">
        <f aca="false">IF(G599="","",IFERROR(INDEX(I_Master!$B$6:$B$85,MATCH(G599,I_Master!$A$6:$A$85,0)),"?"))</f>
        <v/>
      </c>
      <c r="O599" s="34" t="str">
        <f aca="false">IF(G599="","",IFERROR(INDEX(I_Master!$E$6:$E$85,MATCH(G599,I_Master!$A$6:$A$85,0)),"?"))</f>
        <v/>
      </c>
      <c r="P599" s="46" t="str">
        <f aca="false">IF(H599="","",IF(OR(A599&lt;I_Parameter!$C$5,A599&gt;I_Parameter!$C$6),0,IF(B599="Aktual",1,IF(AND(B599="Order",A599&gt;=I_Parameter!$C$4),1,0))))</f>
        <v/>
      </c>
    </row>
    <row r="600" customFormat="false" ht="15" hidden="false" customHeight="false" outlineLevel="0" collapsed="false">
      <c r="A600" s="37"/>
      <c r="B600" s="44"/>
      <c r="C600" s="44"/>
      <c r="D600" s="44"/>
      <c r="E600" s="44"/>
      <c r="F600" s="44"/>
      <c r="G600" s="34" t="str">
        <f aca="false">IF(F600&lt;&gt;"",F600,IF(E600="","",IFERROR(INDEX(I_Item!$C$6:$C$255,MATCH(E600,I_Item!$A$6:$A$255,0)),"KODE BARU")))</f>
        <v/>
      </c>
      <c r="H600" s="45"/>
      <c r="I600" s="42"/>
      <c r="J600" s="11" t="str">
        <f aca="false">IF(H600="","",H600*I600)</f>
        <v/>
      </c>
      <c r="K600" s="42"/>
      <c r="L600" s="11" t="str">
        <f aca="false">IF(H600="","",IF(K600&lt;&gt;"",K600,H600*IFERROR(INDEX(O_Stok!$Q$6:$Q$85,MATCH(G600,O_Stok!$A$6:$A$85,0)),0)))</f>
        <v/>
      </c>
      <c r="M600" s="11" t="str">
        <f aca="false">IF(H600="","",J600-L600)</f>
        <v/>
      </c>
      <c r="N600" s="34" t="str">
        <f aca="false">IF(G600="","",IFERROR(INDEX(I_Master!$B$6:$B$85,MATCH(G600,I_Master!$A$6:$A$85,0)),"?"))</f>
        <v/>
      </c>
      <c r="O600" s="34" t="str">
        <f aca="false">IF(G600="","",IFERROR(INDEX(I_Master!$E$6:$E$85,MATCH(G600,I_Master!$A$6:$A$85,0)),"?"))</f>
        <v/>
      </c>
      <c r="P600" s="46" t="str">
        <f aca="false">IF(H600="","",IF(OR(A600&lt;I_Parameter!$C$5,A600&gt;I_Parameter!$C$6),0,IF(B600="Aktual",1,IF(AND(B600="Order",A600&gt;=I_Parameter!$C$4),1,0))))</f>
        <v/>
      </c>
    </row>
    <row r="601" customFormat="false" ht="15" hidden="false" customHeight="false" outlineLevel="0" collapsed="false">
      <c r="A601" s="37"/>
      <c r="B601" s="44"/>
      <c r="C601" s="44"/>
      <c r="D601" s="44"/>
      <c r="E601" s="44"/>
      <c r="F601" s="44"/>
      <c r="G601" s="34" t="str">
        <f aca="false">IF(F601&lt;&gt;"",F601,IF(E601="","",IFERROR(INDEX(I_Item!$C$6:$C$255,MATCH(E601,I_Item!$A$6:$A$255,0)),"KODE BARU")))</f>
        <v/>
      </c>
      <c r="H601" s="45"/>
      <c r="I601" s="42"/>
      <c r="J601" s="11" t="str">
        <f aca="false">IF(H601="","",H601*I601)</f>
        <v/>
      </c>
      <c r="K601" s="42"/>
      <c r="L601" s="11" t="str">
        <f aca="false">IF(H601="","",IF(K601&lt;&gt;"",K601,H601*IFERROR(INDEX(O_Stok!$Q$6:$Q$85,MATCH(G601,O_Stok!$A$6:$A$85,0)),0)))</f>
        <v/>
      </c>
      <c r="M601" s="11" t="str">
        <f aca="false">IF(H601="","",J601-L601)</f>
        <v/>
      </c>
      <c r="N601" s="34" t="str">
        <f aca="false">IF(G601="","",IFERROR(INDEX(I_Master!$B$6:$B$85,MATCH(G601,I_Master!$A$6:$A$85,0)),"?"))</f>
        <v/>
      </c>
      <c r="O601" s="34" t="str">
        <f aca="false">IF(G601="","",IFERROR(INDEX(I_Master!$E$6:$E$85,MATCH(G601,I_Master!$A$6:$A$85,0)),"?"))</f>
        <v/>
      </c>
      <c r="P601" s="46" t="str">
        <f aca="false">IF(H601="","",IF(OR(A601&lt;I_Parameter!$C$5,A601&gt;I_Parameter!$C$6),0,IF(B601="Aktual",1,IF(AND(B601="Order",A601&gt;=I_Parameter!$C$4),1,0))))</f>
        <v/>
      </c>
    </row>
    <row r="602" customFormat="false" ht="15" hidden="false" customHeight="false" outlineLevel="0" collapsed="false">
      <c r="A602" s="37"/>
      <c r="B602" s="44"/>
      <c r="C602" s="44"/>
      <c r="D602" s="44"/>
      <c r="E602" s="44"/>
      <c r="F602" s="44"/>
      <c r="G602" s="34" t="str">
        <f aca="false">IF(F602&lt;&gt;"",F602,IF(E602="","",IFERROR(INDEX(I_Item!$C$6:$C$255,MATCH(E602,I_Item!$A$6:$A$255,0)),"KODE BARU")))</f>
        <v/>
      </c>
      <c r="H602" s="45"/>
      <c r="I602" s="42"/>
      <c r="J602" s="11" t="str">
        <f aca="false">IF(H602="","",H602*I602)</f>
        <v/>
      </c>
      <c r="K602" s="42"/>
      <c r="L602" s="11" t="str">
        <f aca="false">IF(H602="","",IF(K602&lt;&gt;"",K602,H602*IFERROR(INDEX(O_Stok!$Q$6:$Q$85,MATCH(G602,O_Stok!$A$6:$A$85,0)),0)))</f>
        <v/>
      </c>
      <c r="M602" s="11" t="str">
        <f aca="false">IF(H602="","",J602-L602)</f>
        <v/>
      </c>
      <c r="N602" s="34" t="str">
        <f aca="false">IF(G602="","",IFERROR(INDEX(I_Master!$B$6:$B$85,MATCH(G602,I_Master!$A$6:$A$85,0)),"?"))</f>
        <v/>
      </c>
      <c r="O602" s="34" t="str">
        <f aca="false">IF(G602="","",IFERROR(INDEX(I_Master!$E$6:$E$85,MATCH(G602,I_Master!$A$6:$A$85,0)),"?"))</f>
        <v/>
      </c>
      <c r="P602" s="46" t="str">
        <f aca="false">IF(H602="","",IF(OR(A602&lt;I_Parameter!$C$5,A602&gt;I_Parameter!$C$6),0,IF(B602="Aktual",1,IF(AND(B602="Order",A602&gt;=I_Parameter!$C$4),1,0))))</f>
        <v/>
      </c>
    </row>
    <row r="603" customFormat="false" ht="15" hidden="false" customHeight="false" outlineLevel="0" collapsed="false">
      <c r="A603" s="37"/>
      <c r="B603" s="44"/>
      <c r="C603" s="44"/>
      <c r="D603" s="44"/>
      <c r="E603" s="44"/>
      <c r="F603" s="44"/>
      <c r="G603" s="34" t="str">
        <f aca="false">IF(F603&lt;&gt;"",F603,IF(E603="","",IFERROR(INDEX(I_Item!$C$6:$C$255,MATCH(E603,I_Item!$A$6:$A$255,0)),"KODE BARU")))</f>
        <v/>
      </c>
      <c r="H603" s="45"/>
      <c r="I603" s="42"/>
      <c r="J603" s="11" t="str">
        <f aca="false">IF(H603="","",H603*I603)</f>
        <v/>
      </c>
      <c r="K603" s="42"/>
      <c r="L603" s="11" t="str">
        <f aca="false">IF(H603="","",IF(K603&lt;&gt;"",K603,H603*IFERROR(INDEX(O_Stok!$Q$6:$Q$85,MATCH(G603,O_Stok!$A$6:$A$85,0)),0)))</f>
        <v/>
      </c>
      <c r="M603" s="11" t="str">
        <f aca="false">IF(H603="","",J603-L603)</f>
        <v/>
      </c>
      <c r="N603" s="34" t="str">
        <f aca="false">IF(G603="","",IFERROR(INDEX(I_Master!$B$6:$B$85,MATCH(G603,I_Master!$A$6:$A$85,0)),"?"))</f>
        <v/>
      </c>
      <c r="O603" s="34" t="str">
        <f aca="false">IF(G603="","",IFERROR(INDEX(I_Master!$E$6:$E$85,MATCH(G603,I_Master!$A$6:$A$85,0)),"?"))</f>
        <v/>
      </c>
      <c r="P603" s="46" t="str">
        <f aca="false">IF(H603="","",IF(OR(A603&lt;I_Parameter!$C$5,A603&gt;I_Parameter!$C$6),0,IF(B603="Aktual",1,IF(AND(B603="Order",A603&gt;=I_Parameter!$C$4),1,0))))</f>
        <v/>
      </c>
    </row>
    <row r="604" customFormat="false" ht="15" hidden="false" customHeight="false" outlineLevel="0" collapsed="false">
      <c r="A604" s="37"/>
      <c r="B604" s="44"/>
      <c r="C604" s="44"/>
      <c r="D604" s="44"/>
      <c r="E604" s="44"/>
      <c r="F604" s="44"/>
      <c r="G604" s="34" t="str">
        <f aca="false">IF(F604&lt;&gt;"",F604,IF(E604="","",IFERROR(INDEX(I_Item!$C$6:$C$255,MATCH(E604,I_Item!$A$6:$A$255,0)),"KODE BARU")))</f>
        <v/>
      </c>
      <c r="H604" s="45"/>
      <c r="I604" s="42"/>
      <c r="J604" s="11" t="str">
        <f aca="false">IF(H604="","",H604*I604)</f>
        <v/>
      </c>
      <c r="K604" s="42"/>
      <c r="L604" s="11" t="str">
        <f aca="false">IF(H604="","",IF(K604&lt;&gt;"",K604,H604*IFERROR(INDEX(O_Stok!$Q$6:$Q$85,MATCH(G604,O_Stok!$A$6:$A$85,0)),0)))</f>
        <v/>
      </c>
      <c r="M604" s="11" t="str">
        <f aca="false">IF(H604="","",J604-L604)</f>
        <v/>
      </c>
      <c r="N604" s="34" t="str">
        <f aca="false">IF(G604="","",IFERROR(INDEX(I_Master!$B$6:$B$85,MATCH(G604,I_Master!$A$6:$A$85,0)),"?"))</f>
        <v/>
      </c>
      <c r="O604" s="34" t="str">
        <f aca="false">IF(G604="","",IFERROR(INDEX(I_Master!$E$6:$E$85,MATCH(G604,I_Master!$A$6:$A$85,0)),"?"))</f>
        <v/>
      </c>
      <c r="P604" s="46" t="str">
        <f aca="false">IF(H604="","",IF(OR(A604&lt;I_Parameter!$C$5,A604&gt;I_Parameter!$C$6),0,IF(B604="Aktual",1,IF(AND(B604="Order",A604&gt;=I_Parameter!$C$4),1,0))))</f>
        <v/>
      </c>
    </row>
    <row r="605" customFormat="false" ht="15" hidden="false" customHeight="false" outlineLevel="0" collapsed="false">
      <c r="A605" s="37"/>
      <c r="B605" s="44"/>
      <c r="C605" s="44"/>
      <c r="D605" s="44"/>
      <c r="E605" s="44"/>
      <c r="F605" s="44"/>
      <c r="G605" s="34" t="str">
        <f aca="false">IF(F605&lt;&gt;"",F605,IF(E605="","",IFERROR(INDEX(I_Item!$C$6:$C$255,MATCH(E605,I_Item!$A$6:$A$255,0)),"KODE BARU")))</f>
        <v/>
      </c>
      <c r="H605" s="45"/>
      <c r="I605" s="42"/>
      <c r="J605" s="11" t="str">
        <f aca="false">IF(H605="","",H605*I605)</f>
        <v/>
      </c>
      <c r="K605" s="42"/>
      <c r="L605" s="11" t="str">
        <f aca="false">IF(H605="","",IF(K605&lt;&gt;"",K605,H605*IFERROR(INDEX(O_Stok!$Q$6:$Q$85,MATCH(G605,O_Stok!$A$6:$A$85,0)),0)))</f>
        <v/>
      </c>
      <c r="M605" s="11" t="str">
        <f aca="false">IF(H605="","",J605-L605)</f>
        <v/>
      </c>
      <c r="N605" s="34" t="str">
        <f aca="false">IF(G605="","",IFERROR(INDEX(I_Master!$B$6:$B$85,MATCH(G605,I_Master!$A$6:$A$85,0)),"?"))</f>
        <v/>
      </c>
      <c r="O605" s="34" t="str">
        <f aca="false">IF(G605="","",IFERROR(INDEX(I_Master!$E$6:$E$85,MATCH(G605,I_Master!$A$6:$A$85,0)),"?"))</f>
        <v/>
      </c>
      <c r="P605" s="46" t="str">
        <f aca="false">IF(H605="","",IF(OR(A605&lt;I_Parameter!$C$5,A605&gt;I_Parameter!$C$6),0,IF(B605="Aktual",1,IF(AND(B605="Order",A605&gt;=I_Parameter!$C$4),1,0))))</f>
        <v/>
      </c>
    </row>
    <row r="606" customFormat="false" ht="15" hidden="false" customHeight="false" outlineLevel="0" collapsed="false">
      <c r="A606" s="37"/>
      <c r="B606" s="44"/>
      <c r="C606" s="44"/>
      <c r="D606" s="44"/>
      <c r="E606" s="44"/>
      <c r="F606" s="44"/>
      <c r="G606" s="34" t="str">
        <f aca="false">IF(F606&lt;&gt;"",F606,IF(E606="","",IFERROR(INDEX(I_Item!$C$6:$C$255,MATCH(E606,I_Item!$A$6:$A$255,0)),"KODE BARU")))</f>
        <v/>
      </c>
      <c r="H606" s="45"/>
      <c r="I606" s="42"/>
      <c r="J606" s="11" t="str">
        <f aca="false">IF(H606="","",H606*I606)</f>
        <v/>
      </c>
      <c r="K606" s="42"/>
      <c r="L606" s="11" t="str">
        <f aca="false">IF(H606="","",IF(K606&lt;&gt;"",K606,H606*IFERROR(INDEX(O_Stok!$Q$6:$Q$85,MATCH(G606,O_Stok!$A$6:$A$85,0)),0)))</f>
        <v/>
      </c>
      <c r="M606" s="11" t="str">
        <f aca="false">IF(H606="","",J606-L606)</f>
        <v/>
      </c>
      <c r="N606" s="34" t="str">
        <f aca="false">IF(G606="","",IFERROR(INDEX(I_Master!$B$6:$B$85,MATCH(G606,I_Master!$A$6:$A$85,0)),"?"))</f>
        <v/>
      </c>
      <c r="O606" s="34" t="str">
        <f aca="false">IF(G606="","",IFERROR(INDEX(I_Master!$E$6:$E$85,MATCH(G606,I_Master!$A$6:$A$85,0)),"?"))</f>
        <v/>
      </c>
      <c r="P606" s="46" t="str">
        <f aca="false">IF(H606="","",IF(OR(A606&lt;I_Parameter!$C$5,A606&gt;I_Parameter!$C$6),0,IF(B606="Aktual",1,IF(AND(B606="Order",A606&gt;=I_Parameter!$C$4),1,0))))</f>
        <v/>
      </c>
    </row>
    <row r="607" customFormat="false" ht="15" hidden="false" customHeight="false" outlineLevel="0" collapsed="false">
      <c r="A607" s="37"/>
      <c r="B607" s="44"/>
      <c r="C607" s="44"/>
      <c r="D607" s="44"/>
      <c r="E607" s="44"/>
      <c r="F607" s="44"/>
      <c r="G607" s="34" t="str">
        <f aca="false">IF(F607&lt;&gt;"",F607,IF(E607="","",IFERROR(INDEX(I_Item!$C$6:$C$255,MATCH(E607,I_Item!$A$6:$A$255,0)),"KODE BARU")))</f>
        <v/>
      </c>
      <c r="H607" s="45"/>
      <c r="I607" s="42"/>
      <c r="J607" s="11" t="str">
        <f aca="false">IF(H607="","",H607*I607)</f>
        <v/>
      </c>
      <c r="K607" s="42"/>
      <c r="L607" s="11" t="str">
        <f aca="false">IF(H607="","",IF(K607&lt;&gt;"",K607,H607*IFERROR(INDEX(O_Stok!$Q$6:$Q$85,MATCH(G607,O_Stok!$A$6:$A$85,0)),0)))</f>
        <v/>
      </c>
      <c r="M607" s="11" t="str">
        <f aca="false">IF(H607="","",J607-L607)</f>
        <v/>
      </c>
      <c r="N607" s="34" t="str">
        <f aca="false">IF(G607="","",IFERROR(INDEX(I_Master!$B$6:$B$85,MATCH(G607,I_Master!$A$6:$A$85,0)),"?"))</f>
        <v/>
      </c>
      <c r="O607" s="34" t="str">
        <f aca="false">IF(G607="","",IFERROR(INDEX(I_Master!$E$6:$E$85,MATCH(G607,I_Master!$A$6:$A$85,0)),"?"))</f>
        <v/>
      </c>
      <c r="P607" s="46" t="str">
        <f aca="false">IF(H607="","",IF(OR(A607&lt;I_Parameter!$C$5,A607&gt;I_Parameter!$C$6),0,IF(B607="Aktual",1,IF(AND(B607="Order",A607&gt;=I_Parameter!$C$4),1,0))))</f>
        <v/>
      </c>
    </row>
    <row r="608" customFormat="false" ht="15" hidden="false" customHeight="false" outlineLevel="0" collapsed="false">
      <c r="A608" s="37"/>
      <c r="B608" s="44"/>
      <c r="C608" s="44"/>
      <c r="D608" s="44"/>
      <c r="E608" s="44"/>
      <c r="F608" s="44"/>
      <c r="G608" s="34" t="str">
        <f aca="false">IF(F608&lt;&gt;"",F608,IF(E608="","",IFERROR(INDEX(I_Item!$C$6:$C$255,MATCH(E608,I_Item!$A$6:$A$255,0)),"KODE BARU")))</f>
        <v/>
      </c>
      <c r="H608" s="45"/>
      <c r="I608" s="42"/>
      <c r="J608" s="11" t="str">
        <f aca="false">IF(H608="","",H608*I608)</f>
        <v/>
      </c>
      <c r="K608" s="42"/>
      <c r="L608" s="11" t="str">
        <f aca="false">IF(H608="","",IF(K608&lt;&gt;"",K608,H608*IFERROR(INDEX(O_Stok!$Q$6:$Q$85,MATCH(G608,O_Stok!$A$6:$A$85,0)),0)))</f>
        <v/>
      </c>
      <c r="M608" s="11" t="str">
        <f aca="false">IF(H608="","",J608-L608)</f>
        <v/>
      </c>
      <c r="N608" s="34" t="str">
        <f aca="false">IF(G608="","",IFERROR(INDEX(I_Master!$B$6:$B$85,MATCH(G608,I_Master!$A$6:$A$85,0)),"?"))</f>
        <v/>
      </c>
      <c r="O608" s="34" t="str">
        <f aca="false">IF(G608="","",IFERROR(INDEX(I_Master!$E$6:$E$85,MATCH(G608,I_Master!$A$6:$A$85,0)),"?"))</f>
        <v/>
      </c>
      <c r="P608" s="46" t="str">
        <f aca="false">IF(H608="","",IF(OR(A608&lt;I_Parameter!$C$5,A608&gt;I_Parameter!$C$6),0,IF(B608="Aktual",1,IF(AND(B608="Order",A608&gt;=I_Parameter!$C$4),1,0))))</f>
        <v/>
      </c>
    </row>
    <row r="609" customFormat="false" ht="15" hidden="false" customHeight="false" outlineLevel="0" collapsed="false">
      <c r="A609" s="37"/>
      <c r="B609" s="44"/>
      <c r="C609" s="44"/>
      <c r="D609" s="44"/>
      <c r="E609" s="44"/>
      <c r="F609" s="44"/>
      <c r="G609" s="34" t="str">
        <f aca="false">IF(F609&lt;&gt;"",F609,IF(E609="","",IFERROR(INDEX(I_Item!$C$6:$C$255,MATCH(E609,I_Item!$A$6:$A$255,0)),"KODE BARU")))</f>
        <v/>
      </c>
      <c r="H609" s="45"/>
      <c r="I609" s="42"/>
      <c r="J609" s="11" t="str">
        <f aca="false">IF(H609="","",H609*I609)</f>
        <v/>
      </c>
      <c r="K609" s="42"/>
      <c r="L609" s="11" t="str">
        <f aca="false">IF(H609="","",IF(K609&lt;&gt;"",K609,H609*IFERROR(INDEX(O_Stok!$Q$6:$Q$85,MATCH(G609,O_Stok!$A$6:$A$85,0)),0)))</f>
        <v/>
      </c>
      <c r="M609" s="11" t="str">
        <f aca="false">IF(H609="","",J609-L609)</f>
        <v/>
      </c>
      <c r="N609" s="34" t="str">
        <f aca="false">IF(G609="","",IFERROR(INDEX(I_Master!$B$6:$B$85,MATCH(G609,I_Master!$A$6:$A$85,0)),"?"))</f>
        <v/>
      </c>
      <c r="O609" s="34" t="str">
        <f aca="false">IF(G609="","",IFERROR(INDEX(I_Master!$E$6:$E$85,MATCH(G609,I_Master!$A$6:$A$85,0)),"?"))</f>
        <v/>
      </c>
      <c r="P609" s="46" t="str">
        <f aca="false">IF(H609="","",IF(OR(A609&lt;I_Parameter!$C$5,A609&gt;I_Parameter!$C$6),0,IF(B609="Aktual",1,IF(AND(B609="Order",A609&gt;=I_Parameter!$C$4),1,0))))</f>
        <v/>
      </c>
    </row>
    <row r="610" customFormat="false" ht="15" hidden="false" customHeight="false" outlineLevel="0" collapsed="false">
      <c r="A610" s="37"/>
      <c r="B610" s="44"/>
      <c r="C610" s="44"/>
      <c r="D610" s="44"/>
      <c r="E610" s="44"/>
      <c r="F610" s="44"/>
      <c r="G610" s="34" t="str">
        <f aca="false">IF(F610&lt;&gt;"",F610,IF(E610="","",IFERROR(INDEX(I_Item!$C$6:$C$255,MATCH(E610,I_Item!$A$6:$A$255,0)),"KODE BARU")))</f>
        <v/>
      </c>
      <c r="H610" s="45"/>
      <c r="I610" s="42"/>
      <c r="J610" s="11" t="str">
        <f aca="false">IF(H610="","",H610*I610)</f>
        <v/>
      </c>
      <c r="K610" s="42"/>
      <c r="L610" s="11" t="str">
        <f aca="false">IF(H610="","",IF(K610&lt;&gt;"",K610,H610*IFERROR(INDEX(O_Stok!$Q$6:$Q$85,MATCH(G610,O_Stok!$A$6:$A$85,0)),0)))</f>
        <v/>
      </c>
      <c r="M610" s="11" t="str">
        <f aca="false">IF(H610="","",J610-L610)</f>
        <v/>
      </c>
      <c r="N610" s="34" t="str">
        <f aca="false">IF(G610="","",IFERROR(INDEX(I_Master!$B$6:$B$85,MATCH(G610,I_Master!$A$6:$A$85,0)),"?"))</f>
        <v/>
      </c>
      <c r="O610" s="34" t="str">
        <f aca="false">IF(G610="","",IFERROR(INDEX(I_Master!$E$6:$E$85,MATCH(G610,I_Master!$A$6:$A$85,0)),"?"))</f>
        <v/>
      </c>
      <c r="P610" s="46" t="str">
        <f aca="false">IF(H610="","",IF(OR(A610&lt;I_Parameter!$C$5,A610&gt;I_Parameter!$C$6),0,IF(B610="Aktual",1,IF(AND(B610="Order",A610&gt;=I_Parameter!$C$4),1,0))))</f>
        <v/>
      </c>
    </row>
    <row r="611" customFormat="false" ht="15" hidden="false" customHeight="false" outlineLevel="0" collapsed="false">
      <c r="A611" s="37"/>
      <c r="B611" s="44"/>
      <c r="C611" s="44"/>
      <c r="D611" s="44"/>
      <c r="E611" s="44"/>
      <c r="F611" s="44"/>
      <c r="G611" s="34" t="str">
        <f aca="false">IF(F611&lt;&gt;"",F611,IF(E611="","",IFERROR(INDEX(I_Item!$C$6:$C$255,MATCH(E611,I_Item!$A$6:$A$255,0)),"KODE BARU")))</f>
        <v/>
      </c>
      <c r="H611" s="45"/>
      <c r="I611" s="42"/>
      <c r="J611" s="11" t="str">
        <f aca="false">IF(H611="","",H611*I611)</f>
        <v/>
      </c>
      <c r="K611" s="42"/>
      <c r="L611" s="11" t="str">
        <f aca="false">IF(H611="","",IF(K611&lt;&gt;"",K611,H611*IFERROR(INDEX(O_Stok!$Q$6:$Q$85,MATCH(G611,O_Stok!$A$6:$A$85,0)),0)))</f>
        <v/>
      </c>
      <c r="M611" s="11" t="str">
        <f aca="false">IF(H611="","",J611-L611)</f>
        <v/>
      </c>
      <c r="N611" s="34" t="str">
        <f aca="false">IF(G611="","",IFERROR(INDEX(I_Master!$B$6:$B$85,MATCH(G611,I_Master!$A$6:$A$85,0)),"?"))</f>
        <v/>
      </c>
      <c r="O611" s="34" t="str">
        <f aca="false">IF(G611="","",IFERROR(INDEX(I_Master!$E$6:$E$85,MATCH(G611,I_Master!$A$6:$A$85,0)),"?"))</f>
        <v/>
      </c>
      <c r="P611" s="46" t="str">
        <f aca="false">IF(H611="","",IF(OR(A611&lt;I_Parameter!$C$5,A611&gt;I_Parameter!$C$6),0,IF(B611="Aktual",1,IF(AND(B611="Order",A611&gt;=I_Parameter!$C$4),1,0))))</f>
        <v/>
      </c>
    </row>
    <row r="612" customFormat="false" ht="15" hidden="false" customHeight="false" outlineLevel="0" collapsed="false">
      <c r="A612" s="37"/>
      <c r="B612" s="44"/>
      <c r="C612" s="44"/>
      <c r="D612" s="44"/>
      <c r="E612" s="44"/>
      <c r="F612" s="44"/>
      <c r="G612" s="34" t="str">
        <f aca="false">IF(F612&lt;&gt;"",F612,IF(E612="","",IFERROR(INDEX(I_Item!$C$6:$C$255,MATCH(E612,I_Item!$A$6:$A$255,0)),"KODE BARU")))</f>
        <v/>
      </c>
      <c r="H612" s="45"/>
      <c r="I612" s="42"/>
      <c r="J612" s="11" t="str">
        <f aca="false">IF(H612="","",H612*I612)</f>
        <v/>
      </c>
      <c r="K612" s="42"/>
      <c r="L612" s="11" t="str">
        <f aca="false">IF(H612="","",IF(K612&lt;&gt;"",K612,H612*IFERROR(INDEX(O_Stok!$Q$6:$Q$85,MATCH(G612,O_Stok!$A$6:$A$85,0)),0)))</f>
        <v/>
      </c>
      <c r="M612" s="11" t="str">
        <f aca="false">IF(H612="","",J612-L612)</f>
        <v/>
      </c>
      <c r="N612" s="34" t="str">
        <f aca="false">IF(G612="","",IFERROR(INDEX(I_Master!$B$6:$B$85,MATCH(G612,I_Master!$A$6:$A$85,0)),"?"))</f>
        <v/>
      </c>
      <c r="O612" s="34" t="str">
        <f aca="false">IF(G612="","",IFERROR(INDEX(I_Master!$E$6:$E$85,MATCH(G612,I_Master!$A$6:$A$85,0)),"?"))</f>
        <v/>
      </c>
      <c r="P612" s="46" t="str">
        <f aca="false">IF(H612="","",IF(OR(A612&lt;I_Parameter!$C$5,A612&gt;I_Parameter!$C$6),0,IF(B612="Aktual",1,IF(AND(B612="Order",A612&gt;=I_Parameter!$C$4),1,0))))</f>
        <v/>
      </c>
    </row>
    <row r="613" customFormat="false" ht="15" hidden="false" customHeight="false" outlineLevel="0" collapsed="false">
      <c r="A613" s="37"/>
      <c r="B613" s="44"/>
      <c r="C613" s="44"/>
      <c r="D613" s="44"/>
      <c r="E613" s="44"/>
      <c r="F613" s="44"/>
      <c r="G613" s="34" t="str">
        <f aca="false">IF(F613&lt;&gt;"",F613,IF(E613="","",IFERROR(INDEX(I_Item!$C$6:$C$255,MATCH(E613,I_Item!$A$6:$A$255,0)),"KODE BARU")))</f>
        <v/>
      </c>
      <c r="H613" s="45"/>
      <c r="I613" s="42"/>
      <c r="J613" s="11" t="str">
        <f aca="false">IF(H613="","",H613*I613)</f>
        <v/>
      </c>
      <c r="K613" s="42"/>
      <c r="L613" s="11" t="str">
        <f aca="false">IF(H613="","",IF(K613&lt;&gt;"",K613,H613*IFERROR(INDEX(O_Stok!$Q$6:$Q$85,MATCH(G613,O_Stok!$A$6:$A$85,0)),0)))</f>
        <v/>
      </c>
      <c r="M613" s="11" t="str">
        <f aca="false">IF(H613="","",J613-L613)</f>
        <v/>
      </c>
      <c r="N613" s="34" t="str">
        <f aca="false">IF(G613="","",IFERROR(INDEX(I_Master!$B$6:$B$85,MATCH(G613,I_Master!$A$6:$A$85,0)),"?"))</f>
        <v/>
      </c>
      <c r="O613" s="34" t="str">
        <f aca="false">IF(G613="","",IFERROR(INDEX(I_Master!$E$6:$E$85,MATCH(G613,I_Master!$A$6:$A$85,0)),"?"))</f>
        <v/>
      </c>
      <c r="P613" s="46" t="str">
        <f aca="false">IF(H613="","",IF(OR(A613&lt;I_Parameter!$C$5,A613&gt;I_Parameter!$C$6),0,IF(B613="Aktual",1,IF(AND(B613="Order",A613&gt;=I_Parameter!$C$4),1,0))))</f>
        <v/>
      </c>
    </row>
    <row r="614" customFormat="false" ht="15" hidden="false" customHeight="false" outlineLevel="0" collapsed="false">
      <c r="A614" s="37"/>
      <c r="B614" s="44"/>
      <c r="C614" s="44"/>
      <c r="D614" s="44"/>
      <c r="E614" s="44"/>
      <c r="F614" s="44"/>
      <c r="G614" s="34" t="str">
        <f aca="false">IF(F614&lt;&gt;"",F614,IF(E614="","",IFERROR(INDEX(I_Item!$C$6:$C$255,MATCH(E614,I_Item!$A$6:$A$255,0)),"KODE BARU")))</f>
        <v/>
      </c>
      <c r="H614" s="45"/>
      <c r="I614" s="42"/>
      <c r="J614" s="11" t="str">
        <f aca="false">IF(H614="","",H614*I614)</f>
        <v/>
      </c>
      <c r="K614" s="42"/>
      <c r="L614" s="11" t="str">
        <f aca="false">IF(H614="","",IF(K614&lt;&gt;"",K614,H614*IFERROR(INDEX(O_Stok!$Q$6:$Q$85,MATCH(G614,O_Stok!$A$6:$A$85,0)),0)))</f>
        <v/>
      </c>
      <c r="M614" s="11" t="str">
        <f aca="false">IF(H614="","",J614-L614)</f>
        <v/>
      </c>
      <c r="N614" s="34" t="str">
        <f aca="false">IF(G614="","",IFERROR(INDEX(I_Master!$B$6:$B$85,MATCH(G614,I_Master!$A$6:$A$85,0)),"?"))</f>
        <v/>
      </c>
      <c r="O614" s="34" t="str">
        <f aca="false">IF(G614="","",IFERROR(INDEX(I_Master!$E$6:$E$85,MATCH(G614,I_Master!$A$6:$A$85,0)),"?"))</f>
        <v/>
      </c>
      <c r="P614" s="46" t="str">
        <f aca="false">IF(H614="","",IF(OR(A614&lt;I_Parameter!$C$5,A614&gt;I_Parameter!$C$6),0,IF(B614="Aktual",1,IF(AND(B614="Order",A614&gt;=I_Parameter!$C$4),1,0))))</f>
        <v/>
      </c>
    </row>
    <row r="615" customFormat="false" ht="15" hidden="false" customHeight="false" outlineLevel="0" collapsed="false">
      <c r="A615" s="37"/>
      <c r="B615" s="44"/>
      <c r="C615" s="44"/>
      <c r="D615" s="44"/>
      <c r="E615" s="44"/>
      <c r="F615" s="44"/>
      <c r="G615" s="34" t="str">
        <f aca="false">IF(F615&lt;&gt;"",F615,IF(E615="","",IFERROR(INDEX(I_Item!$C$6:$C$255,MATCH(E615,I_Item!$A$6:$A$255,0)),"KODE BARU")))</f>
        <v/>
      </c>
      <c r="H615" s="45"/>
      <c r="I615" s="42"/>
      <c r="J615" s="11" t="str">
        <f aca="false">IF(H615="","",H615*I615)</f>
        <v/>
      </c>
      <c r="K615" s="42"/>
      <c r="L615" s="11" t="str">
        <f aca="false">IF(H615="","",IF(K615&lt;&gt;"",K615,H615*IFERROR(INDEX(O_Stok!$Q$6:$Q$85,MATCH(G615,O_Stok!$A$6:$A$85,0)),0)))</f>
        <v/>
      </c>
      <c r="M615" s="11" t="str">
        <f aca="false">IF(H615="","",J615-L615)</f>
        <v/>
      </c>
      <c r="N615" s="34" t="str">
        <f aca="false">IF(G615="","",IFERROR(INDEX(I_Master!$B$6:$B$85,MATCH(G615,I_Master!$A$6:$A$85,0)),"?"))</f>
        <v/>
      </c>
      <c r="O615" s="34" t="str">
        <f aca="false">IF(G615="","",IFERROR(INDEX(I_Master!$E$6:$E$85,MATCH(G615,I_Master!$A$6:$A$85,0)),"?"))</f>
        <v/>
      </c>
      <c r="P615" s="46" t="str">
        <f aca="false">IF(H615="","",IF(OR(A615&lt;I_Parameter!$C$5,A615&gt;I_Parameter!$C$6),0,IF(B615="Aktual",1,IF(AND(B615="Order",A615&gt;=I_Parameter!$C$4),1,0))))</f>
        <v/>
      </c>
    </row>
    <row r="616" customFormat="false" ht="15" hidden="false" customHeight="false" outlineLevel="0" collapsed="false">
      <c r="A616" s="37"/>
      <c r="B616" s="44"/>
      <c r="C616" s="44"/>
      <c r="D616" s="44"/>
      <c r="E616" s="44"/>
      <c r="F616" s="44"/>
      <c r="G616" s="34" t="str">
        <f aca="false">IF(F616&lt;&gt;"",F616,IF(E616="","",IFERROR(INDEX(I_Item!$C$6:$C$255,MATCH(E616,I_Item!$A$6:$A$255,0)),"KODE BARU")))</f>
        <v/>
      </c>
      <c r="H616" s="45"/>
      <c r="I616" s="42"/>
      <c r="J616" s="11" t="str">
        <f aca="false">IF(H616="","",H616*I616)</f>
        <v/>
      </c>
      <c r="K616" s="42"/>
      <c r="L616" s="11" t="str">
        <f aca="false">IF(H616="","",IF(K616&lt;&gt;"",K616,H616*IFERROR(INDEX(O_Stok!$Q$6:$Q$85,MATCH(G616,O_Stok!$A$6:$A$85,0)),0)))</f>
        <v/>
      </c>
      <c r="M616" s="11" t="str">
        <f aca="false">IF(H616="","",J616-L616)</f>
        <v/>
      </c>
      <c r="N616" s="34" t="str">
        <f aca="false">IF(G616="","",IFERROR(INDEX(I_Master!$B$6:$B$85,MATCH(G616,I_Master!$A$6:$A$85,0)),"?"))</f>
        <v/>
      </c>
      <c r="O616" s="34" t="str">
        <f aca="false">IF(G616="","",IFERROR(INDEX(I_Master!$E$6:$E$85,MATCH(G616,I_Master!$A$6:$A$85,0)),"?"))</f>
        <v/>
      </c>
      <c r="P616" s="46" t="str">
        <f aca="false">IF(H616="","",IF(OR(A616&lt;I_Parameter!$C$5,A616&gt;I_Parameter!$C$6),0,IF(B616="Aktual",1,IF(AND(B616="Order",A616&gt;=I_Parameter!$C$4),1,0))))</f>
        <v/>
      </c>
    </row>
    <row r="617" customFormat="false" ht="15" hidden="false" customHeight="false" outlineLevel="0" collapsed="false">
      <c r="A617" s="37"/>
      <c r="B617" s="44"/>
      <c r="C617" s="44"/>
      <c r="D617" s="44"/>
      <c r="E617" s="44"/>
      <c r="F617" s="44"/>
      <c r="G617" s="34" t="str">
        <f aca="false">IF(F617&lt;&gt;"",F617,IF(E617="","",IFERROR(INDEX(I_Item!$C$6:$C$255,MATCH(E617,I_Item!$A$6:$A$255,0)),"KODE BARU")))</f>
        <v/>
      </c>
      <c r="H617" s="45"/>
      <c r="I617" s="42"/>
      <c r="J617" s="11" t="str">
        <f aca="false">IF(H617="","",H617*I617)</f>
        <v/>
      </c>
      <c r="K617" s="42"/>
      <c r="L617" s="11" t="str">
        <f aca="false">IF(H617="","",IF(K617&lt;&gt;"",K617,H617*IFERROR(INDEX(O_Stok!$Q$6:$Q$85,MATCH(G617,O_Stok!$A$6:$A$85,0)),0)))</f>
        <v/>
      </c>
      <c r="M617" s="11" t="str">
        <f aca="false">IF(H617="","",J617-L617)</f>
        <v/>
      </c>
      <c r="N617" s="34" t="str">
        <f aca="false">IF(G617="","",IFERROR(INDEX(I_Master!$B$6:$B$85,MATCH(G617,I_Master!$A$6:$A$85,0)),"?"))</f>
        <v/>
      </c>
      <c r="O617" s="34" t="str">
        <f aca="false">IF(G617="","",IFERROR(INDEX(I_Master!$E$6:$E$85,MATCH(G617,I_Master!$A$6:$A$85,0)),"?"))</f>
        <v/>
      </c>
      <c r="P617" s="46" t="str">
        <f aca="false">IF(H617="","",IF(OR(A617&lt;I_Parameter!$C$5,A617&gt;I_Parameter!$C$6),0,IF(B617="Aktual",1,IF(AND(B617="Order",A617&gt;=I_Parameter!$C$4),1,0))))</f>
        <v/>
      </c>
    </row>
    <row r="618" customFormat="false" ht="15" hidden="false" customHeight="false" outlineLevel="0" collapsed="false">
      <c r="A618" s="37"/>
      <c r="B618" s="44"/>
      <c r="C618" s="44"/>
      <c r="D618" s="44"/>
      <c r="E618" s="44"/>
      <c r="F618" s="44"/>
      <c r="G618" s="34" t="str">
        <f aca="false">IF(F618&lt;&gt;"",F618,IF(E618="","",IFERROR(INDEX(I_Item!$C$6:$C$255,MATCH(E618,I_Item!$A$6:$A$255,0)),"KODE BARU")))</f>
        <v/>
      </c>
      <c r="H618" s="45"/>
      <c r="I618" s="42"/>
      <c r="J618" s="11" t="str">
        <f aca="false">IF(H618="","",H618*I618)</f>
        <v/>
      </c>
      <c r="K618" s="42"/>
      <c r="L618" s="11" t="str">
        <f aca="false">IF(H618="","",IF(K618&lt;&gt;"",K618,H618*IFERROR(INDEX(O_Stok!$Q$6:$Q$85,MATCH(G618,O_Stok!$A$6:$A$85,0)),0)))</f>
        <v/>
      </c>
      <c r="M618" s="11" t="str">
        <f aca="false">IF(H618="","",J618-L618)</f>
        <v/>
      </c>
      <c r="N618" s="34" t="str">
        <f aca="false">IF(G618="","",IFERROR(INDEX(I_Master!$B$6:$B$85,MATCH(G618,I_Master!$A$6:$A$85,0)),"?"))</f>
        <v/>
      </c>
      <c r="O618" s="34" t="str">
        <f aca="false">IF(G618="","",IFERROR(INDEX(I_Master!$E$6:$E$85,MATCH(G618,I_Master!$A$6:$A$85,0)),"?"))</f>
        <v/>
      </c>
      <c r="P618" s="46" t="str">
        <f aca="false">IF(H618="","",IF(OR(A618&lt;I_Parameter!$C$5,A618&gt;I_Parameter!$C$6),0,IF(B618="Aktual",1,IF(AND(B618="Order",A618&gt;=I_Parameter!$C$4),1,0))))</f>
        <v/>
      </c>
    </row>
    <row r="619" customFormat="false" ht="15" hidden="false" customHeight="false" outlineLevel="0" collapsed="false">
      <c r="A619" s="37"/>
      <c r="B619" s="44"/>
      <c r="C619" s="44"/>
      <c r="D619" s="44"/>
      <c r="E619" s="44"/>
      <c r="F619" s="44"/>
      <c r="G619" s="34" t="str">
        <f aca="false">IF(F619&lt;&gt;"",F619,IF(E619="","",IFERROR(INDEX(I_Item!$C$6:$C$255,MATCH(E619,I_Item!$A$6:$A$255,0)),"KODE BARU")))</f>
        <v/>
      </c>
      <c r="H619" s="45"/>
      <c r="I619" s="42"/>
      <c r="J619" s="11" t="str">
        <f aca="false">IF(H619="","",H619*I619)</f>
        <v/>
      </c>
      <c r="K619" s="42"/>
      <c r="L619" s="11" t="str">
        <f aca="false">IF(H619="","",IF(K619&lt;&gt;"",K619,H619*IFERROR(INDEX(O_Stok!$Q$6:$Q$85,MATCH(G619,O_Stok!$A$6:$A$85,0)),0)))</f>
        <v/>
      </c>
      <c r="M619" s="11" t="str">
        <f aca="false">IF(H619="","",J619-L619)</f>
        <v/>
      </c>
      <c r="N619" s="34" t="str">
        <f aca="false">IF(G619="","",IFERROR(INDEX(I_Master!$B$6:$B$85,MATCH(G619,I_Master!$A$6:$A$85,0)),"?"))</f>
        <v/>
      </c>
      <c r="O619" s="34" t="str">
        <f aca="false">IF(G619="","",IFERROR(INDEX(I_Master!$E$6:$E$85,MATCH(G619,I_Master!$A$6:$A$85,0)),"?"))</f>
        <v/>
      </c>
      <c r="P619" s="46" t="str">
        <f aca="false">IF(H619="","",IF(OR(A619&lt;I_Parameter!$C$5,A619&gt;I_Parameter!$C$6),0,IF(B619="Aktual",1,IF(AND(B619="Order",A619&gt;=I_Parameter!$C$4),1,0))))</f>
        <v/>
      </c>
    </row>
    <row r="620" customFormat="false" ht="15" hidden="false" customHeight="false" outlineLevel="0" collapsed="false">
      <c r="A620" s="37"/>
      <c r="B620" s="44"/>
      <c r="C620" s="44"/>
      <c r="D620" s="44"/>
      <c r="E620" s="44"/>
      <c r="F620" s="44"/>
      <c r="G620" s="34" t="str">
        <f aca="false">IF(F620&lt;&gt;"",F620,IF(E620="","",IFERROR(INDEX(I_Item!$C$6:$C$255,MATCH(E620,I_Item!$A$6:$A$255,0)),"KODE BARU")))</f>
        <v/>
      </c>
      <c r="H620" s="45"/>
      <c r="I620" s="42"/>
      <c r="J620" s="11" t="str">
        <f aca="false">IF(H620="","",H620*I620)</f>
        <v/>
      </c>
      <c r="K620" s="42"/>
      <c r="L620" s="11" t="str">
        <f aca="false">IF(H620="","",IF(K620&lt;&gt;"",K620,H620*IFERROR(INDEX(O_Stok!$Q$6:$Q$85,MATCH(G620,O_Stok!$A$6:$A$85,0)),0)))</f>
        <v/>
      </c>
      <c r="M620" s="11" t="str">
        <f aca="false">IF(H620="","",J620-L620)</f>
        <v/>
      </c>
      <c r="N620" s="34" t="str">
        <f aca="false">IF(G620="","",IFERROR(INDEX(I_Master!$B$6:$B$85,MATCH(G620,I_Master!$A$6:$A$85,0)),"?"))</f>
        <v/>
      </c>
      <c r="O620" s="34" t="str">
        <f aca="false">IF(G620="","",IFERROR(INDEX(I_Master!$E$6:$E$85,MATCH(G620,I_Master!$A$6:$A$85,0)),"?"))</f>
        <v/>
      </c>
      <c r="P620" s="46" t="str">
        <f aca="false">IF(H620="","",IF(OR(A620&lt;I_Parameter!$C$5,A620&gt;I_Parameter!$C$6),0,IF(B620="Aktual",1,IF(AND(B620="Order",A620&gt;=I_Parameter!$C$4),1,0))))</f>
        <v/>
      </c>
    </row>
    <row r="621" customFormat="false" ht="15" hidden="false" customHeight="false" outlineLevel="0" collapsed="false">
      <c r="A621" s="37"/>
      <c r="B621" s="44"/>
      <c r="C621" s="44"/>
      <c r="D621" s="44"/>
      <c r="E621" s="44"/>
      <c r="F621" s="44"/>
      <c r="G621" s="34" t="str">
        <f aca="false">IF(F621&lt;&gt;"",F621,IF(E621="","",IFERROR(INDEX(I_Item!$C$6:$C$255,MATCH(E621,I_Item!$A$6:$A$255,0)),"KODE BARU")))</f>
        <v/>
      </c>
      <c r="H621" s="45"/>
      <c r="I621" s="42"/>
      <c r="J621" s="11" t="str">
        <f aca="false">IF(H621="","",H621*I621)</f>
        <v/>
      </c>
      <c r="K621" s="42"/>
      <c r="L621" s="11" t="str">
        <f aca="false">IF(H621="","",IF(K621&lt;&gt;"",K621,H621*IFERROR(INDEX(O_Stok!$Q$6:$Q$85,MATCH(G621,O_Stok!$A$6:$A$85,0)),0)))</f>
        <v/>
      </c>
      <c r="M621" s="11" t="str">
        <f aca="false">IF(H621="","",J621-L621)</f>
        <v/>
      </c>
      <c r="N621" s="34" t="str">
        <f aca="false">IF(G621="","",IFERROR(INDEX(I_Master!$B$6:$B$85,MATCH(G621,I_Master!$A$6:$A$85,0)),"?"))</f>
        <v/>
      </c>
      <c r="O621" s="34" t="str">
        <f aca="false">IF(G621="","",IFERROR(INDEX(I_Master!$E$6:$E$85,MATCH(G621,I_Master!$A$6:$A$85,0)),"?"))</f>
        <v/>
      </c>
      <c r="P621" s="46" t="str">
        <f aca="false">IF(H621="","",IF(OR(A621&lt;I_Parameter!$C$5,A621&gt;I_Parameter!$C$6),0,IF(B621="Aktual",1,IF(AND(B621="Order",A621&gt;=I_Parameter!$C$4),1,0))))</f>
        <v/>
      </c>
    </row>
    <row r="622" customFormat="false" ht="15" hidden="false" customHeight="false" outlineLevel="0" collapsed="false">
      <c r="A622" s="37"/>
      <c r="B622" s="44"/>
      <c r="C622" s="44"/>
      <c r="D622" s="44"/>
      <c r="E622" s="44"/>
      <c r="F622" s="44"/>
      <c r="G622" s="34" t="str">
        <f aca="false">IF(F622&lt;&gt;"",F622,IF(E622="","",IFERROR(INDEX(I_Item!$C$6:$C$255,MATCH(E622,I_Item!$A$6:$A$255,0)),"KODE BARU")))</f>
        <v/>
      </c>
      <c r="H622" s="45"/>
      <c r="I622" s="42"/>
      <c r="J622" s="11" t="str">
        <f aca="false">IF(H622="","",H622*I622)</f>
        <v/>
      </c>
      <c r="K622" s="42"/>
      <c r="L622" s="11" t="str">
        <f aca="false">IF(H622="","",IF(K622&lt;&gt;"",K622,H622*IFERROR(INDEX(O_Stok!$Q$6:$Q$85,MATCH(G622,O_Stok!$A$6:$A$85,0)),0)))</f>
        <v/>
      </c>
      <c r="M622" s="11" t="str">
        <f aca="false">IF(H622="","",J622-L622)</f>
        <v/>
      </c>
      <c r="N622" s="34" t="str">
        <f aca="false">IF(G622="","",IFERROR(INDEX(I_Master!$B$6:$B$85,MATCH(G622,I_Master!$A$6:$A$85,0)),"?"))</f>
        <v/>
      </c>
      <c r="O622" s="34" t="str">
        <f aca="false">IF(G622="","",IFERROR(INDEX(I_Master!$E$6:$E$85,MATCH(G622,I_Master!$A$6:$A$85,0)),"?"))</f>
        <v/>
      </c>
      <c r="P622" s="46" t="str">
        <f aca="false">IF(H622="","",IF(OR(A622&lt;I_Parameter!$C$5,A622&gt;I_Parameter!$C$6),0,IF(B622="Aktual",1,IF(AND(B622="Order",A622&gt;=I_Parameter!$C$4),1,0))))</f>
        <v/>
      </c>
    </row>
    <row r="623" customFormat="false" ht="15" hidden="false" customHeight="false" outlineLevel="0" collapsed="false">
      <c r="A623" s="37"/>
      <c r="B623" s="44"/>
      <c r="C623" s="44"/>
      <c r="D623" s="44"/>
      <c r="E623" s="44"/>
      <c r="F623" s="44"/>
      <c r="G623" s="34" t="str">
        <f aca="false">IF(F623&lt;&gt;"",F623,IF(E623="","",IFERROR(INDEX(I_Item!$C$6:$C$255,MATCH(E623,I_Item!$A$6:$A$255,0)),"KODE BARU")))</f>
        <v/>
      </c>
      <c r="H623" s="45"/>
      <c r="I623" s="42"/>
      <c r="J623" s="11" t="str">
        <f aca="false">IF(H623="","",H623*I623)</f>
        <v/>
      </c>
      <c r="K623" s="42"/>
      <c r="L623" s="11" t="str">
        <f aca="false">IF(H623="","",IF(K623&lt;&gt;"",K623,H623*IFERROR(INDEX(O_Stok!$Q$6:$Q$85,MATCH(G623,O_Stok!$A$6:$A$85,0)),0)))</f>
        <v/>
      </c>
      <c r="M623" s="11" t="str">
        <f aca="false">IF(H623="","",J623-L623)</f>
        <v/>
      </c>
      <c r="N623" s="34" t="str">
        <f aca="false">IF(G623="","",IFERROR(INDEX(I_Master!$B$6:$B$85,MATCH(G623,I_Master!$A$6:$A$85,0)),"?"))</f>
        <v/>
      </c>
      <c r="O623" s="34" t="str">
        <f aca="false">IF(G623="","",IFERROR(INDEX(I_Master!$E$6:$E$85,MATCH(G623,I_Master!$A$6:$A$85,0)),"?"))</f>
        <v/>
      </c>
      <c r="P623" s="46" t="str">
        <f aca="false">IF(H623="","",IF(OR(A623&lt;I_Parameter!$C$5,A623&gt;I_Parameter!$C$6),0,IF(B623="Aktual",1,IF(AND(B623="Order",A623&gt;=I_Parameter!$C$4),1,0))))</f>
        <v/>
      </c>
    </row>
    <row r="624" customFormat="false" ht="15" hidden="false" customHeight="false" outlineLevel="0" collapsed="false">
      <c r="A624" s="37"/>
      <c r="B624" s="44"/>
      <c r="C624" s="44"/>
      <c r="D624" s="44"/>
      <c r="E624" s="44"/>
      <c r="F624" s="44"/>
      <c r="G624" s="34" t="str">
        <f aca="false">IF(F624&lt;&gt;"",F624,IF(E624="","",IFERROR(INDEX(I_Item!$C$6:$C$255,MATCH(E624,I_Item!$A$6:$A$255,0)),"KODE BARU")))</f>
        <v/>
      </c>
      <c r="H624" s="45"/>
      <c r="I624" s="42"/>
      <c r="J624" s="11" t="str">
        <f aca="false">IF(H624="","",H624*I624)</f>
        <v/>
      </c>
      <c r="K624" s="42"/>
      <c r="L624" s="11" t="str">
        <f aca="false">IF(H624="","",IF(K624&lt;&gt;"",K624,H624*IFERROR(INDEX(O_Stok!$Q$6:$Q$85,MATCH(G624,O_Stok!$A$6:$A$85,0)),0)))</f>
        <v/>
      </c>
      <c r="M624" s="11" t="str">
        <f aca="false">IF(H624="","",J624-L624)</f>
        <v/>
      </c>
      <c r="N624" s="34" t="str">
        <f aca="false">IF(G624="","",IFERROR(INDEX(I_Master!$B$6:$B$85,MATCH(G624,I_Master!$A$6:$A$85,0)),"?"))</f>
        <v/>
      </c>
      <c r="O624" s="34" t="str">
        <f aca="false">IF(G624="","",IFERROR(INDEX(I_Master!$E$6:$E$85,MATCH(G624,I_Master!$A$6:$A$85,0)),"?"))</f>
        <v/>
      </c>
      <c r="P624" s="46" t="str">
        <f aca="false">IF(H624="","",IF(OR(A624&lt;I_Parameter!$C$5,A624&gt;I_Parameter!$C$6),0,IF(B624="Aktual",1,IF(AND(B624="Order",A624&gt;=I_Parameter!$C$4),1,0))))</f>
        <v/>
      </c>
    </row>
    <row r="625" customFormat="false" ht="15" hidden="false" customHeight="false" outlineLevel="0" collapsed="false">
      <c r="A625" s="37"/>
      <c r="B625" s="44"/>
      <c r="C625" s="44"/>
      <c r="D625" s="44"/>
      <c r="E625" s="44"/>
      <c r="F625" s="44"/>
      <c r="G625" s="34" t="str">
        <f aca="false">IF(F625&lt;&gt;"",F625,IF(E625="","",IFERROR(INDEX(I_Item!$C$6:$C$255,MATCH(E625,I_Item!$A$6:$A$255,0)),"KODE BARU")))</f>
        <v/>
      </c>
      <c r="H625" s="45"/>
      <c r="I625" s="42"/>
      <c r="J625" s="11" t="str">
        <f aca="false">IF(H625="","",H625*I625)</f>
        <v/>
      </c>
      <c r="K625" s="42"/>
      <c r="L625" s="11" t="str">
        <f aca="false">IF(H625="","",IF(K625&lt;&gt;"",K625,H625*IFERROR(INDEX(O_Stok!$Q$6:$Q$85,MATCH(G625,O_Stok!$A$6:$A$85,0)),0)))</f>
        <v/>
      </c>
      <c r="M625" s="11" t="str">
        <f aca="false">IF(H625="","",J625-L625)</f>
        <v/>
      </c>
      <c r="N625" s="34" t="str">
        <f aca="false">IF(G625="","",IFERROR(INDEX(I_Master!$B$6:$B$85,MATCH(G625,I_Master!$A$6:$A$85,0)),"?"))</f>
        <v/>
      </c>
      <c r="O625" s="34" t="str">
        <f aca="false">IF(G625="","",IFERROR(INDEX(I_Master!$E$6:$E$85,MATCH(G625,I_Master!$A$6:$A$85,0)),"?"))</f>
        <v/>
      </c>
      <c r="P625" s="46" t="str">
        <f aca="false">IF(H625="","",IF(OR(A625&lt;I_Parameter!$C$5,A625&gt;I_Parameter!$C$6),0,IF(B625="Aktual",1,IF(AND(B625="Order",A625&gt;=I_Parameter!$C$4),1,0))))</f>
        <v/>
      </c>
    </row>
    <row r="626" customFormat="false" ht="15" hidden="false" customHeight="false" outlineLevel="0" collapsed="false">
      <c r="A626" s="37"/>
      <c r="B626" s="44"/>
      <c r="C626" s="44"/>
      <c r="D626" s="44"/>
      <c r="E626" s="44"/>
      <c r="F626" s="44"/>
      <c r="G626" s="34" t="str">
        <f aca="false">IF(F626&lt;&gt;"",F626,IF(E626="","",IFERROR(INDEX(I_Item!$C$6:$C$255,MATCH(E626,I_Item!$A$6:$A$255,0)),"KODE BARU")))</f>
        <v/>
      </c>
      <c r="H626" s="45"/>
      <c r="I626" s="42"/>
      <c r="J626" s="11" t="str">
        <f aca="false">IF(H626="","",H626*I626)</f>
        <v/>
      </c>
      <c r="K626" s="42"/>
      <c r="L626" s="11" t="str">
        <f aca="false">IF(H626="","",IF(K626&lt;&gt;"",K626,H626*IFERROR(INDEX(O_Stok!$Q$6:$Q$85,MATCH(G626,O_Stok!$A$6:$A$85,0)),0)))</f>
        <v/>
      </c>
      <c r="M626" s="11" t="str">
        <f aca="false">IF(H626="","",J626-L626)</f>
        <v/>
      </c>
      <c r="N626" s="34" t="str">
        <f aca="false">IF(G626="","",IFERROR(INDEX(I_Master!$B$6:$B$85,MATCH(G626,I_Master!$A$6:$A$85,0)),"?"))</f>
        <v/>
      </c>
      <c r="O626" s="34" t="str">
        <f aca="false">IF(G626="","",IFERROR(INDEX(I_Master!$E$6:$E$85,MATCH(G626,I_Master!$A$6:$A$85,0)),"?"))</f>
        <v/>
      </c>
      <c r="P626" s="46" t="str">
        <f aca="false">IF(H626="","",IF(OR(A626&lt;I_Parameter!$C$5,A626&gt;I_Parameter!$C$6),0,IF(B626="Aktual",1,IF(AND(B626="Order",A626&gt;=I_Parameter!$C$4),1,0))))</f>
        <v/>
      </c>
    </row>
    <row r="627" customFormat="false" ht="15" hidden="false" customHeight="false" outlineLevel="0" collapsed="false">
      <c r="A627" s="37"/>
      <c r="B627" s="44"/>
      <c r="C627" s="44"/>
      <c r="D627" s="44"/>
      <c r="E627" s="44"/>
      <c r="F627" s="44"/>
      <c r="G627" s="34" t="str">
        <f aca="false">IF(F627&lt;&gt;"",F627,IF(E627="","",IFERROR(INDEX(I_Item!$C$6:$C$255,MATCH(E627,I_Item!$A$6:$A$255,0)),"KODE BARU")))</f>
        <v/>
      </c>
      <c r="H627" s="45"/>
      <c r="I627" s="42"/>
      <c r="J627" s="11" t="str">
        <f aca="false">IF(H627="","",H627*I627)</f>
        <v/>
      </c>
      <c r="K627" s="42"/>
      <c r="L627" s="11" t="str">
        <f aca="false">IF(H627="","",IF(K627&lt;&gt;"",K627,H627*IFERROR(INDEX(O_Stok!$Q$6:$Q$85,MATCH(G627,O_Stok!$A$6:$A$85,0)),0)))</f>
        <v/>
      </c>
      <c r="M627" s="11" t="str">
        <f aca="false">IF(H627="","",J627-L627)</f>
        <v/>
      </c>
      <c r="N627" s="34" t="str">
        <f aca="false">IF(G627="","",IFERROR(INDEX(I_Master!$B$6:$B$85,MATCH(G627,I_Master!$A$6:$A$85,0)),"?"))</f>
        <v/>
      </c>
      <c r="O627" s="34" t="str">
        <f aca="false">IF(G627="","",IFERROR(INDEX(I_Master!$E$6:$E$85,MATCH(G627,I_Master!$A$6:$A$85,0)),"?"))</f>
        <v/>
      </c>
      <c r="P627" s="46" t="str">
        <f aca="false">IF(H627="","",IF(OR(A627&lt;I_Parameter!$C$5,A627&gt;I_Parameter!$C$6),0,IF(B627="Aktual",1,IF(AND(B627="Order",A627&gt;=I_Parameter!$C$4),1,0))))</f>
        <v/>
      </c>
    </row>
    <row r="628" customFormat="false" ht="15" hidden="false" customHeight="false" outlineLevel="0" collapsed="false">
      <c r="A628" s="37"/>
      <c r="B628" s="44"/>
      <c r="C628" s="44"/>
      <c r="D628" s="44"/>
      <c r="E628" s="44"/>
      <c r="F628" s="44"/>
      <c r="G628" s="34" t="str">
        <f aca="false">IF(F628&lt;&gt;"",F628,IF(E628="","",IFERROR(INDEX(I_Item!$C$6:$C$255,MATCH(E628,I_Item!$A$6:$A$255,0)),"KODE BARU")))</f>
        <v/>
      </c>
      <c r="H628" s="45"/>
      <c r="I628" s="42"/>
      <c r="J628" s="11" t="str">
        <f aca="false">IF(H628="","",H628*I628)</f>
        <v/>
      </c>
      <c r="K628" s="42"/>
      <c r="L628" s="11" t="str">
        <f aca="false">IF(H628="","",IF(K628&lt;&gt;"",K628,H628*IFERROR(INDEX(O_Stok!$Q$6:$Q$85,MATCH(G628,O_Stok!$A$6:$A$85,0)),0)))</f>
        <v/>
      </c>
      <c r="M628" s="11" t="str">
        <f aca="false">IF(H628="","",J628-L628)</f>
        <v/>
      </c>
      <c r="N628" s="34" t="str">
        <f aca="false">IF(G628="","",IFERROR(INDEX(I_Master!$B$6:$B$85,MATCH(G628,I_Master!$A$6:$A$85,0)),"?"))</f>
        <v/>
      </c>
      <c r="O628" s="34" t="str">
        <f aca="false">IF(G628="","",IFERROR(INDEX(I_Master!$E$6:$E$85,MATCH(G628,I_Master!$A$6:$A$85,0)),"?"))</f>
        <v/>
      </c>
      <c r="P628" s="46" t="str">
        <f aca="false">IF(H628="","",IF(OR(A628&lt;I_Parameter!$C$5,A628&gt;I_Parameter!$C$6),0,IF(B628="Aktual",1,IF(AND(B628="Order",A628&gt;=I_Parameter!$C$4),1,0))))</f>
        <v/>
      </c>
    </row>
    <row r="629" customFormat="false" ht="15" hidden="false" customHeight="false" outlineLevel="0" collapsed="false">
      <c r="A629" s="37"/>
      <c r="B629" s="44"/>
      <c r="C629" s="44"/>
      <c r="D629" s="44"/>
      <c r="E629" s="44"/>
      <c r="F629" s="44"/>
      <c r="G629" s="34" t="str">
        <f aca="false">IF(F629&lt;&gt;"",F629,IF(E629="","",IFERROR(INDEX(I_Item!$C$6:$C$255,MATCH(E629,I_Item!$A$6:$A$255,0)),"KODE BARU")))</f>
        <v/>
      </c>
      <c r="H629" s="45"/>
      <c r="I629" s="42"/>
      <c r="J629" s="11" t="str">
        <f aca="false">IF(H629="","",H629*I629)</f>
        <v/>
      </c>
      <c r="K629" s="42"/>
      <c r="L629" s="11" t="str">
        <f aca="false">IF(H629="","",IF(K629&lt;&gt;"",K629,H629*IFERROR(INDEX(O_Stok!$Q$6:$Q$85,MATCH(G629,O_Stok!$A$6:$A$85,0)),0)))</f>
        <v/>
      </c>
      <c r="M629" s="11" t="str">
        <f aca="false">IF(H629="","",J629-L629)</f>
        <v/>
      </c>
      <c r="N629" s="34" t="str">
        <f aca="false">IF(G629="","",IFERROR(INDEX(I_Master!$B$6:$B$85,MATCH(G629,I_Master!$A$6:$A$85,0)),"?"))</f>
        <v/>
      </c>
      <c r="O629" s="34" t="str">
        <f aca="false">IF(G629="","",IFERROR(INDEX(I_Master!$E$6:$E$85,MATCH(G629,I_Master!$A$6:$A$85,0)),"?"))</f>
        <v/>
      </c>
      <c r="P629" s="46" t="str">
        <f aca="false">IF(H629="","",IF(OR(A629&lt;I_Parameter!$C$5,A629&gt;I_Parameter!$C$6),0,IF(B629="Aktual",1,IF(AND(B629="Order",A629&gt;=I_Parameter!$C$4),1,0))))</f>
        <v/>
      </c>
    </row>
    <row r="630" customFormat="false" ht="15" hidden="false" customHeight="false" outlineLevel="0" collapsed="false">
      <c r="A630" s="37"/>
      <c r="B630" s="44"/>
      <c r="C630" s="44"/>
      <c r="D630" s="44"/>
      <c r="E630" s="44"/>
      <c r="F630" s="44"/>
      <c r="G630" s="34" t="str">
        <f aca="false">IF(F630&lt;&gt;"",F630,IF(E630="","",IFERROR(INDEX(I_Item!$C$6:$C$255,MATCH(E630,I_Item!$A$6:$A$255,0)),"KODE BARU")))</f>
        <v/>
      </c>
      <c r="H630" s="45"/>
      <c r="I630" s="42"/>
      <c r="J630" s="11" t="str">
        <f aca="false">IF(H630="","",H630*I630)</f>
        <v/>
      </c>
      <c r="K630" s="42"/>
      <c r="L630" s="11" t="str">
        <f aca="false">IF(H630="","",IF(K630&lt;&gt;"",K630,H630*IFERROR(INDEX(O_Stok!$Q$6:$Q$85,MATCH(G630,O_Stok!$A$6:$A$85,0)),0)))</f>
        <v/>
      </c>
      <c r="M630" s="11" t="str">
        <f aca="false">IF(H630="","",J630-L630)</f>
        <v/>
      </c>
      <c r="N630" s="34" t="str">
        <f aca="false">IF(G630="","",IFERROR(INDEX(I_Master!$B$6:$B$85,MATCH(G630,I_Master!$A$6:$A$85,0)),"?"))</f>
        <v/>
      </c>
      <c r="O630" s="34" t="str">
        <f aca="false">IF(G630="","",IFERROR(INDEX(I_Master!$E$6:$E$85,MATCH(G630,I_Master!$A$6:$A$85,0)),"?"))</f>
        <v/>
      </c>
      <c r="P630" s="46" t="str">
        <f aca="false">IF(H630="","",IF(OR(A630&lt;I_Parameter!$C$5,A630&gt;I_Parameter!$C$6),0,IF(B630="Aktual",1,IF(AND(B630="Order",A630&gt;=I_Parameter!$C$4),1,0))))</f>
        <v/>
      </c>
    </row>
    <row r="631" customFormat="false" ht="15" hidden="false" customHeight="false" outlineLevel="0" collapsed="false">
      <c r="A631" s="37"/>
      <c r="B631" s="44"/>
      <c r="C631" s="44"/>
      <c r="D631" s="44"/>
      <c r="E631" s="44"/>
      <c r="F631" s="44"/>
      <c r="G631" s="34" t="str">
        <f aca="false">IF(F631&lt;&gt;"",F631,IF(E631="","",IFERROR(INDEX(I_Item!$C$6:$C$255,MATCH(E631,I_Item!$A$6:$A$255,0)),"KODE BARU")))</f>
        <v/>
      </c>
      <c r="H631" s="45"/>
      <c r="I631" s="42"/>
      <c r="J631" s="11" t="str">
        <f aca="false">IF(H631="","",H631*I631)</f>
        <v/>
      </c>
      <c r="K631" s="42"/>
      <c r="L631" s="11" t="str">
        <f aca="false">IF(H631="","",IF(K631&lt;&gt;"",K631,H631*IFERROR(INDEX(O_Stok!$Q$6:$Q$85,MATCH(G631,O_Stok!$A$6:$A$85,0)),0)))</f>
        <v/>
      </c>
      <c r="M631" s="11" t="str">
        <f aca="false">IF(H631="","",J631-L631)</f>
        <v/>
      </c>
      <c r="N631" s="34" t="str">
        <f aca="false">IF(G631="","",IFERROR(INDEX(I_Master!$B$6:$B$85,MATCH(G631,I_Master!$A$6:$A$85,0)),"?"))</f>
        <v/>
      </c>
      <c r="O631" s="34" t="str">
        <f aca="false">IF(G631="","",IFERROR(INDEX(I_Master!$E$6:$E$85,MATCH(G631,I_Master!$A$6:$A$85,0)),"?"))</f>
        <v/>
      </c>
      <c r="P631" s="46" t="str">
        <f aca="false">IF(H631="","",IF(OR(A631&lt;I_Parameter!$C$5,A631&gt;I_Parameter!$C$6),0,IF(B631="Aktual",1,IF(AND(B631="Order",A631&gt;=I_Parameter!$C$4),1,0))))</f>
        <v/>
      </c>
    </row>
    <row r="632" customFormat="false" ht="15" hidden="false" customHeight="false" outlineLevel="0" collapsed="false">
      <c r="A632" s="37"/>
      <c r="B632" s="44"/>
      <c r="C632" s="44"/>
      <c r="D632" s="44"/>
      <c r="E632" s="44"/>
      <c r="F632" s="44"/>
      <c r="G632" s="34" t="str">
        <f aca="false">IF(F632&lt;&gt;"",F632,IF(E632="","",IFERROR(INDEX(I_Item!$C$6:$C$255,MATCH(E632,I_Item!$A$6:$A$255,0)),"KODE BARU")))</f>
        <v/>
      </c>
      <c r="H632" s="45"/>
      <c r="I632" s="42"/>
      <c r="J632" s="11" t="str">
        <f aca="false">IF(H632="","",H632*I632)</f>
        <v/>
      </c>
      <c r="K632" s="42"/>
      <c r="L632" s="11" t="str">
        <f aca="false">IF(H632="","",IF(K632&lt;&gt;"",K632,H632*IFERROR(INDEX(O_Stok!$Q$6:$Q$85,MATCH(G632,O_Stok!$A$6:$A$85,0)),0)))</f>
        <v/>
      </c>
      <c r="M632" s="11" t="str">
        <f aca="false">IF(H632="","",J632-L632)</f>
        <v/>
      </c>
      <c r="N632" s="34" t="str">
        <f aca="false">IF(G632="","",IFERROR(INDEX(I_Master!$B$6:$B$85,MATCH(G632,I_Master!$A$6:$A$85,0)),"?"))</f>
        <v/>
      </c>
      <c r="O632" s="34" t="str">
        <f aca="false">IF(G632="","",IFERROR(INDEX(I_Master!$E$6:$E$85,MATCH(G632,I_Master!$A$6:$A$85,0)),"?"))</f>
        <v/>
      </c>
      <c r="P632" s="46" t="str">
        <f aca="false">IF(H632="","",IF(OR(A632&lt;I_Parameter!$C$5,A632&gt;I_Parameter!$C$6),0,IF(B632="Aktual",1,IF(AND(B632="Order",A632&gt;=I_Parameter!$C$4),1,0))))</f>
        <v/>
      </c>
    </row>
    <row r="633" customFormat="false" ht="15" hidden="false" customHeight="false" outlineLevel="0" collapsed="false">
      <c r="A633" s="37"/>
      <c r="B633" s="44"/>
      <c r="C633" s="44"/>
      <c r="D633" s="44"/>
      <c r="E633" s="44"/>
      <c r="F633" s="44"/>
      <c r="G633" s="34" t="str">
        <f aca="false">IF(F633&lt;&gt;"",F633,IF(E633="","",IFERROR(INDEX(I_Item!$C$6:$C$255,MATCH(E633,I_Item!$A$6:$A$255,0)),"KODE BARU")))</f>
        <v/>
      </c>
      <c r="H633" s="45"/>
      <c r="I633" s="42"/>
      <c r="J633" s="11" t="str">
        <f aca="false">IF(H633="","",H633*I633)</f>
        <v/>
      </c>
      <c r="K633" s="42"/>
      <c r="L633" s="11" t="str">
        <f aca="false">IF(H633="","",IF(K633&lt;&gt;"",K633,H633*IFERROR(INDEX(O_Stok!$Q$6:$Q$85,MATCH(G633,O_Stok!$A$6:$A$85,0)),0)))</f>
        <v/>
      </c>
      <c r="M633" s="11" t="str">
        <f aca="false">IF(H633="","",J633-L633)</f>
        <v/>
      </c>
      <c r="N633" s="34" t="str">
        <f aca="false">IF(G633="","",IFERROR(INDEX(I_Master!$B$6:$B$85,MATCH(G633,I_Master!$A$6:$A$85,0)),"?"))</f>
        <v/>
      </c>
      <c r="O633" s="34" t="str">
        <f aca="false">IF(G633="","",IFERROR(INDEX(I_Master!$E$6:$E$85,MATCH(G633,I_Master!$A$6:$A$85,0)),"?"))</f>
        <v/>
      </c>
      <c r="P633" s="46" t="str">
        <f aca="false">IF(H633="","",IF(OR(A633&lt;I_Parameter!$C$5,A633&gt;I_Parameter!$C$6),0,IF(B633="Aktual",1,IF(AND(B633="Order",A633&gt;=I_Parameter!$C$4),1,0))))</f>
        <v/>
      </c>
    </row>
    <row r="634" customFormat="false" ht="15" hidden="false" customHeight="false" outlineLevel="0" collapsed="false">
      <c r="A634" s="37"/>
      <c r="B634" s="44"/>
      <c r="C634" s="44"/>
      <c r="D634" s="44"/>
      <c r="E634" s="44"/>
      <c r="F634" s="44"/>
      <c r="G634" s="34" t="str">
        <f aca="false">IF(F634&lt;&gt;"",F634,IF(E634="","",IFERROR(INDEX(I_Item!$C$6:$C$255,MATCH(E634,I_Item!$A$6:$A$255,0)),"KODE BARU")))</f>
        <v/>
      </c>
      <c r="H634" s="45"/>
      <c r="I634" s="42"/>
      <c r="J634" s="11" t="str">
        <f aca="false">IF(H634="","",H634*I634)</f>
        <v/>
      </c>
      <c r="K634" s="42"/>
      <c r="L634" s="11" t="str">
        <f aca="false">IF(H634="","",IF(K634&lt;&gt;"",K634,H634*IFERROR(INDEX(O_Stok!$Q$6:$Q$85,MATCH(G634,O_Stok!$A$6:$A$85,0)),0)))</f>
        <v/>
      </c>
      <c r="M634" s="11" t="str">
        <f aca="false">IF(H634="","",J634-L634)</f>
        <v/>
      </c>
      <c r="N634" s="34" t="str">
        <f aca="false">IF(G634="","",IFERROR(INDEX(I_Master!$B$6:$B$85,MATCH(G634,I_Master!$A$6:$A$85,0)),"?"))</f>
        <v/>
      </c>
      <c r="O634" s="34" t="str">
        <f aca="false">IF(G634="","",IFERROR(INDEX(I_Master!$E$6:$E$85,MATCH(G634,I_Master!$A$6:$A$85,0)),"?"))</f>
        <v/>
      </c>
      <c r="P634" s="46" t="str">
        <f aca="false">IF(H634="","",IF(OR(A634&lt;I_Parameter!$C$5,A634&gt;I_Parameter!$C$6),0,IF(B634="Aktual",1,IF(AND(B634="Order",A634&gt;=I_Parameter!$C$4),1,0))))</f>
        <v/>
      </c>
    </row>
    <row r="635" customFormat="false" ht="15" hidden="false" customHeight="false" outlineLevel="0" collapsed="false">
      <c r="A635" s="37"/>
      <c r="B635" s="44"/>
      <c r="C635" s="44"/>
      <c r="D635" s="44"/>
      <c r="E635" s="44"/>
      <c r="F635" s="44"/>
      <c r="G635" s="34" t="str">
        <f aca="false">IF(F635&lt;&gt;"",F635,IF(E635="","",IFERROR(INDEX(I_Item!$C$6:$C$255,MATCH(E635,I_Item!$A$6:$A$255,0)),"KODE BARU")))</f>
        <v/>
      </c>
      <c r="H635" s="45"/>
      <c r="I635" s="42"/>
      <c r="J635" s="11" t="str">
        <f aca="false">IF(H635="","",H635*I635)</f>
        <v/>
      </c>
      <c r="K635" s="42"/>
      <c r="L635" s="11" t="str">
        <f aca="false">IF(H635="","",IF(K635&lt;&gt;"",K635,H635*IFERROR(INDEX(O_Stok!$Q$6:$Q$85,MATCH(G635,O_Stok!$A$6:$A$85,0)),0)))</f>
        <v/>
      </c>
      <c r="M635" s="11" t="str">
        <f aca="false">IF(H635="","",J635-L635)</f>
        <v/>
      </c>
      <c r="N635" s="34" t="str">
        <f aca="false">IF(G635="","",IFERROR(INDEX(I_Master!$B$6:$B$85,MATCH(G635,I_Master!$A$6:$A$85,0)),"?"))</f>
        <v/>
      </c>
      <c r="O635" s="34" t="str">
        <f aca="false">IF(G635="","",IFERROR(INDEX(I_Master!$E$6:$E$85,MATCH(G635,I_Master!$A$6:$A$85,0)),"?"))</f>
        <v/>
      </c>
      <c r="P635" s="46" t="str">
        <f aca="false">IF(H635="","",IF(OR(A635&lt;I_Parameter!$C$5,A635&gt;I_Parameter!$C$6),0,IF(B635="Aktual",1,IF(AND(B635="Order",A635&gt;=I_Parameter!$C$4),1,0))))</f>
        <v/>
      </c>
    </row>
    <row r="636" customFormat="false" ht="15" hidden="false" customHeight="false" outlineLevel="0" collapsed="false">
      <c r="A636" s="37"/>
      <c r="B636" s="44"/>
      <c r="C636" s="44"/>
      <c r="D636" s="44"/>
      <c r="E636" s="44"/>
      <c r="F636" s="44"/>
      <c r="G636" s="34" t="str">
        <f aca="false">IF(F636&lt;&gt;"",F636,IF(E636="","",IFERROR(INDEX(I_Item!$C$6:$C$255,MATCH(E636,I_Item!$A$6:$A$255,0)),"KODE BARU")))</f>
        <v/>
      </c>
      <c r="H636" s="45"/>
      <c r="I636" s="42"/>
      <c r="J636" s="11" t="str">
        <f aca="false">IF(H636="","",H636*I636)</f>
        <v/>
      </c>
      <c r="K636" s="42"/>
      <c r="L636" s="11" t="str">
        <f aca="false">IF(H636="","",IF(K636&lt;&gt;"",K636,H636*IFERROR(INDEX(O_Stok!$Q$6:$Q$85,MATCH(G636,O_Stok!$A$6:$A$85,0)),0)))</f>
        <v/>
      </c>
      <c r="M636" s="11" t="str">
        <f aca="false">IF(H636="","",J636-L636)</f>
        <v/>
      </c>
      <c r="N636" s="34" t="str">
        <f aca="false">IF(G636="","",IFERROR(INDEX(I_Master!$B$6:$B$85,MATCH(G636,I_Master!$A$6:$A$85,0)),"?"))</f>
        <v/>
      </c>
      <c r="O636" s="34" t="str">
        <f aca="false">IF(G636="","",IFERROR(INDEX(I_Master!$E$6:$E$85,MATCH(G636,I_Master!$A$6:$A$85,0)),"?"))</f>
        <v/>
      </c>
      <c r="P636" s="46" t="str">
        <f aca="false">IF(H636="","",IF(OR(A636&lt;I_Parameter!$C$5,A636&gt;I_Parameter!$C$6),0,IF(B636="Aktual",1,IF(AND(B636="Order",A636&gt;=I_Parameter!$C$4),1,0))))</f>
        <v/>
      </c>
    </row>
    <row r="637" customFormat="false" ht="15" hidden="false" customHeight="false" outlineLevel="0" collapsed="false">
      <c r="A637" s="37"/>
      <c r="B637" s="44"/>
      <c r="C637" s="44"/>
      <c r="D637" s="44"/>
      <c r="E637" s="44"/>
      <c r="F637" s="44"/>
      <c r="G637" s="34" t="str">
        <f aca="false">IF(F637&lt;&gt;"",F637,IF(E637="","",IFERROR(INDEX(I_Item!$C$6:$C$255,MATCH(E637,I_Item!$A$6:$A$255,0)),"KODE BARU")))</f>
        <v/>
      </c>
      <c r="H637" s="45"/>
      <c r="I637" s="42"/>
      <c r="J637" s="11" t="str">
        <f aca="false">IF(H637="","",H637*I637)</f>
        <v/>
      </c>
      <c r="K637" s="42"/>
      <c r="L637" s="11" t="str">
        <f aca="false">IF(H637="","",IF(K637&lt;&gt;"",K637,H637*IFERROR(INDEX(O_Stok!$Q$6:$Q$85,MATCH(G637,O_Stok!$A$6:$A$85,0)),0)))</f>
        <v/>
      </c>
      <c r="M637" s="11" t="str">
        <f aca="false">IF(H637="","",J637-L637)</f>
        <v/>
      </c>
      <c r="N637" s="34" t="str">
        <f aca="false">IF(G637="","",IFERROR(INDEX(I_Master!$B$6:$B$85,MATCH(G637,I_Master!$A$6:$A$85,0)),"?"))</f>
        <v/>
      </c>
      <c r="O637" s="34" t="str">
        <f aca="false">IF(G637="","",IFERROR(INDEX(I_Master!$E$6:$E$85,MATCH(G637,I_Master!$A$6:$A$85,0)),"?"))</f>
        <v/>
      </c>
      <c r="P637" s="46" t="str">
        <f aca="false">IF(H637="","",IF(OR(A637&lt;I_Parameter!$C$5,A637&gt;I_Parameter!$C$6),0,IF(B637="Aktual",1,IF(AND(B637="Order",A637&gt;=I_Parameter!$C$4),1,0))))</f>
        <v/>
      </c>
    </row>
    <row r="638" customFormat="false" ht="15" hidden="false" customHeight="false" outlineLevel="0" collapsed="false">
      <c r="A638" s="37"/>
      <c r="B638" s="44"/>
      <c r="C638" s="44"/>
      <c r="D638" s="44"/>
      <c r="E638" s="44"/>
      <c r="F638" s="44"/>
      <c r="G638" s="34" t="str">
        <f aca="false">IF(F638&lt;&gt;"",F638,IF(E638="","",IFERROR(INDEX(I_Item!$C$6:$C$255,MATCH(E638,I_Item!$A$6:$A$255,0)),"KODE BARU")))</f>
        <v/>
      </c>
      <c r="H638" s="45"/>
      <c r="I638" s="42"/>
      <c r="J638" s="11" t="str">
        <f aca="false">IF(H638="","",H638*I638)</f>
        <v/>
      </c>
      <c r="K638" s="42"/>
      <c r="L638" s="11" t="str">
        <f aca="false">IF(H638="","",IF(K638&lt;&gt;"",K638,H638*IFERROR(INDEX(O_Stok!$Q$6:$Q$85,MATCH(G638,O_Stok!$A$6:$A$85,0)),0)))</f>
        <v/>
      </c>
      <c r="M638" s="11" t="str">
        <f aca="false">IF(H638="","",J638-L638)</f>
        <v/>
      </c>
      <c r="N638" s="34" t="str">
        <f aca="false">IF(G638="","",IFERROR(INDEX(I_Master!$B$6:$B$85,MATCH(G638,I_Master!$A$6:$A$85,0)),"?"))</f>
        <v/>
      </c>
      <c r="O638" s="34" t="str">
        <f aca="false">IF(G638="","",IFERROR(INDEX(I_Master!$E$6:$E$85,MATCH(G638,I_Master!$A$6:$A$85,0)),"?"))</f>
        <v/>
      </c>
      <c r="P638" s="46" t="str">
        <f aca="false">IF(H638="","",IF(OR(A638&lt;I_Parameter!$C$5,A638&gt;I_Parameter!$C$6),0,IF(B638="Aktual",1,IF(AND(B638="Order",A638&gt;=I_Parameter!$C$4),1,0))))</f>
        <v/>
      </c>
    </row>
    <row r="639" customFormat="false" ht="15" hidden="false" customHeight="false" outlineLevel="0" collapsed="false">
      <c r="A639" s="37"/>
      <c r="B639" s="44"/>
      <c r="C639" s="44"/>
      <c r="D639" s="44"/>
      <c r="E639" s="44"/>
      <c r="F639" s="44"/>
      <c r="G639" s="34" t="str">
        <f aca="false">IF(F639&lt;&gt;"",F639,IF(E639="","",IFERROR(INDEX(I_Item!$C$6:$C$255,MATCH(E639,I_Item!$A$6:$A$255,0)),"KODE BARU")))</f>
        <v/>
      </c>
      <c r="H639" s="45"/>
      <c r="I639" s="42"/>
      <c r="J639" s="11" t="str">
        <f aca="false">IF(H639="","",H639*I639)</f>
        <v/>
      </c>
      <c r="K639" s="42"/>
      <c r="L639" s="11" t="str">
        <f aca="false">IF(H639="","",IF(K639&lt;&gt;"",K639,H639*IFERROR(INDEX(O_Stok!$Q$6:$Q$85,MATCH(G639,O_Stok!$A$6:$A$85,0)),0)))</f>
        <v/>
      </c>
      <c r="M639" s="11" t="str">
        <f aca="false">IF(H639="","",J639-L639)</f>
        <v/>
      </c>
      <c r="N639" s="34" t="str">
        <f aca="false">IF(G639="","",IFERROR(INDEX(I_Master!$B$6:$B$85,MATCH(G639,I_Master!$A$6:$A$85,0)),"?"))</f>
        <v/>
      </c>
      <c r="O639" s="34" t="str">
        <f aca="false">IF(G639="","",IFERROR(INDEX(I_Master!$E$6:$E$85,MATCH(G639,I_Master!$A$6:$A$85,0)),"?"))</f>
        <v/>
      </c>
      <c r="P639" s="46" t="str">
        <f aca="false">IF(H639="","",IF(OR(A639&lt;I_Parameter!$C$5,A639&gt;I_Parameter!$C$6),0,IF(B639="Aktual",1,IF(AND(B639="Order",A639&gt;=I_Parameter!$C$4),1,0))))</f>
        <v/>
      </c>
    </row>
    <row r="640" customFormat="false" ht="15" hidden="false" customHeight="false" outlineLevel="0" collapsed="false">
      <c r="A640" s="37"/>
      <c r="B640" s="44"/>
      <c r="C640" s="44"/>
      <c r="D640" s="44"/>
      <c r="E640" s="44"/>
      <c r="F640" s="44"/>
      <c r="G640" s="34" t="str">
        <f aca="false">IF(F640&lt;&gt;"",F640,IF(E640="","",IFERROR(INDEX(I_Item!$C$6:$C$255,MATCH(E640,I_Item!$A$6:$A$255,0)),"KODE BARU")))</f>
        <v/>
      </c>
      <c r="H640" s="45"/>
      <c r="I640" s="42"/>
      <c r="J640" s="11" t="str">
        <f aca="false">IF(H640="","",H640*I640)</f>
        <v/>
      </c>
      <c r="K640" s="42"/>
      <c r="L640" s="11" t="str">
        <f aca="false">IF(H640="","",IF(K640&lt;&gt;"",K640,H640*IFERROR(INDEX(O_Stok!$Q$6:$Q$85,MATCH(G640,O_Stok!$A$6:$A$85,0)),0)))</f>
        <v/>
      </c>
      <c r="M640" s="11" t="str">
        <f aca="false">IF(H640="","",J640-L640)</f>
        <v/>
      </c>
      <c r="N640" s="34" t="str">
        <f aca="false">IF(G640="","",IFERROR(INDEX(I_Master!$B$6:$B$85,MATCH(G640,I_Master!$A$6:$A$85,0)),"?"))</f>
        <v/>
      </c>
      <c r="O640" s="34" t="str">
        <f aca="false">IF(G640="","",IFERROR(INDEX(I_Master!$E$6:$E$85,MATCH(G640,I_Master!$A$6:$A$85,0)),"?"))</f>
        <v/>
      </c>
      <c r="P640" s="46" t="str">
        <f aca="false">IF(H640="","",IF(OR(A640&lt;I_Parameter!$C$5,A640&gt;I_Parameter!$C$6),0,IF(B640="Aktual",1,IF(AND(B640="Order",A640&gt;=I_Parameter!$C$4),1,0))))</f>
        <v/>
      </c>
    </row>
    <row r="641" customFormat="false" ht="15" hidden="false" customHeight="false" outlineLevel="0" collapsed="false">
      <c r="A641" s="37"/>
      <c r="B641" s="44"/>
      <c r="C641" s="44"/>
      <c r="D641" s="44"/>
      <c r="E641" s="44"/>
      <c r="F641" s="44"/>
      <c r="G641" s="34" t="str">
        <f aca="false">IF(F641&lt;&gt;"",F641,IF(E641="","",IFERROR(INDEX(I_Item!$C$6:$C$255,MATCH(E641,I_Item!$A$6:$A$255,0)),"KODE BARU")))</f>
        <v/>
      </c>
      <c r="H641" s="45"/>
      <c r="I641" s="42"/>
      <c r="J641" s="11" t="str">
        <f aca="false">IF(H641="","",H641*I641)</f>
        <v/>
      </c>
      <c r="K641" s="42"/>
      <c r="L641" s="11" t="str">
        <f aca="false">IF(H641="","",IF(K641&lt;&gt;"",K641,H641*IFERROR(INDEX(O_Stok!$Q$6:$Q$85,MATCH(G641,O_Stok!$A$6:$A$85,0)),0)))</f>
        <v/>
      </c>
      <c r="M641" s="11" t="str">
        <f aca="false">IF(H641="","",J641-L641)</f>
        <v/>
      </c>
      <c r="N641" s="34" t="str">
        <f aca="false">IF(G641="","",IFERROR(INDEX(I_Master!$B$6:$B$85,MATCH(G641,I_Master!$A$6:$A$85,0)),"?"))</f>
        <v/>
      </c>
      <c r="O641" s="34" t="str">
        <f aca="false">IF(G641="","",IFERROR(INDEX(I_Master!$E$6:$E$85,MATCH(G641,I_Master!$A$6:$A$85,0)),"?"))</f>
        <v/>
      </c>
      <c r="P641" s="46" t="str">
        <f aca="false">IF(H641="","",IF(OR(A641&lt;I_Parameter!$C$5,A641&gt;I_Parameter!$C$6),0,IF(B641="Aktual",1,IF(AND(B641="Order",A641&gt;=I_Parameter!$C$4),1,0))))</f>
        <v/>
      </c>
    </row>
    <row r="642" customFormat="false" ht="15" hidden="false" customHeight="false" outlineLevel="0" collapsed="false">
      <c r="A642" s="37"/>
      <c r="B642" s="44"/>
      <c r="C642" s="44"/>
      <c r="D642" s="44"/>
      <c r="E642" s="44"/>
      <c r="F642" s="44"/>
      <c r="G642" s="34" t="str">
        <f aca="false">IF(F642&lt;&gt;"",F642,IF(E642="","",IFERROR(INDEX(I_Item!$C$6:$C$255,MATCH(E642,I_Item!$A$6:$A$255,0)),"KODE BARU")))</f>
        <v/>
      </c>
      <c r="H642" s="45"/>
      <c r="I642" s="42"/>
      <c r="J642" s="11" t="str">
        <f aca="false">IF(H642="","",H642*I642)</f>
        <v/>
      </c>
      <c r="K642" s="42"/>
      <c r="L642" s="11" t="str">
        <f aca="false">IF(H642="","",IF(K642&lt;&gt;"",K642,H642*IFERROR(INDEX(O_Stok!$Q$6:$Q$85,MATCH(G642,O_Stok!$A$6:$A$85,0)),0)))</f>
        <v/>
      </c>
      <c r="M642" s="11" t="str">
        <f aca="false">IF(H642="","",J642-L642)</f>
        <v/>
      </c>
      <c r="N642" s="34" t="str">
        <f aca="false">IF(G642="","",IFERROR(INDEX(I_Master!$B$6:$B$85,MATCH(G642,I_Master!$A$6:$A$85,0)),"?"))</f>
        <v/>
      </c>
      <c r="O642" s="34" t="str">
        <f aca="false">IF(G642="","",IFERROR(INDEX(I_Master!$E$6:$E$85,MATCH(G642,I_Master!$A$6:$A$85,0)),"?"))</f>
        <v/>
      </c>
      <c r="P642" s="46" t="str">
        <f aca="false">IF(H642="","",IF(OR(A642&lt;I_Parameter!$C$5,A642&gt;I_Parameter!$C$6),0,IF(B642="Aktual",1,IF(AND(B642="Order",A642&gt;=I_Parameter!$C$4),1,0))))</f>
        <v/>
      </c>
    </row>
    <row r="643" customFormat="false" ht="15" hidden="false" customHeight="false" outlineLevel="0" collapsed="false">
      <c r="A643" s="37"/>
      <c r="B643" s="44"/>
      <c r="C643" s="44"/>
      <c r="D643" s="44"/>
      <c r="E643" s="44"/>
      <c r="F643" s="44"/>
      <c r="G643" s="34" t="str">
        <f aca="false">IF(F643&lt;&gt;"",F643,IF(E643="","",IFERROR(INDEX(I_Item!$C$6:$C$255,MATCH(E643,I_Item!$A$6:$A$255,0)),"KODE BARU")))</f>
        <v/>
      </c>
      <c r="H643" s="45"/>
      <c r="I643" s="42"/>
      <c r="J643" s="11" t="str">
        <f aca="false">IF(H643="","",H643*I643)</f>
        <v/>
      </c>
      <c r="K643" s="42"/>
      <c r="L643" s="11" t="str">
        <f aca="false">IF(H643="","",IF(K643&lt;&gt;"",K643,H643*IFERROR(INDEX(O_Stok!$Q$6:$Q$85,MATCH(G643,O_Stok!$A$6:$A$85,0)),0)))</f>
        <v/>
      </c>
      <c r="M643" s="11" t="str">
        <f aca="false">IF(H643="","",J643-L643)</f>
        <v/>
      </c>
      <c r="N643" s="34" t="str">
        <f aca="false">IF(G643="","",IFERROR(INDEX(I_Master!$B$6:$B$85,MATCH(G643,I_Master!$A$6:$A$85,0)),"?"))</f>
        <v/>
      </c>
      <c r="O643" s="34" t="str">
        <f aca="false">IF(G643="","",IFERROR(INDEX(I_Master!$E$6:$E$85,MATCH(G643,I_Master!$A$6:$A$85,0)),"?"))</f>
        <v/>
      </c>
      <c r="P643" s="46" t="str">
        <f aca="false">IF(H643="","",IF(OR(A643&lt;I_Parameter!$C$5,A643&gt;I_Parameter!$C$6),0,IF(B643="Aktual",1,IF(AND(B643="Order",A643&gt;=I_Parameter!$C$4),1,0))))</f>
        <v/>
      </c>
    </row>
    <row r="644" customFormat="false" ht="15" hidden="false" customHeight="false" outlineLevel="0" collapsed="false">
      <c r="A644" s="37"/>
      <c r="B644" s="44"/>
      <c r="C644" s="44"/>
      <c r="D644" s="44"/>
      <c r="E644" s="44"/>
      <c r="F644" s="44"/>
      <c r="G644" s="34" t="str">
        <f aca="false">IF(F644&lt;&gt;"",F644,IF(E644="","",IFERROR(INDEX(I_Item!$C$6:$C$255,MATCH(E644,I_Item!$A$6:$A$255,0)),"KODE BARU")))</f>
        <v/>
      </c>
      <c r="H644" s="45"/>
      <c r="I644" s="42"/>
      <c r="J644" s="11" t="str">
        <f aca="false">IF(H644="","",H644*I644)</f>
        <v/>
      </c>
      <c r="K644" s="42"/>
      <c r="L644" s="11" t="str">
        <f aca="false">IF(H644="","",IF(K644&lt;&gt;"",K644,H644*IFERROR(INDEX(O_Stok!$Q$6:$Q$85,MATCH(G644,O_Stok!$A$6:$A$85,0)),0)))</f>
        <v/>
      </c>
      <c r="M644" s="11" t="str">
        <f aca="false">IF(H644="","",J644-L644)</f>
        <v/>
      </c>
      <c r="N644" s="34" t="str">
        <f aca="false">IF(G644="","",IFERROR(INDEX(I_Master!$B$6:$B$85,MATCH(G644,I_Master!$A$6:$A$85,0)),"?"))</f>
        <v/>
      </c>
      <c r="O644" s="34" t="str">
        <f aca="false">IF(G644="","",IFERROR(INDEX(I_Master!$E$6:$E$85,MATCH(G644,I_Master!$A$6:$A$85,0)),"?"))</f>
        <v/>
      </c>
      <c r="P644" s="46" t="str">
        <f aca="false">IF(H644="","",IF(OR(A644&lt;I_Parameter!$C$5,A644&gt;I_Parameter!$C$6),0,IF(B644="Aktual",1,IF(AND(B644="Order",A644&gt;=I_Parameter!$C$4),1,0))))</f>
        <v/>
      </c>
    </row>
    <row r="645" customFormat="false" ht="15" hidden="false" customHeight="false" outlineLevel="0" collapsed="false">
      <c r="A645" s="37"/>
      <c r="B645" s="44"/>
      <c r="C645" s="44"/>
      <c r="D645" s="44"/>
      <c r="E645" s="44"/>
      <c r="F645" s="44"/>
      <c r="G645" s="34" t="str">
        <f aca="false">IF(F645&lt;&gt;"",F645,IF(E645="","",IFERROR(INDEX(I_Item!$C$6:$C$255,MATCH(E645,I_Item!$A$6:$A$255,0)),"KODE BARU")))</f>
        <v/>
      </c>
      <c r="H645" s="45"/>
      <c r="I645" s="42"/>
      <c r="J645" s="11" t="str">
        <f aca="false">IF(H645="","",H645*I645)</f>
        <v/>
      </c>
      <c r="K645" s="42"/>
      <c r="L645" s="11" t="str">
        <f aca="false">IF(H645="","",IF(K645&lt;&gt;"",K645,H645*IFERROR(INDEX(O_Stok!$Q$6:$Q$85,MATCH(G645,O_Stok!$A$6:$A$85,0)),0)))</f>
        <v/>
      </c>
      <c r="M645" s="11" t="str">
        <f aca="false">IF(H645="","",J645-L645)</f>
        <v/>
      </c>
      <c r="N645" s="34" t="str">
        <f aca="false">IF(G645="","",IFERROR(INDEX(I_Master!$B$6:$B$85,MATCH(G645,I_Master!$A$6:$A$85,0)),"?"))</f>
        <v/>
      </c>
      <c r="O645" s="34" t="str">
        <f aca="false">IF(G645="","",IFERROR(INDEX(I_Master!$E$6:$E$85,MATCH(G645,I_Master!$A$6:$A$85,0)),"?"))</f>
        <v/>
      </c>
      <c r="P645" s="46" t="str">
        <f aca="false">IF(H645="","",IF(OR(A645&lt;I_Parameter!$C$5,A645&gt;I_Parameter!$C$6),0,IF(B645="Aktual",1,IF(AND(B645="Order",A645&gt;=I_Parameter!$C$4),1,0))))</f>
        <v/>
      </c>
    </row>
    <row r="646" customFormat="false" ht="15" hidden="false" customHeight="false" outlineLevel="0" collapsed="false">
      <c r="A646" s="37"/>
      <c r="B646" s="44"/>
      <c r="C646" s="44"/>
      <c r="D646" s="44"/>
      <c r="E646" s="44"/>
      <c r="F646" s="44"/>
      <c r="G646" s="34" t="str">
        <f aca="false">IF(F646&lt;&gt;"",F646,IF(E646="","",IFERROR(INDEX(I_Item!$C$6:$C$255,MATCH(E646,I_Item!$A$6:$A$255,0)),"KODE BARU")))</f>
        <v/>
      </c>
      <c r="H646" s="45"/>
      <c r="I646" s="42"/>
      <c r="J646" s="11" t="str">
        <f aca="false">IF(H646="","",H646*I646)</f>
        <v/>
      </c>
      <c r="K646" s="42"/>
      <c r="L646" s="11" t="str">
        <f aca="false">IF(H646="","",IF(K646&lt;&gt;"",K646,H646*IFERROR(INDEX(O_Stok!$Q$6:$Q$85,MATCH(G646,O_Stok!$A$6:$A$85,0)),0)))</f>
        <v/>
      </c>
      <c r="M646" s="11" t="str">
        <f aca="false">IF(H646="","",J646-L646)</f>
        <v/>
      </c>
      <c r="N646" s="34" t="str">
        <f aca="false">IF(G646="","",IFERROR(INDEX(I_Master!$B$6:$B$85,MATCH(G646,I_Master!$A$6:$A$85,0)),"?"))</f>
        <v/>
      </c>
      <c r="O646" s="34" t="str">
        <f aca="false">IF(G646="","",IFERROR(INDEX(I_Master!$E$6:$E$85,MATCH(G646,I_Master!$A$6:$A$85,0)),"?"))</f>
        <v/>
      </c>
      <c r="P646" s="46" t="str">
        <f aca="false">IF(H646="","",IF(OR(A646&lt;I_Parameter!$C$5,A646&gt;I_Parameter!$C$6),0,IF(B646="Aktual",1,IF(AND(B646="Order",A646&gt;=I_Parameter!$C$4),1,0))))</f>
        <v/>
      </c>
    </row>
    <row r="647" customFormat="false" ht="15" hidden="false" customHeight="false" outlineLevel="0" collapsed="false">
      <c r="A647" s="37"/>
      <c r="B647" s="44"/>
      <c r="C647" s="44"/>
      <c r="D647" s="44"/>
      <c r="E647" s="44"/>
      <c r="F647" s="44"/>
      <c r="G647" s="34" t="str">
        <f aca="false">IF(F647&lt;&gt;"",F647,IF(E647="","",IFERROR(INDEX(I_Item!$C$6:$C$255,MATCH(E647,I_Item!$A$6:$A$255,0)),"KODE BARU")))</f>
        <v/>
      </c>
      <c r="H647" s="45"/>
      <c r="I647" s="42"/>
      <c r="J647" s="11" t="str">
        <f aca="false">IF(H647="","",H647*I647)</f>
        <v/>
      </c>
      <c r="K647" s="42"/>
      <c r="L647" s="11" t="str">
        <f aca="false">IF(H647="","",IF(K647&lt;&gt;"",K647,H647*IFERROR(INDEX(O_Stok!$Q$6:$Q$85,MATCH(G647,O_Stok!$A$6:$A$85,0)),0)))</f>
        <v/>
      </c>
      <c r="M647" s="11" t="str">
        <f aca="false">IF(H647="","",J647-L647)</f>
        <v/>
      </c>
      <c r="N647" s="34" t="str">
        <f aca="false">IF(G647="","",IFERROR(INDEX(I_Master!$B$6:$B$85,MATCH(G647,I_Master!$A$6:$A$85,0)),"?"))</f>
        <v/>
      </c>
      <c r="O647" s="34" t="str">
        <f aca="false">IF(G647="","",IFERROR(INDEX(I_Master!$E$6:$E$85,MATCH(G647,I_Master!$A$6:$A$85,0)),"?"))</f>
        <v/>
      </c>
      <c r="P647" s="46" t="str">
        <f aca="false">IF(H647="","",IF(OR(A647&lt;I_Parameter!$C$5,A647&gt;I_Parameter!$C$6),0,IF(B647="Aktual",1,IF(AND(B647="Order",A647&gt;=I_Parameter!$C$4),1,0))))</f>
        <v/>
      </c>
    </row>
    <row r="648" customFormat="false" ht="15" hidden="false" customHeight="false" outlineLevel="0" collapsed="false">
      <c r="A648" s="37"/>
      <c r="B648" s="44"/>
      <c r="C648" s="44"/>
      <c r="D648" s="44"/>
      <c r="E648" s="44"/>
      <c r="F648" s="44"/>
      <c r="G648" s="34" t="str">
        <f aca="false">IF(F648&lt;&gt;"",F648,IF(E648="","",IFERROR(INDEX(I_Item!$C$6:$C$255,MATCH(E648,I_Item!$A$6:$A$255,0)),"KODE BARU")))</f>
        <v/>
      </c>
      <c r="H648" s="45"/>
      <c r="I648" s="42"/>
      <c r="J648" s="11" t="str">
        <f aca="false">IF(H648="","",H648*I648)</f>
        <v/>
      </c>
      <c r="K648" s="42"/>
      <c r="L648" s="11" t="str">
        <f aca="false">IF(H648="","",IF(K648&lt;&gt;"",K648,H648*IFERROR(INDEX(O_Stok!$Q$6:$Q$85,MATCH(G648,O_Stok!$A$6:$A$85,0)),0)))</f>
        <v/>
      </c>
      <c r="M648" s="11" t="str">
        <f aca="false">IF(H648="","",J648-L648)</f>
        <v/>
      </c>
      <c r="N648" s="34" t="str">
        <f aca="false">IF(G648="","",IFERROR(INDEX(I_Master!$B$6:$B$85,MATCH(G648,I_Master!$A$6:$A$85,0)),"?"))</f>
        <v/>
      </c>
      <c r="O648" s="34" t="str">
        <f aca="false">IF(G648="","",IFERROR(INDEX(I_Master!$E$6:$E$85,MATCH(G648,I_Master!$A$6:$A$85,0)),"?"))</f>
        <v/>
      </c>
      <c r="P648" s="46" t="str">
        <f aca="false">IF(H648="","",IF(OR(A648&lt;I_Parameter!$C$5,A648&gt;I_Parameter!$C$6),0,IF(B648="Aktual",1,IF(AND(B648="Order",A648&gt;=I_Parameter!$C$4),1,0))))</f>
        <v/>
      </c>
    </row>
    <row r="649" customFormat="false" ht="15" hidden="false" customHeight="false" outlineLevel="0" collapsed="false">
      <c r="A649" s="37"/>
      <c r="B649" s="44"/>
      <c r="C649" s="44"/>
      <c r="D649" s="44"/>
      <c r="E649" s="44"/>
      <c r="F649" s="44"/>
      <c r="G649" s="34" t="str">
        <f aca="false">IF(F649&lt;&gt;"",F649,IF(E649="","",IFERROR(INDEX(I_Item!$C$6:$C$255,MATCH(E649,I_Item!$A$6:$A$255,0)),"KODE BARU")))</f>
        <v/>
      </c>
      <c r="H649" s="45"/>
      <c r="I649" s="42"/>
      <c r="J649" s="11" t="str">
        <f aca="false">IF(H649="","",H649*I649)</f>
        <v/>
      </c>
      <c r="K649" s="42"/>
      <c r="L649" s="11" t="str">
        <f aca="false">IF(H649="","",IF(K649&lt;&gt;"",K649,H649*IFERROR(INDEX(O_Stok!$Q$6:$Q$85,MATCH(G649,O_Stok!$A$6:$A$85,0)),0)))</f>
        <v/>
      </c>
      <c r="M649" s="11" t="str">
        <f aca="false">IF(H649="","",J649-L649)</f>
        <v/>
      </c>
      <c r="N649" s="34" t="str">
        <f aca="false">IF(G649="","",IFERROR(INDEX(I_Master!$B$6:$B$85,MATCH(G649,I_Master!$A$6:$A$85,0)),"?"))</f>
        <v/>
      </c>
      <c r="O649" s="34" t="str">
        <f aca="false">IF(G649="","",IFERROR(INDEX(I_Master!$E$6:$E$85,MATCH(G649,I_Master!$A$6:$A$85,0)),"?"))</f>
        <v/>
      </c>
      <c r="P649" s="46" t="str">
        <f aca="false">IF(H649="","",IF(OR(A649&lt;I_Parameter!$C$5,A649&gt;I_Parameter!$C$6),0,IF(B649="Aktual",1,IF(AND(B649="Order",A649&gt;=I_Parameter!$C$4),1,0))))</f>
        <v/>
      </c>
    </row>
    <row r="650" customFormat="false" ht="15" hidden="false" customHeight="false" outlineLevel="0" collapsed="false">
      <c r="A650" s="37"/>
      <c r="B650" s="44"/>
      <c r="C650" s="44"/>
      <c r="D650" s="44"/>
      <c r="E650" s="44"/>
      <c r="F650" s="44"/>
      <c r="G650" s="34" t="str">
        <f aca="false">IF(F650&lt;&gt;"",F650,IF(E650="","",IFERROR(INDEX(I_Item!$C$6:$C$255,MATCH(E650,I_Item!$A$6:$A$255,0)),"KODE BARU")))</f>
        <v/>
      </c>
      <c r="H650" s="45"/>
      <c r="I650" s="42"/>
      <c r="J650" s="11" t="str">
        <f aca="false">IF(H650="","",H650*I650)</f>
        <v/>
      </c>
      <c r="K650" s="42"/>
      <c r="L650" s="11" t="str">
        <f aca="false">IF(H650="","",IF(K650&lt;&gt;"",K650,H650*IFERROR(INDEX(O_Stok!$Q$6:$Q$85,MATCH(G650,O_Stok!$A$6:$A$85,0)),0)))</f>
        <v/>
      </c>
      <c r="M650" s="11" t="str">
        <f aca="false">IF(H650="","",J650-L650)</f>
        <v/>
      </c>
      <c r="N650" s="34" t="str">
        <f aca="false">IF(G650="","",IFERROR(INDEX(I_Master!$B$6:$B$85,MATCH(G650,I_Master!$A$6:$A$85,0)),"?"))</f>
        <v/>
      </c>
      <c r="O650" s="34" t="str">
        <f aca="false">IF(G650="","",IFERROR(INDEX(I_Master!$E$6:$E$85,MATCH(G650,I_Master!$A$6:$A$85,0)),"?"))</f>
        <v/>
      </c>
      <c r="P650" s="46" t="str">
        <f aca="false">IF(H650="","",IF(OR(A650&lt;I_Parameter!$C$5,A650&gt;I_Parameter!$C$6),0,IF(B650="Aktual",1,IF(AND(B650="Order",A650&gt;=I_Parameter!$C$4),1,0))))</f>
        <v/>
      </c>
    </row>
    <row r="651" customFormat="false" ht="15" hidden="false" customHeight="false" outlineLevel="0" collapsed="false">
      <c r="A651" s="37"/>
      <c r="B651" s="44"/>
      <c r="C651" s="44"/>
      <c r="D651" s="44"/>
      <c r="E651" s="44"/>
      <c r="F651" s="44"/>
      <c r="G651" s="34" t="str">
        <f aca="false">IF(F651&lt;&gt;"",F651,IF(E651="","",IFERROR(INDEX(I_Item!$C$6:$C$255,MATCH(E651,I_Item!$A$6:$A$255,0)),"KODE BARU")))</f>
        <v/>
      </c>
      <c r="H651" s="45"/>
      <c r="I651" s="42"/>
      <c r="J651" s="11" t="str">
        <f aca="false">IF(H651="","",H651*I651)</f>
        <v/>
      </c>
      <c r="K651" s="42"/>
      <c r="L651" s="11" t="str">
        <f aca="false">IF(H651="","",IF(K651&lt;&gt;"",K651,H651*IFERROR(INDEX(O_Stok!$Q$6:$Q$85,MATCH(G651,O_Stok!$A$6:$A$85,0)),0)))</f>
        <v/>
      </c>
      <c r="M651" s="11" t="str">
        <f aca="false">IF(H651="","",J651-L651)</f>
        <v/>
      </c>
      <c r="N651" s="34" t="str">
        <f aca="false">IF(G651="","",IFERROR(INDEX(I_Master!$B$6:$B$85,MATCH(G651,I_Master!$A$6:$A$85,0)),"?"))</f>
        <v/>
      </c>
      <c r="O651" s="34" t="str">
        <f aca="false">IF(G651="","",IFERROR(INDEX(I_Master!$E$6:$E$85,MATCH(G651,I_Master!$A$6:$A$85,0)),"?"))</f>
        <v/>
      </c>
      <c r="P651" s="46" t="str">
        <f aca="false">IF(H651="","",IF(OR(A651&lt;I_Parameter!$C$5,A651&gt;I_Parameter!$C$6),0,IF(B651="Aktual",1,IF(AND(B651="Order",A651&gt;=I_Parameter!$C$4),1,0))))</f>
        <v/>
      </c>
    </row>
    <row r="652" customFormat="false" ht="15" hidden="false" customHeight="false" outlineLevel="0" collapsed="false">
      <c r="A652" s="37"/>
      <c r="B652" s="44"/>
      <c r="C652" s="44"/>
      <c r="D652" s="44"/>
      <c r="E652" s="44"/>
      <c r="F652" s="44"/>
      <c r="G652" s="34" t="str">
        <f aca="false">IF(F652&lt;&gt;"",F652,IF(E652="","",IFERROR(INDEX(I_Item!$C$6:$C$255,MATCH(E652,I_Item!$A$6:$A$255,0)),"KODE BARU")))</f>
        <v/>
      </c>
      <c r="H652" s="45"/>
      <c r="I652" s="42"/>
      <c r="J652" s="11" t="str">
        <f aca="false">IF(H652="","",H652*I652)</f>
        <v/>
      </c>
      <c r="K652" s="42"/>
      <c r="L652" s="11" t="str">
        <f aca="false">IF(H652="","",IF(K652&lt;&gt;"",K652,H652*IFERROR(INDEX(O_Stok!$Q$6:$Q$85,MATCH(G652,O_Stok!$A$6:$A$85,0)),0)))</f>
        <v/>
      </c>
      <c r="M652" s="11" t="str">
        <f aca="false">IF(H652="","",J652-L652)</f>
        <v/>
      </c>
      <c r="N652" s="34" t="str">
        <f aca="false">IF(G652="","",IFERROR(INDEX(I_Master!$B$6:$B$85,MATCH(G652,I_Master!$A$6:$A$85,0)),"?"))</f>
        <v/>
      </c>
      <c r="O652" s="34" t="str">
        <f aca="false">IF(G652="","",IFERROR(INDEX(I_Master!$E$6:$E$85,MATCH(G652,I_Master!$A$6:$A$85,0)),"?"))</f>
        <v/>
      </c>
      <c r="P652" s="46" t="str">
        <f aca="false">IF(H652="","",IF(OR(A652&lt;I_Parameter!$C$5,A652&gt;I_Parameter!$C$6),0,IF(B652="Aktual",1,IF(AND(B652="Order",A652&gt;=I_Parameter!$C$4),1,0))))</f>
        <v/>
      </c>
    </row>
    <row r="653" customFormat="false" ht="15" hidden="false" customHeight="false" outlineLevel="0" collapsed="false">
      <c r="A653" s="37"/>
      <c r="B653" s="44"/>
      <c r="C653" s="44"/>
      <c r="D653" s="44"/>
      <c r="E653" s="44"/>
      <c r="F653" s="44"/>
      <c r="G653" s="34" t="str">
        <f aca="false">IF(F653&lt;&gt;"",F653,IF(E653="","",IFERROR(INDEX(I_Item!$C$6:$C$255,MATCH(E653,I_Item!$A$6:$A$255,0)),"KODE BARU")))</f>
        <v/>
      </c>
      <c r="H653" s="45"/>
      <c r="I653" s="42"/>
      <c r="J653" s="11" t="str">
        <f aca="false">IF(H653="","",H653*I653)</f>
        <v/>
      </c>
      <c r="K653" s="42"/>
      <c r="L653" s="11" t="str">
        <f aca="false">IF(H653="","",IF(K653&lt;&gt;"",K653,H653*IFERROR(INDEX(O_Stok!$Q$6:$Q$85,MATCH(G653,O_Stok!$A$6:$A$85,0)),0)))</f>
        <v/>
      </c>
      <c r="M653" s="11" t="str">
        <f aca="false">IF(H653="","",J653-L653)</f>
        <v/>
      </c>
      <c r="N653" s="34" t="str">
        <f aca="false">IF(G653="","",IFERROR(INDEX(I_Master!$B$6:$B$85,MATCH(G653,I_Master!$A$6:$A$85,0)),"?"))</f>
        <v/>
      </c>
      <c r="O653" s="34" t="str">
        <f aca="false">IF(G653="","",IFERROR(INDEX(I_Master!$E$6:$E$85,MATCH(G653,I_Master!$A$6:$A$85,0)),"?"))</f>
        <v/>
      </c>
      <c r="P653" s="46" t="str">
        <f aca="false">IF(H653="","",IF(OR(A653&lt;I_Parameter!$C$5,A653&gt;I_Parameter!$C$6),0,IF(B653="Aktual",1,IF(AND(B653="Order",A653&gt;=I_Parameter!$C$4),1,0))))</f>
        <v/>
      </c>
    </row>
    <row r="654" customFormat="false" ht="15" hidden="false" customHeight="false" outlineLevel="0" collapsed="false">
      <c r="A654" s="37"/>
      <c r="B654" s="44"/>
      <c r="C654" s="44"/>
      <c r="D654" s="44"/>
      <c r="E654" s="44"/>
      <c r="F654" s="44"/>
      <c r="G654" s="34" t="str">
        <f aca="false">IF(F654&lt;&gt;"",F654,IF(E654="","",IFERROR(INDEX(I_Item!$C$6:$C$255,MATCH(E654,I_Item!$A$6:$A$255,0)),"KODE BARU")))</f>
        <v/>
      </c>
      <c r="H654" s="45"/>
      <c r="I654" s="42"/>
      <c r="J654" s="11" t="str">
        <f aca="false">IF(H654="","",H654*I654)</f>
        <v/>
      </c>
      <c r="K654" s="42"/>
      <c r="L654" s="11" t="str">
        <f aca="false">IF(H654="","",IF(K654&lt;&gt;"",K654,H654*IFERROR(INDEX(O_Stok!$Q$6:$Q$85,MATCH(G654,O_Stok!$A$6:$A$85,0)),0)))</f>
        <v/>
      </c>
      <c r="M654" s="11" t="str">
        <f aca="false">IF(H654="","",J654-L654)</f>
        <v/>
      </c>
      <c r="N654" s="34" t="str">
        <f aca="false">IF(G654="","",IFERROR(INDEX(I_Master!$B$6:$B$85,MATCH(G654,I_Master!$A$6:$A$85,0)),"?"))</f>
        <v/>
      </c>
      <c r="O654" s="34" t="str">
        <f aca="false">IF(G654="","",IFERROR(INDEX(I_Master!$E$6:$E$85,MATCH(G654,I_Master!$A$6:$A$85,0)),"?"))</f>
        <v/>
      </c>
      <c r="P654" s="46" t="str">
        <f aca="false">IF(H654="","",IF(OR(A654&lt;I_Parameter!$C$5,A654&gt;I_Parameter!$C$6),0,IF(B654="Aktual",1,IF(AND(B654="Order",A654&gt;=I_Parameter!$C$4),1,0))))</f>
        <v/>
      </c>
    </row>
    <row r="655" customFormat="false" ht="15" hidden="false" customHeight="false" outlineLevel="0" collapsed="false">
      <c r="A655" s="37"/>
      <c r="B655" s="44"/>
      <c r="C655" s="44"/>
      <c r="D655" s="44"/>
      <c r="E655" s="44"/>
      <c r="F655" s="44"/>
      <c r="G655" s="34" t="str">
        <f aca="false">IF(F655&lt;&gt;"",F655,IF(E655="","",IFERROR(INDEX(I_Item!$C$6:$C$255,MATCH(E655,I_Item!$A$6:$A$255,0)),"KODE BARU")))</f>
        <v/>
      </c>
      <c r="H655" s="45"/>
      <c r="I655" s="42"/>
      <c r="J655" s="11" t="str">
        <f aca="false">IF(H655="","",H655*I655)</f>
        <v/>
      </c>
      <c r="K655" s="42"/>
      <c r="L655" s="11" t="str">
        <f aca="false">IF(H655="","",IF(K655&lt;&gt;"",K655,H655*IFERROR(INDEX(O_Stok!$Q$6:$Q$85,MATCH(G655,O_Stok!$A$6:$A$85,0)),0)))</f>
        <v/>
      </c>
      <c r="M655" s="11" t="str">
        <f aca="false">IF(H655="","",J655-L655)</f>
        <v/>
      </c>
      <c r="N655" s="34" t="str">
        <f aca="false">IF(G655="","",IFERROR(INDEX(I_Master!$B$6:$B$85,MATCH(G655,I_Master!$A$6:$A$85,0)),"?"))</f>
        <v/>
      </c>
      <c r="O655" s="34" t="str">
        <f aca="false">IF(G655="","",IFERROR(INDEX(I_Master!$E$6:$E$85,MATCH(G655,I_Master!$A$6:$A$85,0)),"?"))</f>
        <v/>
      </c>
      <c r="P655" s="46" t="str">
        <f aca="false">IF(H655="","",IF(OR(A655&lt;I_Parameter!$C$5,A655&gt;I_Parameter!$C$6),0,IF(B655="Aktual",1,IF(AND(B655="Order",A655&gt;=I_Parameter!$C$4),1,0))))</f>
        <v/>
      </c>
    </row>
    <row r="656" customFormat="false" ht="15" hidden="false" customHeight="false" outlineLevel="0" collapsed="false">
      <c r="A656" s="37"/>
      <c r="B656" s="44"/>
      <c r="C656" s="44"/>
      <c r="D656" s="44"/>
      <c r="E656" s="44"/>
      <c r="F656" s="44"/>
      <c r="G656" s="34" t="str">
        <f aca="false">IF(F656&lt;&gt;"",F656,IF(E656="","",IFERROR(INDEX(I_Item!$C$6:$C$255,MATCH(E656,I_Item!$A$6:$A$255,0)),"KODE BARU")))</f>
        <v/>
      </c>
      <c r="H656" s="45"/>
      <c r="I656" s="42"/>
      <c r="J656" s="11" t="str">
        <f aca="false">IF(H656="","",H656*I656)</f>
        <v/>
      </c>
      <c r="K656" s="42"/>
      <c r="L656" s="11" t="str">
        <f aca="false">IF(H656="","",IF(K656&lt;&gt;"",K656,H656*IFERROR(INDEX(O_Stok!$Q$6:$Q$85,MATCH(G656,O_Stok!$A$6:$A$85,0)),0)))</f>
        <v/>
      </c>
      <c r="M656" s="11" t="str">
        <f aca="false">IF(H656="","",J656-L656)</f>
        <v/>
      </c>
      <c r="N656" s="34" t="str">
        <f aca="false">IF(G656="","",IFERROR(INDEX(I_Master!$B$6:$B$85,MATCH(G656,I_Master!$A$6:$A$85,0)),"?"))</f>
        <v/>
      </c>
      <c r="O656" s="34" t="str">
        <f aca="false">IF(G656="","",IFERROR(INDEX(I_Master!$E$6:$E$85,MATCH(G656,I_Master!$A$6:$A$85,0)),"?"))</f>
        <v/>
      </c>
      <c r="P656" s="46" t="str">
        <f aca="false">IF(H656="","",IF(OR(A656&lt;I_Parameter!$C$5,A656&gt;I_Parameter!$C$6),0,IF(B656="Aktual",1,IF(AND(B656="Order",A656&gt;=I_Parameter!$C$4),1,0))))</f>
        <v/>
      </c>
    </row>
    <row r="657" customFormat="false" ht="15" hidden="false" customHeight="false" outlineLevel="0" collapsed="false">
      <c r="A657" s="37"/>
      <c r="B657" s="44"/>
      <c r="C657" s="44"/>
      <c r="D657" s="44"/>
      <c r="E657" s="44"/>
      <c r="F657" s="44"/>
      <c r="G657" s="34" t="str">
        <f aca="false">IF(F657&lt;&gt;"",F657,IF(E657="","",IFERROR(INDEX(I_Item!$C$6:$C$255,MATCH(E657,I_Item!$A$6:$A$255,0)),"KODE BARU")))</f>
        <v/>
      </c>
      <c r="H657" s="45"/>
      <c r="I657" s="42"/>
      <c r="J657" s="11" t="str">
        <f aca="false">IF(H657="","",H657*I657)</f>
        <v/>
      </c>
      <c r="K657" s="42"/>
      <c r="L657" s="11" t="str">
        <f aca="false">IF(H657="","",IF(K657&lt;&gt;"",K657,H657*IFERROR(INDEX(O_Stok!$Q$6:$Q$85,MATCH(G657,O_Stok!$A$6:$A$85,0)),0)))</f>
        <v/>
      </c>
      <c r="M657" s="11" t="str">
        <f aca="false">IF(H657="","",J657-L657)</f>
        <v/>
      </c>
      <c r="N657" s="34" t="str">
        <f aca="false">IF(G657="","",IFERROR(INDEX(I_Master!$B$6:$B$85,MATCH(G657,I_Master!$A$6:$A$85,0)),"?"))</f>
        <v/>
      </c>
      <c r="O657" s="34" t="str">
        <f aca="false">IF(G657="","",IFERROR(INDEX(I_Master!$E$6:$E$85,MATCH(G657,I_Master!$A$6:$A$85,0)),"?"))</f>
        <v/>
      </c>
      <c r="P657" s="46" t="str">
        <f aca="false">IF(H657="","",IF(OR(A657&lt;I_Parameter!$C$5,A657&gt;I_Parameter!$C$6),0,IF(B657="Aktual",1,IF(AND(B657="Order",A657&gt;=I_Parameter!$C$4),1,0))))</f>
        <v/>
      </c>
    </row>
    <row r="658" customFormat="false" ht="15" hidden="false" customHeight="false" outlineLevel="0" collapsed="false">
      <c r="A658" s="37"/>
      <c r="B658" s="44"/>
      <c r="C658" s="44"/>
      <c r="D658" s="44"/>
      <c r="E658" s="44"/>
      <c r="F658" s="44"/>
      <c r="G658" s="34" t="str">
        <f aca="false">IF(F658&lt;&gt;"",F658,IF(E658="","",IFERROR(INDEX(I_Item!$C$6:$C$255,MATCH(E658,I_Item!$A$6:$A$255,0)),"KODE BARU")))</f>
        <v/>
      </c>
      <c r="H658" s="45"/>
      <c r="I658" s="42"/>
      <c r="J658" s="11" t="str">
        <f aca="false">IF(H658="","",H658*I658)</f>
        <v/>
      </c>
      <c r="K658" s="42"/>
      <c r="L658" s="11" t="str">
        <f aca="false">IF(H658="","",IF(K658&lt;&gt;"",K658,H658*IFERROR(INDEX(O_Stok!$Q$6:$Q$85,MATCH(G658,O_Stok!$A$6:$A$85,0)),0)))</f>
        <v/>
      </c>
      <c r="M658" s="11" t="str">
        <f aca="false">IF(H658="","",J658-L658)</f>
        <v/>
      </c>
      <c r="N658" s="34" t="str">
        <f aca="false">IF(G658="","",IFERROR(INDEX(I_Master!$B$6:$B$85,MATCH(G658,I_Master!$A$6:$A$85,0)),"?"))</f>
        <v/>
      </c>
      <c r="O658" s="34" t="str">
        <f aca="false">IF(G658="","",IFERROR(INDEX(I_Master!$E$6:$E$85,MATCH(G658,I_Master!$A$6:$A$85,0)),"?"))</f>
        <v/>
      </c>
      <c r="P658" s="46" t="str">
        <f aca="false">IF(H658="","",IF(OR(A658&lt;I_Parameter!$C$5,A658&gt;I_Parameter!$C$6),0,IF(B658="Aktual",1,IF(AND(B658="Order",A658&gt;=I_Parameter!$C$4),1,0))))</f>
        <v/>
      </c>
    </row>
    <row r="659" customFormat="false" ht="15" hidden="false" customHeight="false" outlineLevel="0" collapsed="false">
      <c r="A659" s="37"/>
      <c r="B659" s="44"/>
      <c r="C659" s="44"/>
      <c r="D659" s="44"/>
      <c r="E659" s="44"/>
      <c r="F659" s="44"/>
      <c r="G659" s="34" t="str">
        <f aca="false">IF(F659&lt;&gt;"",F659,IF(E659="","",IFERROR(INDEX(I_Item!$C$6:$C$255,MATCH(E659,I_Item!$A$6:$A$255,0)),"KODE BARU")))</f>
        <v/>
      </c>
      <c r="H659" s="45"/>
      <c r="I659" s="42"/>
      <c r="J659" s="11" t="str">
        <f aca="false">IF(H659="","",H659*I659)</f>
        <v/>
      </c>
      <c r="K659" s="42"/>
      <c r="L659" s="11" t="str">
        <f aca="false">IF(H659="","",IF(K659&lt;&gt;"",K659,H659*IFERROR(INDEX(O_Stok!$Q$6:$Q$85,MATCH(G659,O_Stok!$A$6:$A$85,0)),0)))</f>
        <v/>
      </c>
      <c r="M659" s="11" t="str">
        <f aca="false">IF(H659="","",J659-L659)</f>
        <v/>
      </c>
      <c r="N659" s="34" t="str">
        <f aca="false">IF(G659="","",IFERROR(INDEX(I_Master!$B$6:$B$85,MATCH(G659,I_Master!$A$6:$A$85,0)),"?"))</f>
        <v/>
      </c>
      <c r="O659" s="34" t="str">
        <f aca="false">IF(G659="","",IFERROR(INDEX(I_Master!$E$6:$E$85,MATCH(G659,I_Master!$A$6:$A$85,0)),"?"))</f>
        <v/>
      </c>
      <c r="P659" s="46" t="str">
        <f aca="false">IF(H659="","",IF(OR(A659&lt;I_Parameter!$C$5,A659&gt;I_Parameter!$C$6),0,IF(B659="Aktual",1,IF(AND(B659="Order",A659&gt;=I_Parameter!$C$4),1,0))))</f>
        <v/>
      </c>
    </row>
    <row r="660" customFormat="false" ht="15" hidden="false" customHeight="false" outlineLevel="0" collapsed="false">
      <c r="A660" s="37"/>
      <c r="B660" s="44"/>
      <c r="C660" s="44"/>
      <c r="D660" s="44"/>
      <c r="E660" s="44"/>
      <c r="F660" s="44"/>
      <c r="G660" s="34" t="str">
        <f aca="false">IF(F660&lt;&gt;"",F660,IF(E660="","",IFERROR(INDEX(I_Item!$C$6:$C$255,MATCH(E660,I_Item!$A$6:$A$255,0)),"KODE BARU")))</f>
        <v/>
      </c>
      <c r="H660" s="45"/>
      <c r="I660" s="42"/>
      <c r="J660" s="11" t="str">
        <f aca="false">IF(H660="","",H660*I660)</f>
        <v/>
      </c>
      <c r="K660" s="42"/>
      <c r="L660" s="11" t="str">
        <f aca="false">IF(H660="","",IF(K660&lt;&gt;"",K660,H660*IFERROR(INDEX(O_Stok!$Q$6:$Q$85,MATCH(G660,O_Stok!$A$6:$A$85,0)),0)))</f>
        <v/>
      </c>
      <c r="M660" s="11" t="str">
        <f aca="false">IF(H660="","",J660-L660)</f>
        <v/>
      </c>
      <c r="N660" s="34" t="str">
        <f aca="false">IF(G660="","",IFERROR(INDEX(I_Master!$B$6:$B$85,MATCH(G660,I_Master!$A$6:$A$85,0)),"?"))</f>
        <v/>
      </c>
      <c r="O660" s="34" t="str">
        <f aca="false">IF(G660="","",IFERROR(INDEX(I_Master!$E$6:$E$85,MATCH(G660,I_Master!$A$6:$A$85,0)),"?"))</f>
        <v/>
      </c>
      <c r="P660" s="46" t="str">
        <f aca="false">IF(H660="","",IF(OR(A660&lt;I_Parameter!$C$5,A660&gt;I_Parameter!$C$6),0,IF(B660="Aktual",1,IF(AND(B660="Order",A660&gt;=I_Parameter!$C$4),1,0))))</f>
        <v/>
      </c>
    </row>
    <row r="661" customFormat="false" ht="15" hidden="false" customHeight="false" outlineLevel="0" collapsed="false">
      <c r="A661" s="37"/>
      <c r="B661" s="44"/>
      <c r="C661" s="44"/>
      <c r="D661" s="44"/>
      <c r="E661" s="44"/>
      <c r="F661" s="44"/>
      <c r="G661" s="34" t="str">
        <f aca="false">IF(F661&lt;&gt;"",F661,IF(E661="","",IFERROR(INDEX(I_Item!$C$6:$C$255,MATCH(E661,I_Item!$A$6:$A$255,0)),"KODE BARU")))</f>
        <v/>
      </c>
      <c r="H661" s="45"/>
      <c r="I661" s="42"/>
      <c r="J661" s="11" t="str">
        <f aca="false">IF(H661="","",H661*I661)</f>
        <v/>
      </c>
      <c r="K661" s="42"/>
      <c r="L661" s="11" t="str">
        <f aca="false">IF(H661="","",IF(K661&lt;&gt;"",K661,H661*IFERROR(INDEX(O_Stok!$Q$6:$Q$85,MATCH(G661,O_Stok!$A$6:$A$85,0)),0)))</f>
        <v/>
      </c>
      <c r="M661" s="11" t="str">
        <f aca="false">IF(H661="","",J661-L661)</f>
        <v/>
      </c>
      <c r="N661" s="34" t="str">
        <f aca="false">IF(G661="","",IFERROR(INDEX(I_Master!$B$6:$B$85,MATCH(G661,I_Master!$A$6:$A$85,0)),"?"))</f>
        <v/>
      </c>
      <c r="O661" s="34" t="str">
        <f aca="false">IF(G661="","",IFERROR(INDEX(I_Master!$E$6:$E$85,MATCH(G661,I_Master!$A$6:$A$85,0)),"?"))</f>
        <v/>
      </c>
      <c r="P661" s="46" t="str">
        <f aca="false">IF(H661="","",IF(OR(A661&lt;I_Parameter!$C$5,A661&gt;I_Parameter!$C$6),0,IF(B661="Aktual",1,IF(AND(B661="Order",A661&gt;=I_Parameter!$C$4),1,0))))</f>
        <v/>
      </c>
    </row>
    <row r="662" customFormat="false" ht="15" hidden="false" customHeight="false" outlineLevel="0" collapsed="false">
      <c r="A662" s="37"/>
      <c r="B662" s="44"/>
      <c r="C662" s="44"/>
      <c r="D662" s="44"/>
      <c r="E662" s="44"/>
      <c r="F662" s="44"/>
      <c r="G662" s="34" t="str">
        <f aca="false">IF(F662&lt;&gt;"",F662,IF(E662="","",IFERROR(INDEX(I_Item!$C$6:$C$255,MATCH(E662,I_Item!$A$6:$A$255,0)),"KODE BARU")))</f>
        <v/>
      </c>
      <c r="H662" s="45"/>
      <c r="I662" s="42"/>
      <c r="J662" s="11" t="str">
        <f aca="false">IF(H662="","",H662*I662)</f>
        <v/>
      </c>
      <c r="K662" s="42"/>
      <c r="L662" s="11" t="str">
        <f aca="false">IF(H662="","",IF(K662&lt;&gt;"",K662,H662*IFERROR(INDEX(O_Stok!$Q$6:$Q$85,MATCH(G662,O_Stok!$A$6:$A$85,0)),0)))</f>
        <v/>
      </c>
      <c r="M662" s="11" t="str">
        <f aca="false">IF(H662="","",J662-L662)</f>
        <v/>
      </c>
      <c r="N662" s="34" t="str">
        <f aca="false">IF(G662="","",IFERROR(INDEX(I_Master!$B$6:$B$85,MATCH(G662,I_Master!$A$6:$A$85,0)),"?"))</f>
        <v/>
      </c>
      <c r="O662" s="34" t="str">
        <f aca="false">IF(G662="","",IFERROR(INDEX(I_Master!$E$6:$E$85,MATCH(G662,I_Master!$A$6:$A$85,0)),"?"))</f>
        <v/>
      </c>
      <c r="P662" s="46" t="str">
        <f aca="false">IF(H662="","",IF(OR(A662&lt;I_Parameter!$C$5,A662&gt;I_Parameter!$C$6),0,IF(B662="Aktual",1,IF(AND(B662="Order",A662&gt;=I_Parameter!$C$4),1,0))))</f>
        <v/>
      </c>
    </row>
    <row r="663" customFormat="false" ht="15" hidden="false" customHeight="false" outlineLevel="0" collapsed="false">
      <c r="A663" s="37"/>
      <c r="B663" s="44"/>
      <c r="C663" s="44"/>
      <c r="D663" s="44"/>
      <c r="E663" s="44"/>
      <c r="F663" s="44"/>
      <c r="G663" s="34" t="str">
        <f aca="false">IF(F663&lt;&gt;"",F663,IF(E663="","",IFERROR(INDEX(I_Item!$C$6:$C$255,MATCH(E663,I_Item!$A$6:$A$255,0)),"KODE BARU")))</f>
        <v/>
      </c>
      <c r="H663" s="45"/>
      <c r="I663" s="42"/>
      <c r="J663" s="11" t="str">
        <f aca="false">IF(H663="","",H663*I663)</f>
        <v/>
      </c>
      <c r="K663" s="42"/>
      <c r="L663" s="11" t="str">
        <f aca="false">IF(H663="","",IF(K663&lt;&gt;"",K663,H663*IFERROR(INDEX(O_Stok!$Q$6:$Q$85,MATCH(G663,O_Stok!$A$6:$A$85,0)),0)))</f>
        <v/>
      </c>
      <c r="M663" s="11" t="str">
        <f aca="false">IF(H663="","",J663-L663)</f>
        <v/>
      </c>
      <c r="N663" s="34" t="str">
        <f aca="false">IF(G663="","",IFERROR(INDEX(I_Master!$B$6:$B$85,MATCH(G663,I_Master!$A$6:$A$85,0)),"?"))</f>
        <v/>
      </c>
      <c r="O663" s="34" t="str">
        <f aca="false">IF(G663="","",IFERROR(INDEX(I_Master!$E$6:$E$85,MATCH(G663,I_Master!$A$6:$A$85,0)),"?"))</f>
        <v/>
      </c>
      <c r="P663" s="46" t="str">
        <f aca="false">IF(H663="","",IF(OR(A663&lt;I_Parameter!$C$5,A663&gt;I_Parameter!$C$6),0,IF(B663="Aktual",1,IF(AND(B663="Order",A663&gt;=I_Parameter!$C$4),1,0))))</f>
        <v/>
      </c>
    </row>
    <row r="664" customFormat="false" ht="15" hidden="false" customHeight="false" outlineLevel="0" collapsed="false">
      <c r="A664" s="37"/>
      <c r="B664" s="44"/>
      <c r="C664" s="44"/>
      <c r="D664" s="44"/>
      <c r="E664" s="44"/>
      <c r="F664" s="44"/>
      <c r="G664" s="34" t="str">
        <f aca="false">IF(F664&lt;&gt;"",F664,IF(E664="","",IFERROR(INDEX(I_Item!$C$6:$C$255,MATCH(E664,I_Item!$A$6:$A$255,0)),"KODE BARU")))</f>
        <v/>
      </c>
      <c r="H664" s="45"/>
      <c r="I664" s="42"/>
      <c r="J664" s="11" t="str">
        <f aca="false">IF(H664="","",H664*I664)</f>
        <v/>
      </c>
      <c r="K664" s="42"/>
      <c r="L664" s="11" t="str">
        <f aca="false">IF(H664="","",IF(K664&lt;&gt;"",K664,H664*IFERROR(INDEX(O_Stok!$Q$6:$Q$85,MATCH(G664,O_Stok!$A$6:$A$85,0)),0)))</f>
        <v/>
      </c>
      <c r="M664" s="11" t="str">
        <f aca="false">IF(H664="","",J664-L664)</f>
        <v/>
      </c>
      <c r="N664" s="34" t="str">
        <f aca="false">IF(G664="","",IFERROR(INDEX(I_Master!$B$6:$B$85,MATCH(G664,I_Master!$A$6:$A$85,0)),"?"))</f>
        <v/>
      </c>
      <c r="O664" s="34" t="str">
        <f aca="false">IF(G664="","",IFERROR(INDEX(I_Master!$E$6:$E$85,MATCH(G664,I_Master!$A$6:$A$85,0)),"?"))</f>
        <v/>
      </c>
      <c r="P664" s="46" t="str">
        <f aca="false">IF(H664="","",IF(OR(A664&lt;I_Parameter!$C$5,A664&gt;I_Parameter!$C$6),0,IF(B664="Aktual",1,IF(AND(B664="Order",A664&gt;=I_Parameter!$C$4),1,0))))</f>
        <v/>
      </c>
    </row>
    <row r="665" customFormat="false" ht="15" hidden="false" customHeight="false" outlineLevel="0" collapsed="false">
      <c r="A665" s="37"/>
      <c r="B665" s="44"/>
      <c r="C665" s="44"/>
      <c r="D665" s="44"/>
      <c r="E665" s="44"/>
      <c r="F665" s="44"/>
      <c r="G665" s="34" t="str">
        <f aca="false">IF(F665&lt;&gt;"",F665,IF(E665="","",IFERROR(INDEX(I_Item!$C$6:$C$255,MATCH(E665,I_Item!$A$6:$A$255,0)),"KODE BARU")))</f>
        <v/>
      </c>
      <c r="H665" s="45"/>
      <c r="I665" s="42"/>
      <c r="J665" s="11" t="str">
        <f aca="false">IF(H665="","",H665*I665)</f>
        <v/>
      </c>
      <c r="K665" s="42"/>
      <c r="L665" s="11" t="str">
        <f aca="false">IF(H665="","",IF(K665&lt;&gt;"",K665,H665*IFERROR(INDEX(O_Stok!$Q$6:$Q$85,MATCH(G665,O_Stok!$A$6:$A$85,0)),0)))</f>
        <v/>
      </c>
      <c r="M665" s="11" t="str">
        <f aca="false">IF(H665="","",J665-L665)</f>
        <v/>
      </c>
      <c r="N665" s="34" t="str">
        <f aca="false">IF(G665="","",IFERROR(INDEX(I_Master!$B$6:$B$85,MATCH(G665,I_Master!$A$6:$A$85,0)),"?"))</f>
        <v/>
      </c>
      <c r="O665" s="34" t="str">
        <f aca="false">IF(G665="","",IFERROR(INDEX(I_Master!$E$6:$E$85,MATCH(G665,I_Master!$A$6:$A$85,0)),"?"))</f>
        <v/>
      </c>
      <c r="P665" s="46" t="str">
        <f aca="false">IF(H665="","",IF(OR(A665&lt;I_Parameter!$C$5,A665&gt;I_Parameter!$C$6),0,IF(B665="Aktual",1,IF(AND(B665="Order",A665&gt;=I_Parameter!$C$4),1,0))))</f>
        <v/>
      </c>
    </row>
    <row r="666" customFormat="false" ht="15" hidden="false" customHeight="false" outlineLevel="0" collapsed="false">
      <c r="A666" s="37"/>
      <c r="B666" s="44"/>
      <c r="C666" s="44"/>
      <c r="D666" s="44"/>
      <c r="E666" s="44"/>
      <c r="F666" s="44"/>
      <c r="G666" s="34" t="str">
        <f aca="false">IF(F666&lt;&gt;"",F666,IF(E666="","",IFERROR(INDEX(I_Item!$C$6:$C$255,MATCH(E666,I_Item!$A$6:$A$255,0)),"KODE BARU")))</f>
        <v/>
      </c>
      <c r="H666" s="45"/>
      <c r="I666" s="42"/>
      <c r="J666" s="11" t="str">
        <f aca="false">IF(H666="","",H666*I666)</f>
        <v/>
      </c>
      <c r="K666" s="42"/>
      <c r="L666" s="11" t="str">
        <f aca="false">IF(H666="","",IF(K666&lt;&gt;"",K666,H666*IFERROR(INDEX(O_Stok!$Q$6:$Q$85,MATCH(G666,O_Stok!$A$6:$A$85,0)),0)))</f>
        <v/>
      </c>
      <c r="M666" s="11" t="str">
        <f aca="false">IF(H666="","",J666-L666)</f>
        <v/>
      </c>
      <c r="N666" s="34" t="str">
        <f aca="false">IF(G666="","",IFERROR(INDEX(I_Master!$B$6:$B$85,MATCH(G666,I_Master!$A$6:$A$85,0)),"?"))</f>
        <v/>
      </c>
      <c r="O666" s="34" t="str">
        <f aca="false">IF(G666="","",IFERROR(INDEX(I_Master!$E$6:$E$85,MATCH(G666,I_Master!$A$6:$A$85,0)),"?"))</f>
        <v/>
      </c>
      <c r="P666" s="46" t="str">
        <f aca="false">IF(H666="","",IF(OR(A666&lt;I_Parameter!$C$5,A666&gt;I_Parameter!$C$6),0,IF(B666="Aktual",1,IF(AND(B666="Order",A666&gt;=I_Parameter!$C$4),1,0))))</f>
        <v/>
      </c>
    </row>
    <row r="667" customFormat="false" ht="15" hidden="false" customHeight="false" outlineLevel="0" collapsed="false">
      <c r="A667" s="37"/>
      <c r="B667" s="44"/>
      <c r="C667" s="44"/>
      <c r="D667" s="44"/>
      <c r="E667" s="44"/>
      <c r="F667" s="44"/>
      <c r="G667" s="34" t="str">
        <f aca="false">IF(F667&lt;&gt;"",F667,IF(E667="","",IFERROR(INDEX(I_Item!$C$6:$C$255,MATCH(E667,I_Item!$A$6:$A$255,0)),"KODE BARU")))</f>
        <v/>
      </c>
      <c r="H667" s="45"/>
      <c r="I667" s="42"/>
      <c r="J667" s="11" t="str">
        <f aca="false">IF(H667="","",H667*I667)</f>
        <v/>
      </c>
      <c r="K667" s="42"/>
      <c r="L667" s="11" t="str">
        <f aca="false">IF(H667="","",IF(K667&lt;&gt;"",K667,H667*IFERROR(INDEX(O_Stok!$Q$6:$Q$85,MATCH(G667,O_Stok!$A$6:$A$85,0)),0)))</f>
        <v/>
      </c>
      <c r="M667" s="11" t="str">
        <f aca="false">IF(H667="","",J667-L667)</f>
        <v/>
      </c>
      <c r="N667" s="34" t="str">
        <f aca="false">IF(G667="","",IFERROR(INDEX(I_Master!$B$6:$B$85,MATCH(G667,I_Master!$A$6:$A$85,0)),"?"))</f>
        <v/>
      </c>
      <c r="O667" s="34" t="str">
        <f aca="false">IF(G667="","",IFERROR(INDEX(I_Master!$E$6:$E$85,MATCH(G667,I_Master!$A$6:$A$85,0)),"?"))</f>
        <v/>
      </c>
      <c r="P667" s="46" t="str">
        <f aca="false">IF(H667="","",IF(OR(A667&lt;I_Parameter!$C$5,A667&gt;I_Parameter!$C$6),0,IF(B667="Aktual",1,IF(AND(B667="Order",A667&gt;=I_Parameter!$C$4),1,0))))</f>
        <v/>
      </c>
    </row>
    <row r="668" customFormat="false" ht="15" hidden="false" customHeight="false" outlineLevel="0" collapsed="false">
      <c r="A668" s="37"/>
      <c r="B668" s="44"/>
      <c r="C668" s="44"/>
      <c r="D668" s="44"/>
      <c r="E668" s="44"/>
      <c r="F668" s="44"/>
      <c r="G668" s="34" t="str">
        <f aca="false">IF(F668&lt;&gt;"",F668,IF(E668="","",IFERROR(INDEX(I_Item!$C$6:$C$255,MATCH(E668,I_Item!$A$6:$A$255,0)),"KODE BARU")))</f>
        <v/>
      </c>
      <c r="H668" s="45"/>
      <c r="I668" s="42"/>
      <c r="J668" s="11" t="str">
        <f aca="false">IF(H668="","",H668*I668)</f>
        <v/>
      </c>
      <c r="K668" s="42"/>
      <c r="L668" s="11" t="str">
        <f aca="false">IF(H668="","",IF(K668&lt;&gt;"",K668,H668*IFERROR(INDEX(O_Stok!$Q$6:$Q$85,MATCH(G668,O_Stok!$A$6:$A$85,0)),0)))</f>
        <v/>
      </c>
      <c r="M668" s="11" t="str">
        <f aca="false">IF(H668="","",J668-L668)</f>
        <v/>
      </c>
      <c r="N668" s="34" t="str">
        <f aca="false">IF(G668="","",IFERROR(INDEX(I_Master!$B$6:$B$85,MATCH(G668,I_Master!$A$6:$A$85,0)),"?"))</f>
        <v/>
      </c>
      <c r="O668" s="34" t="str">
        <f aca="false">IF(G668="","",IFERROR(INDEX(I_Master!$E$6:$E$85,MATCH(G668,I_Master!$A$6:$A$85,0)),"?"))</f>
        <v/>
      </c>
      <c r="P668" s="46" t="str">
        <f aca="false">IF(H668="","",IF(OR(A668&lt;I_Parameter!$C$5,A668&gt;I_Parameter!$C$6),0,IF(B668="Aktual",1,IF(AND(B668="Order",A668&gt;=I_Parameter!$C$4),1,0))))</f>
        <v/>
      </c>
    </row>
    <row r="669" customFormat="false" ht="15" hidden="false" customHeight="false" outlineLevel="0" collapsed="false">
      <c r="A669" s="37"/>
      <c r="B669" s="44"/>
      <c r="C669" s="44"/>
      <c r="D669" s="44"/>
      <c r="E669" s="44"/>
      <c r="F669" s="44"/>
      <c r="G669" s="34" t="str">
        <f aca="false">IF(F669&lt;&gt;"",F669,IF(E669="","",IFERROR(INDEX(I_Item!$C$6:$C$255,MATCH(E669,I_Item!$A$6:$A$255,0)),"KODE BARU")))</f>
        <v/>
      </c>
      <c r="H669" s="45"/>
      <c r="I669" s="42"/>
      <c r="J669" s="11" t="str">
        <f aca="false">IF(H669="","",H669*I669)</f>
        <v/>
      </c>
      <c r="K669" s="42"/>
      <c r="L669" s="11" t="str">
        <f aca="false">IF(H669="","",IF(K669&lt;&gt;"",K669,H669*IFERROR(INDEX(O_Stok!$Q$6:$Q$85,MATCH(G669,O_Stok!$A$6:$A$85,0)),0)))</f>
        <v/>
      </c>
      <c r="M669" s="11" t="str">
        <f aca="false">IF(H669="","",J669-L669)</f>
        <v/>
      </c>
      <c r="N669" s="34" t="str">
        <f aca="false">IF(G669="","",IFERROR(INDEX(I_Master!$B$6:$B$85,MATCH(G669,I_Master!$A$6:$A$85,0)),"?"))</f>
        <v/>
      </c>
      <c r="O669" s="34" t="str">
        <f aca="false">IF(G669="","",IFERROR(INDEX(I_Master!$E$6:$E$85,MATCH(G669,I_Master!$A$6:$A$85,0)),"?"))</f>
        <v/>
      </c>
      <c r="P669" s="46" t="str">
        <f aca="false">IF(H669="","",IF(OR(A669&lt;I_Parameter!$C$5,A669&gt;I_Parameter!$C$6),0,IF(B669="Aktual",1,IF(AND(B669="Order",A669&gt;=I_Parameter!$C$4),1,0))))</f>
        <v/>
      </c>
    </row>
    <row r="670" customFormat="false" ht="15" hidden="false" customHeight="false" outlineLevel="0" collapsed="false">
      <c r="A670" s="37"/>
      <c r="B670" s="44"/>
      <c r="C670" s="44"/>
      <c r="D670" s="44"/>
      <c r="E670" s="44"/>
      <c r="F670" s="44"/>
      <c r="G670" s="34" t="str">
        <f aca="false">IF(F670&lt;&gt;"",F670,IF(E670="","",IFERROR(INDEX(I_Item!$C$6:$C$255,MATCH(E670,I_Item!$A$6:$A$255,0)),"KODE BARU")))</f>
        <v/>
      </c>
      <c r="H670" s="45"/>
      <c r="I670" s="42"/>
      <c r="J670" s="11" t="str">
        <f aca="false">IF(H670="","",H670*I670)</f>
        <v/>
      </c>
      <c r="K670" s="42"/>
      <c r="L670" s="11" t="str">
        <f aca="false">IF(H670="","",IF(K670&lt;&gt;"",K670,H670*IFERROR(INDEX(O_Stok!$Q$6:$Q$85,MATCH(G670,O_Stok!$A$6:$A$85,0)),0)))</f>
        <v/>
      </c>
      <c r="M670" s="11" t="str">
        <f aca="false">IF(H670="","",J670-L670)</f>
        <v/>
      </c>
      <c r="N670" s="34" t="str">
        <f aca="false">IF(G670="","",IFERROR(INDEX(I_Master!$B$6:$B$85,MATCH(G670,I_Master!$A$6:$A$85,0)),"?"))</f>
        <v/>
      </c>
      <c r="O670" s="34" t="str">
        <f aca="false">IF(G670="","",IFERROR(INDEX(I_Master!$E$6:$E$85,MATCH(G670,I_Master!$A$6:$A$85,0)),"?"))</f>
        <v/>
      </c>
      <c r="P670" s="46" t="str">
        <f aca="false">IF(H670="","",IF(OR(A670&lt;I_Parameter!$C$5,A670&gt;I_Parameter!$C$6),0,IF(B670="Aktual",1,IF(AND(B670="Order",A670&gt;=I_Parameter!$C$4),1,0))))</f>
        <v/>
      </c>
    </row>
    <row r="671" customFormat="false" ht="15" hidden="false" customHeight="false" outlineLevel="0" collapsed="false">
      <c r="A671" s="37"/>
      <c r="B671" s="44"/>
      <c r="C671" s="44"/>
      <c r="D671" s="44"/>
      <c r="E671" s="44"/>
      <c r="F671" s="44"/>
      <c r="G671" s="34" t="str">
        <f aca="false">IF(F671&lt;&gt;"",F671,IF(E671="","",IFERROR(INDEX(I_Item!$C$6:$C$255,MATCH(E671,I_Item!$A$6:$A$255,0)),"KODE BARU")))</f>
        <v/>
      </c>
      <c r="H671" s="45"/>
      <c r="I671" s="42"/>
      <c r="J671" s="11" t="str">
        <f aca="false">IF(H671="","",H671*I671)</f>
        <v/>
      </c>
      <c r="K671" s="42"/>
      <c r="L671" s="11" t="str">
        <f aca="false">IF(H671="","",IF(K671&lt;&gt;"",K671,H671*IFERROR(INDEX(O_Stok!$Q$6:$Q$85,MATCH(G671,O_Stok!$A$6:$A$85,0)),0)))</f>
        <v/>
      </c>
      <c r="M671" s="11" t="str">
        <f aca="false">IF(H671="","",J671-L671)</f>
        <v/>
      </c>
      <c r="N671" s="34" t="str">
        <f aca="false">IF(G671="","",IFERROR(INDEX(I_Master!$B$6:$B$85,MATCH(G671,I_Master!$A$6:$A$85,0)),"?"))</f>
        <v/>
      </c>
      <c r="O671" s="34" t="str">
        <f aca="false">IF(G671="","",IFERROR(INDEX(I_Master!$E$6:$E$85,MATCH(G671,I_Master!$A$6:$A$85,0)),"?"))</f>
        <v/>
      </c>
      <c r="P671" s="46" t="str">
        <f aca="false">IF(H671="","",IF(OR(A671&lt;I_Parameter!$C$5,A671&gt;I_Parameter!$C$6),0,IF(B671="Aktual",1,IF(AND(B671="Order",A671&gt;=I_Parameter!$C$4),1,0))))</f>
        <v/>
      </c>
    </row>
    <row r="672" customFormat="false" ht="15" hidden="false" customHeight="false" outlineLevel="0" collapsed="false">
      <c r="A672" s="37"/>
      <c r="B672" s="44"/>
      <c r="C672" s="44"/>
      <c r="D672" s="44"/>
      <c r="E672" s="44"/>
      <c r="F672" s="44"/>
      <c r="G672" s="34" t="str">
        <f aca="false">IF(F672&lt;&gt;"",F672,IF(E672="","",IFERROR(INDEX(I_Item!$C$6:$C$255,MATCH(E672,I_Item!$A$6:$A$255,0)),"KODE BARU")))</f>
        <v/>
      </c>
      <c r="H672" s="45"/>
      <c r="I672" s="42"/>
      <c r="J672" s="11" t="str">
        <f aca="false">IF(H672="","",H672*I672)</f>
        <v/>
      </c>
      <c r="K672" s="42"/>
      <c r="L672" s="11" t="str">
        <f aca="false">IF(H672="","",IF(K672&lt;&gt;"",K672,H672*IFERROR(INDEX(O_Stok!$Q$6:$Q$85,MATCH(G672,O_Stok!$A$6:$A$85,0)),0)))</f>
        <v/>
      </c>
      <c r="M672" s="11" t="str">
        <f aca="false">IF(H672="","",J672-L672)</f>
        <v/>
      </c>
      <c r="N672" s="34" t="str">
        <f aca="false">IF(G672="","",IFERROR(INDEX(I_Master!$B$6:$B$85,MATCH(G672,I_Master!$A$6:$A$85,0)),"?"))</f>
        <v/>
      </c>
      <c r="O672" s="34" t="str">
        <f aca="false">IF(G672="","",IFERROR(INDEX(I_Master!$E$6:$E$85,MATCH(G672,I_Master!$A$6:$A$85,0)),"?"))</f>
        <v/>
      </c>
      <c r="P672" s="46" t="str">
        <f aca="false">IF(H672="","",IF(OR(A672&lt;I_Parameter!$C$5,A672&gt;I_Parameter!$C$6),0,IF(B672="Aktual",1,IF(AND(B672="Order",A672&gt;=I_Parameter!$C$4),1,0))))</f>
        <v/>
      </c>
    </row>
    <row r="673" customFormat="false" ht="15" hidden="false" customHeight="false" outlineLevel="0" collapsed="false">
      <c r="A673" s="37"/>
      <c r="B673" s="44"/>
      <c r="C673" s="44"/>
      <c r="D673" s="44"/>
      <c r="E673" s="44"/>
      <c r="F673" s="44"/>
      <c r="G673" s="34" t="str">
        <f aca="false">IF(F673&lt;&gt;"",F673,IF(E673="","",IFERROR(INDEX(I_Item!$C$6:$C$255,MATCH(E673,I_Item!$A$6:$A$255,0)),"KODE BARU")))</f>
        <v/>
      </c>
      <c r="H673" s="45"/>
      <c r="I673" s="42"/>
      <c r="J673" s="11" t="str">
        <f aca="false">IF(H673="","",H673*I673)</f>
        <v/>
      </c>
      <c r="K673" s="42"/>
      <c r="L673" s="11" t="str">
        <f aca="false">IF(H673="","",IF(K673&lt;&gt;"",K673,H673*IFERROR(INDEX(O_Stok!$Q$6:$Q$85,MATCH(G673,O_Stok!$A$6:$A$85,0)),0)))</f>
        <v/>
      </c>
      <c r="M673" s="11" t="str">
        <f aca="false">IF(H673="","",J673-L673)</f>
        <v/>
      </c>
      <c r="N673" s="34" t="str">
        <f aca="false">IF(G673="","",IFERROR(INDEX(I_Master!$B$6:$B$85,MATCH(G673,I_Master!$A$6:$A$85,0)),"?"))</f>
        <v/>
      </c>
      <c r="O673" s="34" t="str">
        <f aca="false">IF(G673="","",IFERROR(INDEX(I_Master!$E$6:$E$85,MATCH(G673,I_Master!$A$6:$A$85,0)),"?"))</f>
        <v/>
      </c>
      <c r="P673" s="46" t="str">
        <f aca="false">IF(H673="","",IF(OR(A673&lt;I_Parameter!$C$5,A673&gt;I_Parameter!$C$6),0,IF(B673="Aktual",1,IF(AND(B673="Order",A673&gt;=I_Parameter!$C$4),1,0))))</f>
        <v/>
      </c>
    </row>
    <row r="674" customFormat="false" ht="15" hidden="false" customHeight="false" outlineLevel="0" collapsed="false">
      <c r="A674" s="37"/>
      <c r="B674" s="44"/>
      <c r="C674" s="44"/>
      <c r="D674" s="44"/>
      <c r="E674" s="44"/>
      <c r="F674" s="44"/>
      <c r="G674" s="34" t="str">
        <f aca="false">IF(F674&lt;&gt;"",F674,IF(E674="","",IFERROR(INDEX(I_Item!$C$6:$C$255,MATCH(E674,I_Item!$A$6:$A$255,0)),"KODE BARU")))</f>
        <v/>
      </c>
      <c r="H674" s="45"/>
      <c r="I674" s="42"/>
      <c r="J674" s="11" t="str">
        <f aca="false">IF(H674="","",H674*I674)</f>
        <v/>
      </c>
      <c r="K674" s="42"/>
      <c r="L674" s="11" t="str">
        <f aca="false">IF(H674="","",IF(K674&lt;&gt;"",K674,H674*IFERROR(INDEX(O_Stok!$Q$6:$Q$85,MATCH(G674,O_Stok!$A$6:$A$85,0)),0)))</f>
        <v/>
      </c>
      <c r="M674" s="11" t="str">
        <f aca="false">IF(H674="","",J674-L674)</f>
        <v/>
      </c>
      <c r="N674" s="34" t="str">
        <f aca="false">IF(G674="","",IFERROR(INDEX(I_Master!$B$6:$B$85,MATCH(G674,I_Master!$A$6:$A$85,0)),"?"))</f>
        <v/>
      </c>
      <c r="O674" s="34" t="str">
        <f aca="false">IF(G674="","",IFERROR(INDEX(I_Master!$E$6:$E$85,MATCH(G674,I_Master!$A$6:$A$85,0)),"?"))</f>
        <v/>
      </c>
      <c r="P674" s="46" t="str">
        <f aca="false">IF(H674="","",IF(OR(A674&lt;I_Parameter!$C$5,A674&gt;I_Parameter!$C$6),0,IF(B674="Aktual",1,IF(AND(B674="Order",A674&gt;=I_Parameter!$C$4),1,0))))</f>
        <v/>
      </c>
    </row>
    <row r="675" customFormat="false" ht="15" hidden="false" customHeight="false" outlineLevel="0" collapsed="false">
      <c r="A675" s="37"/>
      <c r="B675" s="44"/>
      <c r="C675" s="44"/>
      <c r="D675" s="44"/>
      <c r="E675" s="44"/>
      <c r="F675" s="44"/>
      <c r="G675" s="34" t="str">
        <f aca="false">IF(F675&lt;&gt;"",F675,IF(E675="","",IFERROR(INDEX(I_Item!$C$6:$C$255,MATCH(E675,I_Item!$A$6:$A$255,0)),"KODE BARU")))</f>
        <v/>
      </c>
      <c r="H675" s="45"/>
      <c r="I675" s="42"/>
      <c r="J675" s="11" t="str">
        <f aca="false">IF(H675="","",H675*I675)</f>
        <v/>
      </c>
      <c r="K675" s="42"/>
      <c r="L675" s="11" t="str">
        <f aca="false">IF(H675="","",IF(K675&lt;&gt;"",K675,H675*IFERROR(INDEX(O_Stok!$Q$6:$Q$85,MATCH(G675,O_Stok!$A$6:$A$85,0)),0)))</f>
        <v/>
      </c>
      <c r="M675" s="11" t="str">
        <f aca="false">IF(H675="","",J675-L675)</f>
        <v/>
      </c>
      <c r="N675" s="34" t="str">
        <f aca="false">IF(G675="","",IFERROR(INDEX(I_Master!$B$6:$B$85,MATCH(G675,I_Master!$A$6:$A$85,0)),"?"))</f>
        <v/>
      </c>
      <c r="O675" s="34" t="str">
        <f aca="false">IF(G675="","",IFERROR(INDEX(I_Master!$E$6:$E$85,MATCH(G675,I_Master!$A$6:$A$85,0)),"?"))</f>
        <v/>
      </c>
      <c r="P675" s="46" t="str">
        <f aca="false">IF(H675="","",IF(OR(A675&lt;I_Parameter!$C$5,A675&gt;I_Parameter!$C$6),0,IF(B675="Aktual",1,IF(AND(B675="Order",A675&gt;=I_Parameter!$C$4),1,0))))</f>
        <v/>
      </c>
    </row>
    <row r="676" customFormat="false" ht="15" hidden="false" customHeight="false" outlineLevel="0" collapsed="false">
      <c r="A676" s="37"/>
      <c r="B676" s="44"/>
      <c r="C676" s="44"/>
      <c r="D676" s="44"/>
      <c r="E676" s="44"/>
      <c r="F676" s="44"/>
      <c r="G676" s="34" t="str">
        <f aca="false">IF(F676&lt;&gt;"",F676,IF(E676="","",IFERROR(INDEX(I_Item!$C$6:$C$255,MATCH(E676,I_Item!$A$6:$A$255,0)),"KODE BARU")))</f>
        <v/>
      </c>
      <c r="H676" s="45"/>
      <c r="I676" s="42"/>
      <c r="J676" s="11" t="str">
        <f aca="false">IF(H676="","",H676*I676)</f>
        <v/>
      </c>
      <c r="K676" s="42"/>
      <c r="L676" s="11" t="str">
        <f aca="false">IF(H676="","",IF(K676&lt;&gt;"",K676,H676*IFERROR(INDEX(O_Stok!$Q$6:$Q$85,MATCH(G676,O_Stok!$A$6:$A$85,0)),0)))</f>
        <v/>
      </c>
      <c r="M676" s="11" t="str">
        <f aca="false">IF(H676="","",J676-L676)</f>
        <v/>
      </c>
      <c r="N676" s="34" t="str">
        <f aca="false">IF(G676="","",IFERROR(INDEX(I_Master!$B$6:$B$85,MATCH(G676,I_Master!$A$6:$A$85,0)),"?"))</f>
        <v/>
      </c>
      <c r="O676" s="34" t="str">
        <f aca="false">IF(G676="","",IFERROR(INDEX(I_Master!$E$6:$E$85,MATCH(G676,I_Master!$A$6:$A$85,0)),"?"))</f>
        <v/>
      </c>
      <c r="P676" s="46" t="str">
        <f aca="false">IF(H676="","",IF(OR(A676&lt;I_Parameter!$C$5,A676&gt;I_Parameter!$C$6),0,IF(B676="Aktual",1,IF(AND(B676="Order",A676&gt;=I_Parameter!$C$4),1,0))))</f>
        <v/>
      </c>
    </row>
    <row r="677" customFormat="false" ht="15" hidden="false" customHeight="false" outlineLevel="0" collapsed="false">
      <c r="A677" s="37"/>
      <c r="B677" s="44"/>
      <c r="C677" s="44"/>
      <c r="D677" s="44"/>
      <c r="E677" s="44"/>
      <c r="F677" s="44"/>
      <c r="G677" s="34" t="str">
        <f aca="false">IF(F677&lt;&gt;"",F677,IF(E677="","",IFERROR(INDEX(I_Item!$C$6:$C$255,MATCH(E677,I_Item!$A$6:$A$255,0)),"KODE BARU")))</f>
        <v/>
      </c>
      <c r="H677" s="45"/>
      <c r="I677" s="42"/>
      <c r="J677" s="11" t="str">
        <f aca="false">IF(H677="","",H677*I677)</f>
        <v/>
      </c>
      <c r="K677" s="42"/>
      <c r="L677" s="11" t="str">
        <f aca="false">IF(H677="","",IF(K677&lt;&gt;"",K677,H677*IFERROR(INDEX(O_Stok!$Q$6:$Q$85,MATCH(G677,O_Stok!$A$6:$A$85,0)),0)))</f>
        <v/>
      </c>
      <c r="M677" s="11" t="str">
        <f aca="false">IF(H677="","",J677-L677)</f>
        <v/>
      </c>
      <c r="N677" s="34" t="str">
        <f aca="false">IF(G677="","",IFERROR(INDEX(I_Master!$B$6:$B$85,MATCH(G677,I_Master!$A$6:$A$85,0)),"?"))</f>
        <v/>
      </c>
      <c r="O677" s="34" t="str">
        <f aca="false">IF(G677="","",IFERROR(INDEX(I_Master!$E$6:$E$85,MATCH(G677,I_Master!$A$6:$A$85,0)),"?"))</f>
        <v/>
      </c>
      <c r="P677" s="46" t="str">
        <f aca="false">IF(H677="","",IF(OR(A677&lt;I_Parameter!$C$5,A677&gt;I_Parameter!$C$6),0,IF(B677="Aktual",1,IF(AND(B677="Order",A677&gt;=I_Parameter!$C$4),1,0))))</f>
        <v/>
      </c>
    </row>
    <row r="678" customFormat="false" ht="15" hidden="false" customHeight="false" outlineLevel="0" collapsed="false">
      <c r="A678" s="37"/>
      <c r="B678" s="44"/>
      <c r="C678" s="44"/>
      <c r="D678" s="44"/>
      <c r="E678" s="44"/>
      <c r="F678" s="44"/>
      <c r="G678" s="34" t="str">
        <f aca="false">IF(F678&lt;&gt;"",F678,IF(E678="","",IFERROR(INDEX(I_Item!$C$6:$C$255,MATCH(E678,I_Item!$A$6:$A$255,0)),"KODE BARU")))</f>
        <v/>
      </c>
      <c r="H678" s="45"/>
      <c r="I678" s="42"/>
      <c r="J678" s="11" t="str">
        <f aca="false">IF(H678="","",H678*I678)</f>
        <v/>
      </c>
      <c r="K678" s="42"/>
      <c r="L678" s="11" t="str">
        <f aca="false">IF(H678="","",IF(K678&lt;&gt;"",K678,H678*IFERROR(INDEX(O_Stok!$Q$6:$Q$85,MATCH(G678,O_Stok!$A$6:$A$85,0)),0)))</f>
        <v/>
      </c>
      <c r="M678" s="11" t="str">
        <f aca="false">IF(H678="","",J678-L678)</f>
        <v/>
      </c>
      <c r="N678" s="34" t="str">
        <f aca="false">IF(G678="","",IFERROR(INDEX(I_Master!$B$6:$B$85,MATCH(G678,I_Master!$A$6:$A$85,0)),"?"))</f>
        <v/>
      </c>
      <c r="O678" s="34" t="str">
        <f aca="false">IF(G678="","",IFERROR(INDEX(I_Master!$E$6:$E$85,MATCH(G678,I_Master!$A$6:$A$85,0)),"?"))</f>
        <v/>
      </c>
      <c r="P678" s="46" t="str">
        <f aca="false">IF(H678="","",IF(OR(A678&lt;I_Parameter!$C$5,A678&gt;I_Parameter!$C$6),0,IF(B678="Aktual",1,IF(AND(B678="Order",A678&gt;=I_Parameter!$C$4),1,0))))</f>
        <v/>
      </c>
    </row>
    <row r="679" customFormat="false" ht="15" hidden="false" customHeight="false" outlineLevel="0" collapsed="false">
      <c r="A679" s="37"/>
      <c r="B679" s="44"/>
      <c r="C679" s="44"/>
      <c r="D679" s="44"/>
      <c r="E679" s="44"/>
      <c r="F679" s="44"/>
      <c r="G679" s="34" t="str">
        <f aca="false">IF(F679&lt;&gt;"",F679,IF(E679="","",IFERROR(INDEX(I_Item!$C$6:$C$255,MATCH(E679,I_Item!$A$6:$A$255,0)),"KODE BARU")))</f>
        <v/>
      </c>
      <c r="H679" s="45"/>
      <c r="I679" s="42"/>
      <c r="J679" s="11" t="str">
        <f aca="false">IF(H679="","",H679*I679)</f>
        <v/>
      </c>
      <c r="K679" s="42"/>
      <c r="L679" s="11" t="str">
        <f aca="false">IF(H679="","",IF(K679&lt;&gt;"",K679,H679*IFERROR(INDEX(O_Stok!$Q$6:$Q$85,MATCH(G679,O_Stok!$A$6:$A$85,0)),0)))</f>
        <v/>
      </c>
      <c r="M679" s="11" t="str">
        <f aca="false">IF(H679="","",J679-L679)</f>
        <v/>
      </c>
      <c r="N679" s="34" t="str">
        <f aca="false">IF(G679="","",IFERROR(INDEX(I_Master!$B$6:$B$85,MATCH(G679,I_Master!$A$6:$A$85,0)),"?"))</f>
        <v/>
      </c>
      <c r="O679" s="34" t="str">
        <f aca="false">IF(G679="","",IFERROR(INDEX(I_Master!$E$6:$E$85,MATCH(G679,I_Master!$A$6:$A$85,0)),"?"))</f>
        <v/>
      </c>
      <c r="P679" s="46" t="str">
        <f aca="false">IF(H679="","",IF(OR(A679&lt;I_Parameter!$C$5,A679&gt;I_Parameter!$C$6),0,IF(B679="Aktual",1,IF(AND(B679="Order",A679&gt;=I_Parameter!$C$4),1,0))))</f>
        <v/>
      </c>
    </row>
    <row r="680" customFormat="false" ht="15" hidden="false" customHeight="false" outlineLevel="0" collapsed="false">
      <c r="A680" s="37"/>
      <c r="B680" s="44"/>
      <c r="C680" s="44"/>
      <c r="D680" s="44"/>
      <c r="E680" s="44"/>
      <c r="F680" s="44"/>
      <c r="G680" s="34" t="str">
        <f aca="false">IF(F680&lt;&gt;"",F680,IF(E680="","",IFERROR(INDEX(I_Item!$C$6:$C$255,MATCH(E680,I_Item!$A$6:$A$255,0)),"KODE BARU")))</f>
        <v/>
      </c>
      <c r="H680" s="45"/>
      <c r="I680" s="42"/>
      <c r="J680" s="11" t="str">
        <f aca="false">IF(H680="","",H680*I680)</f>
        <v/>
      </c>
      <c r="K680" s="42"/>
      <c r="L680" s="11" t="str">
        <f aca="false">IF(H680="","",IF(K680&lt;&gt;"",K680,H680*IFERROR(INDEX(O_Stok!$Q$6:$Q$85,MATCH(G680,O_Stok!$A$6:$A$85,0)),0)))</f>
        <v/>
      </c>
      <c r="M680" s="11" t="str">
        <f aca="false">IF(H680="","",J680-L680)</f>
        <v/>
      </c>
      <c r="N680" s="34" t="str">
        <f aca="false">IF(G680="","",IFERROR(INDEX(I_Master!$B$6:$B$85,MATCH(G680,I_Master!$A$6:$A$85,0)),"?"))</f>
        <v/>
      </c>
      <c r="O680" s="34" t="str">
        <f aca="false">IF(G680="","",IFERROR(INDEX(I_Master!$E$6:$E$85,MATCH(G680,I_Master!$A$6:$A$85,0)),"?"))</f>
        <v/>
      </c>
      <c r="P680" s="46" t="str">
        <f aca="false">IF(H680="","",IF(OR(A680&lt;I_Parameter!$C$5,A680&gt;I_Parameter!$C$6),0,IF(B680="Aktual",1,IF(AND(B680="Order",A680&gt;=I_Parameter!$C$4),1,0))))</f>
        <v/>
      </c>
    </row>
    <row r="681" customFormat="false" ht="15" hidden="false" customHeight="false" outlineLevel="0" collapsed="false">
      <c r="A681" s="37"/>
      <c r="B681" s="44"/>
      <c r="C681" s="44"/>
      <c r="D681" s="44"/>
      <c r="E681" s="44"/>
      <c r="F681" s="44"/>
      <c r="G681" s="34" t="str">
        <f aca="false">IF(F681&lt;&gt;"",F681,IF(E681="","",IFERROR(INDEX(I_Item!$C$6:$C$255,MATCH(E681,I_Item!$A$6:$A$255,0)),"KODE BARU")))</f>
        <v/>
      </c>
      <c r="H681" s="45"/>
      <c r="I681" s="42"/>
      <c r="J681" s="11" t="str">
        <f aca="false">IF(H681="","",H681*I681)</f>
        <v/>
      </c>
      <c r="K681" s="42"/>
      <c r="L681" s="11" t="str">
        <f aca="false">IF(H681="","",IF(K681&lt;&gt;"",K681,H681*IFERROR(INDEX(O_Stok!$Q$6:$Q$85,MATCH(G681,O_Stok!$A$6:$A$85,0)),0)))</f>
        <v/>
      </c>
      <c r="M681" s="11" t="str">
        <f aca="false">IF(H681="","",J681-L681)</f>
        <v/>
      </c>
      <c r="N681" s="34" t="str">
        <f aca="false">IF(G681="","",IFERROR(INDEX(I_Master!$B$6:$B$85,MATCH(G681,I_Master!$A$6:$A$85,0)),"?"))</f>
        <v/>
      </c>
      <c r="O681" s="34" t="str">
        <f aca="false">IF(G681="","",IFERROR(INDEX(I_Master!$E$6:$E$85,MATCH(G681,I_Master!$A$6:$A$85,0)),"?"))</f>
        <v/>
      </c>
      <c r="P681" s="46" t="str">
        <f aca="false">IF(H681="","",IF(OR(A681&lt;I_Parameter!$C$5,A681&gt;I_Parameter!$C$6),0,IF(B681="Aktual",1,IF(AND(B681="Order",A681&gt;=I_Parameter!$C$4),1,0))))</f>
        <v/>
      </c>
    </row>
    <row r="682" customFormat="false" ht="15" hidden="false" customHeight="false" outlineLevel="0" collapsed="false">
      <c r="A682" s="37"/>
      <c r="B682" s="44"/>
      <c r="C682" s="44"/>
      <c r="D682" s="44"/>
      <c r="E682" s="44"/>
      <c r="F682" s="44"/>
      <c r="G682" s="34" t="str">
        <f aca="false">IF(F682&lt;&gt;"",F682,IF(E682="","",IFERROR(INDEX(I_Item!$C$6:$C$255,MATCH(E682,I_Item!$A$6:$A$255,0)),"KODE BARU")))</f>
        <v/>
      </c>
      <c r="H682" s="45"/>
      <c r="I682" s="42"/>
      <c r="J682" s="11" t="str">
        <f aca="false">IF(H682="","",H682*I682)</f>
        <v/>
      </c>
      <c r="K682" s="42"/>
      <c r="L682" s="11" t="str">
        <f aca="false">IF(H682="","",IF(K682&lt;&gt;"",K682,H682*IFERROR(INDEX(O_Stok!$Q$6:$Q$85,MATCH(G682,O_Stok!$A$6:$A$85,0)),0)))</f>
        <v/>
      </c>
      <c r="M682" s="11" t="str">
        <f aca="false">IF(H682="","",J682-L682)</f>
        <v/>
      </c>
      <c r="N682" s="34" t="str">
        <f aca="false">IF(G682="","",IFERROR(INDEX(I_Master!$B$6:$B$85,MATCH(G682,I_Master!$A$6:$A$85,0)),"?"))</f>
        <v/>
      </c>
      <c r="O682" s="34" t="str">
        <f aca="false">IF(G682="","",IFERROR(INDEX(I_Master!$E$6:$E$85,MATCH(G682,I_Master!$A$6:$A$85,0)),"?"))</f>
        <v/>
      </c>
      <c r="P682" s="46" t="str">
        <f aca="false">IF(H682="","",IF(OR(A682&lt;I_Parameter!$C$5,A682&gt;I_Parameter!$C$6),0,IF(B682="Aktual",1,IF(AND(B682="Order",A682&gt;=I_Parameter!$C$4),1,0))))</f>
        <v/>
      </c>
    </row>
    <row r="683" customFormat="false" ht="15" hidden="false" customHeight="false" outlineLevel="0" collapsed="false">
      <c r="A683" s="37"/>
      <c r="B683" s="44"/>
      <c r="C683" s="44"/>
      <c r="D683" s="44"/>
      <c r="E683" s="44"/>
      <c r="F683" s="44"/>
      <c r="G683" s="34" t="str">
        <f aca="false">IF(F683&lt;&gt;"",F683,IF(E683="","",IFERROR(INDEX(I_Item!$C$6:$C$255,MATCH(E683,I_Item!$A$6:$A$255,0)),"KODE BARU")))</f>
        <v/>
      </c>
      <c r="H683" s="45"/>
      <c r="I683" s="42"/>
      <c r="J683" s="11" t="str">
        <f aca="false">IF(H683="","",H683*I683)</f>
        <v/>
      </c>
      <c r="K683" s="42"/>
      <c r="L683" s="11" t="str">
        <f aca="false">IF(H683="","",IF(K683&lt;&gt;"",K683,H683*IFERROR(INDEX(O_Stok!$Q$6:$Q$85,MATCH(G683,O_Stok!$A$6:$A$85,0)),0)))</f>
        <v/>
      </c>
      <c r="M683" s="11" t="str">
        <f aca="false">IF(H683="","",J683-L683)</f>
        <v/>
      </c>
      <c r="N683" s="34" t="str">
        <f aca="false">IF(G683="","",IFERROR(INDEX(I_Master!$B$6:$B$85,MATCH(G683,I_Master!$A$6:$A$85,0)),"?"))</f>
        <v/>
      </c>
      <c r="O683" s="34" t="str">
        <f aca="false">IF(G683="","",IFERROR(INDEX(I_Master!$E$6:$E$85,MATCH(G683,I_Master!$A$6:$A$85,0)),"?"))</f>
        <v/>
      </c>
      <c r="P683" s="46" t="str">
        <f aca="false">IF(H683="","",IF(OR(A683&lt;I_Parameter!$C$5,A683&gt;I_Parameter!$C$6),0,IF(B683="Aktual",1,IF(AND(B683="Order",A683&gt;=I_Parameter!$C$4),1,0))))</f>
        <v/>
      </c>
    </row>
    <row r="684" customFormat="false" ht="15" hidden="false" customHeight="false" outlineLevel="0" collapsed="false">
      <c r="A684" s="37"/>
      <c r="B684" s="44"/>
      <c r="C684" s="44"/>
      <c r="D684" s="44"/>
      <c r="E684" s="44"/>
      <c r="F684" s="44"/>
      <c r="G684" s="34" t="str">
        <f aca="false">IF(F684&lt;&gt;"",F684,IF(E684="","",IFERROR(INDEX(I_Item!$C$6:$C$255,MATCH(E684,I_Item!$A$6:$A$255,0)),"KODE BARU")))</f>
        <v/>
      </c>
      <c r="H684" s="45"/>
      <c r="I684" s="42"/>
      <c r="J684" s="11" t="str">
        <f aca="false">IF(H684="","",H684*I684)</f>
        <v/>
      </c>
      <c r="K684" s="42"/>
      <c r="L684" s="11" t="str">
        <f aca="false">IF(H684="","",IF(K684&lt;&gt;"",K684,H684*IFERROR(INDEX(O_Stok!$Q$6:$Q$85,MATCH(G684,O_Stok!$A$6:$A$85,0)),0)))</f>
        <v/>
      </c>
      <c r="M684" s="11" t="str">
        <f aca="false">IF(H684="","",J684-L684)</f>
        <v/>
      </c>
      <c r="N684" s="34" t="str">
        <f aca="false">IF(G684="","",IFERROR(INDEX(I_Master!$B$6:$B$85,MATCH(G684,I_Master!$A$6:$A$85,0)),"?"))</f>
        <v/>
      </c>
      <c r="O684" s="34" t="str">
        <f aca="false">IF(G684="","",IFERROR(INDEX(I_Master!$E$6:$E$85,MATCH(G684,I_Master!$A$6:$A$85,0)),"?"))</f>
        <v/>
      </c>
      <c r="P684" s="46" t="str">
        <f aca="false">IF(H684="","",IF(OR(A684&lt;I_Parameter!$C$5,A684&gt;I_Parameter!$C$6),0,IF(B684="Aktual",1,IF(AND(B684="Order",A684&gt;=I_Parameter!$C$4),1,0))))</f>
        <v/>
      </c>
    </row>
    <row r="685" customFormat="false" ht="15" hidden="false" customHeight="false" outlineLevel="0" collapsed="false">
      <c r="A685" s="37"/>
      <c r="B685" s="44"/>
      <c r="C685" s="44"/>
      <c r="D685" s="44"/>
      <c r="E685" s="44"/>
      <c r="F685" s="44"/>
      <c r="G685" s="34" t="str">
        <f aca="false">IF(F685&lt;&gt;"",F685,IF(E685="","",IFERROR(INDEX(I_Item!$C$6:$C$255,MATCH(E685,I_Item!$A$6:$A$255,0)),"KODE BARU")))</f>
        <v/>
      </c>
      <c r="H685" s="45"/>
      <c r="I685" s="42"/>
      <c r="J685" s="11" t="str">
        <f aca="false">IF(H685="","",H685*I685)</f>
        <v/>
      </c>
      <c r="K685" s="42"/>
      <c r="L685" s="11" t="str">
        <f aca="false">IF(H685="","",IF(K685&lt;&gt;"",K685,H685*IFERROR(INDEX(O_Stok!$Q$6:$Q$85,MATCH(G685,O_Stok!$A$6:$A$85,0)),0)))</f>
        <v/>
      </c>
      <c r="M685" s="11" t="str">
        <f aca="false">IF(H685="","",J685-L685)</f>
        <v/>
      </c>
      <c r="N685" s="34" t="str">
        <f aca="false">IF(G685="","",IFERROR(INDEX(I_Master!$B$6:$B$85,MATCH(G685,I_Master!$A$6:$A$85,0)),"?"))</f>
        <v/>
      </c>
      <c r="O685" s="34" t="str">
        <f aca="false">IF(G685="","",IFERROR(INDEX(I_Master!$E$6:$E$85,MATCH(G685,I_Master!$A$6:$A$85,0)),"?"))</f>
        <v/>
      </c>
      <c r="P685" s="46" t="str">
        <f aca="false">IF(H685="","",IF(OR(A685&lt;I_Parameter!$C$5,A685&gt;I_Parameter!$C$6),0,IF(B685="Aktual",1,IF(AND(B685="Order",A685&gt;=I_Parameter!$C$4),1,0))))</f>
        <v/>
      </c>
    </row>
    <row r="686" customFormat="false" ht="15" hidden="false" customHeight="false" outlineLevel="0" collapsed="false">
      <c r="A686" s="37"/>
      <c r="B686" s="44"/>
      <c r="C686" s="44"/>
      <c r="D686" s="44"/>
      <c r="E686" s="44"/>
      <c r="F686" s="44"/>
      <c r="G686" s="34" t="str">
        <f aca="false">IF(F686&lt;&gt;"",F686,IF(E686="","",IFERROR(INDEX(I_Item!$C$6:$C$255,MATCH(E686,I_Item!$A$6:$A$255,0)),"KODE BARU")))</f>
        <v/>
      </c>
      <c r="H686" s="45"/>
      <c r="I686" s="42"/>
      <c r="J686" s="11" t="str">
        <f aca="false">IF(H686="","",H686*I686)</f>
        <v/>
      </c>
      <c r="K686" s="42"/>
      <c r="L686" s="11" t="str">
        <f aca="false">IF(H686="","",IF(K686&lt;&gt;"",K686,H686*IFERROR(INDEX(O_Stok!$Q$6:$Q$85,MATCH(G686,O_Stok!$A$6:$A$85,0)),0)))</f>
        <v/>
      </c>
      <c r="M686" s="11" t="str">
        <f aca="false">IF(H686="","",J686-L686)</f>
        <v/>
      </c>
      <c r="N686" s="34" t="str">
        <f aca="false">IF(G686="","",IFERROR(INDEX(I_Master!$B$6:$B$85,MATCH(G686,I_Master!$A$6:$A$85,0)),"?"))</f>
        <v/>
      </c>
      <c r="O686" s="34" t="str">
        <f aca="false">IF(G686="","",IFERROR(INDEX(I_Master!$E$6:$E$85,MATCH(G686,I_Master!$A$6:$A$85,0)),"?"))</f>
        <v/>
      </c>
      <c r="P686" s="46" t="str">
        <f aca="false">IF(H686="","",IF(OR(A686&lt;I_Parameter!$C$5,A686&gt;I_Parameter!$C$6),0,IF(B686="Aktual",1,IF(AND(B686="Order",A686&gt;=I_Parameter!$C$4),1,0))))</f>
        <v/>
      </c>
    </row>
    <row r="687" customFormat="false" ht="15" hidden="false" customHeight="false" outlineLevel="0" collapsed="false">
      <c r="A687" s="37"/>
      <c r="B687" s="44"/>
      <c r="C687" s="44"/>
      <c r="D687" s="44"/>
      <c r="E687" s="44"/>
      <c r="F687" s="44"/>
      <c r="G687" s="34" t="str">
        <f aca="false">IF(F687&lt;&gt;"",F687,IF(E687="","",IFERROR(INDEX(I_Item!$C$6:$C$255,MATCH(E687,I_Item!$A$6:$A$255,0)),"KODE BARU")))</f>
        <v/>
      </c>
      <c r="H687" s="45"/>
      <c r="I687" s="42"/>
      <c r="J687" s="11" t="str">
        <f aca="false">IF(H687="","",H687*I687)</f>
        <v/>
      </c>
      <c r="K687" s="42"/>
      <c r="L687" s="11" t="str">
        <f aca="false">IF(H687="","",IF(K687&lt;&gt;"",K687,H687*IFERROR(INDEX(O_Stok!$Q$6:$Q$85,MATCH(G687,O_Stok!$A$6:$A$85,0)),0)))</f>
        <v/>
      </c>
      <c r="M687" s="11" t="str">
        <f aca="false">IF(H687="","",J687-L687)</f>
        <v/>
      </c>
      <c r="N687" s="34" t="str">
        <f aca="false">IF(G687="","",IFERROR(INDEX(I_Master!$B$6:$B$85,MATCH(G687,I_Master!$A$6:$A$85,0)),"?"))</f>
        <v/>
      </c>
      <c r="O687" s="34" t="str">
        <f aca="false">IF(G687="","",IFERROR(INDEX(I_Master!$E$6:$E$85,MATCH(G687,I_Master!$A$6:$A$85,0)),"?"))</f>
        <v/>
      </c>
      <c r="P687" s="46" t="str">
        <f aca="false">IF(H687="","",IF(OR(A687&lt;I_Parameter!$C$5,A687&gt;I_Parameter!$C$6),0,IF(B687="Aktual",1,IF(AND(B687="Order",A687&gt;=I_Parameter!$C$4),1,0))))</f>
        <v/>
      </c>
    </row>
    <row r="688" customFormat="false" ht="15" hidden="false" customHeight="false" outlineLevel="0" collapsed="false">
      <c r="A688" s="37"/>
      <c r="B688" s="44"/>
      <c r="C688" s="44"/>
      <c r="D688" s="44"/>
      <c r="E688" s="44"/>
      <c r="F688" s="44"/>
      <c r="G688" s="34" t="str">
        <f aca="false">IF(F688&lt;&gt;"",F688,IF(E688="","",IFERROR(INDEX(I_Item!$C$6:$C$255,MATCH(E688,I_Item!$A$6:$A$255,0)),"KODE BARU")))</f>
        <v/>
      </c>
      <c r="H688" s="45"/>
      <c r="I688" s="42"/>
      <c r="J688" s="11" t="str">
        <f aca="false">IF(H688="","",H688*I688)</f>
        <v/>
      </c>
      <c r="K688" s="42"/>
      <c r="L688" s="11" t="str">
        <f aca="false">IF(H688="","",IF(K688&lt;&gt;"",K688,H688*IFERROR(INDEX(O_Stok!$Q$6:$Q$85,MATCH(G688,O_Stok!$A$6:$A$85,0)),0)))</f>
        <v/>
      </c>
      <c r="M688" s="11" t="str">
        <f aca="false">IF(H688="","",J688-L688)</f>
        <v/>
      </c>
      <c r="N688" s="34" t="str">
        <f aca="false">IF(G688="","",IFERROR(INDEX(I_Master!$B$6:$B$85,MATCH(G688,I_Master!$A$6:$A$85,0)),"?"))</f>
        <v/>
      </c>
      <c r="O688" s="34" t="str">
        <f aca="false">IF(G688="","",IFERROR(INDEX(I_Master!$E$6:$E$85,MATCH(G688,I_Master!$A$6:$A$85,0)),"?"))</f>
        <v/>
      </c>
      <c r="P688" s="46" t="str">
        <f aca="false">IF(H688="","",IF(OR(A688&lt;I_Parameter!$C$5,A688&gt;I_Parameter!$C$6),0,IF(B688="Aktual",1,IF(AND(B688="Order",A688&gt;=I_Parameter!$C$4),1,0))))</f>
        <v/>
      </c>
    </row>
    <row r="689" customFormat="false" ht="15" hidden="false" customHeight="false" outlineLevel="0" collapsed="false">
      <c r="A689" s="37"/>
      <c r="B689" s="44"/>
      <c r="C689" s="44"/>
      <c r="D689" s="44"/>
      <c r="E689" s="44"/>
      <c r="F689" s="44"/>
      <c r="G689" s="34" t="str">
        <f aca="false">IF(F689&lt;&gt;"",F689,IF(E689="","",IFERROR(INDEX(I_Item!$C$6:$C$255,MATCH(E689,I_Item!$A$6:$A$255,0)),"KODE BARU")))</f>
        <v/>
      </c>
      <c r="H689" s="45"/>
      <c r="I689" s="42"/>
      <c r="J689" s="11" t="str">
        <f aca="false">IF(H689="","",H689*I689)</f>
        <v/>
      </c>
      <c r="K689" s="42"/>
      <c r="L689" s="11" t="str">
        <f aca="false">IF(H689="","",IF(K689&lt;&gt;"",K689,H689*IFERROR(INDEX(O_Stok!$Q$6:$Q$85,MATCH(G689,O_Stok!$A$6:$A$85,0)),0)))</f>
        <v/>
      </c>
      <c r="M689" s="11" t="str">
        <f aca="false">IF(H689="","",J689-L689)</f>
        <v/>
      </c>
      <c r="N689" s="34" t="str">
        <f aca="false">IF(G689="","",IFERROR(INDEX(I_Master!$B$6:$B$85,MATCH(G689,I_Master!$A$6:$A$85,0)),"?"))</f>
        <v/>
      </c>
      <c r="O689" s="34" t="str">
        <f aca="false">IF(G689="","",IFERROR(INDEX(I_Master!$E$6:$E$85,MATCH(G689,I_Master!$A$6:$A$85,0)),"?"))</f>
        <v/>
      </c>
      <c r="P689" s="46" t="str">
        <f aca="false">IF(H689="","",IF(OR(A689&lt;I_Parameter!$C$5,A689&gt;I_Parameter!$C$6),0,IF(B689="Aktual",1,IF(AND(B689="Order",A689&gt;=I_Parameter!$C$4),1,0))))</f>
        <v/>
      </c>
    </row>
    <row r="690" customFormat="false" ht="15" hidden="false" customHeight="false" outlineLevel="0" collapsed="false">
      <c r="A690" s="37"/>
      <c r="B690" s="44"/>
      <c r="C690" s="44"/>
      <c r="D690" s="44"/>
      <c r="E690" s="44"/>
      <c r="F690" s="44"/>
      <c r="G690" s="34" t="str">
        <f aca="false">IF(F690&lt;&gt;"",F690,IF(E690="","",IFERROR(INDEX(I_Item!$C$6:$C$255,MATCH(E690,I_Item!$A$6:$A$255,0)),"KODE BARU")))</f>
        <v/>
      </c>
      <c r="H690" s="45"/>
      <c r="I690" s="42"/>
      <c r="J690" s="11" t="str">
        <f aca="false">IF(H690="","",H690*I690)</f>
        <v/>
      </c>
      <c r="K690" s="42"/>
      <c r="L690" s="11" t="str">
        <f aca="false">IF(H690="","",IF(K690&lt;&gt;"",K690,H690*IFERROR(INDEX(O_Stok!$Q$6:$Q$85,MATCH(G690,O_Stok!$A$6:$A$85,0)),0)))</f>
        <v/>
      </c>
      <c r="M690" s="11" t="str">
        <f aca="false">IF(H690="","",J690-L690)</f>
        <v/>
      </c>
      <c r="N690" s="34" t="str">
        <f aca="false">IF(G690="","",IFERROR(INDEX(I_Master!$B$6:$B$85,MATCH(G690,I_Master!$A$6:$A$85,0)),"?"))</f>
        <v/>
      </c>
      <c r="O690" s="34" t="str">
        <f aca="false">IF(G690="","",IFERROR(INDEX(I_Master!$E$6:$E$85,MATCH(G690,I_Master!$A$6:$A$85,0)),"?"))</f>
        <v/>
      </c>
      <c r="P690" s="46" t="str">
        <f aca="false">IF(H690="","",IF(OR(A690&lt;I_Parameter!$C$5,A690&gt;I_Parameter!$C$6),0,IF(B690="Aktual",1,IF(AND(B690="Order",A690&gt;=I_Parameter!$C$4),1,0))))</f>
        <v/>
      </c>
    </row>
    <row r="691" customFormat="false" ht="15" hidden="false" customHeight="false" outlineLevel="0" collapsed="false">
      <c r="A691" s="37"/>
      <c r="B691" s="44"/>
      <c r="C691" s="44"/>
      <c r="D691" s="44"/>
      <c r="E691" s="44"/>
      <c r="F691" s="44"/>
      <c r="G691" s="34" t="str">
        <f aca="false">IF(F691&lt;&gt;"",F691,IF(E691="","",IFERROR(INDEX(I_Item!$C$6:$C$255,MATCH(E691,I_Item!$A$6:$A$255,0)),"KODE BARU")))</f>
        <v/>
      </c>
      <c r="H691" s="45"/>
      <c r="I691" s="42"/>
      <c r="J691" s="11" t="str">
        <f aca="false">IF(H691="","",H691*I691)</f>
        <v/>
      </c>
      <c r="K691" s="42"/>
      <c r="L691" s="11" t="str">
        <f aca="false">IF(H691="","",IF(K691&lt;&gt;"",K691,H691*IFERROR(INDEX(O_Stok!$Q$6:$Q$85,MATCH(G691,O_Stok!$A$6:$A$85,0)),0)))</f>
        <v/>
      </c>
      <c r="M691" s="11" t="str">
        <f aca="false">IF(H691="","",J691-L691)</f>
        <v/>
      </c>
      <c r="N691" s="34" t="str">
        <f aca="false">IF(G691="","",IFERROR(INDEX(I_Master!$B$6:$B$85,MATCH(G691,I_Master!$A$6:$A$85,0)),"?"))</f>
        <v/>
      </c>
      <c r="O691" s="34" t="str">
        <f aca="false">IF(G691="","",IFERROR(INDEX(I_Master!$E$6:$E$85,MATCH(G691,I_Master!$A$6:$A$85,0)),"?"))</f>
        <v/>
      </c>
      <c r="P691" s="46" t="str">
        <f aca="false">IF(H691="","",IF(OR(A691&lt;I_Parameter!$C$5,A691&gt;I_Parameter!$C$6),0,IF(B691="Aktual",1,IF(AND(B691="Order",A691&gt;=I_Parameter!$C$4),1,0))))</f>
        <v/>
      </c>
    </row>
    <row r="692" customFormat="false" ht="15" hidden="false" customHeight="false" outlineLevel="0" collapsed="false">
      <c r="A692" s="37"/>
      <c r="B692" s="44"/>
      <c r="C692" s="44"/>
      <c r="D692" s="44"/>
      <c r="E692" s="44"/>
      <c r="F692" s="44"/>
      <c r="G692" s="34" t="str">
        <f aca="false">IF(F692&lt;&gt;"",F692,IF(E692="","",IFERROR(INDEX(I_Item!$C$6:$C$255,MATCH(E692,I_Item!$A$6:$A$255,0)),"KODE BARU")))</f>
        <v/>
      </c>
      <c r="H692" s="45"/>
      <c r="I692" s="42"/>
      <c r="J692" s="11" t="str">
        <f aca="false">IF(H692="","",H692*I692)</f>
        <v/>
      </c>
      <c r="K692" s="42"/>
      <c r="L692" s="11" t="str">
        <f aca="false">IF(H692="","",IF(K692&lt;&gt;"",K692,H692*IFERROR(INDEX(O_Stok!$Q$6:$Q$85,MATCH(G692,O_Stok!$A$6:$A$85,0)),0)))</f>
        <v/>
      </c>
      <c r="M692" s="11" t="str">
        <f aca="false">IF(H692="","",J692-L692)</f>
        <v/>
      </c>
      <c r="N692" s="34" t="str">
        <f aca="false">IF(G692="","",IFERROR(INDEX(I_Master!$B$6:$B$85,MATCH(G692,I_Master!$A$6:$A$85,0)),"?"))</f>
        <v/>
      </c>
      <c r="O692" s="34" t="str">
        <f aca="false">IF(G692="","",IFERROR(INDEX(I_Master!$E$6:$E$85,MATCH(G692,I_Master!$A$6:$A$85,0)),"?"))</f>
        <v/>
      </c>
      <c r="P692" s="46" t="str">
        <f aca="false">IF(H692="","",IF(OR(A692&lt;I_Parameter!$C$5,A692&gt;I_Parameter!$C$6),0,IF(B692="Aktual",1,IF(AND(B692="Order",A692&gt;=I_Parameter!$C$4),1,0))))</f>
        <v/>
      </c>
    </row>
    <row r="693" customFormat="false" ht="15" hidden="false" customHeight="false" outlineLevel="0" collapsed="false">
      <c r="A693" s="37"/>
      <c r="B693" s="44"/>
      <c r="C693" s="44"/>
      <c r="D693" s="44"/>
      <c r="E693" s="44"/>
      <c r="F693" s="44"/>
      <c r="G693" s="34" t="str">
        <f aca="false">IF(F693&lt;&gt;"",F693,IF(E693="","",IFERROR(INDEX(I_Item!$C$6:$C$255,MATCH(E693,I_Item!$A$6:$A$255,0)),"KODE BARU")))</f>
        <v/>
      </c>
      <c r="H693" s="45"/>
      <c r="I693" s="42"/>
      <c r="J693" s="11" t="str">
        <f aca="false">IF(H693="","",H693*I693)</f>
        <v/>
      </c>
      <c r="K693" s="42"/>
      <c r="L693" s="11" t="str">
        <f aca="false">IF(H693="","",IF(K693&lt;&gt;"",K693,H693*IFERROR(INDEX(O_Stok!$Q$6:$Q$85,MATCH(G693,O_Stok!$A$6:$A$85,0)),0)))</f>
        <v/>
      </c>
      <c r="M693" s="11" t="str">
        <f aca="false">IF(H693="","",J693-L693)</f>
        <v/>
      </c>
      <c r="N693" s="34" t="str">
        <f aca="false">IF(G693="","",IFERROR(INDEX(I_Master!$B$6:$B$85,MATCH(G693,I_Master!$A$6:$A$85,0)),"?"))</f>
        <v/>
      </c>
      <c r="O693" s="34" t="str">
        <f aca="false">IF(G693="","",IFERROR(INDEX(I_Master!$E$6:$E$85,MATCH(G693,I_Master!$A$6:$A$85,0)),"?"))</f>
        <v/>
      </c>
      <c r="P693" s="46" t="str">
        <f aca="false">IF(H693="","",IF(OR(A693&lt;I_Parameter!$C$5,A693&gt;I_Parameter!$C$6),0,IF(B693="Aktual",1,IF(AND(B693="Order",A693&gt;=I_Parameter!$C$4),1,0))))</f>
        <v/>
      </c>
    </row>
    <row r="694" customFormat="false" ht="15" hidden="false" customHeight="false" outlineLevel="0" collapsed="false">
      <c r="A694" s="37"/>
      <c r="B694" s="44"/>
      <c r="C694" s="44"/>
      <c r="D694" s="44"/>
      <c r="E694" s="44"/>
      <c r="F694" s="44"/>
      <c r="G694" s="34" t="str">
        <f aca="false">IF(F694&lt;&gt;"",F694,IF(E694="","",IFERROR(INDEX(I_Item!$C$6:$C$255,MATCH(E694,I_Item!$A$6:$A$255,0)),"KODE BARU")))</f>
        <v/>
      </c>
      <c r="H694" s="45"/>
      <c r="I694" s="42"/>
      <c r="J694" s="11" t="str">
        <f aca="false">IF(H694="","",H694*I694)</f>
        <v/>
      </c>
      <c r="K694" s="42"/>
      <c r="L694" s="11" t="str">
        <f aca="false">IF(H694="","",IF(K694&lt;&gt;"",K694,H694*IFERROR(INDEX(O_Stok!$Q$6:$Q$85,MATCH(G694,O_Stok!$A$6:$A$85,0)),0)))</f>
        <v/>
      </c>
      <c r="M694" s="11" t="str">
        <f aca="false">IF(H694="","",J694-L694)</f>
        <v/>
      </c>
      <c r="N694" s="34" t="str">
        <f aca="false">IF(G694="","",IFERROR(INDEX(I_Master!$B$6:$B$85,MATCH(G694,I_Master!$A$6:$A$85,0)),"?"))</f>
        <v/>
      </c>
      <c r="O694" s="34" t="str">
        <f aca="false">IF(G694="","",IFERROR(INDEX(I_Master!$E$6:$E$85,MATCH(G694,I_Master!$A$6:$A$85,0)),"?"))</f>
        <v/>
      </c>
      <c r="P694" s="46" t="str">
        <f aca="false">IF(H694="","",IF(OR(A694&lt;I_Parameter!$C$5,A694&gt;I_Parameter!$C$6),0,IF(B694="Aktual",1,IF(AND(B694="Order",A694&gt;=I_Parameter!$C$4),1,0))))</f>
        <v/>
      </c>
    </row>
    <row r="695" customFormat="false" ht="15" hidden="false" customHeight="false" outlineLevel="0" collapsed="false">
      <c r="A695" s="37"/>
      <c r="B695" s="44"/>
      <c r="C695" s="44"/>
      <c r="D695" s="44"/>
      <c r="E695" s="44"/>
      <c r="F695" s="44"/>
      <c r="G695" s="34" t="str">
        <f aca="false">IF(F695&lt;&gt;"",F695,IF(E695="","",IFERROR(INDEX(I_Item!$C$6:$C$255,MATCH(E695,I_Item!$A$6:$A$255,0)),"KODE BARU")))</f>
        <v/>
      </c>
      <c r="H695" s="45"/>
      <c r="I695" s="42"/>
      <c r="J695" s="11" t="str">
        <f aca="false">IF(H695="","",H695*I695)</f>
        <v/>
      </c>
      <c r="K695" s="42"/>
      <c r="L695" s="11" t="str">
        <f aca="false">IF(H695="","",IF(K695&lt;&gt;"",K695,H695*IFERROR(INDEX(O_Stok!$Q$6:$Q$85,MATCH(G695,O_Stok!$A$6:$A$85,0)),0)))</f>
        <v/>
      </c>
      <c r="M695" s="11" t="str">
        <f aca="false">IF(H695="","",J695-L695)</f>
        <v/>
      </c>
      <c r="N695" s="34" t="str">
        <f aca="false">IF(G695="","",IFERROR(INDEX(I_Master!$B$6:$B$85,MATCH(G695,I_Master!$A$6:$A$85,0)),"?"))</f>
        <v/>
      </c>
      <c r="O695" s="34" t="str">
        <f aca="false">IF(G695="","",IFERROR(INDEX(I_Master!$E$6:$E$85,MATCH(G695,I_Master!$A$6:$A$85,0)),"?"))</f>
        <v/>
      </c>
      <c r="P695" s="46" t="str">
        <f aca="false">IF(H695="","",IF(OR(A695&lt;I_Parameter!$C$5,A695&gt;I_Parameter!$C$6),0,IF(B695="Aktual",1,IF(AND(B695="Order",A695&gt;=I_Parameter!$C$4),1,0))))</f>
        <v/>
      </c>
    </row>
    <row r="696" customFormat="false" ht="15" hidden="false" customHeight="false" outlineLevel="0" collapsed="false">
      <c r="A696" s="37"/>
      <c r="B696" s="44"/>
      <c r="C696" s="44"/>
      <c r="D696" s="44"/>
      <c r="E696" s="44"/>
      <c r="F696" s="44"/>
      <c r="G696" s="34" t="str">
        <f aca="false">IF(F696&lt;&gt;"",F696,IF(E696="","",IFERROR(INDEX(I_Item!$C$6:$C$255,MATCH(E696,I_Item!$A$6:$A$255,0)),"KODE BARU")))</f>
        <v/>
      </c>
      <c r="H696" s="45"/>
      <c r="I696" s="42"/>
      <c r="J696" s="11" t="str">
        <f aca="false">IF(H696="","",H696*I696)</f>
        <v/>
      </c>
      <c r="K696" s="42"/>
      <c r="L696" s="11" t="str">
        <f aca="false">IF(H696="","",IF(K696&lt;&gt;"",K696,H696*IFERROR(INDEX(O_Stok!$Q$6:$Q$85,MATCH(G696,O_Stok!$A$6:$A$85,0)),0)))</f>
        <v/>
      </c>
      <c r="M696" s="11" t="str">
        <f aca="false">IF(H696="","",J696-L696)</f>
        <v/>
      </c>
      <c r="N696" s="34" t="str">
        <f aca="false">IF(G696="","",IFERROR(INDEX(I_Master!$B$6:$B$85,MATCH(G696,I_Master!$A$6:$A$85,0)),"?"))</f>
        <v/>
      </c>
      <c r="O696" s="34" t="str">
        <f aca="false">IF(G696="","",IFERROR(INDEX(I_Master!$E$6:$E$85,MATCH(G696,I_Master!$A$6:$A$85,0)),"?"))</f>
        <v/>
      </c>
      <c r="P696" s="46" t="str">
        <f aca="false">IF(H696="","",IF(OR(A696&lt;I_Parameter!$C$5,A696&gt;I_Parameter!$C$6),0,IF(B696="Aktual",1,IF(AND(B696="Order",A696&gt;=I_Parameter!$C$4),1,0))))</f>
        <v/>
      </c>
    </row>
    <row r="697" customFormat="false" ht="15" hidden="false" customHeight="false" outlineLevel="0" collapsed="false">
      <c r="A697" s="37"/>
      <c r="B697" s="44"/>
      <c r="C697" s="44"/>
      <c r="D697" s="44"/>
      <c r="E697" s="44"/>
      <c r="F697" s="44"/>
      <c r="G697" s="34" t="str">
        <f aca="false">IF(F697&lt;&gt;"",F697,IF(E697="","",IFERROR(INDEX(I_Item!$C$6:$C$255,MATCH(E697,I_Item!$A$6:$A$255,0)),"KODE BARU")))</f>
        <v/>
      </c>
      <c r="H697" s="45"/>
      <c r="I697" s="42"/>
      <c r="J697" s="11" t="str">
        <f aca="false">IF(H697="","",H697*I697)</f>
        <v/>
      </c>
      <c r="K697" s="42"/>
      <c r="L697" s="11" t="str">
        <f aca="false">IF(H697="","",IF(K697&lt;&gt;"",K697,H697*IFERROR(INDEX(O_Stok!$Q$6:$Q$85,MATCH(G697,O_Stok!$A$6:$A$85,0)),0)))</f>
        <v/>
      </c>
      <c r="M697" s="11" t="str">
        <f aca="false">IF(H697="","",J697-L697)</f>
        <v/>
      </c>
      <c r="N697" s="34" t="str">
        <f aca="false">IF(G697="","",IFERROR(INDEX(I_Master!$B$6:$B$85,MATCH(G697,I_Master!$A$6:$A$85,0)),"?"))</f>
        <v/>
      </c>
      <c r="O697" s="34" t="str">
        <f aca="false">IF(G697="","",IFERROR(INDEX(I_Master!$E$6:$E$85,MATCH(G697,I_Master!$A$6:$A$85,0)),"?"))</f>
        <v/>
      </c>
      <c r="P697" s="46" t="str">
        <f aca="false">IF(H697="","",IF(OR(A697&lt;I_Parameter!$C$5,A697&gt;I_Parameter!$C$6),0,IF(B697="Aktual",1,IF(AND(B697="Order",A697&gt;=I_Parameter!$C$4),1,0))))</f>
        <v/>
      </c>
    </row>
    <row r="698" customFormat="false" ht="15" hidden="false" customHeight="false" outlineLevel="0" collapsed="false">
      <c r="A698" s="37"/>
      <c r="B698" s="44"/>
      <c r="C698" s="44"/>
      <c r="D698" s="44"/>
      <c r="E698" s="44"/>
      <c r="F698" s="44"/>
      <c r="G698" s="34" t="str">
        <f aca="false">IF(F698&lt;&gt;"",F698,IF(E698="","",IFERROR(INDEX(I_Item!$C$6:$C$255,MATCH(E698,I_Item!$A$6:$A$255,0)),"KODE BARU")))</f>
        <v/>
      </c>
      <c r="H698" s="45"/>
      <c r="I698" s="42"/>
      <c r="J698" s="11" t="str">
        <f aca="false">IF(H698="","",H698*I698)</f>
        <v/>
      </c>
      <c r="K698" s="42"/>
      <c r="L698" s="11" t="str">
        <f aca="false">IF(H698="","",IF(K698&lt;&gt;"",K698,H698*IFERROR(INDEX(O_Stok!$Q$6:$Q$85,MATCH(G698,O_Stok!$A$6:$A$85,0)),0)))</f>
        <v/>
      </c>
      <c r="M698" s="11" t="str">
        <f aca="false">IF(H698="","",J698-L698)</f>
        <v/>
      </c>
      <c r="N698" s="34" t="str">
        <f aca="false">IF(G698="","",IFERROR(INDEX(I_Master!$B$6:$B$85,MATCH(G698,I_Master!$A$6:$A$85,0)),"?"))</f>
        <v/>
      </c>
      <c r="O698" s="34" t="str">
        <f aca="false">IF(G698="","",IFERROR(INDEX(I_Master!$E$6:$E$85,MATCH(G698,I_Master!$A$6:$A$85,0)),"?"))</f>
        <v/>
      </c>
      <c r="P698" s="46" t="str">
        <f aca="false">IF(H698="","",IF(OR(A698&lt;I_Parameter!$C$5,A698&gt;I_Parameter!$C$6),0,IF(B698="Aktual",1,IF(AND(B698="Order",A698&gt;=I_Parameter!$C$4),1,0))))</f>
        <v/>
      </c>
    </row>
    <row r="699" customFormat="false" ht="15" hidden="false" customHeight="false" outlineLevel="0" collapsed="false">
      <c r="A699" s="37"/>
      <c r="B699" s="44"/>
      <c r="C699" s="44"/>
      <c r="D699" s="44"/>
      <c r="E699" s="44"/>
      <c r="F699" s="44"/>
      <c r="G699" s="34" t="str">
        <f aca="false">IF(F699&lt;&gt;"",F699,IF(E699="","",IFERROR(INDEX(I_Item!$C$6:$C$255,MATCH(E699,I_Item!$A$6:$A$255,0)),"KODE BARU")))</f>
        <v/>
      </c>
      <c r="H699" s="45"/>
      <c r="I699" s="42"/>
      <c r="J699" s="11" t="str">
        <f aca="false">IF(H699="","",H699*I699)</f>
        <v/>
      </c>
      <c r="K699" s="42"/>
      <c r="L699" s="11" t="str">
        <f aca="false">IF(H699="","",IF(K699&lt;&gt;"",K699,H699*IFERROR(INDEX(O_Stok!$Q$6:$Q$85,MATCH(G699,O_Stok!$A$6:$A$85,0)),0)))</f>
        <v/>
      </c>
      <c r="M699" s="11" t="str">
        <f aca="false">IF(H699="","",J699-L699)</f>
        <v/>
      </c>
      <c r="N699" s="34" t="str">
        <f aca="false">IF(G699="","",IFERROR(INDEX(I_Master!$B$6:$B$85,MATCH(G699,I_Master!$A$6:$A$85,0)),"?"))</f>
        <v/>
      </c>
      <c r="O699" s="34" t="str">
        <f aca="false">IF(G699="","",IFERROR(INDEX(I_Master!$E$6:$E$85,MATCH(G699,I_Master!$A$6:$A$85,0)),"?"))</f>
        <v/>
      </c>
      <c r="P699" s="46" t="str">
        <f aca="false">IF(H699="","",IF(OR(A699&lt;I_Parameter!$C$5,A699&gt;I_Parameter!$C$6),0,IF(B699="Aktual",1,IF(AND(B699="Order",A699&gt;=I_Parameter!$C$4),1,0))))</f>
        <v/>
      </c>
    </row>
    <row r="700" customFormat="false" ht="15" hidden="false" customHeight="false" outlineLevel="0" collapsed="false">
      <c r="A700" s="37"/>
      <c r="B700" s="44"/>
      <c r="C700" s="44"/>
      <c r="D700" s="44"/>
      <c r="E700" s="44"/>
      <c r="F700" s="44"/>
      <c r="G700" s="34" t="str">
        <f aca="false">IF(F700&lt;&gt;"",F700,IF(E700="","",IFERROR(INDEX(I_Item!$C$6:$C$255,MATCH(E700,I_Item!$A$6:$A$255,0)),"KODE BARU")))</f>
        <v/>
      </c>
      <c r="H700" s="45"/>
      <c r="I700" s="42"/>
      <c r="J700" s="11" t="str">
        <f aca="false">IF(H700="","",H700*I700)</f>
        <v/>
      </c>
      <c r="K700" s="42"/>
      <c r="L700" s="11" t="str">
        <f aca="false">IF(H700="","",IF(K700&lt;&gt;"",K700,H700*IFERROR(INDEX(O_Stok!$Q$6:$Q$85,MATCH(G700,O_Stok!$A$6:$A$85,0)),0)))</f>
        <v/>
      </c>
      <c r="M700" s="11" t="str">
        <f aca="false">IF(H700="","",J700-L700)</f>
        <v/>
      </c>
      <c r="N700" s="34" t="str">
        <f aca="false">IF(G700="","",IFERROR(INDEX(I_Master!$B$6:$B$85,MATCH(G700,I_Master!$A$6:$A$85,0)),"?"))</f>
        <v/>
      </c>
      <c r="O700" s="34" t="str">
        <f aca="false">IF(G700="","",IFERROR(INDEX(I_Master!$E$6:$E$85,MATCH(G700,I_Master!$A$6:$A$85,0)),"?"))</f>
        <v/>
      </c>
      <c r="P700" s="46" t="str">
        <f aca="false">IF(H700="","",IF(OR(A700&lt;I_Parameter!$C$5,A700&gt;I_Parameter!$C$6),0,IF(B700="Aktual",1,IF(AND(B700="Order",A700&gt;=I_Parameter!$C$4),1,0))))</f>
        <v/>
      </c>
    </row>
    <row r="701" customFormat="false" ht="15" hidden="false" customHeight="false" outlineLevel="0" collapsed="false">
      <c r="A701" s="37"/>
      <c r="B701" s="44"/>
      <c r="C701" s="44"/>
      <c r="D701" s="44"/>
      <c r="E701" s="44"/>
      <c r="F701" s="44"/>
      <c r="G701" s="34" t="str">
        <f aca="false">IF(F701&lt;&gt;"",F701,IF(E701="","",IFERROR(INDEX(I_Item!$C$6:$C$255,MATCH(E701,I_Item!$A$6:$A$255,0)),"KODE BARU")))</f>
        <v/>
      </c>
      <c r="H701" s="45"/>
      <c r="I701" s="42"/>
      <c r="J701" s="11" t="str">
        <f aca="false">IF(H701="","",H701*I701)</f>
        <v/>
      </c>
      <c r="K701" s="42"/>
      <c r="L701" s="11" t="str">
        <f aca="false">IF(H701="","",IF(K701&lt;&gt;"",K701,H701*IFERROR(INDEX(O_Stok!$Q$6:$Q$85,MATCH(G701,O_Stok!$A$6:$A$85,0)),0)))</f>
        <v/>
      </c>
      <c r="M701" s="11" t="str">
        <f aca="false">IF(H701="","",J701-L701)</f>
        <v/>
      </c>
      <c r="N701" s="34" t="str">
        <f aca="false">IF(G701="","",IFERROR(INDEX(I_Master!$B$6:$B$85,MATCH(G701,I_Master!$A$6:$A$85,0)),"?"))</f>
        <v/>
      </c>
      <c r="O701" s="34" t="str">
        <f aca="false">IF(G701="","",IFERROR(INDEX(I_Master!$E$6:$E$85,MATCH(G701,I_Master!$A$6:$A$85,0)),"?"))</f>
        <v/>
      </c>
      <c r="P701" s="46" t="str">
        <f aca="false">IF(H701="","",IF(OR(A701&lt;I_Parameter!$C$5,A701&gt;I_Parameter!$C$6),0,IF(B701="Aktual",1,IF(AND(B701="Order",A701&gt;=I_Parameter!$C$4),1,0))))</f>
        <v/>
      </c>
    </row>
    <row r="702" customFormat="false" ht="15" hidden="false" customHeight="false" outlineLevel="0" collapsed="false">
      <c r="A702" s="37"/>
      <c r="B702" s="44"/>
      <c r="C702" s="44"/>
      <c r="D702" s="44"/>
      <c r="E702" s="44"/>
      <c r="F702" s="44"/>
      <c r="G702" s="34" t="str">
        <f aca="false">IF(F702&lt;&gt;"",F702,IF(E702="","",IFERROR(INDEX(I_Item!$C$6:$C$255,MATCH(E702,I_Item!$A$6:$A$255,0)),"KODE BARU")))</f>
        <v/>
      </c>
      <c r="H702" s="45"/>
      <c r="I702" s="42"/>
      <c r="J702" s="11" t="str">
        <f aca="false">IF(H702="","",H702*I702)</f>
        <v/>
      </c>
      <c r="K702" s="42"/>
      <c r="L702" s="11" t="str">
        <f aca="false">IF(H702="","",IF(K702&lt;&gt;"",K702,H702*IFERROR(INDEX(O_Stok!$Q$6:$Q$85,MATCH(G702,O_Stok!$A$6:$A$85,0)),0)))</f>
        <v/>
      </c>
      <c r="M702" s="11" t="str">
        <f aca="false">IF(H702="","",J702-L702)</f>
        <v/>
      </c>
      <c r="N702" s="34" t="str">
        <f aca="false">IF(G702="","",IFERROR(INDEX(I_Master!$B$6:$B$85,MATCH(G702,I_Master!$A$6:$A$85,0)),"?"))</f>
        <v/>
      </c>
      <c r="O702" s="34" t="str">
        <f aca="false">IF(G702="","",IFERROR(INDEX(I_Master!$E$6:$E$85,MATCH(G702,I_Master!$A$6:$A$85,0)),"?"))</f>
        <v/>
      </c>
      <c r="P702" s="46" t="str">
        <f aca="false">IF(H702="","",IF(OR(A702&lt;I_Parameter!$C$5,A702&gt;I_Parameter!$C$6),0,IF(B702="Aktual",1,IF(AND(B702="Order",A702&gt;=I_Parameter!$C$4),1,0))))</f>
        <v/>
      </c>
    </row>
    <row r="703" customFormat="false" ht="15" hidden="false" customHeight="false" outlineLevel="0" collapsed="false">
      <c r="A703" s="37"/>
      <c r="B703" s="44"/>
      <c r="C703" s="44"/>
      <c r="D703" s="44"/>
      <c r="E703" s="44"/>
      <c r="F703" s="44"/>
      <c r="G703" s="34" t="str">
        <f aca="false">IF(F703&lt;&gt;"",F703,IF(E703="","",IFERROR(INDEX(I_Item!$C$6:$C$255,MATCH(E703,I_Item!$A$6:$A$255,0)),"KODE BARU")))</f>
        <v/>
      </c>
      <c r="H703" s="45"/>
      <c r="I703" s="42"/>
      <c r="J703" s="11" t="str">
        <f aca="false">IF(H703="","",H703*I703)</f>
        <v/>
      </c>
      <c r="K703" s="42"/>
      <c r="L703" s="11" t="str">
        <f aca="false">IF(H703="","",IF(K703&lt;&gt;"",K703,H703*IFERROR(INDEX(O_Stok!$Q$6:$Q$85,MATCH(G703,O_Stok!$A$6:$A$85,0)),0)))</f>
        <v/>
      </c>
      <c r="M703" s="11" t="str">
        <f aca="false">IF(H703="","",J703-L703)</f>
        <v/>
      </c>
      <c r="N703" s="34" t="str">
        <f aca="false">IF(G703="","",IFERROR(INDEX(I_Master!$B$6:$B$85,MATCH(G703,I_Master!$A$6:$A$85,0)),"?"))</f>
        <v/>
      </c>
      <c r="O703" s="34" t="str">
        <f aca="false">IF(G703="","",IFERROR(INDEX(I_Master!$E$6:$E$85,MATCH(G703,I_Master!$A$6:$A$85,0)),"?"))</f>
        <v/>
      </c>
      <c r="P703" s="46" t="str">
        <f aca="false">IF(H703="","",IF(OR(A703&lt;I_Parameter!$C$5,A703&gt;I_Parameter!$C$6),0,IF(B703="Aktual",1,IF(AND(B703="Order",A703&gt;=I_Parameter!$C$4),1,0))))</f>
        <v/>
      </c>
    </row>
    <row r="704" customFormat="false" ht="15" hidden="false" customHeight="false" outlineLevel="0" collapsed="false">
      <c r="A704" s="37"/>
      <c r="B704" s="44"/>
      <c r="C704" s="44"/>
      <c r="D704" s="44"/>
      <c r="E704" s="44"/>
      <c r="F704" s="44"/>
      <c r="G704" s="34" t="str">
        <f aca="false">IF(F704&lt;&gt;"",F704,IF(E704="","",IFERROR(INDEX(I_Item!$C$6:$C$255,MATCH(E704,I_Item!$A$6:$A$255,0)),"KODE BARU")))</f>
        <v/>
      </c>
      <c r="H704" s="45"/>
      <c r="I704" s="42"/>
      <c r="J704" s="11" t="str">
        <f aca="false">IF(H704="","",H704*I704)</f>
        <v/>
      </c>
      <c r="K704" s="42"/>
      <c r="L704" s="11" t="str">
        <f aca="false">IF(H704="","",IF(K704&lt;&gt;"",K704,H704*IFERROR(INDEX(O_Stok!$Q$6:$Q$85,MATCH(G704,O_Stok!$A$6:$A$85,0)),0)))</f>
        <v/>
      </c>
      <c r="M704" s="11" t="str">
        <f aca="false">IF(H704="","",J704-L704)</f>
        <v/>
      </c>
      <c r="N704" s="34" t="str">
        <f aca="false">IF(G704="","",IFERROR(INDEX(I_Master!$B$6:$B$85,MATCH(G704,I_Master!$A$6:$A$85,0)),"?"))</f>
        <v/>
      </c>
      <c r="O704" s="34" t="str">
        <f aca="false">IF(G704="","",IFERROR(INDEX(I_Master!$E$6:$E$85,MATCH(G704,I_Master!$A$6:$A$85,0)),"?"))</f>
        <v/>
      </c>
      <c r="P704" s="46" t="str">
        <f aca="false">IF(H704="","",IF(OR(A704&lt;I_Parameter!$C$5,A704&gt;I_Parameter!$C$6),0,IF(B704="Aktual",1,IF(AND(B704="Order",A704&gt;=I_Parameter!$C$4),1,0))))</f>
        <v/>
      </c>
    </row>
    <row r="705" customFormat="false" ht="15" hidden="false" customHeight="false" outlineLevel="0" collapsed="false">
      <c r="A705" s="37"/>
      <c r="B705" s="44"/>
      <c r="C705" s="44"/>
      <c r="D705" s="44"/>
      <c r="E705" s="44"/>
      <c r="F705" s="44"/>
      <c r="G705" s="34" t="str">
        <f aca="false">IF(F705&lt;&gt;"",F705,IF(E705="","",IFERROR(INDEX(I_Item!$C$6:$C$255,MATCH(E705,I_Item!$A$6:$A$255,0)),"KODE BARU")))</f>
        <v/>
      </c>
      <c r="H705" s="45"/>
      <c r="I705" s="42"/>
      <c r="J705" s="11" t="str">
        <f aca="false">IF(H705="","",H705*I705)</f>
        <v/>
      </c>
      <c r="K705" s="42"/>
      <c r="L705" s="11" t="str">
        <f aca="false">IF(H705="","",IF(K705&lt;&gt;"",K705,H705*IFERROR(INDEX(O_Stok!$Q$6:$Q$85,MATCH(G705,O_Stok!$A$6:$A$85,0)),0)))</f>
        <v/>
      </c>
      <c r="M705" s="11" t="str">
        <f aca="false">IF(H705="","",J705-L705)</f>
        <v/>
      </c>
      <c r="N705" s="34" t="str">
        <f aca="false">IF(G705="","",IFERROR(INDEX(I_Master!$B$6:$B$85,MATCH(G705,I_Master!$A$6:$A$85,0)),"?"))</f>
        <v/>
      </c>
      <c r="O705" s="34" t="str">
        <f aca="false">IF(G705="","",IFERROR(INDEX(I_Master!$E$6:$E$85,MATCH(G705,I_Master!$A$6:$A$85,0)),"?"))</f>
        <v/>
      </c>
      <c r="P705" s="46" t="str">
        <f aca="false">IF(H705="","",IF(OR(A705&lt;I_Parameter!$C$5,A705&gt;I_Parameter!$C$6),0,IF(B705="Aktual",1,IF(AND(B705="Order",A705&gt;=I_Parameter!$C$4),1,0))))</f>
        <v/>
      </c>
    </row>
    <row r="706" customFormat="false" ht="15" hidden="false" customHeight="false" outlineLevel="0" collapsed="false">
      <c r="A706" s="37"/>
      <c r="B706" s="44"/>
      <c r="C706" s="44"/>
      <c r="D706" s="44"/>
      <c r="E706" s="44"/>
      <c r="F706" s="44"/>
      <c r="G706" s="34" t="str">
        <f aca="false">IF(F706&lt;&gt;"",F706,IF(E706="","",IFERROR(INDEX(I_Item!$C$6:$C$255,MATCH(E706,I_Item!$A$6:$A$255,0)),"KODE BARU")))</f>
        <v/>
      </c>
      <c r="H706" s="45"/>
      <c r="I706" s="42"/>
      <c r="J706" s="11" t="str">
        <f aca="false">IF(H706="","",H706*I706)</f>
        <v/>
      </c>
      <c r="K706" s="42"/>
      <c r="L706" s="11" t="str">
        <f aca="false">IF(H706="","",IF(K706&lt;&gt;"",K706,H706*IFERROR(INDEX(O_Stok!$Q$6:$Q$85,MATCH(G706,O_Stok!$A$6:$A$85,0)),0)))</f>
        <v/>
      </c>
      <c r="M706" s="11" t="str">
        <f aca="false">IF(H706="","",J706-L706)</f>
        <v/>
      </c>
      <c r="N706" s="34" t="str">
        <f aca="false">IF(G706="","",IFERROR(INDEX(I_Master!$B$6:$B$85,MATCH(G706,I_Master!$A$6:$A$85,0)),"?"))</f>
        <v/>
      </c>
      <c r="O706" s="34" t="str">
        <f aca="false">IF(G706="","",IFERROR(INDEX(I_Master!$E$6:$E$85,MATCH(G706,I_Master!$A$6:$A$85,0)),"?"))</f>
        <v/>
      </c>
      <c r="P706" s="46" t="str">
        <f aca="false">IF(H706="","",IF(OR(A706&lt;I_Parameter!$C$5,A706&gt;I_Parameter!$C$6),0,IF(B706="Aktual",1,IF(AND(B706="Order",A706&gt;=I_Parameter!$C$4),1,0))))</f>
        <v/>
      </c>
    </row>
    <row r="707" customFormat="false" ht="15" hidden="false" customHeight="false" outlineLevel="0" collapsed="false">
      <c r="A707" s="37"/>
      <c r="B707" s="44"/>
      <c r="C707" s="44"/>
      <c r="D707" s="44"/>
      <c r="E707" s="44"/>
      <c r="F707" s="44"/>
      <c r="G707" s="34" t="str">
        <f aca="false">IF(F707&lt;&gt;"",F707,IF(E707="","",IFERROR(INDEX(I_Item!$C$6:$C$255,MATCH(E707,I_Item!$A$6:$A$255,0)),"KODE BARU")))</f>
        <v/>
      </c>
      <c r="H707" s="45"/>
      <c r="I707" s="42"/>
      <c r="J707" s="11" t="str">
        <f aca="false">IF(H707="","",H707*I707)</f>
        <v/>
      </c>
      <c r="K707" s="42"/>
      <c r="L707" s="11" t="str">
        <f aca="false">IF(H707="","",IF(K707&lt;&gt;"",K707,H707*IFERROR(INDEX(O_Stok!$Q$6:$Q$85,MATCH(G707,O_Stok!$A$6:$A$85,0)),0)))</f>
        <v/>
      </c>
      <c r="M707" s="11" t="str">
        <f aca="false">IF(H707="","",J707-L707)</f>
        <v/>
      </c>
      <c r="N707" s="34" t="str">
        <f aca="false">IF(G707="","",IFERROR(INDEX(I_Master!$B$6:$B$85,MATCH(G707,I_Master!$A$6:$A$85,0)),"?"))</f>
        <v/>
      </c>
      <c r="O707" s="34" t="str">
        <f aca="false">IF(G707="","",IFERROR(INDEX(I_Master!$E$6:$E$85,MATCH(G707,I_Master!$A$6:$A$85,0)),"?"))</f>
        <v/>
      </c>
      <c r="P707" s="46" t="str">
        <f aca="false">IF(H707="","",IF(OR(A707&lt;I_Parameter!$C$5,A707&gt;I_Parameter!$C$6),0,IF(B707="Aktual",1,IF(AND(B707="Order",A707&gt;=I_Parameter!$C$4),1,0))))</f>
        <v/>
      </c>
    </row>
    <row r="708" customFormat="false" ht="15" hidden="false" customHeight="false" outlineLevel="0" collapsed="false">
      <c r="A708" s="37"/>
      <c r="B708" s="44"/>
      <c r="C708" s="44"/>
      <c r="D708" s="44"/>
      <c r="E708" s="44"/>
      <c r="F708" s="44"/>
      <c r="G708" s="34" t="str">
        <f aca="false">IF(F708&lt;&gt;"",F708,IF(E708="","",IFERROR(INDEX(I_Item!$C$6:$C$255,MATCH(E708,I_Item!$A$6:$A$255,0)),"KODE BARU")))</f>
        <v/>
      </c>
      <c r="H708" s="45"/>
      <c r="I708" s="42"/>
      <c r="J708" s="11" t="str">
        <f aca="false">IF(H708="","",H708*I708)</f>
        <v/>
      </c>
      <c r="K708" s="42"/>
      <c r="L708" s="11" t="str">
        <f aca="false">IF(H708="","",IF(K708&lt;&gt;"",K708,H708*IFERROR(INDEX(O_Stok!$Q$6:$Q$85,MATCH(G708,O_Stok!$A$6:$A$85,0)),0)))</f>
        <v/>
      </c>
      <c r="M708" s="11" t="str">
        <f aca="false">IF(H708="","",J708-L708)</f>
        <v/>
      </c>
      <c r="N708" s="34" t="str">
        <f aca="false">IF(G708="","",IFERROR(INDEX(I_Master!$B$6:$B$85,MATCH(G708,I_Master!$A$6:$A$85,0)),"?"))</f>
        <v/>
      </c>
      <c r="O708" s="34" t="str">
        <f aca="false">IF(G708="","",IFERROR(INDEX(I_Master!$E$6:$E$85,MATCH(G708,I_Master!$A$6:$A$85,0)),"?"))</f>
        <v/>
      </c>
      <c r="P708" s="46" t="str">
        <f aca="false">IF(H708="","",IF(OR(A708&lt;I_Parameter!$C$5,A708&gt;I_Parameter!$C$6),0,IF(B708="Aktual",1,IF(AND(B708="Order",A708&gt;=I_Parameter!$C$4),1,0))))</f>
        <v/>
      </c>
    </row>
    <row r="709" customFormat="false" ht="15" hidden="false" customHeight="false" outlineLevel="0" collapsed="false">
      <c r="A709" s="37"/>
      <c r="B709" s="44"/>
      <c r="C709" s="44"/>
      <c r="D709" s="44"/>
      <c r="E709" s="44"/>
      <c r="F709" s="44"/>
      <c r="G709" s="34" t="str">
        <f aca="false">IF(F709&lt;&gt;"",F709,IF(E709="","",IFERROR(INDEX(I_Item!$C$6:$C$255,MATCH(E709,I_Item!$A$6:$A$255,0)),"KODE BARU")))</f>
        <v/>
      </c>
      <c r="H709" s="45"/>
      <c r="I709" s="42"/>
      <c r="J709" s="11" t="str">
        <f aca="false">IF(H709="","",H709*I709)</f>
        <v/>
      </c>
      <c r="K709" s="42"/>
      <c r="L709" s="11" t="str">
        <f aca="false">IF(H709="","",IF(K709&lt;&gt;"",K709,H709*IFERROR(INDEX(O_Stok!$Q$6:$Q$85,MATCH(G709,O_Stok!$A$6:$A$85,0)),0)))</f>
        <v/>
      </c>
      <c r="M709" s="11" t="str">
        <f aca="false">IF(H709="","",J709-L709)</f>
        <v/>
      </c>
      <c r="N709" s="34" t="str">
        <f aca="false">IF(G709="","",IFERROR(INDEX(I_Master!$B$6:$B$85,MATCH(G709,I_Master!$A$6:$A$85,0)),"?"))</f>
        <v/>
      </c>
      <c r="O709" s="34" t="str">
        <f aca="false">IF(G709="","",IFERROR(INDEX(I_Master!$E$6:$E$85,MATCH(G709,I_Master!$A$6:$A$85,0)),"?"))</f>
        <v/>
      </c>
      <c r="P709" s="46" t="str">
        <f aca="false">IF(H709="","",IF(OR(A709&lt;I_Parameter!$C$5,A709&gt;I_Parameter!$C$6),0,IF(B709="Aktual",1,IF(AND(B709="Order",A709&gt;=I_Parameter!$C$4),1,0))))</f>
        <v/>
      </c>
    </row>
    <row r="710" customFormat="false" ht="15" hidden="false" customHeight="false" outlineLevel="0" collapsed="false">
      <c r="A710" s="37"/>
      <c r="B710" s="44"/>
      <c r="C710" s="44"/>
      <c r="D710" s="44"/>
      <c r="E710" s="44"/>
      <c r="F710" s="44"/>
      <c r="G710" s="34" t="str">
        <f aca="false">IF(F710&lt;&gt;"",F710,IF(E710="","",IFERROR(INDEX(I_Item!$C$6:$C$255,MATCH(E710,I_Item!$A$6:$A$255,0)),"KODE BARU")))</f>
        <v/>
      </c>
      <c r="H710" s="45"/>
      <c r="I710" s="42"/>
      <c r="J710" s="11" t="str">
        <f aca="false">IF(H710="","",H710*I710)</f>
        <v/>
      </c>
      <c r="K710" s="42"/>
      <c r="L710" s="11" t="str">
        <f aca="false">IF(H710="","",IF(K710&lt;&gt;"",K710,H710*IFERROR(INDEX(O_Stok!$Q$6:$Q$85,MATCH(G710,O_Stok!$A$6:$A$85,0)),0)))</f>
        <v/>
      </c>
      <c r="M710" s="11" t="str">
        <f aca="false">IF(H710="","",J710-L710)</f>
        <v/>
      </c>
      <c r="N710" s="34" t="str">
        <f aca="false">IF(G710="","",IFERROR(INDEX(I_Master!$B$6:$B$85,MATCH(G710,I_Master!$A$6:$A$85,0)),"?"))</f>
        <v/>
      </c>
      <c r="O710" s="34" t="str">
        <f aca="false">IF(G710="","",IFERROR(INDEX(I_Master!$E$6:$E$85,MATCH(G710,I_Master!$A$6:$A$85,0)),"?"))</f>
        <v/>
      </c>
      <c r="P710" s="46" t="str">
        <f aca="false">IF(H710="","",IF(OR(A710&lt;I_Parameter!$C$5,A710&gt;I_Parameter!$C$6),0,IF(B710="Aktual",1,IF(AND(B710="Order",A710&gt;=I_Parameter!$C$4),1,0))))</f>
        <v/>
      </c>
    </row>
    <row r="711" customFormat="false" ht="15" hidden="false" customHeight="false" outlineLevel="0" collapsed="false">
      <c r="A711" s="37"/>
      <c r="B711" s="44"/>
      <c r="C711" s="44"/>
      <c r="D711" s="44"/>
      <c r="E711" s="44"/>
      <c r="F711" s="44"/>
      <c r="G711" s="34" t="str">
        <f aca="false">IF(F711&lt;&gt;"",F711,IF(E711="","",IFERROR(INDEX(I_Item!$C$6:$C$255,MATCH(E711,I_Item!$A$6:$A$255,0)),"KODE BARU")))</f>
        <v/>
      </c>
      <c r="H711" s="45"/>
      <c r="I711" s="42"/>
      <c r="J711" s="11" t="str">
        <f aca="false">IF(H711="","",H711*I711)</f>
        <v/>
      </c>
      <c r="K711" s="42"/>
      <c r="L711" s="11" t="str">
        <f aca="false">IF(H711="","",IF(K711&lt;&gt;"",K711,H711*IFERROR(INDEX(O_Stok!$Q$6:$Q$85,MATCH(G711,O_Stok!$A$6:$A$85,0)),0)))</f>
        <v/>
      </c>
      <c r="M711" s="11" t="str">
        <f aca="false">IF(H711="","",J711-L711)</f>
        <v/>
      </c>
      <c r="N711" s="34" t="str">
        <f aca="false">IF(G711="","",IFERROR(INDEX(I_Master!$B$6:$B$85,MATCH(G711,I_Master!$A$6:$A$85,0)),"?"))</f>
        <v/>
      </c>
      <c r="O711" s="34" t="str">
        <f aca="false">IF(G711="","",IFERROR(INDEX(I_Master!$E$6:$E$85,MATCH(G711,I_Master!$A$6:$A$85,0)),"?"))</f>
        <v/>
      </c>
      <c r="P711" s="46" t="str">
        <f aca="false">IF(H711="","",IF(OR(A711&lt;I_Parameter!$C$5,A711&gt;I_Parameter!$C$6),0,IF(B711="Aktual",1,IF(AND(B711="Order",A711&gt;=I_Parameter!$C$4),1,0))))</f>
        <v/>
      </c>
    </row>
    <row r="712" customFormat="false" ht="15" hidden="false" customHeight="false" outlineLevel="0" collapsed="false">
      <c r="A712" s="37"/>
      <c r="B712" s="44"/>
      <c r="C712" s="44"/>
      <c r="D712" s="44"/>
      <c r="E712" s="44"/>
      <c r="F712" s="44"/>
      <c r="G712" s="34" t="str">
        <f aca="false">IF(F712&lt;&gt;"",F712,IF(E712="","",IFERROR(INDEX(I_Item!$C$6:$C$255,MATCH(E712,I_Item!$A$6:$A$255,0)),"KODE BARU")))</f>
        <v/>
      </c>
      <c r="H712" s="45"/>
      <c r="I712" s="42"/>
      <c r="J712" s="11" t="str">
        <f aca="false">IF(H712="","",H712*I712)</f>
        <v/>
      </c>
      <c r="K712" s="42"/>
      <c r="L712" s="11" t="str">
        <f aca="false">IF(H712="","",IF(K712&lt;&gt;"",K712,H712*IFERROR(INDEX(O_Stok!$Q$6:$Q$85,MATCH(G712,O_Stok!$A$6:$A$85,0)),0)))</f>
        <v/>
      </c>
      <c r="M712" s="11" t="str">
        <f aca="false">IF(H712="","",J712-L712)</f>
        <v/>
      </c>
      <c r="N712" s="34" t="str">
        <f aca="false">IF(G712="","",IFERROR(INDEX(I_Master!$B$6:$B$85,MATCH(G712,I_Master!$A$6:$A$85,0)),"?"))</f>
        <v/>
      </c>
      <c r="O712" s="34" t="str">
        <f aca="false">IF(G712="","",IFERROR(INDEX(I_Master!$E$6:$E$85,MATCH(G712,I_Master!$A$6:$A$85,0)),"?"))</f>
        <v/>
      </c>
      <c r="P712" s="46" t="str">
        <f aca="false">IF(H712="","",IF(OR(A712&lt;I_Parameter!$C$5,A712&gt;I_Parameter!$C$6),0,IF(B712="Aktual",1,IF(AND(B712="Order",A712&gt;=I_Parameter!$C$4),1,0))))</f>
        <v/>
      </c>
    </row>
    <row r="713" customFormat="false" ht="15" hidden="false" customHeight="false" outlineLevel="0" collapsed="false">
      <c r="A713" s="37"/>
      <c r="B713" s="44"/>
      <c r="C713" s="44"/>
      <c r="D713" s="44"/>
      <c r="E713" s="44"/>
      <c r="F713" s="44"/>
      <c r="G713" s="34" t="str">
        <f aca="false">IF(F713&lt;&gt;"",F713,IF(E713="","",IFERROR(INDEX(I_Item!$C$6:$C$255,MATCH(E713,I_Item!$A$6:$A$255,0)),"KODE BARU")))</f>
        <v/>
      </c>
      <c r="H713" s="45"/>
      <c r="I713" s="42"/>
      <c r="J713" s="11" t="str">
        <f aca="false">IF(H713="","",H713*I713)</f>
        <v/>
      </c>
      <c r="K713" s="42"/>
      <c r="L713" s="11" t="str">
        <f aca="false">IF(H713="","",IF(K713&lt;&gt;"",K713,H713*IFERROR(INDEX(O_Stok!$Q$6:$Q$85,MATCH(G713,O_Stok!$A$6:$A$85,0)),0)))</f>
        <v/>
      </c>
      <c r="M713" s="11" t="str">
        <f aca="false">IF(H713="","",J713-L713)</f>
        <v/>
      </c>
      <c r="N713" s="34" t="str">
        <f aca="false">IF(G713="","",IFERROR(INDEX(I_Master!$B$6:$B$85,MATCH(G713,I_Master!$A$6:$A$85,0)),"?"))</f>
        <v/>
      </c>
      <c r="O713" s="34" t="str">
        <f aca="false">IF(G713="","",IFERROR(INDEX(I_Master!$E$6:$E$85,MATCH(G713,I_Master!$A$6:$A$85,0)),"?"))</f>
        <v/>
      </c>
      <c r="P713" s="46" t="str">
        <f aca="false">IF(H713="","",IF(OR(A713&lt;I_Parameter!$C$5,A713&gt;I_Parameter!$C$6),0,IF(B713="Aktual",1,IF(AND(B713="Order",A713&gt;=I_Parameter!$C$4),1,0))))</f>
        <v/>
      </c>
    </row>
    <row r="714" customFormat="false" ht="15" hidden="false" customHeight="false" outlineLevel="0" collapsed="false">
      <c r="A714" s="37"/>
      <c r="B714" s="44"/>
      <c r="C714" s="44"/>
      <c r="D714" s="44"/>
      <c r="E714" s="44"/>
      <c r="F714" s="44"/>
      <c r="G714" s="34" t="str">
        <f aca="false">IF(F714&lt;&gt;"",F714,IF(E714="","",IFERROR(INDEX(I_Item!$C$6:$C$255,MATCH(E714,I_Item!$A$6:$A$255,0)),"KODE BARU")))</f>
        <v/>
      </c>
      <c r="H714" s="45"/>
      <c r="I714" s="42"/>
      <c r="J714" s="11" t="str">
        <f aca="false">IF(H714="","",H714*I714)</f>
        <v/>
      </c>
      <c r="K714" s="42"/>
      <c r="L714" s="11" t="str">
        <f aca="false">IF(H714="","",IF(K714&lt;&gt;"",K714,H714*IFERROR(INDEX(O_Stok!$Q$6:$Q$85,MATCH(G714,O_Stok!$A$6:$A$85,0)),0)))</f>
        <v/>
      </c>
      <c r="M714" s="11" t="str">
        <f aca="false">IF(H714="","",J714-L714)</f>
        <v/>
      </c>
      <c r="N714" s="34" t="str">
        <f aca="false">IF(G714="","",IFERROR(INDEX(I_Master!$B$6:$B$85,MATCH(G714,I_Master!$A$6:$A$85,0)),"?"))</f>
        <v/>
      </c>
      <c r="O714" s="34" t="str">
        <f aca="false">IF(G714="","",IFERROR(INDEX(I_Master!$E$6:$E$85,MATCH(G714,I_Master!$A$6:$A$85,0)),"?"))</f>
        <v/>
      </c>
      <c r="P714" s="46" t="str">
        <f aca="false">IF(H714="","",IF(OR(A714&lt;I_Parameter!$C$5,A714&gt;I_Parameter!$C$6),0,IF(B714="Aktual",1,IF(AND(B714="Order",A714&gt;=I_Parameter!$C$4),1,0))))</f>
        <v/>
      </c>
    </row>
    <row r="715" customFormat="false" ht="15" hidden="false" customHeight="false" outlineLevel="0" collapsed="false">
      <c r="A715" s="37"/>
      <c r="B715" s="44"/>
      <c r="C715" s="44"/>
      <c r="D715" s="44"/>
      <c r="E715" s="44"/>
      <c r="F715" s="44"/>
      <c r="G715" s="34" t="str">
        <f aca="false">IF(F715&lt;&gt;"",F715,IF(E715="","",IFERROR(INDEX(I_Item!$C$6:$C$255,MATCH(E715,I_Item!$A$6:$A$255,0)),"KODE BARU")))</f>
        <v/>
      </c>
      <c r="H715" s="45"/>
      <c r="I715" s="42"/>
      <c r="J715" s="11" t="str">
        <f aca="false">IF(H715="","",H715*I715)</f>
        <v/>
      </c>
      <c r="K715" s="42"/>
      <c r="L715" s="11" t="str">
        <f aca="false">IF(H715="","",IF(K715&lt;&gt;"",K715,H715*IFERROR(INDEX(O_Stok!$Q$6:$Q$85,MATCH(G715,O_Stok!$A$6:$A$85,0)),0)))</f>
        <v/>
      </c>
      <c r="M715" s="11" t="str">
        <f aca="false">IF(H715="","",J715-L715)</f>
        <v/>
      </c>
      <c r="N715" s="34" t="str">
        <f aca="false">IF(G715="","",IFERROR(INDEX(I_Master!$B$6:$B$85,MATCH(G715,I_Master!$A$6:$A$85,0)),"?"))</f>
        <v/>
      </c>
      <c r="O715" s="34" t="str">
        <f aca="false">IF(G715="","",IFERROR(INDEX(I_Master!$E$6:$E$85,MATCH(G715,I_Master!$A$6:$A$85,0)),"?"))</f>
        <v/>
      </c>
      <c r="P715" s="46" t="str">
        <f aca="false">IF(H715="","",IF(OR(A715&lt;I_Parameter!$C$5,A715&gt;I_Parameter!$C$6),0,IF(B715="Aktual",1,IF(AND(B715="Order",A715&gt;=I_Parameter!$C$4),1,0))))</f>
        <v/>
      </c>
    </row>
    <row r="716" customFormat="false" ht="15" hidden="false" customHeight="false" outlineLevel="0" collapsed="false">
      <c r="A716" s="37"/>
      <c r="B716" s="44"/>
      <c r="C716" s="44"/>
      <c r="D716" s="44"/>
      <c r="E716" s="44"/>
      <c r="F716" s="44"/>
      <c r="G716" s="34" t="str">
        <f aca="false">IF(F716&lt;&gt;"",F716,IF(E716="","",IFERROR(INDEX(I_Item!$C$6:$C$255,MATCH(E716,I_Item!$A$6:$A$255,0)),"KODE BARU")))</f>
        <v/>
      </c>
      <c r="H716" s="45"/>
      <c r="I716" s="42"/>
      <c r="J716" s="11" t="str">
        <f aca="false">IF(H716="","",H716*I716)</f>
        <v/>
      </c>
      <c r="K716" s="42"/>
      <c r="L716" s="11" t="str">
        <f aca="false">IF(H716="","",IF(K716&lt;&gt;"",K716,H716*IFERROR(INDEX(O_Stok!$Q$6:$Q$85,MATCH(G716,O_Stok!$A$6:$A$85,0)),0)))</f>
        <v/>
      </c>
      <c r="M716" s="11" t="str">
        <f aca="false">IF(H716="","",J716-L716)</f>
        <v/>
      </c>
      <c r="N716" s="34" t="str">
        <f aca="false">IF(G716="","",IFERROR(INDEX(I_Master!$B$6:$B$85,MATCH(G716,I_Master!$A$6:$A$85,0)),"?"))</f>
        <v/>
      </c>
      <c r="O716" s="34" t="str">
        <f aca="false">IF(G716="","",IFERROR(INDEX(I_Master!$E$6:$E$85,MATCH(G716,I_Master!$A$6:$A$85,0)),"?"))</f>
        <v/>
      </c>
      <c r="P716" s="46" t="str">
        <f aca="false">IF(H716="","",IF(OR(A716&lt;I_Parameter!$C$5,A716&gt;I_Parameter!$C$6),0,IF(B716="Aktual",1,IF(AND(B716="Order",A716&gt;=I_Parameter!$C$4),1,0))))</f>
        <v/>
      </c>
    </row>
    <row r="717" customFormat="false" ht="15" hidden="false" customHeight="false" outlineLevel="0" collapsed="false">
      <c r="A717" s="37"/>
      <c r="B717" s="44"/>
      <c r="C717" s="44"/>
      <c r="D717" s="44"/>
      <c r="E717" s="44"/>
      <c r="F717" s="44"/>
      <c r="G717" s="34" t="str">
        <f aca="false">IF(F717&lt;&gt;"",F717,IF(E717="","",IFERROR(INDEX(I_Item!$C$6:$C$255,MATCH(E717,I_Item!$A$6:$A$255,0)),"KODE BARU")))</f>
        <v/>
      </c>
      <c r="H717" s="45"/>
      <c r="I717" s="42"/>
      <c r="J717" s="11" t="str">
        <f aca="false">IF(H717="","",H717*I717)</f>
        <v/>
      </c>
      <c r="K717" s="42"/>
      <c r="L717" s="11" t="str">
        <f aca="false">IF(H717="","",IF(K717&lt;&gt;"",K717,H717*IFERROR(INDEX(O_Stok!$Q$6:$Q$85,MATCH(G717,O_Stok!$A$6:$A$85,0)),0)))</f>
        <v/>
      </c>
      <c r="M717" s="11" t="str">
        <f aca="false">IF(H717="","",J717-L717)</f>
        <v/>
      </c>
      <c r="N717" s="34" t="str">
        <f aca="false">IF(G717="","",IFERROR(INDEX(I_Master!$B$6:$B$85,MATCH(G717,I_Master!$A$6:$A$85,0)),"?"))</f>
        <v/>
      </c>
      <c r="O717" s="34" t="str">
        <f aca="false">IF(G717="","",IFERROR(INDEX(I_Master!$E$6:$E$85,MATCH(G717,I_Master!$A$6:$A$85,0)),"?"))</f>
        <v/>
      </c>
      <c r="P717" s="46" t="str">
        <f aca="false">IF(H717="","",IF(OR(A717&lt;I_Parameter!$C$5,A717&gt;I_Parameter!$C$6),0,IF(B717="Aktual",1,IF(AND(B717="Order",A717&gt;=I_Parameter!$C$4),1,0))))</f>
        <v/>
      </c>
    </row>
    <row r="718" customFormat="false" ht="15" hidden="false" customHeight="false" outlineLevel="0" collapsed="false">
      <c r="A718" s="37"/>
      <c r="B718" s="44"/>
      <c r="C718" s="44"/>
      <c r="D718" s="44"/>
      <c r="E718" s="44"/>
      <c r="F718" s="44"/>
      <c r="G718" s="34" t="str">
        <f aca="false">IF(F718&lt;&gt;"",F718,IF(E718="","",IFERROR(INDEX(I_Item!$C$6:$C$255,MATCH(E718,I_Item!$A$6:$A$255,0)),"KODE BARU")))</f>
        <v/>
      </c>
      <c r="H718" s="45"/>
      <c r="I718" s="42"/>
      <c r="J718" s="11" t="str">
        <f aca="false">IF(H718="","",H718*I718)</f>
        <v/>
      </c>
      <c r="K718" s="42"/>
      <c r="L718" s="11" t="str">
        <f aca="false">IF(H718="","",IF(K718&lt;&gt;"",K718,H718*IFERROR(INDEX(O_Stok!$Q$6:$Q$85,MATCH(G718,O_Stok!$A$6:$A$85,0)),0)))</f>
        <v/>
      </c>
      <c r="M718" s="11" t="str">
        <f aca="false">IF(H718="","",J718-L718)</f>
        <v/>
      </c>
      <c r="N718" s="34" t="str">
        <f aca="false">IF(G718="","",IFERROR(INDEX(I_Master!$B$6:$B$85,MATCH(G718,I_Master!$A$6:$A$85,0)),"?"))</f>
        <v/>
      </c>
      <c r="O718" s="34" t="str">
        <f aca="false">IF(G718="","",IFERROR(INDEX(I_Master!$E$6:$E$85,MATCH(G718,I_Master!$A$6:$A$85,0)),"?"))</f>
        <v/>
      </c>
      <c r="P718" s="46" t="str">
        <f aca="false">IF(H718="","",IF(OR(A718&lt;I_Parameter!$C$5,A718&gt;I_Parameter!$C$6),0,IF(B718="Aktual",1,IF(AND(B718="Order",A718&gt;=I_Parameter!$C$4),1,0))))</f>
        <v/>
      </c>
    </row>
    <row r="719" customFormat="false" ht="15" hidden="false" customHeight="false" outlineLevel="0" collapsed="false">
      <c r="A719" s="37"/>
      <c r="B719" s="44"/>
      <c r="C719" s="44"/>
      <c r="D719" s="44"/>
      <c r="E719" s="44"/>
      <c r="F719" s="44"/>
      <c r="G719" s="34" t="str">
        <f aca="false">IF(F719&lt;&gt;"",F719,IF(E719="","",IFERROR(INDEX(I_Item!$C$6:$C$255,MATCH(E719,I_Item!$A$6:$A$255,0)),"KODE BARU")))</f>
        <v/>
      </c>
      <c r="H719" s="45"/>
      <c r="I719" s="42"/>
      <c r="J719" s="11" t="str">
        <f aca="false">IF(H719="","",H719*I719)</f>
        <v/>
      </c>
      <c r="K719" s="42"/>
      <c r="L719" s="11" t="str">
        <f aca="false">IF(H719="","",IF(K719&lt;&gt;"",K719,H719*IFERROR(INDEX(O_Stok!$Q$6:$Q$85,MATCH(G719,O_Stok!$A$6:$A$85,0)),0)))</f>
        <v/>
      </c>
      <c r="M719" s="11" t="str">
        <f aca="false">IF(H719="","",J719-L719)</f>
        <v/>
      </c>
      <c r="N719" s="34" t="str">
        <f aca="false">IF(G719="","",IFERROR(INDEX(I_Master!$B$6:$B$85,MATCH(G719,I_Master!$A$6:$A$85,0)),"?"))</f>
        <v/>
      </c>
      <c r="O719" s="34" t="str">
        <f aca="false">IF(G719="","",IFERROR(INDEX(I_Master!$E$6:$E$85,MATCH(G719,I_Master!$A$6:$A$85,0)),"?"))</f>
        <v/>
      </c>
      <c r="P719" s="46" t="str">
        <f aca="false">IF(H719="","",IF(OR(A719&lt;I_Parameter!$C$5,A719&gt;I_Parameter!$C$6),0,IF(B719="Aktual",1,IF(AND(B719="Order",A719&gt;=I_Parameter!$C$4),1,0))))</f>
        <v/>
      </c>
    </row>
    <row r="720" customFormat="false" ht="15" hidden="false" customHeight="false" outlineLevel="0" collapsed="false">
      <c r="A720" s="37"/>
      <c r="B720" s="44"/>
      <c r="C720" s="44"/>
      <c r="D720" s="44"/>
      <c r="E720" s="44"/>
      <c r="F720" s="44"/>
      <c r="G720" s="34" t="str">
        <f aca="false">IF(F720&lt;&gt;"",F720,IF(E720="","",IFERROR(INDEX(I_Item!$C$6:$C$255,MATCH(E720,I_Item!$A$6:$A$255,0)),"KODE BARU")))</f>
        <v/>
      </c>
      <c r="H720" s="45"/>
      <c r="I720" s="42"/>
      <c r="J720" s="11" t="str">
        <f aca="false">IF(H720="","",H720*I720)</f>
        <v/>
      </c>
      <c r="K720" s="42"/>
      <c r="L720" s="11" t="str">
        <f aca="false">IF(H720="","",IF(K720&lt;&gt;"",K720,H720*IFERROR(INDEX(O_Stok!$Q$6:$Q$85,MATCH(G720,O_Stok!$A$6:$A$85,0)),0)))</f>
        <v/>
      </c>
      <c r="M720" s="11" t="str">
        <f aca="false">IF(H720="","",J720-L720)</f>
        <v/>
      </c>
      <c r="N720" s="34" t="str">
        <f aca="false">IF(G720="","",IFERROR(INDEX(I_Master!$B$6:$B$85,MATCH(G720,I_Master!$A$6:$A$85,0)),"?"))</f>
        <v/>
      </c>
      <c r="O720" s="34" t="str">
        <f aca="false">IF(G720="","",IFERROR(INDEX(I_Master!$E$6:$E$85,MATCH(G720,I_Master!$A$6:$A$85,0)),"?"))</f>
        <v/>
      </c>
      <c r="P720" s="46" t="str">
        <f aca="false">IF(H720="","",IF(OR(A720&lt;I_Parameter!$C$5,A720&gt;I_Parameter!$C$6),0,IF(B720="Aktual",1,IF(AND(B720="Order",A720&gt;=I_Parameter!$C$4),1,0))))</f>
        <v/>
      </c>
    </row>
    <row r="721" customFormat="false" ht="15" hidden="false" customHeight="false" outlineLevel="0" collapsed="false">
      <c r="A721" s="37"/>
      <c r="B721" s="44"/>
      <c r="C721" s="44"/>
      <c r="D721" s="44"/>
      <c r="E721" s="44"/>
      <c r="F721" s="44"/>
      <c r="G721" s="34" t="str">
        <f aca="false">IF(F721&lt;&gt;"",F721,IF(E721="","",IFERROR(INDEX(I_Item!$C$6:$C$255,MATCH(E721,I_Item!$A$6:$A$255,0)),"KODE BARU")))</f>
        <v/>
      </c>
      <c r="H721" s="45"/>
      <c r="I721" s="42"/>
      <c r="J721" s="11" t="str">
        <f aca="false">IF(H721="","",H721*I721)</f>
        <v/>
      </c>
      <c r="K721" s="42"/>
      <c r="L721" s="11" t="str">
        <f aca="false">IF(H721="","",IF(K721&lt;&gt;"",K721,H721*IFERROR(INDEX(O_Stok!$Q$6:$Q$85,MATCH(G721,O_Stok!$A$6:$A$85,0)),0)))</f>
        <v/>
      </c>
      <c r="M721" s="11" t="str">
        <f aca="false">IF(H721="","",J721-L721)</f>
        <v/>
      </c>
      <c r="N721" s="34" t="str">
        <f aca="false">IF(G721="","",IFERROR(INDEX(I_Master!$B$6:$B$85,MATCH(G721,I_Master!$A$6:$A$85,0)),"?"))</f>
        <v/>
      </c>
      <c r="O721" s="34" t="str">
        <f aca="false">IF(G721="","",IFERROR(INDEX(I_Master!$E$6:$E$85,MATCH(G721,I_Master!$A$6:$A$85,0)),"?"))</f>
        <v/>
      </c>
      <c r="P721" s="46" t="str">
        <f aca="false">IF(H721="","",IF(OR(A721&lt;I_Parameter!$C$5,A721&gt;I_Parameter!$C$6),0,IF(B721="Aktual",1,IF(AND(B721="Order",A721&gt;=I_Parameter!$C$4),1,0))))</f>
        <v/>
      </c>
    </row>
    <row r="722" customFormat="false" ht="15" hidden="false" customHeight="false" outlineLevel="0" collapsed="false">
      <c r="A722" s="37"/>
      <c r="B722" s="44"/>
      <c r="C722" s="44"/>
      <c r="D722" s="44"/>
      <c r="E722" s="44"/>
      <c r="F722" s="44"/>
      <c r="G722" s="34" t="str">
        <f aca="false">IF(F722&lt;&gt;"",F722,IF(E722="","",IFERROR(INDEX(I_Item!$C$6:$C$255,MATCH(E722,I_Item!$A$6:$A$255,0)),"KODE BARU")))</f>
        <v/>
      </c>
      <c r="H722" s="45"/>
      <c r="I722" s="42"/>
      <c r="J722" s="11" t="str">
        <f aca="false">IF(H722="","",H722*I722)</f>
        <v/>
      </c>
      <c r="K722" s="42"/>
      <c r="L722" s="11" t="str">
        <f aca="false">IF(H722="","",IF(K722&lt;&gt;"",K722,H722*IFERROR(INDEX(O_Stok!$Q$6:$Q$85,MATCH(G722,O_Stok!$A$6:$A$85,0)),0)))</f>
        <v/>
      </c>
      <c r="M722" s="11" t="str">
        <f aca="false">IF(H722="","",J722-L722)</f>
        <v/>
      </c>
      <c r="N722" s="34" t="str">
        <f aca="false">IF(G722="","",IFERROR(INDEX(I_Master!$B$6:$B$85,MATCH(G722,I_Master!$A$6:$A$85,0)),"?"))</f>
        <v/>
      </c>
      <c r="O722" s="34" t="str">
        <f aca="false">IF(G722="","",IFERROR(INDEX(I_Master!$E$6:$E$85,MATCH(G722,I_Master!$A$6:$A$85,0)),"?"))</f>
        <v/>
      </c>
      <c r="P722" s="46" t="str">
        <f aca="false">IF(H722="","",IF(OR(A722&lt;I_Parameter!$C$5,A722&gt;I_Parameter!$C$6),0,IF(B722="Aktual",1,IF(AND(B722="Order",A722&gt;=I_Parameter!$C$4),1,0))))</f>
        <v/>
      </c>
    </row>
    <row r="723" customFormat="false" ht="15" hidden="false" customHeight="false" outlineLevel="0" collapsed="false">
      <c r="A723" s="37"/>
      <c r="B723" s="44"/>
      <c r="C723" s="44"/>
      <c r="D723" s="44"/>
      <c r="E723" s="44"/>
      <c r="F723" s="44"/>
      <c r="G723" s="34" t="str">
        <f aca="false">IF(F723&lt;&gt;"",F723,IF(E723="","",IFERROR(INDEX(I_Item!$C$6:$C$255,MATCH(E723,I_Item!$A$6:$A$255,0)),"KODE BARU")))</f>
        <v/>
      </c>
      <c r="H723" s="45"/>
      <c r="I723" s="42"/>
      <c r="J723" s="11" t="str">
        <f aca="false">IF(H723="","",H723*I723)</f>
        <v/>
      </c>
      <c r="K723" s="42"/>
      <c r="L723" s="11" t="str">
        <f aca="false">IF(H723="","",IF(K723&lt;&gt;"",K723,H723*IFERROR(INDEX(O_Stok!$Q$6:$Q$85,MATCH(G723,O_Stok!$A$6:$A$85,0)),0)))</f>
        <v/>
      </c>
      <c r="M723" s="11" t="str">
        <f aca="false">IF(H723="","",J723-L723)</f>
        <v/>
      </c>
      <c r="N723" s="34" t="str">
        <f aca="false">IF(G723="","",IFERROR(INDEX(I_Master!$B$6:$B$85,MATCH(G723,I_Master!$A$6:$A$85,0)),"?"))</f>
        <v/>
      </c>
      <c r="O723" s="34" t="str">
        <f aca="false">IF(G723="","",IFERROR(INDEX(I_Master!$E$6:$E$85,MATCH(G723,I_Master!$A$6:$A$85,0)),"?"))</f>
        <v/>
      </c>
      <c r="P723" s="46" t="str">
        <f aca="false">IF(H723="","",IF(OR(A723&lt;I_Parameter!$C$5,A723&gt;I_Parameter!$C$6),0,IF(B723="Aktual",1,IF(AND(B723="Order",A723&gt;=I_Parameter!$C$4),1,0))))</f>
        <v/>
      </c>
    </row>
    <row r="724" customFormat="false" ht="15" hidden="false" customHeight="false" outlineLevel="0" collapsed="false">
      <c r="A724" s="37"/>
      <c r="B724" s="44"/>
      <c r="C724" s="44"/>
      <c r="D724" s="44"/>
      <c r="E724" s="44"/>
      <c r="F724" s="44"/>
      <c r="G724" s="34" t="str">
        <f aca="false">IF(F724&lt;&gt;"",F724,IF(E724="","",IFERROR(INDEX(I_Item!$C$6:$C$255,MATCH(E724,I_Item!$A$6:$A$255,0)),"KODE BARU")))</f>
        <v/>
      </c>
      <c r="H724" s="45"/>
      <c r="I724" s="42"/>
      <c r="J724" s="11" t="str">
        <f aca="false">IF(H724="","",H724*I724)</f>
        <v/>
      </c>
      <c r="K724" s="42"/>
      <c r="L724" s="11" t="str">
        <f aca="false">IF(H724="","",IF(K724&lt;&gt;"",K724,H724*IFERROR(INDEX(O_Stok!$Q$6:$Q$85,MATCH(G724,O_Stok!$A$6:$A$85,0)),0)))</f>
        <v/>
      </c>
      <c r="M724" s="11" t="str">
        <f aca="false">IF(H724="","",J724-L724)</f>
        <v/>
      </c>
      <c r="N724" s="34" t="str">
        <f aca="false">IF(G724="","",IFERROR(INDEX(I_Master!$B$6:$B$85,MATCH(G724,I_Master!$A$6:$A$85,0)),"?"))</f>
        <v/>
      </c>
      <c r="O724" s="34" t="str">
        <f aca="false">IF(G724="","",IFERROR(INDEX(I_Master!$E$6:$E$85,MATCH(G724,I_Master!$A$6:$A$85,0)),"?"))</f>
        <v/>
      </c>
      <c r="P724" s="46" t="str">
        <f aca="false">IF(H724="","",IF(OR(A724&lt;I_Parameter!$C$5,A724&gt;I_Parameter!$C$6),0,IF(B724="Aktual",1,IF(AND(B724="Order",A724&gt;=I_Parameter!$C$4),1,0))))</f>
        <v/>
      </c>
    </row>
    <row r="725" customFormat="false" ht="15" hidden="false" customHeight="false" outlineLevel="0" collapsed="false">
      <c r="A725" s="37"/>
      <c r="B725" s="44"/>
      <c r="C725" s="44"/>
      <c r="D725" s="44"/>
      <c r="E725" s="44"/>
      <c r="F725" s="44"/>
      <c r="G725" s="34" t="str">
        <f aca="false">IF(F725&lt;&gt;"",F725,IF(E725="","",IFERROR(INDEX(I_Item!$C$6:$C$255,MATCH(E725,I_Item!$A$6:$A$255,0)),"KODE BARU")))</f>
        <v/>
      </c>
      <c r="H725" s="45"/>
      <c r="I725" s="42"/>
      <c r="J725" s="11" t="str">
        <f aca="false">IF(H725="","",H725*I725)</f>
        <v/>
      </c>
      <c r="K725" s="42"/>
      <c r="L725" s="11" t="str">
        <f aca="false">IF(H725="","",IF(K725&lt;&gt;"",K725,H725*IFERROR(INDEX(O_Stok!$Q$6:$Q$85,MATCH(G725,O_Stok!$A$6:$A$85,0)),0)))</f>
        <v/>
      </c>
      <c r="M725" s="11" t="str">
        <f aca="false">IF(H725="","",J725-L725)</f>
        <v/>
      </c>
      <c r="N725" s="34" t="str">
        <f aca="false">IF(G725="","",IFERROR(INDEX(I_Master!$B$6:$B$85,MATCH(G725,I_Master!$A$6:$A$85,0)),"?"))</f>
        <v/>
      </c>
      <c r="O725" s="34" t="str">
        <f aca="false">IF(G725="","",IFERROR(INDEX(I_Master!$E$6:$E$85,MATCH(G725,I_Master!$A$6:$A$85,0)),"?"))</f>
        <v/>
      </c>
      <c r="P725" s="46" t="str">
        <f aca="false">IF(H725="","",IF(OR(A725&lt;I_Parameter!$C$5,A725&gt;I_Parameter!$C$6),0,IF(B725="Aktual",1,IF(AND(B725="Order",A725&gt;=I_Parameter!$C$4),1,0))))</f>
        <v/>
      </c>
    </row>
    <row r="726" customFormat="false" ht="15" hidden="false" customHeight="false" outlineLevel="0" collapsed="false">
      <c r="A726" s="37"/>
      <c r="B726" s="44"/>
      <c r="C726" s="44"/>
      <c r="D726" s="44"/>
      <c r="E726" s="44"/>
      <c r="F726" s="44"/>
      <c r="G726" s="34" t="str">
        <f aca="false">IF(F726&lt;&gt;"",F726,IF(E726="","",IFERROR(INDEX(I_Item!$C$6:$C$255,MATCH(E726,I_Item!$A$6:$A$255,0)),"KODE BARU")))</f>
        <v/>
      </c>
      <c r="H726" s="45"/>
      <c r="I726" s="42"/>
      <c r="J726" s="11" t="str">
        <f aca="false">IF(H726="","",H726*I726)</f>
        <v/>
      </c>
      <c r="K726" s="42"/>
      <c r="L726" s="11" t="str">
        <f aca="false">IF(H726="","",IF(K726&lt;&gt;"",K726,H726*IFERROR(INDEX(O_Stok!$Q$6:$Q$85,MATCH(G726,O_Stok!$A$6:$A$85,0)),0)))</f>
        <v/>
      </c>
      <c r="M726" s="11" t="str">
        <f aca="false">IF(H726="","",J726-L726)</f>
        <v/>
      </c>
      <c r="N726" s="34" t="str">
        <f aca="false">IF(G726="","",IFERROR(INDEX(I_Master!$B$6:$B$85,MATCH(G726,I_Master!$A$6:$A$85,0)),"?"))</f>
        <v/>
      </c>
      <c r="O726" s="34" t="str">
        <f aca="false">IF(G726="","",IFERROR(INDEX(I_Master!$E$6:$E$85,MATCH(G726,I_Master!$A$6:$A$85,0)),"?"))</f>
        <v/>
      </c>
      <c r="P726" s="46" t="str">
        <f aca="false">IF(H726="","",IF(OR(A726&lt;I_Parameter!$C$5,A726&gt;I_Parameter!$C$6),0,IF(B726="Aktual",1,IF(AND(B726="Order",A726&gt;=I_Parameter!$C$4),1,0))))</f>
        <v/>
      </c>
    </row>
    <row r="727" customFormat="false" ht="15" hidden="false" customHeight="false" outlineLevel="0" collapsed="false">
      <c r="A727" s="37"/>
      <c r="B727" s="44"/>
      <c r="C727" s="44"/>
      <c r="D727" s="44"/>
      <c r="E727" s="44"/>
      <c r="F727" s="44"/>
      <c r="G727" s="34" t="str">
        <f aca="false">IF(F727&lt;&gt;"",F727,IF(E727="","",IFERROR(INDEX(I_Item!$C$6:$C$255,MATCH(E727,I_Item!$A$6:$A$255,0)),"KODE BARU")))</f>
        <v/>
      </c>
      <c r="H727" s="45"/>
      <c r="I727" s="42"/>
      <c r="J727" s="11" t="str">
        <f aca="false">IF(H727="","",H727*I727)</f>
        <v/>
      </c>
      <c r="K727" s="42"/>
      <c r="L727" s="11" t="str">
        <f aca="false">IF(H727="","",IF(K727&lt;&gt;"",K727,H727*IFERROR(INDEX(O_Stok!$Q$6:$Q$85,MATCH(G727,O_Stok!$A$6:$A$85,0)),0)))</f>
        <v/>
      </c>
      <c r="M727" s="11" t="str">
        <f aca="false">IF(H727="","",J727-L727)</f>
        <v/>
      </c>
      <c r="N727" s="34" t="str">
        <f aca="false">IF(G727="","",IFERROR(INDEX(I_Master!$B$6:$B$85,MATCH(G727,I_Master!$A$6:$A$85,0)),"?"))</f>
        <v/>
      </c>
      <c r="O727" s="34" t="str">
        <f aca="false">IF(G727="","",IFERROR(INDEX(I_Master!$E$6:$E$85,MATCH(G727,I_Master!$A$6:$A$85,0)),"?"))</f>
        <v/>
      </c>
      <c r="P727" s="46" t="str">
        <f aca="false">IF(H727="","",IF(OR(A727&lt;I_Parameter!$C$5,A727&gt;I_Parameter!$C$6),0,IF(B727="Aktual",1,IF(AND(B727="Order",A727&gt;=I_Parameter!$C$4),1,0))))</f>
        <v/>
      </c>
    </row>
    <row r="728" customFormat="false" ht="15" hidden="false" customHeight="false" outlineLevel="0" collapsed="false">
      <c r="A728" s="37"/>
      <c r="B728" s="44"/>
      <c r="C728" s="44"/>
      <c r="D728" s="44"/>
      <c r="E728" s="44"/>
      <c r="F728" s="44"/>
      <c r="G728" s="34" t="str">
        <f aca="false">IF(F728&lt;&gt;"",F728,IF(E728="","",IFERROR(INDEX(I_Item!$C$6:$C$255,MATCH(E728,I_Item!$A$6:$A$255,0)),"KODE BARU")))</f>
        <v/>
      </c>
      <c r="H728" s="45"/>
      <c r="I728" s="42"/>
      <c r="J728" s="11" t="str">
        <f aca="false">IF(H728="","",H728*I728)</f>
        <v/>
      </c>
      <c r="K728" s="42"/>
      <c r="L728" s="11" t="str">
        <f aca="false">IF(H728="","",IF(K728&lt;&gt;"",K728,H728*IFERROR(INDEX(O_Stok!$Q$6:$Q$85,MATCH(G728,O_Stok!$A$6:$A$85,0)),0)))</f>
        <v/>
      </c>
      <c r="M728" s="11" t="str">
        <f aca="false">IF(H728="","",J728-L728)</f>
        <v/>
      </c>
      <c r="N728" s="34" t="str">
        <f aca="false">IF(G728="","",IFERROR(INDEX(I_Master!$B$6:$B$85,MATCH(G728,I_Master!$A$6:$A$85,0)),"?"))</f>
        <v/>
      </c>
      <c r="O728" s="34" t="str">
        <f aca="false">IF(G728="","",IFERROR(INDEX(I_Master!$E$6:$E$85,MATCH(G728,I_Master!$A$6:$A$85,0)),"?"))</f>
        <v/>
      </c>
      <c r="P728" s="46" t="str">
        <f aca="false">IF(H728="","",IF(OR(A728&lt;I_Parameter!$C$5,A728&gt;I_Parameter!$C$6),0,IF(B728="Aktual",1,IF(AND(B728="Order",A728&gt;=I_Parameter!$C$4),1,0))))</f>
        <v/>
      </c>
    </row>
    <row r="729" customFormat="false" ht="15" hidden="false" customHeight="false" outlineLevel="0" collapsed="false">
      <c r="A729" s="37"/>
      <c r="B729" s="44"/>
      <c r="C729" s="44"/>
      <c r="D729" s="44"/>
      <c r="E729" s="44"/>
      <c r="F729" s="44"/>
      <c r="G729" s="34" t="str">
        <f aca="false">IF(F729&lt;&gt;"",F729,IF(E729="","",IFERROR(INDEX(I_Item!$C$6:$C$255,MATCH(E729,I_Item!$A$6:$A$255,0)),"KODE BARU")))</f>
        <v/>
      </c>
      <c r="H729" s="45"/>
      <c r="I729" s="42"/>
      <c r="J729" s="11" t="str">
        <f aca="false">IF(H729="","",H729*I729)</f>
        <v/>
      </c>
      <c r="K729" s="42"/>
      <c r="L729" s="11" t="str">
        <f aca="false">IF(H729="","",IF(K729&lt;&gt;"",K729,H729*IFERROR(INDEX(O_Stok!$Q$6:$Q$85,MATCH(G729,O_Stok!$A$6:$A$85,0)),0)))</f>
        <v/>
      </c>
      <c r="M729" s="11" t="str">
        <f aca="false">IF(H729="","",J729-L729)</f>
        <v/>
      </c>
      <c r="N729" s="34" t="str">
        <f aca="false">IF(G729="","",IFERROR(INDEX(I_Master!$B$6:$B$85,MATCH(G729,I_Master!$A$6:$A$85,0)),"?"))</f>
        <v/>
      </c>
      <c r="O729" s="34" t="str">
        <f aca="false">IF(G729="","",IFERROR(INDEX(I_Master!$E$6:$E$85,MATCH(G729,I_Master!$A$6:$A$85,0)),"?"))</f>
        <v/>
      </c>
      <c r="P729" s="46" t="str">
        <f aca="false">IF(H729="","",IF(OR(A729&lt;I_Parameter!$C$5,A729&gt;I_Parameter!$C$6),0,IF(B729="Aktual",1,IF(AND(B729="Order",A729&gt;=I_Parameter!$C$4),1,0))))</f>
        <v/>
      </c>
    </row>
    <row r="730" customFormat="false" ht="15" hidden="false" customHeight="false" outlineLevel="0" collapsed="false">
      <c r="A730" s="37"/>
      <c r="B730" s="44"/>
      <c r="C730" s="44"/>
      <c r="D730" s="44"/>
      <c r="E730" s="44"/>
      <c r="F730" s="44"/>
      <c r="G730" s="34" t="str">
        <f aca="false">IF(F730&lt;&gt;"",F730,IF(E730="","",IFERROR(INDEX(I_Item!$C$6:$C$255,MATCH(E730,I_Item!$A$6:$A$255,0)),"KODE BARU")))</f>
        <v/>
      </c>
      <c r="H730" s="45"/>
      <c r="I730" s="42"/>
      <c r="J730" s="11" t="str">
        <f aca="false">IF(H730="","",H730*I730)</f>
        <v/>
      </c>
      <c r="K730" s="42"/>
      <c r="L730" s="11" t="str">
        <f aca="false">IF(H730="","",IF(K730&lt;&gt;"",K730,H730*IFERROR(INDEX(O_Stok!$Q$6:$Q$85,MATCH(G730,O_Stok!$A$6:$A$85,0)),0)))</f>
        <v/>
      </c>
      <c r="M730" s="11" t="str">
        <f aca="false">IF(H730="","",J730-L730)</f>
        <v/>
      </c>
      <c r="N730" s="34" t="str">
        <f aca="false">IF(G730="","",IFERROR(INDEX(I_Master!$B$6:$B$85,MATCH(G730,I_Master!$A$6:$A$85,0)),"?"))</f>
        <v/>
      </c>
      <c r="O730" s="34" t="str">
        <f aca="false">IF(G730="","",IFERROR(INDEX(I_Master!$E$6:$E$85,MATCH(G730,I_Master!$A$6:$A$85,0)),"?"))</f>
        <v/>
      </c>
      <c r="P730" s="46" t="str">
        <f aca="false">IF(H730="","",IF(OR(A730&lt;I_Parameter!$C$5,A730&gt;I_Parameter!$C$6),0,IF(B730="Aktual",1,IF(AND(B730="Order",A730&gt;=I_Parameter!$C$4),1,0))))</f>
        <v/>
      </c>
    </row>
    <row r="731" customFormat="false" ht="15" hidden="false" customHeight="false" outlineLevel="0" collapsed="false">
      <c r="A731" s="37"/>
      <c r="B731" s="44"/>
      <c r="C731" s="44"/>
      <c r="D731" s="44"/>
      <c r="E731" s="44"/>
      <c r="F731" s="44"/>
      <c r="G731" s="34" t="str">
        <f aca="false">IF(F731&lt;&gt;"",F731,IF(E731="","",IFERROR(INDEX(I_Item!$C$6:$C$255,MATCH(E731,I_Item!$A$6:$A$255,0)),"KODE BARU")))</f>
        <v/>
      </c>
      <c r="H731" s="45"/>
      <c r="I731" s="42"/>
      <c r="J731" s="11" t="str">
        <f aca="false">IF(H731="","",H731*I731)</f>
        <v/>
      </c>
      <c r="K731" s="42"/>
      <c r="L731" s="11" t="str">
        <f aca="false">IF(H731="","",IF(K731&lt;&gt;"",K731,H731*IFERROR(INDEX(O_Stok!$Q$6:$Q$85,MATCH(G731,O_Stok!$A$6:$A$85,0)),0)))</f>
        <v/>
      </c>
      <c r="M731" s="11" t="str">
        <f aca="false">IF(H731="","",J731-L731)</f>
        <v/>
      </c>
      <c r="N731" s="34" t="str">
        <f aca="false">IF(G731="","",IFERROR(INDEX(I_Master!$B$6:$B$85,MATCH(G731,I_Master!$A$6:$A$85,0)),"?"))</f>
        <v/>
      </c>
      <c r="O731" s="34" t="str">
        <f aca="false">IF(G731="","",IFERROR(INDEX(I_Master!$E$6:$E$85,MATCH(G731,I_Master!$A$6:$A$85,0)),"?"))</f>
        <v/>
      </c>
      <c r="P731" s="46" t="str">
        <f aca="false">IF(H731="","",IF(OR(A731&lt;I_Parameter!$C$5,A731&gt;I_Parameter!$C$6),0,IF(B731="Aktual",1,IF(AND(B731="Order",A731&gt;=I_Parameter!$C$4),1,0))))</f>
        <v/>
      </c>
    </row>
    <row r="732" customFormat="false" ht="15" hidden="false" customHeight="false" outlineLevel="0" collapsed="false">
      <c r="A732" s="37"/>
      <c r="B732" s="44"/>
      <c r="C732" s="44"/>
      <c r="D732" s="44"/>
      <c r="E732" s="44"/>
      <c r="F732" s="44"/>
      <c r="G732" s="34" t="str">
        <f aca="false">IF(F732&lt;&gt;"",F732,IF(E732="","",IFERROR(INDEX(I_Item!$C$6:$C$255,MATCH(E732,I_Item!$A$6:$A$255,0)),"KODE BARU")))</f>
        <v/>
      </c>
      <c r="H732" s="45"/>
      <c r="I732" s="42"/>
      <c r="J732" s="11" t="str">
        <f aca="false">IF(H732="","",H732*I732)</f>
        <v/>
      </c>
      <c r="K732" s="42"/>
      <c r="L732" s="11" t="str">
        <f aca="false">IF(H732="","",IF(K732&lt;&gt;"",K732,H732*IFERROR(INDEX(O_Stok!$Q$6:$Q$85,MATCH(G732,O_Stok!$A$6:$A$85,0)),0)))</f>
        <v/>
      </c>
      <c r="M732" s="11" t="str">
        <f aca="false">IF(H732="","",J732-L732)</f>
        <v/>
      </c>
      <c r="N732" s="34" t="str">
        <f aca="false">IF(G732="","",IFERROR(INDEX(I_Master!$B$6:$B$85,MATCH(G732,I_Master!$A$6:$A$85,0)),"?"))</f>
        <v/>
      </c>
      <c r="O732" s="34" t="str">
        <f aca="false">IF(G732="","",IFERROR(INDEX(I_Master!$E$6:$E$85,MATCH(G732,I_Master!$A$6:$A$85,0)),"?"))</f>
        <v/>
      </c>
      <c r="P732" s="46" t="str">
        <f aca="false">IF(H732="","",IF(OR(A732&lt;I_Parameter!$C$5,A732&gt;I_Parameter!$C$6),0,IF(B732="Aktual",1,IF(AND(B732="Order",A732&gt;=I_Parameter!$C$4),1,0))))</f>
        <v/>
      </c>
    </row>
    <row r="733" customFormat="false" ht="15" hidden="false" customHeight="false" outlineLevel="0" collapsed="false">
      <c r="A733" s="37"/>
      <c r="B733" s="44"/>
      <c r="C733" s="44"/>
      <c r="D733" s="44"/>
      <c r="E733" s="44"/>
      <c r="F733" s="44"/>
      <c r="G733" s="34" t="str">
        <f aca="false">IF(F733&lt;&gt;"",F733,IF(E733="","",IFERROR(INDEX(I_Item!$C$6:$C$255,MATCH(E733,I_Item!$A$6:$A$255,0)),"KODE BARU")))</f>
        <v/>
      </c>
      <c r="H733" s="45"/>
      <c r="I733" s="42"/>
      <c r="J733" s="11" t="str">
        <f aca="false">IF(H733="","",H733*I733)</f>
        <v/>
      </c>
      <c r="K733" s="42"/>
      <c r="L733" s="11" t="str">
        <f aca="false">IF(H733="","",IF(K733&lt;&gt;"",K733,H733*IFERROR(INDEX(O_Stok!$Q$6:$Q$85,MATCH(G733,O_Stok!$A$6:$A$85,0)),0)))</f>
        <v/>
      </c>
      <c r="M733" s="11" t="str">
        <f aca="false">IF(H733="","",J733-L733)</f>
        <v/>
      </c>
      <c r="N733" s="34" t="str">
        <f aca="false">IF(G733="","",IFERROR(INDEX(I_Master!$B$6:$B$85,MATCH(G733,I_Master!$A$6:$A$85,0)),"?"))</f>
        <v/>
      </c>
      <c r="O733" s="34" t="str">
        <f aca="false">IF(G733="","",IFERROR(INDEX(I_Master!$E$6:$E$85,MATCH(G733,I_Master!$A$6:$A$85,0)),"?"))</f>
        <v/>
      </c>
      <c r="P733" s="46" t="str">
        <f aca="false">IF(H733="","",IF(OR(A733&lt;I_Parameter!$C$5,A733&gt;I_Parameter!$C$6),0,IF(B733="Aktual",1,IF(AND(B733="Order",A733&gt;=I_Parameter!$C$4),1,0))))</f>
        <v/>
      </c>
    </row>
    <row r="734" customFormat="false" ht="15" hidden="false" customHeight="false" outlineLevel="0" collapsed="false">
      <c r="A734" s="37"/>
      <c r="B734" s="44"/>
      <c r="C734" s="44"/>
      <c r="D734" s="44"/>
      <c r="E734" s="44"/>
      <c r="F734" s="44"/>
      <c r="G734" s="34" t="str">
        <f aca="false">IF(F734&lt;&gt;"",F734,IF(E734="","",IFERROR(INDEX(I_Item!$C$6:$C$255,MATCH(E734,I_Item!$A$6:$A$255,0)),"KODE BARU")))</f>
        <v/>
      </c>
      <c r="H734" s="45"/>
      <c r="I734" s="42"/>
      <c r="J734" s="11" t="str">
        <f aca="false">IF(H734="","",H734*I734)</f>
        <v/>
      </c>
      <c r="K734" s="42"/>
      <c r="L734" s="11" t="str">
        <f aca="false">IF(H734="","",IF(K734&lt;&gt;"",K734,H734*IFERROR(INDEX(O_Stok!$Q$6:$Q$85,MATCH(G734,O_Stok!$A$6:$A$85,0)),0)))</f>
        <v/>
      </c>
      <c r="M734" s="11" t="str">
        <f aca="false">IF(H734="","",J734-L734)</f>
        <v/>
      </c>
      <c r="N734" s="34" t="str">
        <f aca="false">IF(G734="","",IFERROR(INDEX(I_Master!$B$6:$B$85,MATCH(G734,I_Master!$A$6:$A$85,0)),"?"))</f>
        <v/>
      </c>
      <c r="O734" s="34" t="str">
        <f aca="false">IF(G734="","",IFERROR(INDEX(I_Master!$E$6:$E$85,MATCH(G734,I_Master!$A$6:$A$85,0)),"?"))</f>
        <v/>
      </c>
      <c r="P734" s="46" t="str">
        <f aca="false">IF(H734="","",IF(OR(A734&lt;I_Parameter!$C$5,A734&gt;I_Parameter!$C$6),0,IF(B734="Aktual",1,IF(AND(B734="Order",A734&gt;=I_Parameter!$C$4),1,0))))</f>
        <v/>
      </c>
    </row>
    <row r="735" customFormat="false" ht="15" hidden="false" customHeight="false" outlineLevel="0" collapsed="false">
      <c r="A735" s="37"/>
      <c r="B735" s="44"/>
      <c r="C735" s="44"/>
      <c r="D735" s="44"/>
      <c r="E735" s="44"/>
      <c r="F735" s="44"/>
      <c r="G735" s="34" t="str">
        <f aca="false">IF(F735&lt;&gt;"",F735,IF(E735="","",IFERROR(INDEX(I_Item!$C$6:$C$255,MATCH(E735,I_Item!$A$6:$A$255,0)),"KODE BARU")))</f>
        <v/>
      </c>
      <c r="H735" s="45"/>
      <c r="I735" s="42"/>
      <c r="J735" s="11" t="str">
        <f aca="false">IF(H735="","",H735*I735)</f>
        <v/>
      </c>
      <c r="K735" s="42"/>
      <c r="L735" s="11" t="str">
        <f aca="false">IF(H735="","",IF(K735&lt;&gt;"",K735,H735*IFERROR(INDEX(O_Stok!$Q$6:$Q$85,MATCH(G735,O_Stok!$A$6:$A$85,0)),0)))</f>
        <v/>
      </c>
      <c r="M735" s="11" t="str">
        <f aca="false">IF(H735="","",J735-L735)</f>
        <v/>
      </c>
      <c r="N735" s="34" t="str">
        <f aca="false">IF(G735="","",IFERROR(INDEX(I_Master!$B$6:$B$85,MATCH(G735,I_Master!$A$6:$A$85,0)),"?"))</f>
        <v/>
      </c>
      <c r="O735" s="34" t="str">
        <f aca="false">IF(G735="","",IFERROR(INDEX(I_Master!$E$6:$E$85,MATCH(G735,I_Master!$A$6:$A$85,0)),"?"))</f>
        <v/>
      </c>
      <c r="P735" s="46" t="str">
        <f aca="false">IF(H735="","",IF(OR(A735&lt;I_Parameter!$C$5,A735&gt;I_Parameter!$C$6),0,IF(B735="Aktual",1,IF(AND(B735="Order",A735&gt;=I_Parameter!$C$4),1,0))))</f>
        <v/>
      </c>
    </row>
    <row r="736" customFormat="false" ht="15" hidden="false" customHeight="false" outlineLevel="0" collapsed="false">
      <c r="A736" s="37"/>
      <c r="B736" s="44"/>
      <c r="C736" s="44"/>
      <c r="D736" s="44"/>
      <c r="E736" s="44"/>
      <c r="F736" s="44"/>
      <c r="G736" s="34" t="str">
        <f aca="false">IF(F736&lt;&gt;"",F736,IF(E736="","",IFERROR(INDEX(I_Item!$C$6:$C$255,MATCH(E736,I_Item!$A$6:$A$255,0)),"KODE BARU")))</f>
        <v/>
      </c>
      <c r="H736" s="45"/>
      <c r="I736" s="42"/>
      <c r="J736" s="11" t="str">
        <f aca="false">IF(H736="","",H736*I736)</f>
        <v/>
      </c>
      <c r="K736" s="42"/>
      <c r="L736" s="11" t="str">
        <f aca="false">IF(H736="","",IF(K736&lt;&gt;"",K736,H736*IFERROR(INDEX(O_Stok!$Q$6:$Q$85,MATCH(G736,O_Stok!$A$6:$A$85,0)),0)))</f>
        <v/>
      </c>
      <c r="M736" s="11" t="str">
        <f aca="false">IF(H736="","",J736-L736)</f>
        <v/>
      </c>
      <c r="N736" s="34" t="str">
        <f aca="false">IF(G736="","",IFERROR(INDEX(I_Master!$B$6:$B$85,MATCH(G736,I_Master!$A$6:$A$85,0)),"?"))</f>
        <v/>
      </c>
      <c r="O736" s="34" t="str">
        <f aca="false">IF(G736="","",IFERROR(INDEX(I_Master!$E$6:$E$85,MATCH(G736,I_Master!$A$6:$A$85,0)),"?"))</f>
        <v/>
      </c>
      <c r="P736" s="46" t="str">
        <f aca="false">IF(H736="","",IF(OR(A736&lt;I_Parameter!$C$5,A736&gt;I_Parameter!$C$6),0,IF(B736="Aktual",1,IF(AND(B736="Order",A736&gt;=I_Parameter!$C$4),1,0))))</f>
        <v/>
      </c>
    </row>
    <row r="737" customFormat="false" ht="15" hidden="false" customHeight="false" outlineLevel="0" collapsed="false">
      <c r="A737" s="37"/>
      <c r="B737" s="44"/>
      <c r="C737" s="44"/>
      <c r="D737" s="44"/>
      <c r="E737" s="44"/>
      <c r="F737" s="44"/>
      <c r="G737" s="34" t="str">
        <f aca="false">IF(F737&lt;&gt;"",F737,IF(E737="","",IFERROR(INDEX(I_Item!$C$6:$C$255,MATCH(E737,I_Item!$A$6:$A$255,0)),"KODE BARU")))</f>
        <v/>
      </c>
      <c r="H737" s="45"/>
      <c r="I737" s="42"/>
      <c r="J737" s="11" t="str">
        <f aca="false">IF(H737="","",H737*I737)</f>
        <v/>
      </c>
      <c r="K737" s="42"/>
      <c r="L737" s="11" t="str">
        <f aca="false">IF(H737="","",IF(K737&lt;&gt;"",K737,H737*IFERROR(INDEX(O_Stok!$Q$6:$Q$85,MATCH(G737,O_Stok!$A$6:$A$85,0)),0)))</f>
        <v/>
      </c>
      <c r="M737" s="11" t="str">
        <f aca="false">IF(H737="","",J737-L737)</f>
        <v/>
      </c>
      <c r="N737" s="34" t="str">
        <f aca="false">IF(G737="","",IFERROR(INDEX(I_Master!$B$6:$B$85,MATCH(G737,I_Master!$A$6:$A$85,0)),"?"))</f>
        <v/>
      </c>
      <c r="O737" s="34" t="str">
        <f aca="false">IF(G737="","",IFERROR(INDEX(I_Master!$E$6:$E$85,MATCH(G737,I_Master!$A$6:$A$85,0)),"?"))</f>
        <v/>
      </c>
      <c r="P737" s="46" t="str">
        <f aca="false">IF(H737="","",IF(OR(A737&lt;I_Parameter!$C$5,A737&gt;I_Parameter!$C$6),0,IF(B737="Aktual",1,IF(AND(B737="Order",A737&gt;=I_Parameter!$C$4),1,0))))</f>
        <v/>
      </c>
    </row>
    <row r="738" customFormat="false" ht="15" hidden="false" customHeight="false" outlineLevel="0" collapsed="false">
      <c r="A738" s="37"/>
      <c r="B738" s="44"/>
      <c r="C738" s="44"/>
      <c r="D738" s="44"/>
      <c r="E738" s="44"/>
      <c r="F738" s="44"/>
      <c r="G738" s="34" t="str">
        <f aca="false">IF(F738&lt;&gt;"",F738,IF(E738="","",IFERROR(INDEX(I_Item!$C$6:$C$255,MATCH(E738,I_Item!$A$6:$A$255,0)),"KODE BARU")))</f>
        <v/>
      </c>
      <c r="H738" s="45"/>
      <c r="I738" s="42"/>
      <c r="J738" s="11" t="str">
        <f aca="false">IF(H738="","",H738*I738)</f>
        <v/>
      </c>
      <c r="K738" s="42"/>
      <c r="L738" s="11" t="str">
        <f aca="false">IF(H738="","",IF(K738&lt;&gt;"",K738,H738*IFERROR(INDEX(O_Stok!$Q$6:$Q$85,MATCH(G738,O_Stok!$A$6:$A$85,0)),0)))</f>
        <v/>
      </c>
      <c r="M738" s="11" t="str">
        <f aca="false">IF(H738="","",J738-L738)</f>
        <v/>
      </c>
      <c r="N738" s="34" t="str">
        <f aca="false">IF(G738="","",IFERROR(INDEX(I_Master!$B$6:$B$85,MATCH(G738,I_Master!$A$6:$A$85,0)),"?"))</f>
        <v/>
      </c>
      <c r="O738" s="34" t="str">
        <f aca="false">IF(G738="","",IFERROR(INDEX(I_Master!$E$6:$E$85,MATCH(G738,I_Master!$A$6:$A$85,0)),"?"))</f>
        <v/>
      </c>
      <c r="P738" s="46" t="str">
        <f aca="false">IF(H738="","",IF(OR(A738&lt;I_Parameter!$C$5,A738&gt;I_Parameter!$C$6),0,IF(B738="Aktual",1,IF(AND(B738="Order",A738&gt;=I_Parameter!$C$4),1,0))))</f>
        <v/>
      </c>
    </row>
    <row r="739" customFormat="false" ht="15" hidden="false" customHeight="false" outlineLevel="0" collapsed="false">
      <c r="A739" s="37"/>
      <c r="B739" s="44"/>
      <c r="C739" s="44"/>
      <c r="D739" s="44"/>
      <c r="E739" s="44"/>
      <c r="F739" s="44"/>
      <c r="G739" s="34" t="str">
        <f aca="false">IF(F739&lt;&gt;"",F739,IF(E739="","",IFERROR(INDEX(I_Item!$C$6:$C$255,MATCH(E739,I_Item!$A$6:$A$255,0)),"KODE BARU")))</f>
        <v/>
      </c>
      <c r="H739" s="45"/>
      <c r="I739" s="42"/>
      <c r="J739" s="11" t="str">
        <f aca="false">IF(H739="","",H739*I739)</f>
        <v/>
      </c>
      <c r="K739" s="42"/>
      <c r="L739" s="11" t="str">
        <f aca="false">IF(H739="","",IF(K739&lt;&gt;"",K739,H739*IFERROR(INDEX(O_Stok!$Q$6:$Q$85,MATCH(G739,O_Stok!$A$6:$A$85,0)),0)))</f>
        <v/>
      </c>
      <c r="M739" s="11" t="str">
        <f aca="false">IF(H739="","",J739-L739)</f>
        <v/>
      </c>
      <c r="N739" s="34" t="str">
        <f aca="false">IF(G739="","",IFERROR(INDEX(I_Master!$B$6:$B$85,MATCH(G739,I_Master!$A$6:$A$85,0)),"?"))</f>
        <v/>
      </c>
      <c r="O739" s="34" t="str">
        <f aca="false">IF(G739="","",IFERROR(INDEX(I_Master!$E$6:$E$85,MATCH(G739,I_Master!$A$6:$A$85,0)),"?"))</f>
        <v/>
      </c>
      <c r="P739" s="46" t="str">
        <f aca="false">IF(H739="","",IF(OR(A739&lt;I_Parameter!$C$5,A739&gt;I_Parameter!$C$6),0,IF(B739="Aktual",1,IF(AND(B739="Order",A739&gt;=I_Parameter!$C$4),1,0))))</f>
        <v/>
      </c>
    </row>
    <row r="740" customFormat="false" ht="15" hidden="false" customHeight="false" outlineLevel="0" collapsed="false">
      <c r="A740" s="37"/>
      <c r="B740" s="44"/>
      <c r="C740" s="44"/>
      <c r="D740" s="44"/>
      <c r="E740" s="44"/>
      <c r="F740" s="44"/>
      <c r="G740" s="34" t="str">
        <f aca="false">IF(F740&lt;&gt;"",F740,IF(E740="","",IFERROR(INDEX(I_Item!$C$6:$C$255,MATCH(E740,I_Item!$A$6:$A$255,0)),"KODE BARU")))</f>
        <v/>
      </c>
      <c r="H740" s="45"/>
      <c r="I740" s="42"/>
      <c r="J740" s="11" t="str">
        <f aca="false">IF(H740="","",H740*I740)</f>
        <v/>
      </c>
      <c r="K740" s="42"/>
      <c r="L740" s="11" t="str">
        <f aca="false">IF(H740="","",IF(K740&lt;&gt;"",K740,H740*IFERROR(INDEX(O_Stok!$Q$6:$Q$85,MATCH(G740,O_Stok!$A$6:$A$85,0)),0)))</f>
        <v/>
      </c>
      <c r="M740" s="11" t="str">
        <f aca="false">IF(H740="","",J740-L740)</f>
        <v/>
      </c>
      <c r="N740" s="34" t="str">
        <f aca="false">IF(G740="","",IFERROR(INDEX(I_Master!$B$6:$B$85,MATCH(G740,I_Master!$A$6:$A$85,0)),"?"))</f>
        <v/>
      </c>
      <c r="O740" s="34" t="str">
        <f aca="false">IF(G740="","",IFERROR(INDEX(I_Master!$E$6:$E$85,MATCH(G740,I_Master!$A$6:$A$85,0)),"?"))</f>
        <v/>
      </c>
      <c r="P740" s="46" t="str">
        <f aca="false">IF(H740="","",IF(OR(A740&lt;I_Parameter!$C$5,A740&gt;I_Parameter!$C$6),0,IF(B740="Aktual",1,IF(AND(B740="Order",A740&gt;=I_Parameter!$C$4),1,0))))</f>
        <v/>
      </c>
    </row>
    <row r="741" customFormat="false" ht="15" hidden="false" customHeight="false" outlineLevel="0" collapsed="false">
      <c r="A741" s="37"/>
      <c r="B741" s="44"/>
      <c r="C741" s="44"/>
      <c r="D741" s="44"/>
      <c r="E741" s="44"/>
      <c r="F741" s="44"/>
      <c r="G741" s="34" t="str">
        <f aca="false">IF(F741&lt;&gt;"",F741,IF(E741="","",IFERROR(INDEX(I_Item!$C$6:$C$255,MATCH(E741,I_Item!$A$6:$A$255,0)),"KODE BARU")))</f>
        <v/>
      </c>
      <c r="H741" s="45"/>
      <c r="I741" s="42"/>
      <c r="J741" s="11" t="str">
        <f aca="false">IF(H741="","",H741*I741)</f>
        <v/>
      </c>
      <c r="K741" s="42"/>
      <c r="L741" s="11" t="str">
        <f aca="false">IF(H741="","",IF(K741&lt;&gt;"",K741,H741*IFERROR(INDEX(O_Stok!$Q$6:$Q$85,MATCH(G741,O_Stok!$A$6:$A$85,0)),0)))</f>
        <v/>
      </c>
      <c r="M741" s="11" t="str">
        <f aca="false">IF(H741="","",J741-L741)</f>
        <v/>
      </c>
      <c r="N741" s="34" t="str">
        <f aca="false">IF(G741="","",IFERROR(INDEX(I_Master!$B$6:$B$85,MATCH(G741,I_Master!$A$6:$A$85,0)),"?"))</f>
        <v/>
      </c>
      <c r="O741" s="34" t="str">
        <f aca="false">IF(G741="","",IFERROR(INDEX(I_Master!$E$6:$E$85,MATCH(G741,I_Master!$A$6:$A$85,0)),"?"))</f>
        <v/>
      </c>
      <c r="P741" s="46" t="str">
        <f aca="false">IF(H741="","",IF(OR(A741&lt;I_Parameter!$C$5,A741&gt;I_Parameter!$C$6),0,IF(B741="Aktual",1,IF(AND(B741="Order",A741&gt;=I_Parameter!$C$4),1,0))))</f>
        <v/>
      </c>
    </row>
    <row r="742" customFormat="false" ht="15" hidden="false" customHeight="false" outlineLevel="0" collapsed="false">
      <c r="A742" s="37"/>
      <c r="B742" s="44"/>
      <c r="C742" s="44"/>
      <c r="D742" s="44"/>
      <c r="E742" s="44"/>
      <c r="F742" s="44"/>
      <c r="G742" s="34" t="str">
        <f aca="false">IF(F742&lt;&gt;"",F742,IF(E742="","",IFERROR(INDEX(I_Item!$C$6:$C$255,MATCH(E742,I_Item!$A$6:$A$255,0)),"KODE BARU")))</f>
        <v/>
      </c>
      <c r="H742" s="45"/>
      <c r="I742" s="42"/>
      <c r="J742" s="11" t="str">
        <f aca="false">IF(H742="","",H742*I742)</f>
        <v/>
      </c>
      <c r="K742" s="42"/>
      <c r="L742" s="11" t="str">
        <f aca="false">IF(H742="","",IF(K742&lt;&gt;"",K742,H742*IFERROR(INDEX(O_Stok!$Q$6:$Q$85,MATCH(G742,O_Stok!$A$6:$A$85,0)),0)))</f>
        <v/>
      </c>
      <c r="M742" s="11" t="str">
        <f aca="false">IF(H742="","",J742-L742)</f>
        <v/>
      </c>
      <c r="N742" s="34" t="str">
        <f aca="false">IF(G742="","",IFERROR(INDEX(I_Master!$B$6:$B$85,MATCH(G742,I_Master!$A$6:$A$85,0)),"?"))</f>
        <v/>
      </c>
      <c r="O742" s="34" t="str">
        <f aca="false">IF(G742="","",IFERROR(INDEX(I_Master!$E$6:$E$85,MATCH(G742,I_Master!$A$6:$A$85,0)),"?"))</f>
        <v/>
      </c>
      <c r="P742" s="46" t="str">
        <f aca="false">IF(H742="","",IF(OR(A742&lt;I_Parameter!$C$5,A742&gt;I_Parameter!$C$6),0,IF(B742="Aktual",1,IF(AND(B742="Order",A742&gt;=I_Parameter!$C$4),1,0))))</f>
        <v/>
      </c>
    </row>
    <row r="743" customFormat="false" ht="15" hidden="false" customHeight="false" outlineLevel="0" collapsed="false">
      <c r="A743" s="37"/>
      <c r="B743" s="44"/>
      <c r="C743" s="44"/>
      <c r="D743" s="44"/>
      <c r="E743" s="44"/>
      <c r="F743" s="44"/>
      <c r="G743" s="34" t="str">
        <f aca="false">IF(F743&lt;&gt;"",F743,IF(E743="","",IFERROR(INDEX(I_Item!$C$6:$C$255,MATCH(E743,I_Item!$A$6:$A$255,0)),"KODE BARU")))</f>
        <v/>
      </c>
      <c r="H743" s="45"/>
      <c r="I743" s="42"/>
      <c r="J743" s="11" t="str">
        <f aca="false">IF(H743="","",H743*I743)</f>
        <v/>
      </c>
      <c r="K743" s="42"/>
      <c r="L743" s="11" t="str">
        <f aca="false">IF(H743="","",IF(K743&lt;&gt;"",K743,H743*IFERROR(INDEX(O_Stok!$Q$6:$Q$85,MATCH(G743,O_Stok!$A$6:$A$85,0)),0)))</f>
        <v/>
      </c>
      <c r="M743" s="11" t="str">
        <f aca="false">IF(H743="","",J743-L743)</f>
        <v/>
      </c>
      <c r="N743" s="34" t="str">
        <f aca="false">IF(G743="","",IFERROR(INDEX(I_Master!$B$6:$B$85,MATCH(G743,I_Master!$A$6:$A$85,0)),"?"))</f>
        <v/>
      </c>
      <c r="O743" s="34" t="str">
        <f aca="false">IF(G743="","",IFERROR(INDEX(I_Master!$E$6:$E$85,MATCH(G743,I_Master!$A$6:$A$85,0)),"?"))</f>
        <v/>
      </c>
      <c r="P743" s="46" t="str">
        <f aca="false">IF(H743="","",IF(OR(A743&lt;I_Parameter!$C$5,A743&gt;I_Parameter!$C$6),0,IF(B743="Aktual",1,IF(AND(B743="Order",A743&gt;=I_Parameter!$C$4),1,0))))</f>
        <v/>
      </c>
    </row>
    <row r="744" customFormat="false" ht="15" hidden="false" customHeight="false" outlineLevel="0" collapsed="false">
      <c r="A744" s="37"/>
      <c r="B744" s="44"/>
      <c r="C744" s="44"/>
      <c r="D744" s="44"/>
      <c r="E744" s="44"/>
      <c r="F744" s="44"/>
      <c r="G744" s="34" t="str">
        <f aca="false">IF(F744&lt;&gt;"",F744,IF(E744="","",IFERROR(INDEX(I_Item!$C$6:$C$255,MATCH(E744,I_Item!$A$6:$A$255,0)),"KODE BARU")))</f>
        <v/>
      </c>
      <c r="H744" s="45"/>
      <c r="I744" s="42"/>
      <c r="J744" s="11" t="str">
        <f aca="false">IF(H744="","",H744*I744)</f>
        <v/>
      </c>
      <c r="K744" s="42"/>
      <c r="L744" s="11" t="str">
        <f aca="false">IF(H744="","",IF(K744&lt;&gt;"",K744,H744*IFERROR(INDEX(O_Stok!$Q$6:$Q$85,MATCH(G744,O_Stok!$A$6:$A$85,0)),0)))</f>
        <v/>
      </c>
      <c r="M744" s="11" t="str">
        <f aca="false">IF(H744="","",J744-L744)</f>
        <v/>
      </c>
      <c r="N744" s="34" t="str">
        <f aca="false">IF(G744="","",IFERROR(INDEX(I_Master!$B$6:$B$85,MATCH(G744,I_Master!$A$6:$A$85,0)),"?"))</f>
        <v/>
      </c>
      <c r="O744" s="34" t="str">
        <f aca="false">IF(G744="","",IFERROR(INDEX(I_Master!$E$6:$E$85,MATCH(G744,I_Master!$A$6:$A$85,0)),"?"))</f>
        <v/>
      </c>
      <c r="P744" s="46" t="str">
        <f aca="false">IF(H744="","",IF(OR(A744&lt;I_Parameter!$C$5,A744&gt;I_Parameter!$C$6),0,IF(B744="Aktual",1,IF(AND(B744="Order",A744&gt;=I_Parameter!$C$4),1,0))))</f>
        <v/>
      </c>
    </row>
    <row r="745" customFormat="false" ht="15" hidden="false" customHeight="false" outlineLevel="0" collapsed="false">
      <c r="A745" s="37"/>
      <c r="B745" s="44"/>
      <c r="C745" s="44"/>
      <c r="D745" s="44"/>
      <c r="E745" s="44"/>
      <c r="F745" s="44"/>
      <c r="G745" s="34" t="str">
        <f aca="false">IF(F745&lt;&gt;"",F745,IF(E745="","",IFERROR(INDEX(I_Item!$C$6:$C$255,MATCH(E745,I_Item!$A$6:$A$255,0)),"KODE BARU")))</f>
        <v/>
      </c>
      <c r="H745" s="45"/>
      <c r="I745" s="42"/>
      <c r="J745" s="11" t="str">
        <f aca="false">IF(H745="","",H745*I745)</f>
        <v/>
      </c>
      <c r="K745" s="42"/>
      <c r="L745" s="11" t="str">
        <f aca="false">IF(H745="","",IF(K745&lt;&gt;"",K745,H745*IFERROR(INDEX(O_Stok!$Q$6:$Q$85,MATCH(G745,O_Stok!$A$6:$A$85,0)),0)))</f>
        <v/>
      </c>
      <c r="M745" s="11" t="str">
        <f aca="false">IF(H745="","",J745-L745)</f>
        <v/>
      </c>
      <c r="N745" s="34" t="str">
        <f aca="false">IF(G745="","",IFERROR(INDEX(I_Master!$B$6:$B$85,MATCH(G745,I_Master!$A$6:$A$85,0)),"?"))</f>
        <v/>
      </c>
      <c r="O745" s="34" t="str">
        <f aca="false">IF(G745="","",IFERROR(INDEX(I_Master!$E$6:$E$85,MATCH(G745,I_Master!$A$6:$A$85,0)),"?"))</f>
        <v/>
      </c>
      <c r="P745" s="46" t="str">
        <f aca="false">IF(H745="","",IF(OR(A745&lt;I_Parameter!$C$5,A745&gt;I_Parameter!$C$6),0,IF(B745="Aktual",1,IF(AND(B745="Order",A745&gt;=I_Parameter!$C$4),1,0))))</f>
        <v/>
      </c>
    </row>
    <row r="746" customFormat="false" ht="15" hidden="false" customHeight="false" outlineLevel="0" collapsed="false">
      <c r="A746" s="37"/>
      <c r="B746" s="44"/>
      <c r="C746" s="44"/>
      <c r="D746" s="44"/>
      <c r="E746" s="44"/>
      <c r="F746" s="44"/>
      <c r="G746" s="34" t="str">
        <f aca="false">IF(F746&lt;&gt;"",F746,IF(E746="","",IFERROR(INDEX(I_Item!$C$6:$C$255,MATCH(E746,I_Item!$A$6:$A$255,0)),"KODE BARU")))</f>
        <v/>
      </c>
      <c r="H746" s="45"/>
      <c r="I746" s="42"/>
      <c r="J746" s="11" t="str">
        <f aca="false">IF(H746="","",H746*I746)</f>
        <v/>
      </c>
      <c r="K746" s="42"/>
      <c r="L746" s="11" t="str">
        <f aca="false">IF(H746="","",IF(K746&lt;&gt;"",K746,H746*IFERROR(INDEX(O_Stok!$Q$6:$Q$85,MATCH(G746,O_Stok!$A$6:$A$85,0)),0)))</f>
        <v/>
      </c>
      <c r="M746" s="11" t="str">
        <f aca="false">IF(H746="","",J746-L746)</f>
        <v/>
      </c>
      <c r="N746" s="34" t="str">
        <f aca="false">IF(G746="","",IFERROR(INDEX(I_Master!$B$6:$B$85,MATCH(G746,I_Master!$A$6:$A$85,0)),"?"))</f>
        <v/>
      </c>
      <c r="O746" s="34" t="str">
        <f aca="false">IF(G746="","",IFERROR(INDEX(I_Master!$E$6:$E$85,MATCH(G746,I_Master!$A$6:$A$85,0)),"?"))</f>
        <v/>
      </c>
      <c r="P746" s="46" t="str">
        <f aca="false">IF(H746="","",IF(OR(A746&lt;I_Parameter!$C$5,A746&gt;I_Parameter!$C$6),0,IF(B746="Aktual",1,IF(AND(B746="Order",A746&gt;=I_Parameter!$C$4),1,0))))</f>
        <v/>
      </c>
    </row>
    <row r="747" customFormat="false" ht="15" hidden="false" customHeight="false" outlineLevel="0" collapsed="false">
      <c r="A747" s="37"/>
      <c r="B747" s="44"/>
      <c r="C747" s="44"/>
      <c r="D747" s="44"/>
      <c r="E747" s="44"/>
      <c r="F747" s="44"/>
      <c r="G747" s="34" t="str">
        <f aca="false">IF(F747&lt;&gt;"",F747,IF(E747="","",IFERROR(INDEX(I_Item!$C$6:$C$255,MATCH(E747,I_Item!$A$6:$A$255,0)),"KODE BARU")))</f>
        <v/>
      </c>
      <c r="H747" s="45"/>
      <c r="I747" s="42"/>
      <c r="J747" s="11" t="str">
        <f aca="false">IF(H747="","",H747*I747)</f>
        <v/>
      </c>
      <c r="K747" s="42"/>
      <c r="L747" s="11" t="str">
        <f aca="false">IF(H747="","",IF(K747&lt;&gt;"",K747,H747*IFERROR(INDEX(O_Stok!$Q$6:$Q$85,MATCH(G747,O_Stok!$A$6:$A$85,0)),0)))</f>
        <v/>
      </c>
      <c r="M747" s="11" t="str">
        <f aca="false">IF(H747="","",J747-L747)</f>
        <v/>
      </c>
      <c r="N747" s="34" t="str">
        <f aca="false">IF(G747="","",IFERROR(INDEX(I_Master!$B$6:$B$85,MATCH(G747,I_Master!$A$6:$A$85,0)),"?"))</f>
        <v/>
      </c>
      <c r="O747" s="34" t="str">
        <f aca="false">IF(G747="","",IFERROR(INDEX(I_Master!$E$6:$E$85,MATCH(G747,I_Master!$A$6:$A$85,0)),"?"))</f>
        <v/>
      </c>
      <c r="P747" s="46" t="str">
        <f aca="false">IF(H747="","",IF(OR(A747&lt;I_Parameter!$C$5,A747&gt;I_Parameter!$C$6),0,IF(B747="Aktual",1,IF(AND(B747="Order",A747&gt;=I_Parameter!$C$4),1,0))))</f>
        <v/>
      </c>
    </row>
    <row r="748" customFormat="false" ht="15" hidden="false" customHeight="false" outlineLevel="0" collapsed="false">
      <c r="A748" s="37"/>
      <c r="B748" s="44"/>
      <c r="C748" s="44"/>
      <c r="D748" s="44"/>
      <c r="E748" s="44"/>
      <c r="F748" s="44"/>
      <c r="G748" s="34" t="str">
        <f aca="false">IF(F748&lt;&gt;"",F748,IF(E748="","",IFERROR(INDEX(I_Item!$C$6:$C$255,MATCH(E748,I_Item!$A$6:$A$255,0)),"KODE BARU")))</f>
        <v/>
      </c>
      <c r="H748" s="45"/>
      <c r="I748" s="42"/>
      <c r="J748" s="11" t="str">
        <f aca="false">IF(H748="","",H748*I748)</f>
        <v/>
      </c>
      <c r="K748" s="42"/>
      <c r="L748" s="11" t="str">
        <f aca="false">IF(H748="","",IF(K748&lt;&gt;"",K748,H748*IFERROR(INDEX(O_Stok!$Q$6:$Q$85,MATCH(G748,O_Stok!$A$6:$A$85,0)),0)))</f>
        <v/>
      </c>
      <c r="M748" s="11" t="str">
        <f aca="false">IF(H748="","",J748-L748)</f>
        <v/>
      </c>
      <c r="N748" s="34" t="str">
        <f aca="false">IF(G748="","",IFERROR(INDEX(I_Master!$B$6:$B$85,MATCH(G748,I_Master!$A$6:$A$85,0)),"?"))</f>
        <v/>
      </c>
      <c r="O748" s="34" t="str">
        <f aca="false">IF(G748="","",IFERROR(INDEX(I_Master!$E$6:$E$85,MATCH(G748,I_Master!$A$6:$A$85,0)),"?"))</f>
        <v/>
      </c>
      <c r="P748" s="46" t="str">
        <f aca="false">IF(H748="","",IF(OR(A748&lt;I_Parameter!$C$5,A748&gt;I_Parameter!$C$6),0,IF(B748="Aktual",1,IF(AND(B748="Order",A748&gt;=I_Parameter!$C$4),1,0))))</f>
        <v/>
      </c>
    </row>
    <row r="749" customFormat="false" ht="15" hidden="false" customHeight="false" outlineLevel="0" collapsed="false">
      <c r="A749" s="37"/>
      <c r="B749" s="44"/>
      <c r="C749" s="44"/>
      <c r="D749" s="44"/>
      <c r="E749" s="44"/>
      <c r="F749" s="44"/>
      <c r="G749" s="34" t="str">
        <f aca="false">IF(F749&lt;&gt;"",F749,IF(E749="","",IFERROR(INDEX(I_Item!$C$6:$C$255,MATCH(E749,I_Item!$A$6:$A$255,0)),"KODE BARU")))</f>
        <v/>
      </c>
      <c r="H749" s="45"/>
      <c r="I749" s="42"/>
      <c r="J749" s="11" t="str">
        <f aca="false">IF(H749="","",H749*I749)</f>
        <v/>
      </c>
      <c r="K749" s="42"/>
      <c r="L749" s="11" t="str">
        <f aca="false">IF(H749="","",IF(K749&lt;&gt;"",K749,H749*IFERROR(INDEX(O_Stok!$Q$6:$Q$85,MATCH(G749,O_Stok!$A$6:$A$85,0)),0)))</f>
        <v/>
      </c>
      <c r="M749" s="11" t="str">
        <f aca="false">IF(H749="","",J749-L749)</f>
        <v/>
      </c>
      <c r="N749" s="34" t="str">
        <f aca="false">IF(G749="","",IFERROR(INDEX(I_Master!$B$6:$B$85,MATCH(G749,I_Master!$A$6:$A$85,0)),"?"))</f>
        <v/>
      </c>
      <c r="O749" s="34" t="str">
        <f aca="false">IF(G749="","",IFERROR(INDEX(I_Master!$E$6:$E$85,MATCH(G749,I_Master!$A$6:$A$85,0)),"?"))</f>
        <v/>
      </c>
      <c r="P749" s="46" t="str">
        <f aca="false">IF(H749="","",IF(OR(A749&lt;I_Parameter!$C$5,A749&gt;I_Parameter!$C$6),0,IF(B749="Aktual",1,IF(AND(B749="Order",A749&gt;=I_Parameter!$C$4),1,0))))</f>
        <v/>
      </c>
    </row>
    <row r="750" customFormat="false" ht="15" hidden="false" customHeight="false" outlineLevel="0" collapsed="false">
      <c r="A750" s="37"/>
      <c r="B750" s="44"/>
      <c r="C750" s="44"/>
      <c r="D750" s="44"/>
      <c r="E750" s="44"/>
      <c r="F750" s="44"/>
      <c r="G750" s="34" t="str">
        <f aca="false">IF(F750&lt;&gt;"",F750,IF(E750="","",IFERROR(INDEX(I_Item!$C$6:$C$255,MATCH(E750,I_Item!$A$6:$A$255,0)),"KODE BARU")))</f>
        <v/>
      </c>
      <c r="H750" s="45"/>
      <c r="I750" s="42"/>
      <c r="J750" s="11" t="str">
        <f aca="false">IF(H750="","",H750*I750)</f>
        <v/>
      </c>
      <c r="K750" s="42"/>
      <c r="L750" s="11" t="str">
        <f aca="false">IF(H750="","",IF(K750&lt;&gt;"",K750,H750*IFERROR(INDEX(O_Stok!$Q$6:$Q$85,MATCH(G750,O_Stok!$A$6:$A$85,0)),0)))</f>
        <v/>
      </c>
      <c r="M750" s="11" t="str">
        <f aca="false">IF(H750="","",J750-L750)</f>
        <v/>
      </c>
      <c r="N750" s="34" t="str">
        <f aca="false">IF(G750="","",IFERROR(INDEX(I_Master!$B$6:$B$85,MATCH(G750,I_Master!$A$6:$A$85,0)),"?"))</f>
        <v/>
      </c>
      <c r="O750" s="34" t="str">
        <f aca="false">IF(G750="","",IFERROR(INDEX(I_Master!$E$6:$E$85,MATCH(G750,I_Master!$A$6:$A$85,0)),"?"))</f>
        <v/>
      </c>
      <c r="P750" s="46" t="str">
        <f aca="false">IF(H750="","",IF(OR(A750&lt;I_Parameter!$C$5,A750&gt;I_Parameter!$C$6),0,IF(B750="Aktual",1,IF(AND(B750="Order",A750&gt;=I_Parameter!$C$4),1,0))))</f>
        <v/>
      </c>
    </row>
    <row r="751" customFormat="false" ht="15" hidden="false" customHeight="false" outlineLevel="0" collapsed="false">
      <c r="A751" s="37"/>
      <c r="B751" s="44"/>
      <c r="C751" s="44"/>
      <c r="D751" s="44"/>
      <c r="E751" s="44"/>
      <c r="F751" s="44"/>
      <c r="G751" s="34" t="str">
        <f aca="false">IF(F751&lt;&gt;"",F751,IF(E751="","",IFERROR(INDEX(I_Item!$C$6:$C$255,MATCH(E751,I_Item!$A$6:$A$255,0)),"KODE BARU")))</f>
        <v/>
      </c>
      <c r="H751" s="45"/>
      <c r="I751" s="42"/>
      <c r="J751" s="11" t="str">
        <f aca="false">IF(H751="","",H751*I751)</f>
        <v/>
      </c>
      <c r="K751" s="42"/>
      <c r="L751" s="11" t="str">
        <f aca="false">IF(H751="","",IF(K751&lt;&gt;"",K751,H751*IFERROR(INDEX(O_Stok!$Q$6:$Q$85,MATCH(G751,O_Stok!$A$6:$A$85,0)),0)))</f>
        <v/>
      </c>
      <c r="M751" s="11" t="str">
        <f aca="false">IF(H751="","",J751-L751)</f>
        <v/>
      </c>
      <c r="N751" s="34" t="str">
        <f aca="false">IF(G751="","",IFERROR(INDEX(I_Master!$B$6:$B$85,MATCH(G751,I_Master!$A$6:$A$85,0)),"?"))</f>
        <v/>
      </c>
      <c r="O751" s="34" t="str">
        <f aca="false">IF(G751="","",IFERROR(INDEX(I_Master!$E$6:$E$85,MATCH(G751,I_Master!$A$6:$A$85,0)),"?"))</f>
        <v/>
      </c>
      <c r="P751" s="46" t="str">
        <f aca="false">IF(H751="","",IF(OR(A751&lt;I_Parameter!$C$5,A751&gt;I_Parameter!$C$6),0,IF(B751="Aktual",1,IF(AND(B751="Order",A751&gt;=I_Parameter!$C$4),1,0))))</f>
        <v/>
      </c>
    </row>
    <row r="752" customFormat="false" ht="15" hidden="false" customHeight="false" outlineLevel="0" collapsed="false">
      <c r="A752" s="37"/>
      <c r="B752" s="44"/>
      <c r="C752" s="44"/>
      <c r="D752" s="44"/>
      <c r="E752" s="44"/>
      <c r="F752" s="44"/>
      <c r="G752" s="34" t="str">
        <f aca="false">IF(F752&lt;&gt;"",F752,IF(E752="","",IFERROR(INDEX(I_Item!$C$6:$C$255,MATCH(E752,I_Item!$A$6:$A$255,0)),"KODE BARU")))</f>
        <v/>
      </c>
      <c r="H752" s="45"/>
      <c r="I752" s="42"/>
      <c r="J752" s="11" t="str">
        <f aca="false">IF(H752="","",H752*I752)</f>
        <v/>
      </c>
      <c r="K752" s="42"/>
      <c r="L752" s="11" t="str">
        <f aca="false">IF(H752="","",IF(K752&lt;&gt;"",K752,H752*IFERROR(INDEX(O_Stok!$Q$6:$Q$85,MATCH(G752,O_Stok!$A$6:$A$85,0)),0)))</f>
        <v/>
      </c>
      <c r="M752" s="11" t="str">
        <f aca="false">IF(H752="","",J752-L752)</f>
        <v/>
      </c>
      <c r="N752" s="34" t="str">
        <f aca="false">IF(G752="","",IFERROR(INDEX(I_Master!$B$6:$B$85,MATCH(G752,I_Master!$A$6:$A$85,0)),"?"))</f>
        <v/>
      </c>
      <c r="O752" s="34" t="str">
        <f aca="false">IF(G752="","",IFERROR(INDEX(I_Master!$E$6:$E$85,MATCH(G752,I_Master!$A$6:$A$85,0)),"?"))</f>
        <v/>
      </c>
      <c r="P752" s="46" t="str">
        <f aca="false">IF(H752="","",IF(OR(A752&lt;I_Parameter!$C$5,A752&gt;I_Parameter!$C$6),0,IF(B752="Aktual",1,IF(AND(B752="Order",A752&gt;=I_Parameter!$C$4),1,0))))</f>
        <v/>
      </c>
    </row>
    <row r="753" customFormat="false" ht="15" hidden="false" customHeight="false" outlineLevel="0" collapsed="false">
      <c r="A753" s="37"/>
      <c r="B753" s="44"/>
      <c r="C753" s="44"/>
      <c r="D753" s="44"/>
      <c r="E753" s="44"/>
      <c r="F753" s="44"/>
      <c r="G753" s="34" t="str">
        <f aca="false">IF(F753&lt;&gt;"",F753,IF(E753="","",IFERROR(INDEX(I_Item!$C$6:$C$255,MATCH(E753,I_Item!$A$6:$A$255,0)),"KODE BARU")))</f>
        <v/>
      </c>
      <c r="H753" s="45"/>
      <c r="I753" s="42"/>
      <c r="J753" s="11" t="str">
        <f aca="false">IF(H753="","",H753*I753)</f>
        <v/>
      </c>
      <c r="K753" s="42"/>
      <c r="L753" s="11" t="str">
        <f aca="false">IF(H753="","",IF(K753&lt;&gt;"",K753,H753*IFERROR(INDEX(O_Stok!$Q$6:$Q$85,MATCH(G753,O_Stok!$A$6:$A$85,0)),0)))</f>
        <v/>
      </c>
      <c r="M753" s="11" t="str">
        <f aca="false">IF(H753="","",J753-L753)</f>
        <v/>
      </c>
      <c r="N753" s="34" t="str">
        <f aca="false">IF(G753="","",IFERROR(INDEX(I_Master!$B$6:$B$85,MATCH(G753,I_Master!$A$6:$A$85,0)),"?"))</f>
        <v/>
      </c>
      <c r="O753" s="34" t="str">
        <f aca="false">IF(G753="","",IFERROR(INDEX(I_Master!$E$6:$E$85,MATCH(G753,I_Master!$A$6:$A$85,0)),"?"))</f>
        <v/>
      </c>
      <c r="P753" s="46" t="str">
        <f aca="false">IF(H753="","",IF(OR(A753&lt;I_Parameter!$C$5,A753&gt;I_Parameter!$C$6),0,IF(B753="Aktual",1,IF(AND(B753="Order",A753&gt;=I_Parameter!$C$4),1,0))))</f>
        <v/>
      </c>
    </row>
    <row r="754" customFormat="false" ht="15" hidden="false" customHeight="false" outlineLevel="0" collapsed="false">
      <c r="A754" s="37"/>
      <c r="B754" s="44"/>
      <c r="C754" s="44"/>
      <c r="D754" s="44"/>
      <c r="E754" s="44"/>
      <c r="F754" s="44"/>
      <c r="G754" s="34" t="str">
        <f aca="false">IF(F754&lt;&gt;"",F754,IF(E754="","",IFERROR(INDEX(I_Item!$C$6:$C$255,MATCH(E754,I_Item!$A$6:$A$255,0)),"KODE BARU")))</f>
        <v/>
      </c>
      <c r="H754" s="45"/>
      <c r="I754" s="42"/>
      <c r="J754" s="11" t="str">
        <f aca="false">IF(H754="","",H754*I754)</f>
        <v/>
      </c>
      <c r="K754" s="42"/>
      <c r="L754" s="11" t="str">
        <f aca="false">IF(H754="","",IF(K754&lt;&gt;"",K754,H754*IFERROR(INDEX(O_Stok!$Q$6:$Q$85,MATCH(G754,O_Stok!$A$6:$A$85,0)),0)))</f>
        <v/>
      </c>
      <c r="M754" s="11" t="str">
        <f aca="false">IF(H754="","",J754-L754)</f>
        <v/>
      </c>
      <c r="N754" s="34" t="str">
        <f aca="false">IF(G754="","",IFERROR(INDEX(I_Master!$B$6:$B$85,MATCH(G754,I_Master!$A$6:$A$85,0)),"?"))</f>
        <v/>
      </c>
      <c r="O754" s="34" t="str">
        <f aca="false">IF(G754="","",IFERROR(INDEX(I_Master!$E$6:$E$85,MATCH(G754,I_Master!$A$6:$A$85,0)),"?"))</f>
        <v/>
      </c>
      <c r="P754" s="46" t="str">
        <f aca="false">IF(H754="","",IF(OR(A754&lt;I_Parameter!$C$5,A754&gt;I_Parameter!$C$6),0,IF(B754="Aktual",1,IF(AND(B754="Order",A754&gt;=I_Parameter!$C$4),1,0))))</f>
        <v/>
      </c>
    </row>
    <row r="755" customFormat="false" ht="15" hidden="false" customHeight="false" outlineLevel="0" collapsed="false">
      <c r="A755" s="37"/>
      <c r="B755" s="44"/>
      <c r="C755" s="44"/>
      <c r="D755" s="44"/>
      <c r="E755" s="44"/>
      <c r="F755" s="44"/>
      <c r="G755" s="34" t="str">
        <f aca="false">IF(F755&lt;&gt;"",F755,IF(E755="","",IFERROR(INDEX(I_Item!$C$6:$C$255,MATCH(E755,I_Item!$A$6:$A$255,0)),"KODE BARU")))</f>
        <v/>
      </c>
      <c r="H755" s="45"/>
      <c r="I755" s="42"/>
      <c r="J755" s="11" t="str">
        <f aca="false">IF(H755="","",H755*I755)</f>
        <v/>
      </c>
      <c r="K755" s="42"/>
      <c r="L755" s="11" t="str">
        <f aca="false">IF(H755="","",IF(K755&lt;&gt;"",K755,H755*IFERROR(INDEX(O_Stok!$Q$6:$Q$85,MATCH(G755,O_Stok!$A$6:$A$85,0)),0)))</f>
        <v/>
      </c>
      <c r="M755" s="11" t="str">
        <f aca="false">IF(H755="","",J755-L755)</f>
        <v/>
      </c>
      <c r="N755" s="34" t="str">
        <f aca="false">IF(G755="","",IFERROR(INDEX(I_Master!$B$6:$B$85,MATCH(G755,I_Master!$A$6:$A$85,0)),"?"))</f>
        <v/>
      </c>
      <c r="O755" s="34" t="str">
        <f aca="false">IF(G755="","",IFERROR(INDEX(I_Master!$E$6:$E$85,MATCH(G755,I_Master!$A$6:$A$85,0)),"?"))</f>
        <v/>
      </c>
      <c r="P755" s="46" t="str">
        <f aca="false">IF(H755="","",IF(OR(A755&lt;I_Parameter!$C$5,A755&gt;I_Parameter!$C$6),0,IF(B755="Aktual",1,IF(AND(B755="Order",A755&gt;=I_Parameter!$C$4),1,0))))</f>
        <v/>
      </c>
    </row>
    <row r="756" customFormat="false" ht="15" hidden="false" customHeight="false" outlineLevel="0" collapsed="false">
      <c r="A756" s="37"/>
      <c r="B756" s="44"/>
      <c r="C756" s="44"/>
      <c r="D756" s="44"/>
      <c r="E756" s="44"/>
      <c r="F756" s="44"/>
      <c r="G756" s="34" t="str">
        <f aca="false">IF(F756&lt;&gt;"",F756,IF(E756="","",IFERROR(INDEX(I_Item!$C$6:$C$255,MATCH(E756,I_Item!$A$6:$A$255,0)),"KODE BARU")))</f>
        <v/>
      </c>
      <c r="H756" s="45"/>
      <c r="I756" s="42"/>
      <c r="J756" s="11" t="str">
        <f aca="false">IF(H756="","",H756*I756)</f>
        <v/>
      </c>
      <c r="K756" s="42"/>
      <c r="L756" s="11" t="str">
        <f aca="false">IF(H756="","",IF(K756&lt;&gt;"",K756,H756*IFERROR(INDEX(O_Stok!$Q$6:$Q$85,MATCH(G756,O_Stok!$A$6:$A$85,0)),0)))</f>
        <v/>
      </c>
      <c r="M756" s="11" t="str">
        <f aca="false">IF(H756="","",J756-L756)</f>
        <v/>
      </c>
      <c r="N756" s="34" t="str">
        <f aca="false">IF(G756="","",IFERROR(INDEX(I_Master!$B$6:$B$85,MATCH(G756,I_Master!$A$6:$A$85,0)),"?"))</f>
        <v/>
      </c>
      <c r="O756" s="34" t="str">
        <f aca="false">IF(G756="","",IFERROR(INDEX(I_Master!$E$6:$E$85,MATCH(G756,I_Master!$A$6:$A$85,0)),"?"))</f>
        <v/>
      </c>
      <c r="P756" s="46" t="str">
        <f aca="false">IF(H756="","",IF(OR(A756&lt;I_Parameter!$C$5,A756&gt;I_Parameter!$C$6),0,IF(B756="Aktual",1,IF(AND(B756="Order",A756&gt;=I_Parameter!$C$4),1,0))))</f>
        <v/>
      </c>
    </row>
    <row r="757" customFormat="false" ht="15" hidden="false" customHeight="false" outlineLevel="0" collapsed="false">
      <c r="A757" s="37"/>
      <c r="B757" s="44"/>
      <c r="C757" s="44"/>
      <c r="D757" s="44"/>
      <c r="E757" s="44"/>
      <c r="F757" s="44"/>
      <c r="G757" s="34" t="str">
        <f aca="false">IF(F757&lt;&gt;"",F757,IF(E757="","",IFERROR(INDEX(I_Item!$C$6:$C$255,MATCH(E757,I_Item!$A$6:$A$255,0)),"KODE BARU")))</f>
        <v/>
      </c>
      <c r="H757" s="45"/>
      <c r="I757" s="42"/>
      <c r="J757" s="11" t="str">
        <f aca="false">IF(H757="","",H757*I757)</f>
        <v/>
      </c>
      <c r="K757" s="42"/>
      <c r="L757" s="11" t="str">
        <f aca="false">IF(H757="","",IF(K757&lt;&gt;"",K757,H757*IFERROR(INDEX(O_Stok!$Q$6:$Q$85,MATCH(G757,O_Stok!$A$6:$A$85,0)),0)))</f>
        <v/>
      </c>
      <c r="M757" s="11" t="str">
        <f aca="false">IF(H757="","",J757-L757)</f>
        <v/>
      </c>
      <c r="N757" s="34" t="str">
        <f aca="false">IF(G757="","",IFERROR(INDEX(I_Master!$B$6:$B$85,MATCH(G757,I_Master!$A$6:$A$85,0)),"?"))</f>
        <v/>
      </c>
      <c r="O757" s="34" t="str">
        <f aca="false">IF(G757="","",IFERROR(INDEX(I_Master!$E$6:$E$85,MATCH(G757,I_Master!$A$6:$A$85,0)),"?"))</f>
        <v/>
      </c>
      <c r="P757" s="46" t="str">
        <f aca="false">IF(H757="","",IF(OR(A757&lt;I_Parameter!$C$5,A757&gt;I_Parameter!$C$6),0,IF(B757="Aktual",1,IF(AND(B757="Order",A757&gt;=I_Parameter!$C$4),1,0))))</f>
        <v/>
      </c>
    </row>
    <row r="758" customFormat="false" ht="15" hidden="false" customHeight="false" outlineLevel="0" collapsed="false">
      <c r="A758" s="37"/>
      <c r="B758" s="44"/>
      <c r="C758" s="44"/>
      <c r="D758" s="44"/>
      <c r="E758" s="44"/>
      <c r="F758" s="44"/>
      <c r="G758" s="34" t="str">
        <f aca="false">IF(F758&lt;&gt;"",F758,IF(E758="","",IFERROR(INDEX(I_Item!$C$6:$C$255,MATCH(E758,I_Item!$A$6:$A$255,0)),"KODE BARU")))</f>
        <v/>
      </c>
      <c r="H758" s="45"/>
      <c r="I758" s="42"/>
      <c r="J758" s="11" t="str">
        <f aca="false">IF(H758="","",H758*I758)</f>
        <v/>
      </c>
      <c r="K758" s="42"/>
      <c r="L758" s="11" t="str">
        <f aca="false">IF(H758="","",IF(K758&lt;&gt;"",K758,H758*IFERROR(INDEX(O_Stok!$Q$6:$Q$85,MATCH(G758,O_Stok!$A$6:$A$85,0)),0)))</f>
        <v/>
      </c>
      <c r="M758" s="11" t="str">
        <f aca="false">IF(H758="","",J758-L758)</f>
        <v/>
      </c>
      <c r="N758" s="34" t="str">
        <f aca="false">IF(G758="","",IFERROR(INDEX(I_Master!$B$6:$B$85,MATCH(G758,I_Master!$A$6:$A$85,0)),"?"))</f>
        <v/>
      </c>
      <c r="O758" s="34" t="str">
        <f aca="false">IF(G758="","",IFERROR(INDEX(I_Master!$E$6:$E$85,MATCH(G758,I_Master!$A$6:$A$85,0)),"?"))</f>
        <v/>
      </c>
      <c r="P758" s="46" t="str">
        <f aca="false">IF(H758="","",IF(OR(A758&lt;I_Parameter!$C$5,A758&gt;I_Parameter!$C$6),0,IF(B758="Aktual",1,IF(AND(B758="Order",A758&gt;=I_Parameter!$C$4),1,0))))</f>
        <v/>
      </c>
    </row>
    <row r="759" customFormat="false" ht="15" hidden="false" customHeight="false" outlineLevel="0" collapsed="false">
      <c r="A759" s="37"/>
      <c r="B759" s="44"/>
      <c r="C759" s="44"/>
      <c r="D759" s="44"/>
      <c r="E759" s="44"/>
      <c r="F759" s="44"/>
      <c r="G759" s="34" t="str">
        <f aca="false">IF(F759&lt;&gt;"",F759,IF(E759="","",IFERROR(INDEX(I_Item!$C$6:$C$255,MATCH(E759,I_Item!$A$6:$A$255,0)),"KODE BARU")))</f>
        <v/>
      </c>
      <c r="H759" s="45"/>
      <c r="I759" s="42"/>
      <c r="J759" s="11" t="str">
        <f aca="false">IF(H759="","",H759*I759)</f>
        <v/>
      </c>
      <c r="K759" s="42"/>
      <c r="L759" s="11" t="str">
        <f aca="false">IF(H759="","",IF(K759&lt;&gt;"",K759,H759*IFERROR(INDEX(O_Stok!$Q$6:$Q$85,MATCH(G759,O_Stok!$A$6:$A$85,0)),0)))</f>
        <v/>
      </c>
      <c r="M759" s="11" t="str">
        <f aca="false">IF(H759="","",J759-L759)</f>
        <v/>
      </c>
      <c r="N759" s="34" t="str">
        <f aca="false">IF(G759="","",IFERROR(INDEX(I_Master!$B$6:$B$85,MATCH(G759,I_Master!$A$6:$A$85,0)),"?"))</f>
        <v/>
      </c>
      <c r="O759" s="34" t="str">
        <f aca="false">IF(G759="","",IFERROR(INDEX(I_Master!$E$6:$E$85,MATCH(G759,I_Master!$A$6:$A$85,0)),"?"))</f>
        <v/>
      </c>
      <c r="P759" s="46" t="str">
        <f aca="false">IF(H759="","",IF(OR(A759&lt;I_Parameter!$C$5,A759&gt;I_Parameter!$C$6),0,IF(B759="Aktual",1,IF(AND(B759="Order",A759&gt;=I_Parameter!$C$4),1,0))))</f>
        <v/>
      </c>
    </row>
    <row r="760" customFormat="false" ht="15" hidden="false" customHeight="false" outlineLevel="0" collapsed="false">
      <c r="A760" s="37"/>
      <c r="B760" s="44"/>
      <c r="C760" s="44"/>
      <c r="D760" s="44"/>
      <c r="E760" s="44"/>
      <c r="F760" s="44"/>
      <c r="G760" s="34" t="str">
        <f aca="false">IF(F760&lt;&gt;"",F760,IF(E760="","",IFERROR(INDEX(I_Item!$C$6:$C$255,MATCH(E760,I_Item!$A$6:$A$255,0)),"KODE BARU")))</f>
        <v/>
      </c>
      <c r="H760" s="45"/>
      <c r="I760" s="42"/>
      <c r="J760" s="11" t="str">
        <f aca="false">IF(H760="","",H760*I760)</f>
        <v/>
      </c>
      <c r="K760" s="42"/>
      <c r="L760" s="11" t="str">
        <f aca="false">IF(H760="","",IF(K760&lt;&gt;"",K760,H760*IFERROR(INDEX(O_Stok!$Q$6:$Q$85,MATCH(G760,O_Stok!$A$6:$A$85,0)),0)))</f>
        <v/>
      </c>
      <c r="M760" s="11" t="str">
        <f aca="false">IF(H760="","",J760-L760)</f>
        <v/>
      </c>
      <c r="N760" s="34" t="str">
        <f aca="false">IF(G760="","",IFERROR(INDEX(I_Master!$B$6:$B$85,MATCH(G760,I_Master!$A$6:$A$85,0)),"?"))</f>
        <v/>
      </c>
      <c r="O760" s="34" t="str">
        <f aca="false">IF(G760="","",IFERROR(INDEX(I_Master!$E$6:$E$85,MATCH(G760,I_Master!$A$6:$A$85,0)),"?"))</f>
        <v/>
      </c>
      <c r="P760" s="46" t="str">
        <f aca="false">IF(H760="","",IF(OR(A760&lt;I_Parameter!$C$5,A760&gt;I_Parameter!$C$6),0,IF(B760="Aktual",1,IF(AND(B760="Order",A760&gt;=I_Parameter!$C$4),1,0))))</f>
        <v/>
      </c>
    </row>
    <row r="761" customFormat="false" ht="15" hidden="false" customHeight="false" outlineLevel="0" collapsed="false">
      <c r="A761" s="37"/>
      <c r="B761" s="44"/>
      <c r="C761" s="44"/>
      <c r="D761" s="44"/>
      <c r="E761" s="44"/>
      <c r="F761" s="44"/>
      <c r="G761" s="34" t="str">
        <f aca="false">IF(F761&lt;&gt;"",F761,IF(E761="","",IFERROR(INDEX(I_Item!$C$6:$C$255,MATCH(E761,I_Item!$A$6:$A$255,0)),"KODE BARU")))</f>
        <v/>
      </c>
      <c r="H761" s="45"/>
      <c r="I761" s="42"/>
      <c r="J761" s="11" t="str">
        <f aca="false">IF(H761="","",H761*I761)</f>
        <v/>
      </c>
      <c r="K761" s="42"/>
      <c r="L761" s="11" t="str">
        <f aca="false">IF(H761="","",IF(K761&lt;&gt;"",K761,H761*IFERROR(INDEX(O_Stok!$Q$6:$Q$85,MATCH(G761,O_Stok!$A$6:$A$85,0)),0)))</f>
        <v/>
      </c>
      <c r="M761" s="11" t="str">
        <f aca="false">IF(H761="","",J761-L761)</f>
        <v/>
      </c>
      <c r="N761" s="34" t="str">
        <f aca="false">IF(G761="","",IFERROR(INDEX(I_Master!$B$6:$B$85,MATCH(G761,I_Master!$A$6:$A$85,0)),"?"))</f>
        <v/>
      </c>
      <c r="O761" s="34" t="str">
        <f aca="false">IF(G761="","",IFERROR(INDEX(I_Master!$E$6:$E$85,MATCH(G761,I_Master!$A$6:$A$85,0)),"?"))</f>
        <v/>
      </c>
      <c r="P761" s="46" t="str">
        <f aca="false">IF(H761="","",IF(OR(A761&lt;I_Parameter!$C$5,A761&gt;I_Parameter!$C$6),0,IF(B761="Aktual",1,IF(AND(B761="Order",A761&gt;=I_Parameter!$C$4),1,0))))</f>
        <v/>
      </c>
    </row>
    <row r="762" customFormat="false" ht="15" hidden="false" customHeight="false" outlineLevel="0" collapsed="false">
      <c r="A762" s="37"/>
      <c r="B762" s="44"/>
      <c r="C762" s="44"/>
      <c r="D762" s="44"/>
      <c r="E762" s="44"/>
      <c r="F762" s="44"/>
      <c r="G762" s="34" t="str">
        <f aca="false">IF(F762&lt;&gt;"",F762,IF(E762="","",IFERROR(INDEX(I_Item!$C$6:$C$255,MATCH(E762,I_Item!$A$6:$A$255,0)),"KODE BARU")))</f>
        <v/>
      </c>
      <c r="H762" s="45"/>
      <c r="I762" s="42"/>
      <c r="J762" s="11" t="str">
        <f aca="false">IF(H762="","",H762*I762)</f>
        <v/>
      </c>
      <c r="K762" s="42"/>
      <c r="L762" s="11" t="str">
        <f aca="false">IF(H762="","",IF(K762&lt;&gt;"",K762,H762*IFERROR(INDEX(O_Stok!$Q$6:$Q$85,MATCH(G762,O_Stok!$A$6:$A$85,0)),0)))</f>
        <v/>
      </c>
      <c r="M762" s="11" t="str">
        <f aca="false">IF(H762="","",J762-L762)</f>
        <v/>
      </c>
      <c r="N762" s="34" t="str">
        <f aca="false">IF(G762="","",IFERROR(INDEX(I_Master!$B$6:$B$85,MATCH(G762,I_Master!$A$6:$A$85,0)),"?"))</f>
        <v/>
      </c>
      <c r="O762" s="34" t="str">
        <f aca="false">IF(G762="","",IFERROR(INDEX(I_Master!$E$6:$E$85,MATCH(G762,I_Master!$A$6:$A$85,0)),"?"))</f>
        <v/>
      </c>
      <c r="P762" s="46" t="str">
        <f aca="false">IF(H762="","",IF(OR(A762&lt;I_Parameter!$C$5,A762&gt;I_Parameter!$C$6),0,IF(B762="Aktual",1,IF(AND(B762="Order",A762&gt;=I_Parameter!$C$4),1,0))))</f>
        <v/>
      </c>
    </row>
    <row r="763" customFormat="false" ht="15" hidden="false" customHeight="false" outlineLevel="0" collapsed="false">
      <c r="A763" s="37"/>
      <c r="B763" s="44"/>
      <c r="C763" s="44"/>
      <c r="D763" s="44"/>
      <c r="E763" s="44"/>
      <c r="F763" s="44"/>
      <c r="G763" s="34" t="str">
        <f aca="false">IF(F763&lt;&gt;"",F763,IF(E763="","",IFERROR(INDEX(I_Item!$C$6:$C$255,MATCH(E763,I_Item!$A$6:$A$255,0)),"KODE BARU")))</f>
        <v/>
      </c>
      <c r="H763" s="45"/>
      <c r="I763" s="42"/>
      <c r="J763" s="11" t="str">
        <f aca="false">IF(H763="","",H763*I763)</f>
        <v/>
      </c>
      <c r="K763" s="42"/>
      <c r="L763" s="11" t="str">
        <f aca="false">IF(H763="","",IF(K763&lt;&gt;"",K763,H763*IFERROR(INDEX(O_Stok!$Q$6:$Q$85,MATCH(G763,O_Stok!$A$6:$A$85,0)),0)))</f>
        <v/>
      </c>
      <c r="M763" s="11" t="str">
        <f aca="false">IF(H763="","",J763-L763)</f>
        <v/>
      </c>
      <c r="N763" s="34" t="str">
        <f aca="false">IF(G763="","",IFERROR(INDEX(I_Master!$B$6:$B$85,MATCH(G763,I_Master!$A$6:$A$85,0)),"?"))</f>
        <v/>
      </c>
      <c r="O763" s="34" t="str">
        <f aca="false">IF(G763="","",IFERROR(INDEX(I_Master!$E$6:$E$85,MATCH(G763,I_Master!$A$6:$A$85,0)),"?"))</f>
        <v/>
      </c>
      <c r="P763" s="46" t="str">
        <f aca="false">IF(H763="","",IF(OR(A763&lt;I_Parameter!$C$5,A763&gt;I_Parameter!$C$6),0,IF(B763="Aktual",1,IF(AND(B763="Order",A763&gt;=I_Parameter!$C$4),1,0))))</f>
        <v/>
      </c>
    </row>
    <row r="764" customFormat="false" ht="15" hidden="false" customHeight="false" outlineLevel="0" collapsed="false">
      <c r="A764" s="37"/>
      <c r="B764" s="44"/>
      <c r="C764" s="44"/>
      <c r="D764" s="44"/>
      <c r="E764" s="44"/>
      <c r="F764" s="44"/>
      <c r="G764" s="34" t="str">
        <f aca="false">IF(F764&lt;&gt;"",F764,IF(E764="","",IFERROR(INDEX(I_Item!$C$6:$C$255,MATCH(E764,I_Item!$A$6:$A$255,0)),"KODE BARU")))</f>
        <v/>
      </c>
      <c r="H764" s="45"/>
      <c r="I764" s="42"/>
      <c r="J764" s="11" t="str">
        <f aca="false">IF(H764="","",H764*I764)</f>
        <v/>
      </c>
      <c r="K764" s="42"/>
      <c r="L764" s="11" t="str">
        <f aca="false">IF(H764="","",IF(K764&lt;&gt;"",K764,H764*IFERROR(INDEX(O_Stok!$Q$6:$Q$85,MATCH(G764,O_Stok!$A$6:$A$85,0)),0)))</f>
        <v/>
      </c>
      <c r="M764" s="11" t="str">
        <f aca="false">IF(H764="","",J764-L764)</f>
        <v/>
      </c>
      <c r="N764" s="34" t="str">
        <f aca="false">IF(G764="","",IFERROR(INDEX(I_Master!$B$6:$B$85,MATCH(G764,I_Master!$A$6:$A$85,0)),"?"))</f>
        <v/>
      </c>
      <c r="O764" s="34" t="str">
        <f aca="false">IF(G764="","",IFERROR(INDEX(I_Master!$E$6:$E$85,MATCH(G764,I_Master!$A$6:$A$85,0)),"?"))</f>
        <v/>
      </c>
      <c r="P764" s="46" t="str">
        <f aca="false">IF(H764="","",IF(OR(A764&lt;I_Parameter!$C$5,A764&gt;I_Parameter!$C$6),0,IF(B764="Aktual",1,IF(AND(B764="Order",A764&gt;=I_Parameter!$C$4),1,0))))</f>
        <v/>
      </c>
    </row>
    <row r="765" customFormat="false" ht="15" hidden="false" customHeight="false" outlineLevel="0" collapsed="false">
      <c r="A765" s="37"/>
      <c r="B765" s="44"/>
      <c r="C765" s="44"/>
      <c r="D765" s="44"/>
      <c r="E765" s="44"/>
      <c r="F765" s="44"/>
      <c r="G765" s="34" t="str">
        <f aca="false">IF(F765&lt;&gt;"",F765,IF(E765="","",IFERROR(INDEX(I_Item!$C$6:$C$255,MATCH(E765,I_Item!$A$6:$A$255,0)),"KODE BARU")))</f>
        <v/>
      </c>
      <c r="H765" s="45"/>
      <c r="I765" s="42"/>
      <c r="J765" s="11" t="str">
        <f aca="false">IF(H765="","",H765*I765)</f>
        <v/>
      </c>
      <c r="K765" s="42"/>
      <c r="L765" s="11" t="str">
        <f aca="false">IF(H765="","",IF(K765&lt;&gt;"",K765,H765*IFERROR(INDEX(O_Stok!$Q$6:$Q$85,MATCH(G765,O_Stok!$A$6:$A$85,0)),0)))</f>
        <v/>
      </c>
      <c r="M765" s="11" t="str">
        <f aca="false">IF(H765="","",J765-L765)</f>
        <v/>
      </c>
      <c r="N765" s="34" t="str">
        <f aca="false">IF(G765="","",IFERROR(INDEX(I_Master!$B$6:$B$85,MATCH(G765,I_Master!$A$6:$A$85,0)),"?"))</f>
        <v/>
      </c>
      <c r="O765" s="34" t="str">
        <f aca="false">IF(G765="","",IFERROR(INDEX(I_Master!$E$6:$E$85,MATCH(G765,I_Master!$A$6:$A$85,0)),"?"))</f>
        <v/>
      </c>
      <c r="P765" s="46" t="str">
        <f aca="false">IF(H765="","",IF(OR(A765&lt;I_Parameter!$C$5,A765&gt;I_Parameter!$C$6),0,IF(B765="Aktual",1,IF(AND(B765="Order",A765&gt;=I_Parameter!$C$4),1,0))))</f>
        <v/>
      </c>
    </row>
    <row r="766" customFormat="false" ht="15" hidden="false" customHeight="false" outlineLevel="0" collapsed="false">
      <c r="A766" s="37"/>
      <c r="B766" s="44"/>
      <c r="C766" s="44"/>
      <c r="D766" s="44"/>
      <c r="E766" s="44"/>
      <c r="F766" s="44"/>
      <c r="G766" s="34" t="str">
        <f aca="false">IF(F766&lt;&gt;"",F766,IF(E766="","",IFERROR(INDEX(I_Item!$C$6:$C$255,MATCH(E766,I_Item!$A$6:$A$255,0)),"KODE BARU")))</f>
        <v/>
      </c>
      <c r="H766" s="45"/>
      <c r="I766" s="42"/>
      <c r="J766" s="11" t="str">
        <f aca="false">IF(H766="","",H766*I766)</f>
        <v/>
      </c>
      <c r="K766" s="42"/>
      <c r="L766" s="11" t="str">
        <f aca="false">IF(H766="","",IF(K766&lt;&gt;"",K766,H766*IFERROR(INDEX(O_Stok!$Q$6:$Q$85,MATCH(G766,O_Stok!$A$6:$A$85,0)),0)))</f>
        <v/>
      </c>
      <c r="M766" s="11" t="str">
        <f aca="false">IF(H766="","",J766-L766)</f>
        <v/>
      </c>
      <c r="N766" s="34" t="str">
        <f aca="false">IF(G766="","",IFERROR(INDEX(I_Master!$B$6:$B$85,MATCH(G766,I_Master!$A$6:$A$85,0)),"?"))</f>
        <v/>
      </c>
      <c r="O766" s="34" t="str">
        <f aca="false">IF(G766="","",IFERROR(INDEX(I_Master!$E$6:$E$85,MATCH(G766,I_Master!$A$6:$A$85,0)),"?"))</f>
        <v/>
      </c>
      <c r="P766" s="46" t="str">
        <f aca="false">IF(H766="","",IF(OR(A766&lt;I_Parameter!$C$5,A766&gt;I_Parameter!$C$6),0,IF(B766="Aktual",1,IF(AND(B766="Order",A766&gt;=I_Parameter!$C$4),1,0))))</f>
        <v/>
      </c>
    </row>
    <row r="767" customFormat="false" ht="15" hidden="false" customHeight="false" outlineLevel="0" collapsed="false">
      <c r="A767" s="37"/>
      <c r="B767" s="44"/>
      <c r="C767" s="44"/>
      <c r="D767" s="44"/>
      <c r="E767" s="44"/>
      <c r="F767" s="44"/>
      <c r="G767" s="34" t="str">
        <f aca="false">IF(F767&lt;&gt;"",F767,IF(E767="","",IFERROR(INDEX(I_Item!$C$6:$C$255,MATCH(E767,I_Item!$A$6:$A$255,0)),"KODE BARU")))</f>
        <v/>
      </c>
      <c r="H767" s="45"/>
      <c r="I767" s="42"/>
      <c r="J767" s="11" t="str">
        <f aca="false">IF(H767="","",H767*I767)</f>
        <v/>
      </c>
      <c r="K767" s="42"/>
      <c r="L767" s="11" t="str">
        <f aca="false">IF(H767="","",IF(K767&lt;&gt;"",K767,H767*IFERROR(INDEX(O_Stok!$Q$6:$Q$85,MATCH(G767,O_Stok!$A$6:$A$85,0)),0)))</f>
        <v/>
      </c>
      <c r="M767" s="11" t="str">
        <f aca="false">IF(H767="","",J767-L767)</f>
        <v/>
      </c>
      <c r="N767" s="34" t="str">
        <f aca="false">IF(G767="","",IFERROR(INDEX(I_Master!$B$6:$B$85,MATCH(G767,I_Master!$A$6:$A$85,0)),"?"))</f>
        <v/>
      </c>
      <c r="O767" s="34" t="str">
        <f aca="false">IF(G767="","",IFERROR(INDEX(I_Master!$E$6:$E$85,MATCH(G767,I_Master!$A$6:$A$85,0)),"?"))</f>
        <v/>
      </c>
      <c r="P767" s="46" t="str">
        <f aca="false">IF(H767="","",IF(OR(A767&lt;I_Parameter!$C$5,A767&gt;I_Parameter!$C$6),0,IF(B767="Aktual",1,IF(AND(B767="Order",A767&gt;=I_Parameter!$C$4),1,0))))</f>
        <v/>
      </c>
    </row>
    <row r="768" customFormat="false" ht="15" hidden="false" customHeight="false" outlineLevel="0" collapsed="false">
      <c r="A768" s="37"/>
      <c r="B768" s="44"/>
      <c r="C768" s="44"/>
      <c r="D768" s="44"/>
      <c r="E768" s="44"/>
      <c r="F768" s="44"/>
      <c r="G768" s="34" t="str">
        <f aca="false">IF(F768&lt;&gt;"",F768,IF(E768="","",IFERROR(INDEX(I_Item!$C$6:$C$255,MATCH(E768,I_Item!$A$6:$A$255,0)),"KODE BARU")))</f>
        <v/>
      </c>
      <c r="H768" s="45"/>
      <c r="I768" s="42"/>
      <c r="J768" s="11" t="str">
        <f aca="false">IF(H768="","",H768*I768)</f>
        <v/>
      </c>
      <c r="K768" s="42"/>
      <c r="L768" s="11" t="str">
        <f aca="false">IF(H768="","",IF(K768&lt;&gt;"",K768,H768*IFERROR(INDEX(O_Stok!$Q$6:$Q$85,MATCH(G768,O_Stok!$A$6:$A$85,0)),0)))</f>
        <v/>
      </c>
      <c r="M768" s="11" t="str">
        <f aca="false">IF(H768="","",J768-L768)</f>
        <v/>
      </c>
      <c r="N768" s="34" t="str">
        <f aca="false">IF(G768="","",IFERROR(INDEX(I_Master!$B$6:$B$85,MATCH(G768,I_Master!$A$6:$A$85,0)),"?"))</f>
        <v/>
      </c>
      <c r="O768" s="34" t="str">
        <f aca="false">IF(G768="","",IFERROR(INDEX(I_Master!$E$6:$E$85,MATCH(G768,I_Master!$A$6:$A$85,0)),"?"))</f>
        <v/>
      </c>
      <c r="P768" s="46" t="str">
        <f aca="false">IF(H768="","",IF(OR(A768&lt;I_Parameter!$C$5,A768&gt;I_Parameter!$C$6),0,IF(B768="Aktual",1,IF(AND(B768="Order",A768&gt;=I_Parameter!$C$4),1,0))))</f>
        <v/>
      </c>
    </row>
    <row r="769" customFormat="false" ht="15" hidden="false" customHeight="false" outlineLevel="0" collapsed="false">
      <c r="A769" s="37"/>
      <c r="B769" s="44"/>
      <c r="C769" s="44"/>
      <c r="D769" s="44"/>
      <c r="E769" s="44"/>
      <c r="F769" s="44"/>
      <c r="G769" s="34" t="str">
        <f aca="false">IF(F769&lt;&gt;"",F769,IF(E769="","",IFERROR(INDEX(I_Item!$C$6:$C$255,MATCH(E769,I_Item!$A$6:$A$255,0)),"KODE BARU")))</f>
        <v/>
      </c>
      <c r="H769" s="45"/>
      <c r="I769" s="42"/>
      <c r="J769" s="11" t="str">
        <f aca="false">IF(H769="","",H769*I769)</f>
        <v/>
      </c>
      <c r="K769" s="42"/>
      <c r="L769" s="11" t="str">
        <f aca="false">IF(H769="","",IF(K769&lt;&gt;"",K769,H769*IFERROR(INDEX(O_Stok!$Q$6:$Q$85,MATCH(G769,O_Stok!$A$6:$A$85,0)),0)))</f>
        <v/>
      </c>
      <c r="M769" s="11" t="str">
        <f aca="false">IF(H769="","",J769-L769)</f>
        <v/>
      </c>
      <c r="N769" s="34" t="str">
        <f aca="false">IF(G769="","",IFERROR(INDEX(I_Master!$B$6:$B$85,MATCH(G769,I_Master!$A$6:$A$85,0)),"?"))</f>
        <v/>
      </c>
      <c r="O769" s="34" t="str">
        <f aca="false">IF(G769="","",IFERROR(INDEX(I_Master!$E$6:$E$85,MATCH(G769,I_Master!$A$6:$A$85,0)),"?"))</f>
        <v/>
      </c>
      <c r="P769" s="46" t="str">
        <f aca="false">IF(H769="","",IF(OR(A769&lt;I_Parameter!$C$5,A769&gt;I_Parameter!$C$6),0,IF(B769="Aktual",1,IF(AND(B769="Order",A769&gt;=I_Parameter!$C$4),1,0))))</f>
        <v/>
      </c>
    </row>
    <row r="770" customFormat="false" ht="15" hidden="false" customHeight="false" outlineLevel="0" collapsed="false">
      <c r="A770" s="37"/>
      <c r="B770" s="44"/>
      <c r="C770" s="44"/>
      <c r="D770" s="44"/>
      <c r="E770" s="44"/>
      <c r="F770" s="44"/>
      <c r="G770" s="34" t="str">
        <f aca="false">IF(F770&lt;&gt;"",F770,IF(E770="","",IFERROR(INDEX(I_Item!$C$6:$C$255,MATCH(E770,I_Item!$A$6:$A$255,0)),"KODE BARU")))</f>
        <v/>
      </c>
      <c r="H770" s="45"/>
      <c r="I770" s="42"/>
      <c r="J770" s="11" t="str">
        <f aca="false">IF(H770="","",H770*I770)</f>
        <v/>
      </c>
      <c r="K770" s="42"/>
      <c r="L770" s="11" t="str">
        <f aca="false">IF(H770="","",IF(K770&lt;&gt;"",K770,H770*IFERROR(INDEX(O_Stok!$Q$6:$Q$85,MATCH(G770,O_Stok!$A$6:$A$85,0)),0)))</f>
        <v/>
      </c>
      <c r="M770" s="11" t="str">
        <f aca="false">IF(H770="","",J770-L770)</f>
        <v/>
      </c>
      <c r="N770" s="34" t="str">
        <f aca="false">IF(G770="","",IFERROR(INDEX(I_Master!$B$6:$B$85,MATCH(G770,I_Master!$A$6:$A$85,0)),"?"))</f>
        <v/>
      </c>
      <c r="O770" s="34" t="str">
        <f aca="false">IF(G770="","",IFERROR(INDEX(I_Master!$E$6:$E$85,MATCH(G770,I_Master!$A$6:$A$85,0)),"?"))</f>
        <v/>
      </c>
      <c r="P770" s="46" t="str">
        <f aca="false">IF(H770="","",IF(OR(A770&lt;I_Parameter!$C$5,A770&gt;I_Parameter!$C$6),0,IF(B770="Aktual",1,IF(AND(B770="Order",A770&gt;=I_Parameter!$C$4),1,0))))</f>
        <v/>
      </c>
    </row>
    <row r="771" customFormat="false" ht="15" hidden="false" customHeight="false" outlineLevel="0" collapsed="false">
      <c r="A771" s="37"/>
      <c r="B771" s="44"/>
      <c r="C771" s="44"/>
      <c r="D771" s="44"/>
      <c r="E771" s="44"/>
      <c r="F771" s="44"/>
      <c r="G771" s="34" t="str">
        <f aca="false">IF(F771&lt;&gt;"",F771,IF(E771="","",IFERROR(INDEX(I_Item!$C$6:$C$255,MATCH(E771,I_Item!$A$6:$A$255,0)),"KODE BARU")))</f>
        <v/>
      </c>
      <c r="H771" s="45"/>
      <c r="I771" s="42"/>
      <c r="J771" s="11" t="str">
        <f aca="false">IF(H771="","",H771*I771)</f>
        <v/>
      </c>
      <c r="K771" s="42"/>
      <c r="L771" s="11" t="str">
        <f aca="false">IF(H771="","",IF(K771&lt;&gt;"",K771,H771*IFERROR(INDEX(O_Stok!$Q$6:$Q$85,MATCH(G771,O_Stok!$A$6:$A$85,0)),0)))</f>
        <v/>
      </c>
      <c r="M771" s="11" t="str">
        <f aca="false">IF(H771="","",J771-L771)</f>
        <v/>
      </c>
      <c r="N771" s="34" t="str">
        <f aca="false">IF(G771="","",IFERROR(INDEX(I_Master!$B$6:$B$85,MATCH(G771,I_Master!$A$6:$A$85,0)),"?"))</f>
        <v/>
      </c>
      <c r="O771" s="34" t="str">
        <f aca="false">IF(G771="","",IFERROR(INDEX(I_Master!$E$6:$E$85,MATCH(G771,I_Master!$A$6:$A$85,0)),"?"))</f>
        <v/>
      </c>
      <c r="P771" s="46" t="str">
        <f aca="false">IF(H771="","",IF(OR(A771&lt;I_Parameter!$C$5,A771&gt;I_Parameter!$C$6),0,IF(B771="Aktual",1,IF(AND(B771="Order",A771&gt;=I_Parameter!$C$4),1,0))))</f>
        <v/>
      </c>
    </row>
    <row r="772" customFormat="false" ht="15" hidden="false" customHeight="false" outlineLevel="0" collapsed="false">
      <c r="A772" s="37"/>
      <c r="B772" s="44"/>
      <c r="C772" s="44"/>
      <c r="D772" s="44"/>
      <c r="E772" s="44"/>
      <c r="F772" s="44"/>
      <c r="G772" s="34" t="str">
        <f aca="false">IF(F772&lt;&gt;"",F772,IF(E772="","",IFERROR(INDEX(I_Item!$C$6:$C$255,MATCH(E772,I_Item!$A$6:$A$255,0)),"KODE BARU")))</f>
        <v/>
      </c>
      <c r="H772" s="45"/>
      <c r="I772" s="42"/>
      <c r="J772" s="11" t="str">
        <f aca="false">IF(H772="","",H772*I772)</f>
        <v/>
      </c>
      <c r="K772" s="42"/>
      <c r="L772" s="11" t="str">
        <f aca="false">IF(H772="","",IF(K772&lt;&gt;"",K772,H772*IFERROR(INDEX(O_Stok!$Q$6:$Q$85,MATCH(G772,O_Stok!$A$6:$A$85,0)),0)))</f>
        <v/>
      </c>
      <c r="M772" s="11" t="str">
        <f aca="false">IF(H772="","",J772-L772)</f>
        <v/>
      </c>
      <c r="N772" s="34" t="str">
        <f aca="false">IF(G772="","",IFERROR(INDEX(I_Master!$B$6:$B$85,MATCH(G772,I_Master!$A$6:$A$85,0)),"?"))</f>
        <v/>
      </c>
      <c r="O772" s="34" t="str">
        <f aca="false">IF(G772="","",IFERROR(INDEX(I_Master!$E$6:$E$85,MATCH(G772,I_Master!$A$6:$A$85,0)),"?"))</f>
        <v/>
      </c>
      <c r="P772" s="46" t="str">
        <f aca="false">IF(H772="","",IF(OR(A772&lt;I_Parameter!$C$5,A772&gt;I_Parameter!$C$6),0,IF(B772="Aktual",1,IF(AND(B772="Order",A772&gt;=I_Parameter!$C$4),1,0))))</f>
        <v/>
      </c>
    </row>
    <row r="773" customFormat="false" ht="15" hidden="false" customHeight="false" outlineLevel="0" collapsed="false">
      <c r="A773" s="37"/>
      <c r="B773" s="44"/>
      <c r="C773" s="44"/>
      <c r="D773" s="44"/>
      <c r="E773" s="44"/>
      <c r="F773" s="44"/>
      <c r="G773" s="34" t="str">
        <f aca="false">IF(F773&lt;&gt;"",F773,IF(E773="","",IFERROR(INDEX(I_Item!$C$6:$C$255,MATCH(E773,I_Item!$A$6:$A$255,0)),"KODE BARU")))</f>
        <v/>
      </c>
      <c r="H773" s="45"/>
      <c r="I773" s="42"/>
      <c r="J773" s="11" t="str">
        <f aca="false">IF(H773="","",H773*I773)</f>
        <v/>
      </c>
      <c r="K773" s="42"/>
      <c r="L773" s="11" t="str">
        <f aca="false">IF(H773="","",IF(K773&lt;&gt;"",K773,H773*IFERROR(INDEX(O_Stok!$Q$6:$Q$85,MATCH(G773,O_Stok!$A$6:$A$85,0)),0)))</f>
        <v/>
      </c>
      <c r="M773" s="11" t="str">
        <f aca="false">IF(H773="","",J773-L773)</f>
        <v/>
      </c>
      <c r="N773" s="34" t="str">
        <f aca="false">IF(G773="","",IFERROR(INDEX(I_Master!$B$6:$B$85,MATCH(G773,I_Master!$A$6:$A$85,0)),"?"))</f>
        <v/>
      </c>
      <c r="O773" s="34" t="str">
        <f aca="false">IF(G773="","",IFERROR(INDEX(I_Master!$E$6:$E$85,MATCH(G773,I_Master!$A$6:$A$85,0)),"?"))</f>
        <v/>
      </c>
      <c r="P773" s="46" t="str">
        <f aca="false">IF(H773="","",IF(OR(A773&lt;I_Parameter!$C$5,A773&gt;I_Parameter!$C$6),0,IF(B773="Aktual",1,IF(AND(B773="Order",A773&gt;=I_Parameter!$C$4),1,0))))</f>
        <v/>
      </c>
    </row>
    <row r="774" customFormat="false" ht="15" hidden="false" customHeight="false" outlineLevel="0" collapsed="false">
      <c r="A774" s="37"/>
      <c r="B774" s="44"/>
      <c r="C774" s="44"/>
      <c r="D774" s="44"/>
      <c r="E774" s="44"/>
      <c r="F774" s="44"/>
      <c r="G774" s="34" t="str">
        <f aca="false">IF(F774&lt;&gt;"",F774,IF(E774="","",IFERROR(INDEX(I_Item!$C$6:$C$255,MATCH(E774,I_Item!$A$6:$A$255,0)),"KODE BARU")))</f>
        <v/>
      </c>
      <c r="H774" s="45"/>
      <c r="I774" s="42"/>
      <c r="J774" s="11" t="str">
        <f aca="false">IF(H774="","",H774*I774)</f>
        <v/>
      </c>
      <c r="K774" s="42"/>
      <c r="L774" s="11" t="str">
        <f aca="false">IF(H774="","",IF(K774&lt;&gt;"",K774,H774*IFERROR(INDEX(O_Stok!$Q$6:$Q$85,MATCH(G774,O_Stok!$A$6:$A$85,0)),0)))</f>
        <v/>
      </c>
      <c r="M774" s="11" t="str">
        <f aca="false">IF(H774="","",J774-L774)</f>
        <v/>
      </c>
      <c r="N774" s="34" t="str">
        <f aca="false">IF(G774="","",IFERROR(INDEX(I_Master!$B$6:$B$85,MATCH(G774,I_Master!$A$6:$A$85,0)),"?"))</f>
        <v/>
      </c>
      <c r="O774" s="34" t="str">
        <f aca="false">IF(G774="","",IFERROR(INDEX(I_Master!$E$6:$E$85,MATCH(G774,I_Master!$A$6:$A$85,0)),"?"))</f>
        <v/>
      </c>
      <c r="P774" s="46" t="str">
        <f aca="false">IF(H774="","",IF(OR(A774&lt;I_Parameter!$C$5,A774&gt;I_Parameter!$C$6),0,IF(B774="Aktual",1,IF(AND(B774="Order",A774&gt;=I_Parameter!$C$4),1,0))))</f>
        <v/>
      </c>
    </row>
    <row r="775" customFormat="false" ht="15" hidden="false" customHeight="false" outlineLevel="0" collapsed="false">
      <c r="A775" s="37"/>
      <c r="B775" s="44"/>
      <c r="C775" s="44"/>
      <c r="D775" s="44"/>
      <c r="E775" s="44"/>
      <c r="F775" s="44"/>
      <c r="G775" s="34" t="str">
        <f aca="false">IF(F775&lt;&gt;"",F775,IF(E775="","",IFERROR(INDEX(I_Item!$C$6:$C$255,MATCH(E775,I_Item!$A$6:$A$255,0)),"KODE BARU")))</f>
        <v/>
      </c>
      <c r="H775" s="45"/>
      <c r="I775" s="42"/>
      <c r="J775" s="11" t="str">
        <f aca="false">IF(H775="","",H775*I775)</f>
        <v/>
      </c>
      <c r="K775" s="42"/>
      <c r="L775" s="11" t="str">
        <f aca="false">IF(H775="","",IF(K775&lt;&gt;"",K775,H775*IFERROR(INDEX(O_Stok!$Q$6:$Q$85,MATCH(G775,O_Stok!$A$6:$A$85,0)),0)))</f>
        <v/>
      </c>
      <c r="M775" s="11" t="str">
        <f aca="false">IF(H775="","",J775-L775)</f>
        <v/>
      </c>
      <c r="N775" s="34" t="str">
        <f aca="false">IF(G775="","",IFERROR(INDEX(I_Master!$B$6:$B$85,MATCH(G775,I_Master!$A$6:$A$85,0)),"?"))</f>
        <v/>
      </c>
      <c r="O775" s="34" t="str">
        <f aca="false">IF(G775="","",IFERROR(INDEX(I_Master!$E$6:$E$85,MATCH(G775,I_Master!$A$6:$A$85,0)),"?"))</f>
        <v/>
      </c>
      <c r="P775" s="46" t="str">
        <f aca="false">IF(H775="","",IF(OR(A775&lt;I_Parameter!$C$5,A775&gt;I_Parameter!$C$6),0,IF(B775="Aktual",1,IF(AND(B775="Order",A775&gt;=I_Parameter!$C$4),1,0))))</f>
        <v/>
      </c>
    </row>
    <row r="776" customFormat="false" ht="15" hidden="false" customHeight="false" outlineLevel="0" collapsed="false">
      <c r="A776" s="37"/>
      <c r="B776" s="44"/>
      <c r="C776" s="44"/>
      <c r="D776" s="44"/>
      <c r="E776" s="44"/>
      <c r="F776" s="44"/>
      <c r="G776" s="34" t="str">
        <f aca="false">IF(F776&lt;&gt;"",F776,IF(E776="","",IFERROR(INDEX(I_Item!$C$6:$C$255,MATCH(E776,I_Item!$A$6:$A$255,0)),"KODE BARU")))</f>
        <v/>
      </c>
      <c r="H776" s="45"/>
      <c r="I776" s="42"/>
      <c r="J776" s="11" t="str">
        <f aca="false">IF(H776="","",H776*I776)</f>
        <v/>
      </c>
      <c r="K776" s="42"/>
      <c r="L776" s="11" t="str">
        <f aca="false">IF(H776="","",IF(K776&lt;&gt;"",K776,H776*IFERROR(INDEX(O_Stok!$Q$6:$Q$85,MATCH(G776,O_Stok!$A$6:$A$85,0)),0)))</f>
        <v/>
      </c>
      <c r="M776" s="11" t="str">
        <f aca="false">IF(H776="","",J776-L776)</f>
        <v/>
      </c>
      <c r="N776" s="34" t="str">
        <f aca="false">IF(G776="","",IFERROR(INDEX(I_Master!$B$6:$B$85,MATCH(G776,I_Master!$A$6:$A$85,0)),"?"))</f>
        <v/>
      </c>
      <c r="O776" s="34" t="str">
        <f aca="false">IF(G776="","",IFERROR(INDEX(I_Master!$E$6:$E$85,MATCH(G776,I_Master!$A$6:$A$85,0)),"?"))</f>
        <v/>
      </c>
      <c r="P776" s="46" t="str">
        <f aca="false">IF(H776="","",IF(OR(A776&lt;I_Parameter!$C$5,A776&gt;I_Parameter!$C$6),0,IF(B776="Aktual",1,IF(AND(B776="Order",A776&gt;=I_Parameter!$C$4),1,0))))</f>
        <v/>
      </c>
    </row>
    <row r="777" customFormat="false" ht="15" hidden="false" customHeight="false" outlineLevel="0" collapsed="false">
      <c r="A777" s="37"/>
      <c r="B777" s="44"/>
      <c r="C777" s="44"/>
      <c r="D777" s="44"/>
      <c r="E777" s="44"/>
      <c r="F777" s="44"/>
      <c r="G777" s="34" t="str">
        <f aca="false">IF(F777&lt;&gt;"",F777,IF(E777="","",IFERROR(INDEX(I_Item!$C$6:$C$255,MATCH(E777,I_Item!$A$6:$A$255,0)),"KODE BARU")))</f>
        <v/>
      </c>
      <c r="H777" s="45"/>
      <c r="I777" s="42"/>
      <c r="J777" s="11" t="str">
        <f aca="false">IF(H777="","",H777*I777)</f>
        <v/>
      </c>
      <c r="K777" s="42"/>
      <c r="L777" s="11" t="str">
        <f aca="false">IF(H777="","",IF(K777&lt;&gt;"",K777,H777*IFERROR(INDEX(O_Stok!$Q$6:$Q$85,MATCH(G777,O_Stok!$A$6:$A$85,0)),0)))</f>
        <v/>
      </c>
      <c r="M777" s="11" t="str">
        <f aca="false">IF(H777="","",J777-L777)</f>
        <v/>
      </c>
      <c r="N777" s="34" t="str">
        <f aca="false">IF(G777="","",IFERROR(INDEX(I_Master!$B$6:$B$85,MATCH(G777,I_Master!$A$6:$A$85,0)),"?"))</f>
        <v/>
      </c>
      <c r="O777" s="34" t="str">
        <f aca="false">IF(G777="","",IFERROR(INDEX(I_Master!$E$6:$E$85,MATCH(G777,I_Master!$A$6:$A$85,0)),"?"))</f>
        <v/>
      </c>
      <c r="P777" s="46" t="str">
        <f aca="false">IF(H777="","",IF(OR(A777&lt;I_Parameter!$C$5,A777&gt;I_Parameter!$C$6),0,IF(B777="Aktual",1,IF(AND(B777="Order",A777&gt;=I_Parameter!$C$4),1,0))))</f>
        <v/>
      </c>
    </row>
    <row r="778" customFormat="false" ht="15" hidden="false" customHeight="false" outlineLevel="0" collapsed="false">
      <c r="A778" s="37"/>
      <c r="B778" s="44"/>
      <c r="C778" s="44"/>
      <c r="D778" s="44"/>
      <c r="E778" s="44"/>
      <c r="F778" s="44"/>
      <c r="G778" s="34" t="str">
        <f aca="false">IF(F778&lt;&gt;"",F778,IF(E778="","",IFERROR(INDEX(I_Item!$C$6:$C$255,MATCH(E778,I_Item!$A$6:$A$255,0)),"KODE BARU")))</f>
        <v/>
      </c>
      <c r="H778" s="45"/>
      <c r="I778" s="42"/>
      <c r="J778" s="11" t="str">
        <f aca="false">IF(H778="","",H778*I778)</f>
        <v/>
      </c>
      <c r="K778" s="42"/>
      <c r="L778" s="11" t="str">
        <f aca="false">IF(H778="","",IF(K778&lt;&gt;"",K778,H778*IFERROR(INDEX(O_Stok!$Q$6:$Q$85,MATCH(G778,O_Stok!$A$6:$A$85,0)),0)))</f>
        <v/>
      </c>
      <c r="M778" s="11" t="str">
        <f aca="false">IF(H778="","",J778-L778)</f>
        <v/>
      </c>
      <c r="N778" s="34" t="str">
        <f aca="false">IF(G778="","",IFERROR(INDEX(I_Master!$B$6:$B$85,MATCH(G778,I_Master!$A$6:$A$85,0)),"?"))</f>
        <v/>
      </c>
      <c r="O778" s="34" t="str">
        <f aca="false">IF(G778="","",IFERROR(INDEX(I_Master!$E$6:$E$85,MATCH(G778,I_Master!$A$6:$A$85,0)),"?"))</f>
        <v/>
      </c>
      <c r="P778" s="46" t="str">
        <f aca="false">IF(H778="","",IF(OR(A778&lt;I_Parameter!$C$5,A778&gt;I_Parameter!$C$6),0,IF(B778="Aktual",1,IF(AND(B778="Order",A778&gt;=I_Parameter!$C$4),1,0))))</f>
        <v/>
      </c>
    </row>
    <row r="779" customFormat="false" ht="15" hidden="false" customHeight="false" outlineLevel="0" collapsed="false">
      <c r="A779" s="37"/>
      <c r="B779" s="44"/>
      <c r="C779" s="44"/>
      <c r="D779" s="44"/>
      <c r="E779" s="44"/>
      <c r="F779" s="44"/>
      <c r="G779" s="34" t="str">
        <f aca="false">IF(F779&lt;&gt;"",F779,IF(E779="","",IFERROR(INDEX(I_Item!$C$6:$C$255,MATCH(E779,I_Item!$A$6:$A$255,0)),"KODE BARU")))</f>
        <v/>
      </c>
      <c r="H779" s="45"/>
      <c r="I779" s="42"/>
      <c r="J779" s="11" t="str">
        <f aca="false">IF(H779="","",H779*I779)</f>
        <v/>
      </c>
      <c r="K779" s="42"/>
      <c r="L779" s="11" t="str">
        <f aca="false">IF(H779="","",IF(K779&lt;&gt;"",K779,H779*IFERROR(INDEX(O_Stok!$Q$6:$Q$85,MATCH(G779,O_Stok!$A$6:$A$85,0)),0)))</f>
        <v/>
      </c>
      <c r="M779" s="11" t="str">
        <f aca="false">IF(H779="","",J779-L779)</f>
        <v/>
      </c>
      <c r="N779" s="34" t="str">
        <f aca="false">IF(G779="","",IFERROR(INDEX(I_Master!$B$6:$B$85,MATCH(G779,I_Master!$A$6:$A$85,0)),"?"))</f>
        <v/>
      </c>
      <c r="O779" s="34" t="str">
        <f aca="false">IF(G779="","",IFERROR(INDEX(I_Master!$E$6:$E$85,MATCH(G779,I_Master!$A$6:$A$85,0)),"?"))</f>
        <v/>
      </c>
      <c r="P779" s="46" t="str">
        <f aca="false">IF(H779="","",IF(OR(A779&lt;I_Parameter!$C$5,A779&gt;I_Parameter!$C$6),0,IF(B779="Aktual",1,IF(AND(B779="Order",A779&gt;=I_Parameter!$C$4),1,0))))</f>
        <v/>
      </c>
    </row>
    <row r="780" customFormat="false" ht="15" hidden="false" customHeight="false" outlineLevel="0" collapsed="false">
      <c r="A780" s="37"/>
      <c r="B780" s="44"/>
      <c r="C780" s="44"/>
      <c r="D780" s="44"/>
      <c r="E780" s="44"/>
      <c r="F780" s="44"/>
      <c r="G780" s="34" t="str">
        <f aca="false">IF(F780&lt;&gt;"",F780,IF(E780="","",IFERROR(INDEX(I_Item!$C$6:$C$255,MATCH(E780,I_Item!$A$6:$A$255,0)),"KODE BARU")))</f>
        <v/>
      </c>
      <c r="H780" s="45"/>
      <c r="I780" s="42"/>
      <c r="J780" s="11" t="str">
        <f aca="false">IF(H780="","",H780*I780)</f>
        <v/>
      </c>
      <c r="K780" s="42"/>
      <c r="L780" s="11" t="str">
        <f aca="false">IF(H780="","",IF(K780&lt;&gt;"",K780,H780*IFERROR(INDEX(O_Stok!$Q$6:$Q$85,MATCH(G780,O_Stok!$A$6:$A$85,0)),0)))</f>
        <v/>
      </c>
      <c r="M780" s="11" t="str">
        <f aca="false">IF(H780="","",J780-L780)</f>
        <v/>
      </c>
      <c r="N780" s="34" t="str">
        <f aca="false">IF(G780="","",IFERROR(INDEX(I_Master!$B$6:$B$85,MATCH(G780,I_Master!$A$6:$A$85,0)),"?"))</f>
        <v/>
      </c>
      <c r="O780" s="34" t="str">
        <f aca="false">IF(G780="","",IFERROR(INDEX(I_Master!$E$6:$E$85,MATCH(G780,I_Master!$A$6:$A$85,0)),"?"))</f>
        <v/>
      </c>
      <c r="P780" s="46" t="str">
        <f aca="false">IF(H780="","",IF(OR(A780&lt;I_Parameter!$C$5,A780&gt;I_Parameter!$C$6),0,IF(B780="Aktual",1,IF(AND(B780="Order",A780&gt;=I_Parameter!$C$4),1,0))))</f>
        <v/>
      </c>
    </row>
    <row r="781" customFormat="false" ht="15" hidden="false" customHeight="false" outlineLevel="0" collapsed="false">
      <c r="A781" s="37"/>
      <c r="B781" s="44"/>
      <c r="C781" s="44"/>
      <c r="D781" s="44"/>
      <c r="E781" s="44"/>
      <c r="F781" s="44"/>
      <c r="G781" s="34" t="str">
        <f aca="false">IF(F781&lt;&gt;"",F781,IF(E781="","",IFERROR(INDEX(I_Item!$C$6:$C$255,MATCH(E781,I_Item!$A$6:$A$255,0)),"KODE BARU")))</f>
        <v/>
      </c>
      <c r="H781" s="45"/>
      <c r="I781" s="42"/>
      <c r="J781" s="11" t="str">
        <f aca="false">IF(H781="","",H781*I781)</f>
        <v/>
      </c>
      <c r="K781" s="42"/>
      <c r="L781" s="11" t="str">
        <f aca="false">IF(H781="","",IF(K781&lt;&gt;"",K781,H781*IFERROR(INDEX(O_Stok!$Q$6:$Q$85,MATCH(G781,O_Stok!$A$6:$A$85,0)),0)))</f>
        <v/>
      </c>
      <c r="M781" s="11" t="str">
        <f aca="false">IF(H781="","",J781-L781)</f>
        <v/>
      </c>
      <c r="N781" s="34" t="str">
        <f aca="false">IF(G781="","",IFERROR(INDEX(I_Master!$B$6:$B$85,MATCH(G781,I_Master!$A$6:$A$85,0)),"?"))</f>
        <v/>
      </c>
      <c r="O781" s="34" t="str">
        <f aca="false">IF(G781="","",IFERROR(INDEX(I_Master!$E$6:$E$85,MATCH(G781,I_Master!$A$6:$A$85,0)),"?"))</f>
        <v/>
      </c>
      <c r="P781" s="46" t="str">
        <f aca="false">IF(H781="","",IF(OR(A781&lt;I_Parameter!$C$5,A781&gt;I_Parameter!$C$6),0,IF(B781="Aktual",1,IF(AND(B781="Order",A781&gt;=I_Parameter!$C$4),1,0))))</f>
        <v/>
      </c>
    </row>
    <row r="782" customFormat="false" ht="15" hidden="false" customHeight="false" outlineLevel="0" collapsed="false">
      <c r="A782" s="37"/>
      <c r="B782" s="44"/>
      <c r="C782" s="44"/>
      <c r="D782" s="44"/>
      <c r="E782" s="44"/>
      <c r="F782" s="44"/>
      <c r="G782" s="34" t="str">
        <f aca="false">IF(F782&lt;&gt;"",F782,IF(E782="","",IFERROR(INDEX(I_Item!$C$6:$C$255,MATCH(E782,I_Item!$A$6:$A$255,0)),"KODE BARU")))</f>
        <v/>
      </c>
      <c r="H782" s="45"/>
      <c r="I782" s="42"/>
      <c r="J782" s="11" t="str">
        <f aca="false">IF(H782="","",H782*I782)</f>
        <v/>
      </c>
      <c r="K782" s="42"/>
      <c r="L782" s="11" t="str">
        <f aca="false">IF(H782="","",IF(K782&lt;&gt;"",K782,H782*IFERROR(INDEX(O_Stok!$Q$6:$Q$85,MATCH(G782,O_Stok!$A$6:$A$85,0)),0)))</f>
        <v/>
      </c>
      <c r="M782" s="11" t="str">
        <f aca="false">IF(H782="","",J782-L782)</f>
        <v/>
      </c>
      <c r="N782" s="34" t="str">
        <f aca="false">IF(G782="","",IFERROR(INDEX(I_Master!$B$6:$B$85,MATCH(G782,I_Master!$A$6:$A$85,0)),"?"))</f>
        <v/>
      </c>
      <c r="O782" s="34" t="str">
        <f aca="false">IF(G782="","",IFERROR(INDEX(I_Master!$E$6:$E$85,MATCH(G782,I_Master!$A$6:$A$85,0)),"?"))</f>
        <v/>
      </c>
      <c r="P782" s="46" t="str">
        <f aca="false">IF(H782="","",IF(OR(A782&lt;I_Parameter!$C$5,A782&gt;I_Parameter!$C$6),0,IF(B782="Aktual",1,IF(AND(B782="Order",A782&gt;=I_Parameter!$C$4),1,0))))</f>
        <v/>
      </c>
    </row>
    <row r="783" customFormat="false" ht="15" hidden="false" customHeight="false" outlineLevel="0" collapsed="false">
      <c r="A783" s="37"/>
      <c r="B783" s="44"/>
      <c r="C783" s="44"/>
      <c r="D783" s="44"/>
      <c r="E783" s="44"/>
      <c r="F783" s="44"/>
      <c r="G783" s="34" t="str">
        <f aca="false">IF(F783&lt;&gt;"",F783,IF(E783="","",IFERROR(INDEX(I_Item!$C$6:$C$255,MATCH(E783,I_Item!$A$6:$A$255,0)),"KODE BARU")))</f>
        <v/>
      </c>
      <c r="H783" s="45"/>
      <c r="I783" s="42"/>
      <c r="J783" s="11" t="str">
        <f aca="false">IF(H783="","",H783*I783)</f>
        <v/>
      </c>
      <c r="K783" s="42"/>
      <c r="L783" s="11" t="str">
        <f aca="false">IF(H783="","",IF(K783&lt;&gt;"",K783,H783*IFERROR(INDEX(O_Stok!$Q$6:$Q$85,MATCH(G783,O_Stok!$A$6:$A$85,0)),0)))</f>
        <v/>
      </c>
      <c r="M783" s="11" t="str">
        <f aca="false">IF(H783="","",J783-L783)</f>
        <v/>
      </c>
      <c r="N783" s="34" t="str">
        <f aca="false">IF(G783="","",IFERROR(INDEX(I_Master!$B$6:$B$85,MATCH(G783,I_Master!$A$6:$A$85,0)),"?"))</f>
        <v/>
      </c>
      <c r="O783" s="34" t="str">
        <f aca="false">IF(G783="","",IFERROR(INDEX(I_Master!$E$6:$E$85,MATCH(G783,I_Master!$A$6:$A$85,0)),"?"))</f>
        <v/>
      </c>
      <c r="P783" s="46" t="str">
        <f aca="false">IF(H783="","",IF(OR(A783&lt;I_Parameter!$C$5,A783&gt;I_Parameter!$C$6),0,IF(B783="Aktual",1,IF(AND(B783="Order",A783&gt;=I_Parameter!$C$4),1,0))))</f>
        <v/>
      </c>
    </row>
    <row r="784" customFormat="false" ht="15" hidden="false" customHeight="false" outlineLevel="0" collapsed="false">
      <c r="A784" s="37"/>
      <c r="B784" s="44"/>
      <c r="C784" s="44"/>
      <c r="D784" s="44"/>
      <c r="E784" s="44"/>
      <c r="F784" s="44"/>
      <c r="G784" s="34" t="str">
        <f aca="false">IF(F784&lt;&gt;"",F784,IF(E784="","",IFERROR(INDEX(I_Item!$C$6:$C$255,MATCH(E784,I_Item!$A$6:$A$255,0)),"KODE BARU")))</f>
        <v/>
      </c>
      <c r="H784" s="45"/>
      <c r="I784" s="42"/>
      <c r="J784" s="11" t="str">
        <f aca="false">IF(H784="","",H784*I784)</f>
        <v/>
      </c>
      <c r="K784" s="42"/>
      <c r="L784" s="11" t="str">
        <f aca="false">IF(H784="","",IF(K784&lt;&gt;"",K784,H784*IFERROR(INDEX(O_Stok!$Q$6:$Q$85,MATCH(G784,O_Stok!$A$6:$A$85,0)),0)))</f>
        <v/>
      </c>
      <c r="M784" s="11" t="str">
        <f aca="false">IF(H784="","",J784-L784)</f>
        <v/>
      </c>
      <c r="N784" s="34" t="str">
        <f aca="false">IF(G784="","",IFERROR(INDEX(I_Master!$B$6:$B$85,MATCH(G784,I_Master!$A$6:$A$85,0)),"?"))</f>
        <v/>
      </c>
      <c r="O784" s="34" t="str">
        <f aca="false">IF(G784="","",IFERROR(INDEX(I_Master!$E$6:$E$85,MATCH(G784,I_Master!$A$6:$A$85,0)),"?"))</f>
        <v/>
      </c>
      <c r="P784" s="46" t="str">
        <f aca="false">IF(H784="","",IF(OR(A784&lt;I_Parameter!$C$5,A784&gt;I_Parameter!$C$6),0,IF(B784="Aktual",1,IF(AND(B784="Order",A784&gt;=I_Parameter!$C$4),1,0))))</f>
        <v/>
      </c>
    </row>
    <row r="785" customFormat="false" ht="15" hidden="false" customHeight="false" outlineLevel="0" collapsed="false">
      <c r="A785" s="37"/>
      <c r="B785" s="44"/>
      <c r="C785" s="44"/>
      <c r="D785" s="44"/>
      <c r="E785" s="44"/>
      <c r="F785" s="44"/>
      <c r="G785" s="34" t="str">
        <f aca="false">IF(F785&lt;&gt;"",F785,IF(E785="","",IFERROR(INDEX(I_Item!$C$6:$C$255,MATCH(E785,I_Item!$A$6:$A$255,0)),"KODE BARU")))</f>
        <v/>
      </c>
      <c r="H785" s="45"/>
      <c r="I785" s="42"/>
      <c r="J785" s="11" t="str">
        <f aca="false">IF(H785="","",H785*I785)</f>
        <v/>
      </c>
      <c r="K785" s="42"/>
      <c r="L785" s="11" t="str">
        <f aca="false">IF(H785="","",IF(K785&lt;&gt;"",K785,H785*IFERROR(INDEX(O_Stok!$Q$6:$Q$85,MATCH(G785,O_Stok!$A$6:$A$85,0)),0)))</f>
        <v/>
      </c>
      <c r="M785" s="11" t="str">
        <f aca="false">IF(H785="","",J785-L785)</f>
        <v/>
      </c>
      <c r="N785" s="34" t="str">
        <f aca="false">IF(G785="","",IFERROR(INDEX(I_Master!$B$6:$B$85,MATCH(G785,I_Master!$A$6:$A$85,0)),"?"))</f>
        <v/>
      </c>
      <c r="O785" s="34" t="str">
        <f aca="false">IF(G785="","",IFERROR(INDEX(I_Master!$E$6:$E$85,MATCH(G785,I_Master!$A$6:$A$85,0)),"?"))</f>
        <v/>
      </c>
      <c r="P785" s="46" t="str">
        <f aca="false">IF(H785="","",IF(OR(A785&lt;I_Parameter!$C$5,A785&gt;I_Parameter!$C$6),0,IF(B785="Aktual",1,IF(AND(B785="Order",A785&gt;=I_Parameter!$C$4),1,0))))</f>
        <v/>
      </c>
    </row>
    <row r="786" customFormat="false" ht="15" hidden="false" customHeight="false" outlineLevel="0" collapsed="false">
      <c r="A786" s="37"/>
      <c r="B786" s="44"/>
      <c r="C786" s="44"/>
      <c r="D786" s="44"/>
      <c r="E786" s="44"/>
      <c r="F786" s="44"/>
      <c r="G786" s="34" t="str">
        <f aca="false">IF(F786&lt;&gt;"",F786,IF(E786="","",IFERROR(INDEX(I_Item!$C$6:$C$255,MATCH(E786,I_Item!$A$6:$A$255,0)),"KODE BARU")))</f>
        <v/>
      </c>
      <c r="H786" s="45"/>
      <c r="I786" s="42"/>
      <c r="J786" s="11" t="str">
        <f aca="false">IF(H786="","",H786*I786)</f>
        <v/>
      </c>
      <c r="K786" s="42"/>
      <c r="L786" s="11" t="str">
        <f aca="false">IF(H786="","",IF(K786&lt;&gt;"",K786,H786*IFERROR(INDEX(O_Stok!$Q$6:$Q$85,MATCH(G786,O_Stok!$A$6:$A$85,0)),0)))</f>
        <v/>
      </c>
      <c r="M786" s="11" t="str">
        <f aca="false">IF(H786="","",J786-L786)</f>
        <v/>
      </c>
      <c r="N786" s="34" t="str">
        <f aca="false">IF(G786="","",IFERROR(INDEX(I_Master!$B$6:$B$85,MATCH(G786,I_Master!$A$6:$A$85,0)),"?"))</f>
        <v/>
      </c>
      <c r="O786" s="34" t="str">
        <f aca="false">IF(G786="","",IFERROR(INDEX(I_Master!$E$6:$E$85,MATCH(G786,I_Master!$A$6:$A$85,0)),"?"))</f>
        <v/>
      </c>
      <c r="P786" s="46" t="str">
        <f aca="false">IF(H786="","",IF(OR(A786&lt;I_Parameter!$C$5,A786&gt;I_Parameter!$C$6),0,IF(B786="Aktual",1,IF(AND(B786="Order",A786&gt;=I_Parameter!$C$4),1,0))))</f>
        <v/>
      </c>
    </row>
    <row r="787" customFormat="false" ht="15" hidden="false" customHeight="false" outlineLevel="0" collapsed="false">
      <c r="A787" s="37"/>
      <c r="B787" s="44"/>
      <c r="C787" s="44"/>
      <c r="D787" s="44"/>
      <c r="E787" s="44"/>
      <c r="F787" s="44"/>
      <c r="G787" s="34" t="str">
        <f aca="false">IF(F787&lt;&gt;"",F787,IF(E787="","",IFERROR(INDEX(I_Item!$C$6:$C$255,MATCH(E787,I_Item!$A$6:$A$255,0)),"KODE BARU")))</f>
        <v/>
      </c>
      <c r="H787" s="45"/>
      <c r="I787" s="42"/>
      <c r="J787" s="11" t="str">
        <f aca="false">IF(H787="","",H787*I787)</f>
        <v/>
      </c>
      <c r="K787" s="42"/>
      <c r="L787" s="11" t="str">
        <f aca="false">IF(H787="","",IF(K787&lt;&gt;"",K787,H787*IFERROR(INDEX(O_Stok!$Q$6:$Q$85,MATCH(G787,O_Stok!$A$6:$A$85,0)),0)))</f>
        <v/>
      </c>
      <c r="M787" s="11" t="str">
        <f aca="false">IF(H787="","",J787-L787)</f>
        <v/>
      </c>
      <c r="N787" s="34" t="str">
        <f aca="false">IF(G787="","",IFERROR(INDEX(I_Master!$B$6:$B$85,MATCH(G787,I_Master!$A$6:$A$85,0)),"?"))</f>
        <v/>
      </c>
      <c r="O787" s="34" t="str">
        <f aca="false">IF(G787="","",IFERROR(INDEX(I_Master!$E$6:$E$85,MATCH(G787,I_Master!$A$6:$A$85,0)),"?"))</f>
        <v/>
      </c>
      <c r="P787" s="46" t="str">
        <f aca="false">IF(H787="","",IF(OR(A787&lt;I_Parameter!$C$5,A787&gt;I_Parameter!$C$6),0,IF(B787="Aktual",1,IF(AND(B787="Order",A787&gt;=I_Parameter!$C$4),1,0))))</f>
        <v/>
      </c>
    </row>
    <row r="788" customFormat="false" ht="15" hidden="false" customHeight="false" outlineLevel="0" collapsed="false">
      <c r="A788" s="37"/>
      <c r="B788" s="44"/>
      <c r="C788" s="44"/>
      <c r="D788" s="44"/>
      <c r="E788" s="44"/>
      <c r="F788" s="44"/>
      <c r="G788" s="34" t="str">
        <f aca="false">IF(F788&lt;&gt;"",F788,IF(E788="","",IFERROR(INDEX(I_Item!$C$6:$C$255,MATCH(E788,I_Item!$A$6:$A$255,0)),"KODE BARU")))</f>
        <v/>
      </c>
      <c r="H788" s="45"/>
      <c r="I788" s="42"/>
      <c r="J788" s="11" t="str">
        <f aca="false">IF(H788="","",H788*I788)</f>
        <v/>
      </c>
      <c r="K788" s="42"/>
      <c r="L788" s="11" t="str">
        <f aca="false">IF(H788="","",IF(K788&lt;&gt;"",K788,H788*IFERROR(INDEX(O_Stok!$Q$6:$Q$85,MATCH(G788,O_Stok!$A$6:$A$85,0)),0)))</f>
        <v/>
      </c>
      <c r="M788" s="11" t="str">
        <f aca="false">IF(H788="","",J788-L788)</f>
        <v/>
      </c>
      <c r="N788" s="34" t="str">
        <f aca="false">IF(G788="","",IFERROR(INDEX(I_Master!$B$6:$B$85,MATCH(G788,I_Master!$A$6:$A$85,0)),"?"))</f>
        <v/>
      </c>
      <c r="O788" s="34" t="str">
        <f aca="false">IF(G788="","",IFERROR(INDEX(I_Master!$E$6:$E$85,MATCH(G788,I_Master!$A$6:$A$85,0)),"?"))</f>
        <v/>
      </c>
      <c r="P788" s="46" t="str">
        <f aca="false">IF(H788="","",IF(OR(A788&lt;I_Parameter!$C$5,A788&gt;I_Parameter!$C$6),0,IF(B788="Aktual",1,IF(AND(B788="Order",A788&gt;=I_Parameter!$C$4),1,0))))</f>
        <v/>
      </c>
    </row>
    <row r="789" customFormat="false" ht="15" hidden="false" customHeight="false" outlineLevel="0" collapsed="false">
      <c r="A789" s="37"/>
      <c r="B789" s="44"/>
      <c r="C789" s="44"/>
      <c r="D789" s="44"/>
      <c r="E789" s="44"/>
      <c r="F789" s="44"/>
      <c r="G789" s="34" t="str">
        <f aca="false">IF(F789&lt;&gt;"",F789,IF(E789="","",IFERROR(INDEX(I_Item!$C$6:$C$255,MATCH(E789,I_Item!$A$6:$A$255,0)),"KODE BARU")))</f>
        <v/>
      </c>
      <c r="H789" s="45"/>
      <c r="I789" s="42"/>
      <c r="J789" s="11" t="str">
        <f aca="false">IF(H789="","",H789*I789)</f>
        <v/>
      </c>
      <c r="K789" s="42"/>
      <c r="L789" s="11" t="str">
        <f aca="false">IF(H789="","",IF(K789&lt;&gt;"",K789,H789*IFERROR(INDEX(O_Stok!$Q$6:$Q$85,MATCH(G789,O_Stok!$A$6:$A$85,0)),0)))</f>
        <v/>
      </c>
      <c r="M789" s="11" t="str">
        <f aca="false">IF(H789="","",J789-L789)</f>
        <v/>
      </c>
      <c r="N789" s="34" t="str">
        <f aca="false">IF(G789="","",IFERROR(INDEX(I_Master!$B$6:$B$85,MATCH(G789,I_Master!$A$6:$A$85,0)),"?"))</f>
        <v/>
      </c>
      <c r="O789" s="34" t="str">
        <f aca="false">IF(G789="","",IFERROR(INDEX(I_Master!$E$6:$E$85,MATCH(G789,I_Master!$A$6:$A$85,0)),"?"))</f>
        <v/>
      </c>
      <c r="P789" s="46" t="str">
        <f aca="false">IF(H789="","",IF(OR(A789&lt;I_Parameter!$C$5,A789&gt;I_Parameter!$C$6),0,IF(B789="Aktual",1,IF(AND(B789="Order",A789&gt;=I_Parameter!$C$4),1,0))))</f>
        <v/>
      </c>
    </row>
    <row r="790" customFormat="false" ht="15" hidden="false" customHeight="false" outlineLevel="0" collapsed="false">
      <c r="A790" s="37"/>
      <c r="B790" s="44"/>
      <c r="C790" s="44"/>
      <c r="D790" s="44"/>
      <c r="E790" s="44"/>
      <c r="F790" s="44"/>
      <c r="G790" s="34" t="str">
        <f aca="false">IF(F790&lt;&gt;"",F790,IF(E790="","",IFERROR(INDEX(I_Item!$C$6:$C$255,MATCH(E790,I_Item!$A$6:$A$255,0)),"KODE BARU")))</f>
        <v/>
      </c>
      <c r="H790" s="45"/>
      <c r="I790" s="42"/>
      <c r="J790" s="11" t="str">
        <f aca="false">IF(H790="","",H790*I790)</f>
        <v/>
      </c>
      <c r="K790" s="42"/>
      <c r="L790" s="11" t="str">
        <f aca="false">IF(H790="","",IF(K790&lt;&gt;"",K790,H790*IFERROR(INDEX(O_Stok!$Q$6:$Q$85,MATCH(G790,O_Stok!$A$6:$A$85,0)),0)))</f>
        <v/>
      </c>
      <c r="M790" s="11" t="str">
        <f aca="false">IF(H790="","",J790-L790)</f>
        <v/>
      </c>
      <c r="N790" s="34" t="str">
        <f aca="false">IF(G790="","",IFERROR(INDEX(I_Master!$B$6:$B$85,MATCH(G790,I_Master!$A$6:$A$85,0)),"?"))</f>
        <v/>
      </c>
      <c r="O790" s="34" t="str">
        <f aca="false">IF(G790="","",IFERROR(INDEX(I_Master!$E$6:$E$85,MATCH(G790,I_Master!$A$6:$A$85,0)),"?"))</f>
        <v/>
      </c>
      <c r="P790" s="46" t="str">
        <f aca="false">IF(H790="","",IF(OR(A790&lt;I_Parameter!$C$5,A790&gt;I_Parameter!$C$6),0,IF(B790="Aktual",1,IF(AND(B790="Order",A790&gt;=I_Parameter!$C$4),1,0))))</f>
        <v/>
      </c>
    </row>
    <row r="791" customFormat="false" ht="15" hidden="false" customHeight="false" outlineLevel="0" collapsed="false">
      <c r="A791" s="37"/>
      <c r="B791" s="44"/>
      <c r="C791" s="44"/>
      <c r="D791" s="44"/>
      <c r="E791" s="44"/>
      <c r="F791" s="44"/>
      <c r="G791" s="34" t="str">
        <f aca="false">IF(F791&lt;&gt;"",F791,IF(E791="","",IFERROR(INDEX(I_Item!$C$6:$C$255,MATCH(E791,I_Item!$A$6:$A$255,0)),"KODE BARU")))</f>
        <v/>
      </c>
      <c r="H791" s="45"/>
      <c r="I791" s="42"/>
      <c r="J791" s="11" t="str">
        <f aca="false">IF(H791="","",H791*I791)</f>
        <v/>
      </c>
      <c r="K791" s="42"/>
      <c r="L791" s="11" t="str">
        <f aca="false">IF(H791="","",IF(K791&lt;&gt;"",K791,H791*IFERROR(INDEX(O_Stok!$Q$6:$Q$85,MATCH(G791,O_Stok!$A$6:$A$85,0)),0)))</f>
        <v/>
      </c>
      <c r="M791" s="11" t="str">
        <f aca="false">IF(H791="","",J791-L791)</f>
        <v/>
      </c>
      <c r="N791" s="34" t="str">
        <f aca="false">IF(G791="","",IFERROR(INDEX(I_Master!$B$6:$B$85,MATCH(G791,I_Master!$A$6:$A$85,0)),"?"))</f>
        <v/>
      </c>
      <c r="O791" s="34" t="str">
        <f aca="false">IF(G791="","",IFERROR(INDEX(I_Master!$E$6:$E$85,MATCH(G791,I_Master!$A$6:$A$85,0)),"?"))</f>
        <v/>
      </c>
      <c r="P791" s="46" t="str">
        <f aca="false">IF(H791="","",IF(OR(A791&lt;I_Parameter!$C$5,A791&gt;I_Parameter!$C$6),0,IF(B791="Aktual",1,IF(AND(B791="Order",A791&gt;=I_Parameter!$C$4),1,0))))</f>
        <v/>
      </c>
    </row>
    <row r="792" customFormat="false" ht="15" hidden="false" customHeight="false" outlineLevel="0" collapsed="false">
      <c r="A792" s="37"/>
      <c r="B792" s="44"/>
      <c r="C792" s="44"/>
      <c r="D792" s="44"/>
      <c r="E792" s="44"/>
      <c r="F792" s="44"/>
      <c r="G792" s="34" t="str">
        <f aca="false">IF(F792&lt;&gt;"",F792,IF(E792="","",IFERROR(INDEX(I_Item!$C$6:$C$255,MATCH(E792,I_Item!$A$6:$A$255,0)),"KODE BARU")))</f>
        <v/>
      </c>
      <c r="H792" s="45"/>
      <c r="I792" s="42"/>
      <c r="J792" s="11" t="str">
        <f aca="false">IF(H792="","",H792*I792)</f>
        <v/>
      </c>
      <c r="K792" s="42"/>
      <c r="L792" s="11" t="str">
        <f aca="false">IF(H792="","",IF(K792&lt;&gt;"",K792,H792*IFERROR(INDEX(O_Stok!$Q$6:$Q$85,MATCH(G792,O_Stok!$A$6:$A$85,0)),0)))</f>
        <v/>
      </c>
      <c r="M792" s="11" t="str">
        <f aca="false">IF(H792="","",J792-L792)</f>
        <v/>
      </c>
      <c r="N792" s="34" t="str">
        <f aca="false">IF(G792="","",IFERROR(INDEX(I_Master!$B$6:$B$85,MATCH(G792,I_Master!$A$6:$A$85,0)),"?"))</f>
        <v/>
      </c>
      <c r="O792" s="34" t="str">
        <f aca="false">IF(G792="","",IFERROR(INDEX(I_Master!$E$6:$E$85,MATCH(G792,I_Master!$A$6:$A$85,0)),"?"))</f>
        <v/>
      </c>
      <c r="P792" s="46" t="str">
        <f aca="false">IF(H792="","",IF(OR(A792&lt;I_Parameter!$C$5,A792&gt;I_Parameter!$C$6),0,IF(B792="Aktual",1,IF(AND(B792="Order",A792&gt;=I_Parameter!$C$4),1,0))))</f>
        <v/>
      </c>
    </row>
    <row r="793" customFormat="false" ht="15" hidden="false" customHeight="false" outlineLevel="0" collapsed="false">
      <c r="A793" s="37"/>
      <c r="B793" s="44"/>
      <c r="C793" s="44"/>
      <c r="D793" s="44"/>
      <c r="E793" s="44"/>
      <c r="F793" s="44"/>
      <c r="G793" s="34" t="str">
        <f aca="false">IF(F793&lt;&gt;"",F793,IF(E793="","",IFERROR(INDEX(I_Item!$C$6:$C$255,MATCH(E793,I_Item!$A$6:$A$255,0)),"KODE BARU")))</f>
        <v/>
      </c>
      <c r="H793" s="45"/>
      <c r="I793" s="42"/>
      <c r="J793" s="11" t="str">
        <f aca="false">IF(H793="","",H793*I793)</f>
        <v/>
      </c>
      <c r="K793" s="42"/>
      <c r="L793" s="11" t="str">
        <f aca="false">IF(H793="","",IF(K793&lt;&gt;"",K793,H793*IFERROR(INDEX(O_Stok!$Q$6:$Q$85,MATCH(G793,O_Stok!$A$6:$A$85,0)),0)))</f>
        <v/>
      </c>
      <c r="M793" s="11" t="str">
        <f aca="false">IF(H793="","",J793-L793)</f>
        <v/>
      </c>
      <c r="N793" s="34" t="str">
        <f aca="false">IF(G793="","",IFERROR(INDEX(I_Master!$B$6:$B$85,MATCH(G793,I_Master!$A$6:$A$85,0)),"?"))</f>
        <v/>
      </c>
      <c r="O793" s="34" t="str">
        <f aca="false">IF(G793="","",IFERROR(INDEX(I_Master!$E$6:$E$85,MATCH(G793,I_Master!$A$6:$A$85,0)),"?"))</f>
        <v/>
      </c>
      <c r="P793" s="46" t="str">
        <f aca="false">IF(H793="","",IF(OR(A793&lt;I_Parameter!$C$5,A793&gt;I_Parameter!$C$6),0,IF(B793="Aktual",1,IF(AND(B793="Order",A793&gt;=I_Parameter!$C$4),1,0))))</f>
        <v/>
      </c>
    </row>
    <row r="794" customFormat="false" ht="15" hidden="false" customHeight="false" outlineLevel="0" collapsed="false">
      <c r="A794" s="37"/>
      <c r="B794" s="44"/>
      <c r="C794" s="44"/>
      <c r="D794" s="44"/>
      <c r="E794" s="44"/>
      <c r="F794" s="44"/>
      <c r="G794" s="34" t="str">
        <f aca="false">IF(F794&lt;&gt;"",F794,IF(E794="","",IFERROR(INDEX(I_Item!$C$6:$C$255,MATCH(E794,I_Item!$A$6:$A$255,0)),"KODE BARU")))</f>
        <v/>
      </c>
      <c r="H794" s="45"/>
      <c r="I794" s="42"/>
      <c r="J794" s="11" t="str">
        <f aca="false">IF(H794="","",H794*I794)</f>
        <v/>
      </c>
      <c r="K794" s="42"/>
      <c r="L794" s="11" t="str">
        <f aca="false">IF(H794="","",IF(K794&lt;&gt;"",K794,H794*IFERROR(INDEX(O_Stok!$Q$6:$Q$85,MATCH(G794,O_Stok!$A$6:$A$85,0)),0)))</f>
        <v/>
      </c>
      <c r="M794" s="11" t="str">
        <f aca="false">IF(H794="","",J794-L794)</f>
        <v/>
      </c>
      <c r="N794" s="34" t="str">
        <f aca="false">IF(G794="","",IFERROR(INDEX(I_Master!$B$6:$B$85,MATCH(G794,I_Master!$A$6:$A$85,0)),"?"))</f>
        <v/>
      </c>
      <c r="O794" s="34" t="str">
        <f aca="false">IF(G794="","",IFERROR(INDEX(I_Master!$E$6:$E$85,MATCH(G794,I_Master!$A$6:$A$85,0)),"?"))</f>
        <v/>
      </c>
      <c r="P794" s="46" t="str">
        <f aca="false">IF(H794="","",IF(OR(A794&lt;I_Parameter!$C$5,A794&gt;I_Parameter!$C$6),0,IF(B794="Aktual",1,IF(AND(B794="Order",A794&gt;=I_Parameter!$C$4),1,0))))</f>
        <v/>
      </c>
    </row>
    <row r="795" customFormat="false" ht="15" hidden="false" customHeight="false" outlineLevel="0" collapsed="false">
      <c r="A795" s="37"/>
      <c r="B795" s="44"/>
      <c r="C795" s="44"/>
      <c r="D795" s="44"/>
      <c r="E795" s="44"/>
      <c r="F795" s="44"/>
      <c r="G795" s="34" t="str">
        <f aca="false">IF(F795&lt;&gt;"",F795,IF(E795="","",IFERROR(INDEX(I_Item!$C$6:$C$255,MATCH(E795,I_Item!$A$6:$A$255,0)),"KODE BARU")))</f>
        <v/>
      </c>
      <c r="H795" s="45"/>
      <c r="I795" s="42"/>
      <c r="J795" s="11" t="str">
        <f aca="false">IF(H795="","",H795*I795)</f>
        <v/>
      </c>
      <c r="K795" s="42"/>
      <c r="L795" s="11" t="str">
        <f aca="false">IF(H795="","",IF(K795&lt;&gt;"",K795,H795*IFERROR(INDEX(O_Stok!$Q$6:$Q$85,MATCH(G795,O_Stok!$A$6:$A$85,0)),0)))</f>
        <v/>
      </c>
      <c r="M795" s="11" t="str">
        <f aca="false">IF(H795="","",J795-L795)</f>
        <v/>
      </c>
      <c r="N795" s="34" t="str">
        <f aca="false">IF(G795="","",IFERROR(INDEX(I_Master!$B$6:$B$85,MATCH(G795,I_Master!$A$6:$A$85,0)),"?"))</f>
        <v/>
      </c>
      <c r="O795" s="34" t="str">
        <f aca="false">IF(G795="","",IFERROR(INDEX(I_Master!$E$6:$E$85,MATCH(G795,I_Master!$A$6:$A$85,0)),"?"))</f>
        <v/>
      </c>
      <c r="P795" s="46" t="str">
        <f aca="false">IF(H795="","",IF(OR(A795&lt;I_Parameter!$C$5,A795&gt;I_Parameter!$C$6),0,IF(B795="Aktual",1,IF(AND(B795="Order",A795&gt;=I_Parameter!$C$4),1,0))))</f>
        <v/>
      </c>
    </row>
    <row r="796" customFormat="false" ht="15" hidden="false" customHeight="false" outlineLevel="0" collapsed="false">
      <c r="A796" s="37"/>
      <c r="B796" s="44"/>
      <c r="C796" s="44"/>
      <c r="D796" s="44"/>
      <c r="E796" s="44"/>
      <c r="F796" s="44"/>
      <c r="G796" s="34" t="str">
        <f aca="false">IF(F796&lt;&gt;"",F796,IF(E796="","",IFERROR(INDEX(I_Item!$C$6:$C$255,MATCH(E796,I_Item!$A$6:$A$255,0)),"KODE BARU")))</f>
        <v/>
      </c>
      <c r="H796" s="45"/>
      <c r="I796" s="42"/>
      <c r="J796" s="11" t="str">
        <f aca="false">IF(H796="","",H796*I796)</f>
        <v/>
      </c>
      <c r="K796" s="42"/>
      <c r="L796" s="11" t="str">
        <f aca="false">IF(H796="","",IF(K796&lt;&gt;"",K796,H796*IFERROR(INDEX(O_Stok!$Q$6:$Q$85,MATCH(G796,O_Stok!$A$6:$A$85,0)),0)))</f>
        <v/>
      </c>
      <c r="M796" s="11" t="str">
        <f aca="false">IF(H796="","",J796-L796)</f>
        <v/>
      </c>
      <c r="N796" s="34" t="str">
        <f aca="false">IF(G796="","",IFERROR(INDEX(I_Master!$B$6:$B$85,MATCH(G796,I_Master!$A$6:$A$85,0)),"?"))</f>
        <v/>
      </c>
      <c r="O796" s="34" t="str">
        <f aca="false">IF(G796="","",IFERROR(INDEX(I_Master!$E$6:$E$85,MATCH(G796,I_Master!$A$6:$A$85,0)),"?"))</f>
        <v/>
      </c>
      <c r="P796" s="46" t="str">
        <f aca="false">IF(H796="","",IF(OR(A796&lt;I_Parameter!$C$5,A796&gt;I_Parameter!$C$6),0,IF(B796="Aktual",1,IF(AND(B796="Order",A796&gt;=I_Parameter!$C$4),1,0))))</f>
        <v/>
      </c>
    </row>
    <row r="797" customFormat="false" ht="15" hidden="false" customHeight="false" outlineLevel="0" collapsed="false">
      <c r="A797" s="37"/>
      <c r="B797" s="44"/>
      <c r="C797" s="44"/>
      <c r="D797" s="44"/>
      <c r="E797" s="44"/>
      <c r="F797" s="44"/>
      <c r="G797" s="34" t="str">
        <f aca="false">IF(F797&lt;&gt;"",F797,IF(E797="","",IFERROR(INDEX(I_Item!$C$6:$C$255,MATCH(E797,I_Item!$A$6:$A$255,0)),"KODE BARU")))</f>
        <v/>
      </c>
      <c r="H797" s="45"/>
      <c r="I797" s="42"/>
      <c r="J797" s="11" t="str">
        <f aca="false">IF(H797="","",H797*I797)</f>
        <v/>
      </c>
      <c r="K797" s="42"/>
      <c r="L797" s="11" t="str">
        <f aca="false">IF(H797="","",IF(K797&lt;&gt;"",K797,H797*IFERROR(INDEX(O_Stok!$Q$6:$Q$85,MATCH(G797,O_Stok!$A$6:$A$85,0)),0)))</f>
        <v/>
      </c>
      <c r="M797" s="11" t="str">
        <f aca="false">IF(H797="","",J797-L797)</f>
        <v/>
      </c>
      <c r="N797" s="34" t="str">
        <f aca="false">IF(G797="","",IFERROR(INDEX(I_Master!$B$6:$B$85,MATCH(G797,I_Master!$A$6:$A$85,0)),"?"))</f>
        <v/>
      </c>
      <c r="O797" s="34" t="str">
        <f aca="false">IF(G797="","",IFERROR(INDEX(I_Master!$E$6:$E$85,MATCH(G797,I_Master!$A$6:$A$85,0)),"?"))</f>
        <v/>
      </c>
      <c r="P797" s="46" t="str">
        <f aca="false">IF(H797="","",IF(OR(A797&lt;I_Parameter!$C$5,A797&gt;I_Parameter!$C$6),0,IF(B797="Aktual",1,IF(AND(B797="Order",A797&gt;=I_Parameter!$C$4),1,0))))</f>
        <v/>
      </c>
    </row>
    <row r="798" customFormat="false" ht="15" hidden="false" customHeight="false" outlineLevel="0" collapsed="false">
      <c r="A798" s="37"/>
      <c r="B798" s="44"/>
      <c r="C798" s="44"/>
      <c r="D798" s="44"/>
      <c r="E798" s="44"/>
      <c r="F798" s="44"/>
      <c r="G798" s="34" t="str">
        <f aca="false">IF(F798&lt;&gt;"",F798,IF(E798="","",IFERROR(INDEX(I_Item!$C$6:$C$255,MATCH(E798,I_Item!$A$6:$A$255,0)),"KODE BARU")))</f>
        <v/>
      </c>
      <c r="H798" s="45"/>
      <c r="I798" s="42"/>
      <c r="J798" s="11" t="str">
        <f aca="false">IF(H798="","",H798*I798)</f>
        <v/>
      </c>
      <c r="K798" s="42"/>
      <c r="L798" s="11" t="str">
        <f aca="false">IF(H798="","",IF(K798&lt;&gt;"",K798,H798*IFERROR(INDEX(O_Stok!$Q$6:$Q$85,MATCH(G798,O_Stok!$A$6:$A$85,0)),0)))</f>
        <v/>
      </c>
      <c r="M798" s="11" t="str">
        <f aca="false">IF(H798="","",J798-L798)</f>
        <v/>
      </c>
      <c r="N798" s="34" t="str">
        <f aca="false">IF(G798="","",IFERROR(INDEX(I_Master!$B$6:$B$85,MATCH(G798,I_Master!$A$6:$A$85,0)),"?"))</f>
        <v/>
      </c>
      <c r="O798" s="34" t="str">
        <f aca="false">IF(G798="","",IFERROR(INDEX(I_Master!$E$6:$E$85,MATCH(G798,I_Master!$A$6:$A$85,0)),"?"))</f>
        <v/>
      </c>
      <c r="P798" s="46" t="str">
        <f aca="false">IF(H798="","",IF(OR(A798&lt;I_Parameter!$C$5,A798&gt;I_Parameter!$C$6),0,IF(B798="Aktual",1,IF(AND(B798="Order",A798&gt;=I_Parameter!$C$4),1,0))))</f>
        <v/>
      </c>
    </row>
    <row r="799" customFormat="false" ht="15" hidden="false" customHeight="false" outlineLevel="0" collapsed="false">
      <c r="A799" s="37"/>
      <c r="B799" s="44"/>
      <c r="C799" s="44"/>
      <c r="D799" s="44"/>
      <c r="E799" s="44"/>
      <c r="F799" s="44"/>
      <c r="G799" s="34" t="str">
        <f aca="false">IF(F799&lt;&gt;"",F799,IF(E799="","",IFERROR(INDEX(I_Item!$C$6:$C$255,MATCH(E799,I_Item!$A$6:$A$255,0)),"KODE BARU")))</f>
        <v/>
      </c>
      <c r="H799" s="45"/>
      <c r="I799" s="42"/>
      <c r="J799" s="11" t="str">
        <f aca="false">IF(H799="","",H799*I799)</f>
        <v/>
      </c>
      <c r="K799" s="42"/>
      <c r="L799" s="11" t="str">
        <f aca="false">IF(H799="","",IF(K799&lt;&gt;"",K799,H799*IFERROR(INDEX(O_Stok!$Q$6:$Q$85,MATCH(G799,O_Stok!$A$6:$A$85,0)),0)))</f>
        <v/>
      </c>
      <c r="M799" s="11" t="str">
        <f aca="false">IF(H799="","",J799-L799)</f>
        <v/>
      </c>
      <c r="N799" s="34" t="str">
        <f aca="false">IF(G799="","",IFERROR(INDEX(I_Master!$B$6:$B$85,MATCH(G799,I_Master!$A$6:$A$85,0)),"?"))</f>
        <v/>
      </c>
      <c r="O799" s="34" t="str">
        <f aca="false">IF(G799="","",IFERROR(INDEX(I_Master!$E$6:$E$85,MATCH(G799,I_Master!$A$6:$A$85,0)),"?"))</f>
        <v/>
      </c>
      <c r="P799" s="46" t="str">
        <f aca="false">IF(H799="","",IF(OR(A799&lt;I_Parameter!$C$5,A799&gt;I_Parameter!$C$6),0,IF(B799="Aktual",1,IF(AND(B799="Order",A799&gt;=I_Parameter!$C$4),1,0))))</f>
        <v/>
      </c>
    </row>
    <row r="800" customFormat="false" ht="15" hidden="false" customHeight="false" outlineLevel="0" collapsed="false">
      <c r="A800" s="37"/>
      <c r="B800" s="44"/>
      <c r="C800" s="44"/>
      <c r="D800" s="44"/>
      <c r="E800" s="44"/>
      <c r="F800" s="44"/>
      <c r="G800" s="34" t="str">
        <f aca="false">IF(F800&lt;&gt;"",F800,IF(E800="","",IFERROR(INDEX(I_Item!$C$6:$C$255,MATCH(E800,I_Item!$A$6:$A$255,0)),"KODE BARU")))</f>
        <v/>
      </c>
      <c r="H800" s="45"/>
      <c r="I800" s="42"/>
      <c r="J800" s="11" t="str">
        <f aca="false">IF(H800="","",H800*I800)</f>
        <v/>
      </c>
      <c r="K800" s="42"/>
      <c r="L800" s="11" t="str">
        <f aca="false">IF(H800="","",IF(K800&lt;&gt;"",K800,H800*IFERROR(INDEX(O_Stok!$Q$6:$Q$85,MATCH(G800,O_Stok!$A$6:$A$85,0)),0)))</f>
        <v/>
      </c>
      <c r="M800" s="11" t="str">
        <f aca="false">IF(H800="","",J800-L800)</f>
        <v/>
      </c>
      <c r="N800" s="34" t="str">
        <f aca="false">IF(G800="","",IFERROR(INDEX(I_Master!$B$6:$B$85,MATCH(G800,I_Master!$A$6:$A$85,0)),"?"))</f>
        <v/>
      </c>
      <c r="O800" s="34" t="str">
        <f aca="false">IF(G800="","",IFERROR(INDEX(I_Master!$E$6:$E$85,MATCH(G800,I_Master!$A$6:$A$85,0)),"?"))</f>
        <v/>
      </c>
      <c r="P800" s="46" t="str">
        <f aca="false">IF(H800="","",IF(OR(A800&lt;I_Parameter!$C$5,A800&gt;I_Parameter!$C$6),0,IF(B800="Aktual",1,IF(AND(B800="Order",A800&gt;=I_Parameter!$C$4),1,0))))</f>
        <v/>
      </c>
    </row>
    <row r="801" customFormat="false" ht="15" hidden="false" customHeight="false" outlineLevel="0" collapsed="false">
      <c r="A801" s="37"/>
      <c r="B801" s="44"/>
      <c r="C801" s="44"/>
      <c r="D801" s="44"/>
      <c r="E801" s="44"/>
      <c r="F801" s="44"/>
      <c r="G801" s="34" t="str">
        <f aca="false">IF(F801&lt;&gt;"",F801,IF(E801="","",IFERROR(INDEX(I_Item!$C$6:$C$255,MATCH(E801,I_Item!$A$6:$A$255,0)),"KODE BARU")))</f>
        <v/>
      </c>
      <c r="H801" s="45"/>
      <c r="I801" s="42"/>
      <c r="J801" s="11" t="str">
        <f aca="false">IF(H801="","",H801*I801)</f>
        <v/>
      </c>
      <c r="K801" s="42"/>
      <c r="L801" s="11" t="str">
        <f aca="false">IF(H801="","",IF(K801&lt;&gt;"",K801,H801*IFERROR(INDEX(O_Stok!$Q$6:$Q$85,MATCH(G801,O_Stok!$A$6:$A$85,0)),0)))</f>
        <v/>
      </c>
      <c r="M801" s="11" t="str">
        <f aca="false">IF(H801="","",J801-L801)</f>
        <v/>
      </c>
      <c r="N801" s="34" t="str">
        <f aca="false">IF(G801="","",IFERROR(INDEX(I_Master!$B$6:$B$85,MATCH(G801,I_Master!$A$6:$A$85,0)),"?"))</f>
        <v/>
      </c>
      <c r="O801" s="34" t="str">
        <f aca="false">IF(G801="","",IFERROR(INDEX(I_Master!$E$6:$E$85,MATCH(G801,I_Master!$A$6:$A$85,0)),"?"))</f>
        <v/>
      </c>
      <c r="P801" s="46" t="str">
        <f aca="false">IF(H801="","",IF(OR(A801&lt;I_Parameter!$C$5,A801&gt;I_Parameter!$C$6),0,IF(B801="Aktual",1,IF(AND(B801="Order",A801&gt;=I_Parameter!$C$4),1,0))))</f>
        <v/>
      </c>
    </row>
    <row r="802" customFormat="false" ht="15" hidden="false" customHeight="false" outlineLevel="0" collapsed="false">
      <c r="A802" s="37"/>
      <c r="B802" s="44"/>
      <c r="C802" s="44"/>
      <c r="D802" s="44"/>
      <c r="E802" s="44"/>
      <c r="F802" s="44"/>
      <c r="G802" s="34" t="str">
        <f aca="false">IF(F802&lt;&gt;"",F802,IF(E802="","",IFERROR(INDEX(I_Item!$C$6:$C$255,MATCH(E802,I_Item!$A$6:$A$255,0)),"KODE BARU")))</f>
        <v/>
      </c>
      <c r="H802" s="45"/>
      <c r="I802" s="42"/>
      <c r="J802" s="11" t="str">
        <f aca="false">IF(H802="","",H802*I802)</f>
        <v/>
      </c>
      <c r="K802" s="42"/>
      <c r="L802" s="11" t="str">
        <f aca="false">IF(H802="","",IF(K802&lt;&gt;"",K802,H802*IFERROR(INDEX(O_Stok!$Q$6:$Q$85,MATCH(G802,O_Stok!$A$6:$A$85,0)),0)))</f>
        <v/>
      </c>
      <c r="M802" s="11" t="str">
        <f aca="false">IF(H802="","",J802-L802)</f>
        <v/>
      </c>
      <c r="N802" s="34" t="str">
        <f aca="false">IF(G802="","",IFERROR(INDEX(I_Master!$B$6:$B$85,MATCH(G802,I_Master!$A$6:$A$85,0)),"?"))</f>
        <v/>
      </c>
      <c r="O802" s="34" t="str">
        <f aca="false">IF(G802="","",IFERROR(INDEX(I_Master!$E$6:$E$85,MATCH(G802,I_Master!$A$6:$A$85,0)),"?"))</f>
        <v/>
      </c>
      <c r="P802" s="46" t="str">
        <f aca="false">IF(H802="","",IF(OR(A802&lt;I_Parameter!$C$5,A802&gt;I_Parameter!$C$6),0,IF(B802="Aktual",1,IF(AND(B802="Order",A802&gt;=I_Parameter!$C$4),1,0))))</f>
        <v/>
      </c>
    </row>
    <row r="803" customFormat="false" ht="15" hidden="false" customHeight="false" outlineLevel="0" collapsed="false">
      <c r="A803" s="37"/>
      <c r="B803" s="44"/>
      <c r="C803" s="44"/>
      <c r="D803" s="44"/>
      <c r="E803" s="44"/>
      <c r="F803" s="44"/>
      <c r="G803" s="34" t="str">
        <f aca="false">IF(F803&lt;&gt;"",F803,IF(E803="","",IFERROR(INDEX(I_Item!$C$6:$C$255,MATCH(E803,I_Item!$A$6:$A$255,0)),"KODE BARU")))</f>
        <v/>
      </c>
      <c r="H803" s="45"/>
      <c r="I803" s="42"/>
      <c r="J803" s="11" t="str">
        <f aca="false">IF(H803="","",H803*I803)</f>
        <v/>
      </c>
      <c r="K803" s="42"/>
      <c r="L803" s="11" t="str">
        <f aca="false">IF(H803="","",IF(K803&lt;&gt;"",K803,H803*IFERROR(INDEX(O_Stok!$Q$6:$Q$85,MATCH(G803,O_Stok!$A$6:$A$85,0)),0)))</f>
        <v/>
      </c>
      <c r="M803" s="11" t="str">
        <f aca="false">IF(H803="","",J803-L803)</f>
        <v/>
      </c>
      <c r="N803" s="34" t="str">
        <f aca="false">IF(G803="","",IFERROR(INDEX(I_Master!$B$6:$B$85,MATCH(G803,I_Master!$A$6:$A$85,0)),"?"))</f>
        <v/>
      </c>
      <c r="O803" s="34" t="str">
        <f aca="false">IF(G803="","",IFERROR(INDEX(I_Master!$E$6:$E$85,MATCH(G803,I_Master!$A$6:$A$85,0)),"?"))</f>
        <v/>
      </c>
      <c r="P803" s="46" t="str">
        <f aca="false">IF(H803="","",IF(OR(A803&lt;I_Parameter!$C$5,A803&gt;I_Parameter!$C$6),0,IF(B803="Aktual",1,IF(AND(B803="Order",A803&gt;=I_Parameter!$C$4),1,0))))</f>
        <v/>
      </c>
    </row>
    <row r="804" customFormat="false" ht="15" hidden="false" customHeight="false" outlineLevel="0" collapsed="false">
      <c r="A804" s="37"/>
      <c r="B804" s="44"/>
      <c r="C804" s="44"/>
      <c r="D804" s="44"/>
      <c r="E804" s="44"/>
      <c r="F804" s="44"/>
      <c r="G804" s="34" t="str">
        <f aca="false">IF(F804&lt;&gt;"",F804,IF(E804="","",IFERROR(INDEX(I_Item!$C$6:$C$255,MATCH(E804,I_Item!$A$6:$A$255,0)),"KODE BARU")))</f>
        <v/>
      </c>
      <c r="H804" s="45"/>
      <c r="I804" s="42"/>
      <c r="J804" s="11" t="str">
        <f aca="false">IF(H804="","",H804*I804)</f>
        <v/>
      </c>
      <c r="K804" s="42"/>
      <c r="L804" s="11" t="str">
        <f aca="false">IF(H804="","",IF(K804&lt;&gt;"",K804,H804*IFERROR(INDEX(O_Stok!$Q$6:$Q$85,MATCH(G804,O_Stok!$A$6:$A$85,0)),0)))</f>
        <v/>
      </c>
      <c r="M804" s="11" t="str">
        <f aca="false">IF(H804="","",J804-L804)</f>
        <v/>
      </c>
      <c r="N804" s="34" t="str">
        <f aca="false">IF(G804="","",IFERROR(INDEX(I_Master!$B$6:$B$85,MATCH(G804,I_Master!$A$6:$A$85,0)),"?"))</f>
        <v/>
      </c>
      <c r="O804" s="34" t="str">
        <f aca="false">IF(G804="","",IFERROR(INDEX(I_Master!$E$6:$E$85,MATCH(G804,I_Master!$A$6:$A$85,0)),"?"))</f>
        <v/>
      </c>
      <c r="P804" s="46" t="str">
        <f aca="false">IF(H804="","",IF(OR(A804&lt;I_Parameter!$C$5,A804&gt;I_Parameter!$C$6),0,IF(B804="Aktual",1,IF(AND(B804="Order",A804&gt;=I_Parameter!$C$4),1,0))))</f>
        <v/>
      </c>
    </row>
    <row r="805" customFormat="false" ht="15" hidden="false" customHeight="false" outlineLevel="0" collapsed="false">
      <c r="A805" s="37"/>
      <c r="B805" s="44"/>
      <c r="C805" s="44"/>
      <c r="D805" s="44"/>
      <c r="E805" s="44"/>
      <c r="F805" s="44"/>
      <c r="G805" s="34" t="str">
        <f aca="false">IF(F805&lt;&gt;"",F805,IF(E805="","",IFERROR(INDEX(I_Item!$C$6:$C$255,MATCH(E805,I_Item!$A$6:$A$255,0)),"KODE BARU")))</f>
        <v/>
      </c>
      <c r="H805" s="45"/>
      <c r="I805" s="42"/>
      <c r="J805" s="11" t="str">
        <f aca="false">IF(H805="","",H805*I805)</f>
        <v/>
      </c>
      <c r="K805" s="42"/>
      <c r="L805" s="11" t="str">
        <f aca="false">IF(H805="","",IF(K805&lt;&gt;"",K805,H805*IFERROR(INDEX(O_Stok!$Q$6:$Q$85,MATCH(G805,O_Stok!$A$6:$A$85,0)),0)))</f>
        <v/>
      </c>
      <c r="M805" s="11" t="str">
        <f aca="false">IF(H805="","",J805-L805)</f>
        <v/>
      </c>
      <c r="N805" s="34" t="str">
        <f aca="false">IF(G805="","",IFERROR(INDEX(I_Master!$B$6:$B$85,MATCH(G805,I_Master!$A$6:$A$85,0)),"?"))</f>
        <v/>
      </c>
      <c r="O805" s="34" t="str">
        <f aca="false">IF(G805="","",IFERROR(INDEX(I_Master!$E$6:$E$85,MATCH(G805,I_Master!$A$6:$A$85,0)),"?"))</f>
        <v/>
      </c>
      <c r="P805" s="46" t="str">
        <f aca="false">IF(H805="","",IF(OR(A805&lt;I_Parameter!$C$5,A805&gt;I_Parameter!$C$6),0,IF(B805="Aktual",1,IF(AND(B805="Order",A805&gt;=I_Parameter!$C$4),1,0))))</f>
        <v/>
      </c>
    </row>
    <row r="806" customFormat="false" ht="15" hidden="false" customHeight="false" outlineLevel="0" collapsed="false">
      <c r="A806" s="37"/>
      <c r="B806" s="44"/>
      <c r="C806" s="44"/>
      <c r="D806" s="44"/>
      <c r="E806" s="44"/>
      <c r="F806" s="44"/>
      <c r="G806" s="34" t="str">
        <f aca="false">IF(F806&lt;&gt;"",F806,IF(E806="","",IFERROR(INDEX(I_Item!$C$6:$C$255,MATCH(E806,I_Item!$A$6:$A$255,0)),"KODE BARU")))</f>
        <v/>
      </c>
      <c r="H806" s="45"/>
      <c r="I806" s="42"/>
      <c r="J806" s="11" t="str">
        <f aca="false">IF(H806="","",H806*I806)</f>
        <v/>
      </c>
      <c r="K806" s="42"/>
      <c r="L806" s="11" t="str">
        <f aca="false">IF(H806="","",IF(K806&lt;&gt;"",K806,H806*IFERROR(INDEX(O_Stok!$Q$6:$Q$85,MATCH(G806,O_Stok!$A$6:$A$85,0)),0)))</f>
        <v/>
      </c>
      <c r="M806" s="11" t="str">
        <f aca="false">IF(H806="","",J806-L806)</f>
        <v/>
      </c>
      <c r="N806" s="34" t="str">
        <f aca="false">IF(G806="","",IFERROR(INDEX(I_Master!$B$6:$B$85,MATCH(G806,I_Master!$A$6:$A$85,0)),"?"))</f>
        <v/>
      </c>
      <c r="O806" s="34" t="str">
        <f aca="false">IF(G806="","",IFERROR(INDEX(I_Master!$E$6:$E$85,MATCH(G806,I_Master!$A$6:$A$85,0)),"?"))</f>
        <v/>
      </c>
      <c r="P806" s="46" t="str">
        <f aca="false">IF(H806="","",IF(OR(A806&lt;I_Parameter!$C$5,A806&gt;I_Parameter!$C$6),0,IF(B806="Aktual",1,IF(AND(B806="Order",A806&gt;=I_Parameter!$C$4),1,0))))</f>
        <v/>
      </c>
    </row>
    <row r="807" customFormat="false" ht="15" hidden="false" customHeight="false" outlineLevel="0" collapsed="false">
      <c r="A807" s="37"/>
      <c r="B807" s="44"/>
      <c r="C807" s="44"/>
      <c r="D807" s="44"/>
      <c r="E807" s="44"/>
      <c r="F807" s="44"/>
      <c r="G807" s="34" t="str">
        <f aca="false">IF(F807&lt;&gt;"",F807,IF(E807="","",IFERROR(INDEX(I_Item!$C$6:$C$255,MATCH(E807,I_Item!$A$6:$A$255,0)),"KODE BARU")))</f>
        <v/>
      </c>
      <c r="H807" s="45"/>
      <c r="I807" s="42"/>
      <c r="J807" s="11" t="str">
        <f aca="false">IF(H807="","",H807*I807)</f>
        <v/>
      </c>
      <c r="K807" s="42"/>
      <c r="L807" s="11" t="str">
        <f aca="false">IF(H807="","",IF(K807&lt;&gt;"",K807,H807*IFERROR(INDEX(O_Stok!$Q$6:$Q$85,MATCH(G807,O_Stok!$A$6:$A$85,0)),0)))</f>
        <v/>
      </c>
      <c r="M807" s="11" t="str">
        <f aca="false">IF(H807="","",J807-L807)</f>
        <v/>
      </c>
      <c r="N807" s="34" t="str">
        <f aca="false">IF(G807="","",IFERROR(INDEX(I_Master!$B$6:$B$85,MATCH(G807,I_Master!$A$6:$A$85,0)),"?"))</f>
        <v/>
      </c>
      <c r="O807" s="34" t="str">
        <f aca="false">IF(G807="","",IFERROR(INDEX(I_Master!$E$6:$E$85,MATCH(G807,I_Master!$A$6:$A$85,0)),"?"))</f>
        <v/>
      </c>
      <c r="P807" s="46" t="str">
        <f aca="false">IF(H807="","",IF(OR(A807&lt;I_Parameter!$C$5,A807&gt;I_Parameter!$C$6),0,IF(B807="Aktual",1,IF(AND(B807="Order",A807&gt;=I_Parameter!$C$4),1,0))))</f>
        <v/>
      </c>
    </row>
    <row r="808" customFormat="false" ht="15" hidden="false" customHeight="false" outlineLevel="0" collapsed="false">
      <c r="A808" s="37"/>
      <c r="B808" s="44"/>
      <c r="C808" s="44"/>
      <c r="D808" s="44"/>
      <c r="E808" s="44"/>
      <c r="F808" s="44"/>
      <c r="G808" s="34" t="str">
        <f aca="false">IF(F808&lt;&gt;"",F808,IF(E808="","",IFERROR(INDEX(I_Item!$C$6:$C$255,MATCH(E808,I_Item!$A$6:$A$255,0)),"KODE BARU")))</f>
        <v/>
      </c>
      <c r="H808" s="45"/>
      <c r="I808" s="42"/>
      <c r="J808" s="11" t="str">
        <f aca="false">IF(H808="","",H808*I808)</f>
        <v/>
      </c>
      <c r="K808" s="42"/>
      <c r="L808" s="11" t="str">
        <f aca="false">IF(H808="","",IF(K808&lt;&gt;"",K808,H808*IFERROR(INDEX(O_Stok!$Q$6:$Q$85,MATCH(G808,O_Stok!$A$6:$A$85,0)),0)))</f>
        <v/>
      </c>
      <c r="M808" s="11" t="str">
        <f aca="false">IF(H808="","",J808-L808)</f>
        <v/>
      </c>
      <c r="N808" s="34" t="str">
        <f aca="false">IF(G808="","",IFERROR(INDEX(I_Master!$B$6:$B$85,MATCH(G808,I_Master!$A$6:$A$85,0)),"?"))</f>
        <v/>
      </c>
      <c r="O808" s="34" t="str">
        <f aca="false">IF(G808="","",IFERROR(INDEX(I_Master!$E$6:$E$85,MATCH(G808,I_Master!$A$6:$A$85,0)),"?"))</f>
        <v/>
      </c>
      <c r="P808" s="46" t="str">
        <f aca="false">IF(H808="","",IF(OR(A808&lt;I_Parameter!$C$5,A808&gt;I_Parameter!$C$6),0,IF(B808="Aktual",1,IF(AND(B808="Order",A808&gt;=I_Parameter!$C$4),1,0))))</f>
        <v/>
      </c>
    </row>
    <row r="809" customFormat="false" ht="15" hidden="false" customHeight="false" outlineLevel="0" collapsed="false">
      <c r="A809" s="37"/>
      <c r="B809" s="44"/>
      <c r="C809" s="44"/>
      <c r="D809" s="44"/>
      <c r="E809" s="44"/>
      <c r="F809" s="44"/>
      <c r="G809" s="34" t="str">
        <f aca="false">IF(F809&lt;&gt;"",F809,IF(E809="","",IFERROR(INDEX(I_Item!$C$6:$C$255,MATCH(E809,I_Item!$A$6:$A$255,0)),"KODE BARU")))</f>
        <v/>
      </c>
      <c r="H809" s="45"/>
      <c r="I809" s="42"/>
      <c r="J809" s="11" t="str">
        <f aca="false">IF(H809="","",H809*I809)</f>
        <v/>
      </c>
      <c r="K809" s="42"/>
      <c r="L809" s="11" t="str">
        <f aca="false">IF(H809="","",IF(K809&lt;&gt;"",K809,H809*IFERROR(INDEX(O_Stok!$Q$6:$Q$85,MATCH(G809,O_Stok!$A$6:$A$85,0)),0)))</f>
        <v/>
      </c>
      <c r="M809" s="11" t="str">
        <f aca="false">IF(H809="","",J809-L809)</f>
        <v/>
      </c>
      <c r="N809" s="34" t="str">
        <f aca="false">IF(G809="","",IFERROR(INDEX(I_Master!$B$6:$B$85,MATCH(G809,I_Master!$A$6:$A$85,0)),"?"))</f>
        <v/>
      </c>
      <c r="O809" s="34" t="str">
        <f aca="false">IF(G809="","",IFERROR(INDEX(I_Master!$E$6:$E$85,MATCH(G809,I_Master!$A$6:$A$85,0)),"?"))</f>
        <v/>
      </c>
      <c r="P809" s="46" t="str">
        <f aca="false">IF(H809="","",IF(OR(A809&lt;I_Parameter!$C$5,A809&gt;I_Parameter!$C$6),0,IF(B809="Aktual",1,IF(AND(B809="Order",A809&gt;=I_Parameter!$C$4),1,0))))</f>
        <v/>
      </c>
    </row>
    <row r="810" customFormat="false" ht="15" hidden="false" customHeight="false" outlineLevel="0" collapsed="false">
      <c r="A810" s="37"/>
      <c r="B810" s="44"/>
      <c r="C810" s="44"/>
      <c r="D810" s="44"/>
      <c r="E810" s="44"/>
      <c r="F810" s="44"/>
      <c r="G810" s="34" t="str">
        <f aca="false">IF(F810&lt;&gt;"",F810,IF(E810="","",IFERROR(INDEX(I_Item!$C$6:$C$255,MATCH(E810,I_Item!$A$6:$A$255,0)),"KODE BARU")))</f>
        <v/>
      </c>
      <c r="H810" s="45"/>
      <c r="I810" s="42"/>
      <c r="J810" s="11" t="str">
        <f aca="false">IF(H810="","",H810*I810)</f>
        <v/>
      </c>
      <c r="K810" s="42"/>
      <c r="L810" s="11" t="str">
        <f aca="false">IF(H810="","",IF(K810&lt;&gt;"",K810,H810*IFERROR(INDEX(O_Stok!$Q$6:$Q$85,MATCH(G810,O_Stok!$A$6:$A$85,0)),0)))</f>
        <v/>
      </c>
      <c r="M810" s="11" t="str">
        <f aca="false">IF(H810="","",J810-L810)</f>
        <v/>
      </c>
      <c r="N810" s="34" t="str">
        <f aca="false">IF(G810="","",IFERROR(INDEX(I_Master!$B$6:$B$85,MATCH(G810,I_Master!$A$6:$A$85,0)),"?"))</f>
        <v/>
      </c>
      <c r="O810" s="34" t="str">
        <f aca="false">IF(G810="","",IFERROR(INDEX(I_Master!$E$6:$E$85,MATCH(G810,I_Master!$A$6:$A$85,0)),"?"))</f>
        <v/>
      </c>
      <c r="P810" s="46" t="str">
        <f aca="false">IF(H810="","",IF(OR(A810&lt;I_Parameter!$C$5,A810&gt;I_Parameter!$C$6),0,IF(B810="Aktual",1,IF(AND(B810="Order",A810&gt;=I_Parameter!$C$4),1,0))))</f>
        <v/>
      </c>
    </row>
    <row r="811" customFormat="false" ht="15" hidden="false" customHeight="false" outlineLevel="0" collapsed="false">
      <c r="A811" s="37"/>
      <c r="B811" s="44"/>
      <c r="C811" s="44"/>
      <c r="D811" s="44"/>
      <c r="E811" s="44"/>
      <c r="F811" s="44"/>
      <c r="G811" s="34" t="str">
        <f aca="false">IF(F811&lt;&gt;"",F811,IF(E811="","",IFERROR(INDEX(I_Item!$C$6:$C$255,MATCH(E811,I_Item!$A$6:$A$255,0)),"KODE BARU")))</f>
        <v/>
      </c>
      <c r="H811" s="45"/>
      <c r="I811" s="42"/>
      <c r="J811" s="11" t="str">
        <f aca="false">IF(H811="","",H811*I811)</f>
        <v/>
      </c>
      <c r="K811" s="42"/>
      <c r="L811" s="11" t="str">
        <f aca="false">IF(H811="","",IF(K811&lt;&gt;"",K811,H811*IFERROR(INDEX(O_Stok!$Q$6:$Q$85,MATCH(G811,O_Stok!$A$6:$A$85,0)),0)))</f>
        <v/>
      </c>
      <c r="M811" s="11" t="str">
        <f aca="false">IF(H811="","",J811-L811)</f>
        <v/>
      </c>
      <c r="N811" s="34" t="str">
        <f aca="false">IF(G811="","",IFERROR(INDEX(I_Master!$B$6:$B$85,MATCH(G811,I_Master!$A$6:$A$85,0)),"?"))</f>
        <v/>
      </c>
      <c r="O811" s="34" t="str">
        <f aca="false">IF(G811="","",IFERROR(INDEX(I_Master!$E$6:$E$85,MATCH(G811,I_Master!$A$6:$A$85,0)),"?"))</f>
        <v/>
      </c>
      <c r="P811" s="46" t="str">
        <f aca="false">IF(H811="","",IF(OR(A811&lt;I_Parameter!$C$5,A811&gt;I_Parameter!$C$6),0,IF(B811="Aktual",1,IF(AND(B811="Order",A811&gt;=I_Parameter!$C$4),1,0))))</f>
        <v/>
      </c>
    </row>
    <row r="812" customFormat="false" ht="15" hidden="false" customHeight="false" outlineLevel="0" collapsed="false">
      <c r="A812" s="37"/>
      <c r="B812" s="44"/>
      <c r="C812" s="44"/>
      <c r="D812" s="44"/>
      <c r="E812" s="44"/>
      <c r="F812" s="44"/>
      <c r="G812" s="34" t="str">
        <f aca="false">IF(F812&lt;&gt;"",F812,IF(E812="","",IFERROR(INDEX(I_Item!$C$6:$C$255,MATCH(E812,I_Item!$A$6:$A$255,0)),"KODE BARU")))</f>
        <v/>
      </c>
      <c r="H812" s="45"/>
      <c r="I812" s="42"/>
      <c r="J812" s="11" t="str">
        <f aca="false">IF(H812="","",H812*I812)</f>
        <v/>
      </c>
      <c r="K812" s="42"/>
      <c r="L812" s="11" t="str">
        <f aca="false">IF(H812="","",IF(K812&lt;&gt;"",K812,H812*IFERROR(INDEX(O_Stok!$Q$6:$Q$85,MATCH(G812,O_Stok!$A$6:$A$85,0)),0)))</f>
        <v/>
      </c>
      <c r="M812" s="11" t="str">
        <f aca="false">IF(H812="","",J812-L812)</f>
        <v/>
      </c>
      <c r="N812" s="34" t="str">
        <f aca="false">IF(G812="","",IFERROR(INDEX(I_Master!$B$6:$B$85,MATCH(G812,I_Master!$A$6:$A$85,0)),"?"))</f>
        <v/>
      </c>
      <c r="O812" s="34" t="str">
        <f aca="false">IF(G812="","",IFERROR(INDEX(I_Master!$E$6:$E$85,MATCH(G812,I_Master!$A$6:$A$85,0)),"?"))</f>
        <v/>
      </c>
      <c r="P812" s="46" t="str">
        <f aca="false">IF(H812="","",IF(OR(A812&lt;I_Parameter!$C$5,A812&gt;I_Parameter!$C$6),0,IF(B812="Aktual",1,IF(AND(B812="Order",A812&gt;=I_Parameter!$C$4),1,0))))</f>
        <v/>
      </c>
    </row>
    <row r="813" customFormat="false" ht="15" hidden="false" customHeight="false" outlineLevel="0" collapsed="false">
      <c r="A813" s="37"/>
      <c r="B813" s="44"/>
      <c r="C813" s="44"/>
      <c r="D813" s="44"/>
      <c r="E813" s="44"/>
      <c r="F813" s="44"/>
      <c r="G813" s="34" t="str">
        <f aca="false">IF(F813&lt;&gt;"",F813,IF(E813="","",IFERROR(INDEX(I_Item!$C$6:$C$255,MATCH(E813,I_Item!$A$6:$A$255,0)),"KODE BARU")))</f>
        <v/>
      </c>
      <c r="H813" s="45"/>
      <c r="I813" s="42"/>
      <c r="J813" s="11" t="str">
        <f aca="false">IF(H813="","",H813*I813)</f>
        <v/>
      </c>
      <c r="K813" s="42"/>
      <c r="L813" s="11" t="str">
        <f aca="false">IF(H813="","",IF(K813&lt;&gt;"",K813,H813*IFERROR(INDEX(O_Stok!$Q$6:$Q$85,MATCH(G813,O_Stok!$A$6:$A$85,0)),0)))</f>
        <v/>
      </c>
      <c r="M813" s="11" t="str">
        <f aca="false">IF(H813="","",J813-L813)</f>
        <v/>
      </c>
      <c r="N813" s="34" t="str">
        <f aca="false">IF(G813="","",IFERROR(INDEX(I_Master!$B$6:$B$85,MATCH(G813,I_Master!$A$6:$A$85,0)),"?"))</f>
        <v/>
      </c>
      <c r="O813" s="34" t="str">
        <f aca="false">IF(G813="","",IFERROR(INDEX(I_Master!$E$6:$E$85,MATCH(G813,I_Master!$A$6:$A$85,0)),"?"))</f>
        <v/>
      </c>
      <c r="P813" s="46" t="str">
        <f aca="false">IF(H813="","",IF(OR(A813&lt;I_Parameter!$C$5,A813&gt;I_Parameter!$C$6),0,IF(B813="Aktual",1,IF(AND(B813="Order",A813&gt;=I_Parameter!$C$4),1,0))))</f>
        <v/>
      </c>
    </row>
    <row r="814" customFormat="false" ht="15" hidden="false" customHeight="false" outlineLevel="0" collapsed="false">
      <c r="A814" s="37"/>
      <c r="B814" s="44"/>
      <c r="C814" s="44"/>
      <c r="D814" s="44"/>
      <c r="E814" s="44"/>
      <c r="F814" s="44"/>
      <c r="G814" s="34" t="str">
        <f aca="false">IF(F814&lt;&gt;"",F814,IF(E814="","",IFERROR(INDEX(I_Item!$C$6:$C$255,MATCH(E814,I_Item!$A$6:$A$255,0)),"KODE BARU")))</f>
        <v/>
      </c>
      <c r="H814" s="45"/>
      <c r="I814" s="42"/>
      <c r="J814" s="11" t="str">
        <f aca="false">IF(H814="","",H814*I814)</f>
        <v/>
      </c>
      <c r="K814" s="42"/>
      <c r="L814" s="11" t="str">
        <f aca="false">IF(H814="","",IF(K814&lt;&gt;"",K814,H814*IFERROR(INDEX(O_Stok!$Q$6:$Q$85,MATCH(G814,O_Stok!$A$6:$A$85,0)),0)))</f>
        <v/>
      </c>
      <c r="M814" s="11" t="str">
        <f aca="false">IF(H814="","",J814-L814)</f>
        <v/>
      </c>
      <c r="N814" s="34" t="str">
        <f aca="false">IF(G814="","",IFERROR(INDEX(I_Master!$B$6:$B$85,MATCH(G814,I_Master!$A$6:$A$85,0)),"?"))</f>
        <v/>
      </c>
      <c r="O814" s="34" t="str">
        <f aca="false">IF(G814="","",IFERROR(INDEX(I_Master!$E$6:$E$85,MATCH(G814,I_Master!$A$6:$A$85,0)),"?"))</f>
        <v/>
      </c>
      <c r="P814" s="46" t="str">
        <f aca="false">IF(H814="","",IF(OR(A814&lt;I_Parameter!$C$5,A814&gt;I_Parameter!$C$6),0,IF(B814="Aktual",1,IF(AND(B814="Order",A814&gt;=I_Parameter!$C$4),1,0))))</f>
        <v/>
      </c>
    </row>
    <row r="815" customFormat="false" ht="15" hidden="false" customHeight="false" outlineLevel="0" collapsed="false">
      <c r="A815" s="37"/>
      <c r="B815" s="44"/>
      <c r="C815" s="44"/>
      <c r="D815" s="44"/>
      <c r="E815" s="44"/>
      <c r="F815" s="44"/>
      <c r="G815" s="34" t="str">
        <f aca="false">IF(F815&lt;&gt;"",F815,IF(E815="","",IFERROR(INDEX(I_Item!$C$6:$C$255,MATCH(E815,I_Item!$A$6:$A$255,0)),"KODE BARU")))</f>
        <v/>
      </c>
      <c r="H815" s="45"/>
      <c r="I815" s="42"/>
      <c r="J815" s="11" t="str">
        <f aca="false">IF(H815="","",H815*I815)</f>
        <v/>
      </c>
      <c r="K815" s="42"/>
      <c r="L815" s="11" t="str">
        <f aca="false">IF(H815="","",IF(K815&lt;&gt;"",K815,H815*IFERROR(INDEX(O_Stok!$Q$6:$Q$85,MATCH(G815,O_Stok!$A$6:$A$85,0)),0)))</f>
        <v/>
      </c>
      <c r="M815" s="11" t="str">
        <f aca="false">IF(H815="","",J815-L815)</f>
        <v/>
      </c>
      <c r="N815" s="34" t="str">
        <f aca="false">IF(G815="","",IFERROR(INDEX(I_Master!$B$6:$B$85,MATCH(G815,I_Master!$A$6:$A$85,0)),"?"))</f>
        <v/>
      </c>
      <c r="O815" s="34" t="str">
        <f aca="false">IF(G815="","",IFERROR(INDEX(I_Master!$E$6:$E$85,MATCH(G815,I_Master!$A$6:$A$85,0)),"?"))</f>
        <v/>
      </c>
      <c r="P815" s="46" t="str">
        <f aca="false">IF(H815="","",IF(OR(A815&lt;I_Parameter!$C$5,A815&gt;I_Parameter!$C$6),0,IF(B815="Aktual",1,IF(AND(B815="Order",A815&gt;=I_Parameter!$C$4),1,0))))</f>
        <v/>
      </c>
    </row>
    <row r="816" customFormat="false" ht="15" hidden="false" customHeight="false" outlineLevel="0" collapsed="false">
      <c r="A816" s="37"/>
      <c r="B816" s="44"/>
      <c r="C816" s="44"/>
      <c r="D816" s="44"/>
      <c r="E816" s="44"/>
      <c r="F816" s="44"/>
      <c r="G816" s="34" t="str">
        <f aca="false">IF(F816&lt;&gt;"",F816,IF(E816="","",IFERROR(INDEX(I_Item!$C$6:$C$255,MATCH(E816,I_Item!$A$6:$A$255,0)),"KODE BARU")))</f>
        <v/>
      </c>
      <c r="H816" s="45"/>
      <c r="I816" s="42"/>
      <c r="J816" s="11" t="str">
        <f aca="false">IF(H816="","",H816*I816)</f>
        <v/>
      </c>
      <c r="K816" s="42"/>
      <c r="L816" s="11" t="str">
        <f aca="false">IF(H816="","",IF(K816&lt;&gt;"",K816,H816*IFERROR(INDEX(O_Stok!$Q$6:$Q$85,MATCH(G816,O_Stok!$A$6:$A$85,0)),0)))</f>
        <v/>
      </c>
      <c r="M816" s="11" t="str">
        <f aca="false">IF(H816="","",J816-L816)</f>
        <v/>
      </c>
      <c r="N816" s="34" t="str">
        <f aca="false">IF(G816="","",IFERROR(INDEX(I_Master!$B$6:$B$85,MATCH(G816,I_Master!$A$6:$A$85,0)),"?"))</f>
        <v/>
      </c>
      <c r="O816" s="34" t="str">
        <f aca="false">IF(G816="","",IFERROR(INDEX(I_Master!$E$6:$E$85,MATCH(G816,I_Master!$A$6:$A$85,0)),"?"))</f>
        <v/>
      </c>
      <c r="P816" s="46" t="str">
        <f aca="false">IF(H816="","",IF(OR(A816&lt;I_Parameter!$C$5,A816&gt;I_Parameter!$C$6),0,IF(B816="Aktual",1,IF(AND(B816="Order",A816&gt;=I_Parameter!$C$4),1,0))))</f>
        <v/>
      </c>
    </row>
    <row r="817" customFormat="false" ht="15" hidden="false" customHeight="false" outlineLevel="0" collapsed="false">
      <c r="A817" s="37"/>
      <c r="B817" s="44"/>
      <c r="C817" s="44"/>
      <c r="D817" s="44"/>
      <c r="E817" s="44"/>
      <c r="F817" s="44"/>
      <c r="G817" s="34" t="str">
        <f aca="false">IF(F817&lt;&gt;"",F817,IF(E817="","",IFERROR(INDEX(I_Item!$C$6:$C$255,MATCH(E817,I_Item!$A$6:$A$255,0)),"KODE BARU")))</f>
        <v/>
      </c>
      <c r="H817" s="45"/>
      <c r="I817" s="42"/>
      <c r="J817" s="11" t="str">
        <f aca="false">IF(H817="","",H817*I817)</f>
        <v/>
      </c>
      <c r="K817" s="42"/>
      <c r="L817" s="11" t="str">
        <f aca="false">IF(H817="","",IF(K817&lt;&gt;"",K817,H817*IFERROR(INDEX(O_Stok!$Q$6:$Q$85,MATCH(G817,O_Stok!$A$6:$A$85,0)),0)))</f>
        <v/>
      </c>
      <c r="M817" s="11" t="str">
        <f aca="false">IF(H817="","",J817-L817)</f>
        <v/>
      </c>
      <c r="N817" s="34" t="str">
        <f aca="false">IF(G817="","",IFERROR(INDEX(I_Master!$B$6:$B$85,MATCH(G817,I_Master!$A$6:$A$85,0)),"?"))</f>
        <v/>
      </c>
      <c r="O817" s="34" t="str">
        <f aca="false">IF(G817="","",IFERROR(INDEX(I_Master!$E$6:$E$85,MATCH(G817,I_Master!$A$6:$A$85,0)),"?"))</f>
        <v/>
      </c>
      <c r="P817" s="46" t="str">
        <f aca="false">IF(H817="","",IF(OR(A817&lt;I_Parameter!$C$5,A817&gt;I_Parameter!$C$6),0,IF(B817="Aktual",1,IF(AND(B817="Order",A817&gt;=I_Parameter!$C$4),1,0))))</f>
        <v/>
      </c>
    </row>
    <row r="818" customFormat="false" ht="15" hidden="false" customHeight="false" outlineLevel="0" collapsed="false">
      <c r="A818" s="37"/>
      <c r="B818" s="44"/>
      <c r="C818" s="44"/>
      <c r="D818" s="44"/>
      <c r="E818" s="44"/>
      <c r="F818" s="44"/>
      <c r="G818" s="34" t="str">
        <f aca="false">IF(F818&lt;&gt;"",F818,IF(E818="","",IFERROR(INDEX(I_Item!$C$6:$C$255,MATCH(E818,I_Item!$A$6:$A$255,0)),"KODE BARU")))</f>
        <v/>
      </c>
      <c r="H818" s="45"/>
      <c r="I818" s="42"/>
      <c r="J818" s="11" t="str">
        <f aca="false">IF(H818="","",H818*I818)</f>
        <v/>
      </c>
      <c r="K818" s="42"/>
      <c r="L818" s="11" t="str">
        <f aca="false">IF(H818="","",IF(K818&lt;&gt;"",K818,H818*IFERROR(INDEX(O_Stok!$Q$6:$Q$85,MATCH(G818,O_Stok!$A$6:$A$85,0)),0)))</f>
        <v/>
      </c>
      <c r="M818" s="11" t="str">
        <f aca="false">IF(H818="","",J818-L818)</f>
        <v/>
      </c>
      <c r="N818" s="34" t="str">
        <f aca="false">IF(G818="","",IFERROR(INDEX(I_Master!$B$6:$B$85,MATCH(G818,I_Master!$A$6:$A$85,0)),"?"))</f>
        <v/>
      </c>
      <c r="O818" s="34" t="str">
        <f aca="false">IF(G818="","",IFERROR(INDEX(I_Master!$E$6:$E$85,MATCH(G818,I_Master!$A$6:$A$85,0)),"?"))</f>
        <v/>
      </c>
      <c r="P818" s="46" t="str">
        <f aca="false">IF(H818="","",IF(OR(A818&lt;I_Parameter!$C$5,A818&gt;I_Parameter!$C$6),0,IF(B818="Aktual",1,IF(AND(B818="Order",A818&gt;=I_Parameter!$C$4),1,0))))</f>
        <v/>
      </c>
    </row>
    <row r="819" customFormat="false" ht="15" hidden="false" customHeight="false" outlineLevel="0" collapsed="false">
      <c r="A819" s="37"/>
      <c r="B819" s="44"/>
      <c r="C819" s="44"/>
      <c r="D819" s="44"/>
      <c r="E819" s="44"/>
      <c r="F819" s="44"/>
      <c r="G819" s="34" t="str">
        <f aca="false">IF(F819&lt;&gt;"",F819,IF(E819="","",IFERROR(INDEX(I_Item!$C$6:$C$255,MATCH(E819,I_Item!$A$6:$A$255,0)),"KODE BARU")))</f>
        <v/>
      </c>
      <c r="H819" s="45"/>
      <c r="I819" s="42"/>
      <c r="J819" s="11" t="str">
        <f aca="false">IF(H819="","",H819*I819)</f>
        <v/>
      </c>
      <c r="K819" s="42"/>
      <c r="L819" s="11" t="str">
        <f aca="false">IF(H819="","",IF(K819&lt;&gt;"",K819,H819*IFERROR(INDEX(O_Stok!$Q$6:$Q$85,MATCH(G819,O_Stok!$A$6:$A$85,0)),0)))</f>
        <v/>
      </c>
      <c r="M819" s="11" t="str">
        <f aca="false">IF(H819="","",J819-L819)</f>
        <v/>
      </c>
      <c r="N819" s="34" t="str">
        <f aca="false">IF(G819="","",IFERROR(INDEX(I_Master!$B$6:$B$85,MATCH(G819,I_Master!$A$6:$A$85,0)),"?"))</f>
        <v/>
      </c>
      <c r="O819" s="34" t="str">
        <f aca="false">IF(G819="","",IFERROR(INDEX(I_Master!$E$6:$E$85,MATCH(G819,I_Master!$A$6:$A$85,0)),"?"))</f>
        <v/>
      </c>
      <c r="P819" s="46" t="str">
        <f aca="false">IF(H819="","",IF(OR(A819&lt;I_Parameter!$C$5,A819&gt;I_Parameter!$C$6),0,IF(B819="Aktual",1,IF(AND(B819="Order",A819&gt;=I_Parameter!$C$4),1,0))))</f>
        <v/>
      </c>
    </row>
    <row r="820" customFormat="false" ht="15" hidden="false" customHeight="false" outlineLevel="0" collapsed="false">
      <c r="A820" s="37"/>
      <c r="B820" s="44"/>
      <c r="C820" s="44"/>
      <c r="D820" s="44"/>
      <c r="E820" s="44"/>
      <c r="F820" s="44"/>
      <c r="G820" s="34" t="str">
        <f aca="false">IF(F820&lt;&gt;"",F820,IF(E820="","",IFERROR(INDEX(I_Item!$C$6:$C$255,MATCH(E820,I_Item!$A$6:$A$255,0)),"KODE BARU")))</f>
        <v/>
      </c>
      <c r="H820" s="45"/>
      <c r="I820" s="42"/>
      <c r="J820" s="11" t="str">
        <f aca="false">IF(H820="","",H820*I820)</f>
        <v/>
      </c>
      <c r="K820" s="42"/>
      <c r="L820" s="11" t="str">
        <f aca="false">IF(H820="","",IF(K820&lt;&gt;"",K820,H820*IFERROR(INDEX(O_Stok!$Q$6:$Q$85,MATCH(G820,O_Stok!$A$6:$A$85,0)),0)))</f>
        <v/>
      </c>
      <c r="M820" s="11" t="str">
        <f aca="false">IF(H820="","",J820-L820)</f>
        <v/>
      </c>
      <c r="N820" s="34" t="str">
        <f aca="false">IF(G820="","",IFERROR(INDEX(I_Master!$B$6:$B$85,MATCH(G820,I_Master!$A$6:$A$85,0)),"?"))</f>
        <v/>
      </c>
      <c r="O820" s="34" t="str">
        <f aca="false">IF(G820="","",IFERROR(INDEX(I_Master!$E$6:$E$85,MATCH(G820,I_Master!$A$6:$A$85,0)),"?"))</f>
        <v/>
      </c>
      <c r="P820" s="46" t="str">
        <f aca="false">IF(H820="","",IF(OR(A820&lt;I_Parameter!$C$5,A820&gt;I_Parameter!$C$6),0,IF(B820="Aktual",1,IF(AND(B820="Order",A820&gt;=I_Parameter!$C$4),1,0))))</f>
        <v/>
      </c>
    </row>
    <row r="821" customFormat="false" ht="15" hidden="false" customHeight="false" outlineLevel="0" collapsed="false">
      <c r="A821" s="37"/>
      <c r="B821" s="44"/>
      <c r="C821" s="44"/>
      <c r="D821" s="44"/>
      <c r="E821" s="44"/>
      <c r="F821" s="44"/>
      <c r="G821" s="34" t="str">
        <f aca="false">IF(F821&lt;&gt;"",F821,IF(E821="","",IFERROR(INDEX(I_Item!$C$6:$C$255,MATCH(E821,I_Item!$A$6:$A$255,0)),"KODE BARU")))</f>
        <v/>
      </c>
      <c r="H821" s="45"/>
      <c r="I821" s="42"/>
      <c r="J821" s="11" t="str">
        <f aca="false">IF(H821="","",H821*I821)</f>
        <v/>
      </c>
      <c r="K821" s="42"/>
      <c r="L821" s="11" t="str">
        <f aca="false">IF(H821="","",IF(K821&lt;&gt;"",K821,H821*IFERROR(INDEX(O_Stok!$Q$6:$Q$85,MATCH(G821,O_Stok!$A$6:$A$85,0)),0)))</f>
        <v/>
      </c>
      <c r="M821" s="11" t="str">
        <f aca="false">IF(H821="","",J821-L821)</f>
        <v/>
      </c>
      <c r="N821" s="34" t="str">
        <f aca="false">IF(G821="","",IFERROR(INDEX(I_Master!$B$6:$B$85,MATCH(G821,I_Master!$A$6:$A$85,0)),"?"))</f>
        <v/>
      </c>
      <c r="O821" s="34" t="str">
        <f aca="false">IF(G821="","",IFERROR(INDEX(I_Master!$E$6:$E$85,MATCH(G821,I_Master!$A$6:$A$85,0)),"?"))</f>
        <v/>
      </c>
      <c r="P821" s="46" t="str">
        <f aca="false">IF(H821="","",IF(OR(A821&lt;I_Parameter!$C$5,A821&gt;I_Parameter!$C$6),0,IF(B821="Aktual",1,IF(AND(B821="Order",A821&gt;=I_Parameter!$C$4),1,0))))</f>
        <v/>
      </c>
    </row>
    <row r="822" customFormat="false" ht="15" hidden="false" customHeight="false" outlineLevel="0" collapsed="false">
      <c r="A822" s="37"/>
      <c r="B822" s="44"/>
      <c r="C822" s="44"/>
      <c r="D822" s="44"/>
      <c r="E822" s="44"/>
      <c r="F822" s="44"/>
      <c r="G822" s="34" t="str">
        <f aca="false">IF(F822&lt;&gt;"",F822,IF(E822="","",IFERROR(INDEX(I_Item!$C$6:$C$255,MATCH(E822,I_Item!$A$6:$A$255,0)),"KODE BARU")))</f>
        <v/>
      </c>
      <c r="H822" s="45"/>
      <c r="I822" s="42"/>
      <c r="J822" s="11" t="str">
        <f aca="false">IF(H822="","",H822*I822)</f>
        <v/>
      </c>
      <c r="K822" s="42"/>
      <c r="L822" s="11" t="str">
        <f aca="false">IF(H822="","",IF(K822&lt;&gt;"",K822,H822*IFERROR(INDEX(O_Stok!$Q$6:$Q$85,MATCH(G822,O_Stok!$A$6:$A$85,0)),0)))</f>
        <v/>
      </c>
      <c r="M822" s="11" t="str">
        <f aca="false">IF(H822="","",J822-L822)</f>
        <v/>
      </c>
      <c r="N822" s="34" t="str">
        <f aca="false">IF(G822="","",IFERROR(INDEX(I_Master!$B$6:$B$85,MATCH(G822,I_Master!$A$6:$A$85,0)),"?"))</f>
        <v/>
      </c>
      <c r="O822" s="34" t="str">
        <f aca="false">IF(G822="","",IFERROR(INDEX(I_Master!$E$6:$E$85,MATCH(G822,I_Master!$A$6:$A$85,0)),"?"))</f>
        <v/>
      </c>
      <c r="P822" s="46" t="str">
        <f aca="false">IF(H822="","",IF(OR(A822&lt;I_Parameter!$C$5,A822&gt;I_Parameter!$C$6),0,IF(B822="Aktual",1,IF(AND(B822="Order",A822&gt;=I_Parameter!$C$4),1,0))))</f>
        <v/>
      </c>
    </row>
    <row r="823" customFormat="false" ht="15" hidden="false" customHeight="false" outlineLevel="0" collapsed="false">
      <c r="A823" s="37"/>
      <c r="B823" s="44"/>
      <c r="C823" s="44"/>
      <c r="D823" s="44"/>
      <c r="E823" s="44"/>
      <c r="F823" s="44"/>
      <c r="G823" s="34" t="str">
        <f aca="false">IF(F823&lt;&gt;"",F823,IF(E823="","",IFERROR(INDEX(I_Item!$C$6:$C$255,MATCH(E823,I_Item!$A$6:$A$255,0)),"KODE BARU")))</f>
        <v/>
      </c>
      <c r="H823" s="45"/>
      <c r="I823" s="42"/>
      <c r="J823" s="11" t="str">
        <f aca="false">IF(H823="","",H823*I823)</f>
        <v/>
      </c>
      <c r="K823" s="42"/>
      <c r="L823" s="11" t="str">
        <f aca="false">IF(H823="","",IF(K823&lt;&gt;"",K823,H823*IFERROR(INDEX(O_Stok!$Q$6:$Q$85,MATCH(G823,O_Stok!$A$6:$A$85,0)),0)))</f>
        <v/>
      </c>
      <c r="M823" s="11" t="str">
        <f aca="false">IF(H823="","",J823-L823)</f>
        <v/>
      </c>
      <c r="N823" s="34" t="str">
        <f aca="false">IF(G823="","",IFERROR(INDEX(I_Master!$B$6:$B$85,MATCH(G823,I_Master!$A$6:$A$85,0)),"?"))</f>
        <v/>
      </c>
      <c r="O823" s="34" t="str">
        <f aca="false">IF(G823="","",IFERROR(INDEX(I_Master!$E$6:$E$85,MATCH(G823,I_Master!$A$6:$A$85,0)),"?"))</f>
        <v/>
      </c>
      <c r="P823" s="46" t="str">
        <f aca="false">IF(H823="","",IF(OR(A823&lt;I_Parameter!$C$5,A823&gt;I_Parameter!$C$6),0,IF(B823="Aktual",1,IF(AND(B823="Order",A823&gt;=I_Parameter!$C$4),1,0))))</f>
        <v/>
      </c>
    </row>
    <row r="824" customFormat="false" ht="15" hidden="false" customHeight="false" outlineLevel="0" collapsed="false">
      <c r="A824" s="37"/>
      <c r="B824" s="44"/>
      <c r="C824" s="44"/>
      <c r="D824" s="44"/>
      <c r="E824" s="44"/>
      <c r="F824" s="44"/>
      <c r="G824" s="34" t="str">
        <f aca="false">IF(F824&lt;&gt;"",F824,IF(E824="","",IFERROR(INDEX(I_Item!$C$6:$C$255,MATCH(E824,I_Item!$A$6:$A$255,0)),"KODE BARU")))</f>
        <v/>
      </c>
      <c r="H824" s="45"/>
      <c r="I824" s="42"/>
      <c r="J824" s="11" t="str">
        <f aca="false">IF(H824="","",H824*I824)</f>
        <v/>
      </c>
      <c r="K824" s="42"/>
      <c r="L824" s="11" t="str">
        <f aca="false">IF(H824="","",IF(K824&lt;&gt;"",K824,H824*IFERROR(INDEX(O_Stok!$Q$6:$Q$85,MATCH(G824,O_Stok!$A$6:$A$85,0)),0)))</f>
        <v/>
      </c>
      <c r="M824" s="11" t="str">
        <f aca="false">IF(H824="","",J824-L824)</f>
        <v/>
      </c>
      <c r="N824" s="34" t="str">
        <f aca="false">IF(G824="","",IFERROR(INDEX(I_Master!$B$6:$B$85,MATCH(G824,I_Master!$A$6:$A$85,0)),"?"))</f>
        <v/>
      </c>
      <c r="O824" s="34" t="str">
        <f aca="false">IF(G824="","",IFERROR(INDEX(I_Master!$E$6:$E$85,MATCH(G824,I_Master!$A$6:$A$85,0)),"?"))</f>
        <v/>
      </c>
      <c r="P824" s="46" t="str">
        <f aca="false">IF(H824="","",IF(OR(A824&lt;I_Parameter!$C$5,A824&gt;I_Parameter!$C$6),0,IF(B824="Aktual",1,IF(AND(B824="Order",A824&gt;=I_Parameter!$C$4),1,0))))</f>
        <v/>
      </c>
    </row>
    <row r="825" customFormat="false" ht="15" hidden="false" customHeight="false" outlineLevel="0" collapsed="false">
      <c r="A825" s="37"/>
      <c r="B825" s="44"/>
      <c r="C825" s="44"/>
      <c r="D825" s="44"/>
      <c r="E825" s="44"/>
      <c r="F825" s="44"/>
      <c r="G825" s="34" t="str">
        <f aca="false">IF(F825&lt;&gt;"",F825,IF(E825="","",IFERROR(INDEX(I_Item!$C$6:$C$255,MATCH(E825,I_Item!$A$6:$A$255,0)),"KODE BARU")))</f>
        <v/>
      </c>
      <c r="H825" s="45"/>
      <c r="I825" s="42"/>
      <c r="J825" s="11" t="str">
        <f aca="false">IF(H825="","",H825*I825)</f>
        <v/>
      </c>
      <c r="K825" s="42"/>
      <c r="L825" s="11" t="str">
        <f aca="false">IF(H825="","",IF(K825&lt;&gt;"",K825,H825*IFERROR(INDEX(O_Stok!$Q$6:$Q$85,MATCH(G825,O_Stok!$A$6:$A$85,0)),0)))</f>
        <v/>
      </c>
      <c r="M825" s="11" t="str">
        <f aca="false">IF(H825="","",J825-L825)</f>
        <v/>
      </c>
      <c r="N825" s="34" t="str">
        <f aca="false">IF(G825="","",IFERROR(INDEX(I_Master!$B$6:$B$85,MATCH(G825,I_Master!$A$6:$A$85,0)),"?"))</f>
        <v/>
      </c>
      <c r="O825" s="34" t="str">
        <f aca="false">IF(G825="","",IFERROR(INDEX(I_Master!$E$6:$E$85,MATCH(G825,I_Master!$A$6:$A$85,0)),"?"))</f>
        <v/>
      </c>
      <c r="P825" s="46" t="str">
        <f aca="false">IF(H825="","",IF(OR(A825&lt;I_Parameter!$C$5,A825&gt;I_Parameter!$C$6),0,IF(B825="Aktual",1,IF(AND(B825="Order",A825&gt;=I_Parameter!$C$4),1,0))))</f>
        <v/>
      </c>
    </row>
    <row r="826" customFormat="false" ht="15" hidden="false" customHeight="false" outlineLevel="0" collapsed="false">
      <c r="A826" s="37"/>
      <c r="B826" s="44"/>
      <c r="C826" s="44"/>
      <c r="D826" s="44"/>
      <c r="E826" s="44"/>
      <c r="F826" s="44"/>
      <c r="G826" s="34" t="str">
        <f aca="false">IF(F826&lt;&gt;"",F826,IF(E826="","",IFERROR(INDEX(I_Item!$C$6:$C$255,MATCH(E826,I_Item!$A$6:$A$255,0)),"KODE BARU")))</f>
        <v/>
      </c>
      <c r="H826" s="45"/>
      <c r="I826" s="42"/>
      <c r="J826" s="11" t="str">
        <f aca="false">IF(H826="","",H826*I826)</f>
        <v/>
      </c>
      <c r="K826" s="42"/>
      <c r="L826" s="11" t="str">
        <f aca="false">IF(H826="","",IF(K826&lt;&gt;"",K826,H826*IFERROR(INDEX(O_Stok!$Q$6:$Q$85,MATCH(G826,O_Stok!$A$6:$A$85,0)),0)))</f>
        <v/>
      </c>
      <c r="M826" s="11" t="str">
        <f aca="false">IF(H826="","",J826-L826)</f>
        <v/>
      </c>
      <c r="N826" s="34" t="str">
        <f aca="false">IF(G826="","",IFERROR(INDEX(I_Master!$B$6:$B$85,MATCH(G826,I_Master!$A$6:$A$85,0)),"?"))</f>
        <v/>
      </c>
      <c r="O826" s="34" t="str">
        <f aca="false">IF(G826="","",IFERROR(INDEX(I_Master!$E$6:$E$85,MATCH(G826,I_Master!$A$6:$A$85,0)),"?"))</f>
        <v/>
      </c>
      <c r="P826" s="46" t="str">
        <f aca="false">IF(H826="","",IF(OR(A826&lt;I_Parameter!$C$5,A826&gt;I_Parameter!$C$6),0,IF(B826="Aktual",1,IF(AND(B826="Order",A826&gt;=I_Parameter!$C$4),1,0))))</f>
        <v/>
      </c>
    </row>
    <row r="827" customFormat="false" ht="15" hidden="false" customHeight="false" outlineLevel="0" collapsed="false">
      <c r="A827" s="37"/>
      <c r="B827" s="44"/>
      <c r="C827" s="44"/>
      <c r="D827" s="44"/>
      <c r="E827" s="44"/>
      <c r="F827" s="44"/>
      <c r="G827" s="34" t="str">
        <f aca="false">IF(F827&lt;&gt;"",F827,IF(E827="","",IFERROR(INDEX(I_Item!$C$6:$C$255,MATCH(E827,I_Item!$A$6:$A$255,0)),"KODE BARU")))</f>
        <v/>
      </c>
      <c r="H827" s="45"/>
      <c r="I827" s="42"/>
      <c r="J827" s="11" t="str">
        <f aca="false">IF(H827="","",H827*I827)</f>
        <v/>
      </c>
      <c r="K827" s="42"/>
      <c r="L827" s="11" t="str">
        <f aca="false">IF(H827="","",IF(K827&lt;&gt;"",K827,H827*IFERROR(INDEX(O_Stok!$Q$6:$Q$85,MATCH(G827,O_Stok!$A$6:$A$85,0)),0)))</f>
        <v/>
      </c>
      <c r="M827" s="11" t="str">
        <f aca="false">IF(H827="","",J827-L827)</f>
        <v/>
      </c>
      <c r="N827" s="34" t="str">
        <f aca="false">IF(G827="","",IFERROR(INDEX(I_Master!$B$6:$B$85,MATCH(G827,I_Master!$A$6:$A$85,0)),"?"))</f>
        <v/>
      </c>
      <c r="O827" s="34" t="str">
        <f aca="false">IF(G827="","",IFERROR(INDEX(I_Master!$E$6:$E$85,MATCH(G827,I_Master!$A$6:$A$85,0)),"?"))</f>
        <v/>
      </c>
      <c r="P827" s="46" t="str">
        <f aca="false">IF(H827="","",IF(OR(A827&lt;I_Parameter!$C$5,A827&gt;I_Parameter!$C$6),0,IF(B827="Aktual",1,IF(AND(B827="Order",A827&gt;=I_Parameter!$C$4),1,0))))</f>
        <v/>
      </c>
    </row>
    <row r="828" customFormat="false" ht="15" hidden="false" customHeight="false" outlineLevel="0" collapsed="false">
      <c r="A828" s="37"/>
      <c r="B828" s="44"/>
      <c r="C828" s="44"/>
      <c r="D828" s="44"/>
      <c r="E828" s="44"/>
      <c r="F828" s="44"/>
      <c r="G828" s="34" t="str">
        <f aca="false">IF(F828&lt;&gt;"",F828,IF(E828="","",IFERROR(INDEX(I_Item!$C$6:$C$255,MATCH(E828,I_Item!$A$6:$A$255,0)),"KODE BARU")))</f>
        <v/>
      </c>
      <c r="H828" s="45"/>
      <c r="I828" s="42"/>
      <c r="J828" s="11" t="str">
        <f aca="false">IF(H828="","",H828*I828)</f>
        <v/>
      </c>
      <c r="K828" s="42"/>
      <c r="L828" s="11" t="str">
        <f aca="false">IF(H828="","",IF(K828&lt;&gt;"",K828,H828*IFERROR(INDEX(O_Stok!$Q$6:$Q$85,MATCH(G828,O_Stok!$A$6:$A$85,0)),0)))</f>
        <v/>
      </c>
      <c r="M828" s="11" t="str">
        <f aca="false">IF(H828="","",J828-L828)</f>
        <v/>
      </c>
      <c r="N828" s="34" t="str">
        <f aca="false">IF(G828="","",IFERROR(INDEX(I_Master!$B$6:$B$85,MATCH(G828,I_Master!$A$6:$A$85,0)),"?"))</f>
        <v/>
      </c>
      <c r="O828" s="34" t="str">
        <f aca="false">IF(G828="","",IFERROR(INDEX(I_Master!$E$6:$E$85,MATCH(G828,I_Master!$A$6:$A$85,0)),"?"))</f>
        <v/>
      </c>
      <c r="P828" s="46" t="str">
        <f aca="false">IF(H828="","",IF(OR(A828&lt;I_Parameter!$C$5,A828&gt;I_Parameter!$C$6),0,IF(B828="Aktual",1,IF(AND(B828="Order",A828&gt;=I_Parameter!$C$4),1,0))))</f>
        <v/>
      </c>
    </row>
    <row r="829" customFormat="false" ht="15" hidden="false" customHeight="false" outlineLevel="0" collapsed="false">
      <c r="A829" s="37"/>
      <c r="B829" s="44"/>
      <c r="C829" s="44"/>
      <c r="D829" s="44"/>
      <c r="E829" s="44"/>
      <c r="F829" s="44"/>
      <c r="G829" s="34" t="str">
        <f aca="false">IF(F829&lt;&gt;"",F829,IF(E829="","",IFERROR(INDEX(I_Item!$C$6:$C$255,MATCH(E829,I_Item!$A$6:$A$255,0)),"KODE BARU")))</f>
        <v/>
      </c>
      <c r="H829" s="45"/>
      <c r="I829" s="42"/>
      <c r="J829" s="11" t="str">
        <f aca="false">IF(H829="","",H829*I829)</f>
        <v/>
      </c>
      <c r="K829" s="42"/>
      <c r="L829" s="11" t="str">
        <f aca="false">IF(H829="","",IF(K829&lt;&gt;"",K829,H829*IFERROR(INDEX(O_Stok!$Q$6:$Q$85,MATCH(G829,O_Stok!$A$6:$A$85,0)),0)))</f>
        <v/>
      </c>
      <c r="M829" s="11" t="str">
        <f aca="false">IF(H829="","",J829-L829)</f>
        <v/>
      </c>
      <c r="N829" s="34" t="str">
        <f aca="false">IF(G829="","",IFERROR(INDEX(I_Master!$B$6:$B$85,MATCH(G829,I_Master!$A$6:$A$85,0)),"?"))</f>
        <v/>
      </c>
      <c r="O829" s="34" t="str">
        <f aca="false">IF(G829="","",IFERROR(INDEX(I_Master!$E$6:$E$85,MATCH(G829,I_Master!$A$6:$A$85,0)),"?"))</f>
        <v/>
      </c>
      <c r="P829" s="46" t="str">
        <f aca="false">IF(H829="","",IF(OR(A829&lt;I_Parameter!$C$5,A829&gt;I_Parameter!$C$6),0,IF(B829="Aktual",1,IF(AND(B829="Order",A829&gt;=I_Parameter!$C$4),1,0))))</f>
        <v/>
      </c>
    </row>
    <row r="830" customFormat="false" ht="15" hidden="false" customHeight="false" outlineLevel="0" collapsed="false">
      <c r="A830" s="37"/>
      <c r="B830" s="44"/>
      <c r="C830" s="44"/>
      <c r="D830" s="44"/>
      <c r="E830" s="44"/>
      <c r="F830" s="44"/>
      <c r="G830" s="34" t="str">
        <f aca="false">IF(F830&lt;&gt;"",F830,IF(E830="","",IFERROR(INDEX(I_Item!$C$6:$C$255,MATCH(E830,I_Item!$A$6:$A$255,0)),"KODE BARU")))</f>
        <v/>
      </c>
      <c r="H830" s="45"/>
      <c r="I830" s="42"/>
      <c r="J830" s="11" t="str">
        <f aca="false">IF(H830="","",H830*I830)</f>
        <v/>
      </c>
      <c r="K830" s="42"/>
      <c r="L830" s="11" t="str">
        <f aca="false">IF(H830="","",IF(K830&lt;&gt;"",K830,H830*IFERROR(INDEX(O_Stok!$Q$6:$Q$85,MATCH(G830,O_Stok!$A$6:$A$85,0)),0)))</f>
        <v/>
      </c>
      <c r="M830" s="11" t="str">
        <f aca="false">IF(H830="","",J830-L830)</f>
        <v/>
      </c>
      <c r="N830" s="34" t="str">
        <f aca="false">IF(G830="","",IFERROR(INDEX(I_Master!$B$6:$B$85,MATCH(G830,I_Master!$A$6:$A$85,0)),"?"))</f>
        <v/>
      </c>
      <c r="O830" s="34" t="str">
        <f aca="false">IF(G830="","",IFERROR(INDEX(I_Master!$E$6:$E$85,MATCH(G830,I_Master!$A$6:$A$85,0)),"?"))</f>
        <v/>
      </c>
      <c r="P830" s="46" t="str">
        <f aca="false">IF(H830="","",IF(OR(A830&lt;I_Parameter!$C$5,A830&gt;I_Parameter!$C$6),0,IF(B830="Aktual",1,IF(AND(B830="Order",A830&gt;=I_Parameter!$C$4),1,0))))</f>
        <v/>
      </c>
    </row>
    <row r="831" customFormat="false" ht="15" hidden="false" customHeight="false" outlineLevel="0" collapsed="false">
      <c r="A831" s="37"/>
      <c r="B831" s="44"/>
      <c r="C831" s="44"/>
      <c r="D831" s="44"/>
      <c r="E831" s="44"/>
      <c r="F831" s="44"/>
      <c r="G831" s="34" t="str">
        <f aca="false">IF(F831&lt;&gt;"",F831,IF(E831="","",IFERROR(INDEX(I_Item!$C$6:$C$255,MATCH(E831,I_Item!$A$6:$A$255,0)),"KODE BARU")))</f>
        <v/>
      </c>
      <c r="H831" s="45"/>
      <c r="I831" s="42"/>
      <c r="J831" s="11" t="str">
        <f aca="false">IF(H831="","",H831*I831)</f>
        <v/>
      </c>
      <c r="K831" s="42"/>
      <c r="L831" s="11" t="str">
        <f aca="false">IF(H831="","",IF(K831&lt;&gt;"",K831,H831*IFERROR(INDEX(O_Stok!$Q$6:$Q$85,MATCH(G831,O_Stok!$A$6:$A$85,0)),0)))</f>
        <v/>
      </c>
      <c r="M831" s="11" t="str">
        <f aca="false">IF(H831="","",J831-L831)</f>
        <v/>
      </c>
      <c r="N831" s="34" t="str">
        <f aca="false">IF(G831="","",IFERROR(INDEX(I_Master!$B$6:$B$85,MATCH(G831,I_Master!$A$6:$A$85,0)),"?"))</f>
        <v/>
      </c>
      <c r="O831" s="34" t="str">
        <f aca="false">IF(G831="","",IFERROR(INDEX(I_Master!$E$6:$E$85,MATCH(G831,I_Master!$A$6:$A$85,0)),"?"))</f>
        <v/>
      </c>
      <c r="P831" s="46" t="str">
        <f aca="false">IF(H831="","",IF(OR(A831&lt;I_Parameter!$C$5,A831&gt;I_Parameter!$C$6),0,IF(B831="Aktual",1,IF(AND(B831="Order",A831&gt;=I_Parameter!$C$4),1,0))))</f>
        <v/>
      </c>
    </row>
    <row r="832" customFormat="false" ht="15" hidden="false" customHeight="false" outlineLevel="0" collapsed="false">
      <c r="A832" s="37"/>
      <c r="B832" s="44"/>
      <c r="C832" s="44"/>
      <c r="D832" s="44"/>
      <c r="E832" s="44"/>
      <c r="F832" s="44"/>
      <c r="G832" s="34" t="str">
        <f aca="false">IF(F832&lt;&gt;"",F832,IF(E832="","",IFERROR(INDEX(I_Item!$C$6:$C$255,MATCH(E832,I_Item!$A$6:$A$255,0)),"KODE BARU")))</f>
        <v/>
      </c>
      <c r="H832" s="45"/>
      <c r="I832" s="42"/>
      <c r="J832" s="11" t="str">
        <f aca="false">IF(H832="","",H832*I832)</f>
        <v/>
      </c>
      <c r="K832" s="42"/>
      <c r="L832" s="11" t="str">
        <f aca="false">IF(H832="","",IF(K832&lt;&gt;"",K832,H832*IFERROR(INDEX(O_Stok!$Q$6:$Q$85,MATCH(G832,O_Stok!$A$6:$A$85,0)),0)))</f>
        <v/>
      </c>
      <c r="M832" s="11" t="str">
        <f aca="false">IF(H832="","",J832-L832)</f>
        <v/>
      </c>
      <c r="N832" s="34" t="str">
        <f aca="false">IF(G832="","",IFERROR(INDEX(I_Master!$B$6:$B$85,MATCH(G832,I_Master!$A$6:$A$85,0)),"?"))</f>
        <v/>
      </c>
      <c r="O832" s="34" t="str">
        <f aca="false">IF(G832="","",IFERROR(INDEX(I_Master!$E$6:$E$85,MATCH(G832,I_Master!$A$6:$A$85,0)),"?"))</f>
        <v/>
      </c>
      <c r="P832" s="46" t="str">
        <f aca="false">IF(H832="","",IF(OR(A832&lt;I_Parameter!$C$5,A832&gt;I_Parameter!$C$6),0,IF(B832="Aktual",1,IF(AND(B832="Order",A832&gt;=I_Parameter!$C$4),1,0))))</f>
        <v/>
      </c>
    </row>
    <row r="833" customFormat="false" ht="15" hidden="false" customHeight="false" outlineLevel="0" collapsed="false">
      <c r="A833" s="37"/>
      <c r="B833" s="44"/>
      <c r="C833" s="44"/>
      <c r="D833" s="44"/>
      <c r="E833" s="44"/>
      <c r="F833" s="44"/>
      <c r="G833" s="34" t="str">
        <f aca="false">IF(F833&lt;&gt;"",F833,IF(E833="","",IFERROR(INDEX(I_Item!$C$6:$C$255,MATCH(E833,I_Item!$A$6:$A$255,0)),"KODE BARU")))</f>
        <v/>
      </c>
      <c r="H833" s="45"/>
      <c r="I833" s="42"/>
      <c r="J833" s="11" t="str">
        <f aca="false">IF(H833="","",H833*I833)</f>
        <v/>
      </c>
      <c r="K833" s="42"/>
      <c r="L833" s="11" t="str">
        <f aca="false">IF(H833="","",IF(K833&lt;&gt;"",K833,H833*IFERROR(INDEX(O_Stok!$Q$6:$Q$85,MATCH(G833,O_Stok!$A$6:$A$85,0)),0)))</f>
        <v/>
      </c>
      <c r="M833" s="11" t="str">
        <f aca="false">IF(H833="","",J833-L833)</f>
        <v/>
      </c>
      <c r="N833" s="34" t="str">
        <f aca="false">IF(G833="","",IFERROR(INDEX(I_Master!$B$6:$B$85,MATCH(G833,I_Master!$A$6:$A$85,0)),"?"))</f>
        <v/>
      </c>
      <c r="O833" s="34" t="str">
        <f aca="false">IF(G833="","",IFERROR(INDEX(I_Master!$E$6:$E$85,MATCH(G833,I_Master!$A$6:$A$85,0)),"?"))</f>
        <v/>
      </c>
      <c r="P833" s="46" t="str">
        <f aca="false">IF(H833="","",IF(OR(A833&lt;I_Parameter!$C$5,A833&gt;I_Parameter!$C$6),0,IF(B833="Aktual",1,IF(AND(B833="Order",A833&gt;=I_Parameter!$C$4),1,0))))</f>
        <v/>
      </c>
    </row>
    <row r="834" customFormat="false" ht="15" hidden="false" customHeight="false" outlineLevel="0" collapsed="false">
      <c r="A834" s="37"/>
      <c r="B834" s="44"/>
      <c r="C834" s="44"/>
      <c r="D834" s="44"/>
      <c r="E834" s="44"/>
      <c r="F834" s="44"/>
      <c r="G834" s="34" t="str">
        <f aca="false">IF(F834&lt;&gt;"",F834,IF(E834="","",IFERROR(INDEX(I_Item!$C$6:$C$255,MATCH(E834,I_Item!$A$6:$A$255,0)),"KODE BARU")))</f>
        <v/>
      </c>
      <c r="H834" s="45"/>
      <c r="I834" s="42"/>
      <c r="J834" s="11" t="str">
        <f aca="false">IF(H834="","",H834*I834)</f>
        <v/>
      </c>
      <c r="K834" s="42"/>
      <c r="L834" s="11" t="str">
        <f aca="false">IF(H834="","",IF(K834&lt;&gt;"",K834,H834*IFERROR(INDEX(O_Stok!$Q$6:$Q$85,MATCH(G834,O_Stok!$A$6:$A$85,0)),0)))</f>
        <v/>
      </c>
      <c r="M834" s="11" t="str">
        <f aca="false">IF(H834="","",J834-L834)</f>
        <v/>
      </c>
      <c r="N834" s="34" t="str">
        <f aca="false">IF(G834="","",IFERROR(INDEX(I_Master!$B$6:$B$85,MATCH(G834,I_Master!$A$6:$A$85,0)),"?"))</f>
        <v/>
      </c>
      <c r="O834" s="34" t="str">
        <f aca="false">IF(G834="","",IFERROR(INDEX(I_Master!$E$6:$E$85,MATCH(G834,I_Master!$A$6:$A$85,0)),"?"))</f>
        <v/>
      </c>
      <c r="P834" s="46" t="str">
        <f aca="false">IF(H834="","",IF(OR(A834&lt;I_Parameter!$C$5,A834&gt;I_Parameter!$C$6),0,IF(B834="Aktual",1,IF(AND(B834="Order",A834&gt;=I_Parameter!$C$4),1,0))))</f>
        <v/>
      </c>
    </row>
    <row r="835" customFormat="false" ht="15" hidden="false" customHeight="false" outlineLevel="0" collapsed="false">
      <c r="A835" s="37"/>
      <c r="B835" s="44"/>
      <c r="C835" s="44"/>
      <c r="D835" s="44"/>
      <c r="E835" s="44"/>
      <c r="F835" s="44"/>
      <c r="G835" s="34" t="str">
        <f aca="false">IF(F835&lt;&gt;"",F835,IF(E835="","",IFERROR(INDEX(I_Item!$C$6:$C$255,MATCH(E835,I_Item!$A$6:$A$255,0)),"KODE BARU")))</f>
        <v/>
      </c>
      <c r="H835" s="45"/>
      <c r="I835" s="42"/>
      <c r="J835" s="11" t="str">
        <f aca="false">IF(H835="","",H835*I835)</f>
        <v/>
      </c>
      <c r="K835" s="42"/>
      <c r="L835" s="11" t="str">
        <f aca="false">IF(H835="","",IF(K835&lt;&gt;"",K835,H835*IFERROR(INDEX(O_Stok!$Q$6:$Q$85,MATCH(G835,O_Stok!$A$6:$A$85,0)),0)))</f>
        <v/>
      </c>
      <c r="M835" s="11" t="str">
        <f aca="false">IF(H835="","",J835-L835)</f>
        <v/>
      </c>
      <c r="N835" s="34" t="str">
        <f aca="false">IF(G835="","",IFERROR(INDEX(I_Master!$B$6:$B$85,MATCH(G835,I_Master!$A$6:$A$85,0)),"?"))</f>
        <v/>
      </c>
      <c r="O835" s="34" t="str">
        <f aca="false">IF(G835="","",IFERROR(INDEX(I_Master!$E$6:$E$85,MATCH(G835,I_Master!$A$6:$A$85,0)),"?"))</f>
        <v/>
      </c>
      <c r="P835" s="46" t="str">
        <f aca="false">IF(H835="","",IF(OR(A835&lt;I_Parameter!$C$5,A835&gt;I_Parameter!$C$6),0,IF(B835="Aktual",1,IF(AND(B835="Order",A835&gt;=I_Parameter!$C$4),1,0))))</f>
        <v/>
      </c>
    </row>
    <row r="836" customFormat="false" ht="15" hidden="false" customHeight="false" outlineLevel="0" collapsed="false">
      <c r="A836" s="37"/>
      <c r="B836" s="44"/>
      <c r="C836" s="44"/>
      <c r="D836" s="44"/>
      <c r="E836" s="44"/>
      <c r="F836" s="44"/>
      <c r="G836" s="34" t="str">
        <f aca="false">IF(F836&lt;&gt;"",F836,IF(E836="","",IFERROR(INDEX(I_Item!$C$6:$C$255,MATCH(E836,I_Item!$A$6:$A$255,0)),"KODE BARU")))</f>
        <v/>
      </c>
      <c r="H836" s="45"/>
      <c r="I836" s="42"/>
      <c r="J836" s="11" t="str">
        <f aca="false">IF(H836="","",H836*I836)</f>
        <v/>
      </c>
      <c r="K836" s="42"/>
      <c r="L836" s="11" t="str">
        <f aca="false">IF(H836="","",IF(K836&lt;&gt;"",K836,H836*IFERROR(INDEX(O_Stok!$Q$6:$Q$85,MATCH(G836,O_Stok!$A$6:$A$85,0)),0)))</f>
        <v/>
      </c>
      <c r="M836" s="11" t="str">
        <f aca="false">IF(H836="","",J836-L836)</f>
        <v/>
      </c>
      <c r="N836" s="34" t="str">
        <f aca="false">IF(G836="","",IFERROR(INDEX(I_Master!$B$6:$B$85,MATCH(G836,I_Master!$A$6:$A$85,0)),"?"))</f>
        <v/>
      </c>
      <c r="O836" s="34" t="str">
        <f aca="false">IF(G836="","",IFERROR(INDEX(I_Master!$E$6:$E$85,MATCH(G836,I_Master!$A$6:$A$85,0)),"?"))</f>
        <v/>
      </c>
      <c r="P836" s="46" t="str">
        <f aca="false">IF(H836="","",IF(OR(A836&lt;I_Parameter!$C$5,A836&gt;I_Parameter!$C$6),0,IF(B836="Aktual",1,IF(AND(B836="Order",A836&gt;=I_Parameter!$C$4),1,0))))</f>
        <v/>
      </c>
    </row>
    <row r="837" customFormat="false" ht="15" hidden="false" customHeight="false" outlineLevel="0" collapsed="false">
      <c r="A837" s="37"/>
      <c r="B837" s="44"/>
      <c r="C837" s="44"/>
      <c r="D837" s="44"/>
      <c r="E837" s="44"/>
      <c r="F837" s="44"/>
      <c r="G837" s="34" t="str">
        <f aca="false">IF(F837&lt;&gt;"",F837,IF(E837="","",IFERROR(INDEX(I_Item!$C$6:$C$255,MATCH(E837,I_Item!$A$6:$A$255,0)),"KODE BARU")))</f>
        <v/>
      </c>
      <c r="H837" s="45"/>
      <c r="I837" s="42"/>
      <c r="J837" s="11" t="str">
        <f aca="false">IF(H837="","",H837*I837)</f>
        <v/>
      </c>
      <c r="K837" s="42"/>
      <c r="L837" s="11" t="str">
        <f aca="false">IF(H837="","",IF(K837&lt;&gt;"",K837,H837*IFERROR(INDEX(O_Stok!$Q$6:$Q$85,MATCH(G837,O_Stok!$A$6:$A$85,0)),0)))</f>
        <v/>
      </c>
      <c r="M837" s="11" t="str">
        <f aca="false">IF(H837="","",J837-L837)</f>
        <v/>
      </c>
      <c r="N837" s="34" t="str">
        <f aca="false">IF(G837="","",IFERROR(INDEX(I_Master!$B$6:$B$85,MATCH(G837,I_Master!$A$6:$A$85,0)),"?"))</f>
        <v/>
      </c>
      <c r="O837" s="34" t="str">
        <f aca="false">IF(G837="","",IFERROR(INDEX(I_Master!$E$6:$E$85,MATCH(G837,I_Master!$A$6:$A$85,0)),"?"))</f>
        <v/>
      </c>
      <c r="P837" s="46" t="str">
        <f aca="false">IF(H837="","",IF(OR(A837&lt;I_Parameter!$C$5,A837&gt;I_Parameter!$C$6),0,IF(B837="Aktual",1,IF(AND(B837="Order",A837&gt;=I_Parameter!$C$4),1,0))))</f>
        <v/>
      </c>
    </row>
    <row r="838" customFormat="false" ht="15" hidden="false" customHeight="false" outlineLevel="0" collapsed="false">
      <c r="A838" s="37"/>
      <c r="B838" s="44"/>
      <c r="C838" s="44"/>
      <c r="D838" s="44"/>
      <c r="E838" s="44"/>
      <c r="F838" s="44"/>
      <c r="G838" s="34" t="str">
        <f aca="false">IF(F838&lt;&gt;"",F838,IF(E838="","",IFERROR(INDEX(I_Item!$C$6:$C$255,MATCH(E838,I_Item!$A$6:$A$255,0)),"KODE BARU")))</f>
        <v/>
      </c>
      <c r="H838" s="45"/>
      <c r="I838" s="42"/>
      <c r="J838" s="11" t="str">
        <f aca="false">IF(H838="","",H838*I838)</f>
        <v/>
      </c>
      <c r="K838" s="42"/>
      <c r="L838" s="11" t="str">
        <f aca="false">IF(H838="","",IF(K838&lt;&gt;"",K838,H838*IFERROR(INDEX(O_Stok!$Q$6:$Q$85,MATCH(G838,O_Stok!$A$6:$A$85,0)),0)))</f>
        <v/>
      </c>
      <c r="M838" s="11" t="str">
        <f aca="false">IF(H838="","",J838-L838)</f>
        <v/>
      </c>
      <c r="N838" s="34" t="str">
        <f aca="false">IF(G838="","",IFERROR(INDEX(I_Master!$B$6:$B$85,MATCH(G838,I_Master!$A$6:$A$85,0)),"?"))</f>
        <v/>
      </c>
      <c r="O838" s="34" t="str">
        <f aca="false">IF(G838="","",IFERROR(INDEX(I_Master!$E$6:$E$85,MATCH(G838,I_Master!$A$6:$A$85,0)),"?"))</f>
        <v/>
      </c>
      <c r="P838" s="46" t="str">
        <f aca="false">IF(H838="","",IF(OR(A838&lt;I_Parameter!$C$5,A838&gt;I_Parameter!$C$6),0,IF(B838="Aktual",1,IF(AND(B838="Order",A838&gt;=I_Parameter!$C$4),1,0))))</f>
        <v/>
      </c>
    </row>
    <row r="839" customFormat="false" ht="15" hidden="false" customHeight="false" outlineLevel="0" collapsed="false">
      <c r="A839" s="37"/>
      <c r="B839" s="44"/>
      <c r="C839" s="44"/>
      <c r="D839" s="44"/>
      <c r="E839" s="44"/>
      <c r="F839" s="44"/>
      <c r="G839" s="34" t="str">
        <f aca="false">IF(F839&lt;&gt;"",F839,IF(E839="","",IFERROR(INDEX(I_Item!$C$6:$C$255,MATCH(E839,I_Item!$A$6:$A$255,0)),"KODE BARU")))</f>
        <v/>
      </c>
      <c r="H839" s="45"/>
      <c r="I839" s="42"/>
      <c r="J839" s="11" t="str">
        <f aca="false">IF(H839="","",H839*I839)</f>
        <v/>
      </c>
      <c r="K839" s="42"/>
      <c r="L839" s="11" t="str">
        <f aca="false">IF(H839="","",IF(K839&lt;&gt;"",K839,H839*IFERROR(INDEX(O_Stok!$Q$6:$Q$85,MATCH(G839,O_Stok!$A$6:$A$85,0)),0)))</f>
        <v/>
      </c>
      <c r="M839" s="11" t="str">
        <f aca="false">IF(H839="","",J839-L839)</f>
        <v/>
      </c>
      <c r="N839" s="34" t="str">
        <f aca="false">IF(G839="","",IFERROR(INDEX(I_Master!$B$6:$B$85,MATCH(G839,I_Master!$A$6:$A$85,0)),"?"))</f>
        <v/>
      </c>
      <c r="O839" s="34" t="str">
        <f aca="false">IF(G839="","",IFERROR(INDEX(I_Master!$E$6:$E$85,MATCH(G839,I_Master!$A$6:$A$85,0)),"?"))</f>
        <v/>
      </c>
      <c r="P839" s="46" t="str">
        <f aca="false">IF(H839="","",IF(OR(A839&lt;I_Parameter!$C$5,A839&gt;I_Parameter!$C$6),0,IF(B839="Aktual",1,IF(AND(B839="Order",A839&gt;=I_Parameter!$C$4),1,0))))</f>
        <v/>
      </c>
    </row>
    <row r="840" customFormat="false" ht="15" hidden="false" customHeight="false" outlineLevel="0" collapsed="false">
      <c r="A840" s="37"/>
      <c r="B840" s="44"/>
      <c r="C840" s="44"/>
      <c r="D840" s="44"/>
      <c r="E840" s="44"/>
      <c r="F840" s="44"/>
      <c r="G840" s="34" t="str">
        <f aca="false">IF(F840&lt;&gt;"",F840,IF(E840="","",IFERROR(INDEX(I_Item!$C$6:$C$255,MATCH(E840,I_Item!$A$6:$A$255,0)),"KODE BARU")))</f>
        <v/>
      </c>
      <c r="H840" s="45"/>
      <c r="I840" s="42"/>
      <c r="J840" s="11" t="str">
        <f aca="false">IF(H840="","",H840*I840)</f>
        <v/>
      </c>
      <c r="K840" s="42"/>
      <c r="L840" s="11" t="str">
        <f aca="false">IF(H840="","",IF(K840&lt;&gt;"",K840,H840*IFERROR(INDEX(O_Stok!$Q$6:$Q$85,MATCH(G840,O_Stok!$A$6:$A$85,0)),0)))</f>
        <v/>
      </c>
      <c r="M840" s="11" t="str">
        <f aca="false">IF(H840="","",J840-L840)</f>
        <v/>
      </c>
      <c r="N840" s="34" t="str">
        <f aca="false">IF(G840="","",IFERROR(INDEX(I_Master!$B$6:$B$85,MATCH(G840,I_Master!$A$6:$A$85,0)),"?"))</f>
        <v/>
      </c>
      <c r="O840" s="34" t="str">
        <f aca="false">IF(G840="","",IFERROR(INDEX(I_Master!$E$6:$E$85,MATCH(G840,I_Master!$A$6:$A$85,0)),"?"))</f>
        <v/>
      </c>
      <c r="P840" s="46" t="str">
        <f aca="false">IF(H840="","",IF(OR(A840&lt;I_Parameter!$C$5,A840&gt;I_Parameter!$C$6),0,IF(B840="Aktual",1,IF(AND(B840="Order",A840&gt;=I_Parameter!$C$4),1,0))))</f>
        <v/>
      </c>
    </row>
    <row r="841" customFormat="false" ht="15" hidden="false" customHeight="false" outlineLevel="0" collapsed="false">
      <c r="A841" s="37"/>
      <c r="B841" s="44"/>
      <c r="C841" s="44"/>
      <c r="D841" s="44"/>
      <c r="E841" s="44"/>
      <c r="F841" s="44"/>
      <c r="G841" s="34" t="str">
        <f aca="false">IF(F841&lt;&gt;"",F841,IF(E841="","",IFERROR(INDEX(I_Item!$C$6:$C$255,MATCH(E841,I_Item!$A$6:$A$255,0)),"KODE BARU")))</f>
        <v/>
      </c>
      <c r="H841" s="45"/>
      <c r="I841" s="42"/>
      <c r="J841" s="11" t="str">
        <f aca="false">IF(H841="","",H841*I841)</f>
        <v/>
      </c>
      <c r="K841" s="42"/>
      <c r="L841" s="11" t="str">
        <f aca="false">IF(H841="","",IF(K841&lt;&gt;"",K841,H841*IFERROR(INDEX(O_Stok!$Q$6:$Q$85,MATCH(G841,O_Stok!$A$6:$A$85,0)),0)))</f>
        <v/>
      </c>
      <c r="M841" s="11" t="str">
        <f aca="false">IF(H841="","",J841-L841)</f>
        <v/>
      </c>
      <c r="N841" s="34" t="str">
        <f aca="false">IF(G841="","",IFERROR(INDEX(I_Master!$B$6:$B$85,MATCH(G841,I_Master!$A$6:$A$85,0)),"?"))</f>
        <v/>
      </c>
      <c r="O841" s="34" t="str">
        <f aca="false">IF(G841="","",IFERROR(INDEX(I_Master!$E$6:$E$85,MATCH(G841,I_Master!$A$6:$A$85,0)),"?"))</f>
        <v/>
      </c>
      <c r="P841" s="46" t="str">
        <f aca="false">IF(H841="","",IF(OR(A841&lt;I_Parameter!$C$5,A841&gt;I_Parameter!$C$6),0,IF(B841="Aktual",1,IF(AND(B841="Order",A841&gt;=I_Parameter!$C$4),1,0))))</f>
        <v/>
      </c>
    </row>
    <row r="842" customFormat="false" ht="15" hidden="false" customHeight="false" outlineLevel="0" collapsed="false">
      <c r="A842" s="37"/>
      <c r="B842" s="44"/>
      <c r="C842" s="44"/>
      <c r="D842" s="44"/>
      <c r="E842" s="44"/>
      <c r="F842" s="44"/>
      <c r="G842" s="34" t="str">
        <f aca="false">IF(F842&lt;&gt;"",F842,IF(E842="","",IFERROR(INDEX(I_Item!$C$6:$C$255,MATCH(E842,I_Item!$A$6:$A$255,0)),"KODE BARU")))</f>
        <v/>
      </c>
      <c r="H842" s="45"/>
      <c r="I842" s="42"/>
      <c r="J842" s="11" t="str">
        <f aca="false">IF(H842="","",H842*I842)</f>
        <v/>
      </c>
      <c r="K842" s="42"/>
      <c r="L842" s="11" t="str">
        <f aca="false">IF(H842="","",IF(K842&lt;&gt;"",K842,H842*IFERROR(INDEX(O_Stok!$Q$6:$Q$85,MATCH(G842,O_Stok!$A$6:$A$85,0)),0)))</f>
        <v/>
      </c>
      <c r="M842" s="11" t="str">
        <f aca="false">IF(H842="","",J842-L842)</f>
        <v/>
      </c>
      <c r="N842" s="34" t="str">
        <f aca="false">IF(G842="","",IFERROR(INDEX(I_Master!$B$6:$B$85,MATCH(G842,I_Master!$A$6:$A$85,0)),"?"))</f>
        <v/>
      </c>
      <c r="O842" s="34" t="str">
        <f aca="false">IF(G842="","",IFERROR(INDEX(I_Master!$E$6:$E$85,MATCH(G842,I_Master!$A$6:$A$85,0)),"?"))</f>
        <v/>
      </c>
      <c r="P842" s="46" t="str">
        <f aca="false">IF(H842="","",IF(OR(A842&lt;I_Parameter!$C$5,A842&gt;I_Parameter!$C$6),0,IF(B842="Aktual",1,IF(AND(B842="Order",A842&gt;=I_Parameter!$C$4),1,0))))</f>
        <v/>
      </c>
    </row>
    <row r="843" customFormat="false" ht="15" hidden="false" customHeight="false" outlineLevel="0" collapsed="false">
      <c r="A843" s="37"/>
      <c r="B843" s="44"/>
      <c r="C843" s="44"/>
      <c r="D843" s="44"/>
      <c r="E843" s="44"/>
      <c r="F843" s="44"/>
      <c r="G843" s="34" t="str">
        <f aca="false">IF(F843&lt;&gt;"",F843,IF(E843="","",IFERROR(INDEX(I_Item!$C$6:$C$255,MATCH(E843,I_Item!$A$6:$A$255,0)),"KODE BARU")))</f>
        <v/>
      </c>
      <c r="H843" s="45"/>
      <c r="I843" s="42"/>
      <c r="J843" s="11" t="str">
        <f aca="false">IF(H843="","",H843*I843)</f>
        <v/>
      </c>
      <c r="K843" s="42"/>
      <c r="L843" s="11" t="str">
        <f aca="false">IF(H843="","",IF(K843&lt;&gt;"",K843,H843*IFERROR(INDEX(O_Stok!$Q$6:$Q$85,MATCH(G843,O_Stok!$A$6:$A$85,0)),0)))</f>
        <v/>
      </c>
      <c r="M843" s="11" t="str">
        <f aca="false">IF(H843="","",J843-L843)</f>
        <v/>
      </c>
      <c r="N843" s="34" t="str">
        <f aca="false">IF(G843="","",IFERROR(INDEX(I_Master!$B$6:$B$85,MATCH(G843,I_Master!$A$6:$A$85,0)),"?"))</f>
        <v/>
      </c>
      <c r="O843" s="34" t="str">
        <f aca="false">IF(G843="","",IFERROR(INDEX(I_Master!$E$6:$E$85,MATCH(G843,I_Master!$A$6:$A$85,0)),"?"))</f>
        <v/>
      </c>
      <c r="P843" s="46" t="str">
        <f aca="false">IF(H843="","",IF(OR(A843&lt;I_Parameter!$C$5,A843&gt;I_Parameter!$C$6),0,IF(B843="Aktual",1,IF(AND(B843="Order",A843&gt;=I_Parameter!$C$4),1,0))))</f>
        <v/>
      </c>
    </row>
    <row r="844" customFormat="false" ht="15" hidden="false" customHeight="false" outlineLevel="0" collapsed="false">
      <c r="A844" s="37"/>
      <c r="B844" s="44"/>
      <c r="C844" s="44"/>
      <c r="D844" s="44"/>
      <c r="E844" s="44"/>
      <c r="F844" s="44"/>
      <c r="G844" s="34" t="str">
        <f aca="false">IF(F844&lt;&gt;"",F844,IF(E844="","",IFERROR(INDEX(I_Item!$C$6:$C$255,MATCH(E844,I_Item!$A$6:$A$255,0)),"KODE BARU")))</f>
        <v/>
      </c>
      <c r="H844" s="45"/>
      <c r="I844" s="42"/>
      <c r="J844" s="11" t="str">
        <f aca="false">IF(H844="","",H844*I844)</f>
        <v/>
      </c>
      <c r="K844" s="42"/>
      <c r="L844" s="11" t="str">
        <f aca="false">IF(H844="","",IF(K844&lt;&gt;"",K844,H844*IFERROR(INDEX(O_Stok!$Q$6:$Q$85,MATCH(G844,O_Stok!$A$6:$A$85,0)),0)))</f>
        <v/>
      </c>
      <c r="M844" s="11" t="str">
        <f aca="false">IF(H844="","",J844-L844)</f>
        <v/>
      </c>
      <c r="N844" s="34" t="str">
        <f aca="false">IF(G844="","",IFERROR(INDEX(I_Master!$B$6:$B$85,MATCH(G844,I_Master!$A$6:$A$85,0)),"?"))</f>
        <v/>
      </c>
      <c r="O844" s="34" t="str">
        <f aca="false">IF(G844="","",IFERROR(INDEX(I_Master!$E$6:$E$85,MATCH(G844,I_Master!$A$6:$A$85,0)),"?"))</f>
        <v/>
      </c>
      <c r="P844" s="46" t="str">
        <f aca="false">IF(H844="","",IF(OR(A844&lt;I_Parameter!$C$5,A844&gt;I_Parameter!$C$6),0,IF(B844="Aktual",1,IF(AND(B844="Order",A844&gt;=I_Parameter!$C$4),1,0))))</f>
        <v/>
      </c>
    </row>
    <row r="845" customFormat="false" ht="15" hidden="false" customHeight="false" outlineLevel="0" collapsed="false">
      <c r="A845" s="37"/>
      <c r="B845" s="44"/>
      <c r="C845" s="44"/>
      <c r="D845" s="44"/>
      <c r="E845" s="44"/>
      <c r="F845" s="44"/>
      <c r="G845" s="34" t="str">
        <f aca="false">IF(F845&lt;&gt;"",F845,IF(E845="","",IFERROR(INDEX(I_Item!$C$6:$C$255,MATCH(E845,I_Item!$A$6:$A$255,0)),"KODE BARU")))</f>
        <v/>
      </c>
      <c r="H845" s="45"/>
      <c r="I845" s="42"/>
      <c r="J845" s="11" t="str">
        <f aca="false">IF(H845="","",H845*I845)</f>
        <v/>
      </c>
      <c r="K845" s="42"/>
      <c r="L845" s="11" t="str">
        <f aca="false">IF(H845="","",IF(K845&lt;&gt;"",K845,H845*IFERROR(INDEX(O_Stok!$Q$6:$Q$85,MATCH(G845,O_Stok!$A$6:$A$85,0)),0)))</f>
        <v/>
      </c>
      <c r="M845" s="11" t="str">
        <f aca="false">IF(H845="","",J845-L845)</f>
        <v/>
      </c>
      <c r="N845" s="34" t="str">
        <f aca="false">IF(G845="","",IFERROR(INDEX(I_Master!$B$6:$B$85,MATCH(G845,I_Master!$A$6:$A$85,0)),"?"))</f>
        <v/>
      </c>
      <c r="O845" s="34" t="str">
        <f aca="false">IF(G845="","",IFERROR(INDEX(I_Master!$E$6:$E$85,MATCH(G845,I_Master!$A$6:$A$85,0)),"?"))</f>
        <v/>
      </c>
      <c r="P845" s="46" t="str">
        <f aca="false">IF(H845="","",IF(OR(A845&lt;I_Parameter!$C$5,A845&gt;I_Parameter!$C$6),0,IF(B845="Aktual",1,IF(AND(B845="Order",A845&gt;=I_Parameter!$C$4),1,0))))</f>
        <v/>
      </c>
    </row>
    <row r="846" customFormat="false" ht="15" hidden="false" customHeight="false" outlineLevel="0" collapsed="false">
      <c r="A846" s="37"/>
      <c r="B846" s="44"/>
      <c r="C846" s="44"/>
      <c r="D846" s="44"/>
      <c r="E846" s="44"/>
      <c r="F846" s="44"/>
      <c r="G846" s="34" t="str">
        <f aca="false">IF(F846&lt;&gt;"",F846,IF(E846="","",IFERROR(INDEX(I_Item!$C$6:$C$255,MATCH(E846,I_Item!$A$6:$A$255,0)),"KODE BARU")))</f>
        <v/>
      </c>
      <c r="H846" s="45"/>
      <c r="I846" s="42"/>
      <c r="J846" s="11" t="str">
        <f aca="false">IF(H846="","",H846*I846)</f>
        <v/>
      </c>
      <c r="K846" s="42"/>
      <c r="L846" s="11" t="str">
        <f aca="false">IF(H846="","",IF(K846&lt;&gt;"",K846,H846*IFERROR(INDEX(O_Stok!$Q$6:$Q$85,MATCH(G846,O_Stok!$A$6:$A$85,0)),0)))</f>
        <v/>
      </c>
      <c r="M846" s="11" t="str">
        <f aca="false">IF(H846="","",J846-L846)</f>
        <v/>
      </c>
      <c r="N846" s="34" t="str">
        <f aca="false">IF(G846="","",IFERROR(INDEX(I_Master!$B$6:$B$85,MATCH(G846,I_Master!$A$6:$A$85,0)),"?"))</f>
        <v/>
      </c>
      <c r="O846" s="34" t="str">
        <f aca="false">IF(G846="","",IFERROR(INDEX(I_Master!$E$6:$E$85,MATCH(G846,I_Master!$A$6:$A$85,0)),"?"))</f>
        <v/>
      </c>
      <c r="P846" s="46" t="str">
        <f aca="false">IF(H846="","",IF(OR(A846&lt;I_Parameter!$C$5,A846&gt;I_Parameter!$C$6),0,IF(B846="Aktual",1,IF(AND(B846="Order",A846&gt;=I_Parameter!$C$4),1,0))))</f>
        <v/>
      </c>
    </row>
    <row r="847" customFormat="false" ht="15" hidden="false" customHeight="false" outlineLevel="0" collapsed="false">
      <c r="A847" s="37"/>
      <c r="B847" s="44"/>
      <c r="C847" s="44"/>
      <c r="D847" s="44"/>
      <c r="E847" s="44"/>
      <c r="F847" s="44"/>
      <c r="G847" s="34" t="str">
        <f aca="false">IF(F847&lt;&gt;"",F847,IF(E847="","",IFERROR(INDEX(I_Item!$C$6:$C$255,MATCH(E847,I_Item!$A$6:$A$255,0)),"KODE BARU")))</f>
        <v/>
      </c>
      <c r="H847" s="45"/>
      <c r="I847" s="42"/>
      <c r="J847" s="11" t="str">
        <f aca="false">IF(H847="","",H847*I847)</f>
        <v/>
      </c>
      <c r="K847" s="42"/>
      <c r="L847" s="11" t="str">
        <f aca="false">IF(H847="","",IF(K847&lt;&gt;"",K847,H847*IFERROR(INDEX(O_Stok!$Q$6:$Q$85,MATCH(G847,O_Stok!$A$6:$A$85,0)),0)))</f>
        <v/>
      </c>
      <c r="M847" s="11" t="str">
        <f aca="false">IF(H847="","",J847-L847)</f>
        <v/>
      </c>
      <c r="N847" s="34" t="str">
        <f aca="false">IF(G847="","",IFERROR(INDEX(I_Master!$B$6:$B$85,MATCH(G847,I_Master!$A$6:$A$85,0)),"?"))</f>
        <v/>
      </c>
      <c r="O847" s="34" t="str">
        <f aca="false">IF(G847="","",IFERROR(INDEX(I_Master!$E$6:$E$85,MATCH(G847,I_Master!$A$6:$A$85,0)),"?"))</f>
        <v/>
      </c>
      <c r="P847" s="46" t="str">
        <f aca="false">IF(H847="","",IF(OR(A847&lt;I_Parameter!$C$5,A847&gt;I_Parameter!$C$6),0,IF(B847="Aktual",1,IF(AND(B847="Order",A847&gt;=I_Parameter!$C$4),1,0))))</f>
        <v/>
      </c>
    </row>
    <row r="848" customFormat="false" ht="15" hidden="false" customHeight="false" outlineLevel="0" collapsed="false">
      <c r="A848" s="37"/>
      <c r="B848" s="44"/>
      <c r="C848" s="44"/>
      <c r="D848" s="44"/>
      <c r="E848" s="44"/>
      <c r="F848" s="44"/>
      <c r="G848" s="34" t="str">
        <f aca="false">IF(F848&lt;&gt;"",F848,IF(E848="","",IFERROR(INDEX(I_Item!$C$6:$C$255,MATCH(E848,I_Item!$A$6:$A$255,0)),"KODE BARU")))</f>
        <v/>
      </c>
      <c r="H848" s="45"/>
      <c r="I848" s="42"/>
      <c r="J848" s="11" t="str">
        <f aca="false">IF(H848="","",H848*I848)</f>
        <v/>
      </c>
      <c r="K848" s="42"/>
      <c r="L848" s="11" t="str">
        <f aca="false">IF(H848="","",IF(K848&lt;&gt;"",K848,H848*IFERROR(INDEX(O_Stok!$Q$6:$Q$85,MATCH(G848,O_Stok!$A$6:$A$85,0)),0)))</f>
        <v/>
      </c>
      <c r="M848" s="11" t="str">
        <f aca="false">IF(H848="","",J848-L848)</f>
        <v/>
      </c>
      <c r="N848" s="34" t="str">
        <f aca="false">IF(G848="","",IFERROR(INDEX(I_Master!$B$6:$B$85,MATCH(G848,I_Master!$A$6:$A$85,0)),"?"))</f>
        <v/>
      </c>
      <c r="O848" s="34" t="str">
        <f aca="false">IF(G848="","",IFERROR(INDEX(I_Master!$E$6:$E$85,MATCH(G848,I_Master!$A$6:$A$85,0)),"?"))</f>
        <v/>
      </c>
      <c r="P848" s="46" t="str">
        <f aca="false">IF(H848="","",IF(OR(A848&lt;I_Parameter!$C$5,A848&gt;I_Parameter!$C$6),0,IF(B848="Aktual",1,IF(AND(B848="Order",A848&gt;=I_Parameter!$C$4),1,0))))</f>
        <v/>
      </c>
    </row>
    <row r="849" customFormat="false" ht="15" hidden="false" customHeight="false" outlineLevel="0" collapsed="false">
      <c r="A849" s="37"/>
      <c r="B849" s="44"/>
      <c r="C849" s="44"/>
      <c r="D849" s="44"/>
      <c r="E849" s="44"/>
      <c r="F849" s="44"/>
      <c r="G849" s="34" t="str">
        <f aca="false">IF(F849&lt;&gt;"",F849,IF(E849="","",IFERROR(INDEX(I_Item!$C$6:$C$255,MATCH(E849,I_Item!$A$6:$A$255,0)),"KODE BARU")))</f>
        <v/>
      </c>
      <c r="H849" s="45"/>
      <c r="I849" s="42"/>
      <c r="J849" s="11" t="str">
        <f aca="false">IF(H849="","",H849*I849)</f>
        <v/>
      </c>
      <c r="K849" s="42"/>
      <c r="L849" s="11" t="str">
        <f aca="false">IF(H849="","",IF(K849&lt;&gt;"",K849,H849*IFERROR(INDEX(O_Stok!$Q$6:$Q$85,MATCH(G849,O_Stok!$A$6:$A$85,0)),0)))</f>
        <v/>
      </c>
      <c r="M849" s="11" t="str">
        <f aca="false">IF(H849="","",J849-L849)</f>
        <v/>
      </c>
      <c r="N849" s="34" t="str">
        <f aca="false">IF(G849="","",IFERROR(INDEX(I_Master!$B$6:$B$85,MATCH(G849,I_Master!$A$6:$A$85,0)),"?"))</f>
        <v/>
      </c>
      <c r="O849" s="34" t="str">
        <f aca="false">IF(G849="","",IFERROR(INDEX(I_Master!$E$6:$E$85,MATCH(G849,I_Master!$A$6:$A$85,0)),"?"))</f>
        <v/>
      </c>
      <c r="P849" s="46" t="str">
        <f aca="false">IF(H849="","",IF(OR(A849&lt;I_Parameter!$C$5,A849&gt;I_Parameter!$C$6),0,IF(B849="Aktual",1,IF(AND(B849="Order",A849&gt;=I_Parameter!$C$4),1,0))))</f>
        <v/>
      </c>
    </row>
    <row r="850" customFormat="false" ht="15" hidden="false" customHeight="false" outlineLevel="0" collapsed="false">
      <c r="A850" s="37"/>
      <c r="B850" s="44"/>
      <c r="C850" s="44"/>
      <c r="D850" s="44"/>
      <c r="E850" s="44"/>
      <c r="F850" s="44"/>
      <c r="G850" s="34" t="str">
        <f aca="false">IF(F850&lt;&gt;"",F850,IF(E850="","",IFERROR(INDEX(I_Item!$C$6:$C$255,MATCH(E850,I_Item!$A$6:$A$255,0)),"KODE BARU")))</f>
        <v/>
      </c>
      <c r="H850" s="45"/>
      <c r="I850" s="42"/>
      <c r="J850" s="11" t="str">
        <f aca="false">IF(H850="","",H850*I850)</f>
        <v/>
      </c>
      <c r="K850" s="42"/>
      <c r="L850" s="11" t="str">
        <f aca="false">IF(H850="","",IF(K850&lt;&gt;"",K850,H850*IFERROR(INDEX(O_Stok!$Q$6:$Q$85,MATCH(G850,O_Stok!$A$6:$A$85,0)),0)))</f>
        <v/>
      </c>
      <c r="M850" s="11" t="str">
        <f aca="false">IF(H850="","",J850-L850)</f>
        <v/>
      </c>
      <c r="N850" s="34" t="str">
        <f aca="false">IF(G850="","",IFERROR(INDEX(I_Master!$B$6:$B$85,MATCH(G850,I_Master!$A$6:$A$85,0)),"?"))</f>
        <v/>
      </c>
      <c r="O850" s="34" t="str">
        <f aca="false">IF(G850="","",IFERROR(INDEX(I_Master!$E$6:$E$85,MATCH(G850,I_Master!$A$6:$A$85,0)),"?"))</f>
        <v/>
      </c>
      <c r="P850" s="46" t="str">
        <f aca="false">IF(H850="","",IF(OR(A850&lt;I_Parameter!$C$5,A850&gt;I_Parameter!$C$6),0,IF(B850="Aktual",1,IF(AND(B850="Order",A850&gt;=I_Parameter!$C$4),1,0))))</f>
        <v/>
      </c>
    </row>
    <row r="851" customFormat="false" ht="15" hidden="false" customHeight="false" outlineLevel="0" collapsed="false">
      <c r="A851" s="37"/>
      <c r="B851" s="44"/>
      <c r="C851" s="44"/>
      <c r="D851" s="44"/>
      <c r="E851" s="44"/>
      <c r="F851" s="44"/>
      <c r="G851" s="34" t="str">
        <f aca="false">IF(F851&lt;&gt;"",F851,IF(E851="","",IFERROR(INDEX(I_Item!$C$6:$C$255,MATCH(E851,I_Item!$A$6:$A$255,0)),"KODE BARU")))</f>
        <v/>
      </c>
      <c r="H851" s="45"/>
      <c r="I851" s="42"/>
      <c r="J851" s="11" t="str">
        <f aca="false">IF(H851="","",H851*I851)</f>
        <v/>
      </c>
      <c r="K851" s="42"/>
      <c r="L851" s="11" t="str">
        <f aca="false">IF(H851="","",IF(K851&lt;&gt;"",K851,H851*IFERROR(INDEX(O_Stok!$Q$6:$Q$85,MATCH(G851,O_Stok!$A$6:$A$85,0)),0)))</f>
        <v/>
      </c>
      <c r="M851" s="11" t="str">
        <f aca="false">IF(H851="","",J851-L851)</f>
        <v/>
      </c>
      <c r="N851" s="34" t="str">
        <f aca="false">IF(G851="","",IFERROR(INDEX(I_Master!$B$6:$B$85,MATCH(G851,I_Master!$A$6:$A$85,0)),"?"))</f>
        <v/>
      </c>
      <c r="O851" s="34" t="str">
        <f aca="false">IF(G851="","",IFERROR(INDEX(I_Master!$E$6:$E$85,MATCH(G851,I_Master!$A$6:$A$85,0)),"?"))</f>
        <v/>
      </c>
      <c r="P851" s="46" t="str">
        <f aca="false">IF(H851="","",IF(OR(A851&lt;I_Parameter!$C$5,A851&gt;I_Parameter!$C$6),0,IF(B851="Aktual",1,IF(AND(B851="Order",A851&gt;=I_Parameter!$C$4),1,0))))</f>
        <v/>
      </c>
    </row>
    <row r="852" customFormat="false" ht="15" hidden="false" customHeight="false" outlineLevel="0" collapsed="false">
      <c r="A852" s="37"/>
      <c r="B852" s="44"/>
      <c r="C852" s="44"/>
      <c r="D852" s="44"/>
      <c r="E852" s="44"/>
      <c r="F852" s="44"/>
      <c r="G852" s="34" t="str">
        <f aca="false">IF(F852&lt;&gt;"",F852,IF(E852="","",IFERROR(INDEX(I_Item!$C$6:$C$255,MATCH(E852,I_Item!$A$6:$A$255,0)),"KODE BARU")))</f>
        <v/>
      </c>
      <c r="H852" s="45"/>
      <c r="I852" s="42"/>
      <c r="J852" s="11" t="str">
        <f aca="false">IF(H852="","",H852*I852)</f>
        <v/>
      </c>
      <c r="K852" s="42"/>
      <c r="L852" s="11" t="str">
        <f aca="false">IF(H852="","",IF(K852&lt;&gt;"",K852,H852*IFERROR(INDEX(O_Stok!$Q$6:$Q$85,MATCH(G852,O_Stok!$A$6:$A$85,0)),0)))</f>
        <v/>
      </c>
      <c r="M852" s="11" t="str">
        <f aca="false">IF(H852="","",J852-L852)</f>
        <v/>
      </c>
      <c r="N852" s="34" t="str">
        <f aca="false">IF(G852="","",IFERROR(INDEX(I_Master!$B$6:$B$85,MATCH(G852,I_Master!$A$6:$A$85,0)),"?"))</f>
        <v/>
      </c>
      <c r="O852" s="34" t="str">
        <f aca="false">IF(G852="","",IFERROR(INDEX(I_Master!$E$6:$E$85,MATCH(G852,I_Master!$A$6:$A$85,0)),"?"))</f>
        <v/>
      </c>
      <c r="P852" s="46" t="str">
        <f aca="false">IF(H852="","",IF(OR(A852&lt;I_Parameter!$C$5,A852&gt;I_Parameter!$C$6),0,IF(B852="Aktual",1,IF(AND(B852="Order",A852&gt;=I_Parameter!$C$4),1,0))))</f>
        <v/>
      </c>
    </row>
    <row r="853" customFormat="false" ht="15" hidden="false" customHeight="false" outlineLevel="0" collapsed="false">
      <c r="A853" s="37"/>
      <c r="B853" s="44"/>
      <c r="C853" s="44"/>
      <c r="D853" s="44"/>
      <c r="E853" s="44"/>
      <c r="F853" s="44"/>
      <c r="G853" s="34" t="str">
        <f aca="false">IF(F853&lt;&gt;"",F853,IF(E853="","",IFERROR(INDEX(I_Item!$C$6:$C$255,MATCH(E853,I_Item!$A$6:$A$255,0)),"KODE BARU")))</f>
        <v/>
      </c>
      <c r="H853" s="45"/>
      <c r="I853" s="42"/>
      <c r="J853" s="11" t="str">
        <f aca="false">IF(H853="","",H853*I853)</f>
        <v/>
      </c>
      <c r="K853" s="42"/>
      <c r="L853" s="11" t="str">
        <f aca="false">IF(H853="","",IF(K853&lt;&gt;"",K853,H853*IFERROR(INDEX(O_Stok!$Q$6:$Q$85,MATCH(G853,O_Stok!$A$6:$A$85,0)),0)))</f>
        <v/>
      </c>
      <c r="M853" s="11" t="str">
        <f aca="false">IF(H853="","",J853-L853)</f>
        <v/>
      </c>
      <c r="N853" s="34" t="str">
        <f aca="false">IF(G853="","",IFERROR(INDEX(I_Master!$B$6:$B$85,MATCH(G853,I_Master!$A$6:$A$85,0)),"?"))</f>
        <v/>
      </c>
      <c r="O853" s="34" t="str">
        <f aca="false">IF(G853="","",IFERROR(INDEX(I_Master!$E$6:$E$85,MATCH(G853,I_Master!$A$6:$A$85,0)),"?"))</f>
        <v/>
      </c>
      <c r="P853" s="46" t="str">
        <f aca="false">IF(H853="","",IF(OR(A853&lt;I_Parameter!$C$5,A853&gt;I_Parameter!$C$6),0,IF(B853="Aktual",1,IF(AND(B853="Order",A853&gt;=I_Parameter!$C$4),1,0))))</f>
        <v/>
      </c>
    </row>
    <row r="854" customFormat="false" ht="15" hidden="false" customHeight="false" outlineLevel="0" collapsed="false">
      <c r="A854" s="37"/>
      <c r="B854" s="44"/>
      <c r="C854" s="44"/>
      <c r="D854" s="44"/>
      <c r="E854" s="44"/>
      <c r="F854" s="44"/>
      <c r="G854" s="34" t="str">
        <f aca="false">IF(F854&lt;&gt;"",F854,IF(E854="","",IFERROR(INDEX(I_Item!$C$6:$C$255,MATCH(E854,I_Item!$A$6:$A$255,0)),"KODE BARU")))</f>
        <v/>
      </c>
      <c r="H854" s="45"/>
      <c r="I854" s="42"/>
      <c r="J854" s="11" t="str">
        <f aca="false">IF(H854="","",H854*I854)</f>
        <v/>
      </c>
      <c r="K854" s="42"/>
      <c r="L854" s="11" t="str">
        <f aca="false">IF(H854="","",IF(K854&lt;&gt;"",K854,H854*IFERROR(INDEX(O_Stok!$Q$6:$Q$85,MATCH(G854,O_Stok!$A$6:$A$85,0)),0)))</f>
        <v/>
      </c>
      <c r="M854" s="11" t="str">
        <f aca="false">IF(H854="","",J854-L854)</f>
        <v/>
      </c>
      <c r="N854" s="34" t="str">
        <f aca="false">IF(G854="","",IFERROR(INDEX(I_Master!$B$6:$B$85,MATCH(G854,I_Master!$A$6:$A$85,0)),"?"))</f>
        <v/>
      </c>
      <c r="O854" s="34" t="str">
        <f aca="false">IF(G854="","",IFERROR(INDEX(I_Master!$E$6:$E$85,MATCH(G854,I_Master!$A$6:$A$85,0)),"?"))</f>
        <v/>
      </c>
      <c r="P854" s="46" t="str">
        <f aca="false">IF(H854="","",IF(OR(A854&lt;I_Parameter!$C$5,A854&gt;I_Parameter!$C$6),0,IF(B854="Aktual",1,IF(AND(B854="Order",A854&gt;=I_Parameter!$C$4),1,0))))</f>
        <v/>
      </c>
    </row>
    <row r="855" customFormat="false" ht="15" hidden="false" customHeight="false" outlineLevel="0" collapsed="false">
      <c r="A855" s="37"/>
      <c r="B855" s="44"/>
      <c r="C855" s="44"/>
      <c r="D855" s="44"/>
      <c r="E855" s="44"/>
      <c r="F855" s="44"/>
      <c r="G855" s="34" t="str">
        <f aca="false">IF(F855&lt;&gt;"",F855,IF(E855="","",IFERROR(INDEX(I_Item!$C$6:$C$255,MATCH(E855,I_Item!$A$6:$A$255,0)),"KODE BARU")))</f>
        <v/>
      </c>
      <c r="H855" s="45"/>
      <c r="I855" s="42"/>
      <c r="J855" s="11" t="str">
        <f aca="false">IF(H855="","",H855*I855)</f>
        <v/>
      </c>
      <c r="K855" s="42"/>
      <c r="L855" s="11" t="str">
        <f aca="false">IF(H855="","",IF(K855&lt;&gt;"",K855,H855*IFERROR(INDEX(O_Stok!$Q$6:$Q$85,MATCH(G855,O_Stok!$A$6:$A$85,0)),0)))</f>
        <v/>
      </c>
      <c r="M855" s="11" t="str">
        <f aca="false">IF(H855="","",J855-L855)</f>
        <v/>
      </c>
      <c r="N855" s="34" t="str">
        <f aca="false">IF(G855="","",IFERROR(INDEX(I_Master!$B$6:$B$85,MATCH(G855,I_Master!$A$6:$A$85,0)),"?"))</f>
        <v/>
      </c>
      <c r="O855" s="34" t="str">
        <f aca="false">IF(G855="","",IFERROR(INDEX(I_Master!$E$6:$E$85,MATCH(G855,I_Master!$A$6:$A$85,0)),"?"))</f>
        <v/>
      </c>
      <c r="P855" s="46" t="str">
        <f aca="false">IF(H855="","",IF(OR(A855&lt;I_Parameter!$C$5,A855&gt;I_Parameter!$C$6),0,IF(B855="Aktual",1,IF(AND(B855="Order",A855&gt;=I_Parameter!$C$4),1,0))))</f>
        <v/>
      </c>
    </row>
    <row r="856" customFormat="false" ht="15" hidden="false" customHeight="false" outlineLevel="0" collapsed="false">
      <c r="A856" s="37"/>
      <c r="B856" s="44"/>
      <c r="C856" s="44"/>
      <c r="D856" s="44"/>
      <c r="E856" s="44"/>
      <c r="F856" s="44"/>
      <c r="G856" s="34" t="str">
        <f aca="false">IF(F856&lt;&gt;"",F856,IF(E856="","",IFERROR(INDEX(I_Item!$C$6:$C$255,MATCH(E856,I_Item!$A$6:$A$255,0)),"KODE BARU")))</f>
        <v/>
      </c>
      <c r="H856" s="45"/>
      <c r="I856" s="42"/>
      <c r="J856" s="11" t="str">
        <f aca="false">IF(H856="","",H856*I856)</f>
        <v/>
      </c>
      <c r="K856" s="42"/>
      <c r="L856" s="11" t="str">
        <f aca="false">IF(H856="","",IF(K856&lt;&gt;"",K856,H856*IFERROR(INDEX(O_Stok!$Q$6:$Q$85,MATCH(G856,O_Stok!$A$6:$A$85,0)),0)))</f>
        <v/>
      </c>
      <c r="M856" s="11" t="str">
        <f aca="false">IF(H856="","",J856-L856)</f>
        <v/>
      </c>
      <c r="N856" s="34" t="str">
        <f aca="false">IF(G856="","",IFERROR(INDEX(I_Master!$B$6:$B$85,MATCH(G856,I_Master!$A$6:$A$85,0)),"?"))</f>
        <v/>
      </c>
      <c r="O856" s="34" t="str">
        <f aca="false">IF(G856="","",IFERROR(INDEX(I_Master!$E$6:$E$85,MATCH(G856,I_Master!$A$6:$A$85,0)),"?"))</f>
        <v/>
      </c>
      <c r="P856" s="46" t="str">
        <f aca="false">IF(H856="","",IF(OR(A856&lt;I_Parameter!$C$5,A856&gt;I_Parameter!$C$6),0,IF(B856="Aktual",1,IF(AND(B856="Order",A856&gt;=I_Parameter!$C$4),1,0))))</f>
        <v/>
      </c>
    </row>
    <row r="857" customFormat="false" ht="15" hidden="false" customHeight="false" outlineLevel="0" collapsed="false">
      <c r="A857" s="37"/>
      <c r="B857" s="44"/>
      <c r="C857" s="44"/>
      <c r="D857" s="44"/>
      <c r="E857" s="44"/>
      <c r="F857" s="44"/>
      <c r="G857" s="34" t="str">
        <f aca="false">IF(F857&lt;&gt;"",F857,IF(E857="","",IFERROR(INDEX(I_Item!$C$6:$C$255,MATCH(E857,I_Item!$A$6:$A$255,0)),"KODE BARU")))</f>
        <v/>
      </c>
      <c r="H857" s="45"/>
      <c r="I857" s="42"/>
      <c r="J857" s="11" t="str">
        <f aca="false">IF(H857="","",H857*I857)</f>
        <v/>
      </c>
      <c r="K857" s="42"/>
      <c r="L857" s="11" t="str">
        <f aca="false">IF(H857="","",IF(K857&lt;&gt;"",K857,H857*IFERROR(INDEX(O_Stok!$Q$6:$Q$85,MATCH(G857,O_Stok!$A$6:$A$85,0)),0)))</f>
        <v/>
      </c>
      <c r="M857" s="11" t="str">
        <f aca="false">IF(H857="","",J857-L857)</f>
        <v/>
      </c>
      <c r="N857" s="34" t="str">
        <f aca="false">IF(G857="","",IFERROR(INDEX(I_Master!$B$6:$B$85,MATCH(G857,I_Master!$A$6:$A$85,0)),"?"))</f>
        <v/>
      </c>
      <c r="O857" s="34" t="str">
        <f aca="false">IF(G857="","",IFERROR(INDEX(I_Master!$E$6:$E$85,MATCH(G857,I_Master!$A$6:$A$85,0)),"?"))</f>
        <v/>
      </c>
      <c r="P857" s="46" t="str">
        <f aca="false">IF(H857="","",IF(OR(A857&lt;I_Parameter!$C$5,A857&gt;I_Parameter!$C$6),0,IF(B857="Aktual",1,IF(AND(B857="Order",A857&gt;=I_Parameter!$C$4),1,0))))</f>
        <v/>
      </c>
    </row>
    <row r="858" customFormat="false" ht="15" hidden="false" customHeight="false" outlineLevel="0" collapsed="false">
      <c r="A858" s="37"/>
      <c r="B858" s="44"/>
      <c r="C858" s="44"/>
      <c r="D858" s="44"/>
      <c r="E858" s="44"/>
      <c r="F858" s="44"/>
      <c r="G858" s="34" t="str">
        <f aca="false">IF(F858&lt;&gt;"",F858,IF(E858="","",IFERROR(INDEX(I_Item!$C$6:$C$255,MATCH(E858,I_Item!$A$6:$A$255,0)),"KODE BARU")))</f>
        <v/>
      </c>
      <c r="H858" s="45"/>
      <c r="I858" s="42"/>
      <c r="J858" s="11" t="str">
        <f aca="false">IF(H858="","",H858*I858)</f>
        <v/>
      </c>
      <c r="K858" s="42"/>
      <c r="L858" s="11" t="str">
        <f aca="false">IF(H858="","",IF(K858&lt;&gt;"",K858,H858*IFERROR(INDEX(O_Stok!$Q$6:$Q$85,MATCH(G858,O_Stok!$A$6:$A$85,0)),0)))</f>
        <v/>
      </c>
      <c r="M858" s="11" t="str">
        <f aca="false">IF(H858="","",J858-L858)</f>
        <v/>
      </c>
      <c r="N858" s="34" t="str">
        <f aca="false">IF(G858="","",IFERROR(INDEX(I_Master!$B$6:$B$85,MATCH(G858,I_Master!$A$6:$A$85,0)),"?"))</f>
        <v/>
      </c>
      <c r="O858" s="34" t="str">
        <f aca="false">IF(G858="","",IFERROR(INDEX(I_Master!$E$6:$E$85,MATCH(G858,I_Master!$A$6:$A$85,0)),"?"))</f>
        <v/>
      </c>
      <c r="P858" s="46" t="str">
        <f aca="false">IF(H858="","",IF(OR(A858&lt;I_Parameter!$C$5,A858&gt;I_Parameter!$C$6),0,IF(B858="Aktual",1,IF(AND(B858="Order",A858&gt;=I_Parameter!$C$4),1,0))))</f>
        <v/>
      </c>
    </row>
    <row r="859" customFormat="false" ht="15" hidden="false" customHeight="false" outlineLevel="0" collapsed="false">
      <c r="A859" s="37"/>
      <c r="B859" s="44"/>
      <c r="C859" s="44"/>
      <c r="D859" s="44"/>
      <c r="E859" s="44"/>
      <c r="F859" s="44"/>
      <c r="G859" s="34" t="str">
        <f aca="false">IF(F859&lt;&gt;"",F859,IF(E859="","",IFERROR(INDEX(I_Item!$C$6:$C$255,MATCH(E859,I_Item!$A$6:$A$255,0)),"KODE BARU")))</f>
        <v/>
      </c>
      <c r="H859" s="45"/>
      <c r="I859" s="42"/>
      <c r="J859" s="11" t="str">
        <f aca="false">IF(H859="","",H859*I859)</f>
        <v/>
      </c>
      <c r="K859" s="42"/>
      <c r="L859" s="11" t="str">
        <f aca="false">IF(H859="","",IF(K859&lt;&gt;"",K859,H859*IFERROR(INDEX(O_Stok!$Q$6:$Q$85,MATCH(G859,O_Stok!$A$6:$A$85,0)),0)))</f>
        <v/>
      </c>
      <c r="M859" s="11" t="str">
        <f aca="false">IF(H859="","",J859-L859)</f>
        <v/>
      </c>
      <c r="N859" s="34" t="str">
        <f aca="false">IF(G859="","",IFERROR(INDEX(I_Master!$B$6:$B$85,MATCH(G859,I_Master!$A$6:$A$85,0)),"?"))</f>
        <v/>
      </c>
      <c r="O859" s="34" t="str">
        <f aca="false">IF(G859="","",IFERROR(INDEX(I_Master!$E$6:$E$85,MATCH(G859,I_Master!$A$6:$A$85,0)),"?"))</f>
        <v/>
      </c>
      <c r="P859" s="46" t="str">
        <f aca="false">IF(H859="","",IF(OR(A859&lt;I_Parameter!$C$5,A859&gt;I_Parameter!$C$6),0,IF(B859="Aktual",1,IF(AND(B859="Order",A859&gt;=I_Parameter!$C$4),1,0))))</f>
        <v/>
      </c>
    </row>
    <row r="860" customFormat="false" ht="15" hidden="false" customHeight="false" outlineLevel="0" collapsed="false">
      <c r="A860" s="37"/>
      <c r="B860" s="44"/>
      <c r="C860" s="44"/>
      <c r="D860" s="44"/>
      <c r="E860" s="44"/>
      <c r="F860" s="44"/>
      <c r="G860" s="34" t="str">
        <f aca="false">IF(F860&lt;&gt;"",F860,IF(E860="","",IFERROR(INDEX(I_Item!$C$6:$C$255,MATCH(E860,I_Item!$A$6:$A$255,0)),"KODE BARU")))</f>
        <v/>
      </c>
      <c r="H860" s="45"/>
      <c r="I860" s="42"/>
      <c r="J860" s="11" t="str">
        <f aca="false">IF(H860="","",H860*I860)</f>
        <v/>
      </c>
      <c r="K860" s="42"/>
      <c r="L860" s="11" t="str">
        <f aca="false">IF(H860="","",IF(K860&lt;&gt;"",K860,H860*IFERROR(INDEX(O_Stok!$Q$6:$Q$85,MATCH(G860,O_Stok!$A$6:$A$85,0)),0)))</f>
        <v/>
      </c>
      <c r="M860" s="11" t="str">
        <f aca="false">IF(H860="","",J860-L860)</f>
        <v/>
      </c>
      <c r="N860" s="34" t="str">
        <f aca="false">IF(G860="","",IFERROR(INDEX(I_Master!$B$6:$B$85,MATCH(G860,I_Master!$A$6:$A$85,0)),"?"))</f>
        <v/>
      </c>
      <c r="O860" s="34" t="str">
        <f aca="false">IF(G860="","",IFERROR(INDEX(I_Master!$E$6:$E$85,MATCH(G860,I_Master!$A$6:$A$85,0)),"?"))</f>
        <v/>
      </c>
      <c r="P860" s="46" t="str">
        <f aca="false">IF(H860="","",IF(OR(A860&lt;I_Parameter!$C$5,A860&gt;I_Parameter!$C$6),0,IF(B860="Aktual",1,IF(AND(B860="Order",A860&gt;=I_Parameter!$C$4),1,0))))</f>
        <v/>
      </c>
    </row>
    <row r="861" customFormat="false" ht="15" hidden="false" customHeight="false" outlineLevel="0" collapsed="false">
      <c r="A861" s="37"/>
      <c r="B861" s="44"/>
      <c r="C861" s="44"/>
      <c r="D861" s="44"/>
      <c r="E861" s="44"/>
      <c r="F861" s="44"/>
      <c r="G861" s="34" t="str">
        <f aca="false">IF(F861&lt;&gt;"",F861,IF(E861="","",IFERROR(INDEX(I_Item!$C$6:$C$255,MATCH(E861,I_Item!$A$6:$A$255,0)),"KODE BARU")))</f>
        <v/>
      </c>
      <c r="H861" s="45"/>
      <c r="I861" s="42"/>
      <c r="J861" s="11" t="str">
        <f aca="false">IF(H861="","",H861*I861)</f>
        <v/>
      </c>
      <c r="K861" s="42"/>
      <c r="L861" s="11" t="str">
        <f aca="false">IF(H861="","",IF(K861&lt;&gt;"",K861,H861*IFERROR(INDEX(O_Stok!$Q$6:$Q$85,MATCH(G861,O_Stok!$A$6:$A$85,0)),0)))</f>
        <v/>
      </c>
      <c r="M861" s="11" t="str">
        <f aca="false">IF(H861="","",J861-L861)</f>
        <v/>
      </c>
      <c r="N861" s="34" t="str">
        <f aca="false">IF(G861="","",IFERROR(INDEX(I_Master!$B$6:$B$85,MATCH(G861,I_Master!$A$6:$A$85,0)),"?"))</f>
        <v/>
      </c>
      <c r="O861" s="34" t="str">
        <f aca="false">IF(G861="","",IFERROR(INDEX(I_Master!$E$6:$E$85,MATCH(G861,I_Master!$A$6:$A$85,0)),"?"))</f>
        <v/>
      </c>
      <c r="P861" s="46" t="str">
        <f aca="false">IF(H861="","",IF(OR(A861&lt;I_Parameter!$C$5,A861&gt;I_Parameter!$C$6),0,IF(B861="Aktual",1,IF(AND(B861="Order",A861&gt;=I_Parameter!$C$4),1,0))))</f>
        <v/>
      </c>
    </row>
    <row r="862" customFormat="false" ht="15" hidden="false" customHeight="false" outlineLevel="0" collapsed="false">
      <c r="A862" s="37"/>
      <c r="B862" s="44"/>
      <c r="C862" s="44"/>
      <c r="D862" s="44"/>
      <c r="E862" s="44"/>
      <c r="F862" s="44"/>
      <c r="G862" s="34" t="str">
        <f aca="false">IF(F862&lt;&gt;"",F862,IF(E862="","",IFERROR(INDEX(I_Item!$C$6:$C$255,MATCH(E862,I_Item!$A$6:$A$255,0)),"KODE BARU")))</f>
        <v/>
      </c>
      <c r="H862" s="45"/>
      <c r="I862" s="42"/>
      <c r="J862" s="11" t="str">
        <f aca="false">IF(H862="","",H862*I862)</f>
        <v/>
      </c>
      <c r="K862" s="42"/>
      <c r="L862" s="11" t="str">
        <f aca="false">IF(H862="","",IF(K862&lt;&gt;"",K862,H862*IFERROR(INDEX(O_Stok!$Q$6:$Q$85,MATCH(G862,O_Stok!$A$6:$A$85,0)),0)))</f>
        <v/>
      </c>
      <c r="M862" s="11" t="str">
        <f aca="false">IF(H862="","",J862-L862)</f>
        <v/>
      </c>
      <c r="N862" s="34" t="str">
        <f aca="false">IF(G862="","",IFERROR(INDEX(I_Master!$B$6:$B$85,MATCH(G862,I_Master!$A$6:$A$85,0)),"?"))</f>
        <v/>
      </c>
      <c r="O862" s="34" t="str">
        <f aca="false">IF(G862="","",IFERROR(INDEX(I_Master!$E$6:$E$85,MATCH(G862,I_Master!$A$6:$A$85,0)),"?"))</f>
        <v/>
      </c>
      <c r="P862" s="46" t="str">
        <f aca="false">IF(H862="","",IF(OR(A862&lt;I_Parameter!$C$5,A862&gt;I_Parameter!$C$6),0,IF(B862="Aktual",1,IF(AND(B862="Order",A862&gt;=I_Parameter!$C$4),1,0))))</f>
        <v/>
      </c>
    </row>
    <row r="863" customFormat="false" ht="15" hidden="false" customHeight="false" outlineLevel="0" collapsed="false">
      <c r="A863" s="37"/>
      <c r="B863" s="44"/>
      <c r="C863" s="44"/>
      <c r="D863" s="44"/>
      <c r="E863" s="44"/>
      <c r="F863" s="44"/>
      <c r="G863" s="34" t="str">
        <f aca="false">IF(F863&lt;&gt;"",F863,IF(E863="","",IFERROR(INDEX(I_Item!$C$6:$C$255,MATCH(E863,I_Item!$A$6:$A$255,0)),"KODE BARU")))</f>
        <v/>
      </c>
      <c r="H863" s="45"/>
      <c r="I863" s="42"/>
      <c r="J863" s="11" t="str">
        <f aca="false">IF(H863="","",H863*I863)</f>
        <v/>
      </c>
      <c r="K863" s="42"/>
      <c r="L863" s="11" t="str">
        <f aca="false">IF(H863="","",IF(K863&lt;&gt;"",K863,H863*IFERROR(INDEX(O_Stok!$Q$6:$Q$85,MATCH(G863,O_Stok!$A$6:$A$85,0)),0)))</f>
        <v/>
      </c>
      <c r="M863" s="11" t="str">
        <f aca="false">IF(H863="","",J863-L863)</f>
        <v/>
      </c>
      <c r="N863" s="34" t="str">
        <f aca="false">IF(G863="","",IFERROR(INDEX(I_Master!$B$6:$B$85,MATCH(G863,I_Master!$A$6:$A$85,0)),"?"))</f>
        <v/>
      </c>
      <c r="O863" s="34" t="str">
        <f aca="false">IF(G863="","",IFERROR(INDEX(I_Master!$E$6:$E$85,MATCH(G863,I_Master!$A$6:$A$85,0)),"?"))</f>
        <v/>
      </c>
      <c r="P863" s="46" t="str">
        <f aca="false">IF(H863="","",IF(OR(A863&lt;I_Parameter!$C$5,A863&gt;I_Parameter!$C$6),0,IF(B863="Aktual",1,IF(AND(B863="Order",A863&gt;=I_Parameter!$C$4),1,0))))</f>
        <v/>
      </c>
    </row>
    <row r="864" customFormat="false" ht="15" hidden="false" customHeight="false" outlineLevel="0" collapsed="false">
      <c r="A864" s="37"/>
      <c r="B864" s="44"/>
      <c r="C864" s="44"/>
      <c r="D864" s="44"/>
      <c r="E864" s="44"/>
      <c r="F864" s="44"/>
      <c r="G864" s="34" t="str">
        <f aca="false">IF(F864&lt;&gt;"",F864,IF(E864="","",IFERROR(INDEX(I_Item!$C$6:$C$255,MATCH(E864,I_Item!$A$6:$A$255,0)),"KODE BARU")))</f>
        <v/>
      </c>
      <c r="H864" s="45"/>
      <c r="I864" s="42"/>
      <c r="J864" s="11" t="str">
        <f aca="false">IF(H864="","",H864*I864)</f>
        <v/>
      </c>
      <c r="K864" s="42"/>
      <c r="L864" s="11" t="str">
        <f aca="false">IF(H864="","",IF(K864&lt;&gt;"",K864,H864*IFERROR(INDEX(O_Stok!$Q$6:$Q$85,MATCH(G864,O_Stok!$A$6:$A$85,0)),0)))</f>
        <v/>
      </c>
      <c r="M864" s="11" t="str">
        <f aca="false">IF(H864="","",J864-L864)</f>
        <v/>
      </c>
      <c r="N864" s="34" t="str">
        <f aca="false">IF(G864="","",IFERROR(INDEX(I_Master!$B$6:$B$85,MATCH(G864,I_Master!$A$6:$A$85,0)),"?"))</f>
        <v/>
      </c>
      <c r="O864" s="34" t="str">
        <f aca="false">IF(G864="","",IFERROR(INDEX(I_Master!$E$6:$E$85,MATCH(G864,I_Master!$A$6:$A$85,0)),"?"))</f>
        <v/>
      </c>
      <c r="P864" s="46" t="str">
        <f aca="false">IF(H864="","",IF(OR(A864&lt;I_Parameter!$C$5,A864&gt;I_Parameter!$C$6),0,IF(B864="Aktual",1,IF(AND(B864="Order",A864&gt;=I_Parameter!$C$4),1,0))))</f>
        <v/>
      </c>
    </row>
    <row r="865" customFormat="false" ht="15" hidden="false" customHeight="false" outlineLevel="0" collapsed="false">
      <c r="A865" s="37"/>
      <c r="B865" s="44"/>
      <c r="C865" s="44"/>
      <c r="D865" s="44"/>
      <c r="E865" s="44"/>
      <c r="F865" s="44"/>
      <c r="G865" s="34" t="str">
        <f aca="false">IF(F865&lt;&gt;"",F865,IF(E865="","",IFERROR(INDEX(I_Item!$C$6:$C$255,MATCH(E865,I_Item!$A$6:$A$255,0)),"KODE BARU")))</f>
        <v/>
      </c>
      <c r="H865" s="45"/>
      <c r="I865" s="42"/>
      <c r="J865" s="11" t="str">
        <f aca="false">IF(H865="","",H865*I865)</f>
        <v/>
      </c>
      <c r="K865" s="42"/>
      <c r="L865" s="11" t="str">
        <f aca="false">IF(H865="","",IF(K865&lt;&gt;"",K865,H865*IFERROR(INDEX(O_Stok!$Q$6:$Q$85,MATCH(G865,O_Stok!$A$6:$A$85,0)),0)))</f>
        <v/>
      </c>
      <c r="M865" s="11" t="str">
        <f aca="false">IF(H865="","",J865-L865)</f>
        <v/>
      </c>
      <c r="N865" s="34" t="str">
        <f aca="false">IF(G865="","",IFERROR(INDEX(I_Master!$B$6:$B$85,MATCH(G865,I_Master!$A$6:$A$85,0)),"?"))</f>
        <v/>
      </c>
      <c r="O865" s="34" t="str">
        <f aca="false">IF(G865="","",IFERROR(INDEX(I_Master!$E$6:$E$85,MATCH(G865,I_Master!$A$6:$A$85,0)),"?"))</f>
        <v/>
      </c>
      <c r="P865" s="46" t="str">
        <f aca="false">IF(H865="","",IF(OR(A865&lt;I_Parameter!$C$5,A865&gt;I_Parameter!$C$6),0,IF(B865="Aktual",1,IF(AND(B865="Order",A865&gt;=I_Parameter!$C$4),1,0))))</f>
        <v/>
      </c>
    </row>
    <row r="866" customFormat="false" ht="15" hidden="false" customHeight="false" outlineLevel="0" collapsed="false">
      <c r="A866" s="37"/>
      <c r="B866" s="44"/>
      <c r="C866" s="44"/>
      <c r="D866" s="44"/>
      <c r="E866" s="44"/>
      <c r="F866" s="44"/>
      <c r="G866" s="34" t="str">
        <f aca="false">IF(F866&lt;&gt;"",F866,IF(E866="","",IFERROR(INDEX(I_Item!$C$6:$C$255,MATCH(E866,I_Item!$A$6:$A$255,0)),"KODE BARU")))</f>
        <v/>
      </c>
      <c r="H866" s="45"/>
      <c r="I866" s="42"/>
      <c r="J866" s="11" t="str">
        <f aca="false">IF(H866="","",H866*I866)</f>
        <v/>
      </c>
      <c r="K866" s="42"/>
      <c r="L866" s="11" t="str">
        <f aca="false">IF(H866="","",IF(K866&lt;&gt;"",K866,H866*IFERROR(INDEX(O_Stok!$Q$6:$Q$85,MATCH(G866,O_Stok!$A$6:$A$85,0)),0)))</f>
        <v/>
      </c>
      <c r="M866" s="11" t="str">
        <f aca="false">IF(H866="","",J866-L866)</f>
        <v/>
      </c>
      <c r="N866" s="34" t="str">
        <f aca="false">IF(G866="","",IFERROR(INDEX(I_Master!$B$6:$B$85,MATCH(G866,I_Master!$A$6:$A$85,0)),"?"))</f>
        <v/>
      </c>
      <c r="O866" s="34" t="str">
        <f aca="false">IF(G866="","",IFERROR(INDEX(I_Master!$E$6:$E$85,MATCH(G866,I_Master!$A$6:$A$85,0)),"?"))</f>
        <v/>
      </c>
      <c r="P866" s="46" t="str">
        <f aca="false">IF(H866="","",IF(OR(A866&lt;I_Parameter!$C$5,A866&gt;I_Parameter!$C$6),0,IF(B866="Aktual",1,IF(AND(B866="Order",A866&gt;=I_Parameter!$C$4),1,0))))</f>
        <v/>
      </c>
    </row>
    <row r="867" customFormat="false" ht="15" hidden="false" customHeight="false" outlineLevel="0" collapsed="false">
      <c r="A867" s="37"/>
      <c r="B867" s="44"/>
      <c r="C867" s="44"/>
      <c r="D867" s="44"/>
      <c r="E867" s="44"/>
      <c r="F867" s="44"/>
      <c r="G867" s="34" t="str">
        <f aca="false">IF(F867&lt;&gt;"",F867,IF(E867="","",IFERROR(INDEX(I_Item!$C$6:$C$255,MATCH(E867,I_Item!$A$6:$A$255,0)),"KODE BARU")))</f>
        <v/>
      </c>
      <c r="H867" s="45"/>
      <c r="I867" s="42"/>
      <c r="J867" s="11" t="str">
        <f aca="false">IF(H867="","",H867*I867)</f>
        <v/>
      </c>
      <c r="K867" s="42"/>
      <c r="L867" s="11" t="str">
        <f aca="false">IF(H867="","",IF(K867&lt;&gt;"",K867,H867*IFERROR(INDEX(O_Stok!$Q$6:$Q$85,MATCH(G867,O_Stok!$A$6:$A$85,0)),0)))</f>
        <v/>
      </c>
      <c r="M867" s="11" t="str">
        <f aca="false">IF(H867="","",J867-L867)</f>
        <v/>
      </c>
      <c r="N867" s="34" t="str">
        <f aca="false">IF(G867="","",IFERROR(INDEX(I_Master!$B$6:$B$85,MATCH(G867,I_Master!$A$6:$A$85,0)),"?"))</f>
        <v/>
      </c>
      <c r="O867" s="34" t="str">
        <f aca="false">IF(G867="","",IFERROR(INDEX(I_Master!$E$6:$E$85,MATCH(G867,I_Master!$A$6:$A$85,0)),"?"))</f>
        <v/>
      </c>
      <c r="P867" s="46" t="str">
        <f aca="false">IF(H867="","",IF(OR(A867&lt;I_Parameter!$C$5,A867&gt;I_Parameter!$C$6),0,IF(B867="Aktual",1,IF(AND(B867="Order",A867&gt;=I_Parameter!$C$4),1,0))))</f>
        <v/>
      </c>
    </row>
    <row r="868" customFormat="false" ht="15" hidden="false" customHeight="false" outlineLevel="0" collapsed="false">
      <c r="A868" s="37"/>
      <c r="B868" s="44"/>
      <c r="C868" s="44"/>
      <c r="D868" s="44"/>
      <c r="E868" s="44"/>
      <c r="F868" s="44"/>
      <c r="G868" s="34" t="str">
        <f aca="false">IF(F868&lt;&gt;"",F868,IF(E868="","",IFERROR(INDEX(I_Item!$C$6:$C$255,MATCH(E868,I_Item!$A$6:$A$255,0)),"KODE BARU")))</f>
        <v/>
      </c>
      <c r="H868" s="45"/>
      <c r="I868" s="42"/>
      <c r="J868" s="11" t="str">
        <f aca="false">IF(H868="","",H868*I868)</f>
        <v/>
      </c>
      <c r="K868" s="42"/>
      <c r="L868" s="11" t="str">
        <f aca="false">IF(H868="","",IF(K868&lt;&gt;"",K868,H868*IFERROR(INDEX(O_Stok!$Q$6:$Q$85,MATCH(G868,O_Stok!$A$6:$A$85,0)),0)))</f>
        <v/>
      </c>
      <c r="M868" s="11" t="str">
        <f aca="false">IF(H868="","",J868-L868)</f>
        <v/>
      </c>
      <c r="N868" s="34" t="str">
        <f aca="false">IF(G868="","",IFERROR(INDEX(I_Master!$B$6:$B$85,MATCH(G868,I_Master!$A$6:$A$85,0)),"?"))</f>
        <v/>
      </c>
      <c r="O868" s="34" t="str">
        <f aca="false">IF(G868="","",IFERROR(INDEX(I_Master!$E$6:$E$85,MATCH(G868,I_Master!$A$6:$A$85,0)),"?"))</f>
        <v/>
      </c>
      <c r="P868" s="46" t="str">
        <f aca="false">IF(H868="","",IF(OR(A868&lt;I_Parameter!$C$5,A868&gt;I_Parameter!$C$6),0,IF(B868="Aktual",1,IF(AND(B868="Order",A868&gt;=I_Parameter!$C$4),1,0))))</f>
        <v/>
      </c>
    </row>
    <row r="869" customFormat="false" ht="15" hidden="false" customHeight="false" outlineLevel="0" collapsed="false">
      <c r="A869" s="37"/>
      <c r="B869" s="44"/>
      <c r="C869" s="44"/>
      <c r="D869" s="44"/>
      <c r="E869" s="44"/>
      <c r="F869" s="44"/>
      <c r="G869" s="34" t="str">
        <f aca="false">IF(F869&lt;&gt;"",F869,IF(E869="","",IFERROR(INDEX(I_Item!$C$6:$C$255,MATCH(E869,I_Item!$A$6:$A$255,0)),"KODE BARU")))</f>
        <v/>
      </c>
      <c r="H869" s="45"/>
      <c r="I869" s="42"/>
      <c r="J869" s="11" t="str">
        <f aca="false">IF(H869="","",H869*I869)</f>
        <v/>
      </c>
      <c r="K869" s="42"/>
      <c r="L869" s="11" t="str">
        <f aca="false">IF(H869="","",IF(K869&lt;&gt;"",K869,H869*IFERROR(INDEX(O_Stok!$Q$6:$Q$85,MATCH(G869,O_Stok!$A$6:$A$85,0)),0)))</f>
        <v/>
      </c>
      <c r="M869" s="11" t="str">
        <f aca="false">IF(H869="","",J869-L869)</f>
        <v/>
      </c>
      <c r="N869" s="34" t="str">
        <f aca="false">IF(G869="","",IFERROR(INDEX(I_Master!$B$6:$B$85,MATCH(G869,I_Master!$A$6:$A$85,0)),"?"))</f>
        <v/>
      </c>
      <c r="O869" s="34" t="str">
        <f aca="false">IF(G869="","",IFERROR(INDEX(I_Master!$E$6:$E$85,MATCH(G869,I_Master!$A$6:$A$85,0)),"?"))</f>
        <v/>
      </c>
      <c r="P869" s="46" t="str">
        <f aca="false">IF(H869="","",IF(OR(A869&lt;I_Parameter!$C$5,A869&gt;I_Parameter!$C$6),0,IF(B869="Aktual",1,IF(AND(B869="Order",A869&gt;=I_Parameter!$C$4),1,0))))</f>
        <v/>
      </c>
    </row>
    <row r="870" customFormat="false" ht="15" hidden="false" customHeight="false" outlineLevel="0" collapsed="false">
      <c r="A870" s="37"/>
      <c r="B870" s="44"/>
      <c r="C870" s="44"/>
      <c r="D870" s="44"/>
      <c r="E870" s="44"/>
      <c r="F870" s="44"/>
      <c r="G870" s="34" t="str">
        <f aca="false">IF(F870&lt;&gt;"",F870,IF(E870="","",IFERROR(INDEX(I_Item!$C$6:$C$255,MATCH(E870,I_Item!$A$6:$A$255,0)),"KODE BARU")))</f>
        <v/>
      </c>
      <c r="H870" s="45"/>
      <c r="I870" s="42"/>
      <c r="J870" s="11" t="str">
        <f aca="false">IF(H870="","",H870*I870)</f>
        <v/>
      </c>
      <c r="K870" s="42"/>
      <c r="L870" s="11" t="str">
        <f aca="false">IF(H870="","",IF(K870&lt;&gt;"",K870,H870*IFERROR(INDEX(O_Stok!$Q$6:$Q$85,MATCH(G870,O_Stok!$A$6:$A$85,0)),0)))</f>
        <v/>
      </c>
      <c r="M870" s="11" t="str">
        <f aca="false">IF(H870="","",J870-L870)</f>
        <v/>
      </c>
      <c r="N870" s="34" t="str">
        <f aca="false">IF(G870="","",IFERROR(INDEX(I_Master!$B$6:$B$85,MATCH(G870,I_Master!$A$6:$A$85,0)),"?"))</f>
        <v/>
      </c>
      <c r="O870" s="34" t="str">
        <f aca="false">IF(G870="","",IFERROR(INDEX(I_Master!$E$6:$E$85,MATCH(G870,I_Master!$A$6:$A$85,0)),"?"))</f>
        <v/>
      </c>
      <c r="P870" s="46" t="str">
        <f aca="false">IF(H870="","",IF(OR(A870&lt;I_Parameter!$C$5,A870&gt;I_Parameter!$C$6),0,IF(B870="Aktual",1,IF(AND(B870="Order",A870&gt;=I_Parameter!$C$4),1,0))))</f>
        <v/>
      </c>
    </row>
    <row r="871" customFormat="false" ht="15" hidden="false" customHeight="false" outlineLevel="0" collapsed="false">
      <c r="A871" s="37"/>
      <c r="B871" s="44"/>
      <c r="C871" s="44"/>
      <c r="D871" s="44"/>
      <c r="E871" s="44"/>
      <c r="F871" s="44"/>
      <c r="G871" s="34" t="str">
        <f aca="false">IF(F871&lt;&gt;"",F871,IF(E871="","",IFERROR(INDEX(I_Item!$C$6:$C$255,MATCH(E871,I_Item!$A$6:$A$255,0)),"KODE BARU")))</f>
        <v/>
      </c>
      <c r="H871" s="45"/>
      <c r="I871" s="42"/>
      <c r="J871" s="11" t="str">
        <f aca="false">IF(H871="","",H871*I871)</f>
        <v/>
      </c>
      <c r="K871" s="42"/>
      <c r="L871" s="11" t="str">
        <f aca="false">IF(H871="","",IF(K871&lt;&gt;"",K871,H871*IFERROR(INDEX(O_Stok!$Q$6:$Q$85,MATCH(G871,O_Stok!$A$6:$A$85,0)),0)))</f>
        <v/>
      </c>
      <c r="M871" s="11" t="str">
        <f aca="false">IF(H871="","",J871-L871)</f>
        <v/>
      </c>
      <c r="N871" s="34" t="str">
        <f aca="false">IF(G871="","",IFERROR(INDEX(I_Master!$B$6:$B$85,MATCH(G871,I_Master!$A$6:$A$85,0)),"?"))</f>
        <v/>
      </c>
      <c r="O871" s="34" t="str">
        <f aca="false">IF(G871="","",IFERROR(INDEX(I_Master!$E$6:$E$85,MATCH(G871,I_Master!$A$6:$A$85,0)),"?"))</f>
        <v/>
      </c>
      <c r="P871" s="46" t="str">
        <f aca="false">IF(H871="","",IF(OR(A871&lt;I_Parameter!$C$5,A871&gt;I_Parameter!$C$6),0,IF(B871="Aktual",1,IF(AND(B871="Order",A871&gt;=I_Parameter!$C$4),1,0))))</f>
        <v/>
      </c>
    </row>
    <row r="872" customFormat="false" ht="15" hidden="false" customHeight="false" outlineLevel="0" collapsed="false">
      <c r="A872" s="37"/>
      <c r="B872" s="44"/>
      <c r="C872" s="44"/>
      <c r="D872" s="44"/>
      <c r="E872" s="44"/>
      <c r="F872" s="44"/>
      <c r="G872" s="34" t="str">
        <f aca="false">IF(F872&lt;&gt;"",F872,IF(E872="","",IFERROR(INDEX(I_Item!$C$6:$C$255,MATCH(E872,I_Item!$A$6:$A$255,0)),"KODE BARU")))</f>
        <v/>
      </c>
      <c r="H872" s="45"/>
      <c r="I872" s="42"/>
      <c r="J872" s="11" t="str">
        <f aca="false">IF(H872="","",H872*I872)</f>
        <v/>
      </c>
      <c r="K872" s="42"/>
      <c r="L872" s="11" t="str">
        <f aca="false">IF(H872="","",IF(K872&lt;&gt;"",K872,H872*IFERROR(INDEX(O_Stok!$Q$6:$Q$85,MATCH(G872,O_Stok!$A$6:$A$85,0)),0)))</f>
        <v/>
      </c>
      <c r="M872" s="11" t="str">
        <f aca="false">IF(H872="","",J872-L872)</f>
        <v/>
      </c>
      <c r="N872" s="34" t="str">
        <f aca="false">IF(G872="","",IFERROR(INDEX(I_Master!$B$6:$B$85,MATCH(G872,I_Master!$A$6:$A$85,0)),"?"))</f>
        <v/>
      </c>
      <c r="O872" s="34" t="str">
        <f aca="false">IF(G872="","",IFERROR(INDEX(I_Master!$E$6:$E$85,MATCH(G872,I_Master!$A$6:$A$85,0)),"?"))</f>
        <v/>
      </c>
      <c r="P872" s="46" t="str">
        <f aca="false">IF(H872="","",IF(OR(A872&lt;I_Parameter!$C$5,A872&gt;I_Parameter!$C$6),0,IF(B872="Aktual",1,IF(AND(B872="Order",A872&gt;=I_Parameter!$C$4),1,0))))</f>
        <v/>
      </c>
    </row>
    <row r="873" customFormat="false" ht="15" hidden="false" customHeight="false" outlineLevel="0" collapsed="false">
      <c r="A873" s="37"/>
      <c r="B873" s="44"/>
      <c r="C873" s="44"/>
      <c r="D873" s="44"/>
      <c r="E873" s="44"/>
      <c r="F873" s="44"/>
      <c r="G873" s="34" t="str">
        <f aca="false">IF(F873&lt;&gt;"",F873,IF(E873="","",IFERROR(INDEX(I_Item!$C$6:$C$255,MATCH(E873,I_Item!$A$6:$A$255,0)),"KODE BARU")))</f>
        <v/>
      </c>
      <c r="H873" s="45"/>
      <c r="I873" s="42"/>
      <c r="J873" s="11" t="str">
        <f aca="false">IF(H873="","",H873*I873)</f>
        <v/>
      </c>
      <c r="K873" s="42"/>
      <c r="L873" s="11" t="str">
        <f aca="false">IF(H873="","",IF(K873&lt;&gt;"",K873,H873*IFERROR(INDEX(O_Stok!$Q$6:$Q$85,MATCH(G873,O_Stok!$A$6:$A$85,0)),0)))</f>
        <v/>
      </c>
      <c r="M873" s="11" t="str">
        <f aca="false">IF(H873="","",J873-L873)</f>
        <v/>
      </c>
      <c r="N873" s="34" t="str">
        <f aca="false">IF(G873="","",IFERROR(INDEX(I_Master!$B$6:$B$85,MATCH(G873,I_Master!$A$6:$A$85,0)),"?"))</f>
        <v/>
      </c>
      <c r="O873" s="34" t="str">
        <f aca="false">IF(G873="","",IFERROR(INDEX(I_Master!$E$6:$E$85,MATCH(G873,I_Master!$A$6:$A$85,0)),"?"))</f>
        <v/>
      </c>
      <c r="P873" s="46" t="str">
        <f aca="false">IF(H873="","",IF(OR(A873&lt;I_Parameter!$C$5,A873&gt;I_Parameter!$C$6),0,IF(B873="Aktual",1,IF(AND(B873="Order",A873&gt;=I_Parameter!$C$4),1,0))))</f>
        <v/>
      </c>
    </row>
    <row r="874" customFormat="false" ht="15" hidden="false" customHeight="false" outlineLevel="0" collapsed="false">
      <c r="A874" s="37"/>
      <c r="B874" s="44"/>
      <c r="C874" s="44"/>
      <c r="D874" s="44"/>
      <c r="E874" s="44"/>
      <c r="F874" s="44"/>
      <c r="G874" s="34" t="str">
        <f aca="false">IF(F874&lt;&gt;"",F874,IF(E874="","",IFERROR(INDEX(I_Item!$C$6:$C$255,MATCH(E874,I_Item!$A$6:$A$255,0)),"KODE BARU")))</f>
        <v/>
      </c>
      <c r="H874" s="45"/>
      <c r="I874" s="42"/>
      <c r="J874" s="11" t="str">
        <f aca="false">IF(H874="","",H874*I874)</f>
        <v/>
      </c>
      <c r="K874" s="42"/>
      <c r="L874" s="11" t="str">
        <f aca="false">IF(H874="","",IF(K874&lt;&gt;"",K874,H874*IFERROR(INDEX(O_Stok!$Q$6:$Q$85,MATCH(G874,O_Stok!$A$6:$A$85,0)),0)))</f>
        <v/>
      </c>
      <c r="M874" s="11" t="str">
        <f aca="false">IF(H874="","",J874-L874)</f>
        <v/>
      </c>
      <c r="N874" s="34" t="str">
        <f aca="false">IF(G874="","",IFERROR(INDEX(I_Master!$B$6:$B$85,MATCH(G874,I_Master!$A$6:$A$85,0)),"?"))</f>
        <v/>
      </c>
      <c r="O874" s="34" t="str">
        <f aca="false">IF(G874="","",IFERROR(INDEX(I_Master!$E$6:$E$85,MATCH(G874,I_Master!$A$6:$A$85,0)),"?"))</f>
        <v/>
      </c>
      <c r="P874" s="46" t="str">
        <f aca="false">IF(H874="","",IF(OR(A874&lt;I_Parameter!$C$5,A874&gt;I_Parameter!$C$6),0,IF(B874="Aktual",1,IF(AND(B874="Order",A874&gt;=I_Parameter!$C$4),1,0))))</f>
        <v/>
      </c>
    </row>
    <row r="875" customFormat="false" ht="15" hidden="false" customHeight="false" outlineLevel="0" collapsed="false">
      <c r="A875" s="37"/>
      <c r="B875" s="44"/>
      <c r="C875" s="44"/>
      <c r="D875" s="44"/>
      <c r="E875" s="44"/>
      <c r="F875" s="44"/>
      <c r="G875" s="34" t="str">
        <f aca="false">IF(F875&lt;&gt;"",F875,IF(E875="","",IFERROR(INDEX(I_Item!$C$6:$C$255,MATCH(E875,I_Item!$A$6:$A$255,0)),"KODE BARU")))</f>
        <v/>
      </c>
      <c r="H875" s="45"/>
      <c r="I875" s="42"/>
      <c r="J875" s="11" t="str">
        <f aca="false">IF(H875="","",H875*I875)</f>
        <v/>
      </c>
      <c r="K875" s="42"/>
      <c r="L875" s="11" t="str">
        <f aca="false">IF(H875="","",IF(K875&lt;&gt;"",K875,H875*IFERROR(INDEX(O_Stok!$Q$6:$Q$85,MATCH(G875,O_Stok!$A$6:$A$85,0)),0)))</f>
        <v/>
      </c>
      <c r="M875" s="11" t="str">
        <f aca="false">IF(H875="","",J875-L875)</f>
        <v/>
      </c>
      <c r="N875" s="34" t="str">
        <f aca="false">IF(G875="","",IFERROR(INDEX(I_Master!$B$6:$B$85,MATCH(G875,I_Master!$A$6:$A$85,0)),"?"))</f>
        <v/>
      </c>
      <c r="O875" s="34" t="str">
        <f aca="false">IF(G875="","",IFERROR(INDEX(I_Master!$E$6:$E$85,MATCH(G875,I_Master!$A$6:$A$85,0)),"?"))</f>
        <v/>
      </c>
      <c r="P875" s="46" t="str">
        <f aca="false">IF(H875="","",IF(OR(A875&lt;I_Parameter!$C$5,A875&gt;I_Parameter!$C$6),0,IF(B875="Aktual",1,IF(AND(B875="Order",A875&gt;=I_Parameter!$C$4),1,0))))</f>
        <v/>
      </c>
    </row>
    <row r="876" customFormat="false" ht="15" hidden="false" customHeight="false" outlineLevel="0" collapsed="false">
      <c r="A876" s="37"/>
      <c r="B876" s="44"/>
      <c r="C876" s="44"/>
      <c r="D876" s="44"/>
      <c r="E876" s="44"/>
      <c r="F876" s="44"/>
      <c r="G876" s="34" t="str">
        <f aca="false">IF(F876&lt;&gt;"",F876,IF(E876="","",IFERROR(INDEX(I_Item!$C$6:$C$255,MATCH(E876,I_Item!$A$6:$A$255,0)),"KODE BARU")))</f>
        <v/>
      </c>
      <c r="H876" s="45"/>
      <c r="I876" s="42"/>
      <c r="J876" s="11" t="str">
        <f aca="false">IF(H876="","",H876*I876)</f>
        <v/>
      </c>
      <c r="K876" s="42"/>
      <c r="L876" s="11" t="str">
        <f aca="false">IF(H876="","",IF(K876&lt;&gt;"",K876,H876*IFERROR(INDEX(O_Stok!$Q$6:$Q$85,MATCH(G876,O_Stok!$A$6:$A$85,0)),0)))</f>
        <v/>
      </c>
      <c r="M876" s="11" t="str">
        <f aca="false">IF(H876="","",J876-L876)</f>
        <v/>
      </c>
      <c r="N876" s="34" t="str">
        <f aca="false">IF(G876="","",IFERROR(INDEX(I_Master!$B$6:$B$85,MATCH(G876,I_Master!$A$6:$A$85,0)),"?"))</f>
        <v/>
      </c>
      <c r="O876" s="34" t="str">
        <f aca="false">IF(G876="","",IFERROR(INDEX(I_Master!$E$6:$E$85,MATCH(G876,I_Master!$A$6:$A$85,0)),"?"))</f>
        <v/>
      </c>
      <c r="P876" s="46" t="str">
        <f aca="false">IF(H876="","",IF(OR(A876&lt;I_Parameter!$C$5,A876&gt;I_Parameter!$C$6),0,IF(B876="Aktual",1,IF(AND(B876="Order",A876&gt;=I_Parameter!$C$4),1,0))))</f>
        <v/>
      </c>
    </row>
    <row r="877" customFormat="false" ht="15" hidden="false" customHeight="false" outlineLevel="0" collapsed="false">
      <c r="A877" s="37"/>
      <c r="B877" s="44"/>
      <c r="C877" s="44"/>
      <c r="D877" s="44"/>
      <c r="E877" s="44"/>
      <c r="F877" s="44"/>
      <c r="G877" s="34" t="str">
        <f aca="false">IF(F877&lt;&gt;"",F877,IF(E877="","",IFERROR(INDEX(I_Item!$C$6:$C$255,MATCH(E877,I_Item!$A$6:$A$255,0)),"KODE BARU")))</f>
        <v/>
      </c>
      <c r="H877" s="45"/>
      <c r="I877" s="42"/>
      <c r="J877" s="11" t="str">
        <f aca="false">IF(H877="","",H877*I877)</f>
        <v/>
      </c>
      <c r="K877" s="42"/>
      <c r="L877" s="11" t="str">
        <f aca="false">IF(H877="","",IF(K877&lt;&gt;"",K877,H877*IFERROR(INDEX(O_Stok!$Q$6:$Q$85,MATCH(G877,O_Stok!$A$6:$A$85,0)),0)))</f>
        <v/>
      </c>
      <c r="M877" s="11" t="str">
        <f aca="false">IF(H877="","",J877-L877)</f>
        <v/>
      </c>
      <c r="N877" s="34" t="str">
        <f aca="false">IF(G877="","",IFERROR(INDEX(I_Master!$B$6:$B$85,MATCH(G877,I_Master!$A$6:$A$85,0)),"?"))</f>
        <v/>
      </c>
      <c r="O877" s="34" t="str">
        <f aca="false">IF(G877="","",IFERROR(INDEX(I_Master!$E$6:$E$85,MATCH(G877,I_Master!$A$6:$A$85,0)),"?"))</f>
        <v/>
      </c>
      <c r="P877" s="46" t="str">
        <f aca="false">IF(H877="","",IF(OR(A877&lt;I_Parameter!$C$5,A877&gt;I_Parameter!$C$6),0,IF(B877="Aktual",1,IF(AND(B877="Order",A877&gt;=I_Parameter!$C$4),1,0))))</f>
        <v/>
      </c>
    </row>
    <row r="878" customFormat="false" ht="15" hidden="false" customHeight="false" outlineLevel="0" collapsed="false">
      <c r="A878" s="37"/>
      <c r="B878" s="44"/>
      <c r="C878" s="44"/>
      <c r="D878" s="44"/>
      <c r="E878" s="44"/>
      <c r="F878" s="44"/>
      <c r="G878" s="34" t="str">
        <f aca="false">IF(F878&lt;&gt;"",F878,IF(E878="","",IFERROR(INDEX(I_Item!$C$6:$C$255,MATCH(E878,I_Item!$A$6:$A$255,0)),"KODE BARU")))</f>
        <v/>
      </c>
      <c r="H878" s="45"/>
      <c r="I878" s="42"/>
      <c r="J878" s="11" t="str">
        <f aca="false">IF(H878="","",H878*I878)</f>
        <v/>
      </c>
      <c r="K878" s="42"/>
      <c r="L878" s="11" t="str">
        <f aca="false">IF(H878="","",IF(K878&lt;&gt;"",K878,H878*IFERROR(INDEX(O_Stok!$Q$6:$Q$85,MATCH(G878,O_Stok!$A$6:$A$85,0)),0)))</f>
        <v/>
      </c>
      <c r="M878" s="11" t="str">
        <f aca="false">IF(H878="","",J878-L878)</f>
        <v/>
      </c>
      <c r="N878" s="34" t="str">
        <f aca="false">IF(G878="","",IFERROR(INDEX(I_Master!$B$6:$B$85,MATCH(G878,I_Master!$A$6:$A$85,0)),"?"))</f>
        <v/>
      </c>
      <c r="O878" s="34" t="str">
        <f aca="false">IF(G878="","",IFERROR(INDEX(I_Master!$E$6:$E$85,MATCH(G878,I_Master!$A$6:$A$85,0)),"?"))</f>
        <v/>
      </c>
      <c r="P878" s="46" t="str">
        <f aca="false">IF(H878="","",IF(OR(A878&lt;I_Parameter!$C$5,A878&gt;I_Parameter!$C$6),0,IF(B878="Aktual",1,IF(AND(B878="Order",A878&gt;=I_Parameter!$C$4),1,0))))</f>
        <v/>
      </c>
    </row>
    <row r="879" customFormat="false" ht="15" hidden="false" customHeight="false" outlineLevel="0" collapsed="false">
      <c r="A879" s="37"/>
      <c r="B879" s="44"/>
      <c r="C879" s="44"/>
      <c r="D879" s="44"/>
      <c r="E879" s="44"/>
      <c r="F879" s="44"/>
      <c r="G879" s="34" t="str">
        <f aca="false">IF(F879&lt;&gt;"",F879,IF(E879="","",IFERROR(INDEX(I_Item!$C$6:$C$255,MATCH(E879,I_Item!$A$6:$A$255,0)),"KODE BARU")))</f>
        <v/>
      </c>
      <c r="H879" s="45"/>
      <c r="I879" s="42"/>
      <c r="J879" s="11" t="str">
        <f aca="false">IF(H879="","",H879*I879)</f>
        <v/>
      </c>
      <c r="K879" s="42"/>
      <c r="L879" s="11" t="str">
        <f aca="false">IF(H879="","",IF(K879&lt;&gt;"",K879,H879*IFERROR(INDEX(O_Stok!$Q$6:$Q$85,MATCH(G879,O_Stok!$A$6:$A$85,0)),0)))</f>
        <v/>
      </c>
      <c r="M879" s="11" t="str">
        <f aca="false">IF(H879="","",J879-L879)</f>
        <v/>
      </c>
      <c r="N879" s="34" t="str">
        <f aca="false">IF(G879="","",IFERROR(INDEX(I_Master!$B$6:$B$85,MATCH(G879,I_Master!$A$6:$A$85,0)),"?"))</f>
        <v/>
      </c>
      <c r="O879" s="34" t="str">
        <f aca="false">IF(G879="","",IFERROR(INDEX(I_Master!$E$6:$E$85,MATCH(G879,I_Master!$A$6:$A$85,0)),"?"))</f>
        <v/>
      </c>
      <c r="P879" s="46" t="str">
        <f aca="false">IF(H879="","",IF(OR(A879&lt;I_Parameter!$C$5,A879&gt;I_Parameter!$C$6),0,IF(B879="Aktual",1,IF(AND(B879="Order",A879&gt;=I_Parameter!$C$4),1,0))))</f>
        <v/>
      </c>
    </row>
    <row r="880" customFormat="false" ht="15" hidden="false" customHeight="false" outlineLevel="0" collapsed="false">
      <c r="A880" s="37"/>
      <c r="B880" s="44"/>
      <c r="C880" s="44"/>
      <c r="D880" s="44"/>
      <c r="E880" s="44"/>
      <c r="F880" s="44"/>
      <c r="G880" s="34" t="str">
        <f aca="false">IF(F880&lt;&gt;"",F880,IF(E880="","",IFERROR(INDEX(I_Item!$C$6:$C$255,MATCH(E880,I_Item!$A$6:$A$255,0)),"KODE BARU")))</f>
        <v/>
      </c>
      <c r="H880" s="45"/>
      <c r="I880" s="42"/>
      <c r="J880" s="11" t="str">
        <f aca="false">IF(H880="","",H880*I880)</f>
        <v/>
      </c>
      <c r="K880" s="42"/>
      <c r="L880" s="11" t="str">
        <f aca="false">IF(H880="","",IF(K880&lt;&gt;"",K880,H880*IFERROR(INDEX(O_Stok!$Q$6:$Q$85,MATCH(G880,O_Stok!$A$6:$A$85,0)),0)))</f>
        <v/>
      </c>
      <c r="M880" s="11" t="str">
        <f aca="false">IF(H880="","",J880-L880)</f>
        <v/>
      </c>
      <c r="N880" s="34" t="str">
        <f aca="false">IF(G880="","",IFERROR(INDEX(I_Master!$B$6:$B$85,MATCH(G880,I_Master!$A$6:$A$85,0)),"?"))</f>
        <v/>
      </c>
      <c r="O880" s="34" t="str">
        <f aca="false">IF(G880="","",IFERROR(INDEX(I_Master!$E$6:$E$85,MATCH(G880,I_Master!$A$6:$A$85,0)),"?"))</f>
        <v/>
      </c>
      <c r="P880" s="46" t="str">
        <f aca="false">IF(H880="","",IF(OR(A880&lt;I_Parameter!$C$5,A880&gt;I_Parameter!$C$6),0,IF(B880="Aktual",1,IF(AND(B880="Order",A880&gt;=I_Parameter!$C$4),1,0))))</f>
        <v/>
      </c>
    </row>
    <row r="881" customFormat="false" ht="15" hidden="false" customHeight="false" outlineLevel="0" collapsed="false">
      <c r="A881" s="37"/>
      <c r="B881" s="44"/>
      <c r="C881" s="44"/>
      <c r="D881" s="44"/>
      <c r="E881" s="44"/>
      <c r="F881" s="44"/>
      <c r="G881" s="34" t="str">
        <f aca="false">IF(F881&lt;&gt;"",F881,IF(E881="","",IFERROR(INDEX(I_Item!$C$6:$C$255,MATCH(E881,I_Item!$A$6:$A$255,0)),"KODE BARU")))</f>
        <v/>
      </c>
      <c r="H881" s="45"/>
      <c r="I881" s="42"/>
      <c r="J881" s="11" t="str">
        <f aca="false">IF(H881="","",H881*I881)</f>
        <v/>
      </c>
      <c r="K881" s="42"/>
      <c r="L881" s="11" t="str">
        <f aca="false">IF(H881="","",IF(K881&lt;&gt;"",K881,H881*IFERROR(INDEX(O_Stok!$Q$6:$Q$85,MATCH(G881,O_Stok!$A$6:$A$85,0)),0)))</f>
        <v/>
      </c>
      <c r="M881" s="11" t="str">
        <f aca="false">IF(H881="","",J881-L881)</f>
        <v/>
      </c>
      <c r="N881" s="34" t="str">
        <f aca="false">IF(G881="","",IFERROR(INDEX(I_Master!$B$6:$B$85,MATCH(G881,I_Master!$A$6:$A$85,0)),"?"))</f>
        <v/>
      </c>
      <c r="O881" s="34" t="str">
        <f aca="false">IF(G881="","",IFERROR(INDEX(I_Master!$E$6:$E$85,MATCH(G881,I_Master!$A$6:$A$85,0)),"?"))</f>
        <v/>
      </c>
      <c r="P881" s="46" t="str">
        <f aca="false">IF(H881="","",IF(OR(A881&lt;I_Parameter!$C$5,A881&gt;I_Parameter!$C$6),0,IF(B881="Aktual",1,IF(AND(B881="Order",A881&gt;=I_Parameter!$C$4),1,0))))</f>
        <v/>
      </c>
    </row>
    <row r="882" customFormat="false" ht="15" hidden="false" customHeight="false" outlineLevel="0" collapsed="false">
      <c r="A882" s="37"/>
      <c r="B882" s="44"/>
      <c r="C882" s="44"/>
      <c r="D882" s="44"/>
      <c r="E882" s="44"/>
      <c r="F882" s="44"/>
      <c r="G882" s="34" t="str">
        <f aca="false">IF(F882&lt;&gt;"",F882,IF(E882="","",IFERROR(INDEX(I_Item!$C$6:$C$255,MATCH(E882,I_Item!$A$6:$A$255,0)),"KODE BARU")))</f>
        <v/>
      </c>
      <c r="H882" s="45"/>
      <c r="I882" s="42"/>
      <c r="J882" s="11" t="str">
        <f aca="false">IF(H882="","",H882*I882)</f>
        <v/>
      </c>
      <c r="K882" s="42"/>
      <c r="L882" s="11" t="str">
        <f aca="false">IF(H882="","",IF(K882&lt;&gt;"",K882,H882*IFERROR(INDEX(O_Stok!$Q$6:$Q$85,MATCH(G882,O_Stok!$A$6:$A$85,0)),0)))</f>
        <v/>
      </c>
      <c r="M882" s="11" t="str">
        <f aca="false">IF(H882="","",J882-L882)</f>
        <v/>
      </c>
      <c r="N882" s="34" t="str">
        <f aca="false">IF(G882="","",IFERROR(INDEX(I_Master!$B$6:$B$85,MATCH(G882,I_Master!$A$6:$A$85,0)),"?"))</f>
        <v/>
      </c>
      <c r="O882" s="34" t="str">
        <f aca="false">IF(G882="","",IFERROR(INDEX(I_Master!$E$6:$E$85,MATCH(G882,I_Master!$A$6:$A$85,0)),"?"))</f>
        <v/>
      </c>
      <c r="P882" s="46" t="str">
        <f aca="false">IF(H882="","",IF(OR(A882&lt;I_Parameter!$C$5,A882&gt;I_Parameter!$C$6),0,IF(B882="Aktual",1,IF(AND(B882="Order",A882&gt;=I_Parameter!$C$4),1,0))))</f>
        <v/>
      </c>
    </row>
    <row r="883" customFormat="false" ht="15" hidden="false" customHeight="false" outlineLevel="0" collapsed="false">
      <c r="A883" s="37"/>
      <c r="B883" s="44"/>
      <c r="C883" s="44"/>
      <c r="D883" s="44"/>
      <c r="E883" s="44"/>
      <c r="F883" s="44"/>
      <c r="G883" s="34" t="str">
        <f aca="false">IF(F883&lt;&gt;"",F883,IF(E883="","",IFERROR(INDEX(I_Item!$C$6:$C$255,MATCH(E883,I_Item!$A$6:$A$255,0)),"KODE BARU")))</f>
        <v/>
      </c>
      <c r="H883" s="45"/>
      <c r="I883" s="42"/>
      <c r="J883" s="11" t="str">
        <f aca="false">IF(H883="","",H883*I883)</f>
        <v/>
      </c>
      <c r="K883" s="42"/>
      <c r="L883" s="11" t="str">
        <f aca="false">IF(H883="","",IF(K883&lt;&gt;"",K883,H883*IFERROR(INDEX(O_Stok!$Q$6:$Q$85,MATCH(G883,O_Stok!$A$6:$A$85,0)),0)))</f>
        <v/>
      </c>
      <c r="M883" s="11" t="str">
        <f aca="false">IF(H883="","",J883-L883)</f>
        <v/>
      </c>
      <c r="N883" s="34" t="str">
        <f aca="false">IF(G883="","",IFERROR(INDEX(I_Master!$B$6:$B$85,MATCH(G883,I_Master!$A$6:$A$85,0)),"?"))</f>
        <v/>
      </c>
      <c r="O883" s="34" t="str">
        <f aca="false">IF(G883="","",IFERROR(INDEX(I_Master!$E$6:$E$85,MATCH(G883,I_Master!$A$6:$A$85,0)),"?"))</f>
        <v/>
      </c>
      <c r="P883" s="46" t="str">
        <f aca="false">IF(H883="","",IF(OR(A883&lt;I_Parameter!$C$5,A883&gt;I_Parameter!$C$6),0,IF(B883="Aktual",1,IF(AND(B883="Order",A883&gt;=I_Parameter!$C$4),1,0))))</f>
        <v/>
      </c>
    </row>
    <row r="884" customFormat="false" ht="15" hidden="false" customHeight="false" outlineLevel="0" collapsed="false">
      <c r="A884" s="37"/>
      <c r="B884" s="44"/>
      <c r="C884" s="44"/>
      <c r="D884" s="44"/>
      <c r="E884" s="44"/>
      <c r="F884" s="44"/>
      <c r="G884" s="34" t="str">
        <f aca="false">IF(F884&lt;&gt;"",F884,IF(E884="","",IFERROR(INDEX(I_Item!$C$6:$C$255,MATCH(E884,I_Item!$A$6:$A$255,0)),"KODE BARU")))</f>
        <v/>
      </c>
      <c r="H884" s="45"/>
      <c r="I884" s="42"/>
      <c r="J884" s="11" t="str">
        <f aca="false">IF(H884="","",H884*I884)</f>
        <v/>
      </c>
      <c r="K884" s="42"/>
      <c r="L884" s="11" t="str">
        <f aca="false">IF(H884="","",IF(K884&lt;&gt;"",K884,H884*IFERROR(INDEX(O_Stok!$Q$6:$Q$85,MATCH(G884,O_Stok!$A$6:$A$85,0)),0)))</f>
        <v/>
      </c>
      <c r="M884" s="11" t="str">
        <f aca="false">IF(H884="","",J884-L884)</f>
        <v/>
      </c>
      <c r="N884" s="34" t="str">
        <f aca="false">IF(G884="","",IFERROR(INDEX(I_Master!$B$6:$B$85,MATCH(G884,I_Master!$A$6:$A$85,0)),"?"))</f>
        <v/>
      </c>
      <c r="O884" s="34" t="str">
        <f aca="false">IF(G884="","",IFERROR(INDEX(I_Master!$E$6:$E$85,MATCH(G884,I_Master!$A$6:$A$85,0)),"?"))</f>
        <v/>
      </c>
      <c r="P884" s="46" t="str">
        <f aca="false">IF(H884="","",IF(OR(A884&lt;I_Parameter!$C$5,A884&gt;I_Parameter!$C$6),0,IF(B884="Aktual",1,IF(AND(B884="Order",A884&gt;=I_Parameter!$C$4),1,0))))</f>
        <v/>
      </c>
    </row>
    <row r="885" customFormat="false" ht="15" hidden="false" customHeight="false" outlineLevel="0" collapsed="false">
      <c r="A885" s="37"/>
      <c r="B885" s="44"/>
      <c r="C885" s="44"/>
      <c r="D885" s="44"/>
      <c r="E885" s="44"/>
      <c r="F885" s="44"/>
      <c r="G885" s="34" t="str">
        <f aca="false">IF(F885&lt;&gt;"",F885,IF(E885="","",IFERROR(INDEX(I_Item!$C$6:$C$255,MATCH(E885,I_Item!$A$6:$A$255,0)),"KODE BARU")))</f>
        <v/>
      </c>
      <c r="H885" s="45"/>
      <c r="I885" s="42"/>
      <c r="J885" s="11" t="str">
        <f aca="false">IF(H885="","",H885*I885)</f>
        <v/>
      </c>
      <c r="K885" s="42"/>
      <c r="L885" s="11" t="str">
        <f aca="false">IF(H885="","",IF(K885&lt;&gt;"",K885,H885*IFERROR(INDEX(O_Stok!$Q$6:$Q$85,MATCH(G885,O_Stok!$A$6:$A$85,0)),0)))</f>
        <v/>
      </c>
      <c r="M885" s="11" t="str">
        <f aca="false">IF(H885="","",J885-L885)</f>
        <v/>
      </c>
      <c r="N885" s="34" t="str">
        <f aca="false">IF(G885="","",IFERROR(INDEX(I_Master!$B$6:$B$85,MATCH(G885,I_Master!$A$6:$A$85,0)),"?"))</f>
        <v/>
      </c>
      <c r="O885" s="34" t="str">
        <f aca="false">IF(G885="","",IFERROR(INDEX(I_Master!$E$6:$E$85,MATCH(G885,I_Master!$A$6:$A$85,0)),"?"))</f>
        <v/>
      </c>
      <c r="P885" s="46" t="str">
        <f aca="false">IF(H885="","",IF(OR(A885&lt;I_Parameter!$C$5,A885&gt;I_Parameter!$C$6),0,IF(B885="Aktual",1,IF(AND(B885="Order",A885&gt;=I_Parameter!$C$4),1,0))))</f>
        <v/>
      </c>
    </row>
    <row r="886" customFormat="false" ht="15" hidden="false" customHeight="false" outlineLevel="0" collapsed="false">
      <c r="A886" s="37"/>
      <c r="B886" s="44"/>
      <c r="C886" s="44"/>
      <c r="D886" s="44"/>
      <c r="E886" s="44"/>
      <c r="F886" s="44"/>
      <c r="G886" s="34" t="str">
        <f aca="false">IF(F886&lt;&gt;"",F886,IF(E886="","",IFERROR(INDEX(I_Item!$C$6:$C$255,MATCH(E886,I_Item!$A$6:$A$255,0)),"KODE BARU")))</f>
        <v/>
      </c>
      <c r="H886" s="45"/>
      <c r="I886" s="42"/>
      <c r="J886" s="11" t="str">
        <f aca="false">IF(H886="","",H886*I886)</f>
        <v/>
      </c>
      <c r="K886" s="42"/>
      <c r="L886" s="11" t="str">
        <f aca="false">IF(H886="","",IF(K886&lt;&gt;"",K886,H886*IFERROR(INDEX(O_Stok!$Q$6:$Q$85,MATCH(G886,O_Stok!$A$6:$A$85,0)),0)))</f>
        <v/>
      </c>
      <c r="M886" s="11" t="str">
        <f aca="false">IF(H886="","",J886-L886)</f>
        <v/>
      </c>
      <c r="N886" s="34" t="str">
        <f aca="false">IF(G886="","",IFERROR(INDEX(I_Master!$B$6:$B$85,MATCH(G886,I_Master!$A$6:$A$85,0)),"?"))</f>
        <v/>
      </c>
      <c r="O886" s="34" t="str">
        <f aca="false">IF(G886="","",IFERROR(INDEX(I_Master!$E$6:$E$85,MATCH(G886,I_Master!$A$6:$A$85,0)),"?"))</f>
        <v/>
      </c>
      <c r="P886" s="46" t="str">
        <f aca="false">IF(H886="","",IF(OR(A886&lt;I_Parameter!$C$5,A886&gt;I_Parameter!$C$6),0,IF(B886="Aktual",1,IF(AND(B886="Order",A886&gt;=I_Parameter!$C$4),1,0))))</f>
        <v/>
      </c>
    </row>
    <row r="887" customFormat="false" ht="15" hidden="false" customHeight="false" outlineLevel="0" collapsed="false">
      <c r="A887" s="37"/>
      <c r="B887" s="44"/>
      <c r="C887" s="44"/>
      <c r="D887" s="44"/>
      <c r="E887" s="44"/>
      <c r="F887" s="44"/>
      <c r="G887" s="34" t="str">
        <f aca="false">IF(F887&lt;&gt;"",F887,IF(E887="","",IFERROR(INDEX(I_Item!$C$6:$C$255,MATCH(E887,I_Item!$A$6:$A$255,0)),"KODE BARU")))</f>
        <v/>
      </c>
      <c r="H887" s="45"/>
      <c r="I887" s="42"/>
      <c r="J887" s="11" t="str">
        <f aca="false">IF(H887="","",H887*I887)</f>
        <v/>
      </c>
      <c r="K887" s="42"/>
      <c r="L887" s="11" t="str">
        <f aca="false">IF(H887="","",IF(K887&lt;&gt;"",K887,H887*IFERROR(INDEX(O_Stok!$Q$6:$Q$85,MATCH(G887,O_Stok!$A$6:$A$85,0)),0)))</f>
        <v/>
      </c>
      <c r="M887" s="11" t="str">
        <f aca="false">IF(H887="","",J887-L887)</f>
        <v/>
      </c>
      <c r="N887" s="34" t="str">
        <f aca="false">IF(G887="","",IFERROR(INDEX(I_Master!$B$6:$B$85,MATCH(G887,I_Master!$A$6:$A$85,0)),"?"))</f>
        <v/>
      </c>
      <c r="O887" s="34" t="str">
        <f aca="false">IF(G887="","",IFERROR(INDEX(I_Master!$E$6:$E$85,MATCH(G887,I_Master!$A$6:$A$85,0)),"?"))</f>
        <v/>
      </c>
      <c r="P887" s="46" t="str">
        <f aca="false">IF(H887="","",IF(OR(A887&lt;I_Parameter!$C$5,A887&gt;I_Parameter!$C$6),0,IF(B887="Aktual",1,IF(AND(B887="Order",A887&gt;=I_Parameter!$C$4),1,0))))</f>
        <v/>
      </c>
    </row>
    <row r="888" customFormat="false" ht="15" hidden="false" customHeight="false" outlineLevel="0" collapsed="false">
      <c r="A888" s="37"/>
      <c r="B888" s="44"/>
      <c r="C888" s="44"/>
      <c r="D888" s="44"/>
      <c r="E888" s="44"/>
      <c r="F888" s="44"/>
      <c r="G888" s="34" t="str">
        <f aca="false">IF(F888&lt;&gt;"",F888,IF(E888="","",IFERROR(INDEX(I_Item!$C$6:$C$255,MATCH(E888,I_Item!$A$6:$A$255,0)),"KODE BARU")))</f>
        <v/>
      </c>
      <c r="H888" s="45"/>
      <c r="I888" s="42"/>
      <c r="J888" s="11" t="str">
        <f aca="false">IF(H888="","",H888*I888)</f>
        <v/>
      </c>
      <c r="K888" s="42"/>
      <c r="L888" s="11" t="str">
        <f aca="false">IF(H888="","",IF(K888&lt;&gt;"",K888,H888*IFERROR(INDEX(O_Stok!$Q$6:$Q$85,MATCH(G888,O_Stok!$A$6:$A$85,0)),0)))</f>
        <v/>
      </c>
      <c r="M888" s="11" t="str">
        <f aca="false">IF(H888="","",J888-L888)</f>
        <v/>
      </c>
      <c r="N888" s="34" t="str">
        <f aca="false">IF(G888="","",IFERROR(INDEX(I_Master!$B$6:$B$85,MATCH(G888,I_Master!$A$6:$A$85,0)),"?"))</f>
        <v/>
      </c>
      <c r="O888" s="34" t="str">
        <f aca="false">IF(G888="","",IFERROR(INDEX(I_Master!$E$6:$E$85,MATCH(G888,I_Master!$A$6:$A$85,0)),"?"))</f>
        <v/>
      </c>
      <c r="P888" s="46" t="str">
        <f aca="false">IF(H888="","",IF(OR(A888&lt;I_Parameter!$C$5,A888&gt;I_Parameter!$C$6),0,IF(B888="Aktual",1,IF(AND(B888="Order",A888&gt;=I_Parameter!$C$4),1,0))))</f>
        <v/>
      </c>
    </row>
    <row r="889" customFormat="false" ht="15" hidden="false" customHeight="false" outlineLevel="0" collapsed="false">
      <c r="A889" s="37"/>
      <c r="B889" s="44"/>
      <c r="C889" s="44"/>
      <c r="D889" s="44"/>
      <c r="E889" s="44"/>
      <c r="F889" s="44"/>
      <c r="G889" s="34" t="str">
        <f aca="false">IF(F889&lt;&gt;"",F889,IF(E889="","",IFERROR(INDEX(I_Item!$C$6:$C$255,MATCH(E889,I_Item!$A$6:$A$255,0)),"KODE BARU")))</f>
        <v/>
      </c>
      <c r="H889" s="45"/>
      <c r="I889" s="42"/>
      <c r="J889" s="11" t="str">
        <f aca="false">IF(H889="","",H889*I889)</f>
        <v/>
      </c>
      <c r="K889" s="42"/>
      <c r="L889" s="11" t="str">
        <f aca="false">IF(H889="","",IF(K889&lt;&gt;"",K889,H889*IFERROR(INDEX(O_Stok!$Q$6:$Q$85,MATCH(G889,O_Stok!$A$6:$A$85,0)),0)))</f>
        <v/>
      </c>
      <c r="M889" s="11" t="str">
        <f aca="false">IF(H889="","",J889-L889)</f>
        <v/>
      </c>
      <c r="N889" s="34" t="str">
        <f aca="false">IF(G889="","",IFERROR(INDEX(I_Master!$B$6:$B$85,MATCH(G889,I_Master!$A$6:$A$85,0)),"?"))</f>
        <v/>
      </c>
      <c r="O889" s="34" t="str">
        <f aca="false">IF(G889="","",IFERROR(INDEX(I_Master!$E$6:$E$85,MATCH(G889,I_Master!$A$6:$A$85,0)),"?"))</f>
        <v/>
      </c>
      <c r="P889" s="46" t="str">
        <f aca="false">IF(H889="","",IF(OR(A889&lt;I_Parameter!$C$5,A889&gt;I_Parameter!$C$6),0,IF(B889="Aktual",1,IF(AND(B889="Order",A889&gt;=I_Parameter!$C$4),1,0))))</f>
        <v/>
      </c>
    </row>
    <row r="890" customFormat="false" ht="15" hidden="false" customHeight="false" outlineLevel="0" collapsed="false">
      <c r="A890" s="37"/>
      <c r="B890" s="44"/>
      <c r="C890" s="44"/>
      <c r="D890" s="44"/>
      <c r="E890" s="44"/>
      <c r="F890" s="44"/>
      <c r="G890" s="34" t="str">
        <f aca="false">IF(F890&lt;&gt;"",F890,IF(E890="","",IFERROR(INDEX(I_Item!$C$6:$C$255,MATCH(E890,I_Item!$A$6:$A$255,0)),"KODE BARU")))</f>
        <v/>
      </c>
      <c r="H890" s="45"/>
      <c r="I890" s="42"/>
      <c r="J890" s="11" t="str">
        <f aca="false">IF(H890="","",H890*I890)</f>
        <v/>
      </c>
      <c r="K890" s="42"/>
      <c r="L890" s="11" t="str">
        <f aca="false">IF(H890="","",IF(K890&lt;&gt;"",K890,H890*IFERROR(INDEX(O_Stok!$Q$6:$Q$85,MATCH(G890,O_Stok!$A$6:$A$85,0)),0)))</f>
        <v/>
      </c>
      <c r="M890" s="11" t="str">
        <f aca="false">IF(H890="","",J890-L890)</f>
        <v/>
      </c>
      <c r="N890" s="34" t="str">
        <f aca="false">IF(G890="","",IFERROR(INDEX(I_Master!$B$6:$B$85,MATCH(G890,I_Master!$A$6:$A$85,0)),"?"))</f>
        <v/>
      </c>
      <c r="O890" s="34" t="str">
        <f aca="false">IF(G890="","",IFERROR(INDEX(I_Master!$E$6:$E$85,MATCH(G890,I_Master!$A$6:$A$85,0)),"?"))</f>
        <v/>
      </c>
      <c r="P890" s="46" t="str">
        <f aca="false">IF(H890="","",IF(OR(A890&lt;I_Parameter!$C$5,A890&gt;I_Parameter!$C$6),0,IF(B890="Aktual",1,IF(AND(B890="Order",A890&gt;=I_Parameter!$C$4),1,0))))</f>
        <v/>
      </c>
    </row>
    <row r="891" customFormat="false" ht="15" hidden="false" customHeight="false" outlineLevel="0" collapsed="false">
      <c r="A891" s="37"/>
      <c r="B891" s="44"/>
      <c r="C891" s="44"/>
      <c r="D891" s="44"/>
      <c r="E891" s="44"/>
      <c r="F891" s="44"/>
      <c r="G891" s="34" t="str">
        <f aca="false">IF(F891&lt;&gt;"",F891,IF(E891="","",IFERROR(INDEX(I_Item!$C$6:$C$255,MATCH(E891,I_Item!$A$6:$A$255,0)),"KODE BARU")))</f>
        <v/>
      </c>
      <c r="H891" s="45"/>
      <c r="I891" s="42"/>
      <c r="J891" s="11" t="str">
        <f aca="false">IF(H891="","",H891*I891)</f>
        <v/>
      </c>
      <c r="K891" s="42"/>
      <c r="L891" s="11" t="str">
        <f aca="false">IF(H891="","",IF(K891&lt;&gt;"",K891,H891*IFERROR(INDEX(O_Stok!$Q$6:$Q$85,MATCH(G891,O_Stok!$A$6:$A$85,0)),0)))</f>
        <v/>
      </c>
      <c r="M891" s="11" t="str">
        <f aca="false">IF(H891="","",J891-L891)</f>
        <v/>
      </c>
      <c r="N891" s="34" t="str">
        <f aca="false">IF(G891="","",IFERROR(INDEX(I_Master!$B$6:$B$85,MATCH(G891,I_Master!$A$6:$A$85,0)),"?"))</f>
        <v/>
      </c>
      <c r="O891" s="34" t="str">
        <f aca="false">IF(G891="","",IFERROR(INDEX(I_Master!$E$6:$E$85,MATCH(G891,I_Master!$A$6:$A$85,0)),"?"))</f>
        <v/>
      </c>
      <c r="P891" s="46" t="str">
        <f aca="false">IF(H891="","",IF(OR(A891&lt;I_Parameter!$C$5,A891&gt;I_Parameter!$C$6),0,IF(B891="Aktual",1,IF(AND(B891="Order",A891&gt;=I_Parameter!$C$4),1,0))))</f>
        <v/>
      </c>
    </row>
    <row r="892" customFormat="false" ht="15" hidden="false" customHeight="false" outlineLevel="0" collapsed="false">
      <c r="A892" s="37"/>
      <c r="B892" s="44"/>
      <c r="C892" s="44"/>
      <c r="D892" s="44"/>
      <c r="E892" s="44"/>
      <c r="F892" s="44"/>
      <c r="G892" s="34" t="str">
        <f aca="false">IF(F892&lt;&gt;"",F892,IF(E892="","",IFERROR(INDEX(I_Item!$C$6:$C$255,MATCH(E892,I_Item!$A$6:$A$255,0)),"KODE BARU")))</f>
        <v/>
      </c>
      <c r="H892" s="45"/>
      <c r="I892" s="42"/>
      <c r="J892" s="11" t="str">
        <f aca="false">IF(H892="","",H892*I892)</f>
        <v/>
      </c>
      <c r="K892" s="42"/>
      <c r="L892" s="11" t="str">
        <f aca="false">IF(H892="","",IF(K892&lt;&gt;"",K892,H892*IFERROR(INDEX(O_Stok!$Q$6:$Q$85,MATCH(G892,O_Stok!$A$6:$A$85,0)),0)))</f>
        <v/>
      </c>
      <c r="M892" s="11" t="str">
        <f aca="false">IF(H892="","",J892-L892)</f>
        <v/>
      </c>
      <c r="N892" s="34" t="str">
        <f aca="false">IF(G892="","",IFERROR(INDEX(I_Master!$B$6:$B$85,MATCH(G892,I_Master!$A$6:$A$85,0)),"?"))</f>
        <v/>
      </c>
      <c r="O892" s="34" t="str">
        <f aca="false">IF(G892="","",IFERROR(INDEX(I_Master!$E$6:$E$85,MATCH(G892,I_Master!$A$6:$A$85,0)),"?"))</f>
        <v/>
      </c>
      <c r="P892" s="46" t="str">
        <f aca="false">IF(H892="","",IF(OR(A892&lt;I_Parameter!$C$5,A892&gt;I_Parameter!$C$6),0,IF(B892="Aktual",1,IF(AND(B892="Order",A892&gt;=I_Parameter!$C$4),1,0))))</f>
        <v/>
      </c>
    </row>
    <row r="893" customFormat="false" ht="15" hidden="false" customHeight="false" outlineLevel="0" collapsed="false">
      <c r="A893" s="37"/>
      <c r="B893" s="44"/>
      <c r="C893" s="44"/>
      <c r="D893" s="44"/>
      <c r="E893" s="44"/>
      <c r="F893" s="44"/>
      <c r="G893" s="34" t="str">
        <f aca="false">IF(F893&lt;&gt;"",F893,IF(E893="","",IFERROR(INDEX(I_Item!$C$6:$C$255,MATCH(E893,I_Item!$A$6:$A$255,0)),"KODE BARU")))</f>
        <v/>
      </c>
      <c r="H893" s="45"/>
      <c r="I893" s="42"/>
      <c r="J893" s="11" t="str">
        <f aca="false">IF(H893="","",H893*I893)</f>
        <v/>
      </c>
      <c r="K893" s="42"/>
      <c r="L893" s="11" t="str">
        <f aca="false">IF(H893="","",IF(K893&lt;&gt;"",K893,H893*IFERROR(INDEX(O_Stok!$Q$6:$Q$85,MATCH(G893,O_Stok!$A$6:$A$85,0)),0)))</f>
        <v/>
      </c>
      <c r="M893" s="11" t="str">
        <f aca="false">IF(H893="","",J893-L893)</f>
        <v/>
      </c>
      <c r="N893" s="34" t="str">
        <f aca="false">IF(G893="","",IFERROR(INDEX(I_Master!$B$6:$B$85,MATCH(G893,I_Master!$A$6:$A$85,0)),"?"))</f>
        <v/>
      </c>
      <c r="O893" s="34" t="str">
        <f aca="false">IF(G893="","",IFERROR(INDEX(I_Master!$E$6:$E$85,MATCH(G893,I_Master!$A$6:$A$85,0)),"?"))</f>
        <v/>
      </c>
      <c r="P893" s="46" t="str">
        <f aca="false">IF(H893="","",IF(OR(A893&lt;I_Parameter!$C$5,A893&gt;I_Parameter!$C$6),0,IF(B893="Aktual",1,IF(AND(B893="Order",A893&gt;=I_Parameter!$C$4),1,0))))</f>
        <v/>
      </c>
    </row>
    <row r="894" customFormat="false" ht="15" hidden="false" customHeight="false" outlineLevel="0" collapsed="false">
      <c r="A894" s="37"/>
      <c r="B894" s="44"/>
      <c r="C894" s="44"/>
      <c r="D894" s="44"/>
      <c r="E894" s="44"/>
      <c r="F894" s="44"/>
      <c r="G894" s="34" t="str">
        <f aca="false">IF(F894&lt;&gt;"",F894,IF(E894="","",IFERROR(INDEX(I_Item!$C$6:$C$255,MATCH(E894,I_Item!$A$6:$A$255,0)),"KODE BARU")))</f>
        <v/>
      </c>
      <c r="H894" s="45"/>
      <c r="I894" s="42"/>
      <c r="J894" s="11" t="str">
        <f aca="false">IF(H894="","",H894*I894)</f>
        <v/>
      </c>
      <c r="K894" s="42"/>
      <c r="L894" s="11" t="str">
        <f aca="false">IF(H894="","",IF(K894&lt;&gt;"",K894,H894*IFERROR(INDEX(O_Stok!$Q$6:$Q$85,MATCH(G894,O_Stok!$A$6:$A$85,0)),0)))</f>
        <v/>
      </c>
      <c r="M894" s="11" t="str">
        <f aca="false">IF(H894="","",J894-L894)</f>
        <v/>
      </c>
      <c r="N894" s="34" t="str">
        <f aca="false">IF(G894="","",IFERROR(INDEX(I_Master!$B$6:$B$85,MATCH(G894,I_Master!$A$6:$A$85,0)),"?"))</f>
        <v/>
      </c>
      <c r="O894" s="34" t="str">
        <f aca="false">IF(G894="","",IFERROR(INDEX(I_Master!$E$6:$E$85,MATCH(G894,I_Master!$A$6:$A$85,0)),"?"))</f>
        <v/>
      </c>
      <c r="P894" s="46" t="str">
        <f aca="false">IF(H894="","",IF(OR(A894&lt;I_Parameter!$C$5,A894&gt;I_Parameter!$C$6),0,IF(B894="Aktual",1,IF(AND(B894="Order",A894&gt;=I_Parameter!$C$4),1,0))))</f>
        <v/>
      </c>
    </row>
    <row r="895" customFormat="false" ht="15" hidden="false" customHeight="false" outlineLevel="0" collapsed="false">
      <c r="A895" s="37"/>
      <c r="B895" s="44"/>
      <c r="C895" s="44"/>
      <c r="D895" s="44"/>
      <c r="E895" s="44"/>
      <c r="F895" s="44"/>
      <c r="G895" s="34" t="str">
        <f aca="false">IF(F895&lt;&gt;"",F895,IF(E895="","",IFERROR(INDEX(I_Item!$C$6:$C$255,MATCH(E895,I_Item!$A$6:$A$255,0)),"KODE BARU")))</f>
        <v/>
      </c>
      <c r="H895" s="45"/>
      <c r="I895" s="42"/>
      <c r="J895" s="11" t="str">
        <f aca="false">IF(H895="","",H895*I895)</f>
        <v/>
      </c>
      <c r="K895" s="42"/>
      <c r="L895" s="11" t="str">
        <f aca="false">IF(H895="","",IF(K895&lt;&gt;"",K895,H895*IFERROR(INDEX(O_Stok!$Q$6:$Q$85,MATCH(G895,O_Stok!$A$6:$A$85,0)),0)))</f>
        <v/>
      </c>
      <c r="M895" s="11" t="str">
        <f aca="false">IF(H895="","",J895-L895)</f>
        <v/>
      </c>
      <c r="N895" s="34" t="str">
        <f aca="false">IF(G895="","",IFERROR(INDEX(I_Master!$B$6:$B$85,MATCH(G895,I_Master!$A$6:$A$85,0)),"?"))</f>
        <v/>
      </c>
      <c r="O895" s="34" t="str">
        <f aca="false">IF(G895="","",IFERROR(INDEX(I_Master!$E$6:$E$85,MATCH(G895,I_Master!$A$6:$A$85,0)),"?"))</f>
        <v/>
      </c>
      <c r="P895" s="46" t="str">
        <f aca="false">IF(H895="","",IF(OR(A895&lt;I_Parameter!$C$5,A895&gt;I_Parameter!$C$6),0,IF(B895="Aktual",1,IF(AND(B895="Order",A895&gt;=I_Parameter!$C$4),1,0))))</f>
        <v/>
      </c>
    </row>
    <row r="896" customFormat="false" ht="15" hidden="false" customHeight="false" outlineLevel="0" collapsed="false">
      <c r="A896" s="37"/>
      <c r="B896" s="44"/>
      <c r="C896" s="44"/>
      <c r="D896" s="44"/>
      <c r="E896" s="44"/>
      <c r="F896" s="44"/>
      <c r="G896" s="34" t="str">
        <f aca="false">IF(F896&lt;&gt;"",F896,IF(E896="","",IFERROR(INDEX(I_Item!$C$6:$C$255,MATCH(E896,I_Item!$A$6:$A$255,0)),"KODE BARU")))</f>
        <v/>
      </c>
      <c r="H896" s="45"/>
      <c r="I896" s="42"/>
      <c r="J896" s="11" t="str">
        <f aca="false">IF(H896="","",H896*I896)</f>
        <v/>
      </c>
      <c r="K896" s="42"/>
      <c r="L896" s="11" t="str">
        <f aca="false">IF(H896="","",IF(K896&lt;&gt;"",K896,H896*IFERROR(INDEX(O_Stok!$Q$6:$Q$85,MATCH(G896,O_Stok!$A$6:$A$85,0)),0)))</f>
        <v/>
      </c>
      <c r="M896" s="11" t="str">
        <f aca="false">IF(H896="","",J896-L896)</f>
        <v/>
      </c>
      <c r="N896" s="34" t="str">
        <f aca="false">IF(G896="","",IFERROR(INDEX(I_Master!$B$6:$B$85,MATCH(G896,I_Master!$A$6:$A$85,0)),"?"))</f>
        <v/>
      </c>
      <c r="O896" s="34" t="str">
        <f aca="false">IF(G896="","",IFERROR(INDEX(I_Master!$E$6:$E$85,MATCH(G896,I_Master!$A$6:$A$85,0)),"?"))</f>
        <v/>
      </c>
      <c r="P896" s="46" t="str">
        <f aca="false">IF(H896="","",IF(OR(A896&lt;I_Parameter!$C$5,A896&gt;I_Parameter!$C$6),0,IF(B896="Aktual",1,IF(AND(B896="Order",A896&gt;=I_Parameter!$C$4),1,0))))</f>
        <v/>
      </c>
    </row>
    <row r="897" customFormat="false" ht="15" hidden="false" customHeight="false" outlineLevel="0" collapsed="false">
      <c r="A897" s="37"/>
      <c r="B897" s="44"/>
      <c r="C897" s="44"/>
      <c r="D897" s="44"/>
      <c r="E897" s="44"/>
      <c r="F897" s="44"/>
      <c r="G897" s="34" t="str">
        <f aca="false">IF(F897&lt;&gt;"",F897,IF(E897="","",IFERROR(INDEX(I_Item!$C$6:$C$255,MATCH(E897,I_Item!$A$6:$A$255,0)),"KODE BARU")))</f>
        <v/>
      </c>
      <c r="H897" s="45"/>
      <c r="I897" s="42"/>
      <c r="J897" s="11" t="str">
        <f aca="false">IF(H897="","",H897*I897)</f>
        <v/>
      </c>
      <c r="K897" s="42"/>
      <c r="L897" s="11" t="str">
        <f aca="false">IF(H897="","",IF(K897&lt;&gt;"",K897,H897*IFERROR(INDEX(O_Stok!$Q$6:$Q$85,MATCH(G897,O_Stok!$A$6:$A$85,0)),0)))</f>
        <v/>
      </c>
      <c r="M897" s="11" t="str">
        <f aca="false">IF(H897="","",J897-L897)</f>
        <v/>
      </c>
      <c r="N897" s="34" t="str">
        <f aca="false">IF(G897="","",IFERROR(INDEX(I_Master!$B$6:$B$85,MATCH(G897,I_Master!$A$6:$A$85,0)),"?"))</f>
        <v/>
      </c>
      <c r="O897" s="34" t="str">
        <f aca="false">IF(G897="","",IFERROR(INDEX(I_Master!$E$6:$E$85,MATCH(G897,I_Master!$A$6:$A$85,0)),"?"))</f>
        <v/>
      </c>
      <c r="P897" s="46" t="str">
        <f aca="false">IF(H897="","",IF(OR(A897&lt;I_Parameter!$C$5,A897&gt;I_Parameter!$C$6),0,IF(B897="Aktual",1,IF(AND(B897="Order",A897&gt;=I_Parameter!$C$4),1,0))))</f>
        <v/>
      </c>
    </row>
    <row r="898" customFormat="false" ht="15" hidden="false" customHeight="false" outlineLevel="0" collapsed="false">
      <c r="A898" s="37"/>
      <c r="B898" s="44"/>
      <c r="C898" s="44"/>
      <c r="D898" s="44"/>
      <c r="E898" s="44"/>
      <c r="F898" s="44"/>
      <c r="G898" s="34" t="str">
        <f aca="false">IF(F898&lt;&gt;"",F898,IF(E898="","",IFERROR(INDEX(I_Item!$C$6:$C$255,MATCH(E898,I_Item!$A$6:$A$255,0)),"KODE BARU")))</f>
        <v/>
      </c>
      <c r="H898" s="45"/>
      <c r="I898" s="42"/>
      <c r="J898" s="11" t="str">
        <f aca="false">IF(H898="","",H898*I898)</f>
        <v/>
      </c>
      <c r="K898" s="42"/>
      <c r="L898" s="11" t="str">
        <f aca="false">IF(H898="","",IF(K898&lt;&gt;"",K898,H898*IFERROR(INDEX(O_Stok!$Q$6:$Q$85,MATCH(G898,O_Stok!$A$6:$A$85,0)),0)))</f>
        <v/>
      </c>
      <c r="M898" s="11" t="str">
        <f aca="false">IF(H898="","",J898-L898)</f>
        <v/>
      </c>
      <c r="N898" s="34" t="str">
        <f aca="false">IF(G898="","",IFERROR(INDEX(I_Master!$B$6:$B$85,MATCH(G898,I_Master!$A$6:$A$85,0)),"?"))</f>
        <v/>
      </c>
      <c r="O898" s="34" t="str">
        <f aca="false">IF(G898="","",IFERROR(INDEX(I_Master!$E$6:$E$85,MATCH(G898,I_Master!$A$6:$A$85,0)),"?"))</f>
        <v/>
      </c>
      <c r="P898" s="46" t="str">
        <f aca="false">IF(H898="","",IF(OR(A898&lt;I_Parameter!$C$5,A898&gt;I_Parameter!$C$6),0,IF(B898="Aktual",1,IF(AND(B898="Order",A898&gt;=I_Parameter!$C$4),1,0))))</f>
        <v/>
      </c>
    </row>
    <row r="899" customFormat="false" ht="15" hidden="false" customHeight="false" outlineLevel="0" collapsed="false">
      <c r="A899" s="37"/>
      <c r="B899" s="44"/>
      <c r="C899" s="44"/>
      <c r="D899" s="44"/>
      <c r="E899" s="44"/>
      <c r="F899" s="44"/>
      <c r="G899" s="34" t="str">
        <f aca="false">IF(F899&lt;&gt;"",F899,IF(E899="","",IFERROR(INDEX(I_Item!$C$6:$C$255,MATCH(E899,I_Item!$A$6:$A$255,0)),"KODE BARU")))</f>
        <v/>
      </c>
      <c r="H899" s="45"/>
      <c r="I899" s="42"/>
      <c r="J899" s="11" t="str">
        <f aca="false">IF(H899="","",H899*I899)</f>
        <v/>
      </c>
      <c r="K899" s="42"/>
      <c r="L899" s="11" t="str">
        <f aca="false">IF(H899="","",IF(K899&lt;&gt;"",K899,H899*IFERROR(INDEX(O_Stok!$Q$6:$Q$85,MATCH(G899,O_Stok!$A$6:$A$85,0)),0)))</f>
        <v/>
      </c>
      <c r="M899" s="11" t="str">
        <f aca="false">IF(H899="","",J899-L899)</f>
        <v/>
      </c>
      <c r="N899" s="34" t="str">
        <f aca="false">IF(G899="","",IFERROR(INDEX(I_Master!$B$6:$B$85,MATCH(G899,I_Master!$A$6:$A$85,0)),"?"))</f>
        <v/>
      </c>
      <c r="O899" s="34" t="str">
        <f aca="false">IF(G899="","",IFERROR(INDEX(I_Master!$E$6:$E$85,MATCH(G899,I_Master!$A$6:$A$85,0)),"?"))</f>
        <v/>
      </c>
      <c r="P899" s="46" t="str">
        <f aca="false">IF(H899="","",IF(OR(A899&lt;I_Parameter!$C$5,A899&gt;I_Parameter!$C$6),0,IF(B899="Aktual",1,IF(AND(B899="Order",A899&gt;=I_Parameter!$C$4),1,0))))</f>
        <v/>
      </c>
    </row>
    <row r="900" customFormat="false" ht="15" hidden="false" customHeight="false" outlineLevel="0" collapsed="false">
      <c r="A900" s="37"/>
      <c r="B900" s="44"/>
      <c r="C900" s="44"/>
      <c r="D900" s="44"/>
      <c r="E900" s="44"/>
      <c r="F900" s="44"/>
      <c r="G900" s="34" t="str">
        <f aca="false">IF(F900&lt;&gt;"",F900,IF(E900="","",IFERROR(INDEX(I_Item!$C$6:$C$255,MATCH(E900,I_Item!$A$6:$A$255,0)),"KODE BARU")))</f>
        <v/>
      </c>
      <c r="H900" s="45"/>
      <c r="I900" s="42"/>
      <c r="J900" s="11" t="str">
        <f aca="false">IF(H900="","",H900*I900)</f>
        <v/>
      </c>
      <c r="K900" s="42"/>
      <c r="L900" s="11" t="str">
        <f aca="false">IF(H900="","",IF(K900&lt;&gt;"",K900,H900*IFERROR(INDEX(O_Stok!$Q$6:$Q$85,MATCH(G900,O_Stok!$A$6:$A$85,0)),0)))</f>
        <v/>
      </c>
      <c r="M900" s="11" t="str">
        <f aca="false">IF(H900="","",J900-L900)</f>
        <v/>
      </c>
      <c r="N900" s="34" t="str">
        <f aca="false">IF(G900="","",IFERROR(INDEX(I_Master!$B$6:$B$85,MATCH(G900,I_Master!$A$6:$A$85,0)),"?"))</f>
        <v/>
      </c>
      <c r="O900" s="34" t="str">
        <f aca="false">IF(G900="","",IFERROR(INDEX(I_Master!$E$6:$E$85,MATCH(G900,I_Master!$A$6:$A$85,0)),"?"))</f>
        <v/>
      </c>
      <c r="P900" s="46" t="str">
        <f aca="false">IF(H900="","",IF(OR(A900&lt;I_Parameter!$C$5,A900&gt;I_Parameter!$C$6),0,IF(B900="Aktual",1,IF(AND(B900="Order",A900&gt;=I_Parameter!$C$4),1,0))))</f>
        <v/>
      </c>
    </row>
    <row r="901" customFormat="false" ht="15" hidden="false" customHeight="false" outlineLevel="0" collapsed="false">
      <c r="A901" s="37"/>
      <c r="B901" s="44"/>
      <c r="C901" s="44"/>
      <c r="D901" s="44"/>
      <c r="E901" s="44"/>
      <c r="F901" s="44"/>
      <c r="G901" s="34" t="str">
        <f aca="false">IF(F901&lt;&gt;"",F901,IF(E901="","",IFERROR(INDEX(I_Item!$C$6:$C$255,MATCH(E901,I_Item!$A$6:$A$255,0)),"KODE BARU")))</f>
        <v/>
      </c>
      <c r="H901" s="45"/>
      <c r="I901" s="42"/>
      <c r="J901" s="11" t="str">
        <f aca="false">IF(H901="","",H901*I901)</f>
        <v/>
      </c>
      <c r="K901" s="42"/>
      <c r="L901" s="11" t="str">
        <f aca="false">IF(H901="","",IF(K901&lt;&gt;"",K901,H901*IFERROR(INDEX(O_Stok!$Q$6:$Q$85,MATCH(G901,O_Stok!$A$6:$A$85,0)),0)))</f>
        <v/>
      </c>
      <c r="M901" s="11" t="str">
        <f aca="false">IF(H901="","",J901-L901)</f>
        <v/>
      </c>
      <c r="N901" s="34" t="str">
        <f aca="false">IF(G901="","",IFERROR(INDEX(I_Master!$B$6:$B$85,MATCH(G901,I_Master!$A$6:$A$85,0)),"?"))</f>
        <v/>
      </c>
      <c r="O901" s="34" t="str">
        <f aca="false">IF(G901="","",IFERROR(INDEX(I_Master!$E$6:$E$85,MATCH(G901,I_Master!$A$6:$A$85,0)),"?"))</f>
        <v/>
      </c>
      <c r="P901" s="46" t="str">
        <f aca="false">IF(H901="","",IF(OR(A901&lt;I_Parameter!$C$5,A901&gt;I_Parameter!$C$6),0,IF(B901="Aktual",1,IF(AND(B901="Order",A901&gt;=I_Parameter!$C$4),1,0))))</f>
        <v/>
      </c>
    </row>
    <row r="902" customFormat="false" ht="15" hidden="false" customHeight="false" outlineLevel="0" collapsed="false">
      <c r="A902" s="37"/>
      <c r="B902" s="44"/>
      <c r="C902" s="44"/>
      <c r="D902" s="44"/>
      <c r="E902" s="44"/>
      <c r="F902" s="44"/>
      <c r="G902" s="34" t="str">
        <f aca="false">IF(F902&lt;&gt;"",F902,IF(E902="","",IFERROR(INDEX(I_Item!$C$6:$C$255,MATCH(E902,I_Item!$A$6:$A$255,0)),"KODE BARU")))</f>
        <v/>
      </c>
      <c r="H902" s="45"/>
      <c r="I902" s="42"/>
      <c r="J902" s="11" t="str">
        <f aca="false">IF(H902="","",H902*I902)</f>
        <v/>
      </c>
      <c r="K902" s="42"/>
      <c r="L902" s="11" t="str">
        <f aca="false">IF(H902="","",IF(K902&lt;&gt;"",K902,H902*IFERROR(INDEX(O_Stok!$Q$6:$Q$85,MATCH(G902,O_Stok!$A$6:$A$85,0)),0)))</f>
        <v/>
      </c>
      <c r="M902" s="11" t="str">
        <f aca="false">IF(H902="","",J902-L902)</f>
        <v/>
      </c>
      <c r="N902" s="34" t="str">
        <f aca="false">IF(G902="","",IFERROR(INDEX(I_Master!$B$6:$B$85,MATCH(G902,I_Master!$A$6:$A$85,0)),"?"))</f>
        <v/>
      </c>
      <c r="O902" s="34" t="str">
        <f aca="false">IF(G902="","",IFERROR(INDEX(I_Master!$E$6:$E$85,MATCH(G902,I_Master!$A$6:$A$85,0)),"?"))</f>
        <v/>
      </c>
      <c r="P902" s="46" t="str">
        <f aca="false">IF(H902="","",IF(OR(A902&lt;I_Parameter!$C$5,A902&gt;I_Parameter!$C$6),0,IF(B902="Aktual",1,IF(AND(B902="Order",A902&gt;=I_Parameter!$C$4),1,0))))</f>
        <v/>
      </c>
    </row>
    <row r="903" customFormat="false" ht="15" hidden="false" customHeight="false" outlineLevel="0" collapsed="false">
      <c r="A903" s="37"/>
      <c r="B903" s="44"/>
      <c r="C903" s="44"/>
      <c r="D903" s="44"/>
      <c r="E903" s="44"/>
      <c r="F903" s="44"/>
      <c r="G903" s="34" t="str">
        <f aca="false">IF(F903&lt;&gt;"",F903,IF(E903="","",IFERROR(INDEX(I_Item!$C$6:$C$255,MATCH(E903,I_Item!$A$6:$A$255,0)),"KODE BARU")))</f>
        <v/>
      </c>
      <c r="H903" s="45"/>
      <c r="I903" s="42"/>
      <c r="J903" s="11" t="str">
        <f aca="false">IF(H903="","",H903*I903)</f>
        <v/>
      </c>
      <c r="K903" s="42"/>
      <c r="L903" s="11" t="str">
        <f aca="false">IF(H903="","",IF(K903&lt;&gt;"",K903,H903*IFERROR(INDEX(O_Stok!$Q$6:$Q$85,MATCH(G903,O_Stok!$A$6:$A$85,0)),0)))</f>
        <v/>
      </c>
      <c r="M903" s="11" t="str">
        <f aca="false">IF(H903="","",J903-L903)</f>
        <v/>
      </c>
      <c r="N903" s="34" t="str">
        <f aca="false">IF(G903="","",IFERROR(INDEX(I_Master!$B$6:$B$85,MATCH(G903,I_Master!$A$6:$A$85,0)),"?"))</f>
        <v/>
      </c>
      <c r="O903" s="34" t="str">
        <f aca="false">IF(G903="","",IFERROR(INDEX(I_Master!$E$6:$E$85,MATCH(G903,I_Master!$A$6:$A$85,0)),"?"))</f>
        <v/>
      </c>
      <c r="P903" s="46" t="str">
        <f aca="false">IF(H903="","",IF(OR(A903&lt;I_Parameter!$C$5,A903&gt;I_Parameter!$C$6),0,IF(B903="Aktual",1,IF(AND(B903="Order",A903&gt;=I_Parameter!$C$4),1,0))))</f>
        <v/>
      </c>
    </row>
    <row r="904" customFormat="false" ht="15" hidden="false" customHeight="false" outlineLevel="0" collapsed="false">
      <c r="A904" s="37"/>
      <c r="B904" s="44"/>
      <c r="C904" s="44"/>
      <c r="D904" s="44"/>
      <c r="E904" s="44"/>
      <c r="F904" s="44"/>
      <c r="G904" s="34" t="str">
        <f aca="false">IF(F904&lt;&gt;"",F904,IF(E904="","",IFERROR(INDEX(I_Item!$C$6:$C$255,MATCH(E904,I_Item!$A$6:$A$255,0)),"KODE BARU")))</f>
        <v/>
      </c>
      <c r="H904" s="45"/>
      <c r="I904" s="42"/>
      <c r="J904" s="11" t="str">
        <f aca="false">IF(H904="","",H904*I904)</f>
        <v/>
      </c>
      <c r="K904" s="42"/>
      <c r="L904" s="11" t="str">
        <f aca="false">IF(H904="","",IF(K904&lt;&gt;"",K904,H904*IFERROR(INDEX(O_Stok!$Q$6:$Q$85,MATCH(G904,O_Stok!$A$6:$A$85,0)),0)))</f>
        <v/>
      </c>
      <c r="M904" s="11" t="str">
        <f aca="false">IF(H904="","",J904-L904)</f>
        <v/>
      </c>
      <c r="N904" s="34" t="str">
        <f aca="false">IF(G904="","",IFERROR(INDEX(I_Master!$B$6:$B$85,MATCH(G904,I_Master!$A$6:$A$85,0)),"?"))</f>
        <v/>
      </c>
      <c r="O904" s="34" t="str">
        <f aca="false">IF(G904="","",IFERROR(INDEX(I_Master!$E$6:$E$85,MATCH(G904,I_Master!$A$6:$A$85,0)),"?"))</f>
        <v/>
      </c>
      <c r="P904" s="46" t="str">
        <f aca="false">IF(H904="","",IF(OR(A904&lt;I_Parameter!$C$5,A904&gt;I_Parameter!$C$6),0,IF(B904="Aktual",1,IF(AND(B904="Order",A904&gt;=I_Parameter!$C$4),1,0))))</f>
        <v/>
      </c>
    </row>
    <row r="905" customFormat="false" ht="15" hidden="false" customHeight="false" outlineLevel="0" collapsed="false">
      <c r="A905" s="37"/>
      <c r="B905" s="44"/>
      <c r="C905" s="44"/>
      <c r="D905" s="44"/>
      <c r="E905" s="44"/>
      <c r="F905" s="44"/>
      <c r="G905" s="34" t="str">
        <f aca="false">IF(F905&lt;&gt;"",F905,IF(E905="","",IFERROR(INDEX(I_Item!$C$6:$C$255,MATCH(E905,I_Item!$A$6:$A$255,0)),"KODE BARU")))</f>
        <v/>
      </c>
      <c r="H905" s="45"/>
      <c r="I905" s="42"/>
      <c r="J905" s="11" t="str">
        <f aca="false">IF(H905="","",H905*I905)</f>
        <v/>
      </c>
      <c r="K905" s="42"/>
      <c r="L905" s="11" t="str">
        <f aca="false">IF(H905="","",IF(K905&lt;&gt;"",K905,H905*IFERROR(INDEX(O_Stok!$Q$6:$Q$85,MATCH(G905,O_Stok!$A$6:$A$85,0)),0)))</f>
        <v/>
      </c>
      <c r="M905" s="11" t="str">
        <f aca="false">IF(H905="","",J905-L905)</f>
        <v/>
      </c>
      <c r="N905" s="34" t="str">
        <f aca="false">IF(G905="","",IFERROR(INDEX(I_Master!$B$6:$B$85,MATCH(G905,I_Master!$A$6:$A$85,0)),"?"))</f>
        <v/>
      </c>
      <c r="O905" s="34" t="str">
        <f aca="false">IF(G905="","",IFERROR(INDEX(I_Master!$E$6:$E$85,MATCH(G905,I_Master!$A$6:$A$85,0)),"?"))</f>
        <v/>
      </c>
      <c r="P905" s="46" t="str">
        <f aca="false">IF(H905="","",IF(OR(A905&lt;I_Parameter!$C$5,A905&gt;I_Parameter!$C$6),0,IF(B905="Aktual",1,IF(AND(B905="Order",A905&gt;=I_Parameter!$C$4),1,0))))</f>
        <v/>
      </c>
    </row>
    <row r="906" customFormat="false" ht="15" hidden="false" customHeight="false" outlineLevel="0" collapsed="false">
      <c r="A906" s="37"/>
      <c r="B906" s="44"/>
      <c r="C906" s="44"/>
      <c r="D906" s="44"/>
      <c r="E906" s="44"/>
      <c r="F906" s="44"/>
      <c r="G906" s="34" t="str">
        <f aca="false">IF(F906&lt;&gt;"",F906,IF(E906="","",IFERROR(INDEX(I_Item!$C$6:$C$255,MATCH(E906,I_Item!$A$6:$A$255,0)),"KODE BARU")))</f>
        <v/>
      </c>
      <c r="H906" s="45"/>
      <c r="I906" s="42"/>
      <c r="J906" s="11" t="str">
        <f aca="false">IF(H906="","",H906*I906)</f>
        <v/>
      </c>
      <c r="K906" s="42"/>
      <c r="L906" s="11" t="str">
        <f aca="false">IF(H906="","",IF(K906&lt;&gt;"",K906,H906*IFERROR(INDEX(O_Stok!$Q$6:$Q$85,MATCH(G906,O_Stok!$A$6:$A$85,0)),0)))</f>
        <v/>
      </c>
      <c r="M906" s="11" t="str">
        <f aca="false">IF(H906="","",J906-L906)</f>
        <v/>
      </c>
      <c r="N906" s="34" t="str">
        <f aca="false">IF(G906="","",IFERROR(INDEX(I_Master!$B$6:$B$85,MATCH(G906,I_Master!$A$6:$A$85,0)),"?"))</f>
        <v/>
      </c>
      <c r="O906" s="34" t="str">
        <f aca="false">IF(G906="","",IFERROR(INDEX(I_Master!$E$6:$E$85,MATCH(G906,I_Master!$A$6:$A$85,0)),"?"))</f>
        <v/>
      </c>
      <c r="P906" s="46" t="str">
        <f aca="false">IF(H906="","",IF(OR(A906&lt;I_Parameter!$C$5,A906&gt;I_Parameter!$C$6),0,IF(B906="Aktual",1,IF(AND(B906="Order",A906&gt;=I_Parameter!$C$4),1,0))))</f>
        <v/>
      </c>
    </row>
    <row r="907" customFormat="false" ht="15" hidden="false" customHeight="false" outlineLevel="0" collapsed="false">
      <c r="A907" s="37"/>
      <c r="B907" s="44"/>
      <c r="C907" s="44"/>
      <c r="D907" s="44"/>
      <c r="E907" s="44"/>
      <c r="F907" s="44"/>
      <c r="G907" s="34" t="str">
        <f aca="false">IF(F907&lt;&gt;"",F907,IF(E907="","",IFERROR(INDEX(I_Item!$C$6:$C$255,MATCH(E907,I_Item!$A$6:$A$255,0)),"KODE BARU")))</f>
        <v/>
      </c>
      <c r="H907" s="45"/>
      <c r="I907" s="42"/>
      <c r="J907" s="11" t="str">
        <f aca="false">IF(H907="","",H907*I907)</f>
        <v/>
      </c>
      <c r="K907" s="42"/>
      <c r="L907" s="11" t="str">
        <f aca="false">IF(H907="","",IF(K907&lt;&gt;"",K907,H907*IFERROR(INDEX(O_Stok!$Q$6:$Q$85,MATCH(G907,O_Stok!$A$6:$A$85,0)),0)))</f>
        <v/>
      </c>
      <c r="M907" s="11" t="str">
        <f aca="false">IF(H907="","",J907-L907)</f>
        <v/>
      </c>
      <c r="N907" s="34" t="str">
        <f aca="false">IF(G907="","",IFERROR(INDEX(I_Master!$B$6:$B$85,MATCH(G907,I_Master!$A$6:$A$85,0)),"?"))</f>
        <v/>
      </c>
      <c r="O907" s="34" t="str">
        <f aca="false">IF(G907="","",IFERROR(INDEX(I_Master!$E$6:$E$85,MATCH(G907,I_Master!$A$6:$A$85,0)),"?"))</f>
        <v/>
      </c>
      <c r="P907" s="46" t="str">
        <f aca="false">IF(H907="","",IF(OR(A907&lt;I_Parameter!$C$5,A907&gt;I_Parameter!$C$6),0,IF(B907="Aktual",1,IF(AND(B907="Order",A907&gt;=I_Parameter!$C$4),1,0))))</f>
        <v/>
      </c>
    </row>
    <row r="908" customFormat="false" ht="15" hidden="false" customHeight="false" outlineLevel="0" collapsed="false">
      <c r="A908" s="37"/>
      <c r="B908" s="44"/>
      <c r="C908" s="44"/>
      <c r="D908" s="44"/>
      <c r="E908" s="44"/>
      <c r="F908" s="44"/>
      <c r="G908" s="34" t="str">
        <f aca="false">IF(F908&lt;&gt;"",F908,IF(E908="","",IFERROR(INDEX(I_Item!$C$6:$C$255,MATCH(E908,I_Item!$A$6:$A$255,0)),"KODE BARU")))</f>
        <v/>
      </c>
      <c r="H908" s="45"/>
      <c r="I908" s="42"/>
      <c r="J908" s="11" t="str">
        <f aca="false">IF(H908="","",H908*I908)</f>
        <v/>
      </c>
      <c r="K908" s="42"/>
      <c r="L908" s="11" t="str">
        <f aca="false">IF(H908="","",IF(K908&lt;&gt;"",K908,H908*IFERROR(INDEX(O_Stok!$Q$6:$Q$85,MATCH(G908,O_Stok!$A$6:$A$85,0)),0)))</f>
        <v/>
      </c>
      <c r="M908" s="11" t="str">
        <f aca="false">IF(H908="","",J908-L908)</f>
        <v/>
      </c>
      <c r="N908" s="34" t="str">
        <f aca="false">IF(G908="","",IFERROR(INDEX(I_Master!$B$6:$B$85,MATCH(G908,I_Master!$A$6:$A$85,0)),"?"))</f>
        <v/>
      </c>
      <c r="O908" s="34" t="str">
        <f aca="false">IF(G908="","",IFERROR(INDEX(I_Master!$E$6:$E$85,MATCH(G908,I_Master!$A$6:$A$85,0)),"?"))</f>
        <v/>
      </c>
      <c r="P908" s="46" t="str">
        <f aca="false">IF(H908="","",IF(OR(A908&lt;I_Parameter!$C$5,A908&gt;I_Parameter!$C$6),0,IF(B908="Aktual",1,IF(AND(B908="Order",A908&gt;=I_Parameter!$C$4),1,0))))</f>
        <v/>
      </c>
    </row>
    <row r="909" customFormat="false" ht="15" hidden="false" customHeight="false" outlineLevel="0" collapsed="false">
      <c r="A909" s="37"/>
      <c r="B909" s="44"/>
      <c r="C909" s="44"/>
      <c r="D909" s="44"/>
      <c r="E909" s="44"/>
      <c r="F909" s="44"/>
      <c r="G909" s="34" t="str">
        <f aca="false">IF(F909&lt;&gt;"",F909,IF(E909="","",IFERROR(INDEX(I_Item!$C$6:$C$255,MATCH(E909,I_Item!$A$6:$A$255,0)),"KODE BARU")))</f>
        <v/>
      </c>
      <c r="H909" s="45"/>
      <c r="I909" s="42"/>
      <c r="J909" s="11" t="str">
        <f aca="false">IF(H909="","",H909*I909)</f>
        <v/>
      </c>
      <c r="K909" s="42"/>
      <c r="L909" s="11" t="str">
        <f aca="false">IF(H909="","",IF(K909&lt;&gt;"",K909,H909*IFERROR(INDEX(O_Stok!$Q$6:$Q$85,MATCH(G909,O_Stok!$A$6:$A$85,0)),0)))</f>
        <v/>
      </c>
      <c r="M909" s="11" t="str">
        <f aca="false">IF(H909="","",J909-L909)</f>
        <v/>
      </c>
      <c r="N909" s="34" t="str">
        <f aca="false">IF(G909="","",IFERROR(INDEX(I_Master!$B$6:$B$85,MATCH(G909,I_Master!$A$6:$A$85,0)),"?"))</f>
        <v/>
      </c>
      <c r="O909" s="34" t="str">
        <f aca="false">IF(G909="","",IFERROR(INDEX(I_Master!$E$6:$E$85,MATCH(G909,I_Master!$A$6:$A$85,0)),"?"))</f>
        <v/>
      </c>
      <c r="P909" s="46" t="str">
        <f aca="false">IF(H909="","",IF(OR(A909&lt;I_Parameter!$C$5,A909&gt;I_Parameter!$C$6),0,IF(B909="Aktual",1,IF(AND(B909="Order",A909&gt;=I_Parameter!$C$4),1,0))))</f>
        <v/>
      </c>
    </row>
    <row r="910" customFormat="false" ht="15" hidden="false" customHeight="false" outlineLevel="0" collapsed="false">
      <c r="A910" s="37"/>
      <c r="B910" s="44"/>
      <c r="C910" s="44"/>
      <c r="D910" s="44"/>
      <c r="E910" s="44"/>
      <c r="F910" s="44"/>
      <c r="G910" s="34" t="str">
        <f aca="false">IF(F910&lt;&gt;"",F910,IF(E910="","",IFERROR(INDEX(I_Item!$C$6:$C$255,MATCH(E910,I_Item!$A$6:$A$255,0)),"KODE BARU")))</f>
        <v/>
      </c>
      <c r="H910" s="45"/>
      <c r="I910" s="42"/>
      <c r="J910" s="11" t="str">
        <f aca="false">IF(H910="","",H910*I910)</f>
        <v/>
      </c>
      <c r="K910" s="42"/>
      <c r="L910" s="11" t="str">
        <f aca="false">IF(H910="","",IF(K910&lt;&gt;"",K910,H910*IFERROR(INDEX(O_Stok!$Q$6:$Q$85,MATCH(G910,O_Stok!$A$6:$A$85,0)),0)))</f>
        <v/>
      </c>
      <c r="M910" s="11" t="str">
        <f aca="false">IF(H910="","",J910-L910)</f>
        <v/>
      </c>
      <c r="N910" s="34" t="str">
        <f aca="false">IF(G910="","",IFERROR(INDEX(I_Master!$B$6:$B$85,MATCH(G910,I_Master!$A$6:$A$85,0)),"?"))</f>
        <v/>
      </c>
      <c r="O910" s="34" t="str">
        <f aca="false">IF(G910="","",IFERROR(INDEX(I_Master!$E$6:$E$85,MATCH(G910,I_Master!$A$6:$A$85,0)),"?"))</f>
        <v/>
      </c>
      <c r="P910" s="46" t="str">
        <f aca="false">IF(H910="","",IF(OR(A910&lt;I_Parameter!$C$5,A910&gt;I_Parameter!$C$6),0,IF(B910="Aktual",1,IF(AND(B910="Order",A910&gt;=I_Parameter!$C$4),1,0))))</f>
        <v/>
      </c>
    </row>
    <row r="911" customFormat="false" ht="15" hidden="false" customHeight="false" outlineLevel="0" collapsed="false">
      <c r="A911" s="37"/>
      <c r="B911" s="44"/>
      <c r="C911" s="44"/>
      <c r="D911" s="44"/>
      <c r="E911" s="44"/>
      <c r="F911" s="44"/>
      <c r="G911" s="34" t="str">
        <f aca="false">IF(F911&lt;&gt;"",F911,IF(E911="","",IFERROR(INDEX(I_Item!$C$6:$C$255,MATCH(E911,I_Item!$A$6:$A$255,0)),"KODE BARU")))</f>
        <v/>
      </c>
      <c r="H911" s="45"/>
      <c r="I911" s="42"/>
      <c r="J911" s="11" t="str">
        <f aca="false">IF(H911="","",H911*I911)</f>
        <v/>
      </c>
      <c r="K911" s="42"/>
      <c r="L911" s="11" t="str">
        <f aca="false">IF(H911="","",IF(K911&lt;&gt;"",K911,H911*IFERROR(INDEX(O_Stok!$Q$6:$Q$85,MATCH(G911,O_Stok!$A$6:$A$85,0)),0)))</f>
        <v/>
      </c>
      <c r="M911" s="11" t="str">
        <f aca="false">IF(H911="","",J911-L911)</f>
        <v/>
      </c>
      <c r="N911" s="34" t="str">
        <f aca="false">IF(G911="","",IFERROR(INDEX(I_Master!$B$6:$B$85,MATCH(G911,I_Master!$A$6:$A$85,0)),"?"))</f>
        <v/>
      </c>
      <c r="O911" s="34" t="str">
        <f aca="false">IF(G911="","",IFERROR(INDEX(I_Master!$E$6:$E$85,MATCH(G911,I_Master!$A$6:$A$85,0)),"?"))</f>
        <v/>
      </c>
      <c r="P911" s="46" t="str">
        <f aca="false">IF(H911="","",IF(OR(A911&lt;I_Parameter!$C$5,A911&gt;I_Parameter!$C$6),0,IF(B911="Aktual",1,IF(AND(B911="Order",A911&gt;=I_Parameter!$C$4),1,0))))</f>
        <v/>
      </c>
    </row>
    <row r="912" customFormat="false" ht="15" hidden="false" customHeight="false" outlineLevel="0" collapsed="false">
      <c r="A912" s="37"/>
      <c r="B912" s="44"/>
      <c r="C912" s="44"/>
      <c r="D912" s="44"/>
      <c r="E912" s="44"/>
      <c r="F912" s="44"/>
      <c r="G912" s="34" t="str">
        <f aca="false">IF(F912&lt;&gt;"",F912,IF(E912="","",IFERROR(INDEX(I_Item!$C$6:$C$255,MATCH(E912,I_Item!$A$6:$A$255,0)),"KODE BARU")))</f>
        <v/>
      </c>
      <c r="H912" s="45"/>
      <c r="I912" s="42"/>
      <c r="J912" s="11" t="str">
        <f aca="false">IF(H912="","",H912*I912)</f>
        <v/>
      </c>
      <c r="K912" s="42"/>
      <c r="L912" s="11" t="str">
        <f aca="false">IF(H912="","",IF(K912&lt;&gt;"",K912,H912*IFERROR(INDEX(O_Stok!$Q$6:$Q$85,MATCH(G912,O_Stok!$A$6:$A$85,0)),0)))</f>
        <v/>
      </c>
      <c r="M912" s="11" t="str">
        <f aca="false">IF(H912="","",J912-L912)</f>
        <v/>
      </c>
      <c r="N912" s="34" t="str">
        <f aca="false">IF(G912="","",IFERROR(INDEX(I_Master!$B$6:$B$85,MATCH(G912,I_Master!$A$6:$A$85,0)),"?"))</f>
        <v/>
      </c>
      <c r="O912" s="34" t="str">
        <f aca="false">IF(G912="","",IFERROR(INDEX(I_Master!$E$6:$E$85,MATCH(G912,I_Master!$A$6:$A$85,0)),"?"))</f>
        <v/>
      </c>
      <c r="P912" s="46" t="str">
        <f aca="false">IF(H912="","",IF(OR(A912&lt;I_Parameter!$C$5,A912&gt;I_Parameter!$C$6),0,IF(B912="Aktual",1,IF(AND(B912="Order",A912&gt;=I_Parameter!$C$4),1,0))))</f>
        <v/>
      </c>
    </row>
    <row r="913" customFormat="false" ht="15" hidden="false" customHeight="false" outlineLevel="0" collapsed="false">
      <c r="A913" s="37"/>
      <c r="B913" s="44"/>
      <c r="C913" s="44"/>
      <c r="D913" s="44"/>
      <c r="E913" s="44"/>
      <c r="F913" s="44"/>
      <c r="G913" s="34" t="str">
        <f aca="false">IF(F913&lt;&gt;"",F913,IF(E913="","",IFERROR(INDEX(I_Item!$C$6:$C$255,MATCH(E913,I_Item!$A$6:$A$255,0)),"KODE BARU")))</f>
        <v/>
      </c>
      <c r="H913" s="45"/>
      <c r="I913" s="42"/>
      <c r="J913" s="11" t="str">
        <f aca="false">IF(H913="","",H913*I913)</f>
        <v/>
      </c>
      <c r="K913" s="42"/>
      <c r="L913" s="11" t="str">
        <f aca="false">IF(H913="","",IF(K913&lt;&gt;"",K913,H913*IFERROR(INDEX(O_Stok!$Q$6:$Q$85,MATCH(G913,O_Stok!$A$6:$A$85,0)),0)))</f>
        <v/>
      </c>
      <c r="M913" s="11" t="str">
        <f aca="false">IF(H913="","",J913-L913)</f>
        <v/>
      </c>
      <c r="N913" s="34" t="str">
        <f aca="false">IF(G913="","",IFERROR(INDEX(I_Master!$B$6:$B$85,MATCH(G913,I_Master!$A$6:$A$85,0)),"?"))</f>
        <v/>
      </c>
      <c r="O913" s="34" t="str">
        <f aca="false">IF(G913="","",IFERROR(INDEX(I_Master!$E$6:$E$85,MATCH(G913,I_Master!$A$6:$A$85,0)),"?"))</f>
        <v/>
      </c>
      <c r="P913" s="46" t="str">
        <f aca="false">IF(H913="","",IF(OR(A913&lt;I_Parameter!$C$5,A913&gt;I_Parameter!$C$6),0,IF(B913="Aktual",1,IF(AND(B913="Order",A913&gt;=I_Parameter!$C$4),1,0))))</f>
        <v/>
      </c>
    </row>
    <row r="914" customFormat="false" ht="15" hidden="false" customHeight="false" outlineLevel="0" collapsed="false">
      <c r="A914" s="37"/>
      <c r="B914" s="44"/>
      <c r="C914" s="44"/>
      <c r="D914" s="44"/>
      <c r="E914" s="44"/>
      <c r="F914" s="44"/>
      <c r="G914" s="34" t="str">
        <f aca="false">IF(F914&lt;&gt;"",F914,IF(E914="","",IFERROR(INDEX(I_Item!$C$6:$C$255,MATCH(E914,I_Item!$A$6:$A$255,0)),"KODE BARU")))</f>
        <v/>
      </c>
      <c r="H914" s="45"/>
      <c r="I914" s="42"/>
      <c r="J914" s="11" t="str">
        <f aca="false">IF(H914="","",H914*I914)</f>
        <v/>
      </c>
      <c r="K914" s="42"/>
      <c r="L914" s="11" t="str">
        <f aca="false">IF(H914="","",IF(K914&lt;&gt;"",K914,H914*IFERROR(INDEX(O_Stok!$Q$6:$Q$85,MATCH(G914,O_Stok!$A$6:$A$85,0)),0)))</f>
        <v/>
      </c>
      <c r="M914" s="11" t="str">
        <f aca="false">IF(H914="","",J914-L914)</f>
        <v/>
      </c>
      <c r="N914" s="34" t="str">
        <f aca="false">IF(G914="","",IFERROR(INDEX(I_Master!$B$6:$B$85,MATCH(G914,I_Master!$A$6:$A$85,0)),"?"))</f>
        <v/>
      </c>
      <c r="O914" s="34" t="str">
        <f aca="false">IF(G914="","",IFERROR(INDEX(I_Master!$E$6:$E$85,MATCH(G914,I_Master!$A$6:$A$85,0)),"?"))</f>
        <v/>
      </c>
      <c r="P914" s="46" t="str">
        <f aca="false">IF(H914="","",IF(OR(A914&lt;I_Parameter!$C$5,A914&gt;I_Parameter!$C$6),0,IF(B914="Aktual",1,IF(AND(B914="Order",A914&gt;=I_Parameter!$C$4),1,0))))</f>
        <v/>
      </c>
    </row>
    <row r="915" customFormat="false" ht="15" hidden="false" customHeight="false" outlineLevel="0" collapsed="false">
      <c r="A915" s="37"/>
      <c r="B915" s="44"/>
      <c r="C915" s="44"/>
      <c r="D915" s="44"/>
      <c r="E915" s="44"/>
      <c r="F915" s="44"/>
      <c r="G915" s="34" t="str">
        <f aca="false">IF(F915&lt;&gt;"",F915,IF(E915="","",IFERROR(INDEX(I_Item!$C$6:$C$255,MATCH(E915,I_Item!$A$6:$A$255,0)),"KODE BARU")))</f>
        <v/>
      </c>
      <c r="H915" s="45"/>
      <c r="I915" s="42"/>
      <c r="J915" s="11" t="str">
        <f aca="false">IF(H915="","",H915*I915)</f>
        <v/>
      </c>
      <c r="K915" s="42"/>
      <c r="L915" s="11" t="str">
        <f aca="false">IF(H915="","",IF(K915&lt;&gt;"",K915,H915*IFERROR(INDEX(O_Stok!$Q$6:$Q$85,MATCH(G915,O_Stok!$A$6:$A$85,0)),0)))</f>
        <v/>
      </c>
      <c r="M915" s="11" t="str">
        <f aca="false">IF(H915="","",J915-L915)</f>
        <v/>
      </c>
      <c r="N915" s="34" t="str">
        <f aca="false">IF(G915="","",IFERROR(INDEX(I_Master!$B$6:$B$85,MATCH(G915,I_Master!$A$6:$A$85,0)),"?"))</f>
        <v/>
      </c>
      <c r="O915" s="34" t="str">
        <f aca="false">IF(G915="","",IFERROR(INDEX(I_Master!$E$6:$E$85,MATCH(G915,I_Master!$A$6:$A$85,0)),"?"))</f>
        <v/>
      </c>
      <c r="P915" s="46" t="str">
        <f aca="false">IF(H915="","",IF(OR(A915&lt;I_Parameter!$C$5,A915&gt;I_Parameter!$C$6),0,IF(B915="Aktual",1,IF(AND(B915="Order",A915&gt;=I_Parameter!$C$4),1,0))))</f>
        <v/>
      </c>
    </row>
    <row r="916" customFormat="false" ht="15" hidden="false" customHeight="false" outlineLevel="0" collapsed="false">
      <c r="A916" s="37"/>
      <c r="B916" s="44"/>
      <c r="C916" s="44"/>
      <c r="D916" s="44"/>
      <c r="E916" s="44"/>
      <c r="F916" s="44"/>
      <c r="G916" s="34" t="str">
        <f aca="false">IF(F916&lt;&gt;"",F916,IF(E916="","",IFERROR(INDEX(I_Item!$C$6:$C$255,MATCH(E916,I_Item!$A$6:$A$255,0)),"KODE BARU")))</f>
        <v/>
      </c>
      <c r="H916" s="45"/>
      <c r="I916" s="42"/>
      <c r="J916" s="11" t="str">
        <f aca="false">IF(H916="","",H916*I916)</f>
        <v/>
      </c>
      <c r="K916" s="42"/>
      <c r="L916" s="11" t="str">
        <f aca="false">IF(H916="","",IF(K916&lt;&gt;"",K916,H916*IFERROR(INDEX(O_Stok!$Q$6:$Q$85,MATCH(G916,O_Stok!$A$6:$A$85,0)),0)))</f>
        <v/>
      </c>
      <c r="M916" s="11" t="str">
        <f aca="false">IF(H916="","",J916-L916)</f>
        <v/>
      </c>
      <c r="N916" s="34" t="str">
        <f aca="false">IF(G916="","",IFERROR(INDEX(I_Master!$B$6:$B$85,MATCH(G916,I_Master!$A$6:$A$85,0)),"?"))</f>
        <v/>
      </c>
      <c r="O916" s="34" t="str">
        <f aca="false">IF(G916="","",IFERROR(INDEX(I_Master!$E$6:$E$85,MATCH(G916,I_Master!$A$6:$A$85,0)),"?"))</f>
        <v/>
      </c>
      <c r="P916" s="46" t="str">
        <f aca="false">IF(H916="","",IF(OR(A916&lt;I_Parameter!$C$5,A916&gt;I_Parameter!$C$6),0,IF(B916="Aktual",1,IF(AND(B916="Order",A916&gt;=I_Parameter!$C$4),1,0))))</f>
        <v/>
      </c>
    </row>
    <row r="917" customFormat="false" ht="15" hidden="false" customHeight="false" outlineLevel="0" collapsed="false">
      <c r="A917" s="37"/>
      <c r="B917" s="44"/>
      <c r="C917" s="44"/>
      <c r="D917" s="44"/>
      <c r="E917" s="44"/>
      <c r="F917" s="44"/>
      <c r="G917" s="34" t="str">
        <f aca="false">IF(F917&lt;&gt;"",F917,IF(E917="","",IFERROR(INDEX(I_Item!$C$6:$C$255,MATCH(E917,I_Item!$A$6:$A$255,0)),"KODE BARU")))</f>
        <v/>
      </c>
      <c r="H917" s="45"/>
      <c r="I917" s="42"/>
      <c r="J917" s="11" t="str">
        <f aca="false">IF(H917="","",H917*I917)</f>
        <v/>
      </c>
      <c r="K917" s="42"/>
      <c r="L917" s="11" t="str">
        <f aca="false">IF(H917="","",IF(K917&lt;&gt;"",K917,H917*IFERROR(INDEX(O_Stok!$Q$6:$Q$85,MATCH(G917,O_Stok!$A$6:$A$85,0)),0)))</f>
        <v/>
      </c>
      <c r="M917" s="11" t="str">
        <f aca="false">IF(H917="","",J917-L917)</f>
        <v/>
      </c>
      <c r="N917" s="34" t="str">
        <f aca="false">IF(G917="","",IFERROR(INDEX(I_Master!$B$6:$B$85,MATCH(G917,I_Master!$A$6:$A$85,0)),"?"))</f>
        <v/>
      </c>
      <c r="O917" s="34" t="str">
        <f aca="false">IF(G917="","",IFERROR(INDEX(I_Master!$E$6:$E$85,MATCH(G917,I_Master!$A$6:$A$85,0)),"?"))</f>
        <v/>
      </c>
      <c r="P917" s="46" t="str">
        <f aca="false">IF(H917="","",IF(OR(A917&lt;I_Parameter!$C$5,A917&gt;I_Parameter!$C$6),0,IF(B917="Aktual",1,IF(AND(B917="Order",A917&gt;=I_Parameter!$C$4),1,0))))</f>
        <v/>
      </c>
    </row>
    <row r="918" customFormat="false" ht="15" hidden="false" customHeight="false" outlineLevel="0" collapsed="false">
      <c r="A918" s="37"/>
      <c r="B918" s="44"/>
      <c r="C918" s="44"/>
      <c r="D918" s="44"/>
      <c r="E918" s="44"/>
      <c r="F918" s="44"/>
      <c r="G918" s="34" t="str">
        <f aca="false">IF(F918&lt;&gt;"",F918,IF(E918="","",IFERROR(INDEX(I_Item!$C$6:$C$255,MATCH(E918,I_Item!$A$6:$A$255,0)),"KODE BARU")))</f>
        <v/>
      </c>
      <c r="H918" s="45"/>
      <c r="I918" s="42"/>
      <c r="J918" s="11" t="str">
        <f aca="false">IF(H918="","",H918*I918)</f>
        <v/>
      </c>
      <c r="K918" s="42"/>
      <c r="L918" s="11" t="str">
        <f aca="false">IF(H918="","",IF(K918&lt;&gt;"",K918,H918*IFERROR(INDEX(O_Stok!$Q$6:$Q$85,MATCH(G918,O_Stok!$A$6:$A$85,0)),0)))</f>
        <v/>
      </c>
      <c r="M918" s="11" t="str">
        <f aca="false">IF(H918="","",J918-L918)</f>
        <v/>
      </c>
      <c r="N918" s="34" t="str">
        <f aca="false">IF(G918="","",IFERROR(INDEX(I_Master!$B$6:$B$85,MATCH(G918,I_Master!$A$6:$A$85,0)),"?"))</f>
        <v/>
      </c>
      <c r="O918" s="34" t="str">
        <f aca="false">IF(G918="","",IFERROR(INDEX(I_Master!$E$6:$E$85,MATCH(G918,I_Master!$A$6:$A$85,0)),"?"))</f>
        <v/>
      </c>
      <c r="P918" s="46" t="str">
        <f aca="false">IF(H918="","",IF(OR(A918&lt;I_Parameter!$C$5,A918&gt;I_Parameter!$C$6),0,IF(B918="Aktual",1,IF(AND(B918="Order",A918&gt;=I_Parameter!$C$4),1,0))))</f>
        <v/>
      </c>
    </row>
    <row r="919" customFormat="false" ht="15" hidden="false" customHeight="false" outlineLevel="0" collapsed="false">
      <c r="A919" s="37"/>
      <c r="B919" s="44"/>
      <c r="C919" s="44"/>
      <c r="D919" s="44"/>
      <c r="E919" s="44"/>
      <c r="F919" s="44"/>
      <c r="G919" s="34" t="str">
        <f aca="false">IF(F919&lt;&gt;"",F919,IF(E919="","",IFERROR(INDEX(I_Item!$C$6:$C$255,MATCH(E919,I_Item!$A$6:$A$255,0)),"KODE BARU")))</f>
        <v/>
      </c>
      <c r="H919" s="45"/>
      <c r="I919" s="42"/>
      <c r="J919" s="11" t="str">
        <f aca="false">IF(H919="","",H919*I919)</f>
        <v/>
      </c>
      <c r="K919" s="42"/>
      <c r="L919" s="11" t="str">
        <f aca="false">IF(H919="","",IF(K919&lt;&gt;"",K919,H919*IFERROR(INDEX(O_Stok!$Q$6:$Q$85,MATCH(G919,O_Stok!$A$6:$A$85,0)),0)))</f>
        <v/>
      </c>
      <c r="M919" s="11" t="str">
        <f aca="false">IF(H919="","",J919-L919)</f>
        <v/>
      </c>
      <c r="N919" s="34" t="str">
        <f aca="false">IF(G919="","",IFERROR(INDEX(I_Master!$B$6:$B$85,MATCH(G919,I_Master!$A$6:$A$85,0)),"?"))</f>
        <v/>
      </c>
      <c r="O919" s="34" t="str">
        <f aca="false">IF(G919="","",IFERROR(INDEX(I_Master!$E$6:$E$85,MATCH(G919,I_Master!$A$6:$A$85,0)),"?"))</f>
        <v/>
      </c>
      <c r="P919" s="46" t="str">
        <f aca="false">IF(H919="","",IF(OR(A919&lt;I_Parameter!$C$5,A919&gt;I_Parameter!$C$6),0,IF(B919="Aktual",1,IF(AND(B919="Order",A919&gt;=I_Parameter!$C$4),1,0))))</f>
        <v/>
      </c>
    </row>
    <row r="920" customFormat="false" ht="15" hidden="false" customHeight="false" outlineLevel="0" collapsed="false">
      <c r="A920" s="37"/>
      <c r="B920" s="44"/>
      <c r="C920" s="44"/>
      <c r="D920" s="44"/>
      <c r="E920" s="44"/>
      <c r="F920" s="44"/>
      <c r="G920" s="34" t="str">
        <f aca="false">IF(F920&lt;&gt;"",F920,IF(E920="","",IFERROR(INDEX(I_Item!$C$6:$C$255,MATCH(E920,I_Item!$A$6:$A$255,0)),"KODE BARU")))</f>
        <v/>
      </c>
      <c r="H920" s="45"/>
      <c r="I920" s="42"/>
      <c r="J920" s="11" t="str">
        <f aca="false">IF(H920="","",H920*I920)</f>
        <v/>
      </c>
      <c r="K920" s="42"/>
      <c r="L920" s="11" t="str">
        <f aca="false">IF(H920="","",IF(K920&lt;&gt;"",K920,H920*IFERROR(INDEX(O_Stok!$Q$6:$Q$85,MATCH(G920,O_Stok!$A$6:$A$85,0)),0)))</f>
        <v/>
      </c>
      <c r="M920" s="11" t="str">
        <f aca="false">IF(H920="","",J920-L920)</f>
        <v/>
      </c>
      <c r="N920" s="34" t="str">
        <f aca="false">IF(G920="","",IFERROR(INDEX(I_Master!$B$6:$B$85,MATCH(G920,I_Master!$A$6:$A$85,0)),"?"))</f>
        <v/>
      </c>
      <c r="O920" s="34" t="str">
        <f aca="false">IF(G920="","",IFERROR(INDEX(I_Master!$E$6:$E$85,MATCH(G920,I_Master!$A$6:$A$85,0)),"?"))</f>
        <v/>
      </c>
      <c r="P920" s="46" t="str">
        <f aca="false">IF(H920="","",IF(OR(A920&lt;I_Parameter!$C$5,A920&gt;I_Parameter!$C$6),0,IF(B920="Aktual",1,IF(AND(B920="Order",A920&gt;=I_Parameter!$C$4),1,0))))</f>
        <v/>
      </c>
    </row>
    <row r="921" customFormat="false" ht="15" hidden="false" customHeight="false" outlineLevel="0" collapsed="false">
      <c r="A921" s="37"/>
      <c r="B921" s="44"/>
      <c r="C921" s="44"/>
      <c r="D921" s="44"/>
      <c r="E921" s="44"/>
      <c r="F921" s="44"/>
      <c r="G921" s="34" t="str">
        <f aca="false">IF(F921&lt;&gt;"",F921,IF(E921="","",IFERROR(INDEX(I_Item!$C$6:$C$255,MATCH(E921,I_Item!$A$6:$A$255,0)),"KODE BARU")))</f>
        <v/>
      </c>
      <c r="H921" s="45"/>
      <c r="I921" s="42"/>
      <c r="J921" s="11" t="str">
        <f aca="false">IF(H921="","",H921*I921)</f>
        <v/>
      </c>
      <c r="K921" s="42"/>
      <c r="L921" s="11" t="str">
        <f aca="false">IF(H921="","",IF(K921&lt;&gt;"",K921,H921*IFERROR(INDEX(O_Stok!$Q$6:$Q$85,MATCH(G921,O_Stok!$A$6:$A$85,0)),0)))</f>
        <v/>
      </c>
      <c r="M921" s="11" t="str">
        <f aca="false">IF(H921="","",J921-L921)</f>
        <v/>
      </c>
      <c r="N921" s="34" t="str">
        <f aca="false">IF(G921="","",IFERROR(INDEX(I_Master!$B$6:$B$85,MATCH(G921,I_Master!$A$6:$A$85,0)),"?"))</f>
        <v/>
      </c>
      <c r="O921" s="34" t="str">
        <f aca="false">IF(G921="","",IFERROR(INDEX(I_Master!$E$6:$E$85,MATCH(G921,I_Master!$A$6:$A$85,0)),"?"))</f>
        <v/>
      </c>
      <c r="P921" s="46" t="str">
        <f aca="false">IF(H921="","",IF(OR(A921&lt;I_Parameter!$C$5,A921&gt;I_Parameter!$C$6),0,IF(B921="Aktual",1,IF(AND(B921="Order",A921&gt;=I_Parameter!$C$4),1,0))))</f>
        <v/>
      </c>
    </row>
    <row r="922" customFormat="false" ht="15" hidden="false" customHeight="false" outlineLevel="0" collapsed="false">
      <c r="A922" s="37"/>
      <c r="B922" s="44"/>
      <c r="C922" s="44"/>
      <c r="D922" s="44"/>
      <c r="E922" s="44"/>
      <c r="F922" s="44"/>
      <c r="G922" s="34" t="str">
        <f aca="false">IF(F922&lt;&gt;"",F922,IF(E922="","",IFERROR(INDEX(I_Item!$C$6:$C$255,MATCH(E922,I_Item!$A$6:$A$255,0)),"KODE BARU")))</f>
        <v/>
      </c>
      <c r="H922" s="45"/>
      <c r="I922" s="42"/>
      <c r="J922" s="11" t="str">
        <f aca="false">IF(H922="","",H922*I922)</f>
        <v/>
      </c>
      <c r="K922" s="42"/>
      <c r="L922" s="11" t="str">
        <f aca="false">IF(H922="","",IF(K922&lt;&gt;"",K922,H922*IFERROR(INDEX(O_Stok!$Q$6:$Q$85,MATCH(G922,O_Stok!$A$6:$A$85,0)),0)))</f>
        <v/>
      </c>
      <c r="M922" s="11" t="str">
        <f aca="false">IF(H922="","",J922-L922)</f>
        <v/>
      </c>
      <c r="N922" s="34" t="str">
        <f aca="false">IF(G922="","",IFERROR(INDEX(I_Master!$B$6:$B$85,MATCH(G922,I_Master!$A$6:$A$85,0)),"?"))</f>
        <v/>
      </c>
      <c r="O922" s="34" t="str">
        <f aca="false">IF(G922="","",IFERROR(INDEX(I_Master!$E$6:$E$85,MATCH(G922,I_Master!$A$6:$A$85,0)),"?"))</f>
        <v/>
      </c>
      <c r="P922" s="46" t="str">
        <f aca="false">IF(H922="","",IF(OR(A922&lt;I_Parameter!$C$5,A922&gt;I_Parameter!$C$6),0,IF(B922="Aktual",1,IF(AND(B922="Order",A922&gt;=I_Parameter!$C$4),1,0))))</f>
        <v/>
      </c>
    </row>
    <row r="923" customFormat="false" ht="15" hidden="false" customHeight="false" outlineLevel="0" collapsed="false">
      <c r="A923" s="37"/>
      <c r="B923" s="44"/>
      <c r="C923" s="44"/>
      <c r="D923" s="44"/>
      <c r="E923" s="44"/>
      <c r="F923" s="44"/>
      <c r="G923" s="34" t="str">
        <f aca="false">IF(F923&lt;&gt;"",F923,IF(E923="","",IFERROR(INDEX(I_Item!$C$6:$C$255,MATCH(E923,I_Item!$A$6:$A$255,0)),"KODE BARU")))</f>
        <v/>
      </c>
      <c r="H923" s="45"/>
      <c r="I923" s="42"/>
      <c r="J923" s="11" t="str">
        <f aca="false">IF(H923="","",H923*I923)</f>
        <v/>
      </c>
      <c r="K923" s="42"/>
      <c r="L923" s="11" t="str">
        <f aca="false">IF(H923="","",IF(K923&lt;&gt;"",K923,H923*IFERROR(INDEX(O_Stok!$Q$6:$Q$85,MATCH(G923,O_Stok!$A$6:$A$85,0)),0)))</f>
        <v/>
      </c>
      <c r="M923" s="11" t="str">
        <f aca="false">IF(H923="","",J923-L923)</f>
        <v/>
      </c>
      <c r="N923" s="34" t="str">
        <f aca="false">IF(G923="","",IFERROR(INDEX(I_Master!$B$6:$B$85,MATCH(G923,I_Master!$A$6:$A$85,0)),"?"))</f>
        <v/>
      </c>
      <c r="O923" s="34" t="str">
        <f aca="false">IF(G923="","",IFERROR(INDEX(I_Master!$E$6:$E$85,MATCH(G923,I_Master!$A$6:$A$85,0)),"?"))</f>
        <v/>
      </c>
      <c r="P923" s="46" t="str">
        <f aca="false">IF(H923="","",IF(OR(A923&lt;I_Parameter!$C$5,A923&gt;I_Parameter!$C$6),0,IF(B923="Aktual",1,IF(AND(B923="Order",A923&gt;=I_Parameter!$C$4),1,0))))</f>
        <v/>
      </c>
    </row>
    <row r="924" customFormat="false" ht="15" hidden="false" customHeight="false" outlineLevel="0" collapsed="false">
      <c r="A924" s="37"/>
      <c r="B924" s="44"/>
      <c r="C924" s="44"/>
      <c r="D924" s="44"/>
      <c r="E924" s="44"/>
      <c r="F924" s="44"/>
      <c r="G924" s="34" t="str">
        <f aca="false">IF(F924&lt;&gt;"",F924,IF(E924="","",IFERROR(INDEX(I_Item!$C$6:$C$255,MATCH(E924,I_Item!$A$6:$A$255,0)),"KODE BARU")))</f>
        <v/>
      </c>
      <c r="H924" s="45"/>
      <c r="I924" s="42"/>
      <c r="J924" s="11" t="str">
        <f aca="false">IF(H924="","",H924*I924)</f>
        <v/>
      </c>
      <c r="K924" s="42"/>
      <c r="L924" s="11" t="str">
        <f aca="false">IF(H924="","",IF(K924&lt;&gt;"",K924,H924*IFERROR(INDEX(O_Stok!$Q$6:$Q$85,MATCH(G924,O_Stok!$A$6:$A$85,0)),0)))</f>
        <v/>
      </c>
      <c r="M924" s="11" t="str">
        <f aca="false">IF(H924="","",J924-L924)</f>
        <v/>
      </c>
      <c r="N924" s="34" t="str">
        <f aca="false">IF(G924="","",IFERROR(INDEX(I_Master!$B$6:$B$85,MATCH(G924,I_Master!$A$6:$A$85,0)),"?"))</f>
        <v/>
      </c>
      <c r="O924" s="34" t="str">
        <f aca="false">IF(G924="","",IFERROR(INDEX(I_Master!$E$6:$E$85,MATCH(G924,I_Master!$A$6:$A$85,0)),"?"))</f>
        <v/>
      </c>
      <c r="P924" s="46" t="str">
        <f aca="false">IF(H924="","",IF(OR(A924&lt;I_Parameter!$C$5,A924&gt;I_Parameter!$C$6),0,IF(B924="Aktual",1,IF(AND(B924="Order",A924&gt;=I_Parameter!$C$4),1,0))))</f>
        <v/>
      </c>
    </row>
    <row r="925" customFormat="false" ht="15" hidden="false" customHeight="false" outlineLevel="0" collapsed="false">
      <c r="A925" s="37"/>
      <c r="B925" s="44"/>
      <c r="C925" s="44"/>
      <c r="D925" s="44"/>
      <c r="E925" s="44"/>
      <c r="F925" s="44"/>
      <c r="G925" s="34" t="str">
        <f aca="false">IF(F925&lt;&gt;"",F925,IF(E925="","",IFERROR(INDEX(I_Item!$C$6:$C$255,MATCH(E925,I_Item!$A$6:$A$255,0)),"KODE BARU")))</f>
        <v/>
      </c>
      <c r="H925" s="45"/>
      <c r="I925" s="42"/>
      <c r="J925" s="11" t="str">
        <f aca="false">IF(H925="","",H925*I925)</f>
        <v/>
      </c>
      <c r="K925" s="42"/>
      <c r="L925" s="11" t="str">
        <f aca="false">IF(H925="","",IF(K925&lt;&gt;"",K925,H925*IFERROR(INDEX(O_Stok!$Q$6:$Q$85,MATCH(G925,O_Stok!$A$6:$A$85,0)),0)))</f>
        <v/>
      </c>
      <c r="M925" s="11" t="str">
        <f aca="false">IF(H925="","",J925-L925)</f>
        <v/>
      </c>
      <c r="N925" s="34" t="str">
        <f aca="false">IF(G925="","",IFERROR(INDEX(I_Master!$B$6:$B$85,MATCH(G925,I_Master!$A$6:$A$85,0)),"?"))</f>
        <v/>
      </c>
      <c r="O925" s="34" t="str">
        <f aca="false">IF(G925="","",IFERROR(INDEX(I_Master!$E$6:$E$85,MATCH(G925,I_Master!$A$6:$A$85,0)),"?"))</f>
        <v/>
      </c>
      <c r="P925" s="46" t="str">
        <f aca="false">IF(H925="","",IF(OR(A925&lt;I_Parameter!$C$5,A925&gt;I_Parameter!$C$6),0,IF(B925="Aktual",1,IF(AND(B925="Order",A925&gt;=I_Parameter!$C$4),1,0))))</f>
        <v/>
      </c>
    </row>
    <row r="926" customFormat="false" ht="15" hidden="false" customHeight="false" outlineLevel="0" collapsed="false">
      <c r="A926" s="37"/>
      <c r="B926" s="44"/>
      <c r="C926" s="44"/>
      <c r="D926" s="44"/>
      <c r="E926" s="44"/>
      <c r="F926" s="44"/>
      <c r="G926" s="34" t="str">
        <f aca="false">IF(F926&lt;&gt;"",F926,IF(E926="","",IFERROR(INDEX(I_Item!$C$6:$C$255,MATCH(E926,I_Item!$A$6:$A$255,0)),"KODE BARU")))</f>
        <v/>
      </c>
      <c r="H926" s="45"/>
      <c r="I926" s="42"/>
      <c r="J926" s="11" t="str">
        <f aca="false">IF(H926="","",H926*I926)</f>
        <v/>
      </c>
      <c r="K926" s="42"/>
      <c r="L926" s="11" t="str">
        <f aca="false">IF(H926="","",IF(K926&lt;&gt;"",K926,H926*IFERROR(INDEX(O_Stok!$Q$6:$Q$85,MATCH(G926,O_Stok!$A$6:$A$85,0)),0)))</f>
        <v/>
      </c>
      <c r="M926" s="11" t="str">
        <f aca="false">IF(H926="","",J926-L926)</f>
        <v/>
      </c>
      <c r="N926" s="34" t="str">
        <f aca="false">IF(G926="","",IFERROR(INDEX(I_Master!$B$6:$B$85,MATCH(G926,I_Master!$A$6:$A$85,0)),"?"))</f>
        <v/>
      </c>
      <c r="O926" s="34" t="str">
        <f aca="false">IF(G926="","",IFERROR(INDEX(I_Master!$E$6:$E$85,MATCH(G926,I_Master!$A$6:$A$85,0)),"?"))</f>
        <v/>
      </c>
      <c r="P926" s="46" t="str">
        <f aca="false">IF(H926="","",IF(OR(A926&lt;I_Parameter!$C$5,A926&gt;I_Parameter!$C$6),0,IF(B926="Aktual",1,IF(AND(B926="Order",A926&gt;=I_Parameter!$C$4),1,0))))</f>
        <v/>
      </c>
    </row>
    <row r="927" customFormat="false" ht="15" hidden="false" customHeight="false" outlineLevel="0" collapsed="false">
      <c r="A927" s="37"/>
      <c r="B927" s="44"/>
      <c r="C927" s="44"/>
      <c r="D927" s="44"/>
      <c r="E927" s="44"/>
      <c r="F927" s="44"/>
      <c r="G927" s="34" t="str">
        <f aca="false">IF(F927&lt;&gt;"",F927,IF(E927="","",IFERROR(INDEX(I_Item!$C$6:$C$255,MATCH(E927,I_Item!$A$6:$A$255,0)),"KODE BARU")))</f>
        <v/>
      </c>
      <c r="H927" s="45"/>
      <c r="I927" s="42"/>
      <c r="J927" s="11" t="str">
        <f aca="false">IF(H927="","",H927*I927)</f>
        <v/>
      </c>
      <c r="K927" s="42"/>
      <c r="L927" s="11" t="str">
        <f aca="false">IF(H927="","",IF(K927&lt;&gt;"",K927,H927*IFERROR(INDEX(O_Stok!$Q$6:$Q$85,MATCH(G927,O_Stok!$A$6:$A$85,0)),0)))</f>
        <v/>
      </c>
      <c r="M927" s="11" t="str">
        <f aca="false">IF(H927="","",J927-L927)</f>
        <v/>
      </c>
      <c r="N927" s="34" t="str">
        <f aca="false">IF(G927="","",IFERROR(INDEX(I_Master!$B$6:$B$85,MATCH(G927,I_Master!$A$6:$A$85,0)),"?"))</f>
        <v/>
      </c>
      <c r="O927" s="34" t="str">
        <f aca="false">IF(G927="","",IFERROR(INDEX(I_Master!$E$6:$E$85,MATCH(G927,I_Master!$A$6:$A$85,0)),"?"))</f>
        <v/>
      </c>
      <c r="P927" s="46" t="str">
        <f aca="false">IF(H927="","",IF(OR(A927&lt;I_Parameter!$C$5,A927&gt;I_Parameter!$C$6),0,IF(B927="Aktual",1,IF(AND(B927="Order",A927&gt;=I_Parameter!$C$4),1,0))))</f>
        <v/>
      </c>
    </row>
    <row r="928" customFormat="false" ht="15" hidden="false" customHeight="false" outlineLevel="0" collapsed="false">
      <c r="A928" s="37"/>
      <c r="B928" s="44"/>
      <c r="C928" s="44"/>
      <c r="D928" s="44"/>
      <c r="E928" s="44"/>
      <c r="F928" s="44"/>
      <c r="G928" s="34" t="str">
        <f aca="false">IF(F928&lt;&gt;"",F928,IF(E928="","",IFERROR(INDEX(I_Item!$C$6:$C$255,MATCH(E928,I_Item!$A$6:$A$255,0)),"KODE BARU")))</f>
        <v/>
      </c>
      <c r="H928" s="45"/>
      <c r="I928" s="42"/>
      <c r="J928" s="11" t="str">
        <f aca="false">IF(H928="","",H928*I928)</f>
        <v/>
      </c>
      <c r="K928" s="42"/>
      <c r="L928" s="11" t="str">
        <f aca="false">IF(H928="","",IF(K928&lt;&gt;"",K928,H928*IFERROR(INDEX(O_Stok!$Q$6:$Q$85,MATCH(G928,O_Stok!$A$6:$A$85,0)),0)))</f>
        <v/>
      </c>
      <c r="M928" s="11" t="str">
        <f aca="false">IF(H928="","",J928-L928)</f>
        <v/>
      </c>
      <c r="N928" s="34" t="str">
        <f aca="false">IF(G928="","",IFERROR(INDEX(I_Master!$B$6:$B$85,MATCH(G928,I_Master!$A$6:$A$85,0)),"?"))</f>
        <v/>
      </c>
      <c r="O928" s="34" t="str">
        <f aca="false">IF(G928="","",IFERROR(INDEX(I_Master!$E$6:$E$85,MATCH(G928,I_Master!$A$6:$A$85,0)),"?"))</f>
        <v/>
      </c>
      <c r="P928" s="46" t="str">
        <f aca="false">IF(H928="","",IF(OR(A928&lt;I_Parameter!$C$5,A928&gt;I_Parameter!$C$6),0,IF(B928="Aktual",1,IF(AND(B928="Order",A928&gt;=I_Parameter!$C$4),1,0))))</f>
        <v/>
      </c>
    </row>
    <row r="929" customFormat="false" ht="15" hidden="false" customHeight="false" outlineLevel="0" collapsed="false">
      <c r="A929" s="37"/>
      <c r="B929" s="44"/>
      <c r="C929" s="44"/>
      <c r="D929" s="44"/>
      <c r="E929" s="44"/>
      <c r="F929" s="44"/>
      <c r="G929" s="34" t="str">
        <f aca="false">IF(F929&lt;&gt;"",F929,IF(E929="","",IFERROR(INDEX(I_Item!$C$6:$C$255,MATCH(E929,I_Item!$A$6:$A$255,0)),"KODE BARU")))</f>
        <v/>
      </c>
      <c r="H929" s="45"/>
      <c r="I929" s="42"/>
      <c r="J929" s="11" t="str">
        <f aca="false">IF(H929="","",H929*I929)</f>
        <v/>
      </c>
      <c r="K929" s="42"/>
      <c r="L929" s="11" t="str">
        <f aca="false">IF(H929="","",IF(K929&lt;&gt;"",K929,H929*IFERROR(INDEX(O_Stok!$Q$6:$Q$85,MATCH(G929,O_Stok!$A$6:$A$85,0)),0)))</f>
        <v/>
      </c>
      <c r="M929" s="11" t="str">
        <f aca="false">IF(H929="","",J929-L929)</f>
        <v/>
      </c>
      <c r="N929" s="34" t="str">
        <f aca="false">IF(G929="","",IFERROR(INDEX(I_Master!$B$6:$B$85,MATCH(G929,I_Master!$A$6:$A$85,0)),"?"))</f>
        <v/>
      </c>
      <c r="O929" s="34" t="str">
        <f aca="false">IF(G929="","",IFERROR(INDEX(I_Master!$E$6:$E$85,MATCH(G929,I_Master!$A$6:$A$85,0)),"?"))</f>
        <v/>
      </c>
      <c r="P929" s="46" t="str">
        <f aca="false">IF(H929="","",IF(OR(A929&lt;I_Parameter!$C$5,A929&gt;I_Parameter!$C$6),0,IF(B929="Aktual",1,IF(AND(B929="Order",A929&gt;=I_Parameter!$C$4),1,0))))</f>
        <v/>
      </c>
    </row>
    <row r="930" customFormat="false" ht="15" hidden="false" customHeight="false" outlineLevel="0" collapsed="false">
      <c r="A930" s="37"/>
      <c r="B930" s="44"/>
      <c r="C930" s="44"/>
      <c r="D930" s="44"/>
      <c r="E930" s="44"/>
      <c r="F930" s="44"/>
      <c r="G930" s="34" t="str">
        <f aca="false">IF(F930&lt;&gt;"",F930,IF(E930="","",IFERROR(INDEX(I_Item!$C$6:$C$255,MATCH(E930,I_Item!$A$6:$A$255,0)),"KODE BARU")))</f>
        <v/>
      </c>
      <c r="H930" s="45"/>
      <c r="I930" s="42"/>
      <c r="J930" s="11" t="str">
        <f aca="false">IF(H930="","",H930*I930)</f>
        <v/>
      </c>
      <c r="K930" s="42"/>
      <c r="L930" s="11" t="str">
        <f aca="false">IF(H930="","",IF(K930&lt;&gt;"",K930,H930*IFERROR(INDEX(O_Stok!$Q$6:$Q$85,MATCH(G930,O_Stok!$A$6:$A$85,0)),0)))</f>
        <v/>
      </c>
      <c r="M930" s="11" t="str">
        <f aca="false">IF(H930="","",J930-L930)</f>
        <v/>
      </c>
      <c r="N930" s="34" t="str">
        <f aca="false">IF(G930="","",IFERROR(INDEX(I_Master!$B$6:$B$85,MATCH(G930,I_Master!$A$6:$A$85,0)),"?"))</f>
        <v/>
      </c>
      <c r="O930" s="34" t="str">
        <f aca="false">IF(G930="","",IFERROR(INDEX(I_Master!$E$6:$E$85,MATCH(G930,I_Master!$A$6:$A$85,0)),"?"))</f>
        <v/>
      </c>
      <c r="P930" s="46" t="str">
        <f aca="false">IF(H930="","",IF(OR(A930&lt;I_Parameter!$C$5,A930&gt;I_Parameter!$C$6),0,IF(B930="Aktual",1,IF(AND(B930="Order",A930&gt;=I_Parameter!$C$4),1,0))))</f>
        <v/>
      </c>
    </row>
    <row r="931" customFormat="false" ht="15" hidden="false" customHeight="false" outlineLevel="0" collapsed="false">
      <c r="A931" s="37"/>
      <c r="B931" s="44"/>
      <c r="C931" s="44"/>
      <c r="D931" s="44"/>
      <c r="E931" s="44"/>
      <c r="F931" s="44"/>
      <c r="G931" s="34" t="str">
        <f aca="false">IF(F931&lt;&gt;"",F931,IF(E931="","",IFERROR(INDEX(I_Item!$C$6:$C$255,MATCH(E931,I_Item!$A$6:$A$255,0)),"KODE BARU")))</f>
        <v/>
      </c>
      <c r="H931" s="45"/>
      <c r="I931" s="42"/>
      <c r="J931" s="11" t="str">
        <f aca="false">IF(H931="","",H931*I931)</f>
        <v/>
      </c>
      <c r="K931" s="42"/>
      <c r="L931" s="11" t="str">
        <f aca="false">IF(H931="","",IF(K931&lt;&gt;"",K931,H931*IFERROR(INDEX(O_Stok!$Q$6:$Q$85,MATCH(G931,O_Stok!$A$6:$A$85,0)),0)))</f>
        <v/>
      </c>
      <c r="M931" s="11" t="str">
        <f aca="false">IF(H931="","",J931-L931)</f>
        <v/>
      </c>
      <c r="N931" s="34" t="str">
        <f aca="false">IF(G931="","",IFERROR(INDEX(I_Master!$B$6:$B$85,MATCH(G931,I_Master!$A$6:$A$85,0)),"?"))</f>
        <v/>
      </c>
      <c r="O931" s="34" t="str">
        <f aca="false">IF(G931="","",IFERROR(INDEX(I_Master!$E$6:$E$85,MATCH(G931,I_Master!$A$6:$A$85,0)),"?"))</f>
        <v/>
      </c>
      <c r="P931" s="46" t="str">
        <f aca="false">IF(H931="","",IF(OR(A931&lt;I_Parameter!$C$5,A931&gt;I_Parameter!$C$6),0,IF(B931="Aktual",1,IF(AND(B931="Order",A931&gt;=I_Parameter!$C$4),1,0))))</f>
        <v/>
      </c>
    </row>
    <row r="932" customFormat="false" ht="15" hidden="false" customHeight="false" outlineLevel="0" collapsed="false">
      <c r="A932" s="37"/>
      <c r="B932" s="44"/>
      <c r="C932" s="44"/>
      <c r="D932" s="44"/>
      <c r="E932" s="44"/>
      <c r="F932" s="44"/>
      <c r="G932" s="34" t="str">
        <f aca="false">IF(F932&lt;&gt;"",F932,IF(E932="","",IFERROR(INDEX(I_Item!$C$6:$C$255,MATCH(E932,I_Item!$A$6:$A$255,0)),"KODE BARU")))</f>
        <v/>
      </c>
      <c r="H932" s="45"/>
      <c r="I932" s="42"/>
      <c r="J932" s="11" t="str">
        <f aca="false">IF(H932="","",H932*I932)</f>
        <v/>
      </c>
      <c r="K932" s="42"/>
      <c r="L932" s="11" t="str">
        <f aca="false">IF(H932="","",IF(K932&lt;&gt;"",K932,H932*IFERROR(INDEX(O_Stok!$Q$6:$Q$85,MATCH(G932,O_Stok!$A$6:$A$85,0)),0)))</f>
        <v/>
      </c>
      <c r="M932" s="11" t="str">
        <f aca="false">IF(H932="","",J932-L932)</f>
        <v/>
      </c>
      <c r="N932" s="34" t="str">
        <f aca="false">IF(G932="","",IFERROR(INDEX(I_Master!$B$6:$B$85,MATCH(G932,I_Master!$A$6:$A$85,0)),"?"))</f>
        <v/>
      </c>
      <c r="O932" s="34" t="str">
        <f aca="false">IF(G932="","",IFERROR(INDEX(I_Master!$E$6:$E$85,MATCH(G932,I_Master!$A$6:$A$85,0)),"?"))</f>
        <v/>
      </c>
      <c r="P932" s="46" t="str">
        <f aca="false">IF(H932="","",IF(OR(A932&lt;I_Parameter!$C$5,A932&gt;I_Parameter!$C$6),0,IF(B932="Aktual",1,IF(AND(B932="Order",A932&gt;=I_Parameter!$C$4),1,0))))</f>
        <v/>
      </c>
    </row>
    <row r="933" customFormat="false" ht="15" hidden="false" customHeight="false" outlineLevel="0" collapsed="false">
      <c r="A933" s="37"/>
      <c r="B933" s="44"/>
      <c r="C933" s="44"/>
      <c r="D933" s="44"/>
      <c r="E933" s="44"/>
      <c r="F933" s="44"/>
      <c r="G933" s="34" t="str">
        <f aca="false">IF(F933&lt;&gt;"",F933,IF(E933="","",IFERROR(INDEX(I_Item!$C$6:$C$255,MATCH(E933,I_Item!$A$6:$A$255,0)),"KODE BARU")))</f>
        <v/>
      </c>
      <c r="H933" s="45"/>
      <c r="I933" s="42"/>
      <c r="J933" s="11" t="str">
        <f aca="false">IF(H933="","",H933*I933)</f>
        <v/>
      </c>
      <c r="K933" s="42"/>
      <c r="L933" s="11" t="str">
        <f aca="false">IF(H933="","",IF(K933&lt;&gt;"",K933,H933*IFERROR(INDEX(O_Stok!$Q$6:$Q$85,MATCH(G933,O_Stok!$A$6:$A$85,0)),0)))</f>
        <v/>
      </c>
      <c r="M933" s="11" t="str">
        <f aca="false">IF(H933="","",J933-L933)</f>
        <v/>
      </c>
      <c r="N933" s="34" t="str">
        <f aca="false">IF(G933="","",IFERROR(INDEX(I_Master!$B$6:$B$85,MATCH(G933,I_Master!$A$6:$A$85,0)),"?"))</f>
        <v/>
      </c>
      <c r="O933" s="34" t="str">
        <f aca="false">IF(G933="","",IFERROR(INDEX(I_Master!$E$6:$E$85,MATCH(G933,I_Master!$A$6:$A$85,0)),"?"))</f>
        <v/>
      </c>
      <c r="P933" s="46" t="str">
        <f aca="false">IF(H933="","",IF(OR(A933&lt;I_Parameter!$C$5,A933&gt;I_Parameter!$C$6),0,IF(B933="Aktual",1,IF(AND(B933="Order",A933&gt;=I_Parameter!$C$4),1,0))))</f>
        <v/>
      </c>
    </row>
    <row r="934" customFormat="false" ht="15" hidden="false" customHeight="false" outlineLevel="0" collapsed="false">
      <c r="A934" s="37"/>
      <c r="B934" s="44"/>
      <c r="C934" s="44"/>
      <c r="D934" s="44"/>
      <c r="E934" s="44"/>
      <c r="F934" s="44"/>
      <c r="G934" s="34" t="str">
        <f aca="false">IF(F934&lt;&gt;"",F934,IF(E934="","",IFERROR(INDEX(I_Item!$C$6:$C$255,MATCH(E934,I_Item!$A$6:$A$255,0)),"KODE BARU")))</f>
        <v/>
      </c>
      <c r="H934" s="45"/>
      <c r="I934" s="42"/>
      <c r="J934" s="11" t="str">
        <f aca="false">IF(H934="","",H934*I934)</f>
        <v/>
      </c>
      <c r="K934" s="42"/>
      <c r="L934" s="11" t="str">
        <f aca="false">IF(H934="","",IF(K934&lt;&gt;"",K934,H934*IFERROR(INDEX(O_Stok!$Q$6:$Q$85,MATCH(G934,O_Stok!$A$6:$A$85,0)),0)))</f>
        <v/>
      </c>
      <c r="M934" s="11" t="str">
        <f aca="false">IF(H934="","",J934-L934)</f>
        <v/>
      </c>
      <c r="N934" s="34" t="str">
        <f aca="false">IF(G934="","",IFERROR(INDEX(I_Master!$B$6:$B$85,MATCH(G934,I_Master!$A$6:$A$85,0)),"?"))</f>
        <v/>
      </c>
      <c r="O934" s="34" t="str">
        <f aca="false">IF(G934="","",IFERROR(INDEX(I_Master!$E$6:$E$85,MATCH(G934,I_Master!$A$6:$A$85,0)),"?"))</f>
        <v/>
      </c>
      <c r="P934" s="46" t="str">
        <f aca="false">IF(H934="","",IF(OR(A934&lt;I_Parameter!$C$5,A934&gt;I_Parameter!$C$6),0,IF(B934="Aktual",1,IF(AND(B934="Order",A934&gt;=I_Parameter!$C$4),1,0))))</f>
        <v/>
      </c>
    </row>
    <row r="935" customFormat="false" ht="15" hidden="false" customHeight="false" outlineLevel="0" collapsed="false">
      <c r="A935" s="37"/>
      <c r="B935" s="44"/>
      <c r="C935" s="44"/>
      <c r="D935" s="44"/>
      <c r="E935" s="44"/>
      <c r="F935" s="44"/>
      <c r="G935" s="34" t="str">
        <f aca="false">IF(F935&lt;&gt;"",F935,IF(E935="","",IFERROR(INDEX(I_Item!$C$6:$C$255,MATCH(E935,I_Item!$A$6:$A$255,0)),"KODE BARU")))</f>
        <v/>
      </c>
      <c r="H935" s="45"/>
      <c r="I935" s="42"/>
      <c r="J935" s="11" t="str">
        <f aca="false">IF(H935="","",H935*I935)</f>
        <v/>
      </c>
      <c r="K935" s="42"/>
      <c r="L935" s="11" t="str">
        <f aca="false">IF(H935="","",IF(K935&lt;&gt;"",K935,H935*IFERROR(INDEX(O_Stok!$Q$6:$Q$85,MATCH(G935,O_Stok!$A$6:$A$85,0)),0)))</f>
        <v/>
      </c>
      <c r="M935" s="11" t="str">
        <f aca="false">IF(H935="","",J935-L935)</f>
        <v/>
      </c>
      <c r="N935" s="34" t="str">
        <f aca="false">IF(G935="","",IFERROR(INDEX(I_Master!$B$6:$B$85,MATCH(G935,I_Master!$A$6:$A$85,0)),"?"))</f>
        <v/>
      </c>
      <c r="O935" s="34" t="str">
        <f aca="false">IF(G935="","",IFERROR(INDEX(I_Master!$E$6:$E$85,MATCH(G935,I_Master!$A$6:$A$85,0)),"?"))</f>
        <v/>
      </c>
      <c r="P935" s="46" t="str">
        <f aca="false">IF(H935="","",IF(OR(A935&lt;I_Parameter!$C$5,A935&gt;I_Parameter!$C$6),0,IF(B935="Aktual",1,IF(AND(B935="Order",A935&gt;=I_Parameter!$C$4),1,0))))</f>
        <v/>
      </c>
    </row>
    <row r="936" customFormat="false" ht="15" hidden="false" customHeight="false" outlineLevel="0" collapsed="false">
      <c r="A936" s="37"/>
      <c r="B936" s="44"/>
      <c r="C936" s="44"/>
      <c r="D936" s="44"/>
      <c r="E936" s="44"/>
      <c r="F936" s="44"/>
      <c r="G936" s="34" t="str">
        <f aca="false">IF(F936&lt;&gt;"",F936,IF(E936="","",IFERROR(INDEX(I_Item!$C$6:$C$255,MATCH(E936,I_Item!$A$6:$A$255,0)),"KODE BARU")))</f>
        <v/>
      </c>
      <c r="H936" s="45"/>
      <c r="I936" s="42"/>
      <c r="J936" s="11" t="str">
        <f aca="false">IF(H936="","",H936*I936)</f>
        <v/>
      </c>
      <c r="K936" s="42"/>
      <c r="L936" s="11" t="str">
        <f aca="false">IF(H936="","",IF(K936&lt;&gt;"",K936,H936*IFERROR(INDEX(O_Stok!$Q$6:$Q$85,MATCH(G936,O_Stok!$A$6:$A$85,0)),0)))</f>
        <v/>
      </c>
      <c r="M936" s="11" t="str">
        <f aca="false">IF(H936="","",J936-L936)</f>
        <v/>
      </c>
      <c r="N936" s="34" t="str">
        <f aca="false">IF(G936="","",IFERROR(INDEX(I_Master!$B$6:$B$85,MATCH(G936,I_Master!$A$6:$A$85,0)),"?"))</f>
        <v/>
      </c>
      <c r="O936" s="34" t="str">
        <f aca="false">IF(G936="","",IFERROR(INDEX(I_Master!$E$6:$E$85,MATCH(G936,I_Master!$A$6:$A$85,0)),"?"))</f>
        <v/>
      </c>
      <c r="P936" s="46" t="str">
        <f aca="false">IF(H936="","",IF(OR(A936&lt;I_Parameter!$C$5,A936&gt;I_Parameter!$C$6),0,IF(B936="Aktual",1,IF(AND(B936="Order",A936&gt;=I_Parameter!$C$4),1,0))))</f>
        <v/>
      </c>
    </row>
    <row r="937" customFormat="false" ht="15" hidden="false" customHeight="false" outlineLevel="0" collapsed="false">
      <c r="A937" s="37"/>
      <c r="B937" s="44"/>
      <c r="C937" s="44"/>
      <c r="D937" s="44"/>
      <c r="E937" s="44"/>
      <c r="F937" s="44"/>
      <c r="G937" s="34" t="str">
        <f aca="false">IF(F937&lt;&gt;"",F937,IF(E937="","",IFERROR(INDEX(I_Item!$C$6:$C$255,MATCH(E937,I_Item!$A$6:$A$255,0)),"KODE BARU")))</f>
        <v/>
      </c>
      <c r="H937" s="45"/>
      <c r="I937" s="42"/>
      <c r="J937" s="11" t="str">
        <f aca="false">IF(H937="","",H937*I937)</f>
        <v/>
      </c>
      <c r="K937" s="42"/>
      <c r="L937" s="11" t="str">
        <f aca="false">IF(H937="","",IF(K937&lt;&gt;"",K937,H937*IFERROR(INDEX(O_Stok!$Q$6:$Q$85,MATCH(G937,O_Stok!$A$6:$A$85,0)),0)))</f>
        <v/>
      </c>
      <c r="M937" s="11" t="str">
        <f aca="false">IF(H937="","",J937-L937)</f>
        <v/>
      </c>
      <c r="N937" s="34" t="str">
        <f aca="false">IF(G937="","",IFERROR(INDEX(I_Master!$B$6:$B$85,MATCH(G937,I_Master!$A$6:$A$85,0)),"?"))</f>
        <v/>
      </c>
      <c r="O937" s="34" t="str">
        <f aca="false">IF(G937="","",IFERROR(INDEX(I_Master!$E$6:$E$85,MATCH(G937,I_Master!$A$6:$A$85,0)),"?"))</f>
        <v/>
      </c>
      <c r="P937" s="46" t="str">
        <f aca="false">IF(H937="","",IF(OR(A937&lt;I_Parameter!$C$5,A937&gt;I_Parameter!$C$6),0,IF(B937="Aktual",1,IF(AND(B937="Order",A937&gt;=I_Parameter!$C$4),1,0))))</f>
        <v/>
      </c>
    </row>
    <row r="938" customFormat="false" ht="15" hidden="false" customHeight="false" outlineLevel="0" collapsed="false">
      <c r="A938" s="37"/>
      <c r="B938" s="44"/>
      <c r="C938" s="44"/>
      <c r="D938" s="44"/>
      <c r="E938" s="44"/>
      <c r="F938" s="44"/>
      <c r="G938" s="34" t="str">
        <f aca="false">IF(F938&lt;&gt;"",F938,IF(E938="","",IFERROR(INDEX(I_Item!$C$6:$C$255,MATCH(E938,I_Item!$A$6:$A$255,0)),"KODE BARU")))</f>
        <v/>
      </c>
      <c r="H938" s="45"/>
      <c r="I938" s="42"/>
      <c r="J938" s="11" t="str">
        <f aca="false">IF(H938="","",H938*I938)</f>
        <v/>
      </c>
      <c r="K938" s="42"/>
      <c r="L938" s="11" t="str">
        <f aca="false">IF(H938="","",IF(K938&lt;&gt;"",K938,H938*IFERROR(INDEX(O_Stok!$Q$6:$Q$85,MATCH(G938,O_Stok!$A$6:$A$85,0)),0)))</f>
        <v/>
      </c>
      <c r="M938" s="11" t="str">
        <f aca="false">IF(H938="","",J938-L938)</f>
        <v/>
      </c>
      <c r="N938" s="34" t="str">
        <f aca="false">IF(G938="","",IFERROR(INDEX(I_Master!$B$6:$B$85,MATCH(G938,I_Master!$A$6:$A$85,0)),"?"))</f>
        <v/>
      </c>
      <c r="O938" s="34" t="str">
        <f aca="false">IF(G938="","",IFERROR(INDEX(I_Master!$E$6:$E$85,MATCH(G938,I_Master!$A$6:$A$85,0)),"?"))</f>
        <v/>
      </c>
      <c r="P938" s="46" t="str">
        <f aca="false">IF(H938="","",IF(OR(A938&lt;I_Parameter!$C$5,A938&gt;I_Parameter!$C$6),0,IF(B938="Aktual",1,IF(AND(B938="Order",A938&gt;=I_Parameter!$C$4),1,0))))</f>
        <v/>
      </c>
    </row>
    <row r="939" customFormat="false" ht="15" hidden="false" customHeight="false" outlineLevel="0" collapsed="false">
      <c r="A939" s="37"/>
      <c r="B939" s="44"/>
      <c r="C939" s="44"/>
      <c r="D939" s="44"/>
      <c r="E939" s="44"/>
      <c r="F939" s="44"/>
      <c r="G939" s="34" t="str">
        <f aca="false">IF(F939&lt;&gt;"",F939,IF(E939="","",IFERROR(INDEX(I_Item!$C$6:$C$255,MATCH(E939,I_Item!$A$6:$A$255,0)),"KODE BARU")))</f>
        <v/>
      </c>
      <c r="H939" s="45"/>
      <c r="I939" s="42"/>
      <c r="J939" s="11" t="str">
        <f aca="false">IF(H939="","",H939*I939)</f>
        <v/>
      </c>
      <c r="K939" s="42"/>
      <c r="L939" s="11" t="str">
        <f aca="false">IF(H939="","",IF(K939&lt;&gt;"",K939,H939*IFERROR(INDEX(O_Stok!$Q$6:$Q$85,MATCH(G939,O_Stok!$A$6:$A$85,0)),0)))</f>
        <v/>
      </c>
      <c r="M939" s="11" t="str">
        <f aca="false">IF(H939="","",J939-L939)</f>
        <v/>
      </c>
      <c r="N939" s="34" t="str">
        <f aca="false">IF(G939="","",IFERROR(INDEX(I_Master!$B$6:$B$85,MATCH(G939,I_Master!$A$6:$A$85,0)),"?"))</f>
        <v/>
      </c>
      <c r="O939" s="34" t="str">
        <f aca="false">IF(G939="","",IFERROR(INDEX(I_Master!$E$6:$E$85,MATCH(G939,I_Master!$A$6:$A$85,0)),"?"))</f>
        <v/>
      </c>
      <c r="P939" s="46" t="str">
        <f aca="false">IF(H939="","",IF(OR(A939&lt;I_Parameter!$C$5,A939&gt;I_Parameter!$C$6),0,IF(B939="Aktual",1,IF(AND(B939="Order",A939&gt;=I_Parameter!$C$4),1,0))))</f>
        <v/>
      </c>
    </row>
    <row r="940" customFormat="false" ht="15" hidden="false" customHeight="false" outlineLevel="0" collapsed="false">
      <c r="A940" s="37"/>
      <c r="B940" s="44"/>
      <c r="C940" s="44"/>
      <c r="D940" s="44"/>
      <c r="E940" s="44"/>
      <c r="F940" s="44"/>
      <c r="G940" s="34" t="str">
        <f aca="false">IF(F940&lt;&gt;"",F940,IF(E940="","",IFERROR(INDEX(I_Item!$C$6:$C$255,MATCH(E940,I_Item!$A$6:$A$255,0)),"KODE BARU")))</f>
        <v/>
      </c>
      <c r="H940" s="45"/>
      <c r="I940" s="42"/>
      <c r="J940" s="11" t="str">
        <f aca="false">IF(H940="","",H940*I940)</f>
        <v/>
      </c>
      <c r="K940" s="42"/>
      <c r="L940" s="11" t="str">
        <f aca="false">IF(H940="","",IF(K940&lt;&gt;"",K940,H940*IFERROR(INDEX(O_Stok!$Q$6:$Q$85,MATCH(G940,O_Stok!$A$6:$A$85,0)),0)))</f>
        <v/>
      </c>
      <c r="M940" s="11" t="str">
        <f aca="false">IF(H940="","",J940-L940)</f>
        <v/>
      </c>
      <c r="N940" s="34" t="str">
        <f aca="false">IF(G940="","",IFERROR(INDEX(I_Master!$B$6:$B$85,MATCH(G940,I_Master!$A$6:$A$85,0)),"?"))</f>
        <v/>
      </c>
      <c r="O940" s="34" t="str">
        <f aca="false">IF(G940="","",IFERROR(INDEX(I_Master!$E$6:$E$85,MATCH(G940,I_Master!$A$6:$A$85,0)),"?"))</f>
        <v/>
      </c>
      <c r="P940" s="46" t="str">
        <f aca="false">IF(H940="","",IF(OR(A940&lt;I_Parameter!$C$5,A940&gt;I_Parameter!$C$6),0,IF(B940="Aktual",1,IF(AND(B940="Order",A940&gt;=I_Parameter!$C$4),1,0))))</f>
        <v/>
      </c>
    </row>
    <row r="941" customFormat="false" ht="15" hidden="false" customHeight="false" outlineLevel="0" collapsed="false">
      <c r="A941" s="37"/>
      <c r="B941" s="44"/>
      <c r="C941" s="44"/>
      <c r="D941" s="44"/>
      <c r="E941" s="44"/>
      <c r="F941" s="44"/>
      <c r="G941" s="34" t="str">
        <f aca="false">IF(F941&lt;&gt;"",F941,IF(E941="","",IFERROR(INDEX(I_Item!$C$6:$C$255,MATCH(E941,I_Item!$A$6:$A$255,0)),"KODE BARU")))</f>
        <v/>
      </c>
      <c r="H941" s="45"/>
      <c r="I941" s="42"/>
      <c r="J941" s="11" t="str">
        <f aca="false">IF(H941="","",H941*I941)</f>
        <v/>
      </c>
      <c r="K941" s="42"/>
      <c r="L941" s="11" t="str">
        <f aca="false">IF(H941="","",IF(K941&lt;&gt;"",K941,H941*IFERROR(INDEX(O_Stok!$Q$6:$Q$85,MATCH(G941,O_Stok!$A$6:$A$85,0)),0)))</f>
        <v/>
      </c>
      <c r="M941" s="11" t="str">
        <f aca="false">IF(H941="","",J941-L941)</f>
        <v/>
      </c>
      <c r="N941" s="34" t="str">
        <f aca="false">IF(G941="","",IFERROR(INDEX(I_Master!$B$6:$B$85,MATCH(G941,I_Master!$A$6:$A$85,0)),"?"))</f>
        <v/>
      </c>
      <c r="O941" s="34" t="str">
        <f aca="false">IF(G941="","",IFERROR(INDEX(I_Master!$E$6:$E$85,MATCH(G941,I_Master!$A$6:$A$85,0)),"?"))</f>
        <v/>
      </c>
      <c r="P941" s="46" t="str">
        <f aca="false">IF(H941="","",IF(OR(A941&lt;I_Parameter!$C$5,A941&gt;I_Parameter!$C$6),0,IF(B941="Aktual",1,IF(AND(B941="Order",A941&gt;=I_Parameter!$C$4),1,0))))</f>
        <v/>
      </c>
    </row>
    <row r="942" customFormat="false" ht="15" hidden="false" customHeight="false" outlineLevel="0" collapsed="false">
      <c r="A942" s="37"/>
      <c r="B942" s="44"/>
      <c r="C942" s="44"/>
      <c r="D942" s="44"/>
      <c r="E942" s="44"/>
      <c r="F942" s="44"/>
      <c r="G942" s="34" t="str">
        <f aca="false">IF(F942&lt;&gt;"",F942,IF(E942="","",IFERROR(INDEX(I_Item!$C$6:$C$255,MATCH(E942,I_Item!$A$6:$A$255,0)),"KODE BARU")))</f>
        <v/>
      </c>
      <c r="H942" s="45"/>
      <c r="I942" s="42"/>
      <c r="J942" s="11" t="str">
        <f aca="false">IF(H942="","",H942*I942)</f>
        <v/>
      </c>
      <c r="K942" s="42"/>
      <c r="L942" s="11" t="str">
        <f aca="false">IF(H942="","",IF(K942&lt;&gt;"",K942,H942*IFERROR(INDEX(O_Stok!$Q$6:$Q$85,MATCH(G942,O_Stok!$A$6:$A$85,0)),0)))</f>
        <v/>
      </c>
      <c r="M942" s="11" t="str">
        <f aca="false">IF(H942="","",J942-L942)</f>
        <v/>
      </c>
      <c r="N942" s="34" t="str">
        <f aca="false">IF(G942="","",IFERROR(INDEX(I_Master!$B$6:$B$85,MATCH(G942,I_Master!$A$6:$A$85,0)),"?"))</f>
        <v/>
      </c>
      <c r="O942" s="34" t="str">
        <f aca="false">IF(G942="","",IFERROR(INDEX(I_Master!$E$6:$E$85,MATCH(G942,I_Master!$A$6:$A$85,0)),"?"))</f>
        <v/>
      </c>
      <c r="P942" s="46" t="str">
        <f aca="false">IF(H942="","",IF(OR(A942&lt;I_Parameter!$C$5,A942&gt;I_Parameter!$C$6),0,IF(B942="Aktual",1,IF(AND(B942="Order",A942&gt;=I_Parameter!$C$4),1,0))))</f>
        <v/>
      </c>
    </row>
    <row r="943" customFormat="false" ht="15" hidden="false" customHeight="false" outlineLevel="0" collapsed="false">
      <c r="A943" s="37"/>
      <c r="B943" s="44"/>
      <c r="C943" s="44"/>
      <c r="D943" s="44"/>
      <c r="E943" s="44"/>
      <c r="F943" s="44"/>
      <c r="G943" s="34" t="str">
        <f aca="false">IF(F943&lt;&gt;"",F943,IF(E943="","",IFERROR(INDEX(I_Item!$C$6:$C$255,MATCH(E943,I_Item!$A$6:$A$255,0)),"KODE BARU")))</f>
        <v/>
      </c>
      <c r="H943" s="45"/>
      <c r="I943" s="42"/>
      <c r="J943" s="11" t="str">
        <f aca="false">IF(H943="","",H943*I943)</f>
        <v/>
      </c>
      <c r="K943" s="42"/>
      <c r="L943" s="11" t="str">
        <f aca="false">IF(H943="","",IF(K943&lt;&gt;"",K943,H943*IFERROR(INDEX(O_Stok!$Q$6:$Q$85,MATCH(G943,O_Stok!$A$6:$A$85,0)),0)))</f>
        <v/>
      </c>
      <c r="M943" s="11" t="str">
        <f aca="false">IF(H943="","",J943-L943)</f>
        <v/>
      </c>
      <c r="N943" s="34" t="str">
        <f aca="false">IF(G943="","",IFERROR(INDEX(I_Master!$B$6:$B$85,MATCH(G943,I_Master!$A$6:$A$85,0)),"?"))</f>
        <v/>
      </c>
      <c r="O943" s="34" t="str">
        <f aca="false">IF(G943="","",IFERROR(INDEX(I_Master!$E$6:$E$85,MATCH(G943,I_Master!$A$6:$A$85,0)),"?"))</f>
        <v/>
      </c>
      <c r="P943" s="46" t="str">
        <f aca="false">IF(H943="","",IF(OR(A943&lt;I_Parameter!$C$5,A943&gt;I_Parameter!$C$6),0,IF(B943="Aktual",1,IF(AND(B943="Order",A943&gt;=I_Parameter!$C$4),1,0))))</f>
        <v/>
      </c>
    </row>
    <row r="944" customFormat="false" ht="15" hidden="false" customHeight="false" outlineLevel="0" collapsed="false">
      <c r="A944" s="37"/>
      <c r="B944" s="44"/>
      <c r="C944" s="44"/>
      <c r="D944" s="44"/>
      <c r="E944" s="44"/>
      <c r="F944" s="44"/>
      <c r="G944" s="34" t="str">
        <f aca="false">IF(F944&lt;&gt;"",F944,IF(E944="","",IFERROR(INDEX(I_Item!$C$6:$C$255,MATCH(E944,I_Item!$A$6:$A$255,0)),"KODE BARU")))</f>
        <v/>
      </c>
      <c r="H944" s="45"/>
      <c r="I944" s="42"/>
      <c r="J944" s="11" t="str">
        <f aca="false">IF(H944="","",H944*I944)</f>
        <v/>
      </c>
      <c r="K944" s="42"/>
      <c r="L944" s="11" t="str">
        <f aca="false">IF(H944="","",IF(K944&lt;&gt;"",K944,H944*IFERROR(INDEX(O_Stok!$Q$6:$Q$85,MATCH(G944,O_Stok!$A$6:$A$85,0)),0)))</f>
        <v/>
      </c>
      <c r="M944" s="11" t="str">
        <f aca="false">IF(H944="","",J944-L944)</f>
        <v/>
      </c>
      <c r="N944" s="34" t="str">
        <f aca="false">IF(G944="","",IFERROR(INDEX(I_Master!$B$6:$B$85,MATCH(G944,I_Master!$A$6:$A$85,0)),"?"))</f>
        <v/>
      </c>
      <c r="O944" s="34" t="str">
        <f aca="false">IF(G944="","",IFERROR(INDEX(I_Master!$E$6:$E$85,MATCH(G944,I_Master!$A$6:$A$85,0)),"?"))</f>
        <v/>
      </c>
      <c r="P944" s="46" t="str">
        <f aca="false">IF(H944="","",IF(OR(A944&lt;I_Parameter!$C$5,A944&gt;I_Parameter!$C$6),0,IF(B944="Aktual",1,IF(AND(B944="Order",A944&gt;=I_Parameter!$C$4),1,0))))</f>
        <v/>
      </c>
    </row>
    <row r="945" customFormat="false" ht="15" hidden="false" customHeight="false" outlineLevel="0" collapsed="false">
      <c r="A945" s="37"/>
      <c r="B945" s="44"/>
      <c r="C945" s="44"/>
      <c r="D945" s="44"/>
      <c r="E945" s="44"/>
      <c r="F945" s="44"/>
      <c r="G945" s="34" t="str">
        <f aca="false">IF(F945&lt;&gt;"",F945,IF(E945="","",IFERROR(INDEX(I_Item!$C$6:$C$255,MATCH(E945,I_Item!$A$6:$A$255,0)),"KODE BARU")))</f>
        <v/>
      </c>
      <c r="H945" s="45"/>
      <c r="I945" s="42"/>
      <c r="J945" s="11" t="str">
        <f aca="false">IF(H945="","",H945*I945)</f>
        <v/>
      </c>
      <c r="K945" s="42"/>
      <c r="L945" s="11" t="str">
        <f aca="false">IF(H945="","",IF(K945&lt;&gt;"",K945,H945*IFERROR(INDEX(O_Stok!$Q$6:$Q$85,MATCH(G945,O_Stok!$A$6:$A$85,0)),0)))</f>
        <v/>
      </c>
      <c r="M945" s="11" t="str">
        <f aca="false">IF(H945="","",J945-L945)</f>
        <v/>
      </c>
      <c r="N945" s="34" t="str">
        <f aca="false">IF(G945="","",IFERROR(INDEX(I_Master!$B$6:$B$85,MATCH(G945,I_Master!$A$6:$A$85,0)),"?"))</f>
        <v/>
      </c>
      <c r="O945" s="34" t="str">
        <f aca="false">IF(G945="","",IFERROR(INDEX(I_Master!$E$6:$E$85,MATCH(G945,I_Master!$A$6:$A$85,0)),"?"))</f>
        <v/>
      </c>
      <c r="P945" s="46" t="str">
        <f aca="false">IF(H945="","",IF(OR(A945&lt;I_Parameter!$C$5,A945&gt;I_Parameter!$C$6),0,IF(B945="Aktual",1,IF(AND(B945="Order",A945&gt;=I_Parameter!$C$4),1,0))))</f>
        <v/>
      </c>
    </row>
    <row r="946" customFormat="false" ht="15" hidden="false" customHeight="false" outlineLevel="0" collapsed="false">
      <c r="A946" s="37"/>
      <c r="B946" s="44"/>
      <c r="C946" s="44"/>
      <c r="D946" s="44"/>
      <c r="E946" s="44"/>
      <c r="F946" s="44"/>
      <c r="G946" s="34" t="str">
        <f aca="false">IF(F946&lt;&gt;"",F946,IF(E946="","",IFERROR(INDEX(I_Item!$C$6:$C$255,MATCH(E946,I_Item!$A$6:$A$255,0)),"KODE BARU")))</f>
        <v/>
      </c>
      <c r="H946" s="45"/>
      <c r="I946" s="42"/>
      <c r="J946" s="11" t="str">
        <f aca="false">IF(H946="","",H946*I946)</f>
        <v/>
      </c>
      <c r="K946" s="42"/>
      <c r="L946" s="11" t="str">
        <f aca="false">IF(H946="","",IF(K946&lt;&gt;"",K946,H946*IFERROR(INDEX(O_Stok!$Q$6:$Q$85,MATCH(G946,O_Stok!$A$6:$A$85,0)),0)))</f>
        <v/>
      </c>
      <c r="M946" s="11" t="str">
        <f aca="false">IF(H946="","",J946-L946)</f>
        <v/>
      </c>
      <c r="N946" s="34" t="str">
        <f aca="false">IF(G946="","",IFERROR(INDEX(I_Master!$B$6:$B$85,MATCH(G946,I_Master!$A$6:$A$85,0)),"?"))</f>
        <v/>
      </c>
      <c r="O946" s="34" t="str">
        <f aca="false">IF(G946="","",IFERROR(INDEX(I_Master!$E$6:$E$85,MATCH(G946,I_Master!$A$6:$A$85,0)),"?"))</f>
        <v/>
      </c>
      <c r="P946" s="46" t="str">
        <f aca="false">IF(H946="","",IF(OR(A946&lt;I_Parameter!$C$5,A946&gt;I_Parameter!$C$6),0,IF(B946="Aktual",1,IF(AND(B946="Order",A946&gt;=I_Parameter!$C$4),1,0))))</f>
        <v/>
      </c>
    </row>
    <row r="947" customFormat="false" ht="15" hidden="false" customHeight="false" outlineLevel="0" collapsed="false">
      <c r="A947" s="37"/>
      <c r="B947" s="44"/>
      <c r="C947" s="44"/>
      <c r="D947" s="44"/>
      <c r="E947" s="44"/>
      <c r="F947" s="44"/>
      <c r="G947" s="34" t="str">
        <f aca="false">IF(F947&lt;&gt;"",F947,IF(E947="","",IFERROR(INDEX(I_Item!$C$6:$C$255,MATCH(E947,I_Item!$A$6:$A$255,0)),"KODE BARU")))</f>
        <v/>
      </c>
      <c r="H947" s="45"/>
      <c r="I947" s="42"/>
      <c r="J947" s="11" t="str">
        <f aca="false">IF(H947="","",H947*I947)</f>
        <v/>
      </c>
      <c r="K947" s="42"/>
      <c r="L947" s="11" t="str">
        <f aca="false">IF(H947="","",IF(K947&lt;&gt;"",K947,H947*IFERROR(INDEX(O_Stok!$Q$6:$Q$85,MATCH(G947,O_Stok!$A$6:$A$85,0)),0)))</f>
        <v/>
      </c>
      <c r="M947" s="11" t="str">
        <f aca="false">IF(H947="","",J947-L947)</f>
        <v/>
      </c>
      <c r="N947" s="34" t="str">
        <f aca="false">IF(G947="","",IFERROR(INDEX(I_Master!$B$6:$B$85,MATCH(G947,I_Master!$A$6:$A$85,0)),"?"))</f>
        <v/>
      </c>
      <c r="O947" s="34" t="str">
        <f aca="false">IF(G947="","",IFERROR(INDEX(I_Master!$E$6:$E$85,MATCH(G947,I_Master!$A$6:$A$85,0)),"?"))</f>
        <v/>
      </c>
      <c r="P947" s="46" t="str">
        <f aca="false">IF(H947="","",IF(OR(A947&lt;I_Parameter!$C$5,A947&gt;I_Parameter!$C$6),0,IF(B947="Aktual",1,IF(AND(B947="Order",A947&gt;=I_Parameter!$C$4),1,0))))</f>
        <v/>
      </c>
    </row>
    <row r="948" customFormat="false" ht="15" hidden="false" customHeight="false" outlineLevel="0" collapsed="false">
      <c r="A948" s="37"/>
      <c r="B948" s="44"/>
      <c r="C948" s="44"/>
      <c r="D948" s="44"/>
      <c r="E948" s="44"/>
      <c r="F948" s="44"/>
      <c r="G948" s="34" t="str">
        <f aca="false">IF(F948&lt;&gt;"",F948,IF(E948="","",IFERROR(INDEX(I_Item!$C$6:$C$255,MATCH(E948,I_Item!$A$6:$A$255,0)),"KODE BARU")))</f>
        <v/>
      </c>
      <c r="H948" s="45"/>
      <c r="I948" s="42"/>
      <c r="J948" s="11" t="str">
        <f aca="false">IF(H948="","",H948*I948)</f>
        <v/>
      </c>
      <c r="K948" s="42"/>
      <c r="L948" s="11" t="str">
        <f aca="false">IF(H948="","",IF(K948&lt;&gt;"",K948,H948*IFERROR(INDEX(O_Stok!$Q$6:$Q$85,MATCH(G948,O_Stok!$A$6:$A$85,0)),0)))</f>
        <v/>
      </c>
      <c r="M948" s="11" t="str">
        <f aca="false">IF(H948="","",J948-L948)</f>
        <v/>
      </c>
      <c r="N948" s="34" t="str">
        <f aca="false">IF(G948="","",IFERROR(INDEX(I_Master!$B$6:$B$85,MATCH(G948,I_Master!$A$6:$A$85,0)),"?"))</f>
        <v/>
      </c>
      <c r="O948" s="34" t="str">
        <f aca="false">IF(G948="","",IFERROR(INDEX(I_Master!$E$6:$E$85,MATCH(G948,I_Master!$A$6:$A$85,0)),"?"))</f>
        <v/>
      </c>
      <c r="P948" s="46" t="str">
        <f aca="false">IF(H948="","",IF(OR(A948&lt;I_Parameter!$C$5,A948&gt;I_Parameter!$C$6),0,IF(B948="Aktual",1,IF(AND(B948="Order",A948&gt;=I_Parameter!$C$4),1,0))))</f>
        <v/>
      </c>
    </row>
    <row r="949" customFormat="false" ht="15" hidden="false" customHeight="false" outlineLevel="0" collapsed="false">
      <c r="A949" s="37"/>
      <c r="B949" s="44"/>
      <c r="C949" s="44"/>
      <c r="D949" s="44"/>
      <c r="E949" s="44"/>
      <c r="F949" s="44"/>
      <c r="G949" s="34" t="str">
        <f aca="false">IF(F949&lt;&gt;"",F949,IF(E949="","",IFERROR(INDEX(I_Item!$C$6:$C$255,MATCH(E949,I_Item!$A$6:$A$255,0)),"KODE BARU")))</f>
        <v/>
      </c>
      <c r="H949" s="45"/>
      <c r="I949" s="42"/>
      <c r="J949" s="11" t="str">
        <f aca="false">IF(H949="","",H949*I949)</f>
        <v/>
      </c>
      <c r="K949" s="42"/>
      <c r="L949" s="11" t="str">
        <f aca="false">IF(H949="","",IF(K949&lt;&gt;"",K949,H949*IFERROR(INDEX(O_Stok!$Q$6:$Q$85,MATCH(G949,O_Stok!$A$6:$A$85,0)),0)))</f>
        <v/>
      </c>
      <c r="M949" s="11" t="str">
        <f aca="false">IF(H949="","",J949-L949)</f>
        <v/>
      </c>
      <c r="N949" s="34" t="str">
        <f aca="false">IF(G949="","",IFERROR(INDEX(I_Master!$B$6:$B$85,MATCH(G949,I_Master!$A$6:$A$85,0)),"?"))</f>
        <v/>
      </c>
      <c r="O949" s="34" t="str">
        <f aca="false">IF(G949="","",IFERROR(INDEX(I_Master!$E$6:$E$85,MATCH(G949,I_Master!$A$6:$A$85,0)),"?"))</f>
        <v/>
      </c>
      <c r="P949" s="46" t="str">
        <f aca="false">IF(H949="","",IF(OR(A949&lt;I_Parameter!$C$5,A949&gt;I_Parameter!$C$6),0,IF(B949="Aktual",1,IF(AND(B949="Order",A949&gt;=I_Parameter!$C$4),1,0))))</f>
        <v/>
      </c>
    </row>
    <row r="950" customFormat="false" ht="15" hidden="false" customHeight="false" outlineLevel="0" collapsed="false">
      <c r="A950" s="37"/>
      <c r="B950" s="44"/>
      <c r="C950" s="44"/>
      <c r="D950" s="44"/>
      <c r="E950" s="44"/>
      <c r="F950" s="44"/>
      <c r="G950" s="34" t="str">
        <f aca="false">IF(F950&lt;&gt;"",F950,IF(E950="","",IFERROR(INDEX(I_Item!$C$6:$C$255,MATCH(E950,I_Item!$A$6:$A$255,0)),"KODE BARU")))</f>
        <v/>
      </c>
      <c r="H950" s="45"/>
      <c r="I950" s="42"/>
      <c r="J950" s="11" t="str">
        <f aca="false">IF(H950="","",H950*I950)</f>
        <v/>
      </c>
      <c r="K950" s="42"/>
      <c r="L950" s="11" t="str">
        <f aca="false">IF(H950="","",IF(K950&lt;&gt;"",K950,H950*IFERROR(INDEX(O_Stok!$Q$6:$Q$85,MATCH(G950,O_Stok!$A$6:$A$85,0)),0)))</f>
        <v/>
      </c>
      <c r="M950" s="11" t="str">
        <f aca="false">IF(H950="","",J950-L950)</f>
        <v/>
      </c>
      <c r="N950" s="34" t="str">
        <f aca="false">IF(G950="","",IFERROR(INDEX(I_Master!$B$6:$B$85,MATCH(G950,I_Master!$A$6:$A$85,0)),"?"))</f>
        <v/>
      </c>
      <c r="O950" s="34" t="str">
        <f aca="false">IF(G950="","",IFERROR(INDEX(I_Master!$E$6:$E$85,MATCH(G950,I_Master!$A$6:$A$85,0)),"?"))</f>
        <v/>
      </c>
      <c r="P950" s="46" t="str">
        <f aca="false">IF(H950="","",IF(OR(A950&lt;I_Parameter!$C$5,A950&gt;I_Parameter!$C$6),0,IF(B950="Aktual",1,IF(AND(B950="Order",A950&gt;=I_Parameter!$C$4),1,0))))</f>
        <v/>
      </c>
    </row>
    <row r="951" customFormat="false" ht="15" hidden="false" customHeight="false" outlineLevel="0" collapsed="false">
      <c r="A951" s="37"/>
      <c r="B951" s="44"/>
      <c r="C951" s="44"/>
      <c r="D951" s="44"/>
      <c r="E951" s="44"/>
      <c r="F951" s="44"/>
      <c r="G951" s="34" t="str">
        <f aca="false">IF(F951&lt;&gt;"",F951,IF(E951="","",IFERROR(INDEX(I_Item!$C$6:$C$255,MATCH(E951,I_Item!$A$6:$A$255,0)),"KODE BARU")))</f>
        <v/>
      </c>
      <c r="H951" s="45"/>
      <c r="I951" s="42"/>
      <c r="J951" s="11" t="str">
        <f aca="false">IF(H951="","",H951*I951)</f>
        <v/>
      </c>
      <c r="K951" s="42"/>
      <c r="L951" s="11" t="str">
        <f aca="false">IF(H951="","",IF(K951&lt;&gt;"",K951,H951*IFERROR(INDEX(O_Stok!$Q$6:$Q$85,MATCH(G951,O_Stok!$A$6:$A$85,0)),0)))</f>
        <v/>
      </c>
      <c r="M951" s="11" t="str">
        <f aca="false">IF(H951="","",J951-L951)</f>
        <v/>
      </c>
      <c r="N951" s="34" t="str">
        <f aca="false">IF(G951="","",IFERROR(INDEX(I_Master!$B$6:$B$85,MATCH(G951,I_Master!$A$6:$A$85,0)),"?"))</f>
        <v/>
      </c>
      <c r="O951" s="34" t="str">
        <f aca="false">IF(G951="","",IFERROR(INDEX(I_Master!$E$6:$E$85,MATCH(G951,I_Master!$A$6:$A$85,0)),"?"))</f>
        <v/>
      </c>
      <c r="P951" s="46" t="str">
        <f aca="false">IF(H951="","",IF(OR(A951&lt;I_Parameter!$C$5,A951&gt;I_Parameter!$C$6),0,IF(B951="Aktual",1,IF(AND(B951="Order",A951&gt;=I_Parameter!$C$4),1,0))))</f>
        <v/>
      </c>
    </row>
    <row r="952" customFormat="false" ht="15" hidden="false" customHeight="false" outlineLevel="0" collapsed="false">
      <c r="A952" s="37"/>
      <c r="B952" s="44"/>
      <c r="C952" s="44"/>
      <c r="D952" s="44"/>
      <c r="E952" s="44"/>
      <c r="F952" s="44"/>
      <c r="G952" s="34" t="str">
        <f aca="false">IF(F952&lt;&gt;"",F952,IF(E952="","",IFERROR(INDEX(I_Item!$C$6:$C$255,MATCH(E952,I_Item!$A$6:$A$255,0)),"KODE BARU")))</f>
        <v/>
      </c>
      <c r="H952" s="45"/>
      <c r="I952" s="42"/>
      <c r="J952" s="11" t="str">
        <f aca="false">IF(H952="","",H952*I952)</f>
        <v/>
      </c>
      <c r="K952" s="42"/>
      <c r="L952" s="11" t="str">
        <f aca="false">IF(H952="","",IF(K952&lt;&gt;"",K952,H952*IFERROR(INDEX(O_Stok!$Q$6:$Q$85,MATCH(G952,O_Stok!$A$6:$A$85,0)),0)))</f>
        <v/>
      </c>
      <c r="M952" s="11" t="str">
        <f aca="false">IF(H952="","",J952-L952)</f>
        <v/>
      </c>
      <c r="N952" s="34" t="str">
        <f aca="false">IF(G952="","",IFERROR(INDEX(I_Master!$B$6:$B$85,MATCH(G952,I_Master!$A$6:$A$85,0)),"?"))</f>
        <v/>
      </c>
      <c r="O952" s="34" t="str">
        <f aca="false">IF(G952="","",IFERROR(INDEX(I_Master!$E$6:$E$85,MATCH(G952,I_Master!$A$6:$A$85,0)),"?"))</f>
        <v/>
      </c>
      <c r="P952" s="46" t="str">
        <f aca="false">IF(H952="","",IF(OR(A952&lt;I_Parameter!$C$5,A952&gt;I_Parameter!$C$6),0,IF(B952="Aktual",1,IF(AND(B952="Order",A952&gt;=I_Parameter!$C$4),1,0))))</f>
        <v/>
      </c>
    </row>
    <row r="953" customFormat="false" ht="15" hidden="false" customHeight="false" outlineLevel="0" collapsed="false">
      <c r="A953" s="37"/>
      <c r="B953" s="44"/>
      <c r="C953" s="44"/>
      <c r="D953" s="44"/>
      <c r="E953" s="44"/>
      <c r="F953" s="44"/>
      <c r="G953" s="34" t="str">
        <f aca="false">IF(F953&lt;&gt;"",F953,IF(E953="","",IFERROR(INDEX(I_Item!$C$6:$C$255,MATCH(E953,I_Item!$A$6:$A$255,0)),"KODE BARU")))</f>
        <v/>
      </c>
      <c r="H953" s="45"/>
      <c r="I953" s="42"/>
      <c r="J953" s="11" t="str">
        <f aca="false">IF(H953="","",H953*I953)</f>
        <v/>
      </c>
      <c r="K953" s="42"/>
      <c r="L953" s="11" t="str">
        <f aca="false">IF(H953="","",IF(K953&lt;&gt;"",K953,H953*IFERROR(INDEX(O_Stok!$Q$6:$Q$85,MATCH(G953,O_Stok!$A$6:$A$85,0)),0)))</f>
        <v/>
      </c>
      <c r="M953" s="11" t="str">
        <f aca="false">IF(H953="","",J953-L953)</f>
        <v/>
      </c>
      <c r="N953" s="34" t="str">
        <f aca="false">IF(G953="","",IFERROR(INDEX(I_Master!$B$6:$B$85,MATCH(G953,I_Master!$A$6:$A$85,0)),"?"))</f>
        <v/>
      </c>
      <c r="O953" s="34" t="str">
        <f aca="false">IF(G953="","",IFERROR(INDEX(I_Master!$E$6:$E$85,MATCH(G953,I_Master!$A$6:$A$85,0)),"?"))</f>
        <v/>
      </c>
      <c r="P953" s="46" t="str">
        <f aca="false">IF(H953="","",IF(OR(A953&lt;I_Parameter!$C$5,A953&gt;I_Parameter!$C$6),0,IF(B953="Aktual",1,IF(AND(B953="Order",A953&gt;=I_Parameter!$C$4),1,0))))</f>
        <v/>
      </c>
    </row>
    <row r="954" customFormat="false" ht="15" hidden="false" customHeight="false" outlineLevel="0" collapsed="false">
      <c r="A954" s="37"/>
      <c r="B954" s="44"/>
      <c r="C954" s="44"/>
      <c r="D954" s="44"/>
      <c r="E954" s="44"/>
      <c r="F954" s="44"/>
      <c r="G954" s="34" t="str">
        <f aca="false">IF(F954&lt;&gt;"",F954,IF(E954="","",IFERROR(INDEX(I_Item!$C$6:$C$255,MATCH(E954,I_Item!$A$6:$A$255,0)),"KODE BARU")))</f>
        <v/>
      </c>
      <c r="H954" s="45"/>
      <c r="I954" s="42"/>
      <c r="J954" s="11" t="str">
        <f aca="false">IF(H954="","",H954*I954)</f>
        <v/>
      </c>
      <c r="K954" s="42"/>
      <c r="L954" s="11" t="str">
        <f aca="false">IF(H954="","",IF(K954&lt;&gt;"",K954,H954*IFERROR(INDEX(O_Stok!$Q$6:$Q$85,MATCH(G954,O_Stok!$A$6:$A$85,0)),0)))</f>
        <v/>
      </c>
      <c r="M954" s="11" t="str">
        <f aca="false">IF(H954="","",J954-L954)</f>
        <v/>
      </c>
      <c r="N954" s="34" t="str">
        <f aca="false">IF(G954="","",IFERROR(INDEX(I_Master!$B$6:$B$85,MATCH(G954,I_Master!$A$6:$A$85,0)),"?"))</f>
        <v/>
      </c>
      <c r="O954" s="34" t="str">
        <f aca="false">IF(G954="","",IFERROR(INDEX(I_Master!$E$6:$E$85,MATCH(G954,I_Master!$A$6:$A$85,0)),"?"))</f>
        <v/>
      </c>
      <c r="P954" s="46" t="str">
        <f aca="false">IF(H954="","",IF(OR(A954&lt;I_Parameter!$C$5,A954&gt;I_Parameter!$C$6),0,IF(B954="Aktual",1,IF(AND(B954="Order",A954&gt;=I_Parameter!$C$4),1,0))))</f>
        <v/>
      </c>
    </row>
    <row r="955" customFormat="false" ht="15" hidden="false" customHeight="false" outlineLevel="0" collapsed="false">
      <c r="A955" s="37"/>
      <c r="B955" s="44"/>
      <c r="C955" s="44"/>
      <c r="D955" s="44"/>
      <c r="E955" s="44"/>
      <c r="F955" s="44"/>
      <c r="G955" s="34" t="str">
        <f aca="false">IF(F955&lt;&gt;"",F955,IF(E955="","",IFERROR(INDEX(I_Item!$C$6:$C$255,MATCH(E955,I_Item!$A$6:$A$255,0)),"KODE BARU")))</f>
        <v/>
      </c>
      <c r="H955" s="45"/>
      <c r="I955" s="42"/>
      <c r="J955" s="11" t="str">
        <f aca="false">IF(H955="","",H955*I955)</f>
        <v/>
      </c>
      <c r="K955" s="42"/>
      <c r="L955" s="11" t="str">
        <f aca="false">IF(H955="","",IF(K955&lt;&gt;"",K955,H955*IFERROR(INDEX(O_Stok!$Q$6:$Q$85,MATCH(G955,O_Stok!$A$6:$A$85,0)),0)))</f>
        <v/>
      </c>
      <c r="M955" s="11" t="str">
        <f aca="false">IF(H955="","",J955-L955)</f>
        <v/>
      </c>
      <c r="N955" s="34" t="str">
        <f aca="false">IF(G955="","",IFERROR(INDEX(I_Master!$B$6:$B$85,MATCH(G955,I_Master!$A$6:$A$85,0)),"?"))</f>
        <v/>
      </c>
      <c r="O955" s="34" t="str">
        <f aca="false">IF(G955="","",IFERROR(INDEX(I_Master!$E$6:$E$85,MATCH(G955,I_Master!$A$6:$A$85,0)),"?"))</f>
        <v/>
      </c>
      <c r="P955" s="46" t="str">
        <f aca="false">IF(H955="","",IF(OR(A955&lt;I_Parameter!$C$5,A955&gt;I_Parameter!$C$6),0,IF(B955="Aktual",1,IF(AND(B955="Order",A955&gt;=I_Parameter!$C$4),1,0))))</f>
        <v/>
      </c>
    </row>
    <row r="956" customFormat="false" ht="15" hidden="false" customHeight="false" outlineLevel="0" collapsed="false">
      <c r="A956" s="37"/>
      <c r="B956" s="44"/>
      <c r="C956" s="44"/>
      <c r="D956" s="44"/>
      <c r="E956" s="44"/>
      <c r="F956" s="44"/>
      <c r="G956" s="34" t="str">
        <f aca="false">IF(F956&lt;&gt;"",F956,IF(E956="","",IFERROR(INDEX(I_Item!$C$6:$C$255,MATCH(E956,I_Item!$A$6:$A$255,0)),"KODE BARU")))</f>
        <v/>
      </c>
      <c r="H956" s="45"/>
      <c r="I956" s="42"/>
      <c r="J956" s="11" t="str">
        <f aca="false">IF(H956="","",H956*I956)</f>
        <v/>
      </c>
      <c r="K956" s="42"/>
      <c r="L956" s="11" t="str">
        <f aca="false">IF(H956="","",IF(K956&lt;&gt;"",K956,H956*IFERROR(INDEX(O_Stok!$Q$6:$Q$85,MATCH(G956,O_Stok!$A$6:$A$85,0)),0)))</f>
        <v/>
      </c>
      <c r="M956" s="11" t="str">
        <f aca="false">IF(H956="","",J956-L956)</f>
        <v/>
      </c>
      <c r="N956" s="34" t="str">
        <f aca="false">IF(G956="","",IFERROR(INDEX(I_Master!$B$6:$B$85,MATCH(G956,I_Master!$A$6:$A$85,0)),"?"))</f>
        <v/>
      </c>
      <c r="O956" s="34" t="str">
        <f aca="false">IF(G956="","",IFERROR(INDEX(I_Master!$E$6:$E$85,MATCH(G956,I_Master!$A$6:$A$85,0)),"?"))</f>
        <v/>
      </c>
      <c r="P956" s="46" t="str">
        <f aca="false">IF(H956="","",IF(OR(A956&lt;I_Parameter!$C$5,A956&gt;I_Parameter!$C$6),0,IF(B956="Aktual",1,IF(AND(B956="Order",A956&gt;=I_Parameter!$C$4),1,0))))</f>
        <v/>
      </c>
    </row>
    <row r="957" customFormat="false" ht="15" hidden="false" customHeight="false" outlineLevel="0" collapsed="false">
      <c r="A957" s="37"/>
      <c r="B957" s="44"/>
      <c r="C957" s="44"/>
      <c r="D957" s="44"/>
      <c r="E957" s="44"/>
      <c r="F957" s="44"/>
      <c r="G957" s="34" t="str">
        <f aca="false">IF(F957&lt;&gt;"",F957,IF(E957="","",IFERROR(INDEX(I_Item!$C$6:$C$255,MATCH(E957,I_Item!$A$6:$A$255,0)),"KODE BARU")))</f>
        <v/>
      </c>
      <c r="H957" s="45"/>
      <c r="I957" s="42"/>
      <c r="J957" s="11" t="str">
        <f aca="false">IF(H957="","",H957*I957)</f>
        <v/>
      </c>
      <c r="K957" s="42"/>
      <c r="L957" s="11" t="str">
        <f aca="false">IF(H957="","",IF(K957&lt;&gt;"",K957,H957*IFERROR(INDEX(O_Stok!$Q$6:$Q$85,MATCH(G957,O_Stok!$A$6:$A$85,0)),0)))</f>
        <v/>
      </c>
      <c r="M957" s="11" t="str">
        <f aca="false">IF(H957="","",J957-L957)</f>
        <v/>
      </c>
      <c r="N957" s="34" t="str">
        <f aca="false">IF(G957="","",IFERROR(INDEX(I_Master!$B$6:$B$85,MATCH(G957,I_Master!$A$6:$A$85,0)),"?"))</f>
        <v/>
      </c>
      <c r="O957" s="34" t="str">
        <f aca="false">IF(G957="","",IFERROR(INDEX(I_Master!$E$6:$E$85,MATCH(G957,I_Master!$A$6:$A$85,0)),"?"))</f>
        <v/>
      </c>
      <c r="P957" s="46" t="str">
        <f aca="false">IF(H957="","",IF(OR(A957&lt;I_Parameter!$C$5,A957&gt;I_Parameter!$C$6),0,IF(B957="Aktual",1,IF(AND(B957="Order",A957&gt;=I_Parameter!$C$4),1,0))))</f>
        <v/>
      </c>
    </row>
    <row r="958" customFormat="false" ht="15" hidden="false" customHeight="false" outlineLevel="0" collapsed="false">
      <c r="A958" s="37"/>
      <c r="B958" s="44"/>
      <c r="C958" s="44"/>
      <c r="D958" s="44"/>
      <c r="E958" s="44"/>
      <c r="F958" s="44"/>
      <c r="G958" s="34" t="str">
        <f aca="false">IF(F958&lt;&gt;"",F958,IF(E958="","",IFERROR(INDEX(I_Item!$C$6:$C$255,MATCH(E958,I_Item!$A$6:$A$255,0)),"KODE BARU")))</f>
        <v/>
      </c>
      <c r="H958" s="45"/>
      <c r="I958" s="42"/>
      <c r="J958" s="11" t="str">
        <f aca="false">IF(H958="","",H958*I958)</f>
        <v/>
      </c>
      <c r="K958" s="42"/>
      <c r="L958" s="11" t="str">
        <f aca="false">IF(H958="","",IF(K958&lt;&gt;"",K958,H958*IFERROR(INDEX(O_Stok!$Q$6:$Q$85,MATCH(G958,O_Stok!$A$6:$A$85,0)),0)))</f>
        <v/>
      </c>
      <c r="M958" s="11" t="str">
        <f aca="false">IF(H958="","",J958-L958)</f>
        <v/>
      </c>
      <c r="N958" s="34" t="str">
        <f aca="false">IF(G958="","",IFERROR(INDEX(I_Master!$B$6:$B$85,MATCH(G958,I_Master!$A$6:$A$85,0)),"?"))</f>
        <v/>
      </c>
      <c r="O958" s="34" t="str">
        <f aca="false">IF(G958="","",IFERROR(INDEX(I_Master!$E$6:$E$85,MATCH(G958,I_Master!$A$6:$A$85,0)),"?"))</f>
        <v/>
      </c>
      <c r="P958" s="46" t="str">
        <f aca="false">IF(H958="","",IF(OR(A958&lt;I_Parameter!$C$5,A958&gt;I_Parameter!$C$6),0,IF(B958="Aktual",1,IF(AND(B958="Order",A958&gt;=I_Parameter!$C$4),1,0))))</f>
        <v/>
      </c>
    </row>
    <row r="959" customFormat="false" ht="15" hidden="false" customHeight="false" outlineLevel="0" collapsed="false">
      <c r="A959" s="37"/>
      <c r="B959" s="44"/>
      <c r="C959" s="44"/>
      <c r="D959" s="44"/>
      <c r="E959" s="44"/>
      <c r="F959" s="44"/>
      <c r="G959" s="34" t="str">
        <f aca="false">IF(F959&lt;&gt;"",F959,IF(E959="","",IFERROR(INDEX(I_Item!$C$6:$C$255,MATCH(E959,I_Item!$A$6:$A$255,0)),"KODE BARU")))</f>
        <v/>
      </c>
      <c r="H959" s="45"/>
      <c r="I959" s="42"/>
      <c r="J959" s="11" t="str">
        <f aca="false">IF(H959="","",H959*I959)</f>
        <v/>
      </c>
      <c r="K959" s="42"/>
      <c r="L959" s="11" t="str">
        <f aca="false">IF(H959="","",IF(K959&lt;&gt;"",K959,H959*IFERROR(INDEX(O_Stok!$Q$6:$Q$85,MATCH(G959,O_Stok!$A$6:$A$85,0)),0)))</f>
        <v/>
      </c>
      <c r="M959" s="11" t="str">
        <f aca="false">IF(H959="","",J959-L959)</f>
        <v/>
      </c>
      <c r="N959" s="34" t="str">
        <f aca="false">IF(G959="","",IFERROR(INDEX(I_Master!$B$6:$B$85,MATCH(G959,I_Master!$A$6:$A$85,0)),"?"))</f>
        <v/>
      </c>
      <c r="O959" s="34" t="str">
        <f aca="false">IF(G959="","",IFERROR(INDEX(I_Master!$E$6:$E$85,MATCH(G959,I_Master!$A$6:$A$85,0)),"?"))</f>
        <v/>
      </c>
      <c r="P959" s="46" t="str">
        <f aca="false">IF(H959="","",IF(OR(A959&lt;I_Parameter!$C$5,A959&gt;I_Parameter!$C$6),0,IF(B959="Aktual",1,IF(AND(B959="Order",A959&gt;=I_Parameter!$C$4),1,0))))</f>
        <v/>
      </c>
    </row>
    <row r="960" customFormat="false" ht="15" hidden="false" customHeight="false" outlineLevel="0" collapsed="false">
      <c r="A960" s="37"/>
      <c r="B960" s="44"/>
      <c r="C960" s="44"/>
      <c r="D960" s="44"/>
      <c r="E960" s="44"/>
      <c r="F960" s="44"/>
      <c r="G960" s="34" t="str">
        <f aca="false">IF(F960&lt;&gt;"",F960,IF(E960="","",IFERROR(INDEX(I_Item!$C$6:$C$255,MATCH(E960,I_Item!$A$6:$A$255,0)),"KODE BARU")))</f>
        <v/>
      </c>
      <c r="H960" s="45"/>
      <c r="I960" s="42"/>
      <c r="J960" s="11" t="str">
        <f aca="false">IF(H960="","",H960*I960)</f>
        <v/>
      </c>
      <c r="K960" s="42"/>
      <c r="L960" s="11" t="str">
        <f aca="false">IF(H960="","",IF(K960&lt;&gt;"",K960,H960*IFERROR(INDEX(O_Stok!$Q$6:$Q$85,MATCH(G960,O_Stok!$A$6:$A$85,0)),0)))</f>
        <v/>
      </c>
      <c r="M960" s="11" t="str">
        <f aca="false">IF(H960="","",J960-L960)</f>
        <v/>
      </c>
      <c r="N960" s="34" t="str">
        <f aca="false">IF(G960="","",IFERROR(INDEX(I_Master!$B$6:$B$85,MATCH(G960,I_Master!$A$6:$A$85,0)),"?"))</f>
        <v/>
      </c>
      <c r="O960" s="34" t="str">
        <f aca="false">IF(G960="","",IFERROR(INDEX(I_Master!$E$6:$E$85,MATCH(G960,I_Master!$A$6:$A$85,0)),"?"))</f>
        <v/>
      </c>
      <c r="P960" s="46" t="str">
        <f aca="false">IF(H960="","",IF(OR(A960&lt;I_Parameter!$C$5,A960&gt;I_Parameter!$C$6),0,IF(B960="Aktual",1,IF(AND(B960="Order",A960&gt;=I_Parameter!$C$4),1,0))))</f>
        <v/>
      </c>
    </row>
    <row r="961" customFormat="false" ht="15" hidden="false" customHeight="false" outlineLevel="0" collapsed="false">
      <c r="A961" s="37"/>
      <c r="B961" s="44"/>
      <c r="C961" s="44"/>
      <c r="D961" s="44"/>
      <c r="E961" s="44"/>
      <c r="F961" s="44"/>
      <c r="G961" s="34" t="str">
        <f aca="false">IF(F961&lt;&gt;"",F961,IF(E961="","",IFERROR(INDEX(I_Item!$C$6:$C$255,MATCH(E961,I_Item!$A$6:$A$255,0)),"KODE BARU")))</f>
        <v/>
      </c>
      <c r="H961" s="45"/>
      <c r="I961" s="42"/>
      <c r="J961" s="11" t="str">
        <f aca="false">IF(H961="","",H961*I961)</f>
        <v/>
      </c>
      <c r="K961" s="42"/>
      <c r="L961" s="11" t="str">
        <f aca="false">IF(H961="","",IF(K961&lt;&gt;"",K961,H961*IFERROR(INDEX(O_Stok!$Q$6:$Q$85,MATCH(G961,O_Stok!$A$6:$A$85,0)),0)))</f>
        <v/>
      </c>
      <c r="M961" s="11" t="str">
        <f aca="false">IF(H961="","",J961-L961)</f>
        <v/>
      </c>
      <c r="N961" s="34" t="str">
        <f aca="false">IF(G961="","",IFERROR(INDEX(I_Master!$B$6:$B$85,MATCH(G961,I_Master!$A$6:$A$85,0)),"?"))</f>
        <v/>
      </c>
      <c r="O961" s="34" t="str">
        <f aca="false">IF(G961="","",IFERROR(INDEX(I_Master!$E$6:$E$85,MATCH(G961,I_Master!$A$6:$A$85,0)),"?"))</f>
        <v/>
      </c>
      <c r="P961" s="46" t="str">
        <f aca="false">IF(H961="","",IF(OR(A961&lt;I_Parameter!$C$5,A961&gt;I_Parameter!$C$6),0,IF(B961="Aktual",1,IF(AND(B961="Order",A961&gt;=I_Parameter!$C$4),1,0))))</f>
        <v/>
      </c>
    </row>
    <row r="962" customFormat="false" ht="15" hidden="false" customHeight="false" outlineLevel="0" collapsed="false">
      <c r="A962" s="37"/>
      <c r="B962" s="44"/>
      <c r="C962" s="44"/>
      <c r="D962" s="44"/>
      <c r="E962" s="44"/>
      <c r="F962" s="44"/>
      <c r="G962" s="34" t="str">
        <f aca="false">IF(F962&lt;&gt;"",F962,IF(E962="","",IFERROR(INDEX(I_Item!$C$6:$C$255,MATCH(E962,I_Item!$A$6:$A$255,0)),"KODE BARU")))</f>
        <v/>
      </c>
      <c r="H962" s="45"/>
      <c r="I962" s="42"/>
      <c r="J962" s="11" t="str">
        <f aca="false">IF(H962="","",H962*I962)</f>
        <v/>
      </c>
      <c r="K962" s="42"/>
      <c r="L962" s="11" t="str">
        <f aca="false">IF(H962="","",IF(K962&lt;&gt;"",K962,H962*IFERROR(INDEX(O_Stok!$Q$6:$Q$85,MATCH(G962,O_Stok!$A$6:$A$85,0)),0)))</f>
        <v/>
      </c>
      <c r="M962" s="11" t="str">
        <f aca="false">IF(H962="","",J962-L962)</f>
        <v/>
      </c>
      <c r="N962" s="34" t="str">
        <f aca="false">IF(G962="","",IFERROR(INDEX(I_Master!$B$6:$B$85,MATCH(G962,I_Master!$A$6:$A$85,0)),"?"))</f>
        <v/>
      </c>
      <c r="O962" s="34" t="str">
        <f aca="false">IF(G962="","",IFERROR(INDEX(I_Master!$E$6:$E$85,MATCH(G962,I_Master!$A$6:$A$85,0)),"?"))</f>
        <v/>
      </c>
      <c r="P962" s="46" t="str">
        <f aca="false">IF(H962="","",IF(OR(A962&lt;I_Parameter!$C$5,A962&gt;I_Parameter!$C$6),0,IF(B962="Aktual",1,IF(AND(B962="Order",A962&gt;=I_Parameter!$C$4),1,0))))</f>
        <v/>
      </c>
    </row>
    <row r="963" customFormat="false" ht="15" hidden="false" customHeight="false" outlineLevel="0" collapsed="false">
      <c r="A963" s="37"/>
      <c r="B963" s="44"/>
      <c r="C963" s="44"/>
      <c r="D963" s="44"/>
      <c r="E963" s="44"/>
      <c r="F963" s="44"/>
      <c r="G963" s="34" t="str">
        <f aca="false">IF(F963&lt;&gt;"",F963,IF(E963="","",IFERROR(INDEX(I_Item!$C$6:$C$255,MATCH(E963,I_Item!$A$6:$A$255,0)),"KODE BARU")))</f>
        <v/>
      </c>
      <c r="H963" s="45"/>
      <c r="I963" s="42"/>
      <c r="J963" s="11" t="str">
        <f aca="false">IF(H963="","",H963*I963)</f>
        <v/>
      </c>
      <c r="K963" s="42"/>
      <c r="L963" s="11" t="str">
        <f aca="false">IF(H963="","",IF(K963&lt;&gt;"",K963,H963*IFERROR(INDEX(O_Stok!$Q$6:$Q$85,MATCH(G963,O_Stok!$A$6:$A$85,0)),0)))</f>
        <v/>
      </c>
      <c r="M963" s="11" t="str">
        <f aca="false">IF(H963="","",J963-L963)</f>
        <v/>
      </c>
      <c r="N963" s="34" t="str">
        <f aca="false">IF(G963="","",IFERROR(INDEX(I_Master!$B$6:$B$85,MATCH(G963,I_Master!$A$6:$A$85,0)),"?"))</f>
        <v/>
      </c>
      <c r="O963" s="34" t="str">
        <f aca="false">IF(G963="","",IFERROR(INDEX(I_Master!$E$6:$E$85,MATCH(G963,I_Master!$A$6:$A$85,0)),"?"))</f>
        <v/>
      </c>
      <c r="P963" s="46" t="str">
        <f aca="false">IF(H963="","",IF(OR(A963&lt;I_Parameter!$C$5,A963&gt;I_Parameter!$C$6),0,IF(B963="Aktual",1,IF(AND(B963="Order",A963&gt;=I_Parameter!$C$4),1,0))))</f>
        <v/>
      </c>
    </row>
    <row r="964" customFormat="false" ht="15" hidden="false" customHeight="false" outlineLevel="0" collapsed="false">
      <c r="A964" s="37"/>
      <c r="B964" s="44"/>
      <c r="C964" s="44"/>
      <c r="D964" s="44"/>
      <c r="E964" s="44"/>
      <c r="F964" s="44"/>
      <c r="G964" s="34" t="str">
        <f aca="false">IF(F964&lt;&gt;"",F964,IF(E964="","",IFERROR(INDEX(I_Item!$C$6:$C$255,MATCH(E964,I_Item!$A$6:$A$255,0)),"KODE BARU")))</f>
        <v/>
      </c>
      <c r="H964" s="45"/>
      <c r="I964" s="42"/>
      <c r="J964" s="11" t="str">
        <f aca="false">IF(H964="","",H964*I964)</f>
        <v/>
      </c>
      <c r="K964" s="42"/>
      <c r="L964" s="11" t="str">
        <f aca="false">IF(H964="","",IF(K964&lt;&gt;"",K964,H964*IFERROR(INDEX(O_Stok!$Q$6:$Q$85,MATCH(G964,O_Stok!$A$6:$A$85,0)),0)))</f>
        <v/>
      </c>
      <c r="M964" s="11" t="str">
        <f aca="false">IF(H964="","",J964-L964)</f>
        <v/>
      </c>
      <c r="N964" s="34" t="str">
        <f aca="false">IF(G964="","",IFERROR(INDEX(I_Master!$B$6:$B$85,MATCH(G964,I_Master!$A$6:$A$85,0)),"?"))</f>
        <v/>
      </c>
      <c r="O964" s="34" t="str">
        <f aca="false">IF(G964="","",IFERROR(INDEX(I_Master!$E$6:$E$85,MATCH(G964,I_Master!$A$6:$A$85,0)),"?"))</f>
        <v/>
      </c>
      <c r="P964" s="46" t="str">
        <f aca="false">IF(H964="","",IF(OR(A964&lt;I_Parameter!$C$5,A964&gt;I_Parameter!$C$6),0,IF(B964="Aktual",1,IF(AND(B964="Order",A964&gt;=I_Parameter!$C$4),1,0))))</f>
        <v/>
      </c>
    </row>
    <row r="965" customFormat="false" ht="15" hidden="false" customHeight="false" outlineLevel="0" collapsed="false">
      <c r="A965" s="37"/>
      <c r="B965" s="44"/>
      <c r="C965" s="44"/>
      <c r="D965" s="44"/>
      <c r="E965" s="44"/>
      <c r="F965" s="44"/>
      <c r="G965" s="34" t="str">
        <f aca="false">IF(F965&lt;&gt;"",F965,IF(E965="","",IFERROR(INDEX(I_Item!$C$6:$C$255,MATCH(E965,I_Item!$A$6:$A$255,0)),"KODE BARU")))</f>
        <v/>
      </c>
      <c r="H965" s="45"/>
      <c r="I965" s="42"/>
      <c r="J965" s="11" t="str">
        <f aca="false">IF(H965="","",H965*I965)</f>
        <v/>
      </c>
      <c r="K965" s="42"/>
      <c r="L965" s="11" t="str">
        <f aca="false">IF(H965="","",IF(K965&lt;&gt;"",K965,H965*IFERROR(INDEX(O_Stok!$Q$6:$Q$85,MATCH(G965,O_Stok!$A$6:$A$85,0)),0)))</f>
        <v/>
      </c>
      <c r="M965" s="11" t="str">
        <f aca="false">IF(H965="","",J965-L965)</f>
        <v/>
      </c>
      <c r="N965" s="34" t="str">
        <f aca="false">IF(G965="","",IFERROR(INDEX(I_Master!$B$6:$B$85,MATCH(G965,I_Master!$A$6:$A$85,0)),"?"))</f>
        <v/>
      </c>
      <c r="O965" s="34" t="str">
        <f aca="false">IF(G965="","",IFERROR(INDEX(I_Master!$E$6:$E$85,MATCH(G965,I_Master!$A$6:$A$85,0)),"?"))</f>
        <v/>
      </c>
      <c r="P965" s="46" t="str">
        <f aca="false">IF(H965="","",IF(OR(A965&lt;I_Parameter!$C$5,A965&gt;I_Parameter!$C$6),0,IF(B965="Aktual",1,IF(AND(B965="Order",A965&gt;=I_Parameter!$C$4),1,0))))</f>
        <v/>
      </c>
    </row>
    <row r="966" customFormat="false" ht="15" hidden="false" customHeight="false" outlineLevel="0" collapsed="false">
      <c r="A966" s="37"/>
      <c r="B966" s="44"/>
      <c r="C966" s="44"/>
      <c r="D966" s="44"/>
      <c r="E966" s="44"/>
      <c r="F966" s="44"/>
      <c r="G966" s="34" t="str">
        <f aca="false">IF(F966&lt;&gt;"",F966,IF(E966="","",IFERROR(INDEX(I_Item!$C$6:$C$255,MATCH(E966,I_Item!$A$6:$A$255,0)),"KODE BARU")))</f>
        <v/>
      </c>
      <c r="H966" s="45"/>
      <c r="I966" s="42"/>
      <c r="J966" s="11" t="str">
        <f aca="false">IF(H966="","",H966*I966)</f>
        <v/>
      </c>
      <c r="K966" s="42"/>
      <c r="L966" s="11" t="str">
        <f aca="false">IF(H966="","",IF(K966&lt;&gt;"",K966,H966*IFERROR(INDEX(O_Stok!$Q$6:$Q$85,MATCH(G966,O_Stok!$A$6:$A$85,0)),0)))</f>
        <v/>
      </c>
      <c r="M966" s="11" t="str">
        <f aca="false">IF(H966="","",J966-L966)</f>
        <v/>
      </c>
      <c r="N966" s="34" t="str">
        <f aca="false">IF(G966="","",IFERROR(INDEX(I_Master!$B$6:$B$85,MATCH(G966,I_Master!$A$6:$A$85,0)),"?"))</f>
        <v/>
      </c>
      <c r="O966" s="34" t="str">
        <f aca="false">IF(G966="","",IFERROR(INDEX(I_Master!$E$6:$E$85,MATCH(G966,I_Master!$A$6:$A$85,0)),"?"))</f>
        <v/>
      </c>
      <c r="P966" s="46" t="str">
        <f aca="false">IF(H966="","",IF(OR(A966&lt;I_Parameter!$C$5,A966&gt;I_Parameter!$C$6),0,IF(B966="Aktual",1,IF(AND(B966="Order",A966&gt;=I_Parameter!$C$4),1,0))))</f>
        <v/>
      </c>
    </row>
    <row r="967" customFormat="false" ht="15" hidden="false" customHeight="false" outlineLevel="0" collapsed="false">
      <c r="A967" s="37"/>
      <c r="B967" s="44"/>
      <c r="C967" s="44"/>
      <c r="D967" s="44"/>
      <c r="E967" s="44"/>
      <c r="F967" s="44"/>
      <c r="G967" s="34" t="str">
        <f aca="false">IF(F967&lt;&gt;"",F967,IF(E967="","",IFERROR(INDEX(I_Item!$C$6:$C$255,MATCH(E967,I_Item!$A$6:$A$255,0)),"KODE BARU")))</f>
        <v/>
      </c>
      <c r="H967" s="45"/>
      <c r="I967" s="42"/>
      <c r="J967" s="11" t="str">
        <f aca="false">IF(H967="","",H967*I967)</f>
        <v/>
      </c>
      <c r="K967" s="42"/>
      <c r="L967" s="11" t="str">
        <f aca="false">IF(H967="","",IF(K967&lt;&gt;"",K967,H967*IFERROR(INDEX(O_Stok!$Q$6:$Q$85,MATCH(G967,O_Stok!$A$6:$A$85,0)),0)))</f>
        <v/>
      </c>
      <c r="M967" s="11" t="str">
        <f aca="false">IF(H967="","",J967-L967)</f>
        <v/>
      </c>
      <c r="N967" s="34" t="str">
        <f aca="false">IF(G967="","",IFERROR(INDEX(I_Master!$B$6:$B$85,MATCH(G967,I_Master!$A$6:$A$85,0)),"?"))</f>
        <v/>
      </c>
      <c r="O967" s="34" t="str">
        <f aca="false">IF(G967="","",IFERROR(INDEX(I_Master!$E$6:$E$85,MATCH(G967,I_Master!$A$6:$A$85,0)),"?"))</f>
        <v/>
      </c>
      <c r="P967" s="46" t="str">
        <f aca="false">IF(H967="","",IF(OR(A967&lt;I_Parameter!$C$5,A967&gt;I_Parameter!$C$6),0,IF(B967="Aktual",1,IF(AND(B967="Order",A967&gt;=I_Parameter!$C$4),1,0))))</f>
        <v/>
      </c>
    </row>
    <row r="968" customFormat="false" ht="15" hidden="false" customHeight="false" outlineLevel="0" collapsed="false">
      <c r="A968" s="37"/>
      <c r="B968" s="44"/>
      <c r="C968" s="44"/>
      <c r="D968" s="44"/>
      <c r="E968" s="44"/>
      <c r="F968" s="44"/>
      <c r="G968" s="34" t="str">
        <f aca="false">IF(F968&lt;&gt;"",F968,IF(E968="","",IFERROR(INDEX(I_Item!$C$6:$C$255,MATCH(E968,I_Item!$A$6:$A$255,0)),"KODE BARU")))</f>
        <v/>
      </c>
      <c r="H968" s="45"/>
      <c r="I968" s="42"/>
      <c r="J968" s="11" t="str">
        <f aca="false">IF(H968="","",H968*I968)</f>
        <v/>
      </c>
      <c r="K968" s="42"/>
      <c r="L968" s="11" t="str">
        <f aca="false">IF(H968="","",IF(K968&lt;&gt;"",K968,H968*IFERROR(INDEX(O_Stok!$Q$6:$Q$85,MATCH(G968,O_Stok!$A$6:$A$85,0)),0)))</f>
        <v/>
      </c>
      <c r="M968" s="11" t="str">
        <f aca="false">IF(H968="","",J968-L968)</f>
        <v/>
      </c>
      <c r="N968" s="34" t="str">
        <f aca="false">IF(G968="","",IFERROR(INDEX(I_Master!$B$6:$B$85,MATCH(G968,I_Master!$A$6:$A$85,0)),"?"))</f>
        <v/>
      </c>
      <c r="O968" s="34" t="str">
        <f aca="false">IF(G968="","",IFERROR(INDEX(I_Master!$E$6:$E$85,MATCH(G968,I_Master!$A$6:$A$85,0)),"?"))</f>
        <v/>
      </c>
      <c r="P968" s="46" t="str">
        <f aca="false">IF(H968="","",IF(OR(A968&lt;I_Parameter!$C$5,A968&gt;I_Parameter!$C$6),0,IF(B968="Aktual",1,IF(AND(B968="Order",A968&gt;=I_Parameter!$C$4),1,0))))</f>
        <v/>
      </c>
    </row>
    <row r="969" customFormat="false" ht="15" hidden="false" customHeight="false" outlineLevel="0" collapsed="false">
      <c r="A969" s="37"/>
      <c r="B969" s="44"/>
      <c r="C969" s="44"/>
      <c r="D969" s="44"/>
      <c r="E969" s="44"/>
      <c r="F969" s="44"/>
      <c r="G969" s="34" t="str">
        <f aca="false">IF(F969&lt;&gt;"",F969,IF(E969="","",IFERROR(INDEX(I_Item!$C$6:$C$255,MATCH(E969,I_Item!$A$6:$A$255,0)),"KODE BARU")))</f>
        <v/>
      </c>
      <c r="H969" s="45"/>
      <c r="I969" s="42"/>
      <c r="J969" s="11" t="str">
        <f aca="false">IF(H969="","",H969*I969)</f>
        <v/>
      </c>
      <c r="K969" s="42"/>
      <c r="L969" s="11" t="str">
        <f aca="false">IF(H969="","",IF(K969&lt;&gt;"",K969,H969*IFERROR(INDEX(O_Stok!$Q$6:$Q$85,MATCH(G969,O_Stok!$A$6:$A$85,0)),0)))</f>
        <v/>
      </c>
      <c r="M969" s="11" t="str">
        <f aca="false">IF(H969="","",J969-L969)</f>
        <v/>
      </c>
      <c r="N969" s="34" t="str">
        <f aca="false">IF(G969="","",IFERROR(INDEX(I_Master!$B$6:$B$85,MATCH(G969,I_Master!$A$6:$A$85,0)),"?"))</f>
        <v/>
      </c>
      <c r="O969" s="34" t="str">
        <f aca="false">IF(G969="","",IFERROR(INDEX(I_Master!$E$6:$E$85,MATCH(G969,I_Master!$A$6:$A$85,0)),"?"))</f>
        <v/>
      </c>
      <c r="P969" s="46" t="str">
        <f aca="false">IF(H969="","",IF(OR(A969&lt;I_Parameter!$C$5,A969&gt;I_Parameter!$C$6),0,IF(B969="Aktual",1,IF(AND(B969="Order",A969&gt;=I_Parameter!$C$4),1,0))))</f>
        <v/>
      </c>
    </row>
    <row r="970" customFormat="false" ht="15" hidden="false" customHeight="false" outlineLevel="0" collapsed="false">
      <c r="A970" s="37"/>
      <c r="B970" s="44"/>
      <c r="C970" s="44"/>
      <c r="D970" s="44"/>
      <c r="E970" s="44"/>
      <c r="F970" s="44"/>
      <c r="G970" s="34" t="str">
        <f aca="false">IF(F970&lt;&gt;"",F970,IF(E970="","",IFERROR(INDEX(I_Item!$C$6:$C$255,MATCH(E970,I_Item!$A$6:$A$255,0)),"KODE BARU")))</f>
        <v/>
      </c>
      <c r="H970" s="45"/>
      <c r="I970" s="42"/>
      <c r="J970" s="11" t="str">
        <f aca="false">IF(H970="","",H970*I970)</f>
        <v/>
      </c>
      <c r="K970" s="42"/>
      <c r="L970" s="11" t="str">
        <f aca="false">IF(H970="","",IF(K970&lt;&gt;"",K970,H970*IFERROR(INDEX(O_Stok!$Q$6:$Q$85,MATCH(G970,O_Stok!$A$6:$A$85,0)),0)))</f>
        <v/>
      </c>
      <c r="M970" s="11" t="str">
        <f aca="false">IF(H970="","",J970-L970)</f>
        <v/>
      </c>
      <c r="N970" s="34" t="str">
        <f aca="false">IF(G970="","",IFERROR(INDEX(I_Master!$B$6:$B$85,MATCH(G970,I_Master!$A$6:$A$85,0)),"?"))</f>
        <v/>
      </c>
      <c r="O970" s="34" t="str">
        <f aca="false">IF(G970="","",IFERROR(INDEX(I_Master!$E$6:$E$85,MATCH(G970,I_Master!$A$6:$A$85,0)),"?"))</f>
        <v/>
      </c>
      <c r="P970" s="46" t="str">
        <f aca="false">IF(H970="","",IF(OR(A970&lt;I_Parameter!$C$5,A970&gt;I_Parameter!$C$6),0,IF(B970="Aktual",1,IF(AND(B970="Order",A970&gt;=I_Parameter!$C$4),1,0))))</f>
        <v/>
      </c>
    </row>
    <row r="971" customFormat="false" ht="15" hidden="false" customHeight="false" outlineLevel="0" collapsed="false">
      <c r="A971" s="37"/>
      <c r="B971" s="44"/>
      <c r="C971" s="44"/>
      <c r="D971" s="44"/>
      <c r="E971" s="44"/>
      <c r="F971" s="44"/>
      <c r="G971" s="34" t="str">
        <f aca="false">IF(F971&lt;&gt;"",F971,IF(E971="","",IFERROR(INDEX(I_Item!$C$6:$C$255,MATCH(E971,I_Item!$A$6:$A$255,0)),"KODE BARU")))</f>
        <v/>
      </c>
      <c r="H971" s="45"/>
      <c r="I971" s="42"/>
      <c r="J971" s="11" t="str">
        <f aca="false">IF(H971="","",H971*I971)</f>
        <v/>
      </c>
      <c r="K971" s="42"/>
      <c r="L971" s="11" t="str">
        <f aca="false">IF(H971="","",IF(K971&lt;&gt;"",K971,H971*IFERROR(INDEX(O_Stok!$Q$6:$Q$85,MATCH(G971,O_Stok!$A$6:$A$85,0)),0)))</f>
        <v/>
      </c>
      <c r="M971" s="11" t="str">
        <f aca="false">IF(H971="","",J971-L971)</f>
        <v/>
      </c>
      <c r="N971" s="34" t="str">
        <f aca="false">IF(G971="","",IFERROR(INDEX(I_Master!$B$6:$B$85,MATCH(G971,I_Master!$A$6:$A$85,0)),"?"))</f>
        <v/>
      </c>
      <c r="O971" s="34" t="str">
        <f aca="false">IF(G971="","",IFERROR(INDEX(I_Master!$E$6:$E$85,MATCH(G971,I_Master!$A$6:$A$85,0)),"?"))</f>
        <v/>
      </c>
      <c r="P971" s="46" t="str">
        <f aca="false">IF(H971="","",IF(OR(A971&lt;I_Parameter!$C$5,A971&gt;I_Parameter!$C$6),0,IF(B971="Aktual",1,IF(AND(B971="Order",A971&gt;=I_Parameter!$C$4),1,0))))</f>
        <v/>
      </c>
    </row>
    <row r="972" customFormat="false" ht="15" hidden="false" customHeight="false" outlineLevel="0" collapsed="false">
      <c r="A972" s="37"/>
      <c r="B972" s="44"/>
      <c r="C972" s="44"/>
      <c r="D972" s="44"/>
      <c r="E972" s="44"/>
      <c r="F972" s="44"/>
      <c r="G972" s="34" t="str">
        <f aca="false">IF(F972&lt;&gt;"",F972,IF(E972="","",IFERROR(INDEX(I_Item!$C$6:$C$255,MATCH(E972,I_Item!$A$6:$A$255,0)),"KODE BARU")))</f>
        <v/>
      </c>
      <c r="H972" s="45"/>
      <c r="I972" s="42"/>
      <c r="J972" s="11" t="str">
        <f aca="false">IF(H972="","",H972*I972)</f>
        <v/>
      </c>
      <c r="K972" s="42"/>
      <c r="L972" s="11" t="str">
        <f aca="false">IF(H972="","",IF(K972&lt;&gt;"",K972,H972*IFERROR(INDEX(O_Stok!$Q$6:$Q$85,MATCH(G972,O_Stok!$A$6:$A$85,0)),0)))</f>
        <v/>
      </c>
      <c r="M972" s="11" t="str">
        <f aca="false">IF(H972="","",J972-L972)</f>
        <v/>
      </c>
      <c r="N972" s="34" t="str">
        <f aca="false">IF(G972="","",IFERROR(INDEX(I_Master!$B$6:$B$85,MATCH(G972,I_Master!$A$6:$A$85,0)),"?"))</f>
        <v/>
      </c>
      <c r="O972" s="34" t="str">
        <f aca="false">IF(G972="","",IFERROR(INDEX(I_Master!$E$6:$E$85,MATCH(G972,I_Master!$A$6:$A$85,0)),"?"))</f>
        <v/>
      </c>
      <c r="P972" s="46" t="str">
        <f aca="false">IF(H972="","",IF(OR(A972&lt;I_Parameter!$C$5,A972&gt;I_Parameter!$C$6),0,IF(B972="Aktual",1,IF(AND(B972="Order",A972&gt;=I_Parameter!$C$4),1,0))))</f>
        <v/>
      </c>
    </row>
    <row r="973" customFormat="false" ht="15" hidden="false" customHeight="false" outlineLevel="0" collapsed="false">
      <c r="A973" s="37"/>
      <c r="B973" s="44"/>
      <c r="C973" s="44"/>
      <c r="D973" s="44"/>
      <c r="E973" s="44"/>
      <c r="F973" s="44"/>
      <c r="G973" s="34" t="str">
        <f aca="false">IF(F973&lt;&gt;"",F973,IF(E973="","",IFERROR(INDEX(I_Item!$C$6:$C$255,MATCH(E973,I_Item!$A$6:$A$255,0)),"KODE BARU")))</f>
        <v/>
      </c>
      <c r="H973" s="45"/>
      <c r="I973" s="42"/>
      <c r="J973" s="11" t="str">
        <f aca="false">IF(H973="","",H973*I973)</f>
        <v/>
      </c>
      <c r="K973" s="42"/>
      <c r="L973" s="11" t="str">
        <f aca="false">IF(H973="","",IF(K973&lt;&gt;"",K973,H973*IFERROR(INDEX(O_Stok!$Q$6:$Q$85,MATCH(G973,O_Stok!$A$6:$A$85,0)),0)))</f>
        <v/>
      </c>
      <c r="M973" s="11" t="str">
        <f aca="false">IF(H973="","",J973-L973)</f>
        <v/>
      </c>
      <c r="N973" s="34" t="str">
        <f aca="false">IF(G973="","",IFERROR(INDEX(I_Master!$B$6:$B$85,MATCH(G973,I_Master!$A$6:$A$85,0)),"?"))</f>
        <v/>
      </c>
      <c r="O973" s="34" t="str">
        <f aca="false">IF(G973="","",IFERROR(INDEX(I_Master!$E$6:$E$85,MATCH(G973,I_Master!$A$6:$A$85,0)),"?"))</f>
        <v/>
      </c>
      <c r="P973" s="46" t="str">
        <f aca="false">IF(H973="","",IF(OR(A973&lt;I_Parameter!$C$5,A973&gt;I_Parameter!$C$6),0,IF(B973="Aktual",1,IF(AND(B973="Order",A973&gt;=I_Parameter!$C$4),1,0))))</f>
        <v/>
      </c>
    </row>
    <row r="974" customFormat="false" ht="15" hidden="false" customHeight="false" outlineLevel="0" collapsed="false">
      <c r="A974" s="37"/>
      <c r="B974" s="44"/>
      <c r="C974" s="44"/>
      <c r="D974" s="44"/>
      <c r="E974" s="44"/>
      <c r="F974" s="44"/>
      <c r="G974" s="34" t="str">
        <f aca="false">IF(F974&lt;&gt;"",F974,IF(E974="","",IFERROR(INDEX(I_Item!$C$6:$C$255,MATCH(E974,I_Item!$A$6:$A$255,0)),"KODE BARU")))</f>
        <v/>
      </c>
      <c r="H974" s="45"/>
      <c r="I974" s="42"/>
      <c r="J974" s="11" t="str">
        <f aca="false">IF(H974="","",H974*I974)</f>
        <v/>
      </c>
      <c r="K974" s="42"/>
      <c r="L974" s="11" t="str">
        <f aca="false">IF(H974="","",IF(K974&lt;&gt;"",K974,H974*IFERROR(INDEX(O_Stok!$Q$6:$Q$85,MATCH(G974,O_Stok!$A$6:$A$85,0)),0)))</f>
        <v/>
      </c>
      <c r="M974" s="11" t="str">
        <f aca="false">IF(H974="","",J974-L974)</f>
        <v/>
      </c>
      <c r="N974" s="34" t="str">
        <f aca="false">IF(G974="","",IFERROR(INDEX(I_Master!$B$6:$B$85,MATCH(G974,I_Master!$A$6:$A$85,0)),"?"))</f>
        <v/>
      </c>
      <c r="O974" s="34" t="str">
        <f aca="false">IF(G974="","",IFERROR(INDEX(I_Master!$E$6:$E$85,MATCH(G974,I_Master!$A$6:$A$85,0)),"?"))</f>
        <v/>
      </c>
      <c r="P974" s="46" t="str">
        <f aca="false">IF(H974="","",IF(OR(A974&lt;I_Parameter!$C$5,A974&gt;I_Parameter!$C$6),0,IF(B974="Aktual",1,IF(AND(B974="Order",A974&gt;=I_Parameter!$C$4),1,0))))</f>
        <v/>
      </c>
    </row>
    <row r="975" customFormat="false" ht="15" hidden="false" customHeight="false" outlineLevel="0" collapsed="false">
      <c r="A975" s="37"/>
      <c r="B975" s="44"/>
      <c r="C975" s="44"/>
      <c r="D975" s="44"/>
      <c r="E975" s="44"/>
      <c r="F975" s="44"/>
      <c r="G975" s="34" t="str">
        <f aca="false">IF(F975&lt;&gt;"",F975,IF(E975="","",IFERROR(INDEX(I_Item!$C$6:$C$255,MATCH(E975,I_Item!$A$6:$A$255,0)),"KODE BARU")))</f>
        <v/>
      </c>
      <c r="H975" s="45"/>
      <c r="I975" s="42"/>
      <c r="J975" s="11" t="str">
        <f aca="false">IF(H975="","",H975*I975)</f>
        <v/>
      </c>
      <c r="K975" s="42"/>
      <c r="L975" s="11" t="str">
        <f aca="false">IF(H975="","",IF(K975&lt;&gt;"",K975,H975*IFERROR(INDEX(O_Stok!$Q$6:$Q$85,MATCH(G975,O_Stok!$A$6:$A$85,0)),0)))</f>
        <v/>
      </c>
      <c r="M975" s="11" t="str">
        <f aca="false">IF(H975="","",J975-L975)</f>
        <v/>
      </c>
      <c r="N975" s="34" t="str">
        <f aca="false">IF(G975="","",IFERROR(INDEX(I_Master!$B$6:$B$85,MATCH(G975,I_Master!$A$6:$A$85,0)),"?"))</f>
        <v/>
      </c>
      <c r="O975" s="34" t="str">
        <f aca="false">IF(G975="","",IFERROR(INDEX(I_Master!$E$6:$E$85,MATCH(G975,I_Master!$A$6:$A$85,0)),"?"))</f>
        <v/>
      </c>
      <c r="P975" s="46" t="str">
        <f aca="false">IF(H975="","",IF(OR(A975&lt;I_Parameter!$C$5,A975&gt;I_Parameter!$C$6),0,IF(B975="Aktual",1,IF(AND(B975="Order",A975&gt;=I_Parameter!$C$4),1,0))))</f>
        <v/>
      </c>
    </row>
    <row r="976" customFormat="false" ht="15" hidden="false" customHeight="false" outlineLevel="0" collapsed="false">
      <c r="A976" s="37"/>
      <c r="B976" s="44"/>
      <c r="C976" s="44"/>
      <c r="D976" s="44"/>
      <c r="E976" s="44"/>
      <c r="F976" s="44"/>
      <c r="G976" s="34" t="str">
        <f aca="false">IF(F976&lt;&gt;"",F976,IF(E976="","",IFERROR(INDEX(I_Item!$C$6:$C$255,MATCH(E976,I_Item!$A$6:$A$255,0)),"KODE BARU")))</f>
        <v/>
      </c>
      <c r="H976" s="45"/>
      <c r="I976" s="42"/>
      <c r="J976" s="11" t="str">
        <f aca="false">IF(H976="","",H976*I976)</f>
        <v/>
      </c>
      <c r="K976" s="42"/>
      <c r="L976" s="11" t="str">
        <f aca="false">IF(H976="","",IF(K976&lt;&gt;"",K976,H976*IFERROR(INDEX(O_Stok!$Q$6:$Q$85,MATCH(G976,O_Stok!$A$6:$A$85,0)),0)))</f>
        <v/>
      </c>
      <c r="M976" s="11" t="str">
        <f aca="false">IF(H976="","",J976-L976)</f>
        <v/>
      </c>
      <c r="N976" s="34" t="str">
        <f aca="false">IF(G976="","",IFERROR(INDEX(I_Master!$B$6:$B$85,MATCH(G976,I_Master!$A$6:$A$85,0)),"?"))</f>
        <v/>
      </c>
      <c r="O976" s="34" t="str">
        <f aca="false">IF(G976="","",IFERROR(INDEX(I_Master!$E$6:$E$85,MATCH(G976,I_Master!$A$6:$A$85,0)),"?"))</f>
        <v/>
      </c>
      <c r="P976" s="46" t="str">
        <f aca="false">IF(H976="","",IF(OR(A976&lt;I_Parameter!$C$5,A976&gt;I_Parameter!$C$6),0,IF(B976="Aktual",1,IF(AND(B976="Order",A976&gt;=I_Parameter!$C$4),1,0))))</f>
        <v/>
      </c>
    </row>
    <row r="977" customFormat="false" ht="15" hidden="false" customHeight="false" outlineLevel="0" collapsed="false">
      <c r="A977" s="37"/>
      <c r="B977" s="44"/>
      <c r="C977" s="44"/>
      <c r="D977" s="44"/>
      <c r="E977" s="44"/>
      <c r="F977" s="44"/>
      <c r="G977" s="34" t="str">
        <f aca="false">IF(F977&lt;&gt;"",F977,IF(E977="","",IFERROR(INDEX(I_Item!$C$6:$C$255,MATCH(E977,I_Item!$A$6:$A$255,0)),"KODE BARU")))</f>
        <v/>
      </c>
      <c r="H977" s="45"/>
      <c r="I977" s="42"/>
      <c r="J977" s="11" t="str">
        <f aca="false">IF(H977="","",H977*I977)</f>
        <v/>
      </c>
      <c r="K977" s="42"/>
      <c r="L977" s="11" t="str">
        <f aca="false">IF(H977="","",IF(K977&lt;&gt;"",K977,H977*IFERROR(INDEX(O_Stok!$Q$6:$Q$85,MATCH(G977,O_Stok!$A$6:$A$85,0)),0)))</f>
        <v/>
      </c>
      <c r="M977" s="11" t="str">
        <f aca="false">IF(H977="","",J977-L977)</f>
        <v/>
      </c>
      <c r="N977" s="34" t="str">
        <f aca="false">IF(G977="","",IFERROR(INDEX(I_Master!$B$6:$B$85,MATCH(G977,I_Master!$A$6:$A$85,0)),"?"))</f>
        <v/>
      </c>
      <c r="O977" s="34" t="str">
        <f aca="false">IF(G977="","",IFERROR(INDEX(I_Master!$E$6:$E$85,MATCH(G977,I_Master!$A$6:$A$85,0)),"?"))</f>
        <v/>
      </c>
      <c r="P977" s="46" t="str">
        <f aca="false">IF(H977="","",IF(OR(A977&lt;I_Parameter!$C$5,A977&gt;I_Parameter!$C$6),0,IF(B977="Aktual",1,IF(AND(B977="Order",A977&gt;=I_Parameter!$C$4),1,0))))</f>
        <v/>
      </c>
    </row>
    <row r="978" customFormat="false" ht="15" hidden="false" customHeight="false" outlineLevel="0" collapsed="false">
      <c r="A978" s="37"/>
      <c r="B978" s="44"/>
      <c r="C978" s="44"/>
      <c r="D978" s="44"/>
      <c r="E978" s="44"/>
      <c r="F978" s="44"/>
      <c r="G978" s="34" t="str">
        <f aca="false">IF(F978&lt;&gt;"",F978,IF(E978="","",IFERROR(INDEX(I_Item!$C$6:$C$255,MATCH(E978,I_Item!$A$6:$A$255,0)),"KODE BARU")))</f>
        <v/>
      </c>
      <c r="H978" s="45"/>
      <c r="I978" s="42"/>
      <c r="J978" s="11" t="str">
        <f aca="false">IF(H978="","",H978*I978)</f>
        <v/>
      </c>
      <c r="K978" s="42"/>
      <c r="L978" s="11" t="str">
        <f aca="false">IF(H978="","",IF(K978&lt;&gt;"",K978,H978*IFERROR(INDEX(O_Stok!$Q$6:$Q$85,MATCH(G978,O_Stok!$A$6:$A$85,0)),0)))</f>
        <v/>
      </c>
      <c r="M978" s="11" t="str">
        <f aca="false">IF(H978="","",J978-L978)</f>
        <v/>
      </c>
      <c r="N978" s="34" t="str">
        <f aca="false">IF(G978="","",IFERROR(INDEX(I_Master!$B$6:$B$85,MATCH(G978,I_Master!$A$6:$A$85,0)),"?"))</f>
        <v/>
      </c>
      <c r="O978" s="34" t="str">
        <f aca="false">IF(G978="","",IFERROR(INDEX(I_Master!$E$6:$E$85,MATCH(G978,I_Master!$A$6:$A$85,0)),"?"))</f>
        <v/>
      </c>
      <c r="P978" s="46" t="str">
        <f aca="false">IF(H978="","",IF(OR(A978&lt;I_Parameter!$C$5,A978&gt;I_Parameter!$C$6),0,IF(B978="Aktual",1,IF(AND(B978="Order",A978&gt;=I_Parameter!$C$4),1,0))))</f>
        <v/>
      </c>
    </row>
    <row r="979" customFormat="false" ht="15" hidden="false" customHeight="false" outlineLevel="0" collapsed="false">
      <c r="A979" s="37"/>
      <c r="B979" s="44"/>
      <c r="C979" s="44"/>
      <c r="D979" s="44"/>
      <c r="E979" s="44"/>
      <c r="F979" s="44"/>
      <c r="G979" s="34" t="str">
        <f aca="false">IF(F979&lt;&gt;"",F979,IF(E979="","",IFERROR(INDEX(I_Item!$C$6:$C$255,MATCH(E979,I_Item!$A$6:$A$255,0)),"KODE BARU")))</f>
        <v/>
      </c>
      <c r="H979" s="45"/>
      <c r="I979" s="42"/>
      <c r="J979" s="11" t="str">
        <f aca="false">IF(H979="","",H979*I979)</f>
        <v/>
      </c>
      <c r="K979" s="42"/>
      <c r="L979" s="11" t="str">
        <f aca="false">IF(H979="","",IF(K979&lt;&gt;"",K979,H979*IFERROR(INDEX(O_Stok!$Q$6:$Q$85,MATCH(G979,O_Stok!$A$6:$A$85,0)),0)))</f>
        <v/>
      </c>
      <c r="M979" s="11" t="str">
        <f aca="false">IF(H979="","",J979-L979)</f>
        <v/>
      </c>
      <c r="N979" s="34" t="str">
        <f aca="false">IF(G979="","",IFERROR(INDEX(I_Master!$B$6:$B$85,MATCH(G979,I_Master!$A$6:$A$85,0)),"?"))</f>
        <v/>
      </c>
      <c r="O979" s="34" t="str">
        <f aca="false">IF(G979="","",IFERROR(INDEX(I_Master!$E$6:$E$85,MATCH(G979,I_Master!$A$6:$A$85,0)),"?"))</f>
        <v/>
      </c>
      <c r="P979" s="46" t="str">
        <f aca="false">IF(H979="","",IF(OR(A979&lt;I_Parameter!$C$5,A979&gt;I_Parameter!$C$6),0,IF(B979="Aktual",1,IF(AND(B979="Order",A979&gt;=I_Parameter!$C$4),1,0))))</f>
        <v/>
      </c>
    </row>
    <row r="980" customFormat="false" ht="15" hidden="false" customHeight="false" outlineLevel="0" collapsed="false">
      <c r="A980" s="37"/>
      <c r="B980" s="44"/>
      <c r="C980" s="44"/>
      <c r="D980" s="44"/>
      <c r="E980" s="44"/>
      <c r="F980" s="44"/>
      <c r="G980" s="34" t="str">
        <f aca="false">IF(F980&lt;&gt;"",F980,IF(E980="","",IFERROR(INDEX(I_Item!$C$6:$C$255,MATCH(E980,I_Item!$A$6:$A$255,0)),"KODE BARU")))</f>
        <v/>
      </c>
      <c r="H980" s="45"/>
      <c r="I980" s="42"/>
      <c r="J980" s="11" t="str">
        <f aca="false">IF(H980="","",H980*I980)</f>
        <v/>
      </c>
      <c r="K980" s="42"/>
      <c r="L980" s="11" t="str">
        <f aca="false">IF(H980="","",IF(K980&lt;&gt;"",K980,H980*IFERROR(INDEX(O_Stok!$Q$6:$Q$85,MATCH(G980,O_Stok!$A$6:$A$85,0)),0)))</f>
        <v/>
      </c>
      <c r="M980" s="11" t="str">
        <f aca="false">IF(H980="","",J980-L980)</f>
        <v/>
      </c>
      <c r="N980" s="34" t="str">
        <f aca="false">IF(G980="","",IFERROR(INDEX(I_Master!$B$6:$B$85,MATCH(G980,I_Master!$A$6:$A$85,0)),"?"))</f>
        <v/>
      </c>
      <c r="O980" s="34" t="str">
        <f aca="false">IF(G980="","",IFERROR(INDEX(I_Master!$E$6:$E$85,MATCH(G980,I_Master!$A$6:$A$85,0)),"?"))</f>
        <v/>
      </c>
      <c r="P980" s="46" t="str">
        <f aca="false">IF(H980="","",IF(OR(A980&lt;I_Parameter!$C$5,A980&gt;I_Parameter!$C$6),0,IF(B980="Aktual",1,IF(AND(B980="Order",A980&gt;=I_Parameter!$C$4),1,0))))</f>
        <v/>
      </c>
    </row>
    <row r="981" customFormat="false" ht="15" hidden="false" customHeight="false" outlineLevel="0" collapsed="false">
      <c r="A981" s="37"/>
      <c r="B981" s="44"/>
      <c r="C981" s="44"/>
      <c r="D981" s="44"/>
      <c r="E981" s="44"/>
      <c r="F981" s="44"/>
      <c r="G981" s="34" t="str">
        <f aca="false">IF(F981&lt;&gt;"",F981,IF(E981="","",IFERROR(INDEX(I_Item!$C$6:$C$255,MATCH(E981,I_Item!$A$6:$A$255,0)),"KODE BARU")))</f>
        <v/>
      </c>
      <c r="H981" s="45"/>
      <c r="I981" s="42"/>
      <c r="J981" s="11" t="str">
        <f aca="false">IF(H981="","",H981*I981)</f>
        <v/>
      </c>
      <c r="K981" s="42"/>
      <c r="L981" s="11" t="str">
        <f aca="false">IF(H981="","",IF(K981&lt;&gt;"",K981,H981*IFERROR(INDEX(O_Stok!$Q$6:$Q$85,MATCH(G981,O_Stok!$A$6:$A$85,0)),0)))</f>
        <v/>
      </c>
      <c r="M981" s="11" t="str">
        <f aca="false">IF(H981="","",J981-L981)</f>
        <v/>
      </c>
      <c r="N981" s="34" t="str">
        <f aca="false">IF(G981="","",IFERROR(INDEX(I_Master!$B$6:$B$85,MATCH(G981,I_Master!$A$6:$A$85,0)),"?"))</f>
        <v/>
      </c>
      <c r="O981" s="34" t="str">
        <f aca="false">IF(G981="","",IFERROR(INDEX(I_Master!$E$6:$E$85,MATCH(G981,I_Master!$A$6:$A$85,0)),"?"))</f>
        <v/>
      </c>
      <c r="P981" s="46" t="str">
        <f aca="false">IF(H981="","",IF(OR(A981&lt;I_Parameter!$C$5,A981&gt;I_Parameter!$C$6),0,IF(B981="Aktual",1,IF(AND(B981="Order",A981&gt;=I_Parameter!$C$4),1,0))))</f>
        <v/>
      </c>
    </row>
    <row r="982" customFormat="false" ht="15" hidden="false" customHeight="false" outlineLevel="0" collapsed="false">
      <c r="A982" s="37"/>
      <c r="B982" s="44"/>
      <c r="C982" s="44"/>
      <c r="D982" s="44"/>
      <c r="E982" s="44"/>
      <c r="F982" s="44"/>
      <c r="G982" s="34" t="str">
        <f aca="false">IF(F982&lt;&gt;"",F982,IF(E982="","",IFERROR(INDEX(I_Item!$C$6:$C$255,MATCH(E982,I_Item!$A$6:$A$255,0)),"KODE BARU")))</f>
        <v/>
      </c>
      <c r="H982" s="45"/>
      <c r="I982" s="42"/>
      <c r="J982" s="11" t="str">
        <f aca="false">IF(H982="","",H982*I982)</f>
        <v/>
      </c>
      <c r="K982" s="42"/>
      <c r="L982" s="11" t="str">
        <f aca="false">IF(H982="","",IF(K982&lt;&gt;"",K982,H982*IFERROR(INDEX(O_Stok!$Q$6:$Q$85,MATCH(G982,O_Stok!$A$6:$A$85,0)),0)))</f>
        <v/>
      </c>
      <c r="M982" s="11" t="str">
        <f aca="false">IF(H982="","",J982-L982)</f>
        <v/>
      </c>
      <c r="N982" s="34" t="str">
        <f aca="false">IF(G982="","",IFERROR(INDEX(I_Master!$B$6:$B$85,MATCH(G982,I_Master!$A$6:$A$85,0)),"?"))</f>
        <v/>
      </c>
      <c r="O982" s="34" t="str">
        <f aca="false">IF(G982="","",IFERROR(INDEX(I_Master!$E$6:$E$85,MATCH(G982,I_Master!$A$6:$A$85,0)),"?"))</f>
        <v/>
      </c>
      <c r="P982" s="46" t="str">
        <f aca="false">IF(H982="","",IF(OR(A982&lt;I_Parameter!$C$5,A982&gt;I_Parameter!$C$6),0,IF(B982="Aktual",1,IF(AND(B982="Order",A982&gt;=I_Parameter!$C$4),1,0))))</f>
        <v/>
      </c>
    </row>
    <row r="983" customFormat="false" ht="15" hidden="false" customHeight="false" outlineLevel="0" collapsed="false">
      <c r="A983" s="37"/>
      <c r="B983" s="44"/>
      <c r="C983" s="44"/>
      <c r="D983" s="44"/>
      <c r="E983" s="44"/>
      <c r="F983" s="44"/>
      <c r="G983" s="34" t="str">
        <f aca="false">IF(F983&lt;&gt;"",F983,IF(E983="","",IFERROR(INDEX(I_Item!$C$6:$C$255,MATCH(E983,I_Item!$A$6:$A$255,0)),"KODE BARU")))</f>
        <v/>
      </c>
      <c r="H983" s="45"/>
      <c r="I983" s="42"/>
      <c r="J983" s="11" t="str">
        <f aca="false">IF(H983="","",H983*I983)</f>
        <v/>
      </c>
      <c r="K983" s="42"/>
      <c r="L983" s="11" t="str">
        <f aca="false">IF(H983="","",IF(K983&lt;&gt;"",K983,H983*IFERROR(INDEX(O_Stok!$Q$6:$Q$85,MATCH(G983,O_Stok!$A$6:$A$85,0)),0)))</f>
        <v/>
      </c>
      <c r="M983" s="11" t="str">
        <f aca="false">IF(H983="","",J983-L983)</f>
        <v/>
      </c>
      <c r="N983" s="34" t="str">
        <f aca="false">IF(G983="","",IFERROR(INDEX(I_Master!$B$6:$B$85,MATCH(G983,I_Master!$A$6:$A$85,0)),"?"))</f>
        <v/>
      </c>
      <c r="O983" s="34" t="str">
        <f aca="false">IF(G983="","",IFERROR(INDEX(I_Master!$E$6:$E$85,MATCH(G983,I_Master!$A$6:$A$85,0)),"?"))</f>
        <v/>
      </c>
      <c r="P983" s="46" t="str">
        <f aca="false">IF(H983="","",IF(OR(A983&lt;I_Parameter!$C$5,A983&gt;I_Parameter!$C$6),0,IF(B983="Aktual",1,IF(AND(B983="Order",A983&gt;=I_Parameter!$C$4),1,0))))</f>
        <v/>
      </c>
    </row>
    <row r="984" customFormat="false" ht="15" hidden="false" customHeight="false" outlineLevel="0" collapsed="false">
      <c r="A984" s="37"/>
      <c r="B984" s="44"/>
      <c r="C984" s="44"/>
      <c r="D984" s="44"/>
      <c r="E984" s="44"/>
      <c r="F984" s="44"/>
      <c r="G984" s="34" t="str">
        <f aca="false">IF(F984&lt;&gt;"",F984,IF(E984="","",IFERROR(INDEX(I_Item!$C$6:$C$255,MATCH(E984,I_Item!$A$6:$A$255,0)),"KODE BARU")))</f>
        <v/>
      </c>
      <c r="H984" s="45"/>
      <c r="I984" s="42"/>
      <c r="J984" s="11" t="str">
        <f aca="false">IF(H984="","",H984*I984)</f>
        <v/>
      </c>
      <c r="K984" s="42"/>
      <c r="L984" s="11" t="str">
        <f aca="false">IF(H984="","",IF(K984&lt;&gt;"",K984,H984*IFERROR(INDEX(O_Stok!$Q$6:$Q$85,MATCH(G984,O_Stok!$A$6:$A$85,0)),0)))</f>
        <v/>
      </c>
      <c r="M984" s="11" t="str">
        <f aca="false">IF(H984="","",J984-L984)</f>
        <v/>
      </c>
      <c r="N984" s="34" t="str">
        <f aca="false">IF(G984="","",IFERROR(INDEX(I_Master!$B$6:$B$85,MATCH(G984,I_Master!$A$6:$A$85,0)),"?"))</f>
        <v/>
      </c>
      <c r="O984" s="34" t="str">
        <f aca="false">IF(G984="","",IFERROR(INDEX(I_Master!$E$6:$E$85,MATCH(G984,I_Master!$A$6:$A$85,0)),"?"))</f>
        <v/>
      </c>
      <c r="P984" s="46" t="str">
        <f aca="false">IF(H984="","",IF(OR(A984&lt;I_Parameter!$C$5,A984&gt;I_Parameter!$C$6),0,IF(B984="Aktual",1,IF(AND(B984="Order",A984&gt;=I_Parameter!$C$4),1,0))))</f>
        <v/>
      </c>
    </row>
    <row r="985" customFormat="false" ht="15" hidden="false" customHeight="false" outlineLevel="0" collapsed="false">
      <c r="A985" s="37"/>
      <c r="B985" s="44"/>
      <c r="C985" s="44"/>
      <c r="D985" s="44"/>
      <c r="E985" s="44"/>
      <c r="F985" s="44"/>
      <c r="G985" s="34" t="str">
        <f aca="false">IF(F985&lt;&gt;"",F985,IF(E985="","",IFERROR(INDEX(I_Item!$C$6:$C$255,MATCH(E985,I_Item!$A$6:$A$255,0)),"KODE BARU")))</f>
        <v/>
      </c>
      <c r="H985" s="45"/>
      <c r="I985" s="42"/>
      <c r="J985" s="11" t="str">
        <f aca="false">IF(H985="","",H985*I985)</f>
        <v/>
      </c>
      <c r="K985" s="42"/>
      <c r="L985" s="11" t="str">
        <f aca="false">IF(H985="","",IF(K985&lt;&gt;"",K985,H985*IFERROR(INDEX(O_Stok!$Q$6:$Q$85,MATCH(G985,O_Stok!$A$6:$A$85,0)),0)))</f>
        <v/>
      </c>
      <c r="M985" s="11" t="str">
        <f aca="false">IF(H985="","",J985-L985)</f>
        <v/>
      </c>
      <c r="N985" s="34" t="str">
        <f aca="false">IF(G985="","",IFERROR(INDEX(I_Master!$B$6:$B$85,MATCH(G985,I_Master!$A$6:$A$85,0)),"?"))</f>
        <v/>
      </c>
      <c r="O985" s="34" t="str">
        <f aca="false">IF(G985="","",IFERROR(INDEX(I_Master!$E$6:$E$85,MATCH(G985,I_Master!$A$6:$A$85,0)),"?"))</f>
        <v/>
      </c>
      <c r="P985" s="46" t="str">
        <f aca="false">IF(H985="","",IF(OR(A985&lt;I_Parameter!$C$5,A985&gt;I_Parameter!$C$6),0,IF(B985="Aktual",1,IF(AND(B985="Order",A985&gt;=I_Parameter!$C$4),1,0))))</f>
        <v/>
      </c>
    </row>
    <row r="986" customFormat="false" ht="15" hidden="false" customHeight="false" outlineLevel="0" collapsed="false">
      <c r="A986" s="37"/>
      <c r="B986" s="44"/>
      <c r="C986" s="44"/>
      <c r="D986" s="44"/>
      <c r="E986" s="44"/>
      <c r="F986" s="44"/>
      <c r="G986" s="34" t="str">
        <f aca="false">IF(F986&lt;&gt;"",F986,IF(E986="","",IFERROR(INDEX(I_Item!$C$6:$C$255,MATCH(E986,I_Item!$A$6:$A$255,0)),"KODE BARU")))</f>
        <v/>
      </c>
      <c r="H986" s="45"/>
      <c r="I986" s="42"/>
      <c r="J986" s="11" t="str">
        <f aca="false">IF(H986="","",H986*I986)</f>
        <v/>
      </c>
      <c r="K986" s="42"/>
      <c r="L986" s="11" t="str">
        <f aca="false">IF(H986="","",IF(K986&lt;&gt;"",K986,H986*IFERROR(INDEX(O_Stok!$Q$6:$Q$85,MATCH(G986,O_Stok!$A$6:$A$85,0)),0)))</f>
        <v/>
      </c>
      <c r="M986" s="11" t="str">
        <f aca="false">IF(H986="","",J986-L986)</f>
        <v/>
      </c>
      <c r="N986" s="34" t="str">
        <f aca="false">IF(G986="","",IFERROR(INDEX(I_Master!$B$6:$B$85,MATCH(G986,I_Master!$A$6:$A$85,0)),"?"))</f>
        <v/>
      </c>
      <c r="O986" s="34" t="str">
        <f aca="false">IF(G986="","",IFERROR(INDEX(I_Master!$E$6:$E$85,MATCH(G986,I_Master!$A$6:$A$85,0)),"?"))</f>
        <v/>
      </c>
      <c r="P986" s="46" t="str">
        <f aca="false">IF(H986="","",IF(OR(A986&lt;I_Parameter!$C$5,A986&gt;I_Parameter!$C$6),0,IF(B986="Aktual",1,IF(AND(B986="Order",A986&gt;=I_Parameter!$C$4),1,0))))</f>
        <v/>
      </c>
    </row>
    <row r="987" customFormat="false" ht="15" hidden="false" customHeight="false" outlineLevel="0" collapsed="false">
      <c r="A987" s="37"/>
      <c r="B987" s="44"/>
      <c r="C987" s="44"/>
      <c r="D987" s="44"/>
      <c r="E987" s="44"/>
      <c r="F987" s="44"/>
      <c r="G987" s="34" t="str">
        <f aca="false">IF(F987&lt;&gt;"",F987,IF(E987="","",IFERROR(INDEX(I_Item!$C$6:$C$255,MATCH(E987,I_Item!$A$6:$A$255,0)),"KODE BARU")))</f>
        <v/>
      </c>
      <c r="H987" s="45"/>
      <c r="I987" s="42"/>
      <c r="J987" s="11" t="str">
        <f aca="false">IF(H987="","",H987*I987)</f>
        <v/>
      </c>
      <c r="K987" s="42"/>
      <c r="L987" s="11" t="str">
        <f aca="false">IF(H987="","",IF(K987&lt;&gt;"",K987,H987*IFERROR(INDEX(O_Stok!$Q$6:$Q$85,MATCH(G987,O_Stok!$A$6:$A$85,0)),0)))</f>
        <v/>
      </c>
      <c r="M987" s="11" t="str">
        <f aca="false">IF(H987="","",J987-L987)</f>
        <v/>
      </c>
      <c r="N987" s="34" t="str">
        <f aca="false">IF(G987="","",IFERROR(INDEX(I_Master!$B$6:$B$85,MATCH(G987,I_Master!$A$6:$A$85,0)),"?"))</f>
        <v/>
      </c>
      <c r="O987" s="34" t="str">
        <f aca="false">IF(G987="","",IFERROR(INDEX(I_Master!$E$6:$E$85,MATCH(G987,I_Master!$A$6:$A$85,0)),"?"))</f>
        <v/>
      </c>
      <c r="P987" s="46" t="str">
        <f aca="false">IF(H987="","",IF(OR(A987&lt;I_Parameter!$C$5,A987&gt;I_Parameter!$C$6),0,IF(B987="Aktual",1,IF(AND(B987="Order",A987&gt;=I_Parameter!$C$4),1,0))))</f>
        <v/>
      </c>
    </row>
    <row r="988" customFormat="false" ht="15" hidden="false" customHeight="false" outlineLevel="0" collapsed="false">
      <c r="A988" s="37"/>
      <c r="B988" s="44"/>
      <c r="C988" s="44"/>
      <c r="D988" s="44"/>
      <c r="E988" s="44"/>
      <c r="F988" s="44"/>
      <c r="G988" s="34" t="str">
        <f aca="false">IF(F988&lt;&gt;"",F988,IF(E988="","",IFERROR(INDEX(I_Item!$C$6:$C$255,MATCH(E988,I_Item!$A$6:$A$255,0)),"KODE BARU")))</f>
        <v/>
      </c>
      <c r="H988" s="45"/>
      <c r="I988" s="42"/>
      <c r="J988" s="11" t="str">
        <f aca="false">IF(H988="","",H988*I988)</f>
        <v/>
      </c>
      <c r="K988" s="42"/>
      <c r="L988" s="11" t="str">
        <f aca="false">IF(H988="","",IF(K988&lt;&gt;"",K988,H988*IFERROR(INDEX(O_Stok!$Q$6:$Q$85,MATCH(G988,O_Stok!$A$6:$A$85,0)),0)))</f>
        <v/>
      </c>
      <c r="M988" s="11" t="str">
        <f aca="false">IF(H988="","",J988-L988)</f>
        <v/>
      </c>
      <c r="N988" s="34" t="str">
        <f aca="false">IF(G988="","",IFERROR(INDEX(I_Master!$B$6:$B$85,MATCH(G988,I_Master!$A$6:$A$85,0)),"?"))</f>
        <v/>
      </c>
      <c r="O988" s="34" t="str">
        <f aca="false">IF(G988="","",IFERROR(INDEX(I_Master!$E$6:$E$85,MATCH(G988,I_Master!$A$6:$A$85,0)),"?"))</f>
        <v/>
      </c>
      <c r="P988" s="46" t="str">
        <f aca="false">IF(H988="","",IF(OR(A988&lt;I_Parameter!$C$5,A988&gt;I_Parameter!$C$6),0,IF(B988="Aktual",1,IF(AND(B988="Order",A988&gt;=I_Parameter!$C$4),1,0))))</f>
        <v/>
      </c>
    </row>
    <row r="989" customFormat="false" ht="15" hidden="false" customHeight="false" outlineLevel="0" collapsed="false">
      <c r="A989" s="37"/>
      <c r="B989" s="44"/>
      <c r="C989" s="44"/>
      <c r="D989" s="44"/>
      <c r="E989" s="44"/>
      <c r="F989" s="44"/>
      <c r="G989" s="34" t="str">
        <f aca="false">IF(F989&lt;&gt;"",F989,IF(E989="","",IFERROR(INDEX(I_Item!$C$6:$C$255,MATCH(E989,I_Item!$A$6:$A$255,0)),"KODE BARU")))</f>
        <v/>
      </c>
      <c r="H989" s="45"/>
      <c r="I989" s="42"/>
      <c r="J989" s="11" t="str">
        <f aca="false">IF(H989="","",H989*I989)</f>
        <v/>
      </c>
      <c r="K989" s="42"/>
      <c r="L989" s="11" t="str">
        <f aca="false">IF(H989="","",IF(K989&lt;&gt;"",K989,H989*IFERROR(INDEX(O_Stok!$Q$6:$Q$85,MATCH(G989,O_Stok!$A$6:$A$85,0)),0)))</f>
        <v/>
      </c>
      <c r="M989" s="11" t="str">
        <f aca="false">IF(H989="","",J989-L989)</f>
        <v/>
      </c>
      <c r="N989" s="34" t="str">
        <f aca="false">IF(G989="","",IFERROR(INDEX(I_Master!$B$6:$B$85,MATCH(G989,I_Master!$A$6:$A$85,0)),"?"))</f>
        <v/>
      </c>
      <c r="O989" s="34" t="str">
        <f aca="false">IF(G989="","",IFERROR(INDEX(I_Master!$E$6:$E$85,MATCH(G989,I_Master!$A$6:$A$85,0)),"?"))</f>
        <v/>
      </c>
      <c r="P989" s="46" t="str">
        <f aca="false">IF(H989="","",IF(OR(A989&lt;I_Parameter!$C$5,A989&gt;I_Parameter!$C$6),0,IF(B989="Aktual",1,IF(AND(B989="Order",A989&gt;=I_Parameter!$C$4),1,0))))</f>
        <v/>
      </c>
    </row>
    <row r="990" customFormat="false" ht="15" hidden="false" customHeight="false" outlineLevel="0" collapsed="false">
      <c r="A990" s="37"/>
      <c r="B990" s="44"/>
      <c r="C990" s="44"/>
      <c r="D990" s="44"/>
      <c r="E990" s="44"/>
      <c r="F990" s="44"/>
      <c r="G990" s="34" t="str">
        <f aca="false">IF(F990&lt;&gt;"",F990,IF(E990="","",IFERROR(INDEX(I_Item!$C$6:$C$255,MATCH(E990,I_Item!$A$6:$A$255,0)),"KODE BARU")))</f>
        <v/>
      </c>
      <c r="H990" s="45"/>
      <c r="I990" s="42"/>
      <c r="J990" s="11" t="str">
        <f aca="false">IF(H990="","",H990*I990)</f>
        <v/>
      </c>
      <c r="K990" s="42"/>
      <c r="L990" s="11" t="str">
        <f aca="false">IF(H990="","",IF(K990&lt;&gt;"",K990,H990*IFERROR(INDEX(O_Stok!$Q$6:$Q$85,MATCH(G990,O_Stok!$A$6:$A$85,0)),0)))</f>
        <v/>
      </c>
      <c r="M990" s="11" t="str">
        <f aca="false">IF(H990="","",J990-L990)</f>
        <v/>
      </c>
      <c r="N990" s="34" t="str">
        <f aca="false">IF(G990="","",IFERROR(INDEX(I_Master!$B$6:$B$85,MATCH(G990,I_Master!$A$6:$A$85,0)),"?"))</f>
        <v/>
      </c>
      <c r="O990" s="34" t="str">
        <f aca="false">IF(G990="","",IFERROR(INDEX(I_Master!$E$6:$E$85,MATCH(G990,I_Master!$A$6:$A$85,0)),"?"))</f>
        <v/>
      </c>
      <c r="P990" s="46" t="str">
        <f aca="false">IF(H990="","",IF(OR(A990&lt;I_Parameter!$C$5,A990&gt;I_Parameter!$C$6),0,IF(B990="Aktual",1,IF(AND(B990="Order",A990&gt;=I_Parameter!$C$4),1,0))))</f>
        <v/>
      </c>
    </row>
    <row r="991" customFormat="false" ht="15" hidden="false" customHeight="false" outlineLevel="0" collapsed="false">
      <c r="A991" s="37"/>
      <c r="B991" s="44"/>
      <c r="C991" s="44"/>
      <c r="D991" s="44"/>
      <c r="E991" s="44"/>
      <c r="F991" s="44"/>
      <c r="G991" s="34" t="str">
        <f aca="false">IF(F991&lt;&gt;"",F991,IF(E991="","",IFERROR(INDEX(I_Item!$C$6:$C$255,MATCH(E991,I_Item!$A$6:$A$255,0)),"KODE BARU")))</f>
        <v/>
      </c>
      <c r="H991" s="45"/>
      <c r="I991" s="42"/>
      <c r="J991" s="11" t="str">
        <f aca="false">IF(H991="","",H991*I991)</f>
        <v/>
      </c>
      <c r="K991" s="42"/>
      <c r="L991" s="11" t="str">
        <f aca="false">IF(H991="","",IF(K991&lt;&gt;"",K991,H991*IFERROR(INDEX(O_Stok!$Q$6:$Q$85,MATCH(G991,O_Stok!$A$6:$A$85,0)),0)))</f>
        <v/>
      </c>
      <c r="M991" s="11" t="str">
        <f aca="false">IF(H991="","",J991-L991)</f>
        <v/>
      </c>
      <c r="N991" s="34" t="str">
        <f aca="false">IF(G991="","",IFERROR(INDEX(I_Master!$B$6:$B$85,MATCH(G991,I_Master!$A$6:$A$85,0)),"?"))</f>
        <v/>
      </c>
      <c r="O991" s="34" t="str">
        <f aca="false">IF(G991="","",IFERROR(INDEX(I_Master!$E$6:$E$85,MATCH(G991,I_Master!$A$6:$A$85,0)),"?"))</f>
        <v/>
      </c>
      <c r="P991" s="46" t="str">
        <f aca="false">IF(H991="","",IF(OR(A991&lt;I_Parameter!$C$5,A991&gt;I_Parameter!$C$6),0,IF(B991="Aktual",1,IF(AND(B991="Order",A991&gt;=I_Parameter!$C$4),1,0))))</f>
        <v/>
      </c>
    </row>
    <row r="992" customFormat="false" ht="15" hidden="false" customHeight="false" outlineLevel="0" collapsed="false">
      <c r="A992" s="37"/>
      <c r="B992" s="44"/>
      <c r="C992" s="44"/>
      <c r="D992" s="44"/>
      <c r="E992" s="44"/>
      <c r="F992" s="44"/>
      <c r="G992" s="34" t="str">
        <f aca="false">IF(F992&lt;&gt;"",F992,IF(E992="","",IFERROR(INDEX(I_Item!$C$6:$C$255,MATCH(E992,I_Item!$A$6:$A$255,0)),"KODE BARU")))</f>
        <v/>
      </c>
      <c r="H992" s="45"/>
      <c r="I992" s="42"/>
      <c r="J992" s="11" t="str">
        <f aca="false">IF(H992="","",H992*I992)</f>
        <v/>
      </c>
      <c r="K992" s="42"/>
      <c r="L992" s="11" t="str">
        <f aca="false">IF(H992="","",IF(K992&lt;&gt;"",K992,H992*IFERROR(INDEX(O_Stok!$Q$6:$Q$85,MATCH(G992,O_Stok!$A$6:$A$85,0)),0)))</f>
        <v/>
      </c>
      <c r="M992" s="11" t="str">
        <f aca="false">IF(H992="","",J992-L992)</f>
        <v/>
      </c>
      <c r="N992" s="34" t="str">
        <f aca="false">IF(G992="","",IFERROR(INDEX(I_Master!$B$6:$B$85,MATCH(G992,I_Master!$A$6:$A$85,0)),"?"))</f>
        <v/>
      </c>
      <c r="O992" s="34" t="str">
        <f aca="false">IF(G992="","",IFERROR(INDEX(I_Master!$E$6:$E$85,MATCH(G992,I_Master!$A$6:$A$85,0)),"?"))</f>
        <v/>
      </c>
      <c r="P992" s="46" t="str">
        <f aca="false">IF(H992="","",IF(OR(A992&lt;I_Parameter!$C$5,A992&gt;I_Parameter!$C$6),0,IF(B992="Aktual",1,IF(AND(B992="Order",A992&gt;=I_Parameter!$C$4),1,0))))</f>
        <v/>
      </c>
    </row>
    <row r="993" customFormat="false" ht="15" hidden="false" customHeight="false" outlineLevel="0" collapsed="false">
      <c r="A993" s="37"/>
      <c r="B993" s="44"/>
      <c r="C993" s="44"/>
      <c r="D993" s="44"/>
      <c r="E993" s="44"/>
      <c r="F993" s="44"/>
      <c r="G993" s="34" t="str">
        <f aca="false">IF(F993&lt;&gt;"",F993,IF(E993="","",IFERROR(INDEX(I_Item!$C$6:$C$255,MATCH(E993,I_Item!$A$6:$A$255,0)),"KODE BARU")))</f>
        <v/>
      </c>
      <c r="H993" s="45"/>
      <c r="I993" s="42"/>
      <c r="J993" s="11" t="str">
        <f aca="false">IF(H993="","",H993*I993)</f>
        <v/>
      </c>
      <c r="K993" s="42"/>
      <c r="L993" s="11" t="str">
        <f aca="false">IF(H993="","",IF(K993&lt;&gt;"",K993,H993*IFERROR(INDEX(O_Stok!$Q$6:$Q$85,MATCH(G993,O_Stok!$A$6:$A$85,0)),0)))</f>
        <v/>
      </c>
      <c r="M993" s="11" t="str">
        <f aca="false">IF(H993="","",J993-L993)</f>
        <v/>
      </c>
      <c r="N993" s="34" t="str">
        <f aca="false">IF(G993="","",IFERROR(INDEX(I_Master!$B$6:$B$85,MATCH(G993,I_Master!$A$6:$A$85,0)),"?"))</f>
        <v/>
      </c>
      <c r="O993" s="34" t="str">
        <f aca="false">IF(G993="","",IFERROR(INDEX(I_Master!$E$6:$E$85,MATCH(G993,I_Master!$A$6:$A$85,0)),"?"))</f>
        <v/>
      </c>
      <c r="P993" s="46" t="str">
        <f aca="false">IF(H993="","",IF(OR(A993&lt;I_Parameter!$C$5,A993&gt;I_Parameter!$C$6),0,IF(B993="Aktual",1,IF(AND(B993="Order",A993&gt;=I_Parameter!$C$4),1,0))))</f>
        <v/>
      </c>
    </row>
    <row r="994" customFormat="false" ht="15" hidden="false" customHeight="false" outlineLevel="0" collapsed="false">
      <c r="A994" s="37"/>
      <c r="B994" s="44"/>
      <c r="C994" s="44"/>
      <c r="D994" s="44"/>
      <c r="E994" s="44"/>
      <c r="F994" s="44"/>
      <c r="G994" s="34" t="str">
        <f aca="false">IF(F994&lt;&gt;"",F994,IF(E994="","",IFERROR(INDEX(I_Item!$C$6:$C$255,MATCH(E994,I_Item!$A$6:$A$255,0)),"KODE BARU")))</f>
        <v/>
      </c>
      <c r="H994" s="45"/>
      <c r="I994" s="42"/>
      <c r="J994" s="11" t="str">
        <f aca="false">IF(H994="","",H994*I994)</f>
        <v/>
      </c>
      <c r="K994" s="42"/>
      <c r="L994" s="11" t="str">
        <f aca="false">IF(H994="","",IF(K994&lt;&gt;"",K994,H994*IFERROR(INDEX(O_Stok!$Q$6:$Q$85,MATCH(G994,O_Stok!$A$6:$A$85,0)),0)))</f>
        <v/>
      </c>
      <c r="M994" s="11" t="str">
        <f aca="false">IF(H994="","",J994-L994)</f>
        <v/>
      </c>
      <c r="N994" s="34" t="str">
        <f aca="false">IF(G994="","",IFERROR(INDEX(I_Master!$B$6:$B$85,MATCH(G994,I_Master!$A$6:$A$85,0)),"?"))</f>
        <v/>
      </c>
      <c r="O994" s="34" t="str">
        <f aca="false">IF(G994="","",IFERROR(INDEX(I_Master!$E$6:$E$85,MATCH(G994,I_Master!$A$6:$A$85,0)),"?"))</f>
        <v/>
      </c>
      <c r="P994" s="46" t="str">
        <f aca="false">IF(H994="","",IF(OR(A994&lt;I_Parameter!$C$5,A994&gt;I_Parameter!$C$6),0,IF(B994="Aktual",1,IF(AND(B994="Order",A994&gt;=I_Parameter!$C$4),1,0))))</f>
        <v/>
      </c>
    </row>
    <row r="995" customFormat="false" ht="15" hidden="false" customHeight="false" outlineLevel="0" collapsed="false">
      <c r="A995" s="37"/>
      <c r="B995" s="44"/>
      <c r="C995" s="44"/>
      <c r="D995" s="44"/>
      <c r="E995" s="44"/>
      <c r="F995" s="44"/>
      <c r="G995" s="34" t="str">
        <f aca="false">IF(F995&lt;&gt;"",F995,IF(E995="","",IFERROR(INDEX(I_Item!$C$6:$C$255,MATCH(E995,I_Item!$A$6:$A$255,0)),"KODE BARU")))</f>
        <v/>
      </c>
      <c r="H995" s="45"/>
      <c r="I995" s="42"/>
      <c r="J995" s="11" t="str">
        <f aca="false">IF(H995="","",H995*I995)</f>
        <v/>
      </c>
      <c r="K995" s="42"/>
      <c r="L995" s="11" t="str">
        <f aca="false">IF(H995="","",IF(K995&lt;&gt;"",K995,H995*IFERROR(INDEX(O_Stok!$Q$6:$Q$85,MATCH(G995,O_Stok!$A$6:$A$85,0)),0)))</f>
        <v/>
      </c>
      <c r="M995" s="11" t="str">
        <f aca="false">IF(H995="","",J995-L995)</f>
        <v/>
      </c>
      <c r="N995" s="34" t="str">
        <f aca="false">IF(G995="","",IFERROR(INDEX(I_Master!$B$6:$B$85,MATCH(G995,I_Master!$A$6:$A$85,0)),"?"))</f>
        <v/>
      </c>
      <c r="O995" s="34" t="str">
        <f aca="false">IF(G995="","",IFERROR(INDEX(I_Master!$E$6:$E$85,MATCH(G995,I_Master!$A$6:$A$85,0)),"?"))</f>
        <v/>
      </c>
      <c r="P995" s="46" t="str">
        <f aca="false">IF(H995="","",IF(OR(A995&lt;I_Parameter!$C$5,A995&gt;I_Parameter!$C$6),0,IF(B995="Aktual",1,IF(AND(B995="Order",A995&gt;=I_Parameter!$C$4),1,0))))</f>
        <v/>
      </c>
    </row>
    <row r="996" customFormat="false" ht="15" hidden="false" customHeight="false" outlineLevel="0" collapsed="false">
      <c r="A996" s="37"/>
      <c r="B996" s="44"/>
      <c r="C996" s="44"/>
      <c r="D996" s="44"/>
      <c r="E996" s="44"/>
      <c r="F996" s="44"/>
      <c r="G996" s="34" t="str">
        <f aca="false">IF(F996&lt;&gt;"",F996,IF(E996="","",IFERROR(INDEX(I_Item!$C$6:$C$255,MATCH(E996,I_Item!$A$6:$A$255,0)),"KODE BARU")))</f>
        <v/>
      </c>
      <c r="H996" s="45"/>
      <c r="I996" s="42"/>
      <c r="J996" s="11" t="str">
        <f aca="false">IF(H996="","",H996*I996)</f>
        <v/>
      </c>
      <c r="K996" s="42"/>
      <c r="L996" s="11" t="str">
        <f aca="false">IF(H996="","",IF(K996&lt;&gt;"",K996,H996*IFERROR(INDEX(O_Stok!$Q$6:$Q$85,MATCH(G996,O_Stok!$A$6:$A$85,0)),0)))</f>
        <v/>
      </c>
      <c r="M996" s="11" t="str">
        <f aca="false">IF(H996="","",J996-L996)</f>
        <v/>
      </c>
      <c r="N996" s="34" t="str">
        <f aca="false">IF(G996="","",IFERROR(INDEX(I_Master!$B$6:$B$85,MATCH(G996,I_Master!$A$6:$A$85,0)),"?"))</f>
        <v/>
      </c>
      <c r="O996" s="34" t="str">
        <f aca="false">IF(G996="","",IFERROR(INDEX(I_Master!$E$6:$E$85,MATCH(G996,I_Master!$A$6:$A$85,0)),"?"))</f>
        <v/>
      </c>
      <c r="P996" s="46" t="str">
        <f aca="false">IF(H996="","",IF(OR(A996&lt;I_Parameter!$C$5,A996&gt;I_Parameter!$C$6),0,IF(B996="Aktual",1,IF(AND(B996="Order",A996&gt;=I_Parameter!$C$4),1,0))))</f>
        <v/>
      </c>
    </row>
    <row r="997" customFormat="false" ht="15" hidden="false" customHeight="false" outlineLevel="0" collapsed="false">
      <c r="A997" s="37"/>
      <c r="B997" s="44"/>
      <c r="C997" s="44"/>
      <c r="D997" s="44"/>
      <c r="E997" s="44"/>
      <c r="F997" s="44"/>
      <c r="G997" s="34" t="str">
        <f aca="false">IF(F997&lt;&gt;"",F997,IF(E997="","",IFERROR(INDEX(I_Item!$C$6:$C$255,MATCH(E997,I_Item!$A$6:$A$255,0)),"KODE BARU")))</f>
        <v/>
      </c>
      <c r="H997" s="45"/>
      <c r="I997" s="42"/>
      <c r="J997" s="11" t="str">
        <f aca="false">IF(H997="","",H997*I997)</f>
        <v/>
      </c>
      <c r="K997" s="42"/>
      <c r="L997" s="11" t="str">
        <f aca="false">IF(H997="","",IF(K997&lt;&gt;"",K997,H997*IFERROR(INDEX(O_Stok!$Q$6:$Q$85,MATCH(G997,O_Stok!$A$6:$A$85,0)),0)))</f>
        <v/>
      </c>
      <c r="M997" s="11" t="str">
        <f aca="false">IF(H997="","",J997-L997)</f>
        <v/>
      </c>
      <c r="N997" s="34" t="str">
        <f aca="false">IF(G997="","",IFERROR(INDEX(I_Master!$B$6:$B$85,MATCH(G997,I_Master!$A$6:$A$85,0)),"?"))</f>
        <v/>
      </c>
      <c r="O997" s="34" t="str">
        <f aca="false">IF(G997="","",IFERROR(INDEX(I_Master!$E$6:$E$85,MATCH(G997,I_Master!$A$6:$A$85,0)),"?"))</f>
        <v/>
      </c>
      <c r="P997" s="46" t="str">
        <f aca="false">IF(H997="","",IF(OR(A997&lt;I_Parameter!$C$5,A997&gt;I_Parameter!$C$6),0,IF(B997="Aktual",1,IF(AND(B997="Order",A997&gt;=I_Parameter!$C$4),1,0))))</f>
        <v/>
      </c>
    </row>
    <row r="998" customFormat="false" ht="15" hidden="false" customHeight="false" outlineLevel="0" collapsed="false">
      <c r="A998" s="37"/>
      <c r="B998" s="44"/>
      <c r="C998" s="44"/>
      <c r="D998" s="44"/>
      <c r="E998" s="44"/>
      <c r="F998" s="44"/>
      <c r="G998" s="34" t="str">
        <f aca="false">IF(F998&lt;&gt;"",F998,IF(E998="","",IFERROR(INDEX(I_Item!$C$6:$C$255,MATCH(E998,I_Item!$A$6:$A$255,0)),"KODE BARU")))</f>
        <v/>
      </c>
      <c r="H998" s="45"/>
      <c r="I998" s="42"/>
      <c r="J998" s="11" t="str">
        <f aca="false">IF(H998="","",H998*I998)</f>
        <v/>
      </c>
      <c r="K998" s="42"/>
      <c r="L998" s="11" t="str">
        <f aca="false">IF(H998="","",IF(K998&lt;&gt;"",K998,H998*IFERROR(INDEX(O_Stok!$Q$6:$Q$85,MATCH(G998,O_Stok!$A$6:$A$85,0)),0)))</f>
        <v/>
      </c>
      <c r="M998" s="11" t="str">
        <f aca="false">IF(H998="","",J998-L998)</f>
        <v/>
      </c>
      <c r="N998" s="34" t="str">
        <f aca="false">IF(G998="","",IFERROR(INDEX(I_Master!$B$6:$B$85,MATCH(G998,I_Master!$A$6:$A$85,0)),"?"))</f>
        <v/>
      </c>
      <c r="O998" s="34" t="str">
        <f aca="false">IF(G998="","",IFERROR(INDEX(I_Master!$E$6:$E$85,MATCH(G998,I_Master!$A$6:$A$85,0)),"?"))</f>
        <v/>
      </c>
      <c r="P998" s="46" t="str">
        <f aca="false">IF(H998="","",IF(OR(A998&lt;I_Parameter!$C$5,A998&gt;I_Parameter!$C$6),0,IF(B998="Aktual",1,IF(AND(B998="Order",A998&gt;=I_Parameter!$C$4),1,0))))</f>
        <v/>
      </c>
    </row>
    <row r="999" customFormat="false" ht="15" hidden="false" customHeight="false" outlineLevel="0" collapsed="false">
      <c r="A999" s="37"/>
      <c r="B999" s="44"/>
      <c r="C999" s="44"/>
      <c r="D999" s="44"/>
      <c r="E999" s="44"/>
      <c r="F999" s="44"/>
      <c r="G999" s="34" t="str">
        <f aca="false">IF(F999&lt;&gt;"",F999,IF(E999="","",IFERROR(INDEX(I_Item!$C$6:$C$255,MATCH(E999,I_Item!$A$6:$A$255,0)),"KODE BARU")))</f>
        <v/>
      </c>
      <c r="H999" s="45"/>
      <c r="I999" s="42"/>
      <c r="J999" s="11" t="str">
        <f aca="false">IF(H999="","",H999*I999)</f>
        <v/>
      </c>
      <c r="K999" s="42"/>
      <c r="L999" s="11" t="str">
        <f aca="false">IF(H999="","",IF(K999&lt;&gt;"",K999,H999*IFERROR(INDEX(O_Stok!$Q$6:$Q$85,MATCH(G999,O_Stok!$A$6:$A$85,0)),0)))</f>
        <v/>
      </c>
      <c r="M999" s="11" t="str">
        <f aca="false">IF(H999="","",J999-L999)</f>
        <v/>
      </c>
      <c r="N999" s="34" t="str">
        <f aca="false">IF(G999="","",IFERROR(INDEX(I_Master!$B$6:$B$85,MATCH(G999,I_Master!$A$6:$A$85,0)),"?"))</f>
        <v/>
      </c>
      <c r="O999" s="34" t="str">
        <f aca="false">IF(G999="","",IFERROR(INDEX(I_Master!$E$6:$E$85,MATCH(G999,I_Master!$A$6:$A$85,0)),"?"))</f>
        <v/>
      </c>
      <c r="P999" s="46" t="str">
        <f aca="false">IF(H999="","",IF(OR(A999&lt;I_Parameter!$C$5,A999&gt;I_Parameter!$C$6),0,IF(B999="Aktual",1,IF(AND(B999="Order",A999&gt;=I_Parameter!$C$4),1,0))))</f>
        <v/>
      </c>
    </row>
    <row r="1000" customFormat="false" ht="15" hidden="false" customHeight="false" outlineLevel="0" collapsed="false">
      <c r="A1000" s="37"/>
      <c r="B1000" s="44"/>
      <c r="C1000" s="44"/>
      <c r="D1000" s="44"/>
      <c r="E1000" s="44"/>
      <c r="F1000" s="44"/>
      <c r="G1000" s="34" t="str">
        <f aca="false">IF(F1000&lt;&gt;"",F1000,IF(E1000="","",IFERROR(INDEX(I_Item!$C$6:$C$255,MATCH(E1000,I_Item!$A$6:$A$255,0)),"KODE BARU")))</f>
        <v/>
      </c>
      <c r="H1000" s="45"/>
      <c r="I1000" s="42"/>
      <c r="J1000" s="11" t="str">
        <f aca="false">IF(H1000="","",H1000*I1000)</f>
        <v/>
      </c>
      <c r="K1000" s="42"/>
      <c r="L1000" s="11" t="str">
        <f aca="false">IF(H1000="","",IF(K1000&lt;&gt;"",K1000,H1000*IFERROR(INDEX(O_Stok!$Q$6:$Q$85,MATCH(G1000,O_Stok!$A$6:$A$85,0)),0)))</f>
        <v/>
      </c>
      <c r="M1000" s="11" t="str">
        <f aca="false">IF(H1000="","",J1000-L1000)</f>
        <v/>
      </c>
      <c r="N1000" s="34" t="str">
        <f aca="false">IF(G1000="","",IFERROR(INDEX(I_Master!$B$6:$B$85,MATCH(G1000,I_Master!$A$6:$A$85,0)),"?"))</f>
        <v/>
      </c>
      <c r="O1000" s="34" t="str">
        <f aca="false">IF(G1000="","",IFERROR(INDEX(I_Master!$E$6:$E$85,MATCH(G1000,I_Master!$A$6:$A$85,0)),"?"))</f>
        <v/>
      </c>
      <c r="P1000" s="46" t="str">
        <f aca="false">IF(H1000="","",IF(OR(A1000&lt;I_Parameter!$C$5,A1000&gt;I_Parameter!$C$6),0,IF(B1000="Aktual",1,IF(AND(B1000="Order",A1000&gt;=I_Parameter!$C$4),1,0))))</f>
        <v/>
      </c>
    </row>
    <row r="1001" customFormat="false" ht="15" hidden="false" customHeight="false" outlineLevel="0" collapsed="false">
      <c r="A1001" s="37"/>
      <c r="B1001" s="44"/>
      <c r="C1001" s="44"/>
      <c r="D1001" s="44"/>
      <c r="E1001" s="44"/>
      <c r="F1001" s="44"/>
      <c r="G1001" s="34" t="str">
        <f aca="false">IF(F1001&lt;&gt;"",F1001,IF(E1001="","",IFERROR(INDEX(I_Item!$C$6:$C$255,MATCH(E1001,I_Item!$A$6:$A$255,0)),"KODE BARU")))</f>
        <v/>
      </c>
      <c r="H1001" s="45"/>
      <c r="I1001" s="42"/>
      <c r="J1001" s="11" t="str">
        <f aca="false">IF(H1001="","",H1001*I1001)</f>
        <v/>
      </c>
      <c r="K1001" s="42"/>
      <c r="L1001" s="11" t="str">
        <f aca="false">IF(H1001="","",IF(K1001&lt;&gt;"",K1001,H1001*IFERROR(INDEX(O_Stok!$Q$6:$Q$85,MATCH(G1001,O_Stok!$A$6:$A$85,0)),0)))</f>
        <v/>
      </c>
      <c r="M1001" s="11" t="str">
        <f aca="false">IF(H1001="","",J1001-L1001)</f>
        <v/>
      </c>
      <c r="N1001" s="34" t="str">
        <f aca="false">IF(G1001="","",IFERROR(INDEX(I_Master!$B$6:$B$85,MATCH(G1001,I_Master!$A$6:$A$85,0)),"?"))</f>
        <v/>
      </c>
      <c r="O1001" s="34" t="str">
        <f aca="false">IF(G1001="","",IFERROR(INDEX(I_Master!$E$6:$E$85,MATCH(G1001,I_Master!$A$6:$A$85,0)),"?"))</f>
        <v/>
      </c>
      <c r="P1001" s="46" t="str">
        <f aca="false">IF(H1001="","",IF(OR(A1001&lt;I_Parameter!$C$5,A1001&gt;I_Parameter!$C$6),0,IF(B1001="Aktual",1,IF(AND(B1001="Order",A1001&gt;=I_Parameter!$C$4),1,0))))</f>
        <v/>
      </c>
    </row>
    <row r="1002" customFormat="false" ht="15" hidden="false" customHeight="false" outlineLevel="0" collapsed="false">
      <c r="A1002" s="37"/>
      <c r="B1002" s="44"/>
      <c r="C1002" s="44"/>
      <c r="D1002" s="44"/>
      <c r="E1002" s="44"/>
      <c r="F1002" s="44"/>
      <c r="G1002" s="34" t="str">
        <f aca="false">IF(F1002&lt;&gt;"",F1002,IF(E1002="","",IFERROR(INDEX(I_Item!$C$6:$C$255,MATCH(E1002,I_Item!$A$6:$A$255,0)),"KODE BARU")))</f>
        <v/>
      </c>
      <c r="H1002" s="45"/>
      <c r="I1002" s="42"/>
      <c r="J1002" s="11" t="str">
        <f aca="false">IF(H1002="","",H1002*I1002)</f>
        <v/>
      </c>
      <c r="K1002" s="42"/>
      <c r="L1002" s="11" t="str">
        <f aca="false">IF(H1002="","",IF(K1002&lt;&gt;"",K1002,H1002*IFERROR(INDEX(O_Stok!$Q$6:$Q$85,MATCH(G1002,O_Stok!$A$6:$A$85,0)),0)))</f>
        <v/>
      </c>
      <c r="M1002" s="11" t="str">
        <f aca="false">IF(H1002="","",J1002-L1002)</f>
        <v/>
      </c>
      <c r="N1002" s="34" t="str">
        <f aca="false">IF(G1002="","",IFERROR(INDEX(I_Master!$B$6:$B$85,MATCH(G1002,I_Master!$A$6:$A$85,0)),"?"))</f>
        <v/>
      </c>
      <c r="O1002" s="34" t="str">
        <f aca="false">IF(G1002="","",IFERROR(INDEX(I_Master!$E$6:$E$85,MATCH(G1002,I_Master!$A$6:$A$85,0)),"?"))</f>
        <v/>
      </c>
      <c r="P1002" s="46" t="str">
        <f aca="false">IF(H1002="","",IF(OR(A1002&lt;I_Parameter!$C$5,A1002&gt;I_Parameter!$C$6),0,IF(B1002="Aktual",1,IF(AND(B1002="Order",A1002&gt;=I_Parameter!$C$4),1,0))))</f>
        <v/>
      </c>
    </row>
    <row r="1003" customFormat="false" ht="15" hidden="false" customHeight="false" outlineLevel="0" collapsed="false">
      <c r="A1003" s="37"/>
      <c r="B1003" s="44"/>
      <c r="C1003" s="44"/>
      <c r="D1003" s="44"/>
      <c r="E1003" s="44"/>
      <c r="F1003" s="44"/>
      <c r="G1003" s="34" t="str">
        <f aca="false">IF(F1003&lt;&gt;"",F1003,IF(E1003="","",IFERROR(INDEX(I_Item!$C$6:$C$255,MATCH(E1003,I_Item!$A$6:$A$255,0)),"KODE BARU")))</f>
        <v/>
      </c>
      <c r="H1003" s="45"/>
      <c r="I1003" s="42"/>
      <c r="J1003" s="11" t="str">
        <f aca="false">IF(H1003="","",H1003*I1003)</f>
        <v/>
      </c>
      <c r="K1003" s="42"/>
      <c r="L1003" s="11" t="str">
        <f aca="false">IF(H1003="","",IF(K1003&lt;&gt;"",K1003,H1003*IFERROR(INDEX(O_Stok!$Q$6:$Q$85,MATCH(G1003,O_Stok!$A$6:$A$85,0)),0)))</f>
        <v/>
      </c>
      <c r="M1003" s="11" t="str">
        <f aca="false">IF(H1003="","",J1003-L1003)</f>
        <v/>
      </c>
      <c r="N1003" s="34" t="str">
        <f aca="false">IF(G1003="","",IFERROR(INDEX(I_Master!$B$6:$B$85,MATCH(G1003,I_Master!$A$6:$A$85,0)),"?"))</f>
        <v/>
      </c>
      <c r="O1003" s="34" t="str">
        <f aca="false">IF(G1003="","",IFERROR(INDEX(I_Master!$E$6:$E$85,MATCH(G1003,I_Master!$A$6:$A$85,0)),"?"))</f>
        <v/>
      </c>
      <c r="P1003" s="46" t="str">
        <f aca="false">IF(H1003="","",IF(OR(A1003&lt;I_Parameter!$C$5,A1003&gt;I_Parameter!$C$6),0,IF(B1003="Aktual",1,IF(AND(B1003="Order",A1003&gt;=I_Parameter!$C$4),1,0))))</f>
        <v/>
      </c>
    </row>
    <row r="1004" customFormat="false" ht="15" hidden="false" customHeight="false" outlineLevel="0" collapsed="false">
      <c r="A1004" s="37"/>
      <c r="B1004" s="44"/>
      <c r="C1004" s="44"/>
      <c r="D1004" s="44"/>
      <c r="E1004" s="44"/>
      <c r="F1004" s="44"/>
      <c r="G1004" s="34" t="str">
        <f aca="false">IF(F1004&lt;&gt;"",F1004,IF(E1004="","",IFERROR(INDEX(I_Item!$C$6:$C$255,MATCH(E1004,I_Item!$A$6:$A$255,0)),"KODE BARU")))</f>
        <v/>
      </c>
      <c r="H1004" s="45"/>
      <c r="I1004" s="42"/>
      <c r="J1004" s="11" t="str">
        <f aca="false">IF(H1004="","",H1004*I1004)</f>
        <v/>
      </c>
      <c r="K1004" s="42"/>
      <c r="L1004" s="11" t="str">
        <f aca="false">IF(H1004="","",IF(K1004&lt;&gt;"",K1004,H1004*IFERROR(INDEX(O_Stok!$Q$6:$Q$85,MATCH(G1004,O_Stok!$A$6:$A$85,0)),0)))</f>
        <v/>
      </c>
      <c r="M1004" s="11" t="str">
        <f aca="false">IF(H1004="","",J1004-L1004)</f>
        <v/>
      </c>
      <c r="N1004" s="34" t="str">
        <f aca="false">IF(G1004="","",IFERROR(INDEX(I_Master!$B$6:$B$85,MATCH(G1004,I_Master!$A$6:$A$85,0)),"?"))</f>
        <v/>
      </c>
      <c r="O1004" s="34" t="str">
        <f aca="false">IF(G1004="","",IFERROR(INDEX(I_Master!$E$6:$E$85,MATCH(G1004,I_Master!$A$6:$A$85,0)),"?"))</f>
        <v/>
      </c>
      <c r="P1004" s="46" t="str">
        <f aca="false">IF(H1004="","",IF(OR(A1004&lt;I_Parameter!$C$5,A1004&gt;I_Parameter!$C$6),0,IF(B1004="Aktual",1,IF(AND(B1004="Order",A1004&gt;=I_Parameter!$C$4),1,0))))</f>
        <v/>
      </c>
    </row>
    <row r="1005" customFormat="false" ht="15" hidden="false" customHeight="false" outlineLevel="0" collapsed="false">
      <c r="A1005" s="37"/>
      <c r="B1005" s="44"/>
      <c r="C1005" s="44"/>
      <c r="D1005" s="44"/>
      <c r="E1005" s="44"/>
      <c r="F1005" s="44"/>
      <c r="G1005" s="34" t="str">
        <f aca="false">IF(F1005&lt;&gt;"",F1005,IF(E1005="","",IFERROR(INDEX(I_Item!$C$6:$C$255,MATCH(E1005,I_Item!$A$6:$A$255,0)),"KODE BARU")))</f>
        <v/>
      </c>
      <c r="H1005" s="45"/>
      <c r="I1005" s="42"/>
      <c r="J1005" s="11" t="str">
        <f aca="false">IF(H1005="","",H1005*I1005)</f>
        <v/>
      </c>
      <c r="K1005" s="42"/>
      <c r="L1005" s="11" t="str">
        <f aca="false">IF(H1005="","",IF(K1005&lt;&gt;"",K1005,H1005*IFERROR(INDEX(O_Stok!$Q$6:$Q$85,MATCH(G1005,O_Stok!$A$6:$A$85,0)),0)))</f>
        <v/>
      </c>
      <c r="M1005" s="11" t="str">
        <f aca="false">IF(H1005="","",J1005-L1005)</f>
        <v/>
      </c>
      <c r="N1005" s="34" t="str">
        <f aca="false">IF(G1005="","",IFERROR(INDEX(I_Master!$B$6:$B$85,MATCH(G1005,I_Master!$A$6:$A$85,0)),"?"))</f>
        <v/>
      </c>
      <c r="O1005" s="34" t="str">
        <f aca="false">IF(G1005="","",IFERROR(INDEX(I_Master!$E$6:$E$85,MATCH(G1005,I_Master!$A$6:$A$85,0)),"?"))</f>
        <v/>
      </c>
      <c r="P1005" s="46" t="str">
        <f aca="false">IF(H1005="","",IF(OR(A1005&lt;I_Parameter!$C$5,A1005&gt;I_Parameter!$C$6),0,IF(B1005="Aktual",1,IF(AND(B1005="Order",A1005&gt;=I_Parameter!$C$4),1,0))))</f>
        <v/>
      </c>
    </row>
    <row r="1006" customFormat="false" ht="15" hidden="false" customHeight="false" outlineLevel="0" collapsed="false">
      <c r="A1006" s="37"/>
      <c r="B1006" s="44"/>
      <c r="C1006" s="44"/>
      <c r="D1006" s="44"/>
      <c r="E1006" s="44"/>
      <c r="F1006" s="44"/>
      <c r="G1006" s="34" t="str">
        <f aca="false">IF(F1006&lt;&gt;"",F1006,IF(E1006="","",IFERROR(INDEX(I_Item!$C$6:$C$255,MATCH(E1006,I_Item!$A$6:$A$255,0)),"KODE BARU")))</f>
        <v/>
      </c>
      <c r="H1006" s="45"/>
      <c r="I1006" s="42"/>
      <c r="J1006" s="11" t="str">
        <f aca="false">IF(H1006="","",H1006*I1006)</f>
        <v/>
      </c>
      <c r="K1006" s="42"/>
      <c r="L1006" s="11" t="str">
        <f aca="false">IF(H1006="","",IF(K1006&lt;&gt;"",K1006,H1006*IFERROR(INDEX(O_Stok!$Q$6:$Q$85,MATCH(G1006,O_Stok!$A$6:$A$85,0)),0)))</f>
        <v/>
      </c>
      <c r="M1006" s="11" t="str">
        <f aca="false">IF(H1006="","",J1006-L1006)</f>
        <v/>
      </c>
      <c r="N1006" s="34" t="str">
        <f aca="false">IF(G1006="","",IFERROR(INDEX(I_Master!$B$6:$B$85,MATCH(G1006,I_Master!$A$6:$A$85,0)),"?"))</f>
        <v/>
      </c>
      <c r="O1006" s="34" t="str">
        <f aca="false">IF(G1006="","",IFERROR(INDEX(I_Master!$E$6:$E$85,MATCH(G1006,I_Master!$A$6:$A$85,0)),"?"))</f>
        <v/>
      </c>
      <c r="P1006" s="46" t="str">
        <f aca="false">IF(H1006="","",IF(OR(A1006&lt;I_Parameter!$C$5,A1006&gt;I_Parameter!$C$6),0,IF(B1006="Aktual",1,IF(AND(B1006="Order",A1006&gt;=I_Parameter!$C$4),1,0))))</f>
        <v/>
      </c>
    </row>
    <row r="1007" customFormat="false" ht="15" hidden="false" customHeight="false" outlineLevel="0" collapsed="false">
      <c r="A1007" s="37"/>
      <c r="B1007" s="44"/>
      <c r="C1007" s="44"/>
      <c r="D1007" s="44"/>
      <c r="E1007" s="44"/>
      <c r="F1007" s="44"/>
      <c r="G1007" s="34" t="str">
        <f aca="false">IF(F1007&lt;&gt;"",F1007,IF(E1007="","",IFERROR(INDEX(I_Item!$C$6:$C$255,MATCH(E1007,I_Item!$A$6:$A$255,0)),"KODE BARU")))</f>
        <v/>
      </c>
      <c r="H1007" s="45"/>
      <c r="I1007" s="42"/>
      <c r="J1007" s="11" t="str">
        <f aca="false">IF(H1007="","",H1007*I1007)</f>
        <v/>
      </c>
      <c r="K1007" s="42"/>
      <c r="L1007" s="11" t="str">
        <f aca="false">IF(H1007="","",IF(K1007&lt;&gt;"",K1007,H1007*IFERROR(INDEX(O_Stok!$Q$6:$Q$85,MATCH(G1007,O_Stok!$A$6:$A$85,0)),0)))</f>
        <v/>
      </c>
      <c r="M1007" s="11" t="str">
        <f aca="false">IF(H1007="","",J1007-L1007)</f>
        <v/>
      </c>
      <c r="N1007" s="34" t="str">
        <f aca="false">IF(G1007="","",IFERROR(INDEX(I_Master!$B$6:$B$85,MATCH(G1007,I_Master!$A$6:$A$85,0)),"?"))</f>
        <v/>
      </c>
      <c r="O1007" s="34" t="str">
        <f aca="false">IF(G1007="","",IFERROR(INDEX(I_Master!$E$6:$E$85,MATCH(G1007,I_Master!$A$6:$A$85,0)),"?"))</f>
        <v/>
      </c>
      <c r="P1007" s="46" t="str">
        <f aca="false">IF(H1007="","",IF(OR(A1007&lt;I_Parameter!$C$5,A1007&gt;I_Parameter!$C$6),0,IF(B1007="Aktual",1,IF(AND(B1007="Order",A1007&gt;=I_Parameter!$C$4),1,0))))</f>
        <v/>
      </c>
    </row>
    <row r="1008" customFormat="false" ht="15" hidden="false" customHeight="false" outlineLevel="0" collapsed="false">
      <c r="A1008" s="37"/>
      <c r="B1008" s="44"/>
      <c r="C1008" s="44"/>
      <c r="D1008" s="44"/>
      <c r="E1008" s="44"/>
      <c r="F1008" s="44"/>
      <c r="G1008" s="34" t="str">
        <f aca="false">IF(F1008&lt;&gt;"",F1008,IF(E1008="","",IFERROR(INDEX(I_Item!$C$6:$C$255,MATCH(E1008,I_Item!$A$6:$A$255,0)),"KODE BARU")))</f>
        <v/>
      </c>
      <c r="H1008" s="45"/>
      <c r="I1008" s="42"/>
      <c r="J1008" s="11" t="str">
        <f aca="false">IF(H1008="","",H1008*I1008)</f>
        <v/>
      </c>
      <c r="K1008" s="42"/>
      <c r="L1008" s="11" t="str">
        <f aca="false">IF(H1008="","",IF(K1008&lt;&gt;"",K1008,H1008*IFERROR(INDEX(O_Stok!$Q$6:$Q$85,MATCH(G1008,O_Stok!$A$6:$A$85,0)),0)))</f>
        <v/>
      </c>
      <c r="M1008" s="11" t="str">
        <f aca="false">IF(H1008="","",J1008-L1008)</f>
        <v/>
      </c>
      <c r="N1008" s="34" t="str">
        <f aca="false">IF(G1008="","",IFERROR(INDEX(I_Master!$B$6:$B$85,MATCH(G1008,I_Master!$A$6:$A$85,0)),"?"))</f>
        <v/>
      </c>
      <c r="O1008" s="34" t="str">
        <f aca="false">IF(G1008="","",IFERROR(INDEX(I_Master!$E$6:$E$85,MATCH(G1008,I_Master!$A$6:$A$85,0)),"?"))</f>
        <v/>
      </c>
      <c r="P1008" s="46" t="str">
        <f aca="false">IF(H1008="","",IF(OR(A1008&lt;I_Parameter!$C$5,A1008&gt;I_Parameter!$C$6),0,IF(B1008="Aktual",1,IF(AND(B1008="Order",A1008&gt;=I_Parameter!$C$4),1,0))))</f>
        <v/>
      </c>
    </row>
    <row r="1009" customFormat="false" ht="15" hidden="false" customHeight="false" outlineLevel="0" collapsed="false">
      <c r="A1009" s="37"/>
      <c r="B1009" s="44"/>
      <c r="C1009" s="44"/>
      <c r="D1009" s="44"/>
      <c r="E1009" s="44"/>
      <c r="F1009" s="44"/>
      <c r="G1009" s="34" t="str">
        <f aca="false">IF(F1009&lt;&gt;"",F1009,IF(E1009="","",IFERROR(INDEX(I_Item!$C$6:$C$255,MATCH(E1009,I_Item!$A$6:$A$255,0)),"KODE BARU")))</f>
        <v/>
      </c>
      <c r="H1009" s="45"/>
      <c r="I1009" s="42"/>
      <c r="J1009" s="11" t="str">
        <f aca="false">IF(H1009="","",H1009*I1009)</f>
        <v/>
      </c>
      <c r="K1009" s="42"/>
      <c r="L1009" s="11" t="str">
        <f aca="false">IF(H1009="","",IF(K1009&lt;&gt;"",K1009,H1009*IFERROR(INDEX(O_Stok!$Q$6:$Q$85,MATCH(G1009,O_Stok!$A$6:$A$85,0)),0)))</f>
        <v/>
      </c>
      <c r="M1009" s="11" t="str">
        <f aca="false">IF(H1009="","",J1009-L1009)</f>
        <v/>
      </c>
      <c r="N1009" s="34" t="str">
        <f aca="false">IF(G1009="","",IFERROR(INDEX(I_Master!$B$6:$B$85,MATCH(G1009,I_Master!$A$6:$A$85,0)),"?"))</f>
        <v/>
      </c>
      <c r="O1009" s="34" t="str">
        <f aca="false">IF(G1009="","",IFERROR(INDEX(I_Master!$E$6:$E$85,MATCH(G1009,I_Master!$A$6:$A$85,0)),"?"))</f>
        <v/>
      </c>
      <c r="P1009" s="46" t="str">
        <f aca="false">IF(H1009="","",IF(OR(A1009&lt;I_Parameter!$C$5,A1009&gt;I_Parameter!$C$6),0,IF(B1009="Aktual",1,IF(AND(B1009="Order",A1009&gt;=I_Parameter!$C$4),1,0))))</f>
        <v/>
      </c>
    </row>
    <row r="1010" customFormat="false" ht="15" hidden="false" customHeight="false" outlineLevel="0" collapsed="false">
      <c r="A1010" s="37"/>
      <c r="B1010" s="44"/>
      <c r="C1010" s="44"/>
      <c r="D1010" s="44"/>
      <c r="E1010" s="44"/>
      <c r="F1010" s="44"/>
      <c r="G1010" s="34" t="str">
        <f aca="false">IF(F1010&lt;&gt;"",F1010,IF(E1010="","",IFERROR(INDEX(I_Item!$C$6:$C$255,MATCH(E1010,I_Item!$A$6:$A$255,0)),"KODE BARU")))</f>
        <v/>
      </c>
      <c r="H1010" s="45"/>
      <c r="I1010" s="42"/>
      <c r="J1010" s="11" t="str">
        <f aca="false">IF(H1010="","",H1010*I1010)</f>
        <v/>
      </c>
      <c r="K1010" s="42"/>
      <c r="L1010" s="11" t="str">
        <f aca="false">IF(H1010="","",IF(K1010&lt;&gt;"",K1010,H1010*IFERROR(INDEX(O_Stok!$Q$6:$Q$85,MATCH(G1010,O_Stok!$A$6:$A$85,0)),0)))</f>
        <v/>
      </c>
      <c r="M1010" s="11" t="str">
        <f aca="false">IF(H1010="","",J1010-L1010)</f>
        <v/>
      </c>
      <c r="N1010" s="34" t="str">
        <f aca="false">IF(G1010="","",IFERROR(INDEX(I_Master!$B$6:$B$85,MATCH(G1010,I_Master!$A$6:$A$85,0)),"?"))</f>
        <v/>
      </c>
      <c r="O1010" s="34" t="str">
        <f aca="false">IF(G1010="","",IFERROR(INDEX(I_Master!$E$6:$E$85,MATCH(G1010,I_Master!$A$6:$A$85,0)),"?"))</f>
        <v/>
      </c>
      <c r="P1010" s="46" t="str">
        <f aca="false">IF(H1010="","",IF(OR(A1010&lt;I_Parameter!$C$5,A1010&gt;I_Parameter!$C$6),0,IF(B1010="Aktual",1,IF(AND(B1010="Order",A1010&gt;=I_Parameter!$C$4),1,0))))</f>
        <v/>
      </c>
    </row>
    <row r="1011" customFormat="false" ht="15" hidden="false" customHeight="false" outlineLevel="0" collapsed="false">
      <c r="A1011" s="37"/>
      <c r="B1011" s="44"/>
      <c r="C1011" s="44"/>
      <c r="D1011" s="44"/>
      <c r="E1011" s="44"/>
      <c r="F1011" s="44"/>
      <c r="G1011" s="34" t="str">
        <f aca="false">IF(F1011&lt;&gt;"",F1011,IF(E1011="","",IFERROR(INDEX(I_Item!$C$6:$C$255,MATCH(E1011,I_Item!$A$6:$A$255,0)),"KODE BARU")))</f>
        <v/>
      </c>
      <c r="H1011" s="45"/>
      <c r="I1011" s="42"/>
      <c r="J1011" s="11" t="str">
        <f aca="false">IF(H1011="","",H1011*I1011)</f>
        <v/>
      </c>
      <c r="K1011" s="42"/>
      <c r="L1011" s="11" t="str">
        <f aca="false">IF(H1011="","",IF(K1011&lt;&gt;"",K1011,H1011*IFERROR(INDEX(O_Stok!$Q$6:$Q$85,MATCH(G1011,O_Stok!$A$6:$A$85,0)),0)))</f>
        <v/>
      </c>
      <c r="M1011" s="11" t="str">
        <f aca="false">IF(H1011="","",J1011-L1011)</f>
        <v/>
      </c>
      <c r="N1011" s="34" t="str">
        <f aca="false">IF(G1011="","",IFERROR(INDEX(I_Master!$B$6:$B$85,MATCH(G1011,I_Master!$A$6:$A$85,0)),"?"))</f>
        <v/>
      </c>
      <c r="O1011" s="34" t="str">
        <f aca="false">IF(G1011="","",IFERROR(INDEX(I_Master!$E$6:$E$85,MATCH(G1011,I_Master!$A$6:$A$85,0)),"?"))</f>
        <v/>
      </c>
      <c r="P1011" s="46" t="str">
        <f aca="false">IF(H1011="","",IF(OR(A1011&lt;I_Parameter!$C$5,A1011&gt;I_Parameter!$C$6),0,IF(B1011="Aktual",1,IF(AND(B1011="Order",A1011&gt;=I_Parameter!$C$4),1,0))))</f>
        <v/>
      </c>
    </row>
    <row r="1012" customFormat="false" ht="15" hidden="false" customHeight="false" outlineLevel="0" collapsed="false">
      <c r="A1012" s="37"/>
      <c r="B1012" s="44"/>
      <c r="C1012" s="44"/>
      <c r="D1012" s="44"/>
      <c r="E1012" s="44"/>
      <c r="F1012" s="44"/>
      <c r="G1012" s="34" t="str">
        <f aca="false">IF(F1012&lt;&gt;"",F1012,IF(E1012="","",IFERROR(INDEX(I_Item!$C$6:$C$255,MATCH(E1012,I_Item!$A$6:$A$255,0)),"KODE BARU")))</f>
        <v/>
      </c>
      <c r="H1012" s="45"/>
      <c r="I1012" s="42"/>
      <c r="J1012" s="11" t="str">
        <f aca="false">IF(H1012="","",H1012*I1012)</f>
        <v/>
      </c>
      <c r="K1012" s="42"/>
      <c r="L1012" s="11" t="str">
        <f aca="false">IF(H1012="","",IF(K1012&lt;&gt;"",K1012,H1012*IFERROR(INDEX(O_Stok!$Q$6:$Q$85,MATCH(G1012,O_Stok!$A$6:$A$85,0)),0)))</f>
        <v/>
      </c>
      <c r="M1012" s="11" t="str">
        <f aca="false">IF(H1012="","",J1012-L1012)</f>
        <v/>
      </c>
      <c r="N1012" s="34" t="str">
        <f aca="false">IF(G1012="","",IFERROR(INDEX(I_Master!$B$6:$B$85,MATCH(G1012,I_Master!$A$6:$A$85,0)),"?"))</f>
        <v/>
      </c>
      <c r="O1012" s="34" t="str">
        <f aca="false">IF(G1012="","",IFERROR(INDEX(I_Master!$E$6:$E$85,MATCH(G1012,I_Master!$A$6:$A$85,0)),"?"))</f>
        <v/>
      </c>
      <c r="P1012" s="46" t="str">
        <f aca="false">IF(H1012="","",IF(OR(A1012&lt;I_Parameter!$C$5,A1012&gt;I_Parameter!$C$6),0,IF(B1012="Aktual",1,IF(AND(B1012="Order",A1012&gt;=I_Parameter!$C$4),1,0))))</f>
        <v/>
      </c>
    </row>
    <row r="1013" customFormat="false" ht="15" hidden="false" customHeight="false" outlineLevel="0" collapsed="false">
      <c r="A1013" s="37"/>
      <c r="B1013" s="44"/>
      <c r="C1013" s="44"/>
      <c r="D1013" s="44"/>
      <c r="E1013" s="44"/>
      <c r="F1013" s="44"/>
      <c r="G1013" s="34" t="str">
        <f aca="false">IF(F1013&lt;&gt;"",F1013,IF(E1013="","",IFERROR(INDEX(I_Item!$C$6:$C$255,MATCH(E1013,I_Item!$A$6:$A$255,0)),"KODE BARU")))</f>
        <v/>
      </c>
      <c r="H1013" s="45"/>
      <c r="I1013" s="42"/>
      <c r="J1013" s="11" t="str">
        <f aca="false">IF(H1013="","",H1013*I1013)</f>
        <v/>
      </c>
      <c r="K1013" s="42"/>
      <c r="L1013" s="11" t="str">
        <f aca="false">IF(H1013="","",IF(K1013&lt;&gt;"",K1013,H1013*IFERROR(INDEX(O_Stok!$Q$6:$Q$85,MATCH(G1013,O_Stok!$A$6:$A$85,0)),0)))</f>
        <v/>
      </c>
      <c r="M1013" s="11" t="str">
        <f aca="false">IF(H1013="","",J1013-L1013)</f>
        <v/>
      </c>
      <c r="N1013" s="34" t="str">
        <f aca="false">IF(G1013="","",IFERROR(INDEX(I_Master!$B$6:$B$85,MATCH(G1013,I_Master!$A$6:$A$85,0)),"?"))</f>
        <v/>
      </c>
      <c r="O1013" s="34" t="str">
        <f aca="false">IF(G1013="","",IFERROR(INDEX(I_Master!$E$6:$E$85,MATCH(G1013,I_Master!$A$6:$A$85,0)),"?"))</f>
        <v/>
      </c>
      <c r="P1013" s="46" t="str">
        <f aca="false">IF(H1013="","",IF(OR(A1013&lt;I_Parameter!$C$5,A1013&gt;I_Parameter!$C$6),0,IF(B1013="Aktual",1,IF(AND(B1013="Order",A1013&gt;=I_Parameter!$C$4),1,0))))</f>
        <v/>
      </c>
    </row>
    <row r="1014" customFormat="false" ht="15" hidden="false" customHeight="false" outlineLevel="0" collapsed="false">
      <c r="A1014" s="37"/>
      <c r="B1014" s="44"/>
      <c r="C1014" s="44"/>
      <c r="D1014" s="44"/>
      <c r="E1014" s="44"/>
      <c r="F1014" s="44"/>
      <c r="G1014" s="34" t="str">
        <f aca="false">IF(F1014&lt;&gt;"",F1014,IF(E1014="","",IFERROR(INDEX(I_Item!$C$6:$C$255,MATCH(E1014,I_Item!$A$6:$A$255,0)),"KODE BARU")))</f>
        <v/>
      </c>
      <c r="H1014" s="45"/>
      <c r="I1014" s="42"/>
      <c r="J1014" s="11" t="str">
        <f aca="false">IF(H1014="","",H1014*I1014)</f>
        <v/>
      </c>
      <c r="K1014" s="42"/>
      <c r="L1014" s="11" t="str">
        <f aca="false">IF(H1014="","",IF(K1014&lt;&gt;"",K1014,H1014*IFERROR(INDEX(O_Stok!$Q$6:$Q$85,MATCH(G1014,O_Stok!$A$6:$A$85,0)),0)))</f>
        <v/>
      </c>
      <c r="M1014" s="11" t="str">
        <f aca="false">IF(H1014="","",J1014-L1014)</f>
        <v/>
      </c>
      <c r="N1014" s="34" t="str">
        <f aca="false">IF(G1014="","",IFERROR(INDEX(I_Master!$B$6:$B$85,MATCH(G1014,I_Master!$A$6:$A$85,0)),"?"))</f>
        <v/>
      </c>
      <c r="O1014" s="34" t="str">
        <f aca="false">IF(G1014="","",IFERROR(INDEX(I_Master!$E$6:$E$85,MATCH(G1014,I_Master!$A$6:$A$85,0)),"?"))</f>
        <v/>
      </c>
      <c r="P1014" s="46" t="str">
        <f aca="false">IF(H1014="","",IF(OR(A1014&lt;I_Parameter!$C$5,A1014&gt;I_Parameter!$C$6),0,IF(B1014="Aktual",1,IF(AND(B1014="Order",A1014&gt;=I_Parameter!$C$4),1,0))))</f>
        <v/>
      </c>
    </row>
    <row r="1015" customFormat="false" ht="15" hidden="false" customHeight="false" outlineLevel="0" collapsed="false">
      <c r="A1015" s="37"/>
      <c r="B1015" s="44"/>
      <c r="C1015" s="44"/>
      <c r="D1015" s="44"/>
      <c r="E1015" s="44"/>
      <c r="F1015" s="44"/>
      <c r="G1015" s="34" t="str">
        <f aca="false">IF(F1015&lt;&gt;"",F1015,IF(E1015="","",IFERROR(INDEX(I_Item!$C$6:$C$255,MATCH(E1015,I_Item!$A$6:$A$255,0)),"KODE BARU")))</f>
        <v/>
      </c>
      <c r="H1015" s="45"/>
      <c r="I1015" s="42"/>
      <c r="J1015" s="11" t="str">
        <f aca="false">IF(H1015="","",H1015*I1015)</f>
        <v/>
      </c>
      <c r="K1015" s="42"/>
      <c r="L1015" s="11" t="str">
        <f aca="false">IF(H1015="","",IF(K1015&lt;&gt;"",K1015,H1015*IFERROR(INDEX(O_Stok!$Q$6:$Q$85,MATCH(G1015,O_Stok!$A$6:$A$85,0)),0)))</f>
        <v/>
      </c>
      <c r="M1015" s="11" t="str">
        <f aca="false">IF(H1015="","",J1015-L1015)</f>
        <v/>
      </c>
      <c r="N1015" s="34" t="str">
        <f aca="false">IF(G1015="","",IFERROR(INDEX(I_Master!$B$6:$B$85,MATCH(G1015,I_Master!$A$6:$A$85,0)),"?"))</f>
        <v/>
      </c>
      <c r="O1015" s="34" t="str">
        <f aca="false">IF(G1015="","",IFERROR(INDEX(I_Master!$E$6:$E$85,MATCH(G1015,I_Master!$A$6:$A$85,0)),"?"))</f>
        <v/>
      </c>
      <c r="P1015" s="46" t="str">
        <f aca="false">IF(H1015="","",IF(OR(A1015&lt;I_Parameter!$C$5,A1015&gt;I_Parameter!$C$6),0,IF(B1015="Aktual",1,IF(AND(B1015="Order",A1015&gt;=I_Parameter!$C$4),1,0))))</f>
        <v/>
      </c>
    </row>
    <row r="1016" customFormat="false" ht="15" hidden="false" customHeight="false" outlineLevel="0" collapsed="false">
      <c r="A1016" s="37"/>
      <c r="B1016" s="44"/>
      <c r="C1016" s="44"/>
      <c r="D1016" s="44"/>
      <c r="E1016" s="44"/>
      <c r="F1016" s="44"/>
      <c r="G1016" s="34" t="str">
        <f aca="false">IF(F1016&lt;&gt;"",F1016,IF(E1016="","",IFERROR(INDEX(I_Item!$C$6:$C$255,MATCH(E1016,I_Item!$A$6:$A$255,0)),"KODE BARU")))</f>
        <v/>
      </c>
      <c r="H1016" s="45"/>
      <c r="I1016" s="42"/>
      <c r="J1016" s="11" t="str">
        <f aca="false">IF(H1016="","",H1016*I1016)</f>
        <v/>
      </c>
      <c r="K1016" s="42"/>
      <c r="L1016" s="11" t="str">
        <f aca="false">IF(H1016="","",IF(K1016&lt;&gt;"",K1016,H1016*IFERROR(INDEX(O_Stok!$Q$6:$Q$85,MATCH(G1016,O_Stok!$A$6:$A$85,0)),0)))</f>
        <v/>
      </c>
      <c r="M1016" s="11" t="str">
        <f aca="false">IF(H1016="","",J1016-L1016)</f>
        <v/>
      </c>
      <c r="N1016" s="34" t="str">
        <f aca="false">IF(G1016="","",IFERROR(INDEX(I_Master!$B$6:$B$85,MATCH(G1016,I_Master!$A$6:$A$85,0)),"?"))</f>
        <v/>
      </c>
      <c r="O1016" s="34" t="str">
        <f aca="false">IF(G1016="","",IFERROR(INDEX(I_Master!$E$6:$E$85,MATCH(G1016,I_Master!$A$6:$A$85,0)),"?"))</f>
        <v/>
      </c>
      <c r="P1016" s="46" t="str">
        <f aca="false">IF(H1016="","",IF(OR(A1016&lt;I_Parameter!$C$5,A1016&gt;I_Parameter!$C$6),0,IF(B1016="Aktual",1,IF(AND(B1016="Order",A1016&gt;=I_Parameter!$C$4),1,0))))</f>
        <v/>
      </c>
    </row>
    <row r="1017" customFormat="false" ht="15" hidden="false" customHeight="false" outlineLevel="0" collapsed="false">
      <c r="A1017" s="37"/>
      <c r="B1017" s="44"/>
      <c r="C1017" s="44"/>
      <c r="D1017" s="44"/>
      <c r="E1017" s="44"/>
      <c r="F1017" s="44"/>
      <c r="G1017" s="34" t="str">
        <f aca="false">IF(F1017&lt;&gt;"",F1017,IF(E1017="","",IFERROR(INDEX(I_Item!$C$6:$C$255,MATCH(E1017,I_Item!$A$6:$A$255,0)),"KODE BARU")))</f>
        <v/>
      </c>
      <c r="H1017" s="45"/>
      <c r="I1017" s="42"/>
      <c r="J1017" s="11" t="str">
        <f aca="false">IF(H1017="","",H1017*I1017)</f>
        <v/>
      </c>
      <c r="K1017" s="42"/>
      <c r="L1017" s="11" t="str">
        <f aca="false">IF(H1017="","",IF(K1017&lt;&gt;"",K1017,H1017*IFERROR(INDEX(O_Stok!$Q$6:$Q$85,MATCH(G1017,O_Stok!$A$6:$A$85,0)),0)))</f>
        <v/>
      </c>
      <c r="M1017" s="11" t="str">
        <f aca="false">IF(H1017="","",J1017-L1017)</f>
        <v/>
      </c>
      <c r="N1017" s="34" t="str">
        <f aca="false">IF(G1017="","",IFERROR(INDEX(I_Master!$B$6:$B$85,MATCH(G1017,I_Master!$A$6:$A$85,0)),"?"))</f>
        <v/>
      </c>
      <c r="O1017" s="34" t="str">
        <f aca="false">IF(G1017="","",IFERROR(INDEX(I_Master!$E$6:$E$85,MATCH(G1017,I_Master!$A$6:$A$85,0)),"?"))</f>
        <v/>
      </c>
      <c r="P1017" s="46" t="str">
        <f aca="false">IF(H1017="","",IF(OR(A1017&lt;I_Parameter!$C$5,A1017&gt;I_Parameter!$C$6),0,IF(B1017="Aktual",1,IF(AND(B1017="Order",A1017&gt;=I_Parameter!$C$4),1,0))))</f>
        <v/>
      </c>
    </row>
    <row r="1018" customFormat="false" ht="15" hidden="false" customHeight="false" outlineLevel="0" collapsed="false">
      <c r="A1018" s="37"/>
      <c r="B1018" s="44"/>
      <c r="C1018" s="44"/>
      <c r="D1018" s="44"/>
      <c r="E1018" s="44"/>
      <c r="F1018" s="44"/>
      <c r="G1018" s="34" t="str">
        <f aca="false">IF(F1018&lt;&gt;"",F1018,IF(E1018="","",IFERROR(INDEX(I_Item!$C$6:$C$255,MATCH(E1018,I_Item!$A$6:$A$255,0)),"KODE BARU")))</f>
        <v/>
      </c>
      <c r="H1018" s="45"/>
      <c r="I1018" s="42"/>
      <c r="J1018" s="11" t="str">
        <f aca="false">IF(H1018="","",H1018*I1018)</f>
        <v/>
      </c>
      <c r="K1018" s="42"/>
      <c r="L1018" s="11" t="str">
        <f aca="false">IF(H1018="","",IF(K1018&lt;&gt;"",K1018,H1018*IFERROR(INDEX(O_Stok!$Q$6:$Q$85,MATCH(G1018,O_Stok!$A$6:$A$85,0)),0)))</f>
        <v/>
      </c>
      <c r="M1018" s="11" t="str">
        <f aca="false">IF(H1018="","",J1018-L1018)</f>
        <v/>
      </c>
      <c r="N1018" s="34" t="str">
        <f aca="false">IF(G1018="","",IFERROR(INDEX(I_Master!$B$6:$B$85,MATCH(G1018,I_Master!$A$6:$A$85,0)),"?"))</f>
        <v/>
      </c>
      <c r="O1018" s="34" t="str">
        <f aca="false">IF(G1018="","",IFERROR(INDEX(I_Master!$E$6:$E$85,MATCH(G1018,I_Master!$A$6:$A$85,0)),"?"))</f>
        <v/>
      </c>
      <c r="P1018" s="46" t="str">
        <f aca="false">IF(H1018="","",IF(OR(A1018&lt;I_Parameter!$C$5,A1018&gt;I_Parameter!$C$6),0,IF(B1018="Aktual",1,IF(AND(B1018="Order",A1018&gt;=I_Parameter!$C$4),1,0))))</f>
        <v/>
      </c>
    </row>
    <row r="1019" customFormat="false" ht="15" hidden="false" customHeight="false" outlineLevel="0" collapsed="false">
      <c r="A1019" s="37"/>
      <c r="B1019" s="44"/>
      <c r="C1019" s="44"/>
      <c r="D1019" s="44"/>
      <c r="E1019" s="44"/>
      <c r="F1019" s="44"/>
      <c r="G1019" s="34" t="str">
        <f aca="false">IF(F1019&lt;&gt;"",F1019,IF(E1019="","",IFERROR(INDEX(I_Item!$C$6:$C$255,MATCH(E1019,I_Item!$A$6:$A$255,0)),"KODE BARU")))</f>
        <v/>
      </c>
      <c r="H1019" s="45"/>
      <c r="I1019" s="42"/>
      <c r="J1019" s="11" t="str">
        <f aca="false">IF(H1019="","",H1019*I1019)</f>
        <v/>
      </c>
      <c r="K1019" s="42"/>
      <c r="L1019" s="11" t="str">
        <f aca="false">IF(H1019="","",IF(K1019&lt;&gt;"",K1019,H1019*IFERROR(INDEX(O_Stok!$Q$6:$Q$85,MATCH(G1019,O_Stok!$A$6:$A$85,0)),0)))</f>
        <v/>
      </c>
      <c r="M1019" s="11" t="str">
        <f aca="false">IF(H1019="","",J1019-L1019)</f>
        <v/>
      </c>
      <c r="N1019" s="34" t="str">
        <f aca="false">IF(G1019="","",IFERROR(INDEX(I_Master!$B$6:$B$85,MATCH(G1019,I_Master!$A$6:$A$85,0)),"?"))</f>
        <v/>
      </c>
      <c r="O1019" s="34" t="str">
        <f aca="false">IF(G1019="","",IFERROR(INDEX(I_Master!$E$6:$E$85,MATCH(G1019,I_Master!$A$6:$A$85,0)),"?"))</f>
        <v/>
      </c>
      <c r="P1019" s="46" t="str">
        <f aca="false">IF(H1019="","",IF(OR(A1019&lt;I_Parameter!$C$5,A1019&gt;I_Parameter!$C$6),0,IF(B1019="Aktual",1,IF(AND(B1019="Order",A1019&gt;=I_Parameter!$C$4),1,0))))</f>
        <v/>
      </c>
    </row>
    <row r="1020" customFormat="false" ht="15" hidden="false" customHeight="false" outlineLevel="0" collapsed="false">
      <c r="A1020" s="37"/>
      <c r="B1020" s="44"/>
      <c r="C1020" s="44"/>
      <c r="D1020" s="44"/>
      <c r="E1020" s="44"/>
      <c r="F1020" s="44"/>
      <c r="G1020" s="34" t="str">
        <f aca="false">IF(F1020&lt;&gt;"",F1020,IF(E1020="","",IFERROR(INDEX(I_Item!$C$6:$C$255,MATCH(E1020,I_Item!$A$6:$A$255,0)),"KODE BARU")))</f>
        <v/>
      </c>
      <c r="H1020" s="45"/>
      <c r="I1020" s="42"/>
      <c r="J1020" s="11" t="str">
        <f aca="false">IF(H1020="","",H1020*I1020)</f>
        <v/>
      </c>
      <c r="K1020" s="42"/>
      <c r="L1020" s="11" t="str">
        <f aca="false">IF(H1020="","",IF(K1020&lt;&gt;"",K1020,H1020*IFERROR(INDEX(O_Stok!$Q$6:$Q$85,MATCH(G1020,O_Stok!$A$6:$A$85,0)),0)))</f>
        <v/>
      </c>
      <c r="M1020" s="11" t="str">
        <f aca="false">IF(H1020="","",J1020-L1020)</f>
        <v/>
      </c>
      <c r="N1020" s="34" t="str">
        <f aca="false">IF(G1020="","",IFERROR(INDEX(I_Master!$B$6:$B$85,MATCH(G1020,I_Master!$A$6:$A$85,0)),"?"))</f>
        <v/>
      </c>
      <c r="O1020" s="34" t="str">
        <f aca="false">IF(G1020="","",IFERROR(INDEX(I_Master!$E$6:$E$85,MATCH(G1020,I_Master!$A$6:$A$85,0)),"?"))</f>
        <v/>
      </c>
      <c r="P1020" s="46" t="str">
        <f aca="false">IF(H1020="","",IF(OR(A1020&lt;I_Parameter!$C$5,A1020&gt;I_Parameter!$C$6),0,IF(B1020="Aktual",1,IF(AND(B1020="Order",A1020&gt;=I_Parameter!$C$4),1,0))))</f>
        <v/>
      </c>
    </row>
    <row r="1021" customFormat="false" ht="15" hidden="false" customHeight="false" outlineLevel="0" collapsed="false">
      <c r="A1021" s="37"/>
      <c r="B1021" s="44"/>
      <c r="C1021" s="44"/>
      <c r="D1021" s="44"/>
      <c r="E1021" s="44"/>
      <c r="F1021" s="44"/>
      <c r="G1021" s="34" t="str">
        <f aca="false">IF(F1021&lt;&gt;"",F1021,IF(E1021="","",IFERROR(INDEX(I_Item!$C$6:$C$255,MATCH(E1021,I_Item!$A$6:$A$255,0)),"KODE BARU")))</f>
        <v/>
      </c>
      <c r="H1021" s="45"/>
      <c r="I1021" s="42"/>
      <c r="J1021" s="11" t="str">
        <f aca="false">IF(H1021="","",H1021*I1021)</f>
        <v/>
      </c>
      <c r="K1021" s="42"/>
      <c r="L1021" s="11" t="str">
        <f aca="false">IF(H1021="","",IF(K1021&lt;&gt;"",K1021,H1021*IFERROR(INDEX(O_Stok!$Q$6:$Q$85,MATCH(G1021,O_Stok!$A$6:$A$85,0)),0)))</f>
        <v/>
      </c>
      <c r="M1021" s="11" t="str">
        <f aca="false">IF(H1021="","",J1021-L1021)</f>
        <v/>
      </c>
      <c r="N1021" s="34" t="str">
        <f aca="false">IF(G1021="","",IFERROR(INDEX(I_Master!$B$6:$B$85,MATCH(G1021,I_Master!$A$6:$A$85,0)),"?"))</f>
        <v/>
      </c>
      <c r="O1021" s="34" t="str">
        <f aca="false">IF(G1021="","",IFERROR(INDEX(I_Master!$E$6:$E$85,MATCH(G1021,I_Master!$A$6:$A$85,0)),"?"))</f>
        <v/>
      </c>
      <c r="P1021" s="46" t="str">
        <f aca="false">IF(H1021="","",IF(OR(A1021&lt;I_Parameter!$C$5,A1021&gt;I_Parameter!$C$6),0,IF(B1021="Aktual",1,IF(AND(B1021="Order",A1021&gt;=I_Parameter!$C$4),1,0))))</f>
        <v/>
      </c>
    </row>
    <row r="1022" customFormat="false" ht="15" hidden="false" customHeight="false" outlineLevel="0" collapsed="false">
      <c r="A1022" s="37"/>
      <c r="B1022" s="44"/>
      <c r="C1022" s="44"/>
      <c r="D1022" s="44"/>
      <c r="E1022" s="44"/>
      <c r="F1022" s="44"/>
      <c r="G1022" s="34" t="str">
        <f aca="false">IF(F1022&lt;&gt;"",F1022,IF(E1022="","",IFERROR(INDEX(I_Item!$C$6:$C$255,MATCH(E1022,I_Item!$A$6:$A$255,0)),"KODE BARU")))</f>
        <v/>
      </c>
      <c r="H1022" s="45"/>
      <c r="I1022" s="42"/>
      <c r="J1022" s="11" t="str">
        <f aca="false">IF(H1022="","",H1022*I1022)</f>
        <v/>
      </c>
      <c r="K1022" s="42"/>
      <c r="L1022" s="11" t="str">
        <f aca="false">IF(H1022="","",IF(K1022&lt;&gt;"",K1022,H1022*IFERROR(INDEX(O_Stok!$Q$6:$Q$85,MATCH(G1022,O_Stok!$A$6:$A$85,0)),0)))</f>
        <v/>
      </c>
      <c r="M1022" s="11" t="str">
        <f aca="false">IF(H1022="","",J1022-L1022)</f>
        <v/>
      </c>
      <c r="N1022" s="34" t="str">
        <f aca="false">IF(G1022="","",IFERROR(INDEX(I_Master!$B$6:$B$85,MATCH(G1022,I_Master!$A$6:$A$85,0)),"?"))</f>
        <v/>
      </c>
      <c r="O1022" s="34" t="str">
        <f aca="false">IF(G1022="","",IFERROR(INDEX(I_Master!$E$6:$E$85,MATCH(G1022,I_Master!$A$6:$A$85,0)),"?"))</f>
        <v/>
      </c>
      <c r="P1022" s="46" t="str">
        <f aca="false">IF(H1022="","",IF(OR(A1022&lt;I_Parameter!$C$5,A1022&gt;I_Parameter!$C$6),0,IF(B1022="Aktual",1,IF(AND(B1022="Order",A1022&gt;=I_Parameter!$C$4),1,0))))</f>
        <v/>
      </c>
    </row>
    <row r="1023" customFormat="false" ht="15" hidden="false" customHeight="false" outlineLevel="0" collapsed="false">
      <c r="A1023" s="37"/>
      <c r="B1023" s="44"/>
      <c r="C1023" s="44"/>
      <c r="D1023" s="44"/>
      <c r="E1023" s="44"/>
      <c r="F1023" s="44"/>
      <c r="G1023" s="34" t="str">
        <f aca="false">IF(F1023&lt;&gt;"",F1023,IF(E1023="","",IFERROR(INDEX(I_Item!$C$6:$C$255,MATCH(E1023,I_Item!$A$6:$A$255,0)),"KODE BARU")))</f>
        <v/>
      </c>
      <c r="H1023" s="45"/>
      <c r="I1023" s="42"/>
      <c r="J1023" s="11" t="str">
        <f aca="false">IF(H1023="","",H1023*I1023)</f>
        <v/>
      </c>
      <c r="K1023" s="42"/>
      <c r="L1023" s="11" t="str">
        <f aca="false">IF(H1023="","",IF(K1023&lt;&gt;"",K1023,H1023*IFERROR(INDEX(O_Stok!$Q$6:$Q$85,MATCH(G1023,O_Stok!$A$6:$A$85,0)),0)))</f>
        <v/>
      </c>
      <c r="M1023" s="11" t="str">
        <f aca="false">IF(H1023="","",J1023-L1023)</f>
        <v/>
      </c>
      <c r="N1023" s="34" t="str">
        <f aca="false">IF(G1023="","",IFERROR(INDEX(I_Master!$B$6:$B$85,MATCH(G1023,I_Master!$A$6:$A$85,0)),"?"))</f>
        <v/>
      </c>
      <c r="O1023" s="34" t="str">
        <f aca="false">IF(G1023="","",IFERROR(INDEX(I_Master!$E$6:$E$85,MATCH(G1023,I_Master!$A$6:$A$85,0)),"?"))</f>
        <v/>
      </c>
      <c r="P1023" s="46" t="str">
        <f aca="false">IF(H1023="","",IF(OR(A1023&lt;I_Parameter!$C$5,A1023&gt;I_Parameter!$C$6),0,IF(B1023="Aktual",1,IF(AND(B1023="Order",A1023&gt;=I_Parameter!$C$4),1,0))))</f>
        <v/>
      </c>
    </row>
    <row r="1024" customFormat="false" ht="15" hidden="false" customHeight="false" outlineLevel="0" collapsed="false">
      <c r="A1024" s="37"/>
      <c r="B1024" s="44"/>
      <c r="C1024" s="44"/>
      <c r="D1024" s="44"/>
      <c r="E1024" s="44"/>
      <c r="F1024" s="44"/>
      <c r="G1024" s="34" t="str">
        <f aca="false">IF(F1024&lt;&gt;"",F1024,IF(E1024="","",IFERROR(INDEX(I_Item!$C$6:$C$255,MATCH(E1024,I_Item!$A$6:$A$255,0)),"KODE BARU")))</f>
        <v/>
      </c>
      <c r="H1024" s="45"/>
      <c r="I1024" s="42"/>
      <c r="J1024" s="11" t="str">
        <f aca="false">IF(H1024="","",H1024*I1024)</f>
        <v/>
      </c>
      <c r="K1024" s="42"/>
      <c r="L1024" s="11" t="str">
        <f aca="false">IF(H1024="","",IF(K1024&lt;&gt;"",K1024,H1024*IFERROR(INDEX(O_Stok!$Q$6:$Q$85,MATCH(G1024,O_Stok!$A$6:$A$85,0)),0)))</f>
        <v/>
      </c>
      <c r="M1024" s="11" t="str">
        <f aca="false">IF(H1024="","",J1024-L1024)</f>
        <v/>
      </c>
      <c r="N1024" s="34" t="str">
        <f aca="false">IF(G1024="","",IFERROR(INDEX(I_Master!$B$6:$B$85,MATCH(G1024,I_Master!$A$6:$A$85,0)),"?"))</f>
        <v/>
      </c>
      <c r="O1024" s="34" t="str">
        <f aca="false">IF(G1024="","",IFERROR(INDEX(I_Master!$E$6:$E$85,MATCH(G1024,I_Master!$A$6:$A$85,0)),"?"))</f>
        <v/>
      </c>
      <c r="P1024" s="46" t="str">
        <f aca="false">IF(H1024="","",IF(OR(A1024&lt;I_Parameter!$C$5,A1024&gt;I_Parameter!$C$6),0,IF(B1024="Aktual",1,IF(AND(B1024="Order",A1024&gt;=I_Parameter!$C$4),1,0))))</f>
        <v/>
      </c>
    </row>
    <row r="1025" customFormat="false" ht="15" hidden="false" customHeight="false" outlineLevel="0" collapsed="false">
      <c r="A1025" s="37"/>
      <c r="B1025" s="44"/>
      <c r="C1025" s="44"/>
      <c r="D1025" s="44"/>
      <c r="E1025" s="44"/>
      <c r="F1025" s="44"/>
      <c r="G1025" s="34" t="str">
        <f aca="false">IF(F1025&lt;&gt;"",F1025,IF(E1025="","",IFERROR(INDEX(I_Item!$C$6:$C$255,MATCH(E1025,I_Item!$A$6:$A$255,0)),"KODE BARU")))</f>
        <v/>
      </c>
      <c r="H1025" s="45"/>
      <c r="I1025" s="42"/>
      <c r="J1025" s="11" t="str">
        <f aca="false">IF(H1025="","",H1025*I1025)</f>
        <v/>
      </c>
      <c r="K1025" s="42"/>
      <c r="L1025" s="11" t="str">
        <f aca="false">IF(H1025="","",IF(K1025&lt;&gt;"",K1025,H1025*IFERROR(INDEX(O_Stok!$Q$6:$Q$85,MATCH(G1025,O_Stok!$A$6:$A$85,0)),0)))</f>
        <v/>
      </c>
      <c r="M1025" s="11" t="str">
        <f aca="false">IF(H1025="","",J1025-L1025)</f>
        <v/>
      </c>
      <c r="N1025" s="34" t="str">
        <f aca="false">IF(G1025="","",IFERROR(INDEX(I_Master!$B$6:$B$85,MATCH(G1025,I_Master!$A$6:$A$85,0)),"?"))</f>
        <v/>
      </c>
      <c r="O1025" s="34" t="str">
        <f aca="false">IF(G1025="","",IFERROR(INDEX(I_Master!$E$6:$E$85,MATCH(G1025,I_Master!$A$6:$A$85,0)),"?"))</f>
        <v/>
      </c>
      <c r="P1025" s="46" t="str">
        <f aca="false">IF(H1025="","",IF(OR(A1025&lt;I_Parameter!$C$5,A1025&gt;I_Parameter!$C$6),0,IF(B1025="Aktual",1,IF(AND(B1025="Order",A1025&gt;=I_Parameter!$C$4),1,0))))</f>
        <v/>
      </c>
    </row>
    <row r="1026" customFormat="false" ht="15" hidden="false" customHeight="false" outlineLevel="0" collapsed="false">
      <c r="A1026" s="37"/>
      <c r="B1026" s="44"/>
      <c r="C1026" s="44"/>
      <c r="D1026" s="44"/>
      <c r="E1026" s="44"/>
      <c r="F1026" s="44"/>
      <c r="G1026" s="34" t="str">
        <f aca="false">IF(F1026&lt;&gt;"",F1026,IF(E1026="","",IFERROR(INDEX(I_Item!$C$6:$C$255,MATCH(E1026,I_Item!$A$6:$A$255,0)),"KODE BARU")))</f>
        <v/>
      </c>
      <c r="H1026" s="45"/>
      <c r="I1026" s="42"/>
      <c r="J1026" s="11" t="str">
        <f aca="false">IF(H1026="","",H1026*I1026)</f>
        <v/>
      </c>
      <c r="K1026" s="42"/>
      <c r="L1026" s="11" t="str">
        <f aca="false">IF(H1026="","",IF(K1026&lt;&gt;"",K1026,H1026*IFERROR(INDEX(O_Stok!$Q$6:$Q$85,MATCH(G1026,O_Stok!$A$6:$A$85,0)),0)))</f>
        <v/>
      </c>
      <c r="M1026" s="11" t="str">
        <f aca="false">IF(H1026="","",J1026-L1026)</f>
        <v/>
      </c>
      <c r="N1026" s="34" t="str">
        <f aca="false">IF(G1026="","",IFERROR(INDEX(I_Master!$B$6:$B$85,MATCH(G1026,I_Master!$A$6:$A$85,0)),"?"))</f>
        <v/>
      </c>
      <c r="O1026" s="34" t="str">
        <f aca="false">IF(G1026="","",IFERROR(INDEX(I_Master!$E$6:$E$85,MATCH(G1026,I_Master!$A$6:$A$85,0)),"?"))</f>
        <v/>
      </c>
      <c r="P1026" s="46" t="str">
        <f aca="false">IF(H1026="","",IF(OR(A1026&lt;I_Parameter!$C$5,A1026&gt;I_Parameter!$C$6),0,IF(B1026="Aktual",1,IF(AND(B1026="Order",A1026&gt;=I_Parameter!$C$4),1,0))))</f>
        <v/>
      </c>
    </row>
    <row r="1027" customFormat="false" ht="15" hidden="false" customHeight="false" outlineLevel="0" collapsed="false">
      <c r="A1027" s="37"/>
      <c r="B1027" s="44"/>
      <c r="C1027" s="44"/>
      <c r="D1027" s="44"/>
      <c r="E1027" s="44"/>
      <c r="F1027" s="44"/>
      <c r="G1027" s="34" t="str">
        <f aca="false">IF(F1027&lt;&gt;"",F1027,IF(E1027="","",IFERROR(INDEX(I_Item!$C$6:$C$255,MATCH(E1027,I_Item!$A$6:$A$255,0)),"KODE BARU")))</f>
        <v/>
      </c>
      <c r="H1027" s="45"/>
      <c r="I1027" s="42"/>
      <c r="J1027" s="11" t="str">
        <f aca="false">IF(H1027="","",H1027*I1027)</f>
        <v/>
      </c>
      <c r="K1027" s="42"/>
      <c r="L1027" s="11" t="str">
        <f aca="false">IF(H1027="","",IF(K1027&lt;&gt;"",K1027,H1027*IFERROR(INDEX(O_Stok!$Q$6:$Q$85,MATCH(G1027,O_Stok!$A$6:$A$85,0)),0)))</f>
        <v/>
      </c>
      <c r="M1027" s="11" t="str">
        <f aca="false">IF(H1027="","",J1027-L1027)</f>
        <v/>
      </c>
      <c r="N1027" s="34" t="str">
        <f aca="false">IF(G1027="","",IFERROR(INDEX(I_Master!$B$6:$B$85,MATCH(G1027,I_Master!$A$6:$A$85,0)),"?"))</f>
        <v/>
      </c>
      <c r="O1027" s="34" t="str">
        <f aca="false">IF(G1027="","",IFERROR(INDEX(I_Master!$E$6:$E$85,MATCH(G1027,I_Master!$A$6:$A$85,0)),"?"))</f>
        <v/>
      </c>
      <c r="P1027" s="46" t="str">
        <f aca="false">IF(H1027="","",IF(OR(A1027&lt;I_Parameter!$C$5,A1027&gt;I_Parameter!$C$6),0,IF(B1027="Aktual",1,IF(AND(B1027="Order",A1027&gt;=I_Parameter!$C$4),1,0))))</f>
        <v/>
      </c>
    </row>
    <row r="1028" customFormat="false" ht="15" hidden="false" customHeight="false" outlineLevel="0" collapsed="false">
      <c r="A1028" s="37"/>
      <c r="B1028" s="44"/>
      <c r="C1028" s="44"/>
      <c r="D1028" s="44"/>
      <c r="E1028" s="44"/>
      <c r="F1028" s="44"/>
      <c r="G1028" s="34" t="str">
        <f aca="false">IF(F1028&lt;&gt;"",F1028,IF(E1028="","",IFERROR(INDEX(I_Item!$C$6:$C$255,MATCH(E1028,I_Item!$A$6:$A$255,0)),"KODE BARU")))</f>
        <v/>
      </c>
      <c r="H1028" s="45"/>
      <c r="I1028" s="42"/>
      <c r="J1028" s="11" t="str">
        <f aca="false">IF(H1028="","",H1028*I1028)</f>
        <v/>
      </c>
      <c r="K1028" s="42"/>
      <c r="L1028" s="11" t="str">
        <f aca="false">IF(H1028="","",IF(K1028&lt;&gt;"",K1028,H1028*IFERROR(INDEX(O_Stok!$Q$6:$Q$85,MATCH(G1028,O_Stok!$A$6:$A$85,0)),0)))</f>
        <v/>
      </c>
      <c r="M1028" s="11" t="str">
        <f aca="false">IF(H1028="","",J1028-L1028)</f>
        <v/>
      </c>
      <c r="N1028" s="34" t="str">
        <f aca="false">IF(G1028="","",IFERROR(INDEX(I_Master!$B$6:$B$85,MATCH(G1028,I_Master!$A$6:$A$85,0)),"?"))</f>
        <v/>
      </c>
      <c r="O1028" s="34" t="str">
        <f aca="false">IF(G1028="","",IFERROR(INDEX(I_Master!$E$6:$E$85,MATCH(G1028,I_Master!$A$6:$A$85,0)),"?"))</f>
        <v/>
      </c>
      <c r="P1028" s="46" t="str">
        <f aca="false">IF(H1028="","",IF(OR(A1028&lt;I_Parameter!$C$5,A1028&gt;I_Parameter!$C$6),0,IF(B1028="Aktual",1,IF(AND(B1028="Order",A1028&gt;=I_Parameter!$C$4),1,0))))</f>
        <v/>
      </c>
    </row>
    <row r="1029" customFormat="false" ht="15" hidden="false" customHeight="false" outlineLevel="0" collapsed="false">
      <c r="A1029" s="37"/>
      <c r="B1029" s="44"/>
      <c r="C1029" s="44"/>
      <c r="D1029" s="44"/>
      <c r="E1029" s="44"/>
      <c r="F1029" s="44"/>
      <c r="G1029" s="34" t="str">
        <f aca="false">IF(F1029&lt;&gt;"",F1029,IF(E1029="","",IFERROR(INDEX(I_Item!$C$6:$C$255,MATCH(E1029,I_Item!$A$6:$A$255,0)),"KODE BARU")))</f>
        <v/>
      </c>
      <c r="H1029" s="45"/>
      <c r="I1029" s="42"/>
      <c r="J1029" s="11" t="str">
        <f aca="false">IF(H1029="","",H1029*I1029)</f>
        <v/>
      </c>
      <c r="K1029" s="42"/>
      <c r="L1029" s="11" t="str">
        <f aca="false">IF(H1029="","",IF(K1029&lt;&gt;"",K1029,H1029*IFERROR(INDEX(O_Stok!$Q$6:$Q$85,MATCH(G1029,O_Stok!$A$6:$A$85,0)),0)))</f>
        <v/>
      </c>
      <c r="M1029" s="11" t="str">
        <f aca="false">IF(H1029="","",J1029-L1029)</f>
        <v/>
      </c>
      <c r="N1029" s="34" t="str">
        <f aca="false">IF(G1029="","",IFERROR(INDEX(I_Master!$B$6:$B$85,MATCH(G1029,I_Master!$A$6:$A$85,0)),"?"))</f>
        <v/>
      </c>
      <c r="O1029" s="34" t="str">
        <f aca="false">IF(G1029="","",IFERROR(INDEX(I_Master!$E$6:$E$85,MATCH(G1029,I_Master!$A$6:$A$85,0)),"?"))</f>
        <v/>
      </c>
      <c r="P1029" s="46" t="str">
        <f aca="false">IF(H1029="","",IF(OR(A1029&lt;I_Parameter!$C$5,A1029&gt;I_Parameter!$C$6),0,IF(B1029="Aktual",1,IF(AND(B1029="Order",A1029&gt;=I_Parameter!$C$4),1,0))))</f>
        <v/>
      </c>
    </row>
    <row r="1030" customFormat="false" ht="15" hidden="false" customHeight="false" outlineLevel="0" collapsed="false">
      <c r="A1030" s="37"/>
      <c r="B1030" s="44"/>
      <c r="C1030" s="44"/>
      <c r="D1030" s="44"/>
      <c r="E1030" s="44"/>
      <c r="F1030" s="44"/>
      <c r="G1030" s="34" t="str">
        <f aca="false">IF(F1030&lt;&gt;"",F1030,IF(E1030="","",IFERROR(INDEX(I_Item!$C$6:$C$255,MATCH(E1030,I_Item!$A$6:$A$255,0)),"KODE BARU")))</f>
        <v/>
      </c>
      <c r="H1030" s="45"/>
      <c r="I1030" s="42"/>
      <c r="J1030" s="11" t="str">
        <f aca="false">IF(H1030="","",H1030*I1030)</f>
        <v/>
      </c>
      <c r="K1030" s="42"/>
      <c r="L1030" s="11" t="str">
        <f aca="false">IF(H1030="","",IF(K1030&lt;&gt;"",K1030,H1030*IFERROR(INDEX(O_Stok!$Q$6:$Q$85,MATCH(G1030,O_Stok!$A$6:$A$85,0)),0)))</f>
        <v/>
      </c>
      <c r="M1030" s="11" t="str">
        <f aca="false">IF(H1030="","",J1030-L1030)</f>
        <v/>
      </c>
      <c r="N1030" s="34" t="str">
        <f aca="false">IF(G1030="","",IFERROR(INDEX(I_Master!$B$6:$B$85,MATCH(G1030,I_Master!$A$6:$A$85,0)),"?"))</f>
        <v/>
      </c>
      <c r="O1030" s="34" t="str">
        <f aca="false">IF(G1030="","",IFERROR(INDEX(I_Master!$E$6:$E$85,MATCH(G1030,I_Master!$A$6:$A$85,0)),"?"))</f>
        <v/>
      </c>
      <c r="P1030" s="46" t="str">
        <f aca="false">IF(H1030="","",IF(OR(A1030&lt;I_Parameter!$C$5,A1030&gt;I_Parameter!$C$6),0,IF(B1030="Aktual",1,IF(AND(B1030="Order",A1030&gt;=I_Parameter!$C$4),1,0))))</f>
        <v/>
      </c>
    </row>
    <row r="1031" customFormat="false" ht="15" hidden="false" customHeight="false" outlineLevel="0" collapsed="false">
      <c r="A1031" s="37"/>
      <c r="B1031" s="44"/>
      <c r="C1031" s="44"/>
      <c r="D1031" s="44"/>
      <c r="E1031" s="44"/>
      <c r="F1031" s="44"/>
      <c r="G1031" s="34" t="str">
        <f aca="false">IF(F1031&lt;&gt;"",F1031,IF(E1031="","",IFERROR(INDEX(I_Item!$C$6:$C$255,MATCH(E1031,I_Item!$A$6:$A$255,0)),"KODE BARU")))</f>
        <v/>
      </c>
      <c r="H1031" s="45"/>
      <c r="I1031" s="42"/>
      <c r="J1031" s="11" t="str">
        <f aca="false">IF(H1031="","",H1031*I1031)</f>
        <v/>
      </c>
      <c r="K1031" s="42"/>
      <c r="L1031" s="11" t="str">
        <f aca="false">IF(H1031="","",IF(K1031&lt;&gt;"",K1031,H1031*IFERROR(INDEX(O_Stok!$Q$6:$Q$85,MATCH(G1031,O_Stok!$A$6:$A$85,0)),0)))</f>
        <v/>
      </c>
      <c r="M1031" s="11" t="str">
        <f aca="false">IF(H1031="","",J1031-L1031)</f>
        <v/>
      </c>
      <c r="N1031" s="34" t="str">
        <f aca="false">IF(G1031="","",IFERROR(INDEX(I_Master!$B$6:$B$85,MATCH(G1031,I_Master!$A$6:$A$85,0)),"?"))</f>
        <v/>
      </c>
      <c r="O1031" s="34" t="str">
        <f aca="false">IF(G1031="","",IFERROR(INDEX(I_Master!$E$6:$E$85,MATCH(G1031,I_Master!$A$6:$A$85,0)),"?"))</f>
        <v/>
      </c>
      <c r="P1031" s="46" t="str">
        <f aca="false">IF(H1031="","",IF(OR(A1031&lt;I_Parameter!$C$5,A1031&gt;I_Parameter!$C$6),0,IF(B1031="Aktual",1,IF(AND(B1031="Order",A1031&gt;=I_Parameter!$C$4),1,0))))</f>
        <v/>
      </c>
    </row>
    <row r="1032" customFormat="false" ht="15" hidden="false" customHeight="false" outlineLevel="0" collapsed="false">
      <c r="A1032" s="37"/>
      <c r="B1032" s="44"/>
      <c r="C1032" s="44"/>
      <c r="D1032" s="44"/>
      <c r="E1032" s="44"/>
      <c r="F1032" s="44"/>
      <c r="G1032" s="34" t="str">
        <f aca="false">IF(F1032&lt;&gt;"",F1032,IF(E1032="","",IFERROR(INDEX(I_Item!$C$6:$C$255,MATCH(E1032,I_Item!$A$6:$A$255,0)),"KODE BARU")))</f>
        <v/>
      </c>
      <c r="H1032" s="45"/>
      <c r="I1032" s="42"/>
      <c r="J1032" s="11" t="str">
        <f aca="false">IF(H1032="","",H1032*I1032)</f>
        <v/>
      </c>
      <c r="K1032" s="42"/>
      <c r="L1032" s="11" t="str">
        <f aca="false">IF(H1032="","",IF(K1032&lt;&gt;"",K1032,H1032*IFERROR(INDEX(O_Stok!$Q$6:$Q$85,MATCH(G1032,O_Stok!$A$6:$A$85,0)),0)))</f>
        <v/>
      </c>
      <c r="M1032" s="11" t="str">
        <f aca="false">IF(H1032="","",J1032-L1032)</f>
        <v/>
      </c>
      <c r="N1032" s="34" t="str">
        <f aca="false">IF(G1032="","",IFERROR(INDEX(I_Master!$B$6:$B$85,MATCH(G1032,I_Master!$A$6:$A$85,0)),"?"))</f>
        <v/>
      </c>
      <c r="O1032" s="34" t="str">
        <f aca="false">IF(G1032="","",IFERROR(INDEX(I_Master!$E$6:$E$85,MATCH(G1032,I_Master!$A$6:$A$85,0)),"?"))</f>
        <v/>
      </c>
      <c r="P1032" s="46" t="str">
        <f aca="false">IF(H1032="","",IF(OR(A1032&lt;I_Parameter!$C$5,A1032&gt;I_Parameter!$C$6),0,IF(B1032="Aktual",1,IF(AND(B1032="Order",A1032&gt;=I_Parameter!$C$4),1,0))))</f>
        <v/>
      </c>
    </row>
    <row r="1033" customFormat="false" ht="15" hidden="false" customHeight="false" outlineLevel="0" collapsed="false">
      <c r="A1033" s="37"/>
      <c r="B1033" s="44"/>
      <c r="C1033" s="44"/>
      <c r="D1033" s="44"/>
      <c r="E1033" s="44"/>
      <c r="F1033" s="44"/>
      <c r="G1033" s="34" t="str">
        <f aca="false">IF(F1033&lt;&gt;"",F1033,IF(E1033="","",IFERROR(INDEX(I_Item!$C$6:$C$255,MATCH(E1033,I_Item!$A$6:$A$255,0)),"KODE BARU")))</f>
        <v/>
      </c>
      <c r="H1033" s="45"/>
      <c r="I1033" s="42"/>
      <c r="J1033" s="11" t="str">
        <f aca="false">IF(H1033="","",H1033*I1033)</f>
        <v/>
      </c>
      <c r="K1033" s="42"/>
      <c r="L1033" s="11" t="str">
        <f aca="false">IF(H1033="","",IF(K1033&lt;&gt;"",K1033,H1033*IFERROR(INDEX(O_Stok!$Q$6:$Q$85,MATCH(G1033,O_Stok!$A$6:$A$85,0)),0)))</f>
        <v/>
      </c>
      <c r="M1033" s="11" t="str">
        <f aca="false">IF(H1033="","",J1033-L1033)</f>
        <v/>
      </c>
      <c r="N1033" s="34" t="str">
        <f aca="false">IF(G1033="","",IFERROR(INDEX(I_Master!$B$6:$B$85,MATCH(G1033,I_Master!$A$6:$A$85,0)),"?"))</f>
        <v/>
      </c>
      <c r="O1033" s="34" t="str">
        <f aca="false">IF(G1033="","",IFERROR(INDEX(I_Master!$E$6:$E$85,MATCH(G1033,I_Master!$A$6:$A$85,0)),"?"))</f>
        <v/>
      </c>
      <c r="P1033" s="46" t="str">
        <f aca="false">IF(H1033="","",IF(OR(A1033&lt;I_Parameter!$C$5,A1033&gt;I_Parameter!$C$6),0,IF(B1033="Aktual",1,IF(AND(B1033="Order",A1033&gt;=I_Parameter!$C$4),1,0))))</f>
        <v/>
      </c>
    </row>
    <row r="1034" customFormat="false" ht="15" hidden="false" customHeight="false" outlineLevel="0" collapsed="false">
      <c r="A1034" s="37"/>
      <c r="B1034" s="44"/>
      <c r="C1034" s="44"/>
      <c r="D1034" s="44"/>
      <c r="E1034" s="44"/>
      <c r="F1034" s="44"/>
      <c r="G1034" s="34" t="str">
        <f aca="false">IF(F1034&lt;&gt;"",F1034,IF(E1034="","",IFERROR(INDEX(I_Item!$C$6:$C$255,MATCH(E1034,I_Item!$A$6:$A$255,0)),"KODE BARU")))</f>
        <v/>
      </c>
      <c r="H1034" s="45"/>
      <c r="I1034" s="42"/>
      <c r="J1034" s="11" t="str">
        <f aca="false">IF(H1034="","",H1034*I1034)</f>
        <v/>
      </c>
      <c r="K1034" s="42"/>
      <c r="L1034" s="11" t="str">
        <f aca="false">IF(H1034="","",IF(K1034&lt;&gt;"",K1034,H1034*IFERROR(INDEX(O_Stok!$Q$6:$Q$85,MATCH(G1034,O_Stok!$A$6:$A$85,0)),0)))</f>
        <v/>
      </c>
      <c r="M1034" s="11" t="str">
        <f aca="false">IF(H1034="","",J1034-L1034)</f>
        <v/>
      </c>
      <c r="N1034" s="34" t="str">
        <f aca="false">IF(G1034="","",IFERROR(INDEX(I_Master!$B$6:$B$85,MATCH(G1034,I_Master!$A$6:$A$85,0)),"?"))</f>
        <v/>
      </c>
      <c r="O1034" s="34" t="str">
        <f aca="false">IF(G1034="","",IFERROR(INDEX(I_Master!$E$6:$E$85,MATCH(G1034,I_Master!$A$6:$A$85,0)),"?"))</f>
        <v/>
      </c>
      <c r="P1034" s="46" t="str">
        <f aca="false">IF(H1034="","",IF(OR(A1034&lt;I_Parameter!$C$5,A1034&gt;I_Parameter!$C$6),0,IF(B1034="Aktual",1,IF(AND(B1034="Order",A1034&gt;=I_Parameter!$C$4),1,0))))</f>
        <v/>
      </c>
    </row>
    <row r="1035" customFormat="false" ht="15" hidden="false" customHeight="false" outlineLevel="0" collapsed="false">
      <c r="A1035" s="37"/>
      <c r="B1035" s="44"/>
      <c r="C1035" s="44"/>
      <c r="D1035" s="44"/>
      <c r="E1035" s="44"/>
      <c r="F1035" s="44"/>
      <c r="G1035" s="34" t="str">
        <f aca="false">IF(F1035&lt;&gt;"",F1035,IF(E1035="","",IFERROR(INDEX(I_Item!$C$6:$C$255,MATCH(E1035,I_Item!$A$6:$A$255,0)),"KODE BARU")))</f>
        <v/>
      </c>
      <c r="H1035" s="45"/>
      <c r="I1035" s="42"/>
      <c r="J1035" s="11" t="str">
        <f aca="false">IF(H1035="","",H1035*I1035)</f>
        <v/>
      </c>
      <c r="K1035" s="42"/>
      <c r="L1035" s="11" t="str">
        <f aca="false">IF(H1035="","",IF(K1035&lt;&gt;"",K1035,H1035*IFERROR(INDEX(O_Stok!$Q$6:$Q$85,MATCH(G1035,O_Stok!$A$6:$A$85,0)),0)))</f>
        <v/>
      </c>
      <c r="M1035" s="11" t="str">
        <f aca="false">IF(H1035="","",J1035-L1035)</f>
        <v/>
      </c>
      <c r="N1035" s="34" t="str">
        <f aca="false">IF(G1035="","",IFERROR(INDEX(I_Master!$B$6:$B$85,MATCH(G1035,I_Master!$A$6:$A$85,0)),"?"))</f>
        <v/>
      </c>
      <c r="O1035" s="34" t="str">
        <f aca="false">IF(G1035="","",IFERROR(INDEX(I_Master!$E$6:$E$85,MATCH(G1035,I_Master!$A$6:$A$85,0)),"?"))</f>
        <v/>
      </c>
      <c r="P1035" s="46" t="str">
        <f aca="false">IF(H1035="","",IF(OR(A1035&lt;I_Parameter!$C$5,A1035&gt;I_Parameter!$C$6),0,IF(B1035="Aktual",1,IF(AND(B1035="Order",A1035&gt;=I_Parameter!$C$4),1,0))))</f>
        <v/>
      </c>
    </row>
    <row r="1036" customFormat="false" ht="15" hidden="false" customHeight="false" outlineLevel="0" collapsed="false">
      <c r="A1036" s="37"/>
      <c r="B1036" s="44"/>
      <c r="C1036" s="44"/>
      <c r="D1036" s="44"/>
      <c r="E1036" s="44"/>
      <c r="F1036" s="44"/>
      <c r="G1036" s="34" t="str">
        <f aca="false">IF(F1036&lt;&gt;"",F1036,IF(E1036="","",IFERROR(INDEX(I_Item!$C$6:$C$255,MATCH(E1036,I_Item!$A$6:$A$255,0)),"KODE BARU")))</f>
        <v/>
      </c>
      <c r="H1036" s="45"/>
      <c r="I1036" s="42"/>
      <c r="J1036" s="11" t="str">
        <f aca="false">IF(H1036="","",H1036*I1036)</f>
        <v/>
      </c>
      <c r="K1036" s="42"/>
      <c r="L1036" s="11" t="str">
        <f aca="false">IF(H1036="","",IF(K1036&lt;&gt;"",K1036,H1036*IFERROR(INDEX(O_Stok!$Q$6:$Q$85,MATCH(G1036,O_Stok!$A$6:$A$85,0)),0)))</f>
        <v/>
      </c>
      <c r="M1036" s="11" t="str">
        <f aca="false">IF(H1036="","",J1036-L1036)</f>
        <v/>
      </c>
      <c r="N1036" s="34" t="str">
        <f aca="false">IF(G1036="","",IFERROR(INDEX(I_Master!$B$6:$B$85,MATCH(G1036,I_Master!$A$6:$A$85,0)),"?"))</f>
        <v/>
      </c>
      <c r="O1036" s="34" t="str">
        <f aca="false">IF(G1036="","",IFERROR(INDEX(I_Master!$E$6:$E$85,MATCH(G1036,I_Master!$A$6:$A$85,0)),"?"))</f>
        <v/>
      </c>
      <c r="P1036" s="46" t="str">
        <f aca="false">IF(H1036="","",IF(OR(A1036&lt;I_Parameter!$C$5,A1036&gt;I_Parameter!$C$6),0,IF(B1036="Aktual",1,IF(AND(B1036="Order",A1036&gt;=I_Parameter!$C$4),1,0))))</f>
        <v/>
      </c>
    </row>
    <row r="1037" customFormat="false" ht="15" hidden="false" customHeight="false" outlineLevel="0" collapsed="false">
      <c r="A1037" s="37"/>
      <c r="B1037" s="44"/>
      <c r="C1037" s="44"/>
      <c r="D1037" s="44"/>
      <c r="E1037" s="44"/>
      <c r="F1037" s="44"/>
      <c r="G1037" s="34" t="str">
        <f aca="false">IF(F1037&lt;&gt;"",F1037,IF(E1037="","",IFERROR(INDEX(I_Item!$C$6:$C$255,MATCH(E1037,I_Item!$A$6:$A$255,0)),"KODE BARU")))</f>
        <v/>
      </c>
      <c r="H1037" s="45"/>
      <c r="I1037" s="42"/>
      <c r="J1037" s="11" t="str">
        <f aca="false">IF(H1037="","",H1037*I1037)</f>
        <v/>
      </c>
      <c r="K1037" s="42"/>
      <c r="L1037" s="11" t="str">
        <f aca="false">IF(H1037="","",IF(K1037&lt;&gt;"",K1037,H1037*IFERROR(INDEX(O_Stok!$Q$6:$Q$85,MATCH(G1037,O_Stok!$A$6:$A$85,0)),0)))</f>
        <v/>
      </c>
      <c r="M1037" s="11" t="str">
        <f aca="false">IF(H1037="","",J1037-L1037)</f>
        <v/>
      </c>
      <c r="N1037" s="34" t="str">
        <f aca="false">IF(G1037="","",IFERROR(INDEX(I_Master!$B$6:$B$85,MATCH(G1037,I_Master!$A$6:$A$85,0)),"?"))</f>
        <v/>
      </c>
      <c r="O1037" s="34" t="str">
        <f aca="false">IF(G1037="","",IFERROR(INDEX(I_Master!$E$6:$E$85,MATCH(G1037,I_Master!$A$6:$A$85,0)),"?"))</f>
        <v/>
      </c>
      <c r="P1037" s="46" t="str">
        <f aca="false">IF(H1037="","",IF(OR(A1037&lt;I_Parameter!$C$5,A1037&gt;I_Parameter!$C$6),0,IF(B1037="Aktual",1,IF(AND(B1037="Order",A1037&gt;=I_Parameter!$C$4),1,0))))</f>
        <v/>
      </c>
    </row>
    <row r="1038" customFormat="false" ht="15" hidden="false" customHeight="false" outlineLevel="0" collapsed="false">
      <c r="A1038" s="37"/>
      <c r="B1038" s="44"/>
      <c r="C1038" s="44"/>
      <c r="D1038" s="44"/>
      <c r="E1038" s="44"/>
      <c r="F1038" s="44"/>
      <c r="G1038" s="34" t="str">
        <f aca="false">IF(F1038&lt;&gt;"",F1038,IF(E1038="","",IFERROR(INDEX(I_Item!$C$6:$C$255,MATCH(E1038,I_Item!$A$6:$A$255,0)),"KODE BARU")))</f>
        <v/>
      </c>
      <c r="H1038" s="45"/>
      <c r="I1038" s="42"/>
      <c r="J1038" s="11" t="str">
        <f aca="false">IF(H1038="","",H1038*I1038)</f>
        <v/>
      </c>
      <c r="K1038" s="42"/>
      <c r="L1038" s="11" t="str">
        <f aca="false">IF(H1038="","",IF(K1038&lt;&gt;"",K1038,H1038*IFERROR(INDEX(O_Stok!$Q$6:$Q$85,MATCH(G1038,O_Stok!$A$6:$A$85,0)),0)))</f>
        <v/>
      </c>
      <c r="M1038" s="11" t="str">
        <f aca="false">IF(H1038="","",J1038-L1038)</f>
        <v/>
      </c>
      <c r="N1038" s="34" t="str">
        <f aca="false">IF(G1038="","",IFERROR(INDEX(I_Master!$B$6:$B$85,MATCH(G1038,I_Master!$A$6:$A$85,0)),"?"))</f>
        <v/>
      </c>
      <c r="O1038" s="34" t="str">
        <f aca="false">IF(G1038="","",IFERROR(INDEX(I_Master!$E$6:$E$85,MATCH(G1038,I_Master!$A$6:$A$85,0)),"?"))</f>
        <v/>
      </c>
      <c r="P1038" s="46" t="str">
        <f aca="false">IF(H1038="","",IF(OR(A1038&lt;I_Parameter!$C$5,A1038&gt;I_Parameter!$C$6),0,IF(B1038="Aktual",1,IF(AND(B1038="Order",A1038&gt;=I_Parameter!$C$4),1,0))))</f>
        <v/>
      </c>
    </row>
    <row r="1039" customFormat="false" ht="15" hidden="false" customHeight="false" outlineLevel="0" collapsed="false">
      <c r="A1039" s="37"/>
      <c r="B1039" s="44"/>
      <c r="C1039" s="44"/>
      <c r="D1039" s="44"/>
      <c r="E1039" s="44"/>
      <c r="F1039" s="44"/>
      <c r="G1039" s="34" t="str">
        <f aca="false">IF(F1039&lt;&gt;"",F1039,IF(E1039="","",IFERROR(INDEX(I_Item!$C$6:$C$255,MATCH(E1039,I_Item!$A$6:$A$255,0)),"KODE BARU")))</f>
        <v/>
      </c>
      <c r="H1039" s="45"/>
      <c r="I1039" s="42"/>
      <c r="J1039" s="11" t="str">
        <f aca="false">IF(H1039="","",H1039*I1039)</f>
        <v/>
      </c>
      <c r="K1039" s="42"/>
      <c r="L1039" s="11" t="str">
        <f aca="false">IF(H1039="","",IF(K1039&lt;&gt;"",K1039,H1039*IFERROR(INDEX(O_Stok!$Q$6:$Q$85,MATCH(G1039,O_Stok!$A$6:$A$85,0)),0)))</f>
        <v/>
      </c>
      <c r="M1039" s="11" t="str">
        <f aca="false">IF(H1039="","",J1039-L1039)</f>
        <v/>
      </c>
      <c r="N1039" s="34" t="str">
        <f aca="false">IF(G1039="","",IFERROR(INDEX(I_Master!$B$6:$B$85,MATCH(G1039,I_Master!$A$6:$A$85,0)),"?"))</f>
        <v/>
      </c>
      <c r="O1039" s="34" t="str">
        <f aca="false">IF(G1039="","",IFERROR(INDEX(I_Master!$E$6:$E$85,MATCH(G1039,I_Master!$A$6:$A$85,0)),"?"))</f>
        <v/>
      </c>
      <c r="P1039" s="46" t="str">
        <f aca="false">IF(H1039="","",IF(OR(A1039&lt;I_Parameter!$C$5,A1039&gt;I_Parameter!$C$6),0,IF(B1039="Aktual",1,IF(AND(B1039="Order",A1039&gt;=I_Parameter!$C$4),1,0))))</f>
        <v/>
      </c>
    </row>
    <row r="1040" customFormat="false" ht="15" hidden="false" customHeight="false" outlineLevel="0" collapsed="false">
      <c r="A1040" s="37"/>
      <c r="B1040" s="44"/>
      <c r="C1040" s="44"/>
      <c r="D1040" s="44"/>
      <c r="E1040" s="44"/>
      <c r="F1040" s="44"/>
      <c r="G1040" s="34" t="str">
        <f aca="false">IF(F1040&lt;&gt;"",F1040,IF(E1040="","",IFERROR(INDEX(I_Item!$C$6:$C$255,MATCH(E1040,I_Item!$A$6:$A$255,0)),"KODE BARU")))</f>
        <v/>
      </c>
      <c r="H1040" s="45"/>
      <c r="I1040" s="42"/>
      <c r="J1040" s="11" t="str">
        <f aca="false">IF(H1040="","",H1040*I1040)</f>
        <v/>
      </c>
      <c r="K1040" s="42"/>
      <c r="L1040" s="11" t="str">
        <f aca="false">IF(H1040="","",IF(K1040&lt;&gt;"",K1040,H1040*IFERROR(INDEX(O_Stok!$Q$6:$Q$85,MATCH(G1040,O_Stok!$A$6:$A$85,0)),0)))</f>
        <v/>
      </c>
      <c r="M1040" s="11" t="str">
        <f aca="false">IF(H1040="","",J1040-L1040)</f>
        <v/>
      </c>
      <c r="N1040" s="34" t="str">
        <f aca="false">IF(G1040="","",IFERROR(INDEX(I_Master!$B$6:$B$85,MATCH(G1040,I_Master!$A$6:$A$85,0)),"?"))</f>
        <v/>
      </c>
      <c r="O1040" s="34" t="str">
        <f aca="false">IF(G1040="","",IFERROR(INDEX(I_Master!$E$6:$E$85,MATCH(G1040,I_Master!$A$6:$A$85,0)),"?"))</f>
        <v/>
      </c>
      <c r="P1040" s="46" t="str">
        <f aca="false">IF(H1040="","",IF(OR(A1040&lt;I_Parameter!$C$5,A1040&gt;I_Parameter!$C$6),0,IF(B1040="Aktual",1,IF(AND(B1040="Order",A1040&gt;=I_Parameter!$C$4),1,0))))</f>
        <v/>
      </c>
    </row>
    <row r="1041" customFormat="false" ht="15" hidden="false" customHeight="false" outlineLevel="0" collapsed="false">
      <c r="A1041" s="37"/>
      <c r="B1041" s="44"/>
      <c r="C1041" s="44"/>
      <c r="D1041" s="44"/>
      <c r="E1041" s="44"/>
      <c r="F1041" s="44"/>
      <c r="G1041" s="34" t="str">
        <f aca="false">IF(F1041&lt;&gt;"",F1041,IF(E1041="","",IFERROR(INDEX(I_Item!$C$6:$C$255,MATCH(E1041,I_Item!$A$6:$A$255,0)),"KODE BARU")))</f>
        <v/>
      </c>
      <c r="H1041" s="45"/>
      <c r="I1041" s="42"/>
      <c r="J1041" s="11" t="str">
        <f aca="false">IF(H1041="","",H1041*I1041)</f>
        <v/>
      </c>
      <c r="K1041" s="42"/>
      <c r="L1041" s="11" t="str">
        <f aca="false">IF(H1041="","",IF(K1041&lt;&gt;"",K1041,H1041*IFERROR(INDEX(O_Stok!$Q$6:$Q$85,MATCH(G1041,O_Stok!$A$6:$A$85,0)),0)))</f>
        <v/>
      </c>
      <c r="M1041" s="11" t="str">
        <f aca="false">IF(H1041="","",J1041-L1041)</f>
        <v/>
      </c>
      <c r="N1041" s="34" t="str">
        <f aca="false">IF(G1041="","",IFERROR(INDEX(I_Master!$B$6:$B$85,MATCH(G1041,I_Master!$A$6:$A$85,0)),"?"))</f>
        <v/>
      </c>
      <c r="O1041" s="34" t="str">
        <f aca="false">IF(G1041="","",IFERROR(INDEX(I_Master!$E$6:$E$85,MATCH(G1041,I_Master!$A$6:$A$85,0)),"?"))</f>
        <v/>
      </c>
      <c r="P1041" s="46" t="str">
        <f aca="false">IF(H1041="","",IF(OR(A1041&lt;I_Parameter!$C$5,A1041&gt;I_Parameter!$C$6),0,IF(B1041="Aktual",1,IF(AND(B1041="Order",A1041&gt;=I_Parameter!$C$4),1,0))))</f>
        <v/>
      </c>
    </row>
    <row r="1042" customFormat="false" ht="15" hidden="false" customHeight="false" outlineLevel="0" collapsed="false">
      <c r="A1042" s="37"/>
      <c r="B1042" s="44"/>
      <c r="C1042" s="44"/>
      <c r="D1042" s="44"/>
      <c r="E1042" s="44"/>
      <c r="F1042" s="44"/>
      <c r="G1042" s="34" t="str">
        <f aca="false">IF(F1042&lt;&gt;"",F1042,IF(E1042="","",IFERROR(INDEX(I_Item!$C$6:$C$255,MATCH(E1042,I_Item!$A$6:$A$255,0)),"KODE BARU")))</f>
        <v/>
      </c>
      <c r="H1042" s="45"/>
      <c r="I1042" s="42"/>
      <c r="J1042" s="11" t="str">
        <f aca="false">IF(H1042="","",H1042*I1042)</f>
        <v/>
      </c>
      <c r="K1042" s="42"/>
      <c r="L1042" s="11" t="str">
        <f aca="false">IF(H1042="","",IF(K1042&lt;&gt;"",K1042,H1042*IFERROR(INDEX(O_Stok!$Q$6:$Q$85,MATCH(G1042,O_Stok!$A$6:$A$85,0)),0)))</f>
        <v/>
      </c>
      <c r="M1042" s="11" t="str">
        <f aca="false">IF(H1042="","",J1042-L1042)</f>
        <v/>
      </c>
      <c r="N1042" s="34" t="str">
        <f aca="false">IF(G1042="","",IFERROR(INDEX(I_Master!$B$6:$B$85,MATCH(G1042,I_Master!$A$6:$A$85,0)),"?"))</f>
        <v/>
      </c>
      <c r="O1042" s="34" t="str">
        <f aca="false">IF(G1042="","",IFERROR(INDEX(I_Master!$E$6:$E$85,MATCH(G1042,I_Master!$A$6:$A$85,0)),"?"))</f>
        <v/>
      </c>
      <c r="P1042" s="46" t="str">
        <f aca="false">IF(H1042="","",IF(OR(A1042&lt;I_Parameter!$C$5,A1042&gt;I_Parameter!$C$6),0,IF(B1042="Aktual",1,IF(AND(B1042="Order",A1042&gt;=I_Parameter!$C$4),1,0))))</f>
        <v/>
      </c>
    </row>
    <row r="1043" customFormat="false" ht="15" hidden="false" customHeight="false" outlineLevel="0" collapsed="false">
      <c r="A1043" s="37"/>
      <c r="B1043" s="44"/>
      <c r="C1043" s="44"/>
      <c r="D1043" s="44"/>
      <c r="E1043" s="44"/>
      <c r="F1043" s="44"/>
      <c r="G1043" s="34" t="str">
        <f aca="false">IF(F1043&lt;&gt;"",F1043,IF(E1043="","",IFERROR(INDEX(I_Item!$C$6:$C$255,MATCH(E1043,I_Item!$A$6:$A$255,0)),"KODE BARU")))</f>
        <v/>
      </c>
      <c r="H1043" s="45"/>
      <c r="I1043" s="42"/>
      <c r="J1043" s="11" t="str">
        <f aca="false">IF(H1043="","",H1043*I1043)</f>
        <v/>
      </c>
      <c r="K1043" s="42"/>
      <c r="L1043" s="11" t="str">
        <f aca="false">IF(H1043="","",IF(K1043&lt;&gt;"",K1043,H1043*IFERROR(INDEX(O_Stok!$Q$6:$Q$85,MATCH(G1043,O_Stok!$A$6:$A$85,0)),0)))</f>
        <v/>
      </c>
      <c r="M1043" s="11" t="str">
        <f aca="false">IF(H1043="","",J1043-L1043)</f>
        <v/>
      </c>
      <c r="N1043" s="34" t="str">
        <f aca="false">IF(G1043="","",IFERROR(INDEX(I_Master!$B$6:$B$85,MATCH(G1043,I_Master!$A$6:$A$85,0)),"?"))</f>
        <v/>
      </c>
      <c r="O1043" s="34" t="str">
        <f aca="false">IF(G1043="","",IFERROR(INDEX(I_Master!$E$6:$E$85,MATCH(G1043,I_Master!$A$6:$A$85,0)),"?"))</f>
        <v/>
      </c>
      <c r="P1043" s="46" t="str">
        <f aca="false">IF(H1043="","",IF(OR(A1043&lt;I_Parameter!$C$5,A1043&gt;I_Parameter!$C$6),0,IF(B1043="Aktual",1,IF(AND(B1043="Order",A1043&gt;=I_Parameter!$C$4),1,0))))</f>
        <v/>
      </c>
    </row>
    <row r="1044" customFormat="false" ht="15" hidden="false" customHeight="false" outlineLevel="0" collapsed="false">
      <c r="A1044" s="37"/>
      <c r="B1044" s="44"/>
      <c r="C1044" s="44"/>
      <c r="D1044" s="44"/>
      <c r="E1044" s="44"/>
      <c r="F1044" s="44"/>
      <c r="G1044" s="34" t="str">
        <f aca="false">IF(F1044&lt;&gt;"",F1044,IF(E1044="","",IFERROR(INDEX(I_Item!$C$6:$C$255,MATCH(E1044,I_Item!$A$6:$A$255,0)),"KODE BARU")))</f>
        <v/>
      </c>
      <c r="H1044" s="45"/>
      <c r="I1044" s="42"/>
      <c r="J1044" s="11" t="str">
        <f aca="false">IF(H1044="","",H1044*I1044)</f>
        <v/>
      </c>
      <c r="K1044" s="42"/>
      <c r="L1044" s="11" t="str">
        <f aca="false">IF(H1044="","",IF(K1044&lt;&gt;"",K1044,H1044*IFERROR(INDEX(O_Stok!$Q$6:$Q$85,MATCH(G1044,O_Stok!$A$6:$A$85,0)),0)))</f>
        <v/>
      </c>
      <c r="M1044" s="11" t="str">
        <f aca="false">IF(H1044="","",J1044-L1044)</f>
        <v/>
      </c>
      <c r="N1044" s="34" t="str">
        <f aca="false">IF(G1044="","",IFERROR(INDEX(I_Master!$B$6:$B$85,MATCH(G1044,I_Master!$A$6:$A$85,0)),"?"))</f>
        <v/>
      </c>
      <c r="O1044" s="34" t="str">
        <f aca="false">IF(G1044="","",IFERROR(INDEX(I_Master!$E$6:$E$85,MATCH(G1044,I_Master!$A$6:$A$85,0)),"?"))</f>
        <v/>
      </c>
      <c r="P1044" s="46" t="str">
        <f aca="false">IF(H1044="","",IF(OR(A1044&lt;I_Parameter!$C$5,A1044&gt;I_Parameter!$C$6),0,IF(B1044="Aktual",1,IF(AND(B1044="Order",A1044&gt;=I_Parameter!$C$4),1,0))))</f>
        <v/>
      </c>
    </row>
    <row r="1045" customFormat="false" ht="15" hidden="false" customHeight="false" outlineLevel="0" collapsed="false">
      <c r="A1045" s="37"/>
      <c r="B1045" s="44"/>
      <c r="C1045" s="44"/>
      <c r="D1045" s="44"/>
      <c r="E1045" s="44"/>
      <c r="F1045" s="44"/>
      <c r="G1045" s="34" t="str">
        <f aca="false">IF(F1045&lt;&gt;"",F1045,IF(E1045="","",IFERROR(INDEX(I_Item!$C$6:$C$255,MATCH(E1045,I_Item!$A$6:$A$255,0)),"KODE BARU")))</f>
        <v/>
      </c>
      <c r="H1045" s="45"/>
      <c r="I1045" s="42"/>
      <c r="J1045" s="11" t="str">
        <f aca="false">IF(H1045="","",H1045*I1045)</f>
        <v/>
      </c>
      <c r="K1045" s="42"/>
      <c r="L1045" s="11" t="str">
        <f aca="false">IF(H1045="","",IF(K1045&lt;&gt;"",K1045,H1045*IFERROR(INDEX(O_Stok!$Q$6:$Q$85,MATCH(G1045,O_Stok!$A$6:$A$85,0)),0)))</f>
        <v/>
      </c>
      <c r="M1045" s="11" t="str">
        <f aca="false">IF(H1045="","",J1045-L1045)</f>
        <v/>
      </c>
      <c r="N1045" s="34" t="str">
        <f aca="false">IF(G1045="","",IFERROR(INDEX(I_Master!$B$6:$B$85,MATCH(G1045,I_Master!$A$6:$A$85,0)),"?"))</f>
        <v/>
      </c>
      <c r="O1045" s="34" t="str">
        <f aca="false">IF(G1045="","",IFERROR(INDEX(I_Master!$E$6:$E$85,MATCH(G1045,I_Master!$A$6:$A$85,0)),"?"))</f>
        <v/>
      </c>
      <c r="P1045" s="46" t="str">
        <f aca="false">IF(H1045="","",IF(OR(A1045&lt;I_Parameter!$C$5,A1045&gt;I_Parameter!$C$6),0,IF(B1045="Aktual",1,IF(AND(B1045="Order",A1045&gt;=I_Parameter!$C$4),1,0))))</f>
        <v/>
      </c>
    </row>
    <row r="1046" customFormat="false" ht="15" hidden="false" customHeight="false" outlineLevel="0" collapsed="false">
      <c r="A1046" s="37"/>
      <c r="B1046" s="44"/>
      <c r="C1046" s="44"/>
      <c r="D1046" s="44"/>
      <c r="E1046" s="44"/>
      <c r="F1046" s="44"/>
      <c r="G1046" s="34" t="str">
        <f aca="false">IF(F1046&lt;&gt;"",F1046,IF(E1046="","",IFERROR(INDEX(I_Item!$C$6:$C$255,MATCH(E1046,I_Item!$A$6:$A$255,0)),"KODE BARU")))</f>
        <v/>
      </c>
      <c r="H1046" s="45"/>
      <c r="I1046" s="42"/>
      <c r="J1046" s="11" t="str">
        <f aca="false">IF(H1046="","",H1046*I1046)</f>
        <v/>
      </c>
      <c r="K1046" s="42"/>
      <c r="L1046" s="11" t="str">
        <f aca="false">IF(H1046="","",IF(K1046&lt;&gt;"",K1046,H1046*IFERROR(INDEX(O_Stok!$Q$6:$Q$85,MATCH(G1046,O_Stok!$A$6:$A$85,0)),0)))</f>
        <v/>
      </c>
      <c r="M1046" s="11" t="str">
        <f aca="false">IF(H1046="","",J1046-L1046)</f>
        <v/>
      </c>
      <c r="N1046" s="34" t="str">
        <f aca="false">IF(G1046="","",IFERROR(INDEX(I_Master!$B$6:$B$85,MATCH(G1046,I_Master!$A$6:$A$85,0)),"?"))</f>
        <v/>
      </c>
      <c r="O1046" s="34" t="str">
        <f aca="false">IF(G1046="","",IFERROR(INDEX(I_Master!$E$6:$E$85,MATCH(G1046,I_Master!$A$6:$A$85,0)),"?"))</f>
        <v/>
      </c>
      <c r="P1046" s="46" t="str">
        <f aca="false">IF(H1046="","",IF(OR(A1046&lt;I_Parameter!$C$5,A1046&gt;I_Parameter!$C$6),0,IF(B1046="Aktual",1,IF(AND(B1046="Order",A1046&gt;=I_Parameter!$C$4),1,0))))</f>
        <v/>
      </c>
    </row>
    <row r="1047" customFormat="false" ht="15" hidden="false" customHeight="false" outlineLevel="0" collapsed="false">
      <c r="A1047" s="37"/>
      <c r="B1047" s="44"/>
      <c r="C1047" s="44"/>
      <c r="D1047" s="44"/>
      <c r="E1047" s="44"/>
      <c r="F1047" s="44"/>
      <c r="G1047" s="34" t="str">
        <f aca="false">IF(F1047&lt;&gt;"",F1047,IF(E1047="","",IFERROR(INDEX(I_Item!$C$6:$C$255,MATCH(E1047,I_Item!$A$6:$A$255,0)),"KODE BARU")))</f>
        <v/>
      </c>
      <c r="H1047" s="45"/>
      <c r="I1047" s="42"/>
      <c r="J1047" s="11" t="str">
        <f aca="false">IF(H1047="","",H1047*I1047)</f>
        <v/>
      </c>
      <c r="K1047" s="42"/>
      <c r="L1047" s="11" t="str">
        <f aca="false">IF(H1047="","",IF(K1047&lt;&gt;"",K1047,H1047*IFERROR(INDEX(O_Stok!$Q$6:$Q$85,MATCH(G1047,O_Stok!$A$6:$A$85,0)),0)))</f>
        <v/>
      </c>
      <c r="M1047" s="11" t="str">
        <f aca="false">IF(H1047="","",J1047-L1047)</f>
        <v/>
      </c>
      <c r="N1047" s="34" t="str">
        <f aca="false">IF(G1047="","",IFERROR(INDEX(I_Master!$B$6:$B$85,MATCH(G1047,I_Master!$A$6:$A$85,0)),"?"))</f>
        <v/>
      </c>
      <c r="O1047" s="34" t="str">
        <f aca="false">IF(G1047="","",IFERROR(INDEX(I_Master!$E$6:$E$85,MATCH(G1047,I_Master!$A$6:$A$85,0)),"?"))</f>
        <v/>
      </c>
      <c r="P1047" s="46" t="str">
        <f aca="false">IF(H1047="","",IF(OR(A1047&lt;I_Parameter!$C$5,A1047&gt;I_Parameter!$C$6),0,IF(B1047="Aktual",1,IF(AND(B1047="Order",A1047&gt;=I_Parameter!$C$4),1,0))))</f>
        <v/>
      </c>
    </row>
    <row r="1048" customFormat="false" ht="15" hidden="false" customHeight="false" outlineLevel="0" collapsed="false">
      <c r="A1048" s="37"/>
      <c r="B1048" s="44"/>
      <c r="C1048" s="44"/>
      <c r="D1048" s="44"/>
      <c r="E1048" s="44"/>
      <c r="F1048" s="44"/>
      <c r="G1048" s="34" t="str">
        <f aca="false">IF(F1048&lt;&gt;"",F1048,IF(E1048="","",IFERROR(INDEX(I_Item!$C$6:$C$255,MATCH(E1048,I_Item!$A$6:$A$255,0)),"KODE BARU")))</f>
        <v/>
      </c>
      <c r="H1048" s="45"/>
      <c r="I1048" s="42"/>
      <c r="J1048" s="11" t="str">
        <f aca="false">IF(H1048="","",H1048*I1048)</f>
        <v/>
      </c>
      <c r="K1048" s="42"/>
      <c r="L1048" s="11" t="str">
        <f aca="false">IF(H1048="","",IF(K1048&lt;&gt;"",K1048,H1048*IFERROR(INDEX(O_Stok!$Q$6:$Q$85,MATCH(G1048,O_Stok!$A$6:$A$85,0)),0)))</f>
        <v/>
      </c>
      <c r="M1048" s="11" t="str">
        <f aca="false">IF(H1048="","",J1048-L1048)</f>
        <v/>
      </c>
      <c r="N1048" s="34" t="str">
        <f aca="false">IF(G1048="","",IFERROR(INDEX(I_Master!$B$6:$B$85,MATCH(G1048,I_Master!$A$6:$A$85,0)),"?"))</f>
        <v/>
      </c>
      <c r="O1048" s="34" t="str">
        <f aca="false">IF(G1048="","",IFERROR(INDEX(I_Master!$E$6:$E$85,MATCH(G1048,I_Master!$A$6:$A$85,0)),"?"))</f>
        <v/>
      </c>
      <c r="P1048" s="46" t="str">
        <f aca="false">IF(H1048="","",IF(OR(A1048&lt;I_Parameter!$C$5,A1048&gt;I_Parameter!$C$6),0,IF(B1048="Aktual",1,IF(AND(B1048="Order",A1048&gt;=I_Parameter!$C$4),1,0))))</f>
        <v/>
      </c>
    </row>
    <row r="1049" customFormat="false" ht="15" hidden="false" customHeight="false" outlineLevel="0" collapsed="false">
      <c r="A1049" s="37"/>
      <c r="B1049" s="44"/>
      <c r="C1049" s="44"/>
      <c r="D1049" s="44"/>
      <c r="E1049" s="44"/>
      <c r="F1049" s="44"/>
      <c r="G1049" s="34" t="str">
        <f aca="false">IF(F1049&lt;&gt;"",F1049,IF(E1049="","",IFERROR(INDEX(I_Item!$C$6:$C$255,MATCH(E1049,I_Item!$A$6:$A$255,0)),"KODE BARU")))</f>
        <v/>
      </c>
      <c r="H1049" s="45"/>
      <c r="I1049" s="42"/>
      <c r="J1049" s="11" t="str">
        <f aca="false">IF(H1049="","",H1049*I1049)</f>
        <v/>
      </c>
      <c r="K1049" s="42"/>
      <c r="L1049" s="11" t="str">
        <f aca="false">IF(H1049="","",IF(K1049&lt;&gt;"",K1049,H1049*IFERROR(INDEX(O_Stok!$Q$6:$Q$85,MATCH(G1049,O_Stok!$A$6:$A$85,0)),0)))</f>
        <v/>
      </c>
      <c r="M1049" s="11" t="str">
        <f aca="false">IF(H1049="","",J1049-L1049)</f>
        <v/>
      </c>
      <c r="N1049" s="34" t="str">
        <f aca="false">IF(G1049="","",IFERROR(INDEX(I_Master!$B$6:$B$85,MATCH(G1049,I_Master!$A$6:$A$85,0)),"?"))</f>
        <v/>
      </c>
      <c r="O1049" s="34" t="str">
        <f aca="false">IF(G1049="","",IFERROR(INDEX(I_Master!$E$6:$E$85,MATCH(G1049,I_Master!$A$6:$A$85,0)),"?"))</f>
        <v/>
      </c>
      <c r="P1049" s="46" t="str">
        <f aca="false">IF(H1049="","",IF(OR(A1049&lt;I_Parameter!$C$5,A1049&gt;I_Parameter!$C$6),0,IF(B1049="Aktual",1,IF(AND(B1049="Order",A1049&gt;=I_Parameter!$C$4),1,0))))</f>
        <v/>
      </c>
    </row>
    <row r="1050" customFormat="false" ht="15" hidden="false" customHeight="false" outlineLevel="0" collapsed="false">
      <c r="A1050" s="37"/>
      <c r="B1050" s="44"/>
      <c r="C1050" s="44"/>
      <c r="D1050" s="44"/>
      <c r="E1050" s="44"/>
      <c r="F1050" s="44"/>
      <c r="G1050" s="34" t="str">
        <f aca="false">IF(F1050&lt;&gt;"",F1050,IF(E1050="","",IFERROR(INDEX(I_Item!$C$6:$C$255,MATCH(E1050,I_Item!$A$6:$A$255,0)),"KODE BARU")))</f>
        <v/>
      </c>
      <c r="H1050" s="45"/>
      <c r="I1050" s="42"/>
      <c r="J1050" s="11" t="str">
        <f aca="false">IF(H1050="","",H1050*I1050)</f>
        <v/>
      </c>
      <c r="K1050" s="42"/>
      <c r="L1050" s="11" t="str">
        <f aca="false">IF(H1050="","",IF(K1050&lt;&gt;"",K1050,H1050*IFERROR(INDEX(O_Stok!$Q$6:$Q$85,MATCH(G1050,O_Stok!$A$6:$A$85,0)),0)))</f>
        <v/>
      </c>
      <c r="M1050" s="11" t="str">
        <f aca="false">IF(H1050="","",J1050-L1050)</f>
        <v/>
      </c>
      <c r="N1050" s="34" t="str">
        <f aca="false">IF(G1050="","",IFERROR(INDEX(I_Master!$B$6:$B$85,MATCH(G1050,I_Master!$A$6:$A$85,0)),"?"))</f>
        <v/>
      </c>
      <c r="O1050" s="34" t="str">
        <f aca="false">IF(G1050="","",IFERROR(INDEX(I_Master!$E$6:$E$85,MATCH(G1050,I_Master!$A$6:$A$85,0)),"?"))</f>
        <v/>
      </c>
      <c r="P1050" s="46" t="str">
        <f aca="false">IF(H1050="","",IF(OR(A1050&lt;I_Parameter!$C$5,A1050&gt;I_Parameter!$C$6),0,IF(B1050="Aktual",1,IF(AND(B1050="Order",A1050&gt;=I_Parameter!$C$4),1,0))))</f>
        <v/>
      </c>
    </row>
    <row r="1051" customFormat="false" ht="15" hidden="false" customHeight="false" outlineLevel="0" collapsed="false">
      <c r="A1051" s="37"/>
      <c r="B1051" s="44"/>
      <c r="C1051" s="44"/>
      <c r="D1051" s="44"/>
      <c r="E1051" s="44"/>
      <c r="F1051" s="44"/>
      <c r="G1051" s="34" t="str">
        <f aca="false">IF(F1051&lt;&gt;"",F1051,IF(E1051="","",IFERROR(INDEX(I_Item!$C$6:$C$255,MATCH(E1051,I_Item!$A$6:$A$255,0)),"KODE BARU")))</f>
        <v/>
      </c>
      <c r="H1051" s="45"/>
      <c r="I1051" s="42"/>
      <c r="J1051" s="11" t="str">
        <f aca="false">IF(H1051="","",H1051*I1051)</f>
        <v/>
      </c>
      <c r="K1051" s="42"/>
      <c r="L1051" s="11" t="str">
        <f aca="false">IF(H1051="","",IF(K1051&lt;&gt;"",K1051,H1051*IFERROR(INDEX(O_Stok!$Q$6:$Q$85,MATCH(G1051,O_Stok!$A$6:$A$85,0)),0)))</f>
        <v/>
      </c>
      <c r="M1051" s="11" t="str">
        <f aca="false">IF(H1051="","",J1051-L1051)</f>
        <v/>
      </c>
      <c r="N1051" s="34" t="str">
        <f aca="false">IF(G1051="","",IFERROR(INDEX(I_Master!$B$6:$B$85,MATCH(G1051,I_Master!$A$6:$A$85,0)),"?"))</f>
        <v/>
      </c>
      <c r="O1051" s="34" t="str">
        <f aca="false">IF(G1051="","",IFERROR(INDEX(I_Master!$E$6:$E$85,MATCH(G1051,I_Master!$A$6:$A$85,0)),"?"))</f>
        <v/>
      </c>
      <c r="P1051" s="46" t="str">
        <f aca="false">IF(H1051="","",IF(OR(A1051&lt;I_Parameter!$C$5,A1051&gt;I_Parameter!$C$6),0,IF(B1051="Aktual",1,IF(AND(B1051="Order",A1051&gt;=I_Parameter!$C$4),1,0))))</f>
        <v/>
      </c>
    </row>
    <row r="1052" customFormat="false" ht="15" hidden="false" customHeight="false" outlineLevel="0" collapsed="false">
      <c r="A1052" s="37"/>
      <c r="B1052" s="44"/>
      <c r="C1052" s="44"/>
      <c r="D1052" s="44"/>
      <c r="E1052" s="44"/>
      <c r="F1052" s="44"/>
      <c r="G1052" s="34" t="str">
        <f aca="false">IF(F1052&lt;&gt;"",F1052,IF(E1052="","",IFERROR(INDEX(I_Item!$C$6:$C$255,MATCH(E1052,I_Item!$A$6:$A$255,0)),"KODE BARU")))</f>
        <v/>
      </c>
      <c r="H1052" s="45"/>
      <c r="I1052" s="42"/>
      <c r="J1052" s="11" t="str">
        <f aca="false">IF(H1052="","",H1052*I1052)</f>
        <v/>
      </c>
      <c r="K1052" s="42"/>
      <c r="L1052" s="11" t="str">
        <f aca="false">IF(H1052="","",IF(K1052&lt;&gt;"",K1052,H1052*IFERROR(INDEX(O_Stok!$Q$6:$Q$85,MATCH(G1052,O_Stok!$A$6:$A$85,0)),0)))</f>
        <v/>
      </c>
      <c r="M1052" s="11" t="str">
        <f aca="false">IF(H1052="","",J1052-L1052)</f>
        <v/>
      </c>
      <c r="N1052" s="34" t="str">
        <f aca="false">IF(G1052="","",IFERROR(INDEX(I_Master!$B$6:$B$85,MATCH(G1052,I_Master!$A$6:$A$85,0)),"?"))</f>
        <v/>
      </c>
      <c r="O1052" s="34" t="str">
        <f aca="false">IF(G1052="","",IFERROR(INDEX(I_Master!$E$6:$E$85,MATCH(G1052,I_Master!$A$6:$A$85,0)),"?"))</f>
        <v/>
      </c>
      <c r="P1052" s="46" t="str">
        <f aca="false">IF(H1052="","",IF(OR(A1052&lt;I_Parameter!$C$5,A1052&gt;I_Parameter!$C$6),0,IF(B1052="Aktual",1,IF(AND(B1052="Order",A1052&gt;=I_Parameter!$C$4),1,0))))</f>
        <v/>
      </c>
    </row>
    <row r="1053" customFormat="false" ht="15" hidden="false" customHeight="false" outlineLevel="0" collapsed="false">
      <c r="A1053" s="37"/>
      <c r="B1053" s="44"/>
      <c r="C1053" s="44"/>
      <c r="D1053" s="44"/>
      <c r="E1053" s="44"/>
      <c r="F1053" s="44"/>
      <c r="G1053" s="34" t="str">
        <f aca="false">IF(F1053&lt;&gt;"",F1053,IF(E1053="","",IFERROR(INDEX(I_Item!$C$6:$C$255,MATCH(E1053,I_Item!$A$6:$A$255,0)),"KODE BARU")))</f>
        <v/>
      </c>
      <c r="H1053" s="45"/>
      <c r="I1053" s="42"/>
      <c r="J1053" s="11" t="str">
        <f aca="false">IF(H1053="","",H1053*I1053)</f>
        <v/>
      </c>
      <c r="K1053" s="42"/>
      <c r="L1053" s="11" t="str">
        <f aca="false">IF(H1053="","",IF(K1053&lt;&gt;"",K1053,H1053*IFERROR(INDEX(O_Stok!$Q$6:$Q$85,MATCH(G1053,O_Stok!$A$6:$A$85,0)),0)))</f>
        <v/>
      </c>
      <c r="M1053" s="11" t="str">
        <f aca="false">IF(H1053="","",J1053-L1053)</f>
        <v/>
      </c>
      <c r="N1053" s="34" t="str">
        <f aca="false">IF(G1053="","",IFERROR(INDEX(I_Master!$B$6:$B$85,MATCH(G1053,I_Master!$A$6:$A$85,0)),"?"))</f>
        <v/>
      </c>
      <c r="O1053" s="34" t="str">
        <f aca="false">IF(G1053="","",IFERROR(INDEX(I_Master!$E$6:$E$85,MATCH(G1053,I_Master!$A$6:$A$85,0)),"?"))</f>
        <v/>
      </c>
      <c r="P1053" s="46" t="str">
        <f aca="false">IF(H1053="","",IF(OR(A1053&lt;I_Parameter!$C$5,A1053&gt;I_Parameter!$C$6),0,IF(B1053="Aktual",1,IF(AND(B1053="Order",A1053&gt;=I_Parameter!$C$4),1,0))))</f>
        <v/>
      </c>
    </row>
    <row r="1054" customFormat="false" ht="15" hidden="false" customHeight="false" outlineLevel="0" collapsed="false">
      <c r="A1054" s="37"/>
      <c r="B1054" s="44"/>
      <c r="C1054" s="44"/>
      <c r="D1054" s="44"/>
      <c r="E1054" s="44"/>
      <c r="F1054" s="44"/>
      <c r="G1054" s="34" t="str">
        <f aca="false">IF(F1054&lt;&gt;"",F1054,IF(E1054="","",IFERROR(INDEX(I_Item!$C$6:$C$255,MATCH(E1054,I_Item!$A$6:$A$255,0)),"KODE BARU")))</f>
        <v/>
      </c>
      <c r="H1054" s="45"/>
      <c r="I1054" s="42"/>
      <c r="J1054" s="11" t="str">
        <f aca="false">IF(H1054="","",H1054*I1054)</f>
        <v/>
      </c>
      <c r="K1054" s="42"/>
      <c r="L1054" s="11" t="str">
        <f aca="false">IF(H1054="","",IF(K1054&lt;&gt;"",K1054,H1054*IFERROR(INDEX(O_Stok!$Q$6:$Q$85,MATCH(G1054,O_Stok!$A$6:$A$85,0)),0)))</f>
        <v/>
      </c>
      <c r="M1054" s="11" t="str">
        <f aca="false">IF(H1054="","",J1054-L1054)</f>
        <v/>
      </c>
      <c r="N1054" s="34" t="str">
        <f aca="false">IF(G1054="","",IFERROR(INDEX(I_Master!$B$6:$B$85,MATCH(G1054,I_Master!$A$6:$A$85,0)),"?"))</f>
        <v/>
      </c>
      <c r="O1054" s="34" t="str">
        <f aca="false">IF(G1054="","",IFERROR(INDEX(I_Master!$E$6:$E$85,MATCH(G1054,I_Master!$A$6:$A$85,0)),"?"))</f>
        <v/>
      </c>
      <c r="P1054" s="46" t="str">
        <f aca="false">IF(H1054="","",IF(OR(A1054&lt;I_Parameter!$C$5,A1054&gt;I_Parameter!$C$6),0,IF(B1054="Aktual",1,IF(AND(B1054="Order",A1054&gt;=I_Parameter!$C$4),1,0))))</f>
        <v/>
      </c>
    </row>
    <row r="1055" customFormat="false" ht="15" hidden="false" customHeight="false" outlineLevel="0" collapsed="false">
      <c r="A1055" s="37"/>
      <c r="B1055" s="44"/>
      <c r="C1055" s="44"/>
      <c r="D1055" s="44"/>
      <c r="E1055" s="44"/>
      <c r="F1055" s="44"/>
      <c r="G1055" s="34" t="str">
        <f aca="false">IF(F1055&lt;&gt;"",F1055,IF(E1055="","",IFERROR(INDEX(I_Item!$C$6:$C$255,MATCH(E1055,I_Item!$A$6:$A$255,0)),"KODE BARU")))</f>
        <v/>
      </c>
      <c r="H1055" s="45"/>
      <c r="I1055" s="42"/>
      <c r="J1055" s="11" t="str">
        <f aca="false">IF(H1055="","",H1055*I1055)</f>
        <v/>
      </c>
      <c r="K1055" s="42"/>
      <c r="L1055" s="11" t="str">
        <f aca="false">IF(H1055="","",IF(K1055&lt;&gt;"",K1055,H1055*IFERROR(INDEX(O_Stok!$Q$6:$Q$85,MATCH(G1055,O_Stok!$A$6:$A$85,0)),0)))</f>
        <v/>
      </c>
      <c r="M1055" s="11" t="str">
        <f aca="false">IF(H1055="","",J1055-L1055)</f>
        <v/>
      </c>
      <c r="N1055" s="34" t="str">
        <f aca="false">IF(G1055="","",IFERROR(INDEX(I_Master!$B$6:$B$85,MATCH(G1055,I_Master!$A$6:$A$85,0)),"?"))</f>
        <v/>
      </c>
      <c r="O1055" s="34" t="str">
        <f aca="false">IF(G1055="","",IFERROR(INDEX(I_Master!$E$6:$E$85,MATCH(G1055,I_Master!$A$6:$A$85,0)),"?"))</f>
        <v/>
      </c>
      <c r="P1055" s="46" t="str">
        <f aca="false">IF(H1055="","",IF(OR(A1055&lt;I_Parameter!$C$5,A1055&gt;I_Parameter!$C$6),0,IF(B1055="Aktual",1,IF(AND(B1055="Order",A1055&gt;=I_Parameter!$C$4),1,0))))</f>
        <v/>
      </c>
    </row>
    <row r="1056" customFormat="false" ht="15" hidden="false" customHeight="false" outlineLevel="0" collapsed="false">
      <c r="A1056" s="37"/>
      <c r="B1056" s="44"/>
      <c r="C1056" s="44"/>
      <c r="D1056" s="44"/>
      <c r="E1056" s="44"/>
      <c r="F1056" s="44"/>
      <c r="G1056" s="34" t="str">
        <f aca="false">IF(F1056&lt;&gt;"",F1056,IF(E1056="","",IFERROR(INDEX(I_Item!$C$6:$C$255,MATCH(E1056,I_Item!$A$6:$A$255,0)),"KODE BARU")))</f>
        <v/>
      </c>
      <c r="H1056" s="45"/>
      <c r="I1056" s="42"/>
      <c r="J1056" s="11" t="str">
        <f aca="false">IF(H1056="","",H1056*I1056)</f>
        <v/>
      </c>
      <c r="K1056" s="42"/>
      <c r="L1056" s="11" t="str">
        <f aca="false">IF(H1056="","",IF(K1056&lt;&gt;"",K1056,H1056*IFERROR(INDEX(O_Stok!$Q$6:$Q$85,MATCH(G1056,O_Stok!$A$6:$A$85,0)),0)))</f>
        <v/>
      </c>
      <c r="M1056" s="11" t="str">
        <f aca="false">IF(H1056="","",J1056-L1056)</f>
        <v/>
      </c>
      <c r="N1056" s="34" t="str">
        <f aca="false">IF(G1056="","",IFERROR(INDEX(I_Master!$B$6:$B$85,MATCH(G1056,I_Master!$A$6:$A$85,0)),"?"))</f>
        <v/>
      </c>
      <c r="O1056" s="34" t="str">
        <f aca="false">IF(G1056="","",IFERROR(INDEX(I_Master!$E$6:$E$85,MATCH(G1056,I_Master!$A$6:$A$85,0)),"?"))</f>
        <v/>
      </c>
      <c r="P1056" s="46" t="str">
        <f aca="false">IF(H1056="","",IF(OR(A1056&lt;I_Parameter!$C$5,A1056&gt;I_Parameter!$C$6),0,IF(B1056="Aktual",1,IF(AND(B1056="Order",A1056&gt;=I_Parameter!$C$4),1,0))))</f>
        <v/>
      </c>
    </row>
    <row r="1057" customFormat="false" ht="15" hidden="false" customHeight="false" outlineLevel="0" collapsed="false">
      <c r="A1057" s="37"/>
      <c r="B1057" s="44"/>
      <c r="C1057" s="44"/>
      <c r="D1057" s="44"/>
      <c r="E1057" s="44"/>
      <c r="F1057" s="44"/>
      <c r="G1057" s="34" t="str">
        <f aca="false">IF(F1057&lt;&gt;"",F1057,IF(E1057="","",IFERROR(INDEX(I_Item!$C$6:$C$255,MATCH(E1057,I_Item!$A$6:$A$255,0)),"KODE BARU")))</f>
        <v/>
      </c>
      <c r="H1057" s="45"/>
      <c r="I1057" s="42"/>
      <c r="J1057" s="11" t="str">
        <f aca="false">IF(H1057="","",H1057*I1057)</f>
        <v/>
      </c>
      <c r="K1057" s="42"/>
      <c r="L1057" s="11" t="str">
        <f aca="false">IF(H1057="","",IF(K1057&lt;&gt;"",K1057,H1057*IFERROR(INDEX(O_Stok!$Q$6:$Q$85,MATCH(G1057,O_Stok!$A$6:$A$85,0)),0)))</f>
        <v/>
      </c>
      <c r="M1057" s="11" t="str">
        <f aca="false">IF(H1057="","",J1057-L1057)</f>
        <v/>
      </c>
      <c r="N1057" s="34" t="str">
        <f aca="false">IF(G1057="","",IFERROR(INDEX(I_Master!$B$6:$B$85,MATCH(G1057,I_Master!$A$6:$A$85,0)),"?"))</f>
        <v/>
      </c>
      <c r="O1057" s="34" t="str">
        <f aca="false">IF(G1057="","",IFERROR(INDEX(I_Master!$E$6:$E$85,MATCH(G1057,I_Master!$A$6:$A$85,0)),"?"))</f>
        <v/>
      </c>
      <c r="P1057" s="46" t="str">
        <f aca="false">IF(H1057="","",IF(OR(A1057&lt;I_Parameter!$C$5,A1057&gt;I_Parameter!$C$6),0,IF(B1057="Aktual",1,IF(AND(B1057="Order",A1057&gt;=I_Parameter!$C$4),1,0))))</f>
        <v/>
      </c>
    </row>
    <row r="1058" customFormat="false" ht="15" hidden="false" customHeight="false" outlineLevel="0" collapsed="false">
      <c r="A1058" s="37"/>
      <c r="B1058" s="44"/>
      <c r="C1058" s="44"/>
      <c r="D1058" s="44"/>
      <c r="E1058" s="44"/>
      <c r="F1058" s="44"/>
      <c r="G1058" s="34" t="str">
        <f aca="false">IF(F1058&lt;&gt;"",F1058,IF(E1058="","",IFERROR(INDEX(I_Item!$C$6:$C$255,MATCH(E1058,I_Item!$A$6:$A$255,0)),"KODE BARU")))</f>
        <v/>
      </c>
      <c r="H1058" s="45"/>
      <c r="I1058" s="42"/>
      <c r="J1058" s="11" t="str">
        <f aca="false">IF(H1058="","",H1058*I1058)</f>
        <v/>
      </c>
      <c r="K1058" s="42"/>
      <c r="L1058" s="11" t="str">
        <f aca="false">IF(H1058="","",IF(K1058&lt;&gt;"",K1058,H1058*IFERROR(INDEX(O_Stok!$Q$6:$Q$85,MATCH(G1058,O_Stok!$A$6:$A$85,0)),0)))</f>
        <v/>
      </c>
      <c r="M1058" s="11" t="str">
        <f aca="false">IF(H1058="","",J1058-L1058)</f>
        <v/>
      </c>
      <c r="N1058" s="34" t="str">
        <f aca="false">IF(G1058="","",IFERROR(INDEX(I_Master!$B$6:$B$85,MATCH(G1058,I_Master!$A$6:$A$85,0)),"?"))</f>
        <v/>
      </c>
      <c r="O1058" s="34" t="str">
        <f aca="false">IF(G1058="","",IFERROR(INDEX(I_Master!$E$6:$E$85,MATCH(G1058,I_Master!$A$6:$A$85,0)),"?"))</f>
        <v/>
      </c>
      <c r="P1058" s="46" t="str">
        <f aca="false">IF(H1058="","",IF(OR(A1058&lt;I_Parameter!$C$5,A1058&gt;I_Parameter!$C$6),0,IF(B1058="Aktual",1,IF(AND(B1058="Order",A1058&gt;=I_Parameter!$C$4),1,0))))</f>
        <v/>
      </c>
    </row>
    <row r="1059" customFormat="false" ht="15" hidden="false" customHeight="false" outlineLevel="0" collapsed="false">
      <c r="A1059" s="37"/>
      <c r="B1059" s="44"/>
      <c r="C1059" s="44"/>
      <c r="D1059" s="44"/>
      <c r="E1059" s="44"/>
      <c r="F1059" s="44"/>
      <c r="G1059" s="34" t="str">
        <f aca="false">IF(F1059&lt;&gt;"",F1059,IF(E1059="","",IFERROR(INDEX(I_Item!$C$6:$C$255,MATCH(E1059,I_Item!$A$6:$A$255,0)),"KODE BARU")))</f>
        <v/>
      </c>
      <c r="H1059" s="45"/>
      <c r="I1059" s="42"/>
      <c r="J1059" s="11" t="str">
        <f aca="false">IF(H1059="","",H1059*I1059)</f>
        <v/>
      </c>
      <c r="K1059" s="42"/>
      <c r="L1059" s="11" t="str">
        <f aca="false">IF(H1059="","",IF(K1059&lt;&gt;"",K1059,H1059*IFERROR(INDEX(O_Stok!$Q$6:$Q$85,MATCH(G1059,O_Stok!$A$6:$A$85,0)),0)))</f>
        <v/>
      </c>
      <c r="M1059" s="11" t="str">
        <f aca="false">IF(H1059="","",J1059-L1059)</f>
        <v/>
      </c>
      <c r="N1059" s="34" t="str">
        <f aca="false">IF(G1059="","",IFERROR(INDEX(I_Master!$B$6:$B$85,MATCH(G1059,I_Master!$A$6:$A$85,0)),"?"))</f>
        <v/>
      </c>
      <c r="O1059" s="34" t="str">
        <f aca="false">IF(G1059="","",IFERROR(INDEX(I_Master!$E$6:$E$85,MATCH(G1059,I_Master!$A$6:$A$85,0)),"?"))</f>
        <v/>
      </c>
      <c r="P1059" s="46" t="str">
        <f aca="false">IF(H1059="","",IF(OR(A1059&lt;I_Parameter!$C$5,A1059&gt;I_Parameter!$C$6),0,IF(B1059="Aktual",1,IF(AND(B1059="Order",A1059&gt;=I_Parameter!$C$4),1,0))))</f>
        <v/>
      </c>
    </row>
    <row r="1060" customFormat="false" ht="15" hidden="false" customHeight="false" outlineLevel="0" collapsed="false">
      <c r="A1060" s="37"/>
      <c r="B1060" s="44"/>
      <c r="C1060" s="44"/>
      <c r="D1060" s="44"/>
      <c r="E1060" s="44"/>
      <c r="F1060" s="44"/>
      <c r="G1060" s="34" t="str">
        <f aca="false">IF(F1060&lt;&gt;"",F1060,IF(E1060="","",IFERROR(INDEX(I_Item!$C$6:$C$255,MATCH(E1060,I_Item!$A$6:$A$255,0)),"KODE BARU")))</f>
        <v/>
      </c>
      <c r="H1060" s="45"/>
      <c r="I1060" s="42"/>
      <c r="J1060" s="11" t="str">
        <f aca="false">IF(H1060="","",H1060*I1060)</f>
        <v/>
      </c>
      <c r="K1060" s="42"/>
      <c r="L1060" s="11" t="str">
        <f aca="false">IF(H1060="","",IF(K1060&lt;&gt;"",K1060,H1060*IFERROR(INDEX(O_Stok!$Q$6:$Q$85,MATCH(G1060,O_Stok!$A$6:$A$85,0)),0)))</f>
        <v/>
      </c>
      <c r="M1060" s="11" t="str">
        <f aca="false">IF(H1060="","",J1060-L1060)</f>
        <v/>
      </c>
      <c r="N1060" s="34" t="str">
        <f aca="false">IF(G1060="","",IFERROR(INDEX(I_Master!$B$6:$B$85,MATCH(G1060,I_Master!$A$6:$A$85,0)),"?"))</f>
        <v/>
      </c>
      <c r="O1060" s="34" t="str">
        <f aca="false">IF(G1060="","",IFERROR(INDEX(I_Master!$E$6:$E$85,MATCH(G1060,I_Master!$A$6:$A$85,0)),"?"))</f>
        <v/>
      </c>
      <c r="P1060" s="46" t="str">
        <f aca="false">IF(H1060="","",IF(OR(A1060&lt;I_Parameter!$C$5,A1060&gt;I_Parameter!$C$6),0,IF(B1060="Aktual",1,IF(AND(B1060="Order",A1060&gt;=I_Parameter!$C$4),1,0))))</f>
        <v/>
      </c>
    </row>
    <row r="1061" customFormat="false" ht="15" hidden="false" customHeight="false" outlineLevel="0" collapsed="false">
      <c r="A1061" s="37"/>
      <c r="B1061" s="44"/>
      <c r="C1061" s="44"/>
      <c r="D1061" s="44"/>
      <c r="E1061" s="44"/>
      <c r="F1061" s="44"/>
      <c r="G1061" s="34" t="str">
        <f aca="false">IF(F1061&lt;&gt;"",F1061,IF(E1061="","",IFERROR(INDEX(I_Item!$C$6:$C$255,MATCH(E1061,I_Item!$A$6:$A$255,0)),"KODE BARU")))</f>
        <v/>
      </c>
      <c r="H1061" s="45"/>
      <c r="I1061" s="42"/>
      <c r="J1061" s="11" t="str">
        <f aca="false">IF(H1061="","",H1061*I1061)</f>
        <v/>
      </c>
      <c r="K1061" s="42"/>
      <c r="L1061" s="11" t="str">
        <f aca="false">IF(H1061="","",IF(K1061&lt;&gt;"",K1061,H1061*IFERROR(INDEX(O_Stok!$Q$6:$Q$85,MATCH(G1061,O_Stok!$A$6:$A$85,0)),0)))</f>
        <v/>
      </c>
      <c r="M1061" s="11" t="str">
        <f aca="false">IF(H1061="","",J1061-L1061)</f>
        <v/>
      </c>
      <c r="N1061" s="34" t="str">
        <f aca="false">IF(G1061="","",IFERROR(INDEX(I_Master!$B$6:$B$85,MATCH(G1061,I_Master!$A$6:$A$85,0)),"?"))</f>
        <v/>
      </c>
      <c r="O1061" s="34" t="str">
        <f aca="false">IF(G1061="","",IFERROR(INDEX(I_Master!$E$6:$E$85,MATCH(G1061,I_Master!$A$6:$A$85,0)),"?"))</f>
        <v/>
      </c>
      <c r="P1061" s="46" t="str">
        <f aca="false">IF(H1061="","",IF(OR(A1061&lt;I_Parameter!$C$5,A1061&gt;I_Parameter!$C$6),0,IF(B1061="Aktual",1,IF(AND(B1061="Order",A1061&gt;=I_Parameter!$C$4),1,0))))</f>
        <v/>
      </c>
    </row>
    <row r="1062" customFormat="false" ht="15" hidden="false" customHeight="false" outlineLevel="0" collapsed="false">
      <c r="A1062" s="37"/>
      <c r="B1062" s="44"/>
      <c r="C1062" s="44"/>
      <c r="D1062" s="44"/>
      <c r="E1062" s="44"/>
      <c r="F1062" s="44"/>
      <c r="G1062" s="34" t="str">
        <f aca="false">IF(F1062&lt;&gt;"",F1062,IF(E1062="","",IFERROR(INDEX(I_Item!$C$6:$C$255,MATCH(E1062,I_Item!$A$6:$A$255,0)),"KODE BARU")))</f>
        <v/>
      </c>
      <c r="H1062" s="45"/>
      <c r="I1062" s="42"/>
      <c r="J1062" s="11" t="str">
        <f aca="false">IF(H1062="","",H1062*I1062)</f>
        <v/>
      </c>
      <c r="K1062" s="42"/>
      <c r="L1062" s="11" t="str">
        <f aca="false">IF(H1062="","",IF(K1062&lt;&gt;"",K1062,H1062*IFERROR(INDEX(O_Stok!$Q$6:$Q$85,MATCH(G1062,O_Stok!$A$6:$A$85,0)),0)))</f>
        <v/>
      </c>
      <c r="M1062" s="11" t="str">
        <f aca="false">IF(H1062="","",J1062-L1062)</f>
        <v/>
      </c>
      <c r="N1062" s="34" t="str">
        <f aca="false">IF(G1062="","",IFERROR(INDEX(I_Master!$B$6:$B$85,MATCH(G1062,I_Master!$A$6:$A$85,0)),"?"))</f>
        <v/>
      </c>
      <c r="O1062" s="34" t="str">
        <f aca="false">IF(G1062="","",IFERROR(INDEX(I_Master!$E$6:$E$85,MATCH(G1062,I_Master!$A$6:$A$85,0)),"?"))</f>
        <v/>
      </c>
      <c r="P1062" s="46" t="str">
        <f aca="false">IF(H1062="","",IF(OR(A1062&lt;I_Parameter!$C$5,A1062&gt;I_Parameter!$C$6),0,IF(B1062="Aktual",1,IF(AND(B1062="Order",A1062&gt;=I_Parameter!$C$4),1,0))))</f>
        <v/>
      </c>
    </row>
    <row r="1063" customFormat="false" ht="15" hidden="false" customHeight="false" outlineLevel="0" collapsed="false">
      <c r="A1063" s="37"/>
      <c r="B1063" s="44"/>
      <c r="C1063" s="44"/>
      <c r="D1063" s="44"/>
      <c r="E1063" s="44"/>
      <c r="F1063" s="44"/>
      <c r="G1063" s="34" t="str">
        <f aca="false">IF(F1063&lt;&gt;"",F1063,IF(E1063="","",IFERROR(INDEX(I_Item!$C$6:$C$255,MATCH(E1063,I_Item!$A$6:$A$255,0)),"KODE BARU")))</f>
        <v/>
      </c>
      <c r="H1063" s="45"/>
      <c r="I1063" s="42"/>
      <c r="J1063" s="11" t="str">
        <f aca="false">IF(H1063="","",H1063*I1063)</f>
        <v/>
      </c>
      <c r="K1063" s="42"/>
      <c r="L1063" s="11" t="str">
        <f aca="false">IF(H1063="","",IF(K1063&lt;&gt;"",K1063,H1063*IFERROR(INDEX(O_Stok!$Q$6:$Q$85,MATCH(G1063,O_Stok!$A$6:$A$85,0)),0)))</f>
        <v/>
      </c>
      <c r="M1063" s="11" t="str">
        <f aca="false">IF(H1063="","",J1063-L1063)</f>
        <v/>
      </c>
      <c r="N1063" s="34" t="str">
        <f aca="false">IF(G1063="","",IFERROR(INDEX(I_Master!$B$6:$B$85,MATCH(G1063,I_Master!$A$6:$A$85,0)),"?"))</f>
        <v/>
      </c>
      <c r="O1063" s="34" t="str">
        <f aca="false">IF(G1063="","",IFERROR(INDEX(I_Master!$E$6:$E$85,MATCH(G1063,I_Master!$A$6:$A$85,0)),"?"))</f>
        <v/>
      </c>
      <c r="P1063" s="46" t="str">
        <f aca="false">IF(H1063="","",IF(OR(A1063&lt;I_Parameter!$C$5,A1063&gt;I_Parameter!$C$6),0,IF(B1063="Aktual",1,IF(AND(B1063="Order",A1063&gt;=I_Parameter!$C$4),1,0))))</f>
        <v/>
      </c>
    </row>
    <row r="1064" customFormat="false" ht="15" hidden="false" customHeight="false" outlineLevel="0" collapsed="false">
      <c r="A1064" s="37"/>
      <c r="B1064" s="44"/>
      <c r="C1064" s="44"/>
      <c r="D1064" s="44"/>
      <c r="E1064" s="44"/>
      <c r="F1064" s="44"/>
      <c r="G1064" s="34" t="str">
        <f aca="false">IF(F1064&lt;&gt;"",F1064,IF(E1064="","",IFERROR(INDEX(I_Item!$C$6:$C$255,MATCH(E1064,I_Item!$A$6:$A$255,0)),"KODE BARU")))</f>
        <v/>
      </c>
      <c r="H1064" s="45"/>
      <c r="I1064" s="42"/>
      <c r="J1064" s="11" t="str">
        <f aca="false">IF(H1064="","",H1064*I1064)</f>
        <v/>
      </c>
      <c r="K1064" s="42"/>
      <c r="L1064" s="11" t="str">
        <f aca="false">IF(H1064="","",IF(K1064&lt;&gt;"",K1064,H1064*IFERROR(INDEX(O_Stok!$Q$6:$Q$85,MATCH(G1064,O_Stok!$A$6:$A$85,0)),0)))</f>
        <v/>
      </c>
      <c r="M1064" s="11" t="str">
        <f aca="false">IF(H1064="","",J1064-L1064)</f>
        <v/>
      </c>
      <c r="N1064" s="34" t="str">
        <f aca="false">IF(G1064="","",IFERROR(INDEX(I_Master!$B$6:$B$85,MATCH(G1064,I_Master!$A$6:$A$85,0)),"?"))</f>
        <v/>
      </c>
      <c r="O1064" s="34" t="str">
        <f aca="false">IF(G1064="","",IFERROR(INDEX(I_Master!$E$6:$E$85,MATCH(G1064,I_Master!$A$6:$A$85,0)),"?"))</f>
        <v/>
      </c>
      <c r="P1064" s="46" t="str">
        <f aca="false">IF(H1064="","",IF(OR(A1064&lt;I_Parameter!$C$5,A1064&gt;I_Parameter!$C$6),0,IF(B1064="Aktual",1,IF(AND(B1064="Order",A1064&gt;=I_Parameter!$C$4),1,0))))</f>
        <v/>
      </c>
    </row>
    <row r="1065" customFormat="false" ht="15" hidden="false" customHeight="false" outlineLevel="0" collapsed="false">
      <c r="A1065" s="37"/>
      <c r="B1065" s="44"/>
      <c r="C1065" s="44"/>
      <c r="D1065" s="44"/>
      <c r="E1065" s="44"/>
      <c r="F1065" s="44"/>
      <c r="G1065" s="34" t="str">
        <f aca="false">IF(F1065&lt;&gt;"",F1065,IF(E1065="","",IFERROR(INDEX(I_Item!$C$6:$C$255,MATCH(E1065,I_Item!$A$6:$A$255,0)),"KODE BARU")))</f>
        <v/>
      </c>
      <c r="H1065" s="45"/>
      <c r="I1065" s="42"/>
      <c r="J1065" s="11" t="str">
        <f aca="false">IF(H1065="","",H1065*I1065)</f>
        <v/>
      </c>
      <c r="K1065" s="42"/>
      <c r="L1065" s="11" t="str">
        <f aca="false">IF(H1065="","",IF(K1065&lt;&gt;"",K1065,H1065*IFERROR(INDEX(O_Stok!$Q$6:$Q$85,MATCH(G1065,O_Stok!$A$6:$A$85,0)),0)))</f>
        <v/>
      </c>
      <c r="M1065" s="11" t="str">
        <f aca="false">IF(H1065="","",J1065-L1065)</f>
        <v/>
      </c>
      <c r="N1065" s="34" t="str">
        <f aca="false">IF(G1065="","",IFERROR(INDEX(I_Master!$B$6:$B$85,MATCH(G1065,I_Master!$A$6:$A$85,0)),"?"))</f>
        <v/>
      </c>
      <c r="O1065" s="34" t="str">
        <f aca="false">IF(G1065="","",IFERROR(INDEX(I_Master!$E$6:$E$85,MATCH(G1065,I_Master!$A$6:$A$85,0)),"?"))</f>
        <v/>
      </c>
      <c r="P1065" s="46" t="str">
        <f aca="false">IF(H1065="","",IF(OR(A1065&lt;I_Parameter!$C$5,A1065&gt;I_Parameter!$C$6),0,IF(B1065="Aktual",1,IF(AND(B1065="Order",A1065&gt;=I_Parameter!$C$4),1,0))))</f>
        <v/>
      </c>
    </row>
    <row r="1066" customFormat="false" ht="15" hidden="false" customHeight="false" outlineLevel="0" collapsed="false">
      <c r="A1066" s="37"/>
      <c r="B1066" s="44"/>
      <c r="C1066" s="44"/>
      <c r="D1066" s="44"/>
      <c r="E1066" s="44"/>
      <c r="F1066" s="44"/>
      <c r="G1066" s="34" t="str">
        <f aca="false">IF(F1066&lt;&gt;"",F1066,IF(E1066="","",IFERROR(INDEX(I_Item!$C$6:$C$255,MATCH(E1066,I_Item!$A$6:$A$255,0)),"KODE BARU")))</f>
        <v/>
      </c>
      <c r="H1066" s="45"/>
      <c r="I1066" s="42"/>
      <c r="J1066" s="11" t="str">
        <f aca="false">IF(H1066="","",H1066*I1066)</f>
        <v/>
      </c>
      <c r="K1066" s="42"/>
      <c r="L1066" s="11" t="str">
        <f aca="false">IF(H1066="","",IF(K1066&lt;&gt;"",K1066,H1066*IFERROR(INDEX(O_Stok!$Q$6:$Q$85,MATCH(G1066,O_Stok!$A$6:$A$85,0)),0)))</f>
        <v/>
      </c>
      <c r="M1066" s="11" t="str">
        <f aca="false">IF(H1066="","",J1066-L1066)</f>
        <v/>
      </c>
      <c r="N1066" s="34" t="str">
        <f aca="false">IF(G1066="","",IFERROR(INDEX(I_Master!$B$6:$B$85,MATCH(G1066,I_Master!$A$6:$A$85,0)),"?"))</f>
        <v/>
      </c>
      <c r="O1066" s="34" t="str">
        <f aca="false">IF(G1066="","",IFERROR(INDEX(I_Master!$E$6:$E$85,MATCH(G1066,I_Master!$A$6:$A$85,0)),"?"))</f>
        <v/>
      </c>
      <c r="P1066" s="46" t="str">
        <f aca="false">IF(H1066="","",IF(OR(A1066&lt;I_Parameter!$C$5,A1066&gt;I_Parameter!$C$6),0,IF(B1066="Aktual",1,IF(AND(B1066="Order",A1066&gt;=I_Parameter!$C$4),1,0))))</f>
        <v/>
      </c>
    </row>
    <row r="1067" customFormat="false" ht="15" hidden="false" customHeight="false" outlineLevel="0" collapsed="false">
      <c r="A1067" s="37"/>
      <c r="B1067" s="44"/>
      <c r="C1067" s="44"/>
      <c r="D1067" s="44"/>
      <c r="E1067" s="44"/>
      <c r="F1067" s="44"/>
      <c r="G1067" s="34" t="str">
        <f aca="false">IF(F1067&lt;&gt;"",F1067,IF(E1067="","",IFERROR(INDEX(I_Item!$C$6:$C$255,MATCH(E1067,I_Item!$A$6:$A$255,0)),"KODE BARU")))</f>
        <v/>
      </c>
      <c r="H1067" s="45"/>
      <c r="I1067" s="42"/>
      <c r="J1067" s="11" t="str">
        <f aca="false">IF(H1067="","",H1067*I1067)</f>
        <v/>
      </c>
      <c r="K1067" s="42"/>
      <c r="L1067" s="11" t="str">
        <f aca="false">IF(H1067="","",IF(K1067&lt;&gt;"",K1067,H1067*IFERROR(INDEX(O_Stok!$Q$6:$Q$85,MATCH(G1067,O_Stok!$A$6:$A$85,0)),0)))</f>
        <v/>
      </c>
      <c r="M1067" s="11" t="str">
        <f aca="false">IF(H1067="","",J1067-L1067)</f>
        <v/>
      </c>
      <c r="N1067" s="34" t="str">
        <f aca="false">IF(G1067="","",IFERROR(INDEX(I_Master!$B$6:$B$85,MATCH(G1067,I_Master!$A$6:$A$85,0)),"?"))</f>
        <v/>
      </c>
      <c r="O1067" s="34" t="str">
        <f aca="false">IF(G1067="","",IFERROR(INDEX(I_Master!$E$6:$E$85,MATCH(G1067,I_Master!$A$6:$A$85,0)),"?"))</f>
        <v/>
      </c>
      <c r="P1067" s="46" t="str">
        <f aca="false">IF(H1067="","",IF(OR(A1067&lt;I_Parameter!$C$5,A1067&gt;I_Parameter!$C$6),0,IF(B1067="Aktual",1,IF(AND(B1067="Order",A1067&gt;=I_Parameter!$C$4),1,0))))</f>
        <v/>
      </c>
    </row>
    <row r="1068" customFormat="false" ht="15" hidden="false" customHeight="false" outlineLevel="0" collapsed="false">
      <c r="A1068" s="37"/>
      <c r="B1068" s="44"/>
      <c r="C1068" s="44"/>
      <c r="D1068" s="44"/>
      <c r="E1068" s="44"/>
      <c r="F1068" s="44"/>
      <c r="G1068" s="34" t="str">
        <f aca="false">IF(F1068&lt;&gt;"",F1068,IF(E1068="","",IFERROR(INDEX(I_Item!$C$6:$C$255,MATCH(E1068,I_Item!$A$6:$A$255,0)),"KODE BARU")))</f>
        <v/>
      </c>
      <c r="H1068" s="45"/>
      <c r="I1068" s="42"/>
      <c r="J1068" s="11" t="str">
        <f aca="false">IF(H1068="","",H1068*I1068)</f>
        <v/>
      </c>
      <c r="K1068" s="42"/>
      <c r="L1068" s="11" t="str">
        <f aca="false">IF(H1068="","",IF(K1068&lt;&gt;"",K1068,H1068*IFERROR(INDEX(O_Stok!$Q$6:$Q$85,MATCH(G1068,O_Stok!$A$6:$A$85,0)),0)))</f>
        <v/>
      </c>
      <c r="M1068" s="11" t="str">
        <f aca="false">IF(H1068="","",J1068-L1068)</f>
        <v/>
      </c>
      <c r="N1068" s="34" t="str">
        <f aca="false">IF(G1068="","",IFERROR(INDEX(I_Master!$B$6:$B$85,MATCH(G1068,I_Master!$A$6:$A$85,0)),"?"))</f>
        <v/>
      </c>
      <c r="O1068" s="34" t="str">
        <f aca="false">IF(G1068="","",IFERROR(INDEX(I_Master!$E$6:$E$85,MATCH(G1068,I_Master!$A$6:$A$85,0)),"?"))</f>
        <v/>
      </c>
      <c r="P1068" s="46" t="str">
        <f aca="false">IF(H1068="","",IF(OR(A1068&lt;I_Parameter!$C$5,A1068&gt;I_Parameter!$C$6),0,IF(B1068="Aktual",1,IF(AND(B1068="Order",A1068&gt;=I_Parameter!$C$4),1,0))))</f>
        <v/>
      </c>
    </row>
    <row r="1069" customFormat="false" ht="15" hidden="false" customHeight="false" outlineLevel="0" collapsed="false">
      <c r="A1069" s="37"/>
      <c r="B1069" s="44"/>
      <c r="C1069" s="44"/>
      <c r="D1069" s="44"/>
      <c r="E1069" s="44"/>
      <c r="F1069" s="44"/>
      <c r="G1069" s="34" t="str">
        <f aca="false">IF(F1069&lt;&gt;"",F1069,IF(E1069="","",IFERROR(INDEX(I_Item!$C$6:$C$255,MATCH(E1069,I_Item!$A$6:$A$255,0)),"KODE BARU")))</f>
        <v/>
      </c>
      <c r="H1069" s="45"/>
      <c r="I1069" s="42"/>
      <c r="J1069" s="11" t="str">
        <f aca="false">IF(H1069="","",H1069*I1069)</f>
        <v/>
      </c>
      <c r="K1069" s="42"/>
      <c r="L1069" s="11" t="str">
        <f aca="false">IF(H1069="","",IF(K1069&lt;&gt;"",K1069,H1069*IFERROR(INDEX(O_Stok!$Q$6:$Q$85,MATCH(G1069,O_Stok!$A$6:$A$85,0)),0)))</f>
        <v/>
      </c>
      <c r="M1069" s="11" t="str">
        <f aca="false">IF(H1069="","",J1069-L1069)</f>
        <v/>
      </c>
      <c r="N1069" s="34" t="str">
        <f aca="false">IF(G1069="","",IFERROR(INDEX(I_Master!$B$6:$B$85,MATCH(G1069,I_Master!$A$6:$A$85,0)),"?"))</f>
        <v/>
      </c>
      <c r="O1069" s="34" t="str">
        <f aca="false">IF(G1069="","",IFERROR(INDEX(I_Master!$E$6:$E$85,MATCH(G1069,I_Master!$A$6:$A$85,0)),"?"))</f>
        <v/>
      </c>
      <c r="P1069" s="46" t="str">
        <f aca="false">IF(H1069="","",IF(OR(A1069&lt;I_Parameter!$C$5,A1069&gt;I_Parameter!$C$6),0,IF(B1069="Aktual",1,IF(AND(B1069="Order",A1069&gt;=I_Parameter!$C$4),1,0))))</f>
        <v/>
      </c>
    </row>
    <row r="1070" customFormat="false" ht="15" hidden="false" customHeight="false" outlineLevel="0" collapsed="false">
      <c r="A1070" s="37"/>
      <c r="B1070" s="44"/>
      <c r="C1070" s="44"/>
      <c r="D1070" s="44"/>
      <c r="E1070" s="44"/>
      <c r="F1070" s="44"/>
      <c r="G1070" s="34" t="str">
        <f aca="false">IF(F1070&lt;&gt;"",F1070,IF(E1070="","",IFERROR(INDEX(I_Item!$C$6:$C$255,MATCH(E1070,I_Item!$A$6:$A$255,0)),"KODE BARU")))</f>
        <v/>
      </c>
      <c r="H1070" s="45"/>
      <c r="I1070" s="42"/>
      <c r="J1070" s="11" t="str">
        <f aca="false">IF(H1070="","",H1070*I1070)</f>
        <v/>
      </c>
      <c r="K1070" s="42"/>
      <c r="L1070" s="11" t="str">
        <f aca="false">IF(H1070="","",IF(K1070&lt;&gt;"",K1070,H1070*IFERROR(INDEX(O_Stok!$Q$6:$Q$85,MATCH(G1070,O_Stok!$A$6:$A$85,0)),0)))</f>
        <v/>
      </c>
      <c r="M1070" s="11" t="str">
        <f aca="false">IF(H1070="","",J1070-L1070)</f>
        <v/>
      </c>
      <c r="N1070" s="34" t="str">
        <f aca="false">IF(G1070="","",IFERROR(INDEX(I_Master!$B$6:$B$85,MATCH(G1070,I_Master!$A$6:$A$85,0)),"?"))</f>
        <v/>
      </c>
      <c r="O1070" s="34" t="str">
        <f aca="false">IF(G1070="","",IFERROR(INDEX(I_Master!$E$6:$E$85,MATCH(G1070,I_Master!$A$6:$A$85,0)),"?"))</f>
        <v/>
      </c>
      <c r="P1070" s="46" t="str">
        <f aca="false">IF(H1070="","",IF(OR(A1070&lt;I_Parameter!$C$5,A1070&gt;I_Parameter!$C$6),0,IF(B1070="Aktual",1,IF(AND(B1070="Order",A1070&gt;=I_Parameter!$C$4),1,0))))</f>
        <v/>
      </c>
    </row>
    <row r="1071" customFormat="false" ht="15" hidden="false" customHeight="false" outlineLevel="0" collapsed="false">
      <c r="A1071" s="37"/>
      <c r="B1071" s="44"/>
      <c r="C1071" s="44"/>
      <c r="D1071" s="44"/>
      <c r="E1071" s="44"/>
      <c r="F1071" s="44"/>
      <c r="G1071" s="34" t="str">
        <f aca="false">IF(F1071&lt;&gt;"",F1071,IF(E1071="","",IFERROR(INDEX(I_Item!$C$6:$C$255,MATCH(E1071,I_Item!$A$6:$A$255,0)),"KODE BARU")))</f>
        <v/>
      </c>
      <c r="H1071" s="45"/>
      <c r="I1071" s="42"/>
      <c r="J1071" s="11" t="str">
        <f aca="false">IF(H1071="","",H1071*I1071)</f>
        <v/>
      </c>
      <c r="K1071" s="42"/>
      <c r="L1071" s="11" t="str">
        <f aca="false">IF(H1071="","",IF(K1071&lt;&gt;"",K1071,H1071*IFERROR(INDEX(O_Stok!$Q$6:$Q$85,MATCH(G1071,O_Stok!$A$6:$A$85,0)),0)))</f>
        <v/>
      </c>
      <c r="M1071" s="11" t="str">
        <f aca="false">IF(H1071="","",J1071-L1071)</f>
        <v/>
      </c>
      <c r="N1071" s="34" t="str">
        <f aca="false">IF(G1071="","",IFERROR(INDEX(I_Master!$B$6:$B$85,MATCH(G1071,I_Master!$A$6:$A$85,0)),"?"))</f>
        <v/>
      </c>
      <c r="O1071" s="34" t="str">
        <f aca="false">IF(G1071="","",IFERROR(INDEX(I_Master!$E$6:$E$85,MATCH(G1071,I_Master!$A$6:$A$85,0)),"?"))</f>
        <v/>
      </c>
      <c r="P1071" s="46" t="str">
        <f aca="false">IF(H1071="","",IF(OR(A1071&lt;I_Parameter!$C$5,A1071&gt;I_Parameter!$C$6),0,IF(B1071="Aktual",1,IF(AND(B1071="Order",A1071&gt;=I_Parameter!$C$4),1,0))))</f>
        <v/>
      </c>
    </row>
    <row r="1072" customFormat="false" ht="15" hidden="false" customHeight="false" outlineLevel="0" collapsed="false">
      <c r="A1072" s="37"/>
      <c r="B1072" s="44"/>
      <c r="C1072" s="44"/>
      <c r="D1072" s="44"/>
      <c r="E1072" s="44"/>
      <c r="F1072" s="44"/>
      <c r="G1072" s="34" t="str">
        <f aca="false">IF(F1072&lt;&gt;"",F1072,IF(E1072="","",IFERROR(INDEX(I_Item!$C$6:$C$255,MATCH(E1072,I_Item!$A$6:$A$255,0)),"KODE BARU")))</f>
        <v/>
      </c>
      <c r="H1072" s="45"/>
      <c r="I1072" s="42"/>
      <c r="J1072" s="11" t="str">
        <f aca="false">IF(H1072="","",H1072*I1072)</f>
        <v/>
      </c>
      <c r="K1072" s="42"/>
      <c r="L1072" s="11" t="str">
        <f aca="false">IF(H1072="","",IF(K1072&lt;&gt;"",K1072,H1072*IFERROR(INDEX(O_Stok!$Q$6:$Q$85,MATCH(G1072,O_Stok!$A$6:$A$85,0)),0)))</f>
        <v/>
      </c>
      <c r="M1072" s="11" t="str">
        <f aca="false">IF(H1072="","",J1072-L1072)</f>
        <v/>
      </c>
      <c r="N1072" s="34" t="str">
        <f aca="false">IF(G1072="","",IFERROR(INDEX(I_Master!$B$6:$B$85,MATCH(G1072,I_Master!$A$6:$A$85,0)),"?"))</f>
        <v/>
      </c>
      <c r="O1072" s="34" t="str">
        <f aca="false">IF(G1072="","",IFERROR(INDEX(I_Master!$E$6:$E$85,MATCH(G1072,I_Master!$A$6:$A$85,0)),"?"))</f>
        <v/>
      </c>
      <c r="P1072" s="46" t="str">
        <f aca="false">IF(H1072="","",IF(OR(A1072&lt;I_Parameter!$C$5,A1072&gt;I_Parameter!$C$6),0,IF(B1072="Aktual",1,IF(AND(B1072="Order",A1072&gt;=I_Parameter!$C$4),1,0))))</f>
        <v/>
      </c>
    </row>
    <row r="1073" customFormat="false" ht="15" hidden="false" customHeight="false" outlineLevel="0" collapsed="false">
      <c r="A1073" s="37"/>
      <c r="B1073" s="44"/>
      <c r="C1073" s="44"/>
      <c r="D1073" s="44"/>
      <c r="E1073" s="44"/>
      <c r="F1073" s="44"/>
      <c r="G1073" s="34" t="str">
        <f aca="false">IF(F1073&lt;&gt;"",F1073,IF(E1073="","",IFERROR(INDEX(I_Item!$C$6:$C$255,MATCH(E1073,I_Item!$A$6:$A$255,0)),"KODE BARU")))</f>
        <v/>
      </c>
      <c r="H1073" s="45"/>
      <c r="I1073" s="42"/>
      <c r="J1073" s="11" t="str">
        <f aca="false">IF(H1073="","",H1073*I1073)</f>
        <v/>
      </c>
      <c r="K1073" s="42"/>
      <c r="L1073" s="11" t="str">
        <f aca="false">IF(H1073="","",IF(K1073&lt;&gt;"",K1073,H1073*IFERROR(INDEX(O_Stok!$Q$6:$Q$85,MATCH(G1073,O_Stok!$A$6:$A$85,0)),0)))</f>
        <v/>
      </c>
      <c r="M1073" s="11" t="str">
        <f aca="false">IF(H1073="","",J1073-L1073)</f>
        <v/>
      </c>
      <c r="N1073" s="34" t="str">
        <f aca="false">IF(G1073="","",IFERROR(INDEX(I_Master!$B$6:$B$85,MATCH(G1073,I_Master!$A$6:$A$85,0)),"?"))</f>
        <v/>
      </c>
      <c r="O1073" s="34" t="str">
        <f aca="false">IF(G1073="","",IFERROR(INDEX(I_Master!$E$6:$E$85,MATCH(G1073,I_Master!$A$6:$A$85,0)),"?"))</f>
        <v/>
      </c>
      <c r="P1073" s="46" t="str">
        <f aca="false">IF(H1073="","",IF(OR(A1073&lt;I_Parameter!$C$5,A1073&gt;I_Parameter!$C$6),0,IF(B1073="Aktual",1,IF(AND(B1073="Order",A1073&gt;=I_Parameter!$C$4),1,0))))</f>
        <v/>
      </c>
    </row>
    <row r="1074" customFormat="false" ht="15" hidden="false" customHeight="false" outlineLevel="0" collapsed="false">
      <c r="A1074" s="37"/>
      <c r="B1074" s="44"/>
      <c r="C1074" s="44"/>
      <c r="D1074" s="44"/>
      <c r="E1074" s="44"/>
      <c r="F1074" s="44"/>
      <c r="G1074" s="34" t="str">
        <f aca="false">IF(F1074&lt;&gt;"",F1074,IF(E1074="","",IFERROR(INDEX(I_Item!$C$6:$C$255,MATCH(E1074,I_Item!$A$6:$A$255,0)),"KODE BARU")))</f>
        <v/>
      </c>
      <c r="H1074" s="45"/>
      <c r="I1074" s="42"/>
      <c r="J1074" s="11" t="str">
        <f aca="false">IF(H1074="","",H1074*I1074)</f>
        <v/>
      </c>
      <c r="K1074" s="42"/>
      <c r="L1074" s="11" t="str">
        <f aca="false">IF(H1074="","",IF(K1074&lt;&gt;"",K1074,H1074*IFERROR(INDEX(O_Stok!$Q$6:$Q$85,MATCH(G1074,O_Stok!$A$6:$A$85,0)),0)))</f>
        <v/>
      </c>
      <c r="M1074" s="11" t="str">
        <f aca="false">IF(H1074="","",J1074-L1074)</f>
        <v/>
      </c>
      <c r="N1074" s="34" t="str">
        <f aca="false">IF(G1074="","",IFERROR(INDEX(I_Master!$B$6:$B$85,MATCH(G1074,I_Master!$A$6:$A$85,0)),"?"))</f>
        <v/>
      </c>
      <c r="O1074" s="34" t="str">
        <f aca="false">IF(G1074="","",IFERROR(INDEX(I_Master!$E$6:$E$85,MATCH(G1074,I_Master!$A$6:$A$85,0)),"?"))</f>
        <v/>
      </c>
      <c r="P1074" s="46" t="str">
        <f aca="false">IF(H1074="","",IF(OR(A1074&lt;I_Parameter!$C$5,A1074&gt;I_Parameter!$C$6),0,IF(B1074="Aktual",1,IF(AND(B1074="Order",A1074&gt;=I_Parameter!$C$4),1,0))))</f>
        <v/>
      </c>
    </row>
    <row r="1075" customFormat="false" ht="15" hidden="false" customHeight="false" outlineLevel="0" collapsed="false">
      <c r="A1075" s="37"/>
      <c r="B1075" s="44"/>
      <c r="C1075" s="44"/>
      <c r="D1075" s="44"/>
      <c r="E1075" s="44"/>
      <c r="F1075" s="44"/>
      <c r="G1075" s="34" t="str">
        <f aca="false">IF(F1075&lt;&gt;"",F1075,IF(E1075="","",IFERROR(INDEX(I_Item!$C$6:$C$255,MATCH(E1075,I_Item!$A$6:$A$255,0)),"KODE BARU")))</f>
        <v/>
      </c>
      <c r="H1075" s="45"/>
      <c r="I1075" s="42"/>
      <c r="J1075" s="11" t="str">
        <f aca="false">IF(H1075="","",H1075*I1075)</f>
        <v/>
      </c>
      <c r="K1075" s="42"/>
      <c r="L1075" s="11" t="str">
        <f aca="false">IF(H1075="","",IF(K1075&lt;&gt;"",K1075,H1075*IFERROR(INDEX(O_Stok!$Q$6:$Q$85,MATCH(G1075,O_Stok!$A$6:$A$85,0)),0)))</f>
        <v/>
      </c>
      <c r="M1075" s="11" t="str">
        <f aca="false">IF(H1075="","",J1075-L1075)</f>
        <v/>
      </c>
      <c r="N1075" s="34" t="str">
        <f aca="false">IF(G1075="","",IFERROR(INDEX(I_Master!$B$6:$B$85,MATCH(G1075,I_Master!$A$6:$A$85,0)),"?"))</f>
        <v/>
      </c>
      <c r="O1075" s="34" t="str">
        <f aca="false">IF(G1075="","",IFERROR(INDEX(I_Master!$E$6:$E$85,MATCH(G1075,I_Master!$A$6:$A$85,0)),"?"))</f>
        <v/>
      </c>
      <c r="P1075" s="46" t="str">
        <f aca="false">IF(H1075="","",IF(OR(A1075&lt;I_Parameter!$C$5,A1075&gt;I_Parameter!$C$6),0,IF(B1075="Aktual",1,IF(AND(B1075="Order",A1075&gt;=I_Parameter!$C$4),1,0))))</f>
        <v/>
      </c>
    </row>
    <row r="1076" customFormat="false" ht="15" hidden="false" customHeight="false" outlineLevel="0" collapsed="false">
      <c r="A1076" s="37"/>
      <c r="B1076" s="44"/>
      <c r="C1076" s="44"/>
      <c r="D1076" s="44"/>
      <c r="E1076" s="44"/>
      <c r="F1076" s="44"/>
      <c r="G1076" s="34" t="str">
        <f aca="false">IF(F1076&lt;&gt;"",F1076,IF(E1076="","",IFERROR(INDEX(I_Item!$C$6:$C$255,MATCH(E1076,I_Item!$A$6:$A$255,0)),"KODE BARU")))</f>
        <v/>
      </c>
      <c r="H1076" s="45"/>
      <c r="I1076" s="42"/>
      <c r="J1076" s="11" t="str">
        <f aca="false">IF(H1076="","",H1076*I1076)</f>
        <v/>
      </c>
      <c r="K1076" s="42"/>
      <c r="L1076" s="11" t="str">
        <f aca="false">IF(H1076="","",IF(K1076&lt;&gt;"",K1076,H1076*IFERROR(INDEX(O_Stok!$Q$6:$Q$85,MATCH(G1076,O_Stok!$A$6:$A$85,0)),0)))</f>
        <v/>
      </c>
      <c r="M1076" s="11" t="str">
        <f aca="false">IF(H1076="","",J1076-L1076)</f>
        <v/>
      </c>
      <c r="N1076" s="34" t="str">
        <f aca="false">IF(G1076="","",IFERROR(INDEX(I_Master!$B$6:$B$85,MATCH(G1076,I_Master!$A$6:$A$85,0)),"?"))</f>
        <v/>
      </c>
      <c r="O1076" s="34" t="str">
        <f aca="false">IF(G1076="","",IFERROR(INDEX(I_Master!$E$6:$E$85,MATCH(G1076,I_Master!$A$6:$A$85,0)),"?"))</f>
        <v/>
      </c>
      <c r="P1076" s="46" t="str">
        <f aca="false">IF(H1076="","",IF(OR(A1076&lt;I_Parameter!$C$5,A1076&gt;I_Parameter!$C$6),0,IF(B1076="Aktual",1,IF(AND(B1076="Order",A1076&gt;=I_Parameter!$C$4),1,0))))</f>
        <v/>
      </c>
    </row>
    <row r="1077" customFormat="false" ht="15" hidden="false" customHeight="false" outlineLevel="0" collapsed="false">
      <c r="A1077" s="37"/>
      <c r="B1077" s="44"/>
      <c r="C1077" s="44"/>
      <c r="D1077" s="44"/>
      <c r="E1077" s="44"/>
      <c r="F1077" s="44"/>
      <c r="G1077" s="34" t="str">
        <f aca="false">IF(F1077&lt;&gt;"",F1077,IF(E1077="","",IFERROR(INDEX(I_Item!$C$6:$C$255,MATCH(E1077,I_Item!$A$6:$A$255,0)),"KODE BARU")))</f>
        <v/>
      </c>
      <c r="H1077" s="45"/>
      <c r="I1077" s="42"/>
      <c r="J1077" s="11" t="str">
        <f aca="false">IF(H1077="","",H1077*I1077)</f>
        <v/>
      </c>
      <c r="K1077" s="42"/>
      <c r="L1077" s="11" t="str">
        <f aca="false">IF(H1077="","",IF(K1077&lt;&gt;"",K1077,H1077*IFERROR(INDEX(O_Stok!$Q$6:$Q$85,MATCH(G1077,O_Stok!$A$6:$A$85,0)),0)))</f>
        <v/>
      </c>
      <c r="M1077" s="11" t="str">
        <f aca="false">IF(H1077="","",J1077-L1077)</f>
        <v/>
      </c>
      <c r="N1077" s="34" t="str">
        <f aca="false">IF(G1077="","",IFERROR(INDEX(I_Master!$B$6:$B$85,MATCH(G1077,I_Master!$A$6:$A$85,0)),"?"))</f>
        <v/>
      </c>
      <c r="O1077" s="34" t="str">
        <f aca="false">IF(G1077="","",IFERROR(INDEX(I_Master!$E$6:$E$85,MATCH(G1077,I_Master!$A$6:$A$85,0)),"?"))</f>
        <v/>
      </c>
      <c r="P1077" s="46" t="str">
        <f aca="false">IF(H1077="","",IF(OR(A1077&lt;I_Parameter!$C$5,A1077&gt;I_Parameter!$C$6),0,IF(B1077="Aktual",1,IF(AND(B1077="Order",A1077&gt;=I_Parameter!$C$4),1,0))))</f>
        <v/>
      </c>
    </row>
    <row r="1078" customFormat="false" ht="15" hidden="false" customHeight="false" outlineLevel="0" collapsed="false">
      <c r="A1078" s="37"/>
      <c r="B1078" s="44"/>
      <c r="C1078" s="44"/>
      <c r="D1078" s="44"/>
      <c r="E1078" s="44"/>
      <c r="F1078" s="44"/>
      <c r="G1078" s="34" t="str">
        <f aca="false">IF(F1078&lt;&gt;"",F1078,IF(E1078="","",IFERROR(INDEX(I_Item!$C$6:$C$255,MATCH(E1078,I_Item!$A$6:$A$255,0)),"KODE BARU")))</f>
        <v/>
      </c>
      <c r="H1078" s="45"/>
      <c r="I1078" s="42"/>
      <c r="J1078" s="11" t="str">
        <f aca="false">IF(H1078="","",H1078*I1078)</f>
        <v/>
      </c>
      <c r="K1078" s="42"/>
      <c r="L1078" s="11" t="str">
        <f aca="false">IF(H1078="","",IF(K1078&lt;&gt;"",K1078,H1078*IFERROR(INDEX(O_Stok!$Q$6:$Q$85,MATCH(G1078,O_Stok!$A$6:$A$85,0)),0)))</f>
        <v/>
      </c>
      <c r="M1078" s="11" t="str">
        <f aca="false">IF(H1078="","",J1078-L1078)</f>
        <v/>
      </c>
      <c r="N1078" s="34" t="str">
        <f aca="false">IF(G1078="","",IFERROR(INDEX(I_Master!$B$6:$B$85,MATCH(G1078,I_Master!$A$6:$A$85,0)),"?"))</f>
        <v/>
      </c>
      <c r="O1078" s="34" t="str">
        <f aca="false">IF(G1078="","",IFERROR(INDEX(I_Master!$E$6:$E$85,MATCH(G1078,I_Master!$A$6:$A$85,0)),"?"))</f>
        <v/>
      </c>
      <c r="P1078" s="46" t="str">
        <f aca="false">IF(H1078="","",IF(OR(A1078&lt;I_Parameter!$C$5,A1078&gt;I_Parameter!$C$6),0,IF(B1078="Aktual",1,IF(AND(B1078="Order",A1078&gt;=I_Parameter!$C$4),1,0))))</f>
        <v/>
      </c>
    </row>
    <row r="1079" customFormat="false" ht="15" hidden="false" customHeight="false" outlineLevel="0" collapsed="false">
      <c r="A1079" s="37"/>
      <c r="B1079" s="44"/>
      <c r="C1079" s="44"/>
      <c r="D1079" s="44"/>
      <c r="E1079" s="44"/>
      <c r="F1079" s="44"/>
      <c r="G1079" s="34" t="str">
        <f aca="false">IF(F1079&lt;&gt;"",F1079,IF(E1079="","",IFERROR(INDEX(I_Item!$C$6:$C$255,MATCH(E1079,I_Item!$A$6:$A$255,0)),"KODE BARU")))</f>
        <v/>
      </c>
      <c r="H1079" s="45"/>
      <c r="I1079" s="42"/>
      <c r="J1079" s="11" t="str">
        <f aca="false">IF(H1079="","",H1079*I1079)</f>
        <v/>
      </c>
      <c r="K1079" s="42"/>
      <c r="L1079" s="11" t="str">
        <f aca="false">IF(H1079="","",IF(K1079&lt;&gt;"",K1079,H1079*IFERROR(INDEX(O_Stok!$Q$6:$Q$85,MATCH(G1079,O_Stok!$A$6:$A$85,0)),0)))</f>
        <v/>
      </c>
      <c r="M1079" s="11" t="str">
        <f aca="false">IF(H1079="","",J1079-L1079)</f>
        <v/>
      </c>
      <c r="N1079" s="34" t="str">
        <f aca="false">IF(G1079="","",IFERROR(INDEX(I_Master!$B$6:$B$85,MATCH(G1079,I_Master!$A$6:$A$85,0)),"?"))</f>
        <v/>
      </c>
      <c r="O1079" s="34" t="str">
        <f aca="false">IF(G1079="","",IFERROR(INDEX(I_Master!$E$6:$E$85,MATCH(G1079,I_Master!$A$6:$A$85,0)),"?"))</f>
        <v/>
      </c>
      <c r="P1079" s="46" t="str">
        <f aca="false">IF(H1079="","",IF(OR(A1079&lt;I_Parameter!$C$5,A1079&gt;I_Parameter!$C$6),0,IF(B1079="Aktual",1,IF(AND(B1079="Order",A1079&gt;=I_Parameter!$C$4),1,0))))</f>
        <v/>
      </c>
    </row>
    <row r="1080" customFormat="false" ht="15" hidden="false" customHeight="false" outlineLevel="0" collapsed="false">
      <c r="A1080" s="37"/>
      <c r="B1080" s="44"/>
      <c r="C1080" s="44"/>
      <c r="D1080" s="44"/>
      <c r="E1080" s="44"/>
      <c r="F1080" s="44"/>
      <c r="G1080" s="34" t="str">
        <f aca="false">IF(F1080&lt;&gt;"",F1080,IF(E1080="","",IFERROR(INDEX(I_Item!$C$6:$C$255,MATCH(E1080,I_Item!$A$6:$A$255,0)),"KODE BARU")))</f>
        <v/>
      </c>
      <c r="H1080" s="45"/>
      <c r="I1080" s="42"/>
      <c r="J1080" s="11" t="str">
        <f aca="false">IF(H1080="","",H1080*I1080)</f>
        <v/>
      </c>
      <c r="K1080" s="42"/>
      <c r="L1080" s="11" t="str">
        <f aca="false">IF(H1080="","",IF(K1080&lt;&gt;"",K1080,H1080*IFERROR(INDEX(O_Stok!$Q$6:$Q$85,MATCH(G1080,O_Stok!$A$6:$A$85,0)),0)))</f>
        <v/>
      </c>
      <c r="M1080" s="11" t="str">
        <f aca="false">IF(H1080="","",J1080-L1080)</f>
        <v/>
      </c>
      <c r="N1080" s="34" t="str">
        <f aca="false">IF(G1080="","",IFERROR(INDEX(I_Master!$B$6:$B$85,MATCH(G1080,I_Master!$A$6:$A$85,0)),"?"))</f>
        <v/>
      </c>
      <c r="O1080" s="34" t="str">
        <f aca="false">IF(G1080="","",IFERROR(INDEX(I_Master!$E$6:$E$85,MATCH(G1080,I_Master!$A$6:$A$85,0)),"?"))</f>
        <v/>
      </c>
      <c r="P1080" s="46" t="str">
        <f aca="false">IF(H1080="","",IF(OR(A1080&lt;I_Parameter!$C$5,A1080&gt;I_Parameter!$C$6),0,IF(B1080="Aktual",1,IF(AND(B1080="Order",A1080&gt;=I_Parameter!$C$4),1,0))))</f>
        <v/>
      </c>
    </row>
    <row r="1081" customFormat="false" ht="15" hidden="false" customHeight="false" outlineLevel="0" collapsed="false">
      <c r="A1081" s="37"/>
      <c r="B1081" s="44"/>
      <c r="C1081" s="44"/>
      <c r="D1081" s="44"/>
      <c r="E1081" s="44"/>
      <c r="F1081" s="44"/>
      <c r="G1081" s="34" t="str">
        <f aca="false">IF(F1081&lt;&gt;"",F1081,IF(E1081="","",IFERROR(INDEX(I_Item!$C$6:$C$255,MATCH(E1081,I_Item!$A$6:$A$255,0)),"KODE BARU")))</f>
        <v/>
      </c>
      <c r="H1081" s="45"/>
      <c r="I1081" s="42"/>
      <c r="J1081" s="11" t="str">
        <f aca="false">IF(H1081="","",H1081*I1081)</f>
        <v/>
      </c>
      <c r="K1081" s="42"/>
      <c r="L1081" s="11" t="str">
        <f aca="false">IF(H1081="","",IF(K1081&lt;&gt;"",K1081,H1081*IFERROR(INDEX(O_Stok!$Q$6:$Q$85,MATCH(G1081,O_Stok!$A$6:$A$85,0)),0)))</f>
        <v/>
      </c>
      <c r="M1081" s="11" t="str">
        <f aca="false">IF(H1081="","",J1081-L1081)</f>
        <v/>
      </c>
      <c r="N1081" s="34" t="str">
        <f aca="false">IF(G1081="","",IFERROR(INDEX(I_Master!$B$6:$B$85,MATCH(G1081,I_Master!$A$6:$A$85,0)),"?"))</f>
        <v/>
      </c>
      <c r="O1081" s="34" t="str">
        <f aca="false">IF(G1081="","",IFERROR(INDEX(I_Master!$E$6:$E$85,MATCH(G1081,I_Master!$A$6:$A$85,0)),"?"))</f>
        <v/>
      </c>
      <c r="P1081" s="46" t="str">
        <f aca="false">IF(H1081="","",IF(OR(A1081&lt;I_Parameter!$C$5,A1081&gt;I_Parameter!$C$6),0,IF(B1081="Aktual",1,IF(AND(B1081="Order",A1081&gt;=I_Parameter!$C$4),1,0))))</f>
        <v/>
      </c>
    </row>
    <row r="1082" customFormat="false" ht="15" hidden="false" customHeight="false" outlineLevel="0" collapsed="false">
      <c r="A1082" s="37"/>
      <c r="B1082" s="44"/>
      <c r="C1082" s="44"/>
      <c r="D1082" s="44"/>
      <c r="E1082" s="44"/>
      <c r="F1082" s="44"/>
      <c r="G1082" s="34" t="str">
        <f aca="false">IF(F1082&lt;&gt;"",F1082,IF(E1082="","",IFERROR(INDEX(I_Item!$C$6:$C$255,MATCH(E1082,I_Item!$A$6:$A$255,0)),"KODE BARU")))</f>
        <v/>
      </c>
      <c r="H1082" s="45"/>
      <c r="I1082" s="42"/>
      <c r="J1082" s="11" t="str">
        <f aca="false">IF(H1082="","",H1082*I1082)</f>
        <v/>
      </c>
      <c r="K1082" s="42"/>
      <c r="L1082" s="11" t="str">
        <f aca="false">IF(H1082="","",IF(K1082&lt;&gt;"",K1082,H1082*IFERROR(INDEX(O_Stok!$Q$6:$Q$85,MATCH(G1082,O_Stok!$A$6:$A$85,0)),0)))</f>
        <v/>
      </c>
      <c r="M1082" s="11" t="str">
        <f aca="false">IF(H1082="","",J1082-L1082)</f>
        <v/>
      </c>
      <c r="N1082" s="34" t="str">
        <f aca="false">IF(G1082="","",IFERROR(INDEX(I_Master!$B$6:$B$85,MATCH(G1082,I_Master!$A$6:$A$85,0)),"?"))</f>
        <v/>
      </c>
      <c r="O1082" s="34" t="str">
        <f aca="false">IF(G1082="","",IFERROR(INDEX(I_Master!$E$6:$E$85,MATCH(G1082,I_Master!$A$6:$A$85,0)),"?"))</f>
        <v/>
      </c>
      <c r="P1082" s="46" t="str">
        <f aca="false">IF(H1082="","",IF(OR(A1082&lt;I_Parameter!$C$5,A1082&gt;I_Parameter!$C$6),0,IF(B1082="Aktual",1,IF(AND(B1082="Order",A1082&gt;=I_Parameter!$C$4),1,0))))</f>
        <v/>
      </c>
    </row>
    <row r="1083" customFormat="false" ht="15" hidden="false" customHeight="false" outlineLevel="0" collapsed="false">
      <c r="A1083" s="37"/>
      <c r="B1083" s="44"/>
      <c r="C1083" s="44"/>
      <c r="D1083" s="44"/>
      <c r="E1083" s="44"/>
      <c r="F1083" s="44"/>
      <c r="G1083" s="34" t="str">
        <f aca="false">IF(F1083&lt;&gt;"",F1083,IF(E1083="","",IFERROR(INDEX(I_Item!$C$6:$C$255,MATCH(E1083,I_Item!$A$6:$A$255,0)),"KODE BARU")))</f>
        <v/>
      </c>
      <c r="H1083" s="45"/>
      <c r="I1083" s="42"/>
      <c r="J1083" s="11" t="str">
        <f aca="false">IF(H1083="","",H1083*I1083)</f>
        <v/>
      </c>
      <c r="K1083" s="42"/>
      <c r="L1083" s="11" t="str">
        <f aca="false">IF(H1083="","",IF(K1083&lt;&gt;"",K1083,H1083*IFERROR(INDEX(O_Stok!$Q$6:$Q$85,MATCH(G1083,O_Stok!$A$6:$A$85,0)),0)))</f>
        <v/>
      </c>
      <c r="M1083" s="11" t="str">
        <f aca="false">IF(H1083="","",J1083-L1083)</f>
        <v/>
      </c>
      <c r="N1083" s="34" t="str">
        <f aca="false">IF(G1083="","",IFERROR(INDEX(I_Master!$B$6:$B$85,MATCH(G1083,I_Master!$A$6:$A$85,0)),"?"))</f>
        <v/>
      </c>
      <c r="O1083" s="34" t="str">
        <f aca="false">IF(G1083="","",IFERROR(INDEX(I_Master!$E$6:$E$85,MATCH(G1083,I_Master!$A$6:$A$85,0)),"?"))</f>
        <v/>
      </c>
      <c r="P1083" s="46" t="str">
        <f aca="false">IF(H1083="","",IF(OR(A1083&lt;I_Parameter!$C$5,A1083&gt;I_Parameter!$C$6),0,IF(B1083="Aktual",1,IF(AND(B1083="Order",A1083&gt;=I_Parameter!$C$4),1,0))))</f>
        <v/>
      </c>
    </row>
    <row r="1084" customFormat="false" ht="15" hidden="false" customHeight="false" outlineLevel="0" collapsed="false">
      <c r="A1084" s="37"/>
      <c r="B1084" s="44"/>
      <c r="C1084" s="44"/>
      <c r="D1084" s="44"/>
      <c r="E1084" s="44"/>
      <c r="F1084" s="44"/>
      <c r="G1084" s="34" t="str">
        <f aca="false">IF(F1084&lt;&gt;"",F1084,IF(E1084="","",IFERROR(INDEX(I_Item!$C$6:$C$255,MATCH(E1084,I_Item!$A$6:$A$255,0)),"KODE BARU")))</f>
        <v/>
      </c>
      <c r="H1084" s="45"/>
      <c r="I1084" s="42"/>
      <c r="J1084" s="11" t="str">
        <f aca="false">IF(H1084="","",H1084*I1084)</f>
        <v/>
      </c>
      <c r="K1084" s="42"/>
      <c r="L1084" s="11" t="str">
        <f aca="false">IF(H1084="","",IF(K1084&lt;&gt;"",K1084,H1084*IFERROR(INDEX(O_Stok!$Q$6:$Q$85,MATCH(G1084,O_Stok!$A$6:$A$85,0)),0)))</f>
        <v/>
      </c>
      <c r="M1084" s="11" t="str">
        <f aca="false">IF(H1084="","",J1084-L1084)</f>
        <v/>
      </c>
      <c r="N1084" s="34" t="str">
        <f aca="false">IF(G1084="","",IFERROR(INDEX(I_Master!$B$6:$B$85,MATCH(G1084,I_Master!$A$6:$A$85,0)),"?"))</f>
        <v/>
      </c>
      <c r="O1084" s="34" t="str">
        <f aca="false">IF(G1084="","",IFERROR(INDEX(I_Master!$E$6:$E$85,MATCH(G1084,I_Master!$A$6:$A$85,0)),"?"))</f>
        <v/>
      </c>
      <c r="P1084" s="46" t="str">
        <f aca="false">IF(H1084="","",IF(OR(A1084&lt;I_Parameter!$C$5,A1084&gt;I_Parameter!$C$6),0,IF(B1084="Aktual",1,IF(AND(B1084="Order",A1084&gt;=I_Parameter!$C$4),1,0))))</f>
        <v/>
      </c>
    </row>
    <row r="1085" customFormat="false" ht="15" hidden="false" customHeight="false" outlineLevel="0" collapsed="false">
      <c r="A1085" s="37"/>
      <c r="B1085" s="44"/>
      <c r="C1085" s="44"/>
      <c r="D1085" s="44"/>
      <c r="E1085" s="44"/>
      <c r="F1085" s="44"/>
      <c r="G1085" s="34" t="str">
        <f aca="false">IF(F1085&lt;&gt;"",F1085,IF(E1085="","",IFERROR(INDEX(I_Item!$C$6:$C$255,MATCH(E1085,I_Item!$A$6:$A$255,0)),"KODE BARU")))</f>
        <v/>
      </c>
      <c r="H1085" s="45"/>
      <c r="I1085" s="42"/>
      <c r="J1085" s="11" t="str">
        <f aca="false">IF(H1085="","",H1085*I1085)</f>
        <v/>
      </c>
      <c r="K1085" s="42"/>
      <c r="L1085" s="11" t="str">
        <f aca="false">IF(H1085="","",IF(K1085&lt;&gt;"",K1085,H1085*IFERROR(INDEX(O_Stok!$Q$6:$Q$85,MATCH(G1085,O_Stok!$A$6:$A$85,0)),0)))</f>
        <v/>
      </c>
      <c r="M1085" s="11" t="str">
        <f aca="false">IF(H1085="","",J1085-L1085)</f>
        <v/>
      </c>
      <c r="N1085" s="34" t="str">
        <f aca="false">IF(G1085="","",IFERROR(INDEX(I_Master!$B$6:$B$85,MATCH(G1085,I_Master!$A$6:$A$85,0)),"?"))</f>
        <v/>
      </c>
      <c r="O1085" s="34" t="str">
        <f aca="false">IF(G1085="","",IFERROR(INDEX(I_Master!$E$6:$E$85,MATCH(G1085,I_Master!$A$6:$A$85,0)),"?"))</f>
        <v/>
      </c>
      <c r="P1085" s="46" t="str">
        <f aca="false">IF(H1085="","",IF(OR(A1085&lt;I_Parameter!$C$5,A1085&gt;I_Parameter!$C$6),0,IF(B1085="Aktual",1,IF(AND(B1085="Order",A1085&gt;=I_Parameter!$C$4),1,0))))</f>
        <v/>
      </c>
    </row>
    <row r="1086" customFormat="false" ht="15" hidden="false" customHeight="false" outlineLevel="0" collapsed="false">
      <c r="A1086" s="37"/>
      <c r="B1086" s="44"/>
      <c r="C1086" s="44"/>
      <c r="D1086" s="44"/>
      <c r="E1086" s="44"/>
      <c r="F1086" s="44"/>
      <c r="G1086" s="34" t="str">
        <f aca="false">IF(F1086&lt;&gt;"",F1086,IF(E1086="","",IFERROR(INDEX(I_Item!$C$6:$C$255,MATCH(E1086,I_Item!$A$6:$A$255,0)),"KODE BARU")))</f>
        <v/>
      </c>
      <c r="H1086" s="45"/>
      <c r="I1086" s="42"/>
      <c r="J1086" s="11" t="str">
        <f aca="false">IF(H1086="","",H1086*I1086)</f>
        <v/>
      </c>
      <c r="K1086" s="42"/>
      <c r="L1086" s="11" t="str">
        <f aca="false">IF(H1086="","",IF(K1086&lt;&gt;"",K1086,H1086*IFERROR(INDEX(O_Stok!$Q$6:$Q$85,MATCH(G1086,O_Stok!$A$6:$A$85,0)),0)))</f>
        <v/>
      </c>
      <c r="M1086" s="11" t="str">
        <f aca="false">IF(H1086="","",J1086-L1086)</f>
        <v/>
      </c>
      <c r="N1086" s="34" t="str">
        <f aca="false">IF(G1086="","",IFERROR(INDEX(I_Master!$B$6:$B$85,MATCH(G1086,I_Master!$A$6:$A$85,0)),"?"))</f>
        <v/>
      </c>
      <c r="O1086" s="34" t="str">
        <f aca="false">IF(G1086="","",IFERROR(INDEX(I_Master!$E$6:$E$85,MATCH(G1086,I_Master!$A$6:$A$85,0)),"?"))</f>
        <v/>
      </c>
      <c r="P1086" s="46" t="str">
        <f aca="false">IF(H1086="","",IF(OR(A1086&lt;I_Parameter!$C$5,A1086&gt;I_Parameter!$C$6),0,IF(B1086="Aktual",1,IF(AND(B1086="Order",A1086&gt;=I_Parameter!$C$4),1,0))))</f>
        <v/>
      </c>
    </row>
    <row r="1087" customFormat="false" ht="15" hidden="false" customHeight="false" outlineLevel="0" collapsed="false">
      <c r="A1087" s="37"/>
      <c r="B1087" s="44"/>
      <c r="C1087" s="44"/>
      <c r="D1087" s="44"/>
      <c r="E1087" s="44"/>
      <c r="F1087" s="44"/>
      <c r="G1087" s="34" t="str">
        <f aca="false">IF(F1087&lt;&gt;"",F1087,IF(E1087="","",IFERROR(INDEX(I_Item!$C$6:$C$255,MATCH(E1087,I_Item!$A$6:$A$255,0)),"KODE BARU")))</f>
        <v/>
      </c>
      <c r="H1087" s="45"/>
      <c r="I1087" s="42"/>
      <c r="J1087" s="11" t="str">
        <f aca="false">IF(H1087="","",H1087*I1087)</f>
        <v/>
      </c>
      <c r="K1087" s="42"/>
      <c r="L1087" s="11" t="str">
        <f aca="false">IF(H1087="","",IF(K1087&lt;&gt;"",K1087,H1087*IFERROR(INDEX(O_Stok!$Q$6:$Q$85,MATCH(G1087,O_Stok!$A$6:$A$85,0)),0)))</f>
        <v/>
      </c>
      <c r="M1087" s="11" t="str">
        <f aca="false">IF(H1087="","",J1087-L1087)</f>
        <v/>
      </c>
      <c r="N1087" s="34" t="str">
        <f aca="false">IF(G1087="","",IFERROR(INDEX(I_Master!$B$6:$B$85,MATCH(G1087,I_Master!$A$6:$A$85,0)),"?"))</f>
        <v/>
      </c>
      <c r="O1087" s="34" t="str">
        <f aca="false">IF(G1087="","",IFERROR(INDEX(I_Master!$E$6:$E$85,MATCH(G1087,I_Master!$A$6:$A$85,0)),"?"))</f>
        <v/>
      </c>
      <c r="P1087" s="46" t="str">
        <f aca="false">IF(H1087="","",IF(OR(A1087&lt;I_Parameter!$C$5,A1087&gt;I_Parameter!$C$6),0,IF(B1087="Aktual",1,IF(AND(B1087="Order",A1087&gt;=I_Parameter!$C$4),1,0))))</f>
        <v/>
      </c>
    </row>
    <row r="1088" customFormat="false" ht="15" hidden="false" customHeight="false" outlineLevel="0" collapsed="false">
      <c r="A1088" s="37"/>
      <c r="B1088" s="44"/>
      <c r="C1088" s="44"/>
      <c r="D1088" s="44"/>
      <c r="E1088" s="44"/>
      <c r="F1088" s="44"/>
      <c r="G1088" s="34" t="str">
        <f aca="false">IF(F1088&lt;&gt;"",F1088,IF(E1088="","",IFERROR(INDEX(I_Item!$C$6:$C$255,MATCH(E1088,I_Item!$A$6:$A$255,0)),"KODE BARU")))</f>
        <v/>
      </c>
      <c r="H1088" s="45"/>
      <c r="I1088" s="42"/>
      <c r="J1088" s="11" t="str">
        <f aca="false">IF(H1088="","",H1088*I1088)</f>
        <v/>
      </c>
      <c r="K1088" s="42"/>
      <c r="L1088" s="11" t="str">
        <f aca="false">IF(H1088="","",IF(K1088&lt;&gt;"",K1088,H1088*IFERROR(INDEX(O_Stok!$Q$6:$Q$85,MATCH(G1088,O_Stok!$A$6:$A$85,0)),0)))</f>
        <v/>
      </c>
      <c r="M1088" s="11" t="str">
        <f aca="false">IF(H1088="","",J1088-L1088)</f>
        <v/>
      </c>
      <c r="N1088" s="34" t="str">
        <f aca="false">IF(G1088="","",IFERROR(INDEX(I_Master!$B$6:$B$85,MATCH(G1088,I_Master!$A$6:$A$85,0)),"?"))</f>
        <v/>
      </c>
      <c r="O1088" s="34" t="str">
        <f aca="false">IF(G1088="","",IFERROR(INDEX(I_Master!$E$6:$E$85,MATCH(G1088,I_Master!$A$6:$A$85,0)),"?"))</f>
        <v/>
      </c>
      <c r="P1088" s="46" t="str">
        <f aca="false">IF(H1088="","",IF(OR(A1088&lt;I_Parameter!$C$5,A1088&gt;I_Parameter!$C$6),0,IF(B1088="Aktual",1,IF(AND(B1088="Order",A1088&gt;=I_Parameter!$C$4),1,0))))</f>
        <v/>
      </c>
    </row>
    <row r="1089" customFormat="false" ht="15" hidden="false" customHeight="false" outlineLevel="0" collapsed="false">
      <c r="A1089" s="37"/>
      <c r="B1089" s="44"/>
      <c r="C1089" s="44"/>
      <c r="D1089" s="44"/>
      <c r="E1089" s="44"/>
      <c r="F1089" s="44"/>
      <c r="G1089" s="34" t="str">
        <f aca="false">IF(F1089&lt;&gt;"",F1089,IF(E1089="","",IFERROR(INDEX(I_Item!$C$6:$C$255,MATCH(E1089,I_Item!$A$6:$A$255,0)),"KODE BARU")))</f>
        <v/>
      </c>
      <c r="H1089" s="45"/>
      <c r="I1089" s="42"/>
      <c r="J1089" s="11" t="str">
        <f aca="false">IF(H1089="","",H1089*I1089)</f>
        <v/>
      </c>
      <c r="K1089" s="42"/>
      <c r="L1089" s="11" t="str">
        <f aca="false">IF(H1089="","",IF(K1089&lt;&gt;"",K1089,H1089*IFERROR(INDEX(O_Stok!$Q$6:$Q$85,MATCH(G1089,O_Stok!$A$6:$A$85,0)),0)))</f>
        <v/>
      </c>
      <c r="M1089" s="11" t="str">
        <f aca="false">IF(H1089="","",J1089-L1089)</f>
        <v/>
      </c>
      <c r="N1089" s="34" t="str">
        <f aca="false">IF(G1089="","",IFERROR(INDEX(I_Master!$B$6:$B$85,MATCH(G1089,I_Master!$A$6:$A$85,0)),"?"))</f>
        <v/>
      </c>
      <c r="O1089" s="34" t="str">
        <f aca="false">IF(G1089="","",IFERROR(INDEX(I_Master!$E$6:$E$85,MATCH(G1089,I_Master!$A$6:$A$85,0)),"?"))</f>
        <v/>
      </c>
      <c r="P1089" s="46" t="str">
        <f aca="false">IF(H1089="","",IF(OR(A1089&lt;I_Parameter!$C$5,A1089&gt;I_Parameter!$C$6),0,IF(B1089="Aktual",1,IF(AND(B1089="Order",A1089&gt;=I_Parameter!$C$4),1,0))))</f>
        <v/>
      </c>
    </row>
    <row r="1090" customFormat="false" ht="15" hidden="false" customHeight="false" outlineLevel="0" collapsed="false">
      <c r="A1090" s="37"/>
      <c r="B1090" s="44"/>
      <c r="C1090" s="44"/>
      <c r="D1090" s="44"/>
      <c r="E1090" s="44"/>
      <c r="F1090" s="44"/>
      <c r="G1090" s="34" t="str">
        <f aca="false">IF(F1090&lt;&gt;"",F1090,IF(E1090="","",IFERROR(INDEX(I_Item!$C$6:$C$255,MATCH(E1090,I_Item!$A$6:$A$255,0)),"KODE BARU")))</f>
        <v/>
      </c>
      <c r="H1090" s="45"/>
      <c r="I1090" s="42"/>
      <c r="J1090" s="11" t="str">
        <f aca="false">IF(H1090="","",H1090*I1090)</f>
        <v/>
      </c>
      <c r="K1090" s="42"/>
      <c r="L1090" s="11" t="str">
        <f aca="false">IF(H1090="","",IF(K1090&lt;&gt;"",K1090,H1090*IFERROR(INDEX(O_Stok!$Q$6:$Q$85,MATCH(G1090,O_Stok!$A$6:$A$85,0)),0)))</f>
        <v/>
      </c>
      <c r="M1090" s="11" t="str">
        <f aca="false">IF(H1090="","",J1090-L1090)</f>
        <v/>
      </c>
      <c r="N1090" s="34" t="str">
        <f aca="false">IF(G1090="","",IFERROR(INDEX(I_Master!$B$6:$B$85,MATCH(G1090,I_Master!$A$6:$A$85,0)),"?"))</f>
        <v/>
      </c>
      <c r="O1090" s="34" t="str">
        <f aca="false">IF(G1090="","",IFERROR(INDEX(I_Master!$E$6:$E$85,MATCH(G1090,I_Master!$A$6:$A$85,0)),"?"))</f>
        <v/>
      </c>
      <c r="P1090" s="46" t="str">
        <f aca="false">IF(H1090="","",IF(OR(A1090&lt;I_Parameter!$C$5,A1090&gt;I_Parameter!$C$6),0,IF(B1090="Aktual",1,IF(AND(B1090="Order",A1090&gt;=I_Parameter!$C$4),1,0))))</f>
        <v/>
      </c>
    </row>
    <row r="1091" customFormat="false" ht="15" hidden="false" customHeight="false" outlineLevel="0" collapsed="false">
      <c r="A1091" s="37"/>
      <c r="B1091" s="44"/>
      <c r="C1091" s="44"/>
      <c r="D1091" s="44"/>
      <c r="E1091" s="44"/>
      <c r="F1091" s="44"/>
      <c r="G1091" s="34" t="str">
        <f aca="false">IF(F1091&lt;&gt;"",F1091,IF(E1091="","",IFERROR(INDEX(I_Item!$C$6:$C$255,MATCH(E1091,I_Item!$A$6:$A$255,0)),"KODE BARU")))</f>
        <v/>
      </c>
      <c r="H1091" s="45"/>
      <c r="I1091" s="42"/>
      <c r="J1091" s="11" t="str">
        <f aca="false">IF(H1091="","",H1091*I1091)</f>
        <v/>
      </c>
      <c r="K1091" s="42"/>
      <c r="L1091" s="11" t="str">
        <f aca="false">IF(H1091="","",IF(K1091&lt;&gt;"",K1091,H1091*IFERROR(INDEX(O_Stok!$Q$6:$Q$85,MATCH(G1091,O_Stok!$A$6:$A$85,0)),0)))</f>
        <v/>
      </c>
      <c r="M1091" s="11" t="str">
        <f aca="false">IF(H1091="","",J1091-L1091)</f>
        <v/>
      </c>
      <c r="N1091" s="34" t="str">
        <f aca="false">IF(G1091="","",IFERROR(INDEX(I_Master!$B$6:$B$85,MATCH(G1091,I_Master!$A$6:$A$85,0)),"?"))</f>
        <v/>
      </c>
      <c r="O1091" s="34" t="str">
        <f aca="false">IF(G1091="","",IFERROR(INDEX(I_Master!$E$6:$E$85,MATCH(G1091,I_Master!$A$6:$A$85,0)),"?"))</f>
        <v/>
      </c>
      <c r="P1091" s="46" t="str">
        <f aca="false">IF(H1091="","",IF(OR(A1091&lt;I_Parameter!$C$5,A1091&gt;I_Parameter!$C$6),0,IF(B1091="Aktual",1,IF(AND(B1091="Order",A1091&gt;=I_Parameter!$C$4),1,0))))</f>
        <v/>
      </c>
    </row>
    <row r="1092" customFormat="false" ht="15" hidden="false" customHeight="false" outlineLevel="0" collapsed="false">
      <c r="A1092" s="37"/>
      <c r="B1092" s="44"/>
      <c r="C1092" s="44"/>
      <c r="D1092" s="44"/>
      <c r="E1092" s="44"/>
      <c r="F1092" s="44"/>
      <c r="G1092" s="34" t="str">
        <f aca="false">IF(F1092&lt;&gt;"",F1092,IF(E1092="","",IFERROR(INDEX(I_Item!$C$6:$C$255,MATCH(E1092,I_Item!$A$6:$A$255,0)),"KODE BARU")))</f>
        <v/>
      </c>
      <c r="H1092" s="45"/>
      <c r="I1092" s="42"/>
      <c r="J1092" s="11" t="str">
        <f aca="false">IF(H1092="","",H1092*I1092)</f>
        <v/>
      </c>
      <c r="K1092" s="42"/>
      <c r="L1092" s="11" t="str">
        <f aca="false">IF(H1092="","",IF(K1092&lt;&gt;"",K1092,H1092*IFERROR(INDEX(O_Stok!$Q$6:$Q$85,MATCH(G1092,O_Stok!$A$6:$A$85,0)),0)))</f>
        <v/>
      </c>
      <c r="M1092" s="11" t="str">
        <f aca="false">IF(H1092="","",J1092-L1092)</f>
        <v/>
      </c>
      <c r="N1092" s="34" t="str">
        <f aca="false">IF(G1092="","",IFERROR(INDEX(I_Master!$B$6:$B$85,MATCH(G1092,I_Master!$A$6:$A$85,0)),"?"))</f>
        <v/>
      </c>
      <c r="O1092" s="34" t="str">
        <f aca="false">IF(G1092="","",IFERROR(INDEX(I_Master!$E$6:$E$85,MATCH(G1092,I_Master!$A$6:$A$85,0)),"?"))</f>
        <v/>
      </c>
      <c r="P1092" s="46" t="str">
        <f aca="false">IF(H1092="","",IF(OR(A1092&lt;I_Parameter!$C$5,A1092&gt;I_Parameter!$C$6),0,IF(B1092="Aktual",1,IF(AND(B1092="Order",A1092&gt;=I_Parameter!$C$4),1,0))))</f>
        <v/>
      </c>
    </row>
    <row r="1093" customFormat="false" ht="15" hidden="false" customHeight="false" outlineLevel="0" collapsed="false">
      <c r="A1093" s="37"/>
      <c r="B1093" s="44"/>
      <c r="C1093" s="44"/>
      <c r="D1093" s="44"/>
      <c r="E1093" s="44"/>
      <c r="F1093" s="44"/>
      <c r="G1093" s="34" t="str">
        <f aca="false">IF(F1093&lt;&gt;"",F1093,IF(E1093="","",IFERROR(INDEX(I_Item!$C$6:$C$255,MATCH(E1093,I_Item!$A$6:$A$255,0)),"KODE BARU")))</f>
        <v/>
      </c>
      <c r="H1093" s="45"/>
      <c r="I1093" s="42"/>
      <c r="J1093" s="11" t="str">
        <f aca="false">IF(H1093="","",H1093*I1093)</f>
        <v/>
      </c>
      <c r="K1093" s="42"/>
      <c r="L1093" s="11" t="str">
        <f aca="false">IF(H1093="","",IF(K1093&lt;&gt;"",K1093,H1093*IFERROR(INDEX(O_Stok!$Q$6:$Q$85,MATCH(G1093,O_Stok!$A$6:$A$85,0)),0)))</f>
        <v/>
      </c>
      <c r="M1093" s="11" t="str">
        <f aca="false">IF(H1093="","",J1093-L1093)</f>
        <v/>
      </c>
      <c r="N1093" s="34" t="str">
        <f aca="false">IF(G1093="","",IFERROR(INDEX(I_Master!$B$6:$B$85,MATCH(G1093,I_Master!$A$6:$A$85,0)),"?"))</f>
        <v/>
      </c>
      <c r="O1093" s="34" t="str">
        <f aca="false">IF(G1093="","",IFERROR(INDEX(I_Master!$E$6:$E$85,MATCH(G1093,I_Master!$A$6:$A$85,0)),"?"))</f>
        <v/>
      </c>
      <c r="P1093" s="46" t="str">
        <f aca="false">IF(H1093="","",IF(OR(A1093&lt;I_Parameter!$C$5,A1093&gt;I_Parameter!$C$6),0,IF(B1093="Aktual",1,IF(AND(B1093="Order",A1093&gt;=I_Parameter!$C$4),1,0))))</f>
        <v/>
      </c>
    </row>
    <row r="1094" customFormat="false" ht="15" hidden="false" customHeight="false" outlineLevel="0" collapsed="false">
      <c r="A1094" s="37"/>
      <c r="B1094" s="44"/>
      <c r="C1094" s="44"/>
      <c r="D1094" s="44"/>
      <c r="E1094" s="44"/>
      <c r="F1094" s="44"/>
      <c r="G1094" s="34" t="str">
        <f aca="false">IF(F1094&lt;&gt;"",F1094,IF(E1094="","",IFERROR(INDEX(I_Item!$C$6:$C$255,MATCH(E1094,I_Item!$A$6:$A$255,0)),"KODE BARU")))</f>
        <v/>
      </c>
      <c r="H1094" s="45"/>
      <c r="I1094" s="42"/>
      <c r="J1094" s="11" t="str">
        <f aca="false">IF(H1094="","",H1094*I1094)</f>
        <v/>
      </c>
      <c r="K1094" s="42"/>
      <c r="L1094" s="11" t="str">
        <f aca="false">IF(H1094="","",IF(K1094&lt;&gt;"",K1094,H1094*IFERROR(INDEX(O_Stok!$Q$6:$Q$85,MATCH(G1094,O_Stok!$A$6:$A$85,0)),0)))</f>
        <v/>
      </c>
      <c r="M1094" s="11" t="str">
        <f aca="false">IF(H1094="","",J1094-L1094)</f>
        <v/>
      </c>
      <c r="N1094" s="34" t="str">
        <f aca="false">IF(G1094="","",IFERROR(INDEX(I_Master!$B$6:$B$85,MATCH(G1094,I_Master!$A$6:$A$85,0)),"?"))</f>
        <v/>
      </c>
      <c r="O1094" s="34" t="str">
        <f aca="false">IF(G1094="","",IFERROR(INDEX(I_Master!$E$6:$E$85,MATCH(G1094,I_Master!$A$6:$A$85,0)),"?"))</f>
        <v/>
      </c>
      <c r="P1094" s="46" t="str">
        <f aca="false">IF(H1094="","",IF(OR(A1094&lt;I_Parameter!$C$5,A1094&gt;I_Parameter!$C$6),0,IF(B1094="Aktual",1,IF(AND(B1094="Order",A1094&gt;=I_Parameter!$C$4),1,0))))</f>
        <v/>
      </c>
    </row>
    <row r="1095" customFormat="false" ht="15" hidden="false" customHeight="false" outlineLevel="0" collapsed="false">
      <c r="A1095" s="37"/>
      <c r="B1095" s="44"/>
      <c r="C1095" s="44"/>
      <c r="D1095" s="44"/>
      <c r="E1095" s="44"/>
      <c r="F1095" s="44"/>
      <c r="G1095" s="34" t="str">
        <f aca="false">IF(F1095&lt;&gt;"",F1095,IF(E1095="","",IFERROR(INDEX(I_Item!$C$6:$C$255,MATCH(E1095,I_Item!$A$6:$A$255,0)),"KODE BARU")))</f>
        <v/>
      </c>
      <c r="H1095" s="45"/>
      <c r="I1095" s="42"/>
      <c r="J1095" s="11" t="str">
        <f aca="false">IF(H1095="","",H1095*I1095)</f>
        <v/>
      </c>
      <c r="K1095" s="42"/>
      <c r="L1095" s="11" t="str">
        <f aca="false">IF(H1095="","",IF(K1095&lt;&gt;"",K1095,H1095*IFERROR(INDEX(O_Stok!$Q$6:$Q$85,MATCH(G1095,O_Stok!$A$6:$A$85,0)),0)))</f>
        <v/>
      </c>
      <c r="M1095" s="11" t="str">
        <f aca="false">IF(H1095="","",J1095-L1095)</f>
        <v/>
      </c>
      <c r="N1095" s="34" t="str">
        <f aca="false">IF(G1095="","",IFERROR(INDEX(I_Master!$B$6:$B$85,MATCH(G1095,I_Master!$A$6:$A$85,0)),"?"))</f>
        <v/>
      </c>
      <c r="O1095" s="34" t="str">
        <f aca="false">IF(G1095="","",IFERROR(INDEX(I_Master!$E$6:$E$85,MATCH(G1095,I_Master!$A$6:$A$85,0)),"?"))</f>
        <v/>
      </c>
      <c r="P1095" s="46" t="str">
        <f aca="false">IF(H1095="","",IF(OR(A1095&lt;I_Parameter!$C$5,A1095&gt;I_Parameter!$C$6),0,IF(B1095="Aktual",1,IF(AND(B1095="Order",A1095&gt;=I_Parameter!$C$4),1,0))))</f>
        <v/>
      </c>
    </row>
    <row r="1096" customFormat="false" ht="15" hidden="false" customHeight="false" outlineLevel="0" collapsed="false">
      <c r="A1096" s="37"/>
      <c r="B1096" s="44"/>
      <c r="C1096" s="44"/>
      <c r="D1096" s="44"/>
      <c r="E1096" s="44"/>
      <c r="F1096" s="44"/>
      <c r="G1096" s="34" t="str">
        <f aca="false">IF(F1096&lt;&gt;"",F1096,IF(E1096="","",IFERROR(INDEX(I_Item!$C$6:$C$255,MATCH(E1096,I_Item!$A$6:$A$255,0)),"KODE BARU")))</f>
        <v/>
      </c>
      <c r="H1096" s="45"/>
      <c r="I1096" s="42"/>
      <c r="J1096" s="11" t="str">
        <f aca="false">IF(H1096="","",H1096*I1096)</f>
        <v/>
      </c>
      <c r="K1096" s="42"/>
      <c r="L1096" s="11" t="str">
        <f aca="false">IF(H1096="","",IF(K1096&lt;&gt;"",K1096,H1096*IFERROR(INDEX(O_Stok!$Q$6:$Q$85,MATCH(G1096,O_Stok!$A$6:$A$85,0)),0)))</f>
        <v/>
      </c>
      <c r="M1096" s="11" t="str">
        <f aca="false">IF(H1096="","",J1096-L1096)</f>
        <v/>
      </c>
      <c r="N1096" s="34" t="str">
        <f aca="false">IF(G1096="","",IFERROR(INDEX(I_Master!$B$6:$B$85,MATCH(G1096,I_Master!$A$6:$A$85,0)),"?"))</f>
        <v/>
      </c>
      <c r="O1096" s="34" t="str">
        <f aca="false">IF(G1096="","",IFERROR(INDEX(I_Master!$E$6:$E$85,MATCH(G1096,I_Master!$A$6:$A$85,0)),"?"))</f>
        <v/>
      </c>
      <c r="P1096" s="46" t="str">
        <f aca="false">IF(H1096="","",IF(OR(A1096&lt;I_Parameter!$C$5,A1096&gt;I_Parameter!$C$6),0,IF(B1096="Aktual",1,IF(AND(B1096="Order",A1096&gt;=I_Parameter!$C$4),1,0))))</f>
        <v/>
      </c>
    </row>
    <row r="1097" customFormat="false" ht="15" hidden="false" customHeight="false" outlineLevel="0" collapsed="false">
      <c r="A1097" s="37"/>
      <c r="B1097" s="44"/>
      <c r="C1097" s="44"/>
      <c r="D1097" s="44"/>
      <c r="E1097" s="44"/>
      <c r="F1097" s="44"/>
      <c r="G1097" s="34" t="str">
        <f aca="false">IF(F1097&lt;&gt;"",F1097,IF(E1097="","",IFERROR(INDEX(I_Item!$C$6:$C$255,MATCH(E1097,I_Item!$A$6:$A$255,0)),"KODE BARU")))</f>
        <v/>
      </c>
      <c r="H1097" s="45"/>
      <c r="I1097" s="42"/>
      <c r="J1097" s="11" t="str">
        <f aca="false">IF(H1097="","",H1097*I1097)</f>
        <v/>
      </c>
      <c r="K1097" s="42"/>
      <c r="L1097" s="11" t="str">
        <f aca="false">IF(H1097="","",IF(K1097&lt;&gt;"",K1097,H1097*IFERROR(INDEX(O_Stok!$Q$6:$Q$85,MATCH(G1097,O_Stok!$A$6:$A$85,0)),0)))</f>
        <v/>
      </c>
      <c r="M1097" s="11" t="str">
        <f aca="false">IF(H1097="","",J1097-L1097)</f>
        <v/>
      </c>
      <c r="N1097" s="34" t="str">
        <f aca="false">IF(G1097="","",IFERROR(INDEX(I_Master!$B$6:$B$85,MATCH(G1097,I_Master!$A$6:$A$85,0)),"?"))</f>
        <v/>
      </c>
      <c r="O1097" s="34" t="str">
        <f aca="false">IF(G1097="","",IFERROR(INDEX(I_Master!$E$6:$E$85,MATCH(G1097,I_Master!$A$6:$A$85,0)),"?"))</f>
        <v/>
      </c>
      <c r="P1097" s="46" t="str">
        <f aca="false">IF(H1097="","",IF(OR(A1097&lt;I_Parameter!$C$5,A1097&gt;I_Parameter!$C$6),0,IF(B1097="Aktual",1,IF(AND(B1097="Order",A1097&gt;=I_Parameter!$C$4),1,0))))</f>
        <v/>
      </c>
    </row>
    <row r="1098" customFormat="false" ht="15" hidden="false" customHeight="false" outlineLevel="0" collapsed="false">
      <c r="A1098" s="37"/>
      <c r="B1098" s="44"/>
      <c r="C1098" s="44"/>
      <c r="D1098" s="44"/>
      <c r="E1098" s="44"/>
      <c r="F1098" s="44"/>
      <c r="G1098" s="34" t="str">
        <f aca="false">IF(F1098&lt;&gt;"",F1098,IF(E1098="","",IFERROR(INDEX(I_Item!$C$6:$C$255,MATCH(E1098,I_Item!$A$6:$A$255,0)),"KODE BARU")))</f>
        <v/>
      </c>
      <c r="H1098" s="45"/>
      <c r="I1098" s="42"/>
      <c r="J1098" s="11" t="str">
        <f aca="false">IF(H1098="","",H1098*I1098)</f>
        <v/>
      </c>
      <c r="K1098" s="42"/>
      <c r="L1098" s="11" t="str">
        <f aca="false">IF(H1098="","",IF(K1098&lt;&gt;"",K1098,H1098*IFERROR(INDEX(O_Stok!$Q$6:$Q$85,MATCH(G1098,O_Stok!$A$6:$A$85,0)),0)))</f>
        <v/>
      </c>
      <c r="M1098" s="11" t="str">
        <f aca="false">IF(H1098="","",J1098-L1098)</f>
        <v/>
      </c>
      <c r="N1098" s="34" t="str">
        <f aca="false">IF(G1098="","",IFERROR(INDEX(I_Master!$B$6:$B$85,MATCH(G1098,I_Master!$A$6:$A$85,0)),"?"))</f>
        <v/>
      </c>
      <c r="O1098" s="34" t="str">
        <f aca="false">IF(G1098="","",IFERROR(INDEX(I_Master!$E$6:$E$85,MATCH(G1098,I_Master!$A$6:$A$85,0)),"?"))</f>
        <v/>
      </c>
      <c r="P1098" s="46" t="str">
        <f aca="false">IF(H1098="","",IF(OR(A1098&lt;I_Parameter!$C$5,A1098&gt;I_Parameter!$C$6),0,IF(B1098="Aktual",1,IF(AND(B1098="Order",A1098&gt;=I_Parameter!$C$4),1,0))))</f>
        <v/>
      </c>
    </row>
    <row r="1099" customFormat="false" ht="15" hidden="false" customHeight="false" outlineLevel="0" collapsed="false">
      <c r="A1099" s="37"/>
      <c r="B1099" s="44"/>
      <c r="C1099" s="44"/>
      <c r="D1099" s="44"/>
      <c r="E1099" s="44"/>
      <c r="F1099" s="44"/>
      <c r="G1099" s="34" t="str">
        <f aca="false">IF(F1099&lt;&gt;"",F1099,IF(E1099="","",IFERROR(INDEX(I_Item!$C$6:$C$255,MATCH(E1099,I_Item!$A$6:$A$255,0)),"KODE BARU")))</f>
        <v/>
      </c>
      <c r="H1099" s="45"/>
      <c r="I1099" s="42"/>
      <c r="J1099" s="11" t="str">
        <f aca="false">IF(H1099="","",H1099*I1099)</f>
        <v/>
      </c>
      <c r="K1099" s="42"/>
      <c r="L1099" s="11" t="str">
        <f aca="false">IF(H1099="","",IF(K1099&lt;&gt;"",K1099,H1099*IFERROR(INDEX(O_Stok!$Q$6:$Q$85,MATCH(G1099,O_Stok!$A$6:$A$85,0)),0)))</f>
        <v/>
      </c>
      <c r="M1099" s="11" t="str">
        <f aca="false">IF(H1099="","",J1099-L1099)</f>
        <v/>
      </c>
      <c r="N1099" s="34" t="str">
        <f aca="false">IF(G1099="","",IFERROR(INDEX(I_Master!$B$6:$B$85,MATCH(G1099,I_Master!$A$6:$A$85,0)),"?"))</f>
        <v/>
      </c>
      <c r="O1099" s="34" t="str">
        <f aca="false">IF(G1099="","",IFERROR(INDEX(I_Master!$E$6:$E$85,MATCH(G1099,I_Master!$A$6:$A$85,0)),"?"))</f>
        <v/>
      </c>
      <c r="P1099" s="46" t="str">
        <f aca="false">IF(H1099="","",IF(OR(A1099&lt;I_Parameter!$C$5,A1099&gt;I_Parameter!$C$6),0,IF(B1099="Aktual",1,IF(AND(B1099="Order",A1099&gt;=I_Parameter!$C$4),1,0))))</f>
        <v/>
      </c>
    </row>
    <row r="1100" customFormat="false" ht="15" hidden="false" customHeight="false" outlineLevel="0" collapsed="false">
      <c r="A1100" s="37"/>
      <c r="B1100" s="44"/>
      <c r="C1100" s="44"/>
      <c r="D1100" s="44"/>
      <c r="E1100" s="44"/>
      <c r="F1100" s="44"/>
      <c r="G1100" s="34" t="str">
        <f aca="false">IF(F1100&lt;&gt;"",F1100,IF(E1100="","",IFERROR(INDEX(I_Item!$C$6:$C$255,MATCH(E1100,I_Item!$A$6:$A$255,0)),"KODE BARU")))</f>
        <v/>
      </c>
      <c r="H1100" s="45"/>
      <c r="I1100" s="42"/>
      <c r="J1100" s="11" t="str">
        <f aca="false">IF(H1100="","",H1100*I1100)</f>
        <v/>
      </c>
      <c r="K1100" s="42"/>
      <c r="L1100" s="11" t="str">
        <f aca="false">IF(H1100="","",IF(K1100&lt;&gt;"",K1100,H1100*IFERROR(INDEX(O_Stok!$Q$6:$Q$85,MATCH(G1100,O_Stok!$A$6:$A$85,0)),0)))</f>
        <v/>
      </c>
      <c r="M1100" s="11" t="str">
        <f aca="false">IF(H1100="","",J1100-L1100)</f>
        <v/>
      </c>
      <c r="N1100" s="34" t="str">
        <f aca="false">IF(G1100="","",IFERROR(INDEX(I_Master!$B$6:$B$85,MATCH(G1100,I_Master!$A$6:$A$85,0)),"?"))</f>
        <v/>
      </c>
      <c r="O1100" s="34" t="str">
        <f aca="false">IF(G1100="","",IFERROR(INDEX(I_Master!$E$6:$E$85,MATCH(G1100,I_Master!$A$6:$A$85,0)),"?"))</f>
        <v/>
      </c>
      <c r="P1100" s="46" t="str">
        <f aca="false">IF(H1100="","",IF(OR(A1100&lt;I_Parameter!$C$5,A1100&gt;I_Parameter!$C$6),0,IF(B1100="Aktual",1,IF(AND(B1100="Order",A1100&gt;=I_Parameter!$C$4),1,0))))</f>
        <v/>
      </c>
    </row>
    <row r="1101" customFormat="false" ht="15" hidden="false" customHeight="false" outlineLevel="0" collapsed="false">
      <c r="A1101" s="37"/>
      <c r="B1101" s="44"/>
      <c r="C1101" s="44"/>
      <c r="D1101" s="44"/>
      <c r="E1101" s="44"/>
      <c r="F1101" s="44"/>
      <c r="G1101" s="34" t="str">
        <f aca="false">IF(F1101&lt;&gt;"",F1101,IF(E1101="","",IFERROR(INDEX(I_Item!$C$6:$C$255,MATCH(E1101,I_Item!$A$6:$A$255,0)),"KODE BARU")))</f>
        <v/>
      </c>
      <c r="H1101" s="45"/>
      <c r="I1101" s="42"/>
      <c r="J1101" s="11" t="str">
        <f aca="false">IF(H1101="","",H1101*I1101)</f>
        <v/>
      </c>
      <c r="K1101" s="42"/>
      <c r="L1101" s="11" t="str">
        <f aca="false">IF(H1101="","",IF(K1101&lt;&gt;"",K1101,H1101*IFERROR(INDEX(O_Stok!$Q$6:$Q$85,MATCH(G1101,O_Stok!$A$6:$A$85,0)),0)))</f>
        <v/>
      </c>
      <c r="M1101" s="11" t="str">
        <f aca="false">IF(H1101="","",J1101-L1101)</f>
        <v/>
      </c>
      <c r="N1101" s="34" t="str">
        <f aca="false">IF(G1101="","",IFERROR(INDEX(I_Master!$B$6:$B$85,MATCH(G1101,I_Master!$A$6:$A$85,0)),"?"))</f>
        <v/>
      </c>
      <c r="O1101" s="34" t="str">
        <f aca="false">IF(G1101="","",IFERROR(INDEX(I_Master!$E$6:$E$85,MATCH(G1101,I_Master!$A$6:$A$85,0)),"?"))</f>
        <v/>
      </c>
      <c r="P1101" s="46" t="str">
        <f aca="false">IF(H1101="","",IF(OR(A1101&lt;I_Parameter!$C$5,A1101&gt;I_Parameter!$C$6),0,IF(B1101="Aktual",1,IF(AND(B1101="Order",A1101&gt;=I_Parameter!$C$4),1,0))))</f>
        <v/>
      </c>
    </row>
    <row r="1102" customFormat="false" ht="15" hidden="false" customHeight="false" outlineLevel="0" collapsed="false">
      <c r="A1102" s="37"/>
      <c r="B1102" s="44"/>
      <c r="C1102" s="44"/>
      <c r="D1102" s="44"/>
      <c r="E1102" s="44"/>
      <c r="F1102" s="44"/>
      <c r="G1102" s="34" t="str">
        <f aca="false">IF(F1102&lt;&gt;"",F1102,IF(E1102="","",IFERROR(INDEX(I_Item!$C$6:$C$255,MATCH(E1102,I_Item!$A$6:$A$255,0)),"KODE BARU")))</f>
        <v/>
      </c>
      <c r="H1102" s="45"/>
      <c r="I1102" s="42"/>
      <c r="J1102" s="11" t="str">
        <f aca="false">IF(H1102="","",H1102*I1102)</f>
        <v/>
      </c>
      <c r="K1102" s="42"/>
      <c r="L1102" s="11" t="str">
        <f aca="false">IF(H1102="","",IF(K1102&lt;&gt;"",K1102,H1102*IFERROR(INDEX(O_Stok!$Q$6:$Q$85,MATCH(G1102,O_Stok!$A$6:$A$85,0)),0)))</f>
        <v/>
      </c>
      <c r="M1102" s="11" t="str">
        <f aca="false">IF(H1102="","",J1102-L1102)</f>
        <v/>
      </c>
      <c r="N1102" s="34" t="str">
        <f aca="false">IF(G1102="","",IFERROR(INDEX(I_Master!$B$6:$B$85,MATCH(G1102,I_Master!$A$6:$A$85,0)),"?"))</f>
        <v/>
      </c>
      <c r="O1102" s="34" t="str">
        <f aca="false">IF(G1102="","",IFERROR(INDEX(I_Master!$E$6:$E$85,MATCH(G1102,I_Master!$A$6:$A$85,0)),"?"))</f>
        <v/>
      </c>
      <c r="P1102" s="46" t="str">
        <f aca="false">IF(H1102="","",IF(OR(A1102&lt;I_Parameter!$C$5,A1102&gt;I_Parameter!$C$6),0,IF(B1102="Aktual",1,IF(AND(B1102="Order",A1102&gt;=I_Parameter!$C$4),1,0))))</f>
        <v/>
      </c>
    </row>
    <row r="1103" customFormat="false" ht="15" hidden="false" customHeight="false" outlineLevel="0" collapsed="false">
      <c r="A1103" s="37"/>
      <c r="B1103" s="44"/>
      <c r="C1103" s="44"/>
      <c r="D1103" s="44"/>
      <c r="E1103" s="44"/>
      <c r="F1103" s="44"/>
      <c r="G1103" s="34" t="str">
        <f aca="false">IF(F1103&lt;&gt;"",F1103,IF(E1103="","",IFERROR(INDEX(I_Item!$C$6:$C$255,MATCH(E1103,I_Item!$A$6:$A$255,0)),"KODE BARU")))</f>
        <v/>
      </c>
      <c r="H1103" s="45"/>
      <c r="I1103" s="42"/>
      <c r="J1103" s="11" t="str">
        <f aca="false">IF(H1103="","",H1103*I1103)</f>
        <v/>
      </c>
      <c r="K1103" s="42"/>
      <c r="L1103" s="11" t="str">
        <f aca="false">IF(H1103="","",IF(K1103&lt;&gt;"",K1103,H1103*IFERROR(INDEX(O_Stok!$Q$6:$Q$85,MATCH(G1103,O_Stok!$A$6:$A$85,0)),0)))</f>
        <v/>
      </c>
      <c r="M1103" s="11" t="str">
        <f aca="false">IF(H1103="","",J1103-L1103)</f>
        <v/>
      </c>
      <c r="N1103" s="34" t="str">
        <f aca="false">IF(G1103="","",IFERROR(INDEX(I_Master!$B$6:$B$85,MATCH(G1103,I_Master!$A$6:$A$85,0)),"?"))</f>
        <v/>
      </c>
      <c r="O1103" s="34" t="str">
        <f aca="false">IF(G1103="","",IFERROR(INDEX(I_Master!$E$6:$E$85,MATCH(G1103,I_Master!$A$6:$A$85,0)),"?"))</f>
        <v/>
      </c>
      <c r="P1103" s="46" t="str">
        <f aca="false">IF(H1103="","",IF(OR(A1103&lt;I_Parameter!$C$5,A1103&gt;I_Parameter!$C$6),0,IF(B1103="Aktual",1,IF(AND(B1103="Order",A1103&gt;=I_Parameter!$C$4),1,0))))</f>
        <v/>
      </c>
    </row>
    <row r="1104" customFormat="false" ht="15" hidden="false" customHeight="false" outlineLevel="0" collapsed="false">
      <c r="A1104" s="37"/>
      <c r="B1104" s="44"/>
      <c r="C1104" s="44"/>
      <c r="D1104" s="44"/>
      <c r="E1104" s="44"/>
      <c r="F1104" s="44"/>
      <c r="G1104" s="34" t="str">
        <f aca="false">IF(F1104&lt;&gt;"",F1104,IF(E1104="","",IFERROR(INDEX(I_Item!$C$6:$C$255,MATCH(E1104,I_Item!$A$6:$A$255,0)),"KODE BARU")))</f>
        <v/>
      </c>
      <c r="H1104" s="45"/>
      <c r="I1104" s="42"/>
      <c r="J1104" s="11" t="str">
        <f aca="false">IF(H1104="","",H1104*I1104)</f>
        <v/>
      </c>
      <c r="K1104" s="42"/>
      <c r="L1104" s="11" t="str">
        <f aca="false">IF(H1104="","",IF(K1104&lt;&gt;"",K1104,H1104*IFERROR(INDEX(O_Stok!$Q$6:$Q$85,MATCH(G1104,O_Stok!$A$6:$A$85,0)),0)))</f>
        <v/>
      </c>
      <c r="M1104" s="11" t="str">
        <f aca="false">IF(H1104="","",J1104-L1104)</f>
        <v/>
      </c>
      <c r="N1104" s="34" t="str">
        <f aca="false">IF(G1104="","",IFERROR(INDEX(I_Master!$B$6:$B$85,MATCH(G1104,I_Master!$A$6:$A$85,0)),"?"))</f>
        <v/>
      </c>
      <c r="O1104" s="34" t="str">
        <f aca="false">IF(G1104="","",IFERROR(INDEX(I_Master!$E$6:$E$85,MATCH(G1104,I_Master!$A$6:$A$85,0)),"?"))</f>
        <v/>
      </c>
      <c r="P1104" s="46" t="str">
        <f aca="false">IF(H1104="","",IF(OR(A1104&lt;I_Parameter!$C$5,A1104&gt;I_Parameter!$C$6),0,IF(B1104="Aktual",1,IF(AND(B1104="Order",A1104&gt;=I_Parameter!$C$4),1,0))))</f>
        <v/>
      </c>
    </row>
    <row r="1105" customFormat="false" ht="15" hidden="false" customHeight="false" outlineLevel="0" collapsed="false">
      <c r="A1105" s="37"/>
      <c r="B1105" s="44"/>
      <c r="C1105" s="44"/>
      <c r="D1105" s="44"/>
      <c r="E1105" s="44"/>
      <c r="F1105" s="44"/>
      <c r="G1105" s="34" t="str">
        <f aca="false">IF(F1105&lt;&gt;"",F1105,IF(E1105="","",IFERROR(INDEX(I_Item!$C$6:$C$255,MATCH(E1105,I_Item!$A$6:$A$255,0)),"KODE BARU")))</f>
        <v/>
      </c>
      <c r="H1105" s="45"/>
      <c r="I1105" s="42"/>
      <c r="J1105" s="11" t="str">
        <f aca="false">IF(H1105="","",H1105*I1105)</f>
        <v/>
      </c>
      <c r="K1105" s="42"/>
      <c r="L1105" s="11" t="str">
        <f aca="false">IF(H1105="","",IF(K1105&lt;&gt;"",K1105,H1105*IFERROR(INDEX(O_Stok!$Q$6:$Q$85,MATCH(G1105,O_Stok!$A$6:$A$85,0)),0)))</f>
        <v/>
      </c>
      <c r="M1105" s="11" t="str">
        <f aca="false">IF(H1105="","",J1105-L1105)</f>
        <v/>
      </c>
      <c r="N1105" s="34" t="str">
        <f aca="false">IF(G1105="","",IFERROR(INDEX(I_Master!$B$6:$B$85,MATCH(G1105,I_Master!$A$6:$A$85,0)),"?"))</f>
        <v/>
      </c>
      <c r="O1105" s="34" t="str">
        <f aca="false">IF(G1105="","",IFERROR(INDEX(I_Master!$E$6:$E$85,MATCH(G1105,I_Master!$A$6:$A$85,0)),"?"))</f>
        <v/>
      </c>
      <c r="P1105" s="46" t="str">
        <f aca="false">IF(H1105="","",IF(OR(A1105&lt;I_Parameter!$C$5,A1105&gt;I_Parameter!$C$6),0,IF(B1105="Aktual",1,IF(AND(B1105="Order",A1105&gt;=I_Parameter!$C$4),1,0))))</f>
        <v/>
      </c>
    </row>
    <row r="1106" customFormat="false" ht="15" hidden="false" customHeight="false" outlineLevel="0" collapsed="false">
      <c r="A1106" s="37"/>
      <c r="B1106" s="44"/>
      <c r="C1106" s="44"/>
      <c r="D1106" s="44"/>
      <c r="E1106" s="44"/>
      <c r="F1106" s="44"/>
      <c r="G1106" s="34" t="str">
        <f aca="false">IF(F1106&lt;&gt;"",F1106,IF(E1106="","",IFERROR(INDEX(I_Item!$C$6:$C$255,MATCH(E1106,I_Item!$A$6:$A$255,0)),"KODE BARU")))</f>
        <v/>
      </c>
      <c r="H1106" s="45"/>
      <c r="I1106" s="42"/>
      <c r="J1106" s="11" t="str">
        <f aca="false">IF(H1106="","",H1106*I1106)</f>
        <v/>
      </c>
      <c r="K1106" s="42"/>
      <c r="L1106" s="11" t="str">
        <f aca="false">IF(H1106="","",IF(K1106&lt;&gt;"",K1106,H1106*IFERROR(INDEX(O_Stok!$Q$6:$Q$85,MATCH(G1106,O_Stok!$A$6:$A$85,0)),0)))</f>
        <v/>
      </c>
      <c r="M1106" s="11" t="str">
        <f aca="false">IF(H1106="","",J1106-L1106)</f>
        <v/>
      </c>
      <c r="N1106" s="34" t="str">
        <f aca="false">IF(G1106="","",IFERROR(INDEX(I_Master!$B$6:$B$85,MATCH(G1106,I_Master!$A$6:$A$85,0)),"?"))</f>
        <v/>
      </c>
      <c r="O1106" s="34" t="str">
        <f aca="false">IF(G1106="","",IFERROR(INDEX(I_Master!$E$6:$E$85,MATCH(G1106,I_Master!$A$6:$A$85,0)),"?"))</f>
        <v/>
      </c>
      <c r="P1106" s="46" t="str">
        <f aca="false">IF(H1106="","",IF(OR(A1106&lt;I_Parameter!$C$5,A1106&gt;I_Parameter!$C$6),0,IF(B1106="Aktual",1,IF(AND(B1106="Order",A1106&gt;=I_Parameter!$C$4),1,0))))</f>
        <v/>
      </c>
    </row>
    <row r="1107" customFormat="false" ht="15" hidden="false" customHeight="false" outlineLevel="0" collapsed="false">
      <c r="A1107" s="37"/>
      <c r="B1107" s="44"/>
      <c r="C1107" s="44"/>
      <c r="D1107" s="44"/>
      <c r="E1107" s="44"/>
      <c r="F1107" s="44"/>
      <c r="G1107" s="34" t="str">
        <f aca="false">IF(F1107&lt;&gt;"",F1107,IF(E1107="","",IFERROR(INDEX(I_Item!$C$6:$C$255,MATCH(E1107,I_Item!$A$6:$A$255,0)),"KODE BARU")))</f>
        <v/>
      </c>
      <c r="H1107" s="45"/>
      <c r="I1107" s="42"/>
      <c r="J1107" s="11" t="str">
        <f aca="false">IF(H1107="","",H1107*I1107)</f>
        <v/>
      </c>
      <c r="K1107" s="42"/>
      <c r="L1107" s="11" t="str">
        <f aca="false">IF(H1107="","",IF(K1107&lt;&gt;"",K1107,H1107*IFERROR(INDEX(O_Stok!$Q$6:$Q$85,MATCH(G1107,O_Stok!$A$6:$A$85,0)),0)))</f>
        <v/>
      </c>
      <c r="M1107" s="11" t="str">
        <f aca="false">IF(H1107="","",J1107-L1107)</f>
        <v/>
      </c>
      <c r="N1107" s="34" t="str">
        <f aca="false">IF(G1107="","",IFERROR(INDEX(I_Master!$B$6:$B$85,MATCH(G1107,I_Master!$A$6:$A$85,0)),"?"))</f>
        <v/>
      </c>
      <c r="O1107" s="34" t="str">
        <f aca="false">IF(G1107="","",IFERROR(INDEX(I_Master!$E$6:$E$85,MATCH(G1107,I_Master!$A$6:$A$85,0)),"?"))</f>
        <v/>
      </c>
      <c r="P1107" s="46" t="str">
        <f aca="false">IF(H1107="","",IF(OR(A1107&lt;I_Parameter!$C$5,A1107&gt;I_Parameter!$C$6),0,IF(B1107="Aktual",1,IF(AND(B1107="Order",A1107&gt;=I_Parameter!$C$4),1,0))))</f>
        <v/>
      </c>
    </row>
    <row r="1108" customFormat="false" ht="15" hidden="false" customHeight="false" outlineLevel="0" collapsed="false">
      <c r="A1108" s="37"/>
      <c r="B1108" s="44"/>
      <c r="C1108" s="44"/>
      <c r="D1108" s="44"/>
      <c r="E1108" s="44"/>
      <c r="F1108" s="44"/>
      <c r="G1108" s="34" t="str">
        <f aca="false">IF(F1108&lt;&gt;"",F1108,IF(E1108="","",IFERROR(INDEX(I_Item!$C$6:$C$255,MATCH(E1108,I_Item!$A$6:$A$255,0)),"KODE BARU")))</f>
        <v/>
      </c>
      <c r="H1108" s="45"/>
      <c r="I1108" s="42"/>
      <c r="J1108" s="11" t="str">
        <f aca="false">IF(H1108="","",H1108*I1108)</f>
        <v/>
      </c>
      <c r="K1108" s="42"/>
      <c r="L1108" s="11" t="str">
        <f aca="false">IF(H1108="","",IF(K1108&lt;&gt;"",K1108,H1108*IFERROR(INDEX(O_Stok!$Q$6:$Q$85,MATCH(G1108,O_Stok!$A$6:$A$85,0)),0)))</f>
        <v/>
      </c>
      <c r="M1108" s="11" t="str">
        <f aca="false">IF(H1108="","",J1108-L1108)</f>
        <v/>
      </c>
      <c r="N1108" s="34" t="str">
        <f aca="false">IF(G1108="","",IFERROR(INDEX(I_Master!$B$6:$B$85,MATCH(G1108,I_Master!$A$6:$A$85,0)),"?"))</f>
        <v/>
      </c>
      <c r="O1108" s="34" t="str">
        <f aca="false">IF(G1108="","",IFERROR(INDEX(I_Master!$E$6:$E$85,MATCH(G1108,I_Master!$A$6:$A$85,0)),"?"))</f>
        <v/>
      </c>
      <c r="P1108" s="46" t="str">
        <f aca="false">IF(H1108="","",IF(OR(A1108&lt;I_Parameter!$C$5,A1108&gt;I_Parameter!$C$6),0,IF(B1108="Aktual",1,IF(AND(B1108="Order",A1108&gt;=I_Parameter!$C$4),1,0))))</f>
        <v/>
      </c>
    </row>
    <row r="1109" customFormat="false" ht="15" hidden="false" customHeight="false" outlineLevel="0" collapsed="false">
      <c r="A1109" s="37"/>
      <c r="B1109" s="44"/>
      <c r="C1109" s="44"/>
      <c r="D1109" s="44"/>
      <c r="E1109" s="44"/>
      <c r="F1109" s="44"/>
      <c r="G1109" s="34" t="str">
        <f aca="false">IF(F1109&lt;&gt;"",F1109,IF(E1109="","",IFERROR(INDEX(I_Item!$C$6:$C$255,MATCH(E1109,I_Item!$A$6:$A$255,0)),"KODE BARU")))</f>
        <v/>
      </c>
      <c r="H1109" s="45"/>
      <c r="I1109" s="42"/>
      <c r="J1109" s="11" t="str">
        <f aca="false">IF(H1109="","",H1109*I1109)</f>
        <v/>
      </c>
      <c r="K1109" s="42"/>
      <c r="L1109" s="11" t="str">
        <f aca="false">IF(H1109="","",IF(K1109&lt;&gt;"",K1109,H1109*IFERROR(INDEX(O_Stok!$Q$6:$Q$85,MATCH(G1109,O_Stok!$A$6:$A$85,0)),0)))</f>
        <v/>
      </c>
      <c r="M1109" s="11" t="str">
        <f aca="false">IF(H1109="","",J1109-L1109)</f>
        <v/>
      </c>
      <c r="N1109" s="34" t="str">
        <f aca="false">IF(G1109="","",IFERROR(INDEX(I_Master!$B$6:$B$85,MATCH(G1109,I_Master!$A$6:$A$85,0)),"?"))</f>
        <v/>
      </c>
      <c r="O1109" s="34" t="str">
        <f aca="false">IF(G1109="","",IFERROR(INDEX(I_Master!$E$6:$E$85,MATCH(G1109,I_Master!$A$6:$A$85,0)),"?"))</f>
        <v/>
      </c>
      <c r="P1109" s="46" t="str">
        <f aca="false">IF(H1109="","",IF(OR(A1109&lt;I_Parameter!$C$5,A1109&gt;I_Parameter!$C$6),0,IF(B1109="Aktual",1,IF(AND(B1109="Order",A1109&gt;=I_Parameter!$C$4),1,0))))</f>
        <v/>
      </c>
    </row>
    <row r="1110" customFormat="false" ht="15" hidden="false" customHeight="false" outlineLevel="0" collapsed="false">
      <c r="A1110" s="37"/>
      <c r="B1110" s="44"/>
      <c r="C1110" s="44"/>
      <c r="D1110" s="44"/>
      <c r="E1110" s="44"/>
      <c r="F1110" s="44"/>
      <c r="G1110" s="34" t="str">
        <f aca="false">IF(F1110&lt;&gt;"",F1110,IF(E1110="","",IFERROR(INDEX(I_Item!$C$6:$C$255,MATCH(E1110,I_Item!$A$6:$A$255,0)),"KODE BARU")))</f>
        <v/>
      </c>
      <c r="H1110" s="45"/>
      <c r="I1110" s="42"/>
      <c r="J1110" s="11" t="str">
        <f aca="false">IF(H1110="","",H1110*I1110)</f>
        <v/>
      </c>
      <c r="K1110" s="42"/>
      <c r="L1110" s="11" t="str">
        <f aca="false">IF(H1110="","",IF(K1110&lt;&gt;"",K1110,H1110*IFERROR(INDEX(O_Stok!$Q$6:$Q$85,MATCH(G1110,O_Stok!$A$6:$A$85,0)),0)))</f>
        <v/>
      </c>
      <c r="M1110" s="11" t="str">
        <f aca="false">IF(H1110="","",J1110-L1110)</f>
        <v/>
      </c>
      <c r="N1110" s="34" t="str">
        <f aca="false">IF(G1110="","",IFERROR(INDEX(I_Master!$B$6:$B$85,MATCH(G1110,I_Master!$A$6:$A$85,0)),"?"))</f>
        <v/>
      </c>
      <c r="O1110" s="34" t="str">
        <f aca="false">IF(G1110="","",IFERROR(INDEX(I_Master!$E$6:$E$85,MATCH(G1110,I_Master!$A$6:$A$85,0)),"?"))</f>
        <v/>
      </c>
      <c r="P1110" s="46" t="str">
        <f aca="false">IF(H1110="","",IF(OR(A1110&lt;I_Parameter!$C$5,A1110&gt;I_Parameter!$C$6),0,IF(B1110="Aktual",1,IF(AND(B1110="Order",A1110&gt;=I_Parameter!$C$4),1,0))))</f>
        <v/>
      </c>
    </row>
    <row r="1111" customFormat="false" ht="15" hidden="false" customHeight="false" outlineLevel="0" collapsed="false">
      <c r="A1111" s="37"/>
      <c r="B1111" s="44"/>
      <c r="C1111" s="44"/>
      <c r="D1111" s="44"/>
      <c r="E1111" s="44"/>
      <c r="F1111" s="44"/>
      <c r="G1111" s="34" t="str">
        <f aca="false">IF(F1111&lt;&gt;"",F1111,IF(E1111="","",IFERROR(INDEX(I_Item!$C$6:$C$255,MATCH(E1111,I_Item!$A$6:$A$255,0)),"KODE BARU")))</f>
        <v/>
      </c>
      <c r="H1111" s="45"/>
      <c r="I1111" s="42"/>
      <c r="J1111" s="11" t="str">
        <f aca="false">IF(H1111="","",H1111*I1111)</f>
        <v/>
      </c>
      <c r="K1111" s="42"/>
      <c r="L1111" s="11" t="str">
        <f aca="false">IF(H1111="","",IF(K1111&lt;&gt;"",K1111,H1111*IFERROR(INDEX(O_Stok!$Q$6:$Q$85,MATCH(G1111,O_Stok!$A$6:$A$85,0)),0)))</f>
        <v/>
      </c>
      <c r="M1111" s="11" t="str">
        <f aca="false">IF(H1111="","",J1111-L1111)</f>
        <v/>
      </c>
      <c r="N1111" s="34" t="str">
        <f aca="false">IF(G1111="","",IFERROR(INDEX(I_Master!$B$6:$B$85,MATCH(G1111,I_Master!$A$6:$A$85,0)),"?"))</f>
        <v/>
      </c>
      <c r="O1111" s="34" t="str">
        <f aca="false">IF(G1111="","",IFERROR(INDEX(I_Master!$E$6:$E$85,MATCH(G1111,I_Master!$A$6:$A$85,0)),"?"))</f>
        <v/>
      </c>
      <c r="P1111" s="46" t="str">
        <f aca="false">IF(H1111="","",IF(OR(A1111&lt;I_Parameter!$C$5,A1111&gt;I_Parameter!$C$6),0,IF(B1111="Aktual",1,IF(AND(B1111="Order",A1111&gt;=I_Parameter!$C$4),1,0))))</f>
        <v/>
      </c>
    </row>
    <row r="1112" customFormat="false" ht="15" hidden="false" customHeight="false" outlineLevel="0" collapsed="false">
      <c r="A1112" s="37"/>
      <c r="B1112" s="44"/>
      <c r="C1112" s="44"/>
      <c r="D1112" s="44"/>
      <c r="E1112" s="44"/>
      <c r="F1112" s="44"/>
      <c r="G1112" s="34" t="str">
        <f aca="false">IF(F1112&lt;&gt;"",F1112,IF(E1112="","",IFERROR(INDEX(I_Item!$C$6:$C$255,MATCH(E1112,I_Item!$A$6:$A$255,0)),"KODE BARU")))</f>
        <v/>
      </c>
      <c r="H1112" s="45"/>
      <c r="I1112" s="42"/>
      <c r="J1112" s="11" t="str">
        <f aca="false">IF(H1112="","",H1112*I1112)</f>
        <v/>
      </c>
      <c r="K1112" s="42"/>
      <c r="L1112" s="11" t="str">
        <f aca="false">IF(H1112="","",IF(K1112&lt;&gt;"",K1112,H1112*IFERROR(INDEX(O_Stok!$Q$6:$Q$85,MATCH(G1112,O_Stok!$A$6:$A$85,0)),0)))</f>
        <v/>
      </c>
      <c r="M1112" s="11" t="str">
        <f aca="false">IF(H1112="","",J1112-L1112)</f>
        <v/>
      </c>
      <c r="N1112" s="34" t="str">
        <f aca="false">IF(G1112="","",IFERROR(INDEX(I_Master!$B$6:$B$85,MATCH(G1112,I_Master!$A$6:$A$85,0)),"?"))</f>
        <v/>
      </c>
      <c r="O1112" s="34" t="str">
        <f aca="false">IF(G1112="","",IFERROR(INDEX(I_Master!$E$6:$E$85,MATCH(G1112,I_Master!$A$6:$A$85,0)),"?"))</f>
        <v/>
      </c>
      <c r="P1112" s="46" t="str">
        <f aca="false">IF(H1112="","",IF(OR(A1112&lt;I_Parameter!$C$5,A1112&gt;I_Parameter!$C$6),0,IF(B1112="Aktual",1,IF(AND(B1112="Order",A1112&gt;=I_Parameter!$C$4),1,0))))</f>
        <v/>
      </c>
    </row>
    <row r="1113" customFormat="false" ht="15" hidden="false" customHeight="false" outlineLevel="0" collapsed="false">
      <c r="A1113" s="37"/>
      <c r="B1113" s="44"/>
      <c r="C1113" s="44"/>
      <c r="D1113" s="44"/>
      <c r="E1113" s="44"/>
      <c r="F1113" s="44"/>
      <c r="G1113" s="34" t="str">
        <f aca="false">IF(F1113&lt;&gt;"",F1113,IF(E1113="","",IFERROR(INDEX(I_Item!$C$6:$C$255,MATCH(E1113,I_Item!$A$6:$A$255,0)),"KODE BARU")))</f>
        <v/>
      </c>
      <c r="H1113" s="45"/>
      <c r="I1113" s="42"/>
      <c r="J1113" s="11" t="str">
        <f aca="false">IF(H1113="","",H1113*I1113)</f>
        <v/>
      </c>
      <c r="K1113" s="42"/>
      <c r="L1113" s="11" t="str">
        <f aca="false">IF(H1113="","",IF(K1113&lt;&gt;"",K1113,H1113*IFERROR(INDEX(O_Stok!$Q$6:$Q$85,MATCH(G1113,O_Stok!$A$6:$A$85,0)),0)))</f>
        <v/>
      </c>
      <c r="M1113" s="11" t="str">
        <f aca="false">IF(H1113="","",J1113-L1113)</f>
        <v/>
      </c>
      <c r="N1113" s="34" t="str">
        <f aca="false">IF(G1113="","",IFERROR(INDEX(I_Master!$B$6:$B$85,MATCH(G1113,I_Master!$A$6:$A$85,0)),"?"))</f>
        <v/>
      </c>
      <c r="O1113" s="34" t="str">
        <f aca="false">IF(G1113="","",IFERROR(INDEX(I_Master!$E$6:$E$85,MATCH(G1113,I_Master!$A$6:$A$85,0)),"?"))</f>
        <v/>
      </c>
      <c r="P1113" s="46" t="str">
        <f aca="false">IF(H1113="","",IF(OR(A1113&lt;I_Parameter!$C$5,A1113&gt;I_Parameter!$C$6),0,IF(B1113="Aktual",1,IF(AND(B1113="Order",A1113&gt;=I_Parameter!$C$4),1,0))))</f>
        <v/>
      </c>
    </row>
    <row r="1114" customFormat="false" ht="15" hidden="false" customHeight="false" outlineLevel="0" collapsed="false">
      <c r="A1114" s="37"/>
      <c r="B1114" s="44"/>
      <c r="C1114" s="44"/>
      <c r="D1114" s="44"/>
      <c r="E1114" s="44"/>
      <c r="F1114" s="44"/>
      <c r="G1114" s="34" t="str">
        <f aca="false">IF(F1114&lt;&gt;"",F1114,IF(E1114="","",IFERROR(INDEX(I_Item!$C$6:$C$255,MATCH(E1114,I_Item!$A$6:$A$255,0)),"KODE BARU")))</f>
        <v/>
      </c>
      <c r="H1114" s="45"/>
      <c r="I1114" s="42"/>
      <c r="J1114" s="11" t="str">
        <f aca="false">IF(H1114="","",H1114*I1114)</f>
        <v/>
      </c>
      <c r="K1114" s="42"/>
      <c r="L1114" s="11" t="str">
        <f aca="false">IF(H1114="","",IF(K1114&lt;&gt;"",K1114,H1114*IFERROR(INDEX(O_Stok!$Q$6:$Q$85,MATCH(G1114,O_Stok!$A$6:$A$85,0)),0)))</f>
        <v/>
      </c>
      <c r="M1114" s="11" t="str">
        <f aca="false">IF(H1114="","",J1114-L1114)</f>
        <v/>
      </c>
      <c r="N1114" s="34" t="str">
        <f aca="false">IF(G1114="","",IFERROR(INDEX(I_Master!$B$6:$B$85,MATCH(G1114,I_Master!$A$6:$A$85,0)),"?"))</f>
        <v/>
      </c>
      <c r="O1114" s="34" t="str">
        <f aca="false">IF(G1114="","",IFERROR(INDEX(I_Master!$E$6:$E$85,MATCH(G1114,I_Master!$A$6:$A$85,0)),"?"))</f>
        <v/>
      </c>
      <c r="P1114" s="46" t="str">
        <f aca="false">IF(H1114="","",IF(OR(A1114&lt;I_Parameter!$C$5,A1114&gt;I_Parameter!$C$6),0,IF(B1114="Aktual",1,IF(AND(B1114="Order",A1114&gt;=I_Parameter!$C$4),1,0))))</f>
        <v/>
      </c>
    </row>
    <row r="1115" customFormat="false" ht="15" hidden="false" customHeight="false" outlineLevel="0" collapsed="false">
      <c r="A1115" s="37"/>
      <c r="B1115" s="44"/>
      <c r="C1115" s="44"/>
      <c r="D1115" s="44"/>
      <c r="E1115" s="44"/>
      <c r="F1115" s="44"/>
      <c r="G1115" s="34" t="str">
        <f aca="false">IF(F1115&lt;&gt;"",F1115,IF(E1115="","",IFERROR(INDEX(I_Item!$C$6:$C$255,MATCH(E1115,I_Item!$A$6:$A$255,0)),"KODE BARU")))</f>
        <v/>
      </c>
      <c r="H1115" s="45"/>
      <c r="I1115" s="42"/>
      <c r="J1115" s="11" t="str">
        <f aca="false">IF(H1115="","",H1115*I1115)</f>
        <v/>
      </c>
      <c r="K1115" s="42"/>
      <c r="L1115" s="11" t="str">
        <f aca="false">IF(H1115="","",IF(K1115&lt;&gt;"",K1115,H1115*IFERROR(INDEX(O_Stok!$Q$6:$Q$85,MATCH(G1115,O_Stok!$A$6:$A$85,0)),0)))</f>
        <v/>
      </c>
      <c r="M1115" s="11" t="str">
        <f aca="false">IF(H1115="","",J1115-L1115)</f>
        <v/>
      </c>
      <c r="N1115" s="34" t="str">
        <f aca="false">IF(G1115="","",IFERROR(INDEX(I_Master!$B$6:$B$85,MATCH(G1115,I_Master!$A$6:$A$85,0)),"?"))</f>
        <v/>
      </c>
      <c r="O1115" s="34" t="str">
        <f aca="false">IF(G1115="","",IFERROR(INDEX(I_Master!$E$6:$E$85,MATCH(G1115,I_Master!$A$6:$A$85,0)),"?"))</f>
        <v/>
      </c>
      <c r="P1115" s="46" t="str">
        <f aca="false">IF(H1115="","",IF(OR(A1115&lt;I_Parameter!$C$5,A1115&gt;I_Parameter!$C$6),0,IF(B1115="Aktual",1,IF(AND(B1115="Order",A1115&gt;=I_Parameter!$C$4),1,0))))</f>
        <v/>
      </c>
    </row>
    <row r="1116" customFormat="false" ht="15" hidden="false" customHeight="false" outlineLevel="0" collapsed="false">
      <c r="A1116" s="37"/>
      <c r="B1116" s="44"/>
      <c r="C1116" s="44"/>
      <c r="D1116" s="44"/>
      <c r="E1116" s="44"/>
      <c r="F1116" s="44"/>
      <c r="G1116" s="34" t="str">
        <f aca="false">IF(F1116&lt;&gt;"",F1116,IF(E1116="","",IFERROR(INDEX(I_Item!$C$6:$C$255,MATCH(E1116,I_Item!$A$6:$A$255,0)),"KODE BARU")))</f>
        <v/>
      </c>
      <c r="H1116" s="45"/>
      <c r="I1116" s="42"/>
      <c r="J1116" s="11" t="str">
        <f aca="false">IF(H1116="","",H1116*I1116)</f>
        <v/>
      </c>
      <c r="K1116" s="42"/>
      <c r="L1116" s="11" t="str">
        <f aca="false">IF(H1116="","",IF(K1116&lt;&gt;"",K1116,H1116*IFERROR(INDEX(O_Stok!$Q$6:$Q$85,MATCH(G1116,O_Stok!$A$6:$A$85,0)),0)))</f>
        <v/>
      </c>
      <c r="M1116" s="11" t="str">
        <f aca="false">IF(H1116="","",J1116-L1116)</f>
        <v/>
      </c>
      <c r="N1116" s="34" t="str">
        <f aca="false">IF(G1116="","",IFERROR(INDEX(I_Master!$B$6:$B$85,MATCH(G1116,I_Master!$A$6:$A$85,0)),"?"))</f>
        <v/>
      </c>
      <c r="O1116" s="34" t="str">
        <f aca="false">IF(G1116="","",IFERROR(INDEX(I_Master!$E$6:$E$85,MATCH(G1116,I_Master!$A$6:$A$85,0)),"?"))</f>
        <v/>
      </c>
      <c r="P1116" s="46" t="str">
        <f aca="false">IF(H1116="","",IF(OR(A1116&lt;I_Parameter!$C$5,A1116&gt;I_Parameter!$C$6),0,IF(B1116="Aktual",1,IF(AND(B1116="Order",A1116&gt;=I_Parameter!$C$4),1,0))))</f>
        <v/>
      </c>
    </row>
    <row r="1117" customFormat="false" ht="15" hidden="false" customHeight="false" outlineLevel="0" collapsed="false">
      <c r="A1117" s="37"/>
      <c r="B1117" s="44"/>
      <c r="C1117" s="44"/>
      <c r="D1117" s="44"/>
      <c r="E1117" s="44"/>
      <c r="F1117" s="44"/>
      <c r="G1117" s="34" t="str">
        <f aca="false">IF(F1117&lt;&gt;"",F1117,IF(E1117="","",IFERROR(INDEX(I_Item!$C$6:$C$255,MATCH(E1117,I_Item!$A$6:$A$255,0)),"KODE BARU")))</f>
        <v/>
      </c>
      <c r="H1117" s="45"/>
      <c r="I1117" s="42"/>
      <c r="J1117" s="11" t="str">
        <f aca="false">IF(H1117="","",H1117*I1117)</f>
        <v/>
      </c>
      <c r="K1117" s="42"/>
      <c r="L1117" s="11" t="str">
        <f aca="false">IF(H1117="","",IF(K1117&lt;&gt;"",K1117,H1117*IFERROR(INDEX(O_Stok!$Q$6:$Q$85,MATCH(G1117,O_Stok!$A$6:$A$85,0)),0)))</f>
        <v/>
      </c>
      <c r="M1117" s="11" t="str">
        <f aca="false">IF(H1117="","",J1117-L1117)</f>
        <v/>
      </c>
      <c r="N1117" s="34" t="str">
        <f aca="false">IF(G1117="","",IFERROR(INDEX(I_Master!$B$6:$B$85,MATCH(G1117,I_Master!$A$6:$A$85,0)),"?"))</f>
        <v/>
      </c>
      <c r="O1117" s="34" t="str">
        <f aca="false">IF(G1117="","",IFERROR(INDEX(I_Master!$E$6:$E$85,MATCH(G1117,I_Master!$A$6:$A$85,0)),"?"))</f>
        <v/>
      </c>
      <c r="P1117" s="46" t="str">
        <f aca="false">IF(H1117="","",IF(OR(A1117&lt;I_Parameter!$C$5,A1117&gt;I_Parameter!$C$6),0,IF(B1117="Aktual",1,IF(AND(B1117="Order",A1117&gt;=I_Parameter!$C$4),1,0))))</f>
        <v/>
      </c>
    </row>
    <row r="1118" customFormat="false" ht="15" hidden="false" customHeight="false" outlineLevel="0" collapsed="false">
      <c r="A1118" s="37"/>
      <c r="B1118" s="44"/>
      <c r="C1118" s="44"/>
      <c r="D1118" s="44"/>
      <c r="E1118" s="44"/>
      <c r="F1118" s="44"/>
      <c r="G1118" s="34" t="str">
        <f aca="false">IF(F1118&lt;&gt;"",F1118,IF(E1118="","",IFERROR(INDEX(I_Item!$C$6:$C$255,MATCH(E1118,I_Item!$A$6:$A$255,0)),"KODE BARU")))</f>
        <v/>
      </c>
      <c r="H1118" s="45"/>
      <c r="I1118" s="42"/>
      <c r="J1118" s="11" t="str">
        <f aca="false">IF(H1118="","",H1118*I1118)</f>
        <v/>
      </c>
      <c r="K1118" s="42"/>
      <c r="L1118" s="11" t="str">
        <f aca="false">IF(H1118="","",IF(K1118&lt;&gt;"",K1118,H1118*IFERROR(INDEX(O_Stok!$Q$6:$Q$85,MATCH(G1118,O_Stok!$A$6:$A$85,0)),0)))</f>
        <v/>
      </c>
      <c r="M1118" s="11" t="str">
        <f aca="false">IF(H1118="","",J1118-L1118)</f>
        <v/>
      </c>
      <c r="N1118" s="34" t="str">
        <f aca="false">IF(G1118="","",IFERROR(INDEX(I_Master!$B$6:$B$85,MATCH(G1118,I_Master!$A$6:$A$85,0)),"?"))</f>
        <v/>
      </c>
      <c r="O1118" s="34" t="str">
        <f aca="false">IF(G1118="","",IFERROR(INDEX(I_Master!$E$6:$E$85,MATCH(G1118,I_Master!$A$6:$A$85,0)),"?"))</f>
        <v/>
      </c>
      <c r="P1118" s="46" t="str">
        <f aca="false">IF(H1118="","",IF(OR(A1118&lt;I_Parameter!$C$5,A1118&gt;I_Parameter!$C$6),0,IF(B1118="Aktual",1,IF(AND(B1118="Order",A1118&gt;=I_Parameter!$C$4),1,0))))</f>
        <v/>
      </c>
    </row>
    <row r="1119" customFormat="false" ht="15" hidden="false" customHeight="false" outlineLevel="0" collapsed="false">
      <c r="A1119" s="37"/>
      <c r="B1119" s="44"/>
      <c r="C1119" s="44"/>
      <c r="D1119" s="44"/>
      <c r="E1119" s="44"/>
      <c r="F1119" s="44"/>
      <c r="G1119" s="34" t="str">
        <f aca="false">IF(F1119&lt;&gt;"",F1119,IF(E1119="","",IFERROR(INDEX(I_Item!$C$6:$C$255,MATCH(E1119,I_Item!$A$6:$A$255,0)),"KODE BARU")))</f>
        <v/>
      </c>
      <c r="H1119" s="45"/>
      <c r="I1119" s="42"/>
      <c r="J1119" s="11" t="str">
        <f aca="false">IF(H1119="","",H1119*I1119)</f>
        <v/>
      </c>
      <c r="K1119" s="42"/>
      <c r="L1119" s="11" t="str">
        <f aca="false">IF(H1119="","",IF(K1119&lt;&gt;"",K1119,H1119*IFERROR(INDEX(O_Stok!$Q$6:$Q$85,MATCH(G1119,O_Stok!$A$6:$A$85,0)),0)))</f>
        <v/>
      </c>
      <c r="M1119" s="11" t="str">
        <f aca="false">IF(H1119="","",J1119-L1119)</f>
        <v/>
      </c>
      <c r="N1119" s="34" t="str">
        <f aca="false">IF(G1119="","",IFERROR(INDEX(I_Master!$B$6:$B$85,MATCH(G1119,I_Master!$A$6:$A$85,0)),"?"))</f>
        <v/>
      </c>
      <c r="O1119" s="34" t="str">
        <f aca="false">IF(G1119="","",IFERROR(INDEX(I_Master!$E$6:$E$85,MATCH(G1119,I_Master!$A$6:$A$85,0)),"?"))</f>
        <v/>
      </c>
      <c r="P1119" s="46" t="str">
        <f aca="false">IF(H1119="","",IF(OR(A1119&lt;I_Parameter!$C$5,A1119&gt;I_Parameter!$C$6),0,IF(B1119="Aktual",1,IF(AND(B1119="Order",A1119&gt;=I_Parameter!$C$4),1,0))))</f>
        <v/>
      </c>
    </row>
    <row r="1120" customFormat="false" ht="15" hidden="false" customHeight="false" outlineLevel="0" collapsed="false">
      <c r="A1120" s="37"/>
      <c r="B1120" s="44"/>
      <c r="C1120" s="44"/>
      <c r="D1120" s="44"/>
      <c r="E1120" s="44"/>
      <c r="F1120" s="44"/>
      <c r="G1120" s="34" t="str">
        <f aca="false">IF(F1120&lt;&gt;"",F1120,IF(E1120="","",IFERROR(INDEX(I_Item!$C$6:$C$255,MATCH(E1120,I_Item!$A$6:$A$255,0)),"KODE BARU")))</f>
        <v/>
      </c>
      <c r="H1120" s="45"/>
      <c r="I1120" s="42"/>
      <c r="J1120" s="11" t="str">
        <f aca="false">IF(H1120="","",H1120*I1120)</f>
        <v/>
      </c>
      <c r="K1120" s="42"/>
      <c r="L1120" s="11" t="str">
        <f aca="false">IF(H1120="","",IF(K1120&lt;&gt;"",K1120,H1120*IFERROR(INDEX(O_Stok!$Q$6:$Q$85,MATCH(G1120,O_Stok!$A$6:$A$85,0)),0)))</f>
        <v/>
      </c>
      <c r="M1120" s="11" t="str">
        <f aca="false">IF(H1120="","",J1120-L1120)</f>
        <v/>
      </c>
      <c r="N1120" s="34" t="str">
        <f aca="false">IF(G1120="","",IFERROR(INDEX(I_Master!$B$6:$B$85,MATCH(G1120,I_Master!$A$6:$A$85,0)),"?"))</f>
        <v/>
      </c>
      <c r="O1120" s="34" t="str">
        <f aca="false">IF(G1120="","",IFERROR(INDEX(I_Master!$E$6:$E$85,MATCH(G1120,I_Master!$A$6:$A$85,0)),"?"))</f>
        <v/>
      </c>
      <c r="P1120" s="46" t="str">
        <f aca="false">IF(H1120="","",IF(OR(A1120&lt;I_Parameter!$C$5,A1120&gt;I_Parameter!$C$6),0,IF(B1120="Aktual",1,IF(AND(B1120="Order",A1120&gt;=I_Parameter!$C$4),1,0))))</f>
        <v/>
      </c>
    </row>
    <row r="1121" customFormat="false" ht="15" hidden="false" customHeight="false" outlineLevel="0" collapsed="false">
      <c r="A1121" s="37"/>
      <c r="B1121" s="44"/>
      <c r="C1121" s="44"/>
      <c r="D1121" s="44"/>
      <c r="E1121" s="44"/>
      <c r="F1121" s="44"/>
      <c r="G1121" s="34" t="str">
        <f aca="false">IF(F1121&lt;&gt;"",F1121,IF(E1121="","",IFERROR(INDEX(I_Item!$C$6:$C$255,MATCH(E1121,I_Item!$A$6:$A$255,0)),"KODE BARU")))</f>
        <v/>
      </c>
      <c r="H1121" s="45"/>
      <c r="I1121" s="42"/>
      <c r="J1121" s="11" t="str">
        <f aca="false">IF(H1121="","",H1121*I1121)</f>
        <v/>
      </c>
      <c r="K1121" s="42"/>
      <c r="L1121" s="11" t="str">
        <f aca="false">IF(H1121="","",IF(K1121&lt;&gt;"",K1121,H1121*IFERROR(INDEX(O_Stok!$Q$6:$Q$85,MATCH(G1121,O_Stok!$A$6:$A$85,0)),0)))</f>
        <v/>
      </c>
      <c r="M1121" s="11" t="str">
        <f aca="false">IF(H1121="","",J1121-L1121)</f>
        <v/>
      </c>
      <c r="N1121" s="34" t="str">
        <f aca="false">IF(G1121="","",IFERROR(INDEX(I_Master!$B$6:$B$85,MATCH(G1121,I_Master!$A$6:$A$85,0)),"?"))</f>
        <v/>
      </c>
      <c r="O1121" s="34" t="str">
        <f aca="false">IF(G1121="","",IFERROR(INDEX(I_Master!$E$6:$E$85,MATCH(G1121,I_Master!$A$6:$A$85,0)),"?"))</f>
        <v/>
      </c>
      <c r="P1121" s="46" t="str">
        <f aca="false">IF(H1121="","",IF(OR(A1121&lt;I_Parameter!$C$5,A1121&gt;I_Parameter!$C$6),0,IF(B1121="Aktual",1,IF(AND(B1121="Order",A1121&gt;=I_Parameter!$C$4),1,0))))</f>
        <v/>
      </c>
    </row>
    <row r="1122" customFormat="false" ht="15" hidden="false" customHeight="false" outlineLevel="0" collapsed="false">
      <c r="A1122" s="37"/>
      <c r="B1122" s="44"/>
      <c r="C1122" s="44"/>
      <c r="D1122" s="44"/>
      <c r="E1122" s="44"/>
      <c r="F1122" s="44"/>
      <c r="G1122" s="34" t="str">
        <f aca="false">IF(F1122&lt;&gt;"",F1122,IF(E1122="","",IFERROR(INDEX(I_Item!$C$6:$C$255,MATCH(E1122,I_Item!$A$6:$A$255,0)),"KODE BARU")))</f>
        <v/>
      </c>
      <c r="H1122" s="45"/>
      <c r="I1122" s="42"/>
      <c r="J1122" s="11" t="str">
        <f aca="false">IF(H1122="","",H1122*I1122)</f>
        <v/>
      </c>
      <c r="K1122" s="42"/>
      <c r="L1122" s="11" t="str">
        <f aca="false">IF(H1122="","",IF(K1122&lt;&gt;"",K1122,H1122*IFERROR(INDEX(O_Stok!$Q$6:$Q$85,MATCH(G1122,O_Stok!$A$6:$A$85,0)),0)))</f>
        <v/>
      </c>
      <c r="M1122" s="11" t="str">
        <f aca="false">IF(H1122="","",J1122-L1122)</f>
        <v/>
      </c>
      <c r="N1122" s="34" t="str">
        <f aca="false">IF(G1122="","",IFERROR(INDEX(I_Master!$B$6:$B$85,MATCH(G1122,I_Master!$A$6:$A$85,0)),"?"))</f>
        <v/>
      </c>
      <c r="O1122" s="34" t="str">
        <f aca="false">IF(G1122="","",IFERROR(INDEX(I_Master!$E$6:$E$85,MATCH(G1122,I_Master!$A$6:$A$85,0)),"?"))</f>
        <v/>
      </c>
      <c r="P1122" s="46" t="str">
        <f aca="false">IF(H1122="","",IF(OR(A1122&lt;I_Parameter!$C$5,A1122&gt;I_Parameter!$C$6),0,IF(B1122="Aktual",1,IF(AND(B1122="Order",A1122&gt;=I_Parameter!$C$4),1,0))))</f>
        <v/>
      </c>
    </row>
    <row r="1123" customFormat="false" ht="15" hidden="false" customHeight="false" outlineLevel="0" collapsed="false">
      <c r="A1123" s="37"/>
      <c r="B1123" s="44"/>
      <c r="C1123" s="44"/>
      <c r="D1123" s="44"/>
      <c r="E1123" s="44"/>
      <c r="F1123" s="44"/>
      <c r="G1123" s="34" t="str">
        <f aca="false">IF(F1123&lt;&gt;"",F1123,IF(E1123="","",IFERROR(INDEX(I_Item!$C$6:$C$255,MATCH(E1123,I_Item!$A$6:$A$255,0)),"KODE BARU")))</f>
        <v/>
      </c>
      <c r="H1123" s="45"/>
      <c r="I1123" s="42"/>
      <c r="J1123" s="11" t="str">
        <f aca="false">IF(H1123="","",H1123*I1123)</f>
        <v/>
      </c>
      <c r="K1123" s="42"/>
      <c r="L1123" s="11" t="str">
        <f aca="false">IF(H1123="","",IF(K1123&lt;&gt;"",K1123,H1123*IFERROR(INDEX(O_Stok!$Q$6:$Q$85,MATCH(G1123,O_Stok!$A$6:$A$85,0)),0)))</f>
        <v/>
      </c>
      <c r="M1123" s="11" t="str">
        <f aca="false">IF(H1123="","",J1123-L1123)</f>
        <v/>
      </c>
      <c r="N1123" s="34" t="str">
        <f aca="false">IF(G1123="","",IFERROR(INDEX(I_Master!$B$6:$B$85,MATCH(G1123,I_Master!$A$6:$A$85,0)),"?"))</f>
        <v/>
      </c>
      <c r="O1123" s="34" t="str">
        <f aca="false">IF(G1123="","",IFERROR(INDEX(I_Master!$E$6:$E$85,MATCH(G1123,I_Master!$A$6:$A$85,0)),"?"))</f>
        <v/>
      </c>
      <c r="P1123" s="46" t="str">
        <f aca="false">IF(H1123="","",IF(OR(A1123&lt;I_Parameter!$C$5,A1123&gt;I_Parameter!$C$6),0,IF(B1123="Aktual",1,IF(AND(B1123="Order",A1123&gt;=I_Parameter!$C$4),1,0))))</f>
        <v/>
      </c>
    </row>
    <row r="1124" customFormat="false" ht="15" hidden="false" customHeight="false" outlineLevel="0" collapsed="false">
      <c r="A1124" s="37"/>
      <c r="B1124" s="44"/>
      <c r="C1124" s="44"/>
      <c r="D1124" s="44"/>
      <c r="E1124" s="44"/>
      <c r="F1124" s="44"/>
      <c r="G1124" s="34" t="str">
        <f aca="false">IF(F1124&lt;&gt;"",F1124,IF(E1124="","",IFERROR(INDEX(I_Item!$C$6:$C$255,MATCH(E1124,I_Item!$A$6:$A$255,0)),"KODE BARU")))</f>
        <v/>
      </c>
      <c r="H1124" s="45"/>
      <c r="I1124" s="42"/>
      <c r="J1124" s="11" t="str">
        <f aca="false">IF(H1124="","",H1124*I1124)</f>
        <v/>
      </c>
      <c r="K1124" s="42"/>
      <c r="L1124" s="11" t="str">
        <f aca="false">IF(H1124="","",IF(K1124&lt;&gt;"",K1124,H1124*IFERROR(INDEX(O_Stok!$Q$6:$Q$85,MATCH(G1124,O_Stok!$A$6:$A$85,0)),0)))</f>
        <v/>
      </c>
      <c r="M1124" s="11" t="str">
        <f aca="false">IF(H1124="","",J1124-L1124)</f>
        <v/>
      </c>
      <c r="N1124" s="34" t="str">
        <f aca="false">IF(G1124="","",IFERROR(INDEX(I_Master!$B$6:$B$85,MATCH(G1124,I_Master!$A$6:$A$85,0)),"?"))</f>
        <v/>
      </c>
      <c r="O1124" s="34" t="str">
        <f aca="false">IF(G1124="","",IFERROR(INDEX(I_Master!$E$6:$E$85,MATCH(G1124,I_Master!$A$6:$A$85,0)),"?"))</f>
        <v/>
      </c>
      <c r="P1124" s="46" t="str">
        <f aca="false">IF(H1124="","",IF(OR(A1124&lt;I_Parameter!$C$5,A1124&gt;I_Parameter!$C$6),0,IF(B1124="Aktual",1,IF(AND(B1124="Order",A1124&gt;=I_Parameter!$C$4),1,0))))</f>
        <v/>
      </c>
    </row>
    <row r="1125" customFormat="false" ht="15" hidden="false" customHeight="false" outlineLevel="0" collapsed="false">
      <c r="A1125" s="37"/>
      <c r="B1125" s="44"/>
      <c r="C1125" s="44"/>
      <c r="D1125" s="44"/>
      <c r="E1125" s="44"/>
      <c r="F1125" s="44"/>
      <c r="G1125" s="34" t="str">
        <f aca="false">IF(F1125&lt;&gt;"",F1125,IF(E1125="","",IFERROR(INDEX(I_Item!$C$6:$C$255,MATCH(E1125,I_Item!$A$6:$A$255,0)),"KODE BARU")))</f>
        <v/>
      </c>
      <c r="H1125" s="45"/>
      <c r="I1125" s="42"/>
      <c r="J1125" s="11" t="str">
        <f aca="false">IF(H1125="","",H1125*I1125)</f>
        <v/>
      </c>
      <c r="K1125" s="42"/>
      <c r="L1125" s="11" t="str">
        <f aca="false">IF(H1125="","",IF(K1125&lt;&gt;"",K1125,H1125*IFERROR(INDEX(O_Stok!$Q$6:$Q$85,MATCH(G1125,O_Stok!$A$6:$A$85,0)),0)))</f>
        <v/>
      </c>
      <c r="M1125" s="11" t="str">
        <f aca="false">IF(H1125="","",J1125-L1125)</f>
        <v/>
      </c>
      <c r="N1125" s="34" t="str">
        <f aca="false">IF(G1125="","",IFERROR(INDEX(I_Master!$B$6:$B$85,MATCH(G1125,I_Master!$A$6:$A$85,0)),"?"))</f>
        <v/>
      </c>
      <c r="O1125" s="34" t="str">
        <f aca="false">IF(G1125="","",IFERROR(INDEX(I_Master!$E$6:$E$85,MATCH(G1125,I_Master!$A$6:$A$85,0)),"?"))</f>
        <v/>
      </c>
      <c r="P1125" s="46" t="str">
        <f aca="false">IF(H1125="","",IF(OR(A1125&lt;I_Parameter!$C$5,A1125&gt;I_Parameter!$C$6),0,IF(B1125="Aktual",1,IF(AND(B1125="Order",A1125&gt;=I_Parameter!$C$4),1,0))))</f>
        <v/>
      </c>
    </row>
    <row r="1126" customFormat="false" ht="15" hidden="false" customHeight="false" outlineLevel="0" collapsed="false">
      <c r="A1126" s="37"/>
      <c r="B1126" s="44"/>
      <c r="C1126" s="44"/>
      <c r="D1126" s="44"/>
      <c r="E1126" s="44"/>
      <c r="F1126" s="44"/>
      <c r="G1126" s="34" t="str">
        <f aca="false">IF(F1126&lt;&gt;"",F1126,IF(E1126="","",IFERROR(INDEX(I_Item!$C$6:$C$255,MATCH(E1126,I_Item!$A$6:$A$255,0)),"KODE BARU")))</f>
        <v/>
      </c>
      <c r="H1126" s="45"/>
      <c r="I1126" s="42"/>
      <c r="J1126" s="11" t="str">
        <f aca="false">IF(H1126="","",H1126*I1126)</f>
        <v/>
      </c>
      <c r="K1126" s="42"/>
      <c r="L1126" s="11" t="str">
        <f aca="false">IF(H1126="","",IF(K1126&lt;&gt;"",K1126,H1126*IFERROR(INDEX(O_Stok!$Q$6:$Q$85,MATCH(G1126,O_Stok!$A$6:$A$85,0)),0)))</f>
        <v/>
      </c>
      <c r="M1126" s="11" t="str">
        <f aca="false">IF(H1126="","",J1126-L1126)</f>
        <v/>
      </c>
      <c r="N1126" s="34" t="str">
        <f aca="false">IF(G1126="","",IFERROR(INDEX(I_Master!$B$6:$B$85,MATCH(G1126,I_Master!$A$6:$A$85,0)),"?"))</f>
        <v/>
      </c>
      <c r="O1126" s="34" t="str">
        <f aca="false">IF(G1126="","",IFERROR(INDEX(I_Master!$E$6:$E$85,MATCH(G1126,I_Master!$A$6:$A$85,0)),"?"))</f>
        <v/>
      </c>
      <c r="P1126" s="46" t="str">
        <f aca="false">IF(H1126="","",IF(OR(A1126&lt;I_Parameter!$C$5,A1126&gt;I_Parameter!$C$6),0,IF(B1126="Aktual",1,IF(AND(B1126="Order",A1126&gt;=I_Parameter!$C$4),1,0))))</f>
        <v/>
      </c>
    </row>
    <row r="1127" customFormat="false" ht="15" hidden="false" customHeight="false" outlineLevel="0" collapsed="false">
      <c r="A1127" s="37"/>
      <c r="B1127" s="44"/>
      <c r="C1127" s="44"/>
      <c r="D1127" s="44"/>
      <c r="E1127" s="44"/>
      <c r="F1127" s="44"/>
      <c r="G1127" s="34" t="str">
        <f aca="false">IF(F1127&lt;&gt;"",F1127,IF(E1127="","",IFERROR(INDEX(I_Item!$C$6:$C$255,MATCH(E1127,I_Item!$A$6:$A$255,0)),"KODE BARU")))</f>
        <v/>
      </c>
      <c r="H1127" s="45"/>
      <c r="I1127" s="42"/>
      <c r="J1127" s="11" t="str">
        <f aca="false">IF(H1127="","",H1127*I1127)</f>
        <v/>
      </c>
      <c r="K1127" s="42"/>
      <c r="L1127" s="11" t="str">
        <f aca="false">IF(H1127="","",IF(K1127&lt;&gt;"",K1127,H1127*IFERROR(INDEX(O_Stok!$Q$6:$Q$85,MATCH(G1127,O_Stok!$A$6:$A$85,0)),0)))</f>
        <v/>
      </c>
      <c r="M1127" s="11" t="str">
        <f aca="false">IF(H1127="","",J1127-L1127)</f>
        <v/>
      </c>
      <c r="N1127" s="34" t="str">
        <f aca="false">IF(G1127="","",IFERROR(INDEX(I_Master!$B$6:$B$85,MATCH(G1127,I_Master!$A$6:$A$85,0)),"?"))</f>
        <v/>
      </c>
      <c r="O1127" s="34" t="str">
        <f aca="false">IF(G1127="","",IFERROR(INDEX(I_Master!$E$6:$E$85,MATCH(G1127,I_Master!$A$6:$A$85,0)),"?"))</f>
        <v/>
      </c>
      <c r="P1127" s="46" t="str">
        <f aca="false">IF(H1127="","",IF(OR(A1127&lt;I_Parameter!$C$5,A1127&gt;I_Parameter!$C$6),0,IF(B1127="Aktual",1,IF(AND(B1127="Order",A1127&gt;=I_Parameter!$C$4),1,0))))</f>
        <v/>
      </c>
    </row>
    <row r="1128" customFormat="false" ht="15" hidden="false" customHeight="false" outlineLevel="0" collapsed="false">
      <c r="A1128" s="37"/>
      <c r="B1128" s="44"/>
      <c r="C1128" s="44"/>
      <c r="D1128" s="44"/>
      <c r="E1128" s="44"/>
      <c r="F1128" s="44"/>
      <c r="G1128" s="34" t="str">
        <f aca="false">IF(F1128&lt;&gt;"",F1128,IF(E1128="","",IFERROR(INDEX(I_Item!$C$6:$C$255,MATCH(E1128,I_Item!$A$6:$A$255,0)),"KODE BARU")))</f>
        <v/>
      </c>
      <c r="H1128" s="45"/>
      <c r="I1128" s="42"/>
      <c r="J1128" s="11" t="str">
        <f aca="false">IF(H1128="","",H1128*I1128)</f>
        <v/>
      </c>
      <c r="K1128" s="42"/>
      <c r="L1128" s="11" t="str">
        <f aca="false">IF(H1128="","",IF(K1128&lt;&gt;"",K1128,H1128*IFERROR(INDEX(O_Stok!$Q$6:$Q$85,MATCH(G1128,O_Stok!$A$6:$A$85,0)),0)))</f>
        <v/>
      </c>
      <c r="M1128" s="11" t="str">
        <f aca="false">IF(H1128="","",J1128-L1128)</f>
        <v/>
      </c>
      <c r="N1128" s="34" t="str">
        <f aca="false">IF(G1128="","",IFERROR(INDEX(I_Master!$B$6:$B$85,MATCH(G1128,I_Master!$A$6:$A$85,0)),"?"))</f>
        <v/>
      </c>
      <c r="O1128" s="34" t="str">
        <f aca="false">IF(G1128="","",IFERROR(INDEX(I_Master!$E$6:$E$85,MATCH(G1128,I_Master!$A$6:$A$85,0)),"?"))</f>
        <v/>
      </c>
      <c r="P1128" s="46" t="str">
        <f aca="false">IF(H1128="","",IF(OR(A1128&lt;I_Parameter!$C$5,A1128&gt;I_Parameter!$C$6),0,IF(B1128="Aktual",1,IF(AND(B1128="Order",A1128&gt;=I_Parameter!$C$4),1,0))))</f>
        <v/>
      </c>
    </row>
    <row r="1129" customFormat="false" ht="15" hidden="false" customHeight="false" outlineLevel="0" collapsed="false">
      <c r="A1129" s="37"/>
      <c r="B1129" s="44"/>
      <c r="C1129" s="44"/>
      <c r="D1129" s="44"/>
      <c r="E1129" s="44"/>
      <c r="F1129" s="44"/>
      <c r="G1129" s="34" t="str">
        <f aca="false">IF(F1129&lt;&gt;"",F1129,IF(E1129="","",IFERROR(INDEX(I_Item!$C$6:$C$255,MATCH(E1129,I_Item!$A$6:$A$255,0)),"KODE BARU")))</f>
        <v/>
      </c>
      <c r="H1129" s="45"/>
      <c r="I1129" s="42"/>
      <c r="J1129" s="11" t="str">
        <f aca="false">IF(H1129="","",H1129*I1129)</f>
        <v/>
      </c>
      <c r="K1129" s="42"/>
      <c r="L1129" s="11" t="str">
        <f aca="false">IF(H1129="","",IF(K1129&lt;&gt;"",K1129,H1129*IFERROR(INDEX(O_Stok!$Q$6:$Q$85,MATCH(G1129,O_Stok!$A$6:$A$85,0)),0)))</f>
        <v/>
      </c>
      <c r="M1129" s="11" t="str">
        <f aca="false">IF(H1129="","",J1129-L1129)</f>
        <v/>
      </c>
      <c r="N1129" s="34" t="str">
        <f aca="false">IF(G1129="","",IFERROR(INDEX(I_Master!$B$6:$B$85,MATCH(G1129,I_Master!$A$6:$A$85,0)),"?"))</f>
        <v/>
      </c>
      <c r="O1129" s="34" t="str">
        <f aca="false">IF(G1129="","",IFERROR(INDEX(I_Master!$E$6:$E$85,MATCH(G1129,I_Master!$A$6:$A$85,0)),"?"))</f>
        <v/>
      </c>
      <c r="P1129" s="46" t="str">
        <f aca="false">IF(H1129="","",IF(OR(A1129&lt;I_Parameter!$C$5,A1129&gt;I_Parameter!$C$6),0,IF(B1129="Aktual",1,IF(AND(B1129="Order",A1129&gt;=I_Parameter!$C$4),1,0))))</f>
        <v/>
      </c>
    </row>
    <row r="1130" customFormat="false" ht="15" hidden="false" customHeight="false" outlineLevel="0" collapsed="false">
      <c r="A1130" s="37"/>
      <c r="B1130" s="44"/>
      <c r="C1130" s="44"/>
      <c r="D1130" s="44"/>
      <c r="E1130" s="44"/>
      <c r="F1130" s="44"/>
      <c r="G1130" s="34" t="str">
        <f aca="false">IF(F1130&lt;&gt;"",F1130,IF(E1130="","",IFERROR(INDEX(I_Item!$C$6:$C$255,MATCH(E1130,I_Item!$A$6:$A$255,0)),"KODE BARU")))</f>
        <v/>
      </c>
      <c r="H1130" s="45"/>
      <c r="I1130" s="42"/>
      <c r="J1130" s="11" t="str">
        <f aca="false">IF(H1130="","",H1130*I1130)</f>
        <v/>
      </c>
      <c r="K1130" s="42"/>
      <c r="L1130" s="11" t="str">
        <f aca="false">IF(H1130="","",IF(K1130&lt;&gt;"",K1130,H1130*IFERROR(INDEX(O_Stok!$Q$6:$Q$85,MATCH(G1130,O_Stok!$A$6:$A$85,0)),0)))</f>
        <v/>
      </c>
      <c r="M1130" s="11" t="str">
        <f aca="false">IF(H1130="","",J1130-L1130)</f>
        <v/>
      </c>
      <c r="N1130" s="34" t="str">
        <f aca="false">IF(G1130="","",IFERROR(INDEX(I_Master!$B$6:$B$85,MATCH(G1130,I_Master!$A$6:$A$85,0)),"?"))</f>
        <v/>
      </c>
      <c r="O1130" s="34" t="str">
        <f aca="false">IF(G1130="","",IFERROR(INDEX(I_Master!$E$6:$E$85,MATCH(G1130,I_Master!$A$6:$A$85,0)),"?"))</f>
        <v/>
      </c>
      <c r="P1130" s="46" t="str">
        <f aca="false">IF(H1130="","",IF(OR(A1130&lt;I_Parameter!$C$5,A1130&gt;I_Parameter!$C$6),0,IF(B1130="Aktual",1,IF(AND(B1130="Order",A1130&gt;=I_Parameter!$C$4),1,0))))</f>
        <v/>
      </c>
    </row>
    <row r="1131" customFormat="false" ht="15" hidden="false" customHeight="false" outlineLevel="0" collapsed="false">
      <c r="A1131" s="37"/>
      <c r="B1131" s="44"/>
      <c r="C1131" s="44"/>
      <c r="D1131" s="44"/>
      <c r="E1131" s="44"/>
      <c r="F1131" s="44"/>
      <c r="G1131" s="34" t="str">
        <f aca="false">IF(F1131&lt;&gt;"",F1131,IF(E1131="","",IFERROR(INDEX(I_Item!$C$6:$C$255,MATCH(E1131,I_Item!$A$6:$A$255,0)),"KODE BARU")))</f>
        <v/>
      </c>
      <c r="H1131" s="45"/>
      <c r="I1131" s="42"/>
      <c r="J1131" s="11" t="str">
        <f aca="false">IF(H1131="","",H1131*I1131)</f>
        <v/>
      </c>
      <c r="K1131" s="42"/>
      <c r="L1131" s="11" t="str">
        <f aca="false">IF(H1131="","",IF(K1131&lt;&gt;"",K1131,H1131*IFERROR(INDEX(O_Stok!$Q$6:$Q$85,MATCH(G1131,O_Stok!$A$6:$A$85,0)),0)))</f>
        <v/>
      </c>
      <c r="M1131" s="11" t="str">
        <f aca="false">IF(H1131="","",J1131-L1131)</f>
        <v/>
      </c>
      <c r="N1131" s="34" t="str">
        <f aca="false">IF(G1131="","",IFERROR(INDEX(I_Master!$B$6:$B$85,MATCH(G1131,I_Master!$A$6:$A$85,0)),"?"))</f>
        <v/>
      </c>
      <c r="O1131" s="34" t="str">
        <f aca="false">IF(G1131="","",IFERROR(INDEX(I_Master!$E$6:$E$85,MATCH(G1131,I_Master!$A$6:$A$85,0)),"?"))</f>
        <v/>
      </c>
      <c r="P1131" s="46" t="str">
        <f aca="false">IF(H1131="","",IF(OR(A1131&lt;I_Parameter!$C$5,A1131&gt;I_Parameter!$C$6),0,IF(B1131="Aktual",1,IF(AND(B1131="Order",A1131&gt;=I_Parameter!$C$4),1,0))))</f>
        <v/>
      </c>
    </row>
    <row r="1132" customFormat="false" ht="15" hidden="false" customHeight="false" outlineLevel="0" collapsed="false">
      <c r="A1132" s="37"/>
      <c r="B1132" s="44"/>
      <c r="C1132" s="44"/>
      <c r="D1132" s="44"/>
      <c r="E1132" s="44"/>
      <c r="F1132" s="44"/>
      <c r="G1132" s="34" t="str">
        <f aca="false">IF(F1132&lt;&gt;"",F1132,IF(E1132="","",IFERROR(INDEX(I_Item!$C$6:$C$255,MATCH(E1132,I_Item!$A$6:$A$255,0)),"KODE BARU")))</f>
        <v/>
      </c>
      <c r="H1132" s="45"/>
      <c r="I1132" s="42"/>
      <c r="J1132" s="11" t="str">
        <f aca="false">IF(H1132="","",H1132*I1132)</f>
        <v/>
      </c>
      <c r="K1132" s="42"/>
      <c r="L1132" s="11" t="str">
        <f aca="false">IF(H1132="","",IF(K1132&lt;&gt;"",K1132,H1132*IFERROR(INDEX(O_Stok!$Q$6:$Q$85,MATCH(G1132,O_Stok!$A$6:$A$85,0)),0)))</f>
        <v/>
      </c>
      <c r="M1132" s="11" t="str">
        <f aca="false">IF(H1132="","",J1132-L1132)</f>
        <v/>
      </c>
      <c r="N1132" s="34" t="str">
        <f aca="false">IF(G1132="","",IFERROR(INDEX(I_Master!$B$6:$B$85,MATCH(G1132,I_Master!$A$6:$A$85,0)),"?"))</f>
        <v/>
      </c>
      <c r="O1132" s="34" t="str">
        <f aca="false">IF(G1132="","",IFERROR(INDEX(I_Master!$E$6:$E$85,MATCH(G1132,I_Master!$A$6:$A$85,0)),"?"))</f>
        <v/>
      </c>
      <c r="P1132" s="46" t="str">
        <f aca="false">IF(H1132="","",IF(OR(A1132&lt;I_Parameter!$C$5,A1132&gt;I_Parameter!$C$6),0,IF(B1132="Aktual",1,IF(AND(B1132="Order",A1132&gt;=I_Parameter!$C$4),1,0))))</f>
        <v/>
      </c>
    </row>
    <row r="1133" customFormat="false" ht="15" hidden="false" customHeight="false" outlineLevel="0" collapsed="false">
      <c r="A1133" s="37"/>
      <c r="B1133" s="44"/>
      <c r="C1133" s="44"/>
      <c r="D1133" s="44"/>
      <c r="E1133" s="44"/>
      <c r="F1133" s="44"/>
      <c r="G1133" s="34" t="str">
        <f aca="false">IF(F1133&lt;&gt;"",F1133,IF(E1133="","",IFERROR(INDEX(I_Item!$C$6:$C$255,MATCH(E1133,I_Item!$A$6:$A$255,0)),"KODE BARU")))</f>
        <v/>
      </c>
      <c r="H1133" s="45"/>
      <c r="I1133" s="42"/>
      <c r="J1133" s="11" t="str">
        <f aca="false">IF(H1133="","",H1133*I1133)</f>
        <v/>
      </c>
      <c r="K1133" s="42"/>
      <c r="L1133" s="11" t="str">
        <f aca="false">IF(H1133="","",IF(K1133&lt;&gt;"",K1133,H1133*IFERROR(INDEX(O_Stok!$Q$6:$Q$85,MATCH(G1133,O_Stok!$A$6:$A$85,0)),0)))</f>
        <v/>
      </c>
      <c r="M1133" s="11" t="str">
        <f aca="false">IF(H1133="","",J1133-L1133)</f>
        <v/>
      </c>
      <c r="N1133" s="34" t="str">
        <f aca="false">IF(G1133="","",IFERROR(INDEX(I_Master!$B$6:$B$85,MATCH(G1133,I_Master!$A$6:$A$85,0)),"?"))</f>
        <v/>
      </c>
      <c r="O1133" s="34" t="str">
        <f aca="false">IF(G1133="","",IFERROR(INDEX(I_Master!$E$6:$E$85,MATCH(G1133,I_Master!$A$6:$A$85,0)),"?"))</f>
        <v/>
      </c>
      <c r="P1133" s="46" t="str">
        <f aca="false">IF(H1133="","",IF(OR(A1133&lt;I_Parameter!$C$5,A1133&gt;I_Parameter!$C$6),0,IF(B1133="Aktual",1,IF(AND(B1133="Order",A1133&gt;=I_Parameter!$C$4),1,0))))</f>
        <v/>
      </c>
    </row>
    <row r="1134" customFormat="false" ht="15" hidden="false" customHeight="false" outlineLevel="0" collapsed="false">
      <c r="A1134" s="37"/>
      <c r="B1134" s="44"/>
      <c r="C1134" s="44"/>
      <c r="D1134" s="44"/>
      <c r="E1134" s="44"/>
      <c r="F1134" s="44"/>
      <c r="G1134" s="34" t="str">
        <f aca="false">IF(F1134&lt;&gt;"",F1134,IF(E1134="","",IFERROR(INDEX(I_Item!$C$6:$C$255,MATCH(E1134,I_Item!$A$6:$A$255,0)),"KODE BARU")))</f>
        <v/>
      </c>
      <c r="H1134" s="45"/>
      <c r="I1134" s="42"/>
      <c r="J1134" s="11" t="str">
        <f aca="false">IF(H1134="","",H1134*I1134)</f>
        <v/>
      </c>
      <c r="K1134" s="42"/>
      <c r="L1134" s="11" t="str">
        <f aca="false">IF(H1134="","",IF(K1134&lt;&gt;"",K1134,H1134*IFERROR(INDEX(O_Stok!$Q$6:$Q$85,MATCH(G1134,O_Stok!$A$6:$A$85,0)),0)))</f>
        <v/>
      </c>
      <c r="M1134" s="11" t="str">
        <f aca="false">IF(H1134="","",J1134-L1134)</f>
        <v/>
      </c>
      <c r="N1134" s="34" t="str">
        <f aca="false">IF(G1134="","",IFERROR(INDEX(I_Master!$B$6:$B$85,MATCH(G1134,I_Master!$A$6:$A$85,0)),"?"))</f>
        <v/>
      </c>
      <c r="O1134" s="34" t="str">
        <f aca="false">IF(G1134="","",IFERROR(INDEX(I_Master!$E$6:$E$85,MATCH(G1134,I_Master!$A$6:$A$85,0)),"?"))</f>
        <v/>
      </c>
      <c r="P1134" s="46" t="str">
        <f aca="false">IF(H1134="","",IF(OR(A1134&lt;I_Parameter!$C$5,A1134&gt;I_Parameter!$C$6),0,IF(B1134="Aktual",1,IF(AND(B1134="Order",A1134&gt;=I_Parameter!$C$4),1,0))))</f>
        <v/>
      </c>
    </row>
    <row r="1135" customFormat="false" ht="15" hidden="false" customHeight="false" outlineLevel="0" collapsed="false">
      <c r="A1135" s="37"/>
      <c r="B1135" s="44"/>
      <c r="C1135" s="44"/>
      <c r="D1135" s="44"/>
      <c r="E1135" s="44"/>
      <c r="F1135" s="44"/>
      <c r="G1135" s="34" t="str">
        <f aca="false">IF(F1135&lt;&gt;"",F1135,IF(E1135="","",IFERROR(INDEX(I_Item!$C$6:$C$255,MATCH(E1135,I_Item!$A$6:$A$255,0)),"KODE BARU")))</f>
        <v/>
      </c>
      <c r="H1135" s="45"/>
      <c r="I1135" s="42"/>
      <c r="J1135" s="11" t="str">
        <f aca="false">IF(H1135="","",H1135*I1135)</f>
        <v/>
      </c>
      <c r="K1135" s="42"/>
      <c r="L1135" s="11" t="str">
        <f aca="false">IF(H1135="","",IF(K1135&lt;&gt;"",K1135,H1135*IFERROR(INDEX(O_Stok!$Q$6:$Q$85,MATCH(G1135,O_Stok!$A$6:$A$85,0)),0)))</f>
        <v/>
      </c>
      <c r="M1135" s="11" t="str">
        <f aca="false">IF(H1135="","",J1135-L1135)</f>
        <v/>
      </c>
      <c r="N1135" s="34" t="str">
        <f aca="false">IF(G1135="","",IFERROR(INDEX(I_Master!$B$6:$B$85,MATCH(G1135,I_Master!$A$6:$A$85,0)),"?"))</f>
        <v/>
      </c>
      <c r="O1135" s="34" t="str">
        <f aca="false">IF(G1135="","",IFERROR(INDEX(I_Master!$E$6:$E$85,MATCH(G1135,I_Master!$A$6:$A$85,0)),"?"))</f>
        <v/>
      </c>
      <c r="P1135" s="46" t="str">
        <f aca="false">IF(H1135="","",IF(OR(A1135&lt;I_Parameter!$C$5,A1135&gt;I_Parameter!$C$6),0,IF(B1135="Aktual",1,IF(AND(B1135="Order",A1135&gt;=I_Parameter!$C$4),1,0))))</f>
        <v/>
      </c>
    </row>
    <row r="1136" customFormat="false" ht="15" hidden="false" customHeight="false" outlineLevel="0" collapsed="false">
      <c r="A1136" s="37"/>
      <c r="B1136" s="44"/>
      <c r="C1136" s="44"/>
      <c r="D1136" s="44"/>
      <c r="E1136" s="44"/>
      <c r="F1136" s="44"/>
      <c r="G1136" s="34" t="str">
        <f aca="false">IF(F1136&lt;&gt;"",F1136,IF(E1136="","",IFERROR(INDEX(I_Item!$C$6:$C$255,MATCH(E1136,I_Item!$A$6:$A$255,0)),"KODE BARU")))</f>
        <v/>
      </c>
      <c r="H1136" s="45"/>
      <c r="I1136" s="42"/>
      <c r="J1136" s="11" t="str">
        <f aca="false">IF(H1136="","",H1136*I1136)</f>
        <v/>
      </c>
      <c r="K1136" s="42"/>
      <c r="L1136" s="11" t="str">
        <f aca="false">IF(H1136="","",IF(K1136&lt;&gt;"",K1136,H1136*IFERROR(INDEX(O_Stok!$Q$6:$Q$85,MATCH(G1136,O_Stok!$A$6:$A$85,0)),0)))</f>
        <v/>
      </c>
      <c r="M1136" s="11" t="str">
        <f aca="false">IF(H1136="","",J1136-L1136)</f>
        <v/>
      </c>
      <c r="N1136" s="34" t="str">
        <f aca="false">IF(G1136="","",IFERROR(INDEX(I_Master!$B$6:$B$85,MATCH(G1136,I_Master!$A$6:$A$85,0)),"?"))</f>
        <v/>
      </c>
      <c r="O1136" s="34" t="str">
        <f aca="false">IF(G1136="","",IFERROR(INDEX(I_Master!$E$6:$E$85,MATCH(G1136,I_Master!$A$6:$A$85,0)),"?"))</f>
        <v/>
      </c>
      <c r="P1136" s="46" t="str">
        <f aca="false">IF(H1136="","",IF(OR(A1136&lt;I_Parameter!$C$5,A1136&gt;I_Parameter!$C$6),0,IF(B1136="Aktual",1,IF(AND(B1136="Order",A1136&gt;=I_Parameter!$C$4),1,0))))</f>
        <v/>
      </c>
    </row>
    <row r="1137" customFormat="false" ht="15" hidden="false" customHeight="false" outlineLevel="0" collapsed="false">
      <c r="A1137" s="37"/>
      <c r="B1137" s="44"/>
      <c r="C1137" s="44"/>
      <c r="D1137" s="44"/>
      <c r="E1137" s="44"/>
      <c r="F1137" s="44"/>
      <c r="G1137" s="34" t="str">
        <f aca="false">IF(F1137&lt;&gt;"",F1137,IF(E1137="","",IFERROR(INDEX(I_Item!$C$6:$C$255,MATCH(E1137,I_Item!$A$6:$A$255,0)),"KODE BARU")))</f>
        <v/>
      </c>
      <c r="H1137" s="45"/>
      <c r="I1137" s="42"/>
      <c r="J1137" s="11" t="str">
        <f aca="false">IF(H1137="","",H1137*I1137)</f>
        <v/>
      </c>
      <c r="K1137" s="42"/>
      <c r="L1137" s="11" t="str">
        <f aca="false">IF(H1137="","",IF(K1137&lt;&gt;"",K1137,H1137*IFERROR(INDEX(O_Stok!$Q$6:$Q$85,MATCH(G1137,O_Stok!$A$6:$A$85,0)),0)))</f>
        <v/>
      </c>
      <c r="M1137" s="11" t="str">
        <f aca="false">IF(H1137="","",J1137-L1137)</f>
        <v/>
      </c>
      <c r="N1137" s="34" t="str">
        <f aca="false">IF(G1137="","",IFERROR(INDEX(I_Master!$B$6:$B$85,MATCH(G1137,I_Master!$A$6:$A$85,0)),"?"))</f>
        <v/>
      </c>
      <c r="O1137" s="34" t="str">
        <f aca="false">IF(G1137="","",IFERROR(INDEX(I_Master!$E$6:$E$85,MATCH(G1137,I_Master!$A$6:$A$85,0)),"?"))</f>
        <v/>
      </c>
      <c r="P1137" s="46" t="str">
        <f aca="false">IF(H1137="","",IF(OR(A1137&lt;I_Parameter!$C$5,A1137&gt;I_Parameter!$C$6),0,IF(B1137="Aktual",1,IF(AND(B1137="Order",A1137&gt;=I_Parameter!$C$4),1,0))))</f>
        <v/>
      </c>
    </row>
    <row r="1138" customFormat="false" ht="15" hidden="false" customHeight="false" outlineLevel="0" collapsed="false">
      <c r="A1138" s="37"/>
      <c r="B1138" s="44"/>
      <c r="C1138" s="44"/>
      <c r="D1138" s="44"/>
      <c r="E1138" s="44"/>
      <c r="F1138" s="44"/>
      <c r="G1138" s="34" t="str">
        <f aca="false">IF(F1138&lt;&gt;"",F1138,IF(E1138="","",IFERROR(INDEX(I_Item!$C$6:$C$255,MATCH(E1138,I_Item!$A$6:$A$255,0)),"KODE BARU")))</f>
        <v/>
      </c>
      <c r="H1138" s="45"/>
      <c r="I1138" s="42"/>
      <c r="J1138" s="11" t="str">
        <f aca="false">IF(H1138="","",H1138*I1138)</f>
        <v/>
      </c>
      <c r="K1138" s="42"/>
      <c r="L1138" s="11" t="str">
        <f aca="false">IF(H1138="","",IF(K1138&lt;&gt;"",K1138,H1138*IFERROR(INDEX(O_Stok!$Q$6:$Q$85,MATCH(G1138,O_Stok!$A$6:$A$85,0)),0)))</f>
        <v/>
      </c>
      <c r="M1138" s="11" t="str">
        <f aca="false">IF(H1138="","",J1138-L1138)</f>
        <v/>
      </c>
      <c r="N1138" s="34" t="str">
        <f aca="false">IF(G1138="","",IFERROR(INDEX(I_Master!$B$6:$B$85,MATCH(G1138,I_Master!$A$6:$A$85,0)),"?"))</f>
        <v/>
      </c>
      <c r="O1138" s="34" t="str">
        <f aca="false">IF(G1138="","",IFERROR(INDEX(I_Master!$E$6:$E$85,MATCH(G1138,I_Master!$A$6:$A$85,0)),"?"))</f>
        <v/>
      </c>
      <c r="P1138" s="46" t="str">
        <f aca="false">IF(H1138="","",IF(OR(A1138&lt;I_Parameter!$C$5,A1138&gt;I_Parameter!$C$6),0,IF(B1138="Aktual",1,IF(AND(B1138="Order",A1138&gt;=I_Parameter!$C$4),1,0))))</f>
        <v/>
      </c>
    </row>
    <row r="1139" customFormat="false" ht="15" hidden="false" customHeight="false" outlineLevel="0" collapsed="false">
      <c r="A1139" s="37"/>
      <c r="B1139" s="44"/>
      <c r="C1139" s="44"/>
      <c r="D1139" s="44"/>
      <c r="E1139" s="44"/>
      <c r="F1139" s="44"/>
      <c r="G1139" s="34" t="str">
        <f aca="false">IF(F1139&lt;&gt;"",F1139,IF(E1139="","",IFERROR(INDEX(I_Item!$C$6:$C$255,MATCH(E1139,I_Item!$A$6:$A$255,0)),"KODE BARU")))</f>
        <v/>
      </c>
      <c r="H1139" s="45"/>
      <c r="I1139" s="42"/>
      <c r="J1139" s="11" t="str">
        <f aca="false">IF(H1139="","",H1139*I1139)</f>
        <v/>
      </c>
      <c r="K1139" s="42"/>
      <c r="L1139" s="11" t="str">
        <f aca="false">IF(H1139="","",IF(K1139&lt;&gt;"",K1139,H1139*IFERROR(INDEX(O_Stok!$Q$6:$Q$85,MATCH(G1139,O_Stok!$A$6:$A$85,0)),0)))</f>
        <v/>
      </c>
      <c r="M1139" s="11" t="str">
        <f aca="false">IF(H1139="","",J1139-L1139)</f>
        <v/>
      </c>
      <c r="N1139" s="34" t="str">
        <f aca="false">IF(G1139="","",IFERROR(INDEX(I_Master!$B$6:$B$85,MATCH(G1139,I_Master!$A$6:$A$85,0)),"?"))</f>
        <v/>
      </c>
      <c r="O1139" s="34" t="str">
        <f aca="false">IF(G1139="","",IFERROR(INDEX(I_Master!$E$6:$E$85,MATCH(G1139,I_Master!$A$6:$A$85,0)),"?"))</f>
        <v/>
      </c>
      <c r="P1139" s="46" t="str">
        <f aca="false">IF(H1139="","",IF(OR(A1139&lt;I_Parameter!$C$5,A1139&gt;I_Parameter!$C$6),0,IF(B1139="Aktual",1,IF(AND(B1139="Order",A1139&gt;=I_Parameter!$C$4),1,0))))</f>
        <v/>
      </c>
    </row>
    <row r="1140" customFormat="false" ht="15" hidden="false" customHeight="false" outlineLevel="0" collapsed="false">
      <c r="A1140" s="37"/>
      <c r="B1140" s="44"/>
      <c r="C1140" s="44"/>
      <c r="D1140" s="44"/>
      <c r="E1140" s="44"/>
      <c r="F1140" s="44"/>
      <c r="G1140" s="34" t="str">
        <f aca="false">IF(F1140&lt;&gt;"",F1140,IF(E1140="","",IFERROR(INDEX(I_Item!$C$6:$C$255,MATCH(E1140,I_Item!$A$6:$A$255,0)),"KODE BARU")))</f>
        <v/>
      </c>
      <c r="H1140" s="45"/>
      <c r="I1140" s="42"/>
      <c r="J1140" s="11" t="str">
        <f aca="false">IF(H1140="","",H1140*I1140)</f>
        <v/>
      </c>
      <c r="K1140" s="42"/>
      <c r="L1140" s="11" t="str">
        <f aca="false">IF(H1140="","",IF(K1140&lt;&gt;"",K1140,H1140*IFERROR(INDEX(O_Stok!$Q$6:$Q$85,MATCH(G1140,O_Stok!$A$6:$A$85,0)),0)))</f>
        <v/>
      </c>
      <c r="M1140" s="11" t="str">
        <f aca="false">IF(H1140="","",J1140-L1140)</f>
        <v/>
      </c>
      <c r="N1140" s="34" t="str">
        <f aca="false">IF(G1140="","",IFERROR(INDEX(I_Master!$B$6:$B$85,MATCH(G1140,I_Master!$A$6:$A$85,0)),"?"))</f>
        <v/>
      </c>
      <c r="O1140" s="34" t="str">
        <f aca="false">IF(G1140="","",IFERROR(INDEX(I_Master!$E$6:$E$85,MATCH(G1140,I_Master!$A$6:$A$85,0)),"?"))</f>
        <v/>
      </c>
      <c r="P1140" s="46" t="str">
        <f aca="false">IF(H1140="","",IF(OR(A1140&lt;I_Parameter!$C$5,A1140&gt;I_Parameter!$C$6),0,IF(B1140="Aktual",1,IF(AND(B1140="Order",A1140&gt;=I_Parameter!$C$4),1,0))))</f>
        <v/>
      </c>
    </row>
    <row r="1141" customFormat="false" ht="15" hidden="false" customHeight="false" outlineLevel="0" collapsed="false">
      <c r="A1141" s="37"/>
      <c r="B1141" s="44"/>
      <c r="C1141" s="44"/>
      <c r="D1141" s="44"/>
      <c r="E1141" s="44"/>
      <c r="F1141" s="44"/>
      <c r="G1141" s="34" t="str">
        <f aca="false">IF(F1141&lt;&gt;"",F1141,IF(E1141="","",IFERROR(INDEX(I_Item!$C$6:$C$255,MATCH(E1141,I_Item!$A$6:$A$255,0)),"KODE BARU")))</f>
        <v/>
      </c>
      <c r="H1141" s="45"/>
      <c r="I1141" s="42"/>
      <c r="J1141" s="11" t="str">
        <f aca="false">IF(H1141="","",H1141*I1141)</f>
        <v/>
      </c>
      <c r="K1141" s="42"/>
      <c r="L1141" s="11" t="str">
        <f aca="false">IF(H1141="","",IF(K1141&lt;&gt;"",K1141,H1141*IFERROR(INDEX(O_Stok!$Q$6:$Q$85,MATCH(G1141,O_Stok!$A$6:$A$85,0)),0)))</f>
        <v/>
      </c>
      <c r="M1141" s="11" t="str">
        <f aca="false">IF(H1141="","",J1141-L1141)</f>
        <v/>
      </c>
      <c r="N1141" s="34" t="str">
        <f aca="false">IF(G1141="","",IFERROR(INDEX(I_Master!$B$6:$B$85,MATCH(G1141,I_Master!$A$6:$A$85,0)),"?"))</f>
        <v/>
      </c>
      <c r="O1141" s="34" t="str">
        <f aca="false">IF(G1141="","",IFERROR(INDEX(I_Master!$E$6:$E$85,MATCH(G1141,I_Master!$A$6:$A$85,0)),"?"))</f>
        <v/>
      </c>
      <c r="P1141" s="46" t="str">
        <f aca="false">IF(H1141="","",IF(OR(A1141&lt;I_Parameter!$C$5,A1141&gt;I_Parameter!$C$6),0,IF(B1141="Aktual",1,IF(AND(B1141="Order",A1141&gt;=I_Parameter!$C$4),1,0))))</f>
        <v/>
      </c>
    </row>
    <row r="1142" customFormat="false" ht="15" hidden="false" customHeight="false" outlineLevel="0" collapsed="false">
      <c r="A1142" s="37"/>
      <c r="B1142" s="44"/>
      <c r="C1142" s="44"/>
      <c r="D1142" s="44"/>
      <c r="E1142" s="44"/>
      <c r="F1142" s="44"/>
      <c r="G1142" s="34" t="str">
        <f aca="false">IF(F1142&lt;&gt;"",F1142,IF(E1142="","",IFERROR(INDEX(I_Item!$C$6:$C$255,MATCH(E1142,I_Item!$A$6:$A$255,0)),"KODE BARU")))</f>
        <v/>
      </c>
      <c r="H1142" s="45"/>
      <c r="I1142" s="42"/>
      <c r="J1142" s="11" t="str">
        <f aca="false">IF(H1142="","",H1142*I1142)</f>
        <v/>
      </c>
      <c r="K1142" s="42"/>
      <c r="L1142" s="11" t="str">
        <f aca="false">IF(H1142="","",IF(K1142&lt;&gt;"",K1142,H1142*IFERROR(INDEX(O_Stok!$Q$6:$Q$85,MATCH(G1142,O_Stok!$A$6:$A$85,0)),0)))</f>
        <v/>
      </c>
      <c r="M1142" s="11" t="str">
        <f aca="false">IF(H1142="","",J1142-L1142)</f>
        <v/>
      </c>
      <c r="N1142" s="34" t="str">
        <f aca="false">IF(G1142="","",IFERROR(INDEX(I_Master!$B$6:$B$85,MATCH(G1142,I_Master!$A$6:$A$85,0)),"?"))</f>
        <v/>
      </c>
      <c r="O1142" s="34" t="str">
        <f aca="false">IF(G1142="","",IFERROR(INDEX(I_Master!$E$6:$E$85,MATCH(G1142,I_Master!$A$6:$A$85,0)),"?"))</f>
        <v/>
      </c>
      <c r="P1142" s="46" t="str">
        <f aca="false">IF(H1142="","",IF(OR(A1142&lt;I_Parameter!$C$5,A1142&gt;I_Parameter!$C$6),0,IF(B1142="Aktual",1,IF(AND(B1142="Order",A1142&gt;=I_Parameter!$C$4),1,0))))</f>
        <v/>
      </c>
    </row>
    <row r="1143" customFormat="false" ht="15" hidden="false" customHeight="false" outlineLevel="0" collapsed="false">
      <c r="A1143" s="37"/>
      <c r="B1143" s="44"/>
      <c r="C1143" s="44"/>
      <c r="D1143" s="44"/>
      <c r="E1143" s="44"/>
      <c r="F1143" s="44"/>
      <c r="G1143" s="34" t="str">
        <f aca="false">IF(F1143&lt;&gt;"",F1143,IF(E1143="","",IFERROR(INDEX(I_Item!$C$6:$C$255,MATCH(E1143,I_Item!$A$6:$A$255,0)),"KODE BARU")))</f>
        <v/>
      </c>
      <c r="H1143" s="45"/>
      <c r="I1143" s="42"/>
      <c r="J1143" s="11" t="str">
        <f aca="false">IF(H1143="","",H1143*I1143)</f>
        <v/>
      </c>
      <c r="K1143" s="42"/>
      <c r="L1143" s="11" t="str">
        <f aca="false">IF(H1143="","",IF(K1143&lt;&gt;"",K1143,H1143*IFERROR(INDEX(O_Stok!$Q$6:$Q$85,MATCH(G1143,O_Stok!$A$6:$A$85,0)),0)))</f>
        <v/>
      </c>
      <c r="M1143" s="11" t="str">
        <f aca="false">IF(H1143="","",J1143-L1143)</f>
        <v/>
      </c>
      <c r="N1143" s="34" t="str">
        <f aca="false">IF(G1143="","",IFERROR(INDEX(I_Master!$B$6:$B$85,MATCH(G1143,I_Master!$A$6:$A$85,0)),"?"))</f>
        <v/>
      </c>
      <c r="O1143" s="34" t="str">
        <f aca="false">IF(G1143="","",IFERROR(INDEX(I_Master!$E$6:$E$85,MATCH(G1143,I_Master!$A$6:$A$85,0)),"?"))</f>
        <v/>
      </c>
      <c r="P1143" s="46" t="str">
        <f aca="false">IF(H1143="","",IF(OR(A1143&lt;I_Parameter!$C$5,A1143&gt;I_Parameter!$C$6),0,IF(B1143="Aktual",1,IF(AND(B1143="Order",A1143&gt;=I_Parameter!$C$4),1,0))))</f>
        <v/>
      </c>
    </row>
    <row r="1144" customFormat="false" ht="15" hidden="false" customHeight="false" outlineLevel="0" collapsed="false">
      <c r="A1144" s="37"/>
      <c r="B1144" s="44"/>
      <c r="C1144" s="44"/>
      <c r="D1144" s="44"/>
      <c r="E1144" s="44"/>
      <c r="F1144" s="44"/>
      <c r="G1144" s="34" t="str">
        <f aca="false">IF(F1144&lt;&gt;"",F1144,IF(E1144="","",IFERROR(INDEX(I_Item!$C$6:$C$255,MATCH(E1144,I_Item!$A$6:$A$255,0)),"KODE BARU")))</f>
        <v/>
      </c>
      <c r="H1144" s="45"/>
      <c r="I1144" s="42"/>
      <c r="J1144" s="11" t="str">
        <f aca="false">IF(H1144="","",H1144*I1144)</f>
        <v/>
      </c>
      <c r="K1144" s="42"/>
      <c r="L1144" s="11" t="str">
        <f aca="false">IF(H1144="","",IF(K1144&lt;&gt;"",K1144,H1144*IFERROR(INDEX(O_Stok!$Q$6:$Q$85,MATCH(G1144,O_Stok!$A$6:$A$85,0)),0)))</f>
        <v/>
      </c>
      <c r="M1144" s="11" t="str">
        <f aca="false">IF(H1144="","",J1144-L1144)</f>
        <v/>
      </c>
      <c r="N1144" s="34" t="str">
        <f aca="false">IF(G1144="","",IFERROR(INDEX(I_Master!$B$6:$B$85,MATCH(G1144,I_Master!$A$6:$A$85,0)),"?"))</f>
        <v/>
      </c>
      <c r="O1144" s="34" t="str">
        <f aca="false">IF(G1144="","",IFERROR(INDEX(I_Master!$E$6:$E$85,MATCH(G1144,I_Master!$A$6:$A$85,0)),"?"))</f>
        <v/>
      </c>
      <c r="P1144" s="46" t="str">
        <f aca="false">IF(H1144="","",IF(OR(A1144&lt;I_Parameter!$C$5,A1144&gt;I_Parameter!$C$6),0,IF(B1144="Aktual",1,IF(AND(B1144="Order",A1144&gt;=I_Parameter!$C$4),1,0))))</f>
        <v/>
      </c>
    </row>
    <row r="1145" customFormat="false" ht="15" hidden="false" customHeight="false" outlineLevel="0" collapsed="false">
      <c r="A1145" s="37"/>
      <c r="B1145" s="44"/>
      <c r="C1145" s="44"/>
      <c r="D1145" s="44"/>
      <c r="E1145" s="44"/>
      <c r="F1145" s="44"/>
      <c r="G1145" s="34" t="str">
        <f aca="false">IF(F1145&lt;&gt;"",F1145,IF(E1145="","",IFERROR(INDEX(I_Item!$C$6:$C$255,MATCH(E1145,I_Item!$A$6:$A$255,0)),"KODE BARU")))</f>
        <v/>
      </c>
      <c r="H1145" s="45"/>
      <c r="I1145" s="42"/>
      <c r="J1145" s="11" t="str">
        <f aca="false">IF(H1145="","",H1145*I1145)</f>
        <v/>
      </c>
      <c r="K1145" s="42"/>
      <c r="L1145" s="11" t="str">
        <f aca="false">IF(H1145="","",IF(K1145&lt;&gt;"",K1145,H1145*IFERROR(INDEX(O_Stok!$Q$6:$Q$85,MATCH(G1145,O_Stok!$A$6:$A$85,0)),0)))</f>
        <v/>
      </c>
      <c r="M1145" s="11" t="str">
        <f aca="false">IF(H1145="","",J1145-L1145)</f>
        <v/>
      </c>
      <c r="N1145" s="34" t="str">
        <f aca="false">IF(G1145="","",IFERROR(INDEX(I_Master!$B$6:$B$85,MATCH(G1145,I_Master!$A$6:$A$85,0)),"?"))</f>
        <v/>
      </c>
      <c r="O1145" s="34" t="str">
        <f aca="false">IF(G1145="","",IFERROR(INDEX(I_Master!$E$6:$E$85,MATCH(G1145,I_Master!$A$6:$A$85,0)),"?"))</f>
        <v/>
      </c>
      <c r="P1145" s="46" t="str">
        <f aca="false">IF(H1145="","",IF(OR(A1145&lt;I_Parameter!$C$5,A1145&gt;I_Parameter!$C$6),0,IF(B1145="Aktual",1,IF(AND(B1145="Order",A1145&gt;=I_Parameter!$C$4),1,0))))</f>
        <v/>
      </c>
    </row>
    <row r="1146" customFormat="false" ht="15" hidden="false" customHeight="false" outlineLevel="0" collapsed="false">
      <c r="A1146" s="37"/>
      <c r="B1146" s="44"/>
      <c r="C1146" s="44"/>
      <c r="D1146" s="44"/>
      <c r="E1146" s="44"/>
      <c r="F1146" s="44"/>
      <c r="G1146" s="34" t="str">
        <f aca="false">IF(F1146&lt;&gt;"",F1146,IF(E1146="","",IFERROR(INDEX(I_Item!$C$6:$C$255,MATCH(E1146,I_Item!$A$6:$A$255,0)),"KODE BARU")))</f>
        <v/>
      </c>
      <c r="H1146" s="45"/>
      <c r="I1146" s="42"/>
      <c r="J1146" s="11" t="str">
        <f aca="false">IF(H1146="","",H1146*I1146)</f>
        <v/>
      </c>
      <c r="K1146" s="42"/>
      <c r="L1146" s="11" t="str">
        <f aca="false">IF(H1146="","",IF(K1146&lt;&gt;"",K1146,H1146*IFERROR(INDEX(O_Stok!$Q$6:$Q$85,MATCH(G1146,O_Stok!$A$6:$A$85,0)),0)))</f>
        <v/>
      </c>
      <c r="M1146" s="11" t="str">
        <f aca="false">IF(H1146="","",J1146-L1146)</f>
        <v/>
      </c>
      <c r="N1146" s="34" t="str">
        <f aca="false">IF(G1146="","",IFERROR(INDEX(I_Master!$B$6:$B$85,MATCH(G1146,I_Master!$A$6:$A$85,0)),"?"))</f>
        <v/>
      </c>
      <c r="O1146" s="34" t="str">
        <f aca="false">IF(G1146="","",IFERROR(INDEX(I_Master!$E$6:$E$85,MATCH(G1146,I_Master!$A$6:$A$85,0)),"?"))</f>
        <v/>
      </c>
      <c r="P1146" s="46" t="str">
        <f aca="false">IF(H1146="","",IF(OR(A1146&lt;I_Parameter!$C$5,A1146&gt;I_Parameter!$C$6),0,IF(B1146="Aktual",1,IF(AND(B1146="Order",A1146&gt;=I_Parameter!$C$4),1,0))))</f>
        <v/>
      </c>
    </row>
    <row r="1147" customFormat="false" ht="15" hidden="false" customHeight="false" outlineLevel="0" collapsed="false">
      <c r="A1147" s="37"/>
      <c r="B1147" s="44"/>
      <c r="C1147" s="44"/>
      <c r="D1147" s="44"/>
      <c r="E1147" s="44"/>
      <c r="F1147" s="44"/>
      <c r="G1147" s="34" t="str">
        <f aca="false">IF(F1147&lt;&gt;"",F1147,IF(E1147="","",IFERROR(INDEX(I_Item!$C$6:$C$255,MATCH(E1147,I_Item!$A$6:$A$255,0)),"KODE BARU")))</f>
        <v/>
      </c>
      <c r="H1147" s="45"/>
      <c r="I1147" s="42"/>
      <c r="J1147" s="11" t="str">
        <f aca="false">IF(H1147="","",H1147*I1147)</f>
        <v/>
      </c>
      <c r="K1147" s="42"/>
      <c r="L1147" s="11" t="str">
        <f aca="false">IF(H1147="","",IF(K1147&lt;&gt;"",K1147,H1147*IFERROR(INDEX(O_Stok!$Q$6:$Q$85,MATCH(G1147,O_Stok!$A$6:$A$85,0)),0)))</f>
        <v/>
      </c>
      <c r="M1147" s="11" t="str">
        <f aca="false">IF(H1147="","",J1147-L1147)</f>
        <v/>
      </c>
      <c r="N1147" s="34" t="str">
        <f aca="false">IF(G1147="","",IFERROR(INDEX(I_Master!$B$6:$B$85,MATCH(G1147,I_Master!$A$6:$A$85,0)),"?"))</f>
        <v/>
      </c>
      <c r="O1147" s="34" t="str">
        <f aca="false">IF(G1147="","",IFERROR(INDEX(I_Master!$E$6:$E$85,MATCH(G1147,I_Master!$A$6:$A$85,0)),"?"))</f>
        <v/>
      </c>
      <c r="P1147" s="46" t="str">
        <f aca="false">IF(H1147="","",IF(OR(A1147&lt;I_Parameter!$C$5,A1147&gt;I_Parameter!$C$6),0,IF(B1147="Aktual",1,IF(AND(B1147="Order",A1147&gt;=I_Parameter!$C$4),1,0))))</f>
        <v/>
      </c>
    </row>
    <row r="1148" customFormat="false" ht="15" hidden="false" customHeight="false" outlineLevel="0" collapsed="false">
      <c r="A1148" s="37"/>
      <c r="B1148" s="44"/>
      <c r="C1148" s="44"/>
      <c r="D1148" s="44"/>
      <c r="E1148" s="44"/>
      <c r="F1148" s="44"/>
      <c r="G1148" s="34" t="str">
        <f aca="false">IF(F1148&lt;&gt;"",F1148,IF(E1148="","",IFERROR(INDEX(I_Item!$C$6:$C$255,MATCH(E1148,I_Item!$A$6:$A$255,0)),"KODE BARU")))</f>
        <v/>
      </c>
      <c r="H1148" s="45"/>
      <c r="I1148" s="42"/>
      <c r="J1148" s="11" t="str">
        <f aca="false">IF(H1148="","",H1148*I1148)</f>
        <v/>
      </c>
      <c r="K1148" s="42"/>
      <c r="L1148" s="11" t="str">
        <f aca="false">IF(H1148="","",IF(K1148&lt;&gt;"",K1148,H1148*IFERROR(INDEX(O_Stok!$Q$6:$Q$85,MATCH(G1148,O_Stok!$A$6:$A$85,0)),0)))</f>
        <v/>
      </c>
      <c r="M1148" s="11" t="str">
        <f aca="false">IF(H1148="","",J1148-L1148)</f>
        <v/>
      </c>
      <c r="N1148" s="34" t="str">
        <f aca="false">IF(G1148="","",IFERROR(INDEX(I_Master!$B$6:$B$85,MATCH(G1148,I_Master!$A$6:$A$85,0)),"?"))</f>
        <v/>
      </c>
      <c r="O1148" s="34" t="str">
        <f aca="false">IF(G1148="","",IFERROR(INDEX(I_Master!$E$6:$E$85,MATCH(G1148,I_Master!$A$6:$A$85,0)),"?"))</f>
        <v/>
      </c>
      <c r="P1148" s="46" t="str">
        <f aca="false">IF(H1148="","",IF(OR(A1148&lt;I_Parameter!$C$5,A1148&gt;I_Parameter!$C$6),0,IF(B1148="Aktual",1,IF(AND(B1148="Order",A1148&gt;=I_Parameter!$C$4),1,0))))</f>
        <v/>
      </c>
    </row>
    <row r="1149" customFormat="false" ht="15" hidden="false" customHeight="false" outlineLevel="0" collapsed="false">
      <c r="A1149" s="37"/>
      <c r="B1149" s="44"/>
      <c r="C1149" s="44"/>
      <c r="D1149" s="44"/>
      <c r="E1149" s="44"/>
      <c r="F1149" s="44"/>
      <c r="G1149" s="34" t="str">
        <f aca="false">IF(F1149&lt;&gt;"",F1149,IF(E1149="","",IFERROR(INDEX(I_Item!$C$6:$C$255,MATCH(E1149,I_Item!$A$6:$A$255,0)),"KODE BARU")))</f>
        <v/>
      </c>
      <c r="H1149" s="45"/>
      <c r="I1149" s="42"/>
      <c r="J1149" s="11" t="str">
        <f aca="false">IF(H1149="","",H1149*I1149)</f>
        <v/>
      </c>
      <c r="K1149" s="42"/>
      <c r="L1149" s="11" t="str">
        <f aca="false">IF(H1149="","",IF(K1149&lt;&gt;"",K1149,H1149*IFERROR(INDEX(O_Stok!$Q$6:$Q$85,MATCH(G1149,O_Stok!$A$6:$A$85,0)),0)))</f>
        <v/>
      </c>
      <c r="M1149" s="11" t="str">
        <f aca="false">IF(H1149="","",J1149-L1149)</f>
        <v/>
      </c>
      <c r="N1149" s="34" t="str">
        <f aca="false">IF(G1149="","",IFERROR(INDEX(I_Master!$B$6:$B$85,MATCH(G1149,I_Master!$A$6:$A$85,0)),"?"))</f>
        <v/>
      </c>
      <c r="O1149" s="34" t="str">
        <f aca="false">IF(G1149="","",IFERROR(INDEX(I_Master!$E$6:$E$85,MATCH(G1149,I_Master!$A$6:$A$85,0)),"?"))</f>
        <v/>
      </c>
      <c r="P1149" s="46" t="str">
        <f aca="false">IF(H1149="","",IF(OR(A1149&lt;I_Parameter!$C$5,A1149&gt;I_Parameter!$C$6),0,IF(B1149="Aktual",1,IF(AND(B1149="Order",A1149&gt;=I_Parameter!$C$4),1,0))))</f>
        <v/>
      </c>
    </row>
    <row r="1150" customFormat="false" ht="15" hidden="false" customHeight="false" outlineLevel="0" collapsed="false">
      <c r="A1150" s="37"/>
      <c r="B1150" s="44"/>
      <c r="C1150" s="44"/>
      <c r="D1150" s="44"/>
      <c r="E1150" s="44"/>
      <c r="F1150" s="44"/>
      <c r="G1150" s="34" t="str">
        <f aca="false">IF(F1150&lt;&gt;"",F1150,IF(E1150="","",IFERROR(INDEX(I_Item!$C$6:$C$255,MATCH(E1150,I_Item!$A$6:$A$255,0)),"KODE BARU")))</f>
        <v/>
      </c>
      <c r="H1150" s="45"/>
      <c r="I1150" s="42"/>
      <c r="J1150" s="11" t="str">
        <f aca="false">IF(H1150="","",H1150*I1150)</f>
        <v/>
      </c>
      <c r="K1150" s="42"/>
      <c r="L1150" s="11" t="str">
        <f aca="false">IF(H1150="","",IF(K1150&lt;&gt;"",K1150,H1150*IFERROR(INDEX(O_Stok!$Q$6:$Q$85,MATCH(G1150,O_Stok!$A$6:$A$85,0)),0)))</f>
        <v/>
      </c>
      <c r="M1150" s="11" t="str">
        <f aca="false">IF(H1150="","",J1150-L1150)</f>
        <v/>
      </c>
      <c r="N1150" s="34" t="str">
        <f aca="false">IF(G1150="","",IFERROR(INDEX(I_Master!$B$6:$B$85,MATCH(G1150,I_Master!$A$6:$A$85,0)),"?"))</f>
        <v/>
      </c>
      <c r="O1150" s="34" t="str">
        <f aca="false">IF(G1150="","",IFERROR(INDEX(I_Master!$E$6:$E$85,MATCH(G1150,I_Master!$A$6:$A$85,0)),"?"))</f>
        <v/>
      </c>
      <c r="P1150" s="46" t="str">
        <f aca="false">IF(H1150="","",IF(OR(A1150&lt;I_Parameter!$C$5,A1150&gt;I_Parameter!$C$6),0,IF(B1150="Aktual",1,IF(AND(B1150="Order",A1150&gt;=I_Parameter!$C$4),1,0))))</f>
        <v/>
      </c>
    </row>
    <row r="1151" customFormat="false" ht="15" hidden="false" customHeight="false" outlineLevel="0" collapsed="false">
      <c r="A1151" s="37"/>
      <c r="B1151" s="44"/>
      <c r="C1151" s="44"/>
      <c r="D1151" s="44"/>
      <c r="E1151" s="44"/>
      <c r="F1151" s="44"/>
      <c r="G1151" s="34" t="str">
        <f aca="false">IF(F1151&lt;&gt;"",F1151,IF(E1151="","",IFERROR(INDEX(I_Item!$C$6:$C$255,MATCH(E1151,I_Item!$A$6:$A$255,0)),"KODE BARU")))</f>
        <v/>
      </c>
      <c r="H1151" s="45"/>
      <c r="I1151" s="42"/>
      <c r="J1151" s="11" t="str">
        <f aca="false">IF(H1151="","",H1151*I1151)</f>
        <v/>
      </c>
      <c r="K1151" s="42"/>
      <c r="L1151" s="11" t="str">
        <f aca="false">IF(H1151="","",IF(K1151&lt;&gt;"",K1151,H1151*IFERROR(INDEX(O_Stok!$Q$6:$Q$85,MATCH(G1151,O_Stok!$A$6:$A$85,0)),0)))</f>
        <v/>
      </c>
      <c r="M1151" s="11" t="str">
        <f aca="false">IF(H1151="","",J1151-L1151)</f>
        <v/>
      </c>
      <c r="N1151" s="34" t="str">
        <f aca="false">IF(G1151="","",IFERROR(INDEX(I_Master!$B$6:$B$85,MATCH(G1151,I_Master!$A$6:$A$85,0)),"?"))</f>
        <v/>
      </c>
      <c r="O1151" s="34" t="str">
        <f aca="false">IF(G1151="","",IFERROR(INDEX(I_Master!$E$6:$E$85,MATCH(G1151,I_Master!$A$6:$A$85,0)),"?"))</f>
        <v/>
      </c>
      <c r="P1151" s="46" t="str">
        <f aca="false">IF(H1151="","",IF(OR(A1151&lt;I_Parameter!$C$5,A1151&gt;I_Parameter!$C$6),0,IF(B1151="Aktual",1,IF(AND(B1151="Order",A1151&gt;=I_Parameter!$C$4),1,0))))</f>
        <v/>
      </c>
    </row>
    <row r="1152" customFormat="false" ht="15" hidden="false" customHeight="false" outlineLevel="0" collapsed="false">
      <c r="A1152" s="37"/>
      <c r="B1152" s="44"/>
      <c r="C1152" s="44"/>
      <c r="D1152" s="44"/>
      <c r="E1152" s="44"/>
      <c r="F1152" s="44"/>
      <c r="G1152" s="34" t="str">
        <f aca="false">IF(F1152&lt;&gt;"",F1152,IF(E1152="","",IFERROR(INDEX(I_Item!$C$6:$C$255,MATCH(E1152,I_Item!$A$6:$A$255,0)),"KODE BARU")))</f>
        <v/>
      </c>
      <c r="H1152" s="45"/>
      <c r="I1152" s="42"/>
      <c r="J1152" s="11" t="str">
        <f aca="false">IF(H1152="","",H1152*I1152)</f>
        <v/>
      </c>
      <c r="K1152" s="42"/>
      <c r="L1152" s="11" t="str">
        <f aca="false">IF(H1152="","",IF(K1152&lt;&gt;"",K1152,H1152*IFERROR(INDEX(O_Stok!$Q$6:$Q$85,MATCH(G1152,O_Stok!$A$6:$A$85,0)),0)))</f>
        <v/>
      </c>
      <c r="M1152" s="11" t="str">
        <f aca="false">IF(H1152="","",J1152-L1152)</f>
        <v/>
      </c>
      <c r="N1152" s="34" t="str">
        <f aca="false">IF(G1152="","",IFERROR(INDEX(I_Master!$B$6:$B$85,MATCH(G1152,I_Master!$A$6:$A$85,0)),"?"))</f>
        <v/>
      </c>
      <c r="O1152" s="34" t="str">
        <f aca="false">IF(G1152="","",IFERROR(INDEX(I_Master!$E$6:$E$85,MATCH(G1152,I_Master!$A$6:$A$85,0)),"?"))</f>
        <v/>
      </c>
      <c r="P1152" s="46" t="str">
        <f aca="false">IF(H1152="","",IF(OR(A1152&lt;I_Parameter!$C$5,A1152&gt;I_Parameter!$C$6),0,IF(B1152="Aktual",1,IF(AND(B1152="Order",A1152&gt;=I_Parameter!$C$4),1,0))))</f>
        <v/>
      </c>
    </row>
    <row r="1153" customFormat="false" ht="15" hidden="false" customHeight="false" outlineLevel="0" collapsed="false">
      <c r="A1153" s="37"/>
      <c r="B1153" s="44"/>
      <c r="C1153" s="44"/>
      <c r="D1153" s="44"/>
      <c r="E1153" s="44"/>
      <c r="F1153" s="44"/>
      <c r="G1153" s="34" t="str">
        <f aca="false">IF(F1153&lt;&gt;"",F1153,IF(E1153="","",IFERROR(INDEX(I_Item!$C$6:$C$255,MATCH(E1153,I_Item!$A$6:$A$255,0)),"KODE BARU")))</f>
        <v/>
      </c>
      <c r="H1153" s="45"/>
      <c r="I1153" s="42"/>
      <c r="J1153" s="11" t="str">
        <f aca="false">IF(H1153="","",H1153*I1153)</f>
        <v/>
      </c>
      <c r="K1153" s="42"/>
      <c r="L1153" s="11" t="str">
        <f aca="false">IF(H1153="","",IF(K1153&lt;&gt;"",K1153,H1153*IFERROR(INDEX(O_Stok!$Q$6:$Q$85,MATCH(G1153,O_Stok!$A$6:$A$85,0)),0)))</f>
        <v/>
      </c>
      <c r="M1153" s="11" t="str">
        <f aca="false">IF(H1153="","",J1153-L1153)</f>
        <v/>
      </c>
      <c r="N1153" s="34" t="str">
        <f aca="false">IF(G1153="","",IFERROR(INDEX(I_Master!$B$6:$B$85,MATCH(G1153,I_Master!$A$6:$A$85,0)),"?"))</f>
        <v/>
      </c>
      <c r="O1153" s="34" t="str">
        <f aca="false">IF(G1153="","",IFERROR(INDEX(I_Master!$E$6:$E$85,MATCH(G1153,I_Master!$A$6:$A$85,0)),"?"))</f>
        <v/>
      </c>
      <c r="P1153" s="46" t="str">
        <f aca="false">IF(H1153="","",IF(OR(A1153&lt;I_Parameter!$C$5,A1153&gt;I_Parameter!$C$6),0,IF(B1153="Aktual",1,IF(AND(B1153="Order",A1153&gt;=I_Parameter!$C$4),1,0))))</f>
        <v/>
      </c>
    </row>
    <row r="1154" customFormat="false" ht="15" hidden="false" customHeight="false" outlineLevel="0" collapsed="false">
      <c r="A1154" s="37"/>
      <c r="B1154" s="44"/>
      <c r="C1154" s="44"/>
      <c r="D1154" s="44"/>
      <c r="E1154" s="44"/>
      <c r="F1154" s="44"/>
      <c r="G1154" s="34" t="str">
        <f aca="false">IF(F1154&lt;&gt;"",F1154,IF(E1154="","",IFERROR(INDEX(I_Item!$C$6:$C$255,MATCH(E1154,I_Item!$A$6:$A$255,0)),"KODE BARU")))</f>
        <v/>
      </c>
      <c r="H1154" s="45"/>
      <c r="I1154" s="42"/>
      <c r="J1154" s="11" t="str">
        <f aca="false">IF(H1154="","",H1154*I1154)</f>
        <v/>
      </c>
      <c r="K1154" s="42"/>
      <c r="L1154" s="11" t="str">
        <f aca="false">IF(H1154="","",IF(K1154&lt;&gt;"",K1154,H1154*IFERROR(INDEX(O_Stok!$Q$6:$Q$85,MATCH(G1154,O_Stok!$A$6:$A$85,0)),0)))</f>
        <v/>
      </c>
      <c r="M1154" s="11" t="str">
        <f aca="false">IF(H1154="","",J1154-L1154)</f>
        <v/>
      </c>
      <c r="N1154" s="34" t="str">
        <f aca="false">IF(G1154="","",IFERROR(INDEX(I_Master!$B$6:$B$85,MATCH(G1154,I_Master!$A$6:$A$85,0)),"?"))</f>
        <v/>
      </c>
      <c r="O1154" s="34" t="str">
        <f aca="false">IF(G1154="","",IFERROR(INDEX(I_Master!$E$6:$E$85,MATCH(G1154,I_Master!$A$6:$A$85,0)),"?"))</f>
        <v/>
      </c>
      <c r="P1154" s="46" t="str">
        <f aca="false">IF(H1154="","",IF(OR(A1154&lt;I_Parameter!$C$5,A1154&gt;I_Parameter!$C$6),0,IF(B1154="Aktual",1,IF(AND(B1154="Order",A1154&gt;=I_Parameter!$C$4),1,0))))</f>
        <v/>
      </c>
    </row>
    <row r="1155" customFormat="false" ht="15" hidden="false" customHeight="false" outlineLevel="0" collapsed="false">
      <c r="A1155" s="37"/>
      <c r="B1155" s="44"/>
      <c r="C1155" s="44"/>
      <c r="D1155" s="44"/>
      <c r="E1155" s="44"/>
      <c r="F1155" s="44"/>
      <c r="G1155" s="34" t="str">
        <f aca="false">IF(F1155&lt;&gt;"",F1155,IF(E1155="","",IFERROR(INDEX(I_Item!$C$6:$C$255,MATCH(E1155,I_Item!$A$6:$A$255,0)),"KODE BARU")))</f>
        <v/>
      </c>
      <c r="H1155" s="45"/>
      <c r="I1155" s="42"/>
      <c r="J1155" s="11" t="str">
        <f aca="false">IF(H1155="","",H1155*I1155)</f>
        <v/>
      </c>
      <c r="K1155" s="42"/>
      <c r="L1155" s="11" t="str">
        <f aca="false">IF(H1155="","",IF(K1155&lt;&gt;"",K1155,H1155*IFERROR(INDEX(O_Stok!$Q$6:$Q$85,MATCH(G1155,O_Stok!$A$6:$A$85,0)),0)))</f>
        <v/>
      </c>
      <c r="M1155" s="11" t="str">
        <f aca="false">IF(H1155="","",J1155-L1155)</f>
        <v/>
      </c>
      <c r="N1155" s="34" t="str">
        <f aca="false">IF(G1155="","",IFERROR(INDEX(I_Master!$B$6:$B$85,MATCH(G1155,I_Master!$A$6:$A$85,0)),"?"))</f>
        <v/>
      </c>
      <c r="O1155" s="34" t="str">
        <f aca="false">IF(G1155="","",IFERROR(INDEX(I_Master!$E$6:$E$85,MATCH(G1155,I_Master!$A$6:$A$85,0)),"?"))</f>
        <v/>
      </c>
      <c r="P1155" s="46" t="str">
        <f aca="false">IF(H1155="","",IF(OR(A1155&lt;I_Parameter!$C$5,A1155&gt;I_Parameter!$C$6),0,IF(B1155="Aktual",1,IF(AND(B1155="Order",A1155&gt;=I_Parameter!$C$4),1,0))))</f>
        <v/>
      </c>
    </row>
    <row r="1156" customFormat="false" ht="15" hidden="false" customHeight="false" outlineLevel="0" collapsed="false">
      <c r="A1156" s="37"/>
      <c r="B1156" s="44"/>
      <c r="C1156" s="44"/>
      <c r="D1156" s="44"/>
      <c r="E1156" s="44"/>
      <c r="F1156" s="44"/>
      <c r="G1156" s="34" t="str">
        <f aca="false">IF(F1156&lt;&gt;"",F1156,IF(E1156="","",IFERROR(INDEX(I_Item!$C$6:$C$255,MATCH(E1156,I_Item!$A$6:$A$255,0)),"KODE BARU")))</f>
        <v/>
      </c>
      <c r="H1156" s="45"/>
      <c r="I1156" s="42"/>
      <c r="J1156" s="11" t="str">
        <f aca="false">IF(H1156="","",H1156*I1156)</f>
        <v/>
      </c>
      <c r="K1156" s="42"/>
      <c r="L1156" s="11" t="str">
        <f aca="false">IF(H1156="","",IF(K1156&lt;&gt;"",K1156,H1156*IFERROR(INDEX(O_Stok!$Q$6:$Q$85,MATCH(G1156,O_Stok!$A$6:$A$85,0)),0)))</f>
        <v/>
      </c>
      <c r="M1156" s="11" t="str">
        <f aca="false">IF(H1156="","",J1156-L1156)</f>
        <v/>
      </c>
      <c r="N1156" s="34" t="str">
        <f aca="false">IF(G1156="","",IFERROR(INDEX(I_Master!$B$6:$B$85,MATCH(G1156,I_Master!$A$6:$A$85,0)),"?"))</f>
        <v/>
      </c>
      <c r="O1156" s="34" t="str">
        <f aca="false">IF(G1156="","",IFERROR(INDEX(I_Master!$E$6:$E$85,MATCH(G1156,I_Master!$A$6:$A$85,0)),"?"))</f>
        <v/>
      </c>
      <c r="P1156" s="46" t="str">
        <f aca="false">IF(H1156="","",IF(OR(A1156&lt;I_Parameter!$C$5,A1156&gt;I_Parameter!$C$6),0,IF(B1156="Aktual",1,IF(AND(B1156="Order",A1156&gt;=I_Parameter!$C$4),1,0))))</f>
        <v/>
      </c>
    </row>
    <row r="1157" customFormat="false" ht="15" hidden="false" customHeight="false" outlineLevel="0" collapsed="false">
      <c r="A1157" s="37"/>
      <c r="B1157" s="44"/>
      <c r="C1157" s="44"/>
      <c r="D1157" s="44"/>
      <c r="E1157" s="44"/>
      <c r="F1157" s="44"/>
      <c r="G1157" s="34" t="str">
        <f aca="false">IF(F1157&lt;&gt;"",F1157,IF(E1157="","",IFERROR(INDEX(I_Item!$C$6:$C$255,MATCH(E1157,I_Item!$A$6:$A$255,0)),"KODE BARU")))</f>
        <v/>
      </c>
      <c r="H1157" s="45"/>
      <c r="I1157" s="42"/>
      <c r="J1157" s="11" t="str">
        <f aca="false">IF(H1157="","",H1157*I1157)</f>
        <v/>
      </c>
      <c r="K1157" s="42"/>
      <c r="L1157" s="11" t="str">
        <f aca="false">IF(H1157="","",IF(K1157&lt;&gt;"",K1157,H1157*IFERROR(INDEX(O_Stok!$Q$6:$Q$85,MATCH(G1157,O_Stok!$A$6:$A$85,0)),0)))</f>
        <v/>
      </c>
      <c r="M1157" s="11" t="str">
        <f aca="false">IF(H1157="","",J1157-L1157)</f>
        <v/>
      </c>
      <c r="N1157" s="34" t="str">
        <f aca="false">IF(G1157="","",IFERROR(INDEX(I_Master!$B$6:$B$85,MATCH(G1157,I_Master!$A$6:$A$85,0)),"?"))</f>
        <v/>
      </c>
      <c r="O1157" s="34" t="str">
        <f aca="false">IF(G1157="","",IFERROR(INDEX(I_Master!$E$6:$E$85,MATCH(G1157,I_Master!$A$6:$A$85,0)),"?"))</f>
        <v/>
      </c>
      <c r="P1157" s="46" t="str">
        <f aca="false">IF(H1157="","",IF(OR(A1157&lt;I_Parameter!$C$5,A1157&gt;I_Parameter!$C$6),0,IF(B1157="Aktual",1,IF(AND(B1157="Order",A1157&gt;=I_Parameter!$C$4),1,0))))</f>
        <v/>
      </c>
    </row>
    <row r="1158" customFormat="false" ht="15" hidden="false" customHeight="false" outlineLevel="0" collapsed="false">
      <c r="A1158" s="37"/>
      <c r="B1158" s="44"/>
      <c r="C1158" s="44"/>
      <c r="D1158" s="44"/>
      <c r="E1158" s="44"/>
      <c r="F1158" s="44"/>
      <c r="G1158" s="34" t="str">
        <f aca="false">IF(F1158&lt;&gt;"",F1158,IF(E1158="","",IFERROR(INDEX(I_Item!$C$6:$C$255,MATCH(E1158,I_Item!$A$6:$A$255,0)),"KODE BARU")))</f>
        <v/>
      </c>
      <c r="H1158" s="45"/>
      <c r="I1158" s="42"/>
      <c r="J1158" s="11" t="str">
        <f aca="false">IF(H1158="","",H1158*I1158)</f>
        <v/>
      </c>
      <c r="K1158" s="42"/>
      <c r="L1158" s="11" t="str">
        <f aca="false">IF(H1158="","",IF(K1158&lt;&gt;"",K1158,H1158*IFERROR(INDEX(O_Stok!$Q$6:$Q$85,MATCH(G1158,O_Stok!$A$6:$A$85,0)),0)))</f>
        <v/>
      </c>
      <c r="M1158" s="11" t="str">
        <f aca="false">IF(H1158="","",J1158-L1158)</f>
        <v/>
      </c>
      <c r="N1158" s="34" t="str">
        <f aca="false">IF(G1158="","",IFERROR(INDEX(I_Master!$B$6:$B$85,MATCH(G1158,I_Master!$A$6:$A$85,0)),"?"))</f>
        <v/>
      </c>
      <c r="O1158" s="34" t="str">
        <f aca="false">IF(G1158="","",IFERROR(INDEX(I_Master!$E$6:$E$85,MATCH(G1158,I_Master!$A$6:$A$85,0)),"?"))</f>
        <v/>
      </c>
      <c r="P1158" s="46" t="str">
        <f aca="false">IF(H1158="","",IF(OR(A1158&lt;I_Parameter!$C$5,A1158&gt;I_Parameter!$C$6),0,IF(B1158="Aktual",1,IF(AND(B1158="Order",A1158&gt;=I_Parameter!$C$4),1,0))))</f>
        <v/>
      </c>
    </row>
    <row r="1159" customFormat="false" ht="15" hidden="false" customHeight="false" outlineLevel="0" collapsed="false">
      <c r="A1159" s="37"/>
      <c r="B1159" s="44"/>
      <c r="C1159" s="44"/>
      <c r="D1159" s="44"/>
      <c r="E1159" s="44"/>
      <c r="F1159" s="44"/>
      <c r="G1159" s="34" t="str">
        <f aca="false">IF(F1159&lt;&gt;"",F1159,IF(E1159="","",IFERROR(INDEX(I_Item!$C$6:$C$255,MATCH(E1159,I_Item!$A$6:$A$255,0)),"KODE BARU")))</f>
        <v/>
      </c>
      <c r="H1159" s="45"/>
      <c r="I1159" s="42"/>
      <c r="J1159" s="11" t="str">
        <f aca="false">IF(H1159="","",H1159*I1159)</f>
        <v/>
      </c>
      <c r="K1159" s="42"/>
      <c r="L1159" s="11" t="str">
        <f aca="false">IF(H1159="","",IF(K1159&lt;&gt;"",K1159,H1159*IFERROR(INDEX(O_Stok!$Q$6:$Q$85,MATCH(G1159,O_Stok!$A$6:$A$85,0)),0)))</f>
        <v/>
      </c>
      <c r="M1159" s="11" t="str">
        <f aca="false">IF(H1159="","",J1159-L1159)</f>
        <v/>
      </c>
      <c r="N1159" s="34" t="str">
        <f aca="false">IF(G1159="","",IFERROR(INDEX(I_Master!$B$6:$B$85,MATCH(G1159,I_Master!$A$6:$A$85,0)),"?"))</f>
        <v/>
      </c>
      <c r="O1159" s="34" t="str">
        <f aca="false">IF(G1159="","",IFERROR(INDEX(I_Master!$E$6:$E$85,MATCH(G1159,I_Master!$A$6:$A$85,0)),"?"))</f>
        <v/>
      </c>
      <c r="P1159" s="46" t="str">
        <f aca="false">IF(H1159="","",IF(OR(A1159&lt;I_Parameter!$C$5,A1159&gt;I_Parameter!$C$6),0,IF(B1159="Aktual",1,IF(AND(B1159="Order",A1159&gt;=I_Parameter!$C$4),1,0))))</f>
        <v/>
      </c>
    </row>
    <row r="1160" customFormat="false" ht="15" hidden="false" customHeight="false" outlineLevel="0" collapsed="false">
      <c r="A1160" s="37"/>
      <c r="B1160" s="44"/>
      <c r="C1160" s="44"/>
      <c r="D1160" s="44"/>
      <c r="E1160" s="44"/>
      <c r="F1160" s="44"/>
      <c r="G1160" s="34" t="str">
        <f aca="false">IF(F1160&lt;&gt;"",F1160,IF(E1160="","",IFERROR(INDEX(I_Item!$C$6:$C$255,MATCH(E1160,I_Item!$A$6:$A$255,0)),"KODE BARU")))</f>
        <v/>
      </c>
      <c r="H1160" s="45"/>
      <c r="I1160" s="42"/>
      <c r="J1160" s="11" t="str">
        <f aca="false">IF(H1160="","",H1160*I1160)</f>
        <v/>
      </c>
      <c r="K1160" s="42"/>
      <c r="L1160" s="11" t="str">
        <f aca="false">IF(H1160="","",IF(K1160&lt;&gt;"",K1160,H1160*IFERROR(INDEX(O_Stok!$Q$6:$Q$85,MATCH(G1160,O_Stok!$A$6:$A$85,0)),0)))</f>
        <v/>
      </c>
      <c r="M1160" s="11" t="str">
        <f aca="false">IF(H1160="","",J1160-L1160)</f>
        <v/>
      </c>
      <c r="N1160" s="34" t="str">
        <f aca="false">IF(G1160="","",IFERROR(INDEX(I_Master!$B$6:$B$85,MATCH(G1160,I_Master!$A$6:$A$85,0)),"?"))</f>
        <v/>
      </c>
      <c r="O1160" s="34" t="str">
        <f aca="false">IF(G1160="","",IFERROR(INDEX(I_Master!$E$6:$E$85,MATCH(G1160,I_Master!$A$6:$A$85,0)),"?"))</f>
        <v/>
      </c>
      <c r="P1160" s="46" t="str">
        <f aca="false">IF(H1160="","",IF(OR(A1160&lt;I_Parameter!$C$5,A1160&gt;I_Parameter!$C$6),0,IF(B1160="Aktual",1,IF(AND(B1160="Order",A1160&gt;=I_Parameter!$C$4),1,0))))</f>
        <v/>
      </c>
    </row>
    <row r="1161" customFormat="false" ht="15" hidden="false" customHeight="false" outlineLevel="0" collapsed="false">
      <c r="A1161" s="37"/>
      <c r="B1161" s="44"/>
      <c r="C1161" s="44"/>
      <c r="D1161" s="44"/>
      <c r="E1161" s="44"/>
      <c r="F1161" s="44"/>
      <c r="G1161" s="34" t="str">
        <f aca="false">IF(F1161&lt;&gt;"",F1161,IF(E1161="","",IFERROR(INDEX(I_Item!$C$6:$C$255,MATCH(E1161,I_Item!$A$6:$A$255,0)),"KODE BARU")))</f>
        <v/>
      </c>
      <c r="H1161" s="45"/>
      <c r="I1161" s="42"/>
      <c r="J1161" s="11" t="str">
        <f aca="false">IF(H1161="","",H1161*I1161)</f>
        <v/>
      </c>
      <c r="K1161" s="42"/>
      <c r="L1161" s="11" t="str">
        <f aca="false">IF(H1161="","",IF(K1161&lt;&gt;"",K1161,H1161*IFERROR(INDEX(O_Stok!$Q$6:$Q$85,MATCH(G1161,O_Stok!$A$6:$A$85,0)),0)))</f>
        <v/>
      </c>
      <c r="M1161" s="11" t="str">
        <f aca="false">IF(H1161="","",J1161-L1161)</f>
        <v/>
      </c>
      <c r="N1161" s="34" t="str">
        <f aca="false">IF(G1161="","",IFERROR(INDEX(I_Master!$B$6:$B$85,MATCH(G1161,I_Master!$A$6:$A$85,0)),"?"))</f>
        <v/>
      </c>
      <c r="O1161" s="34" t="str">
        <f aca="false">IF(G1161="","",IFERROR(INDEX(I_Master!$E$6:$E$85,MATCH(G1161,I_Master!$A$6:$A$85,0)),"?"))</f>
        <v/>
      </c>
      <c r="P1161" s="46" t="str">
        <f aca="false">IF(H1161="","",IF(OR(A1161&lt;I_Parameter!$C$5,A1161&gt;I_Parameter!$C$6),0,IF(B1161="Aktual",1,IF(AND(B1161="Order",A1161&gt;=I_Parameter!$C$4),1,0))))</f>
        <v/>
      </c>
    </row>
    <row r="1162" customFormat="false" ht="15" hidden="false" customHeight="false" outlineLevel="0" collapsed="false">
      <c r="A1162" s="37"/>
      <c r="B1162" s="44"/>
      <c r="C1162" s="44"/>
      <c r="D1162" s="44"/>
      <c r="E1162" s="44"/>
      <c r="F1162" s="44"/>
      <c r="G1162" s="34" t="str">
        <f aca="false">IF(F1162&lt;&gt;"",F1162,IF(E1162="","",IFERROR(INDEX(I_Item!$C$6:$C$255,MATCH(E1162,I_Item!$A$6:$A$255,0)),"KODE BARU")))</f>
        <v/>
      </c>
      <c r="H1162" s="45"/>
      <c r="I1162" s="42"/>
      <c r="J1162" s="11" t="str">
        <f aca="false">IF(H1162="","",H1162*I1162)</f>
        <v/>
      </c>
      <c r="K1162" s="42"/>
      <c r="L1162" s="11" t="str">
        <f aca="false">IF(H1162="","",IF(K1162&lt;&gt;"",K1162,H1162*IFERROR(INDEX(O_Stok!$Q$6:$Q$85,MATCH(G1162,O_Stok!$A$6:$A$85,0)),0)))</f>
        <v/>
      </c>
      <c r="M1162" s="11" t="str">
        <f aca="false">IF(H1162="","",J1162-L1162)</f>
        <v/>
      </c>
      <c r="N1162" s="34" t="str">
        <f aca="false">IF(G1162="","",IFERROR(INDEX(I_Master!$B$6:$B$85,MATCH(G1162,I_Master!$A$6:$A$85,0)),"?"))</f>
        <v/>
      </c>
      <c r="O1162" s="34" t="str">
        <f aca="false">IF(G1162="","",IFERROR(INDEX(I_Master!$E$6:$E$85,MATCH(G1162,I_Master!$A$6:$A$85,0)),"?"))</f>
        <v/>
      </c>
      <c r="P1162" s="46" t="str">
        <f aca="false">IF(H1162="","",IF(OR(A1162&lt;I_Parameter!$C$5,A1162&gt;I_Parameter!$C$6),0,IF(B1162="Aktual",1,IF(AND(B1162="Order",A1162&gt;=I_Parameter!$C$4),1,0))))</f>
        <v/>
      </c>
    </row>
    <row r="1163" customFormat="false" ht="15" hidden="false" customHeight="false" outlineLevel="0" collapsed="false">
      <c r="A1163" s="37"/>
      <c r="B1163" s="44"/>
      <c r="C1163" s="44"/>
      <c r="D1163" s="44"/>
      <c r="E1163" s="44"/>
      <c r="F1163" s="44"/>
      <c r="G1163" s="34" t="str">
        <f aca="false">IF(F1163&lt;&gt;"",F1163,IF(E1163="","",IFERROR(INDEX(I_Item!$C$6:$C$255,MATCH(E1163,I_Item!$A$6:$A$255,0)),"KODE BARU")))</f>
        <v/>
      </c>
      <c r="H1163" s="45"/>
      <c r="I1163" s="42"/>
      <c r="J1163" s="11" t="str">
        <f aca="false">IF(H1163="","",H1163*I1163)</f>
        <v/>
      </c>
      <c r="K1163" s="42"/>
      <c r="L1163" s="11" t="str">
        <f aca="false">IF(H1163="","",IF(K1163&lt;&gt;"",K1163,H1163*IFERROR(INDEX(O_Stok!$Q$6:$Q$85,MATCH(G1163,O_Stok!$A$6:$A$85,0)),0)))</f>
        <v/>
      </c>
      <c r="M1163" s="11" t="str">
        <f aca="false">IF(H1163="","",J1163-L1163)</f>
        <v/>
      </c>
      <c r="N1163" s="34" t="str">
        <f aca="false">IF(G1163="","",IFERROR(INDEX(I_Master!$B$6:$B$85,MATCH(G1163,I_Master!$A$6:$A$85,0)),"?"))</f>
        <v/>
      </c>
      <c r="O1163" s="34" t="str">
        <f aca="false">IF(G1163="","",IFERROR(INDEX(I_Master!$E$6:$E$85,MATCH(G1163,I_Master!$A$6:$A$85,0)),"?"))</f>
        <v/>
      </c>
      <c r="P1163" s="46" t="str">
        <f aca="false">IF(H1163="","",IF(OR(A1163&lt;I_Parameter!$C$5,A1163&gt;I_Parameter!$C$6),0,IF(B1163="Aktual",1,IF(AND(B1163="Order",A1163&gt;=I_Parameter!$C$4),1,0))))</f>
        <v/>
      </c>
    </row>
    <row r="1164" customFormat="false" ht="15" hidden="false" customHeight="false" outlineLevel="0" collapsed="false">
      <c r="A1164" s="37"/>
      <c r="B1164" s="44"/>
      <c r="C1164" s="44"/>
      <c r="D1164" s="44"/>
      <c r="E1164" s="44"/>
      <c r="F1164" s="44"/>
      <c r="G1164" s="34" t="str">
        <f aca="false">IF(F1164&lt;&gt;"",F1164,IF(E1164="","",IFERROR(INDEX(I_Item!$C$6:$C$255,MATCH(E1164,I_Item!$A$6:$A$255,0)),"KODE BARU")))</f>
        <v/>
      </c>
      <c r="H1164" s="45"/>
      <c r="I1164" s="42"/>
      <c r="J1164" s="11" t="str">
        <f aca="false">IF(H1164="","",H1164*I1164)</f>
        <v/>
      </c>
      <c r="K1164" s="42"/>
      <c r="L1164" s="11" t="str">
        <f aca="false">IF(H1164="","",IF(K1164&lt;&gt;"",K1164,H1164*IFERROR(INDEX(O_Stok!$Q$6:$Q$85,MATCH(G1164,O_Stok!$A$6:$A$85,0)),0)))</f>
        <v/>
      </c>
      <c r="M1164" s="11" t="str">
        <f aca="false">IF(H1164="","",J1164-L1164)</f>
        <v/>
      </c>
      <c r="N1164" s="34" t="str">
        <f aca="false">IF(G1164="","",IFERROR(INDEX(I_Master!$B$6:$B$85,MATCH(G1164,I_Master!$A$6:$A$85,0)),"?"))</f>
        <v/>
      </c>
      <c r="O1164" s="34" t="str">
        <f aca="false">IF(G1164="","",IFERROR(INDEX(I_Master!$E$6:$E$85,MATCH(G1164,I_Master!$A$6:$A$85,0)),"?"))</f>
        <v/>
      </c>
      <c r="P1164" s="46" t="str">
        <f aca="false">IF(H1164="","",IF(OR(A1164&lt;I_Parameter!$C$5,A1164&gt;I_Parameter!$C$6),0,IF(B1164="Aktual",1,IF(AND(B1164="Order",A1164&gt;=I_Parameter!$C$4),1,0))))</f>
        <v/>
      </c>
    </row>
    <row r="1165" customFormat="false" ht="15" hidden="false" customHeight="false" outlineLevel="0" collapsed="false">
      <c r="A1165" s="37"/>
      <c r="B1165" s="44"/>
      <c r="C1165" s="44"/>
      <c r="D1165" s="44"/>
      <c r="E1165" s="44"/>
      <c r="F1165" s="44"/>
      <c r="G1165" s="34" t="str">
        <f aca="false">IF(F1165&lt;&gt;"",F1165,IF(E1165="","",IFERROR(INDEX(I_Item!$C$6:$C$255,MATCH(E1165,I_Item!$A$6:$A$255,0)),"KODE BARU")))</f>
        <v/>
      </c>
      <c r="H1165" s="45"/>
      <c r="I1165" s="42"/>
      <c r="J1165" s="11" t="str">
        <f aca="false">IF(H1165="","",H1165*I1165)</f>
        <v/>
      </c>
      <c r="K1165" s="42"/>
      <c r="L1165" s="11" t="str">
        <f aca="false">IF(H1165="","",IF(K1165&lt;&gt;"",K1165,H1165*IFERROR(INDEX(O_Stok!$Q$6:$Q$85,MATCH(G1165,O_Stok!$A$6:$A$85,0)),0)))</f>
        <v/>
      </c>
      <c r="M1165" s="11" t="str">
        <f aca="false">IF(H1165="","",J1165-L1165)</f>
        <v/>
      </c>
      <c r="N1165" s="34" t="str">
        <f aca="false">IF(G1165="","",IFERROR(INDEX(I_Master!$B$6:$B$85,MATCH(G1165,I_Master!$A$6:$A$85,0)),"?"))</f>
        <v/>
      </c>
      <c r="O1165" s="34" t="str">
        <f aca="false">IF(G1165="","",IFERROR(INDEX(I_Master!$E$6:$E$85,MATCH(G1165,I_Master!$A$6:$A$85,0)),"?"))</f>
        <v/>
      </c>
      <c r="P1165" s="46" t="str">
        <f aca="false">IF(H1165="","",IF(OR(A1165&lt;I_Parameter!$C$5,A1165&gt;I_Parameter!$C$6),0,IF(B1165="Aktual",1,IF(AND(B1165="Order",A1165&gt;=I_Parameter!$C$4),1,0))))</f>
        <v/>
      </c>
    </row>
    <row r="1166" customFormat="false" ht="15" hidden="false" customHeight="false" outlineLevel="0" collapsed="false">
      <c r="A1166" s="37"/>
      <c r="B1166" s="44"/>
      <c r="C1166" s="44"/>
      <c r="D1166" s="44"/>
      <c r="E1166" s="44"/>
      <c r="F1166" s="44"/>
      <c r="G1166" s="34" t="str">
        <f aca="false">IF(F1166&lt;&gt;"",F1166,IF(E1166="","",IFERROR(INDEX(I_Item!$C$6:$C$255,MATCH(E1166,I_Item!$A$6:$A$255,0)),"KODE BARU")))</f>
        <v/>
      </c>
      <c r="H1166" s="45"/>
      <c r="I1166" s="42"/>
      <c r="J1166" s="11" t="str">
        <f aca="false">IF(H1166="","",H1166*I1166)</f>
        <v/>
      </c>
      <c r="K1166" s="42"/>
      <c r="L1166" s="11" t="str">
        <f aca="false">IF(H1166="","",IF(K1166&lt;&gt;"",K1166,H1166*IFERROR(INDEX(O_Stok!$Q$6:$Q$85,MATCH(G1166,O_Stok!$A$6:$A$85,0)),0)))</f>
        <v/>
      </c>
      <c r="M1166" s="11" t="str">
        <f aca="false">IF(H1166="","",J1166-L1166)</f>
        <v/>
      </c>
      <c r="N1166" s="34" t="str">
        <f aca="false">IF(G1166="","",IFERROR(INDEX(I_Master!$B$6:$B$85,MATCH(G1166,I_Master!$A$6:$A$85,0)),"?"))</f>
        <v/>
      </c>
      <c r="O1166" s="34" t="str">
        <f aca="false">IF(G1166="","",IFERROR(INDEX(I_Master!$E$6:$E$85,MATCH(G1166,I_Master!$A$6:$A$85,0)),"?"))</f>
        <v/>
      </c>
      <c r="P1166" s="46" t="str">
        <f aca="false">IF(H1166="","",IF(OR(A1166&lt;I_Parameter!$C$5,A1166&gt;I_Parameter!$C$6),0,IF(B1166="Aktual",1,IF(AND(B1166="Order",A1166&gt;=I_Parameter!$C$4),1,0))))</f>
        <v/>
      </c>
    </row>
    <row r="1167" customFormat="false" ht="15" hidden="false" customHeight="false" outlineLevel="0" collapsed="false">
      <c r="A1167" s="37"/>
      <c r="B1167" s="44"/>
      <c r="C1167" s="44"/>
      <c r="D1167" s="44"/>
      <c r="E1167" s="44"/>
      <c r="F1167" s="44"/>
      <c r="G1167" s="34" t="str">
        <f aca="false">IF(F1167&lt;&gt;"",F1167,IF(E1167="","",IFERROR(INDEX(I_Item!$C$6:$C$255,MATCH(E1167,I_Item!$A$6:$A$255,0)),"KODE BARU")))</f>
        <v/>
      </c>
      <c r="H1167" s="45"/>
      <c r="I1167" s="42"/>
      <c r="J1167" s="11" t="str">
        <f aca="false">IF(H1167="","",H1167*I1167)</f>
        <v/>
      </c>
      <c r="K1167" s="42"/>
      <c r="L1167" s="11" t="str">
        <f aca="false">IF(H1167="","",IF(K1167&lt;&gt;"",K1167,H1167*IFERROR(INDEX(O_Stok!$Q$6:$Q$85,MATCH(G1167,O_Stok!$A$6:$A$85,0)),0)))</f>
        <v/>
      </c>
      <c r="M1167" s="11" t="str">
        <f aca="false">IF(H1167="","",J1167-L1167)</f>
        <v/>
      </c>
      <c r="N1167" s="34" t="str">
        <f aca="false">IF(G1167="","",IFERROR(INDEX(I_Master!$B$6:$B$85,MATCH(G1167,I_Master!$A$6:$A$85,0)),"?"))</f>
        <v/>
      </c>
      <c r="O1167" s="34" t="str">
        <f aca="false">IF(G1167="","",IFERROR(INDEX(I_Master!$E$6:$E$85,MATCH(G1167,I_Master!$A$6:$A$85,0)),"?"))</f>
        <v/>
      </c>
      <c r="P1167" s="46" t="str">
        <f aca="false">IF(H1167="","",IF(OR(A1167&lt;I_Parameter!$C$5,A1167&gt;I_Parameter!$C$6),0,IF(B1167="Aktual",1,IF(AND(B1167="Order",A1167&gt;=I_Parameter!$C$4),1,0))))</f>
        <v/>
      </c>
    </row>
    <row r="1168" customFormat="false" ht="15" hidden="false" customHeight="false" outlineLevel="0" collapsed="false">
      <c r="A1168" s="37"/>
      <c r="B1168" s="44"/>
      <c r="C1168" s="44"/>
      <c r="D1168" s="44"/>
      <c r="E1168" s="44"/>
      <c r="F1168" s="44"/>
      <c r="G1168" s="34" t="str">
        <f aca="false">IF(F1168&lt;&gt;"",F1168,IF(E1168="","",IFERROR(INDEX(I_Item!$C$6:$C$255,MATCH(E1168,I_Item!$A$6:$A$255,0)),"KODE BARU")))</f>
        <v/>
      </c>
      <c r="H1168" s="45"/>
      <c r="I1168" s="42"/>
      <c r="J1168" s="11" t="str">
        <f aca="false">IF(H1168="","",H1168*I1168)</f>
        <v/>
      </c>
      <c r="K1168" s="42"/>
      <c r="L1168" s="11" t="str">
        <f aca="false">IF(H1168="","",IF(K1168&lt;&gt;"",K1168,H1168*IFERROR(INDEX(O_Stok!$Q$6:$Q$85,MATCH(G1168,O_Stok!$A$6:$A$85,0)),0)))</f>
        <v/>
      </c>
      <c r="M1168" s="11" t="str">
        <f aca="false">IF(H1168="","",J1168-L1168)</f>
        <v/>
      </c>
      <c r="N1168" s="34" t="str">
        <f aca="false">IF(G1168="","",IFERROR(INDEX(I_Master!$B$6:$B$85,MATCH(G1168,I_Master!$A$6:$A$85,0)),"?"))</f>
        <v/>
      </c>
      <c r="O1168" s="34" t="str">
        <f aca="false">IF(G1168="","",IFERROR(INDEX(I_Master!$E$6:$E$85,MATCH(G1168,I_Master!$A$6:$A$85,0)),"?"))</f>
        <v/>
      </c>
      <c r="P1168" s="46" t="str">
        <f aca="false">IF(H1168="","",IF(OR(A1168&lt;I_Parameter!$C$5,A1168&gt;I_Parameter!$C$6),0,IF(B1168="Aktual",1,IF(AND(B1168="Order",A1168&gt;=I_Parameter!$C$4),1,0))))</f>
        <v/>
      </c>
    </row>
    <row r="1169" customFormat="false" ht="15" hidden="false" customHeight="false" outlineLevel="0" collapsed="false">
      <c r="A1169" s="37"/>
      <c r="B1169" s="44"/>
      <c r="C1169" s="44"/>
      <c r="D1169" s="44"/>
      <c r="E1169" s="44"/>
      <c r="F1169" s="44"/>
      <c r="G1169" s="34" t="str">
        <f aca="false">IF(F1169&lt;&gt;"",F1169,IF(E1169="","",IFERROR(INDEX(I_Item!$C$6:$C$255,MATCH(E1169,I_Item!$A$6:$A$255,0)),"KODE BARU")))</f>
        <v/>
      </c>
      <c r="H1169" s="45"/>
      <c r="I1169" s="42"/>
      <c r="J1169" s="11" t="str">
        <f aca="false">IF(H1169="","",H1169*I1169)</f>
        <v/>
      </c>
      <c r="K1169" s="42"/>
      <c r="L1169" s="11" t="str">
        <f aca="false">IF(H1169="","",IF(K1169&lt;&gt;"",K1169,H1169*IFERROR(INDEX(O_Stok!$Q$6:$Q$85,MATCH(G1169,O_Stok!$A$6:$A$85,0)),0)))</f>
        <v/>
      </c>
      <c r="M1169" s="11" t="str">
        <f aca="false">IF(H1169="","",J1169-L1169)</f>
        <v/>
      </c>
      <c r="N1169" s="34" t="str">
        <f aca="false">IF(G1169="","",IFERROR(INDEX(I_Master!$B$6:$B$85,MATCH(G1169,I_Master!$A$6:$A$85,0)),"?"))</f>
        <v/>
      </c>
      <c r="O1169" s="34" t="str">
        <f aca="false">IF(G1169="","",IFERROR(INDEX(I_Master!$E$6:$E$85,MATCH(G1169,I_Master!$A$6:$A$85,0)),"?"))</f>
        <v/>
      </c>
      <c r="P1169" s="46" t="str">
        <f aca="false">IF(H1169="","",IF(OR(A1169&lt;I_Parameter!$C$5,A1169&gt;I_Parameter!$C$6),0,IF(B1169="Aktual",1,IF(AND(B1169="Order",A1169&gt;=I_Parameter!$C$4),1,0))))</f>
        <v/>
      </c>
    </row>
    <row r="1170" customFormat="false" ht="15" hidden="false" customHeight="false" outlineLevel="0" collapsed="false">
      <c r="A1170" s="37"/>
      <c r="B1170" s="44"/>
      <c r="C1170" s="44"/>
      <c r="D1170" s="44"/>
      <c r="E1170" s="44"/>
      <c r="F1170" s="44"/>
      <c r="G1170" s="34" t="str">
        <f aca="false">IF(F1170&lt;&gt;"",F1170,IF(E1170="","",IFERROR(INDEX(I_Item!$C$6:$C$255,MATCH(E1170,I_Item!$A$6:$A$255,0)),"KODE BARU")))</f>
        <v/>
      </c>
      <c r="H1170" s="45"/>
      <c r="I1170" s="42"/>
      <c r="J1170" s="11" t="str">
        <f aca="false">IF(H1170="","",H1170*I1170)</f>
        <v/>
      </c>
      <c r="K1170" s="42"/>
      <c r="L1170" s="11" t="str">
        <f aca="false">IF(H1170="","",IF(K1170&lt;&gt;"",K1170,H1170*IFERROR(INDEX(O_Stok!$Q$6:$Q$85,MATCH(G1170,O_Stok!$A$6:$A$85,0)),0)))</f>
        <v/>
      </c>
      <c r="M1170" s="11" t="str">
        <f aca="false">IF(H1170="","",J1170-L1170)</f>
        <v/>
      </c>
      <c r="N1170" s="34" t="str">
        <f aca="false">IF(G1170="","",IFERROR(INDEX(I_Master!$B$6:$B$85,MATCH(G1170,I_Master!$A$6:$A$85,0)),"?"))</f>
        <v/>
      </c>
      <c r="O1170" s="34" t="str">
        <f aca="false">IF(G1170="","",IFERROR(INDEX(I_Master!$E$6:$E$85,MATCH(G1170,I_Master!$A$6:$A$85,0)),"?"))</f>
        <v/>
      </c>
      <c r="P1170" s="46" t="str">
        <f aca="false">IF(H1170="","",IF(OR(A1170&lt;I_Parameter!$C$5,A1170&gt;I_Parameter!$C$6),0,IF(B1170="Aktual",1,IF(AND(B1170="Order",A1170&gt;=I_Parameter!$C$4),1,0))))</f>
        <v/>
      </c>
    </row>
    <row r="1171" customFormat="false" ht="15" hidden="false" customHeight="false" outlineLevel="0" collapsed="false">
      <c r="A1171" s="37"/>
      <c r="B1171" s="44"/>
      <c r="C1171" s="44"/>
      <c r="D1171" s="44"/>
      <c r="E1171" s="44"/>
      <c r="F1171" s="44"/>
      <c r="G1171" s="34" t="str">
        <f aca="false">IF(F1171&lt;&gt;"",F1171,IF(E1171="","",IFERROR(INDEX(I_Item!$C$6:$C$255,MATCH(E1171,I_Item!$A$6:$A$255,0)),"KODE BARU")))</f>
        <v/>
      </c>
      <c r="H1171" s="45"/>
      <c r="I1171" s="42"/>
      <c r="J1171" s="11" t="str">
        <f aca="false">IF(H1171="","",H1171*I1171)</f>
        <v/>
      </c>
      <c r="K1171" s="42"/>
      <c r="L1171" s="11" t="str">
        <f aca="false">IF(H1171="","",IF(K1171&lt;&gt;"",K1171,H1171*IFERROR(INDEX(O_Stok!$Q$6:$Q$85,MATCH(G1171,O_Stok!$A$6:$A$85,0)),0)))</f>
        <v/>
      </c>
      <c r="M1171" s="11" t="str">
        <f aca="false">IF(H1171="","",J1171-L1171)</f>
        <v/>
      </c>
      <c r="N1171" s="34" t="str">
        <f aca="false">IF(G1171="","",IFERROR(INDEX(I_Master!$B$6:$B$85,MATCH(G1171,I_Master!$A$6:$A$85,0)),"?"))</f>
        <v/>
      </c>
      <c r="O1171" s="34" t="str">
        <f aca="false">IF(G1171="","",IFERROR(INDEX(I_Master!$E$6:$E$85,MATCH(G1171,I_Master!$A$6:$A$85,0)),"?"))</f>
        <v/>
      </c>
      <c r="P1171" s="46" t="str">
        <f aca="false">IF(H1171="","",IF(OR(A1171&lt;I_Parameter!$C$5,A1171&gt;I_Parameter!$C$6),0,IF(B1171="Aktual",1,IF(AND(B1171="Order",A1171&gt;=I_Parameter!$C$4),1,0))))</f>
        <v/>
      </c>
    </row>
    <row r="1172" customFormat="false" ht="15" hidden="false" customHeight="false" outlineLevel="0" collapsed="false">
      <c r="A1172" s="37"/>
      <c r="B1172" s="44"/>
      <c r="C1172" s="44"/>
      <c r="D1172" s="44"/>
      <c r="E1172" s="44"/>
      <c r="F1172" s="44"/>
      <c r="G1172" s="34" t="str">
        <f aca="false">IF(F1172&lt;&gt;"",F1172,IF(E1172="","",IFERROR(INDEX(I_Item!$C$6:$C$255,MATCH(E1172,I_Item!$A$6:$A$255,0)),"KODE BARU")))</f>
        <v/>
      </c>
      <c r="H1172" s="45"/>
      <c r="I1172" s="42"/>
      <c r="J1172" s="11" t="str">
        <f aca="false">IF(H1172="","",H1172*I1172)</f>
        <v/>
      </c>
      <c r="K1172" s="42"/>
      <c r="L1172" s="11" t="str">
        <f aca="false">IF(H1172="","",IF(K1172&lt;&gt;"",K1172,H1172*IFERROR(INDEX(O_Stok!$Q$6:$Q$85,MATCH(G1172,O_Stok!$A$6:$A$85,0)),0)))</f>
        <v/>
      </c>
      <c r="M1172" s="11" t="str">
        <f aca="false">IF(H1172="","",J1172-L1172)</f>
        <v/>
      </c>
      <c r="N1172" s="34" t="str">
        <f aca="false">IF(G1172="","",IFERROR(INDEX(I_Master!$B$6:$B$85,MATCH(G1172,I_Master!$A$6:$A$85,0)),"?"))</f>
        <v/>
      </c>
      <c r="O1172" s="34" t="str">
        <f aca="false">IF(G1172="","",IFERROR(INDEX(I_Master!$E$6:$E$85,MATCH(G1172,I_Master!$A$6:$A$85,0)),"?"))</f>
        <v/>
      </c>
      <c r="P1172" s="46" t="str">
        <f aca="false">IF(H1172="","",IF(OR(A1172&lt;I_Parameter!$C$5,A1172&gt;I_Parameter!$C$6),0,IF(B1172="Aktual",1,IF(AND(B1172="Order",A1172&gt;=I_Parameter!$C$4),1,0))))</f>
        <v/>
      </c>
    </row>
    <row r="1173" customFormat="false" ht="15" hidden="false" customHeight="false" outlineLevel="0" collapsed="false">
      <c r="A1173" s="37"/>
      <c r="B1173" s="44"/>
      <c r="C1173" s="44"/>
      <c r="D1173" s="44"/>
      <c r="E1173" s="44"/>
      <c r="F1173" s="44"/>
      <c r="G1173" s="34" t="str">
        <f aca="false">IF(F1173&lt;&gt;"",F1173,IF(E1173="","",IFERROR(INDEX(I_Item!$C$6:$C$255,MATCH(E1173,I_Item!$A$6:$A$255,0)),"KODE BARU")))</f>
        <v/>
      </c>
      <c r="H1173" s="45"/>
      <c r="I1173" s="42"/>
      <c r="J1173" s="11" t="str">
        <f aca="false">IF(H1173="","",H1173*I1173)</f>
        <v/>
      </c>
      <c r="K1173" s="42"/>
      <c r="L1173" s="11" t="str">
        <f aca="false">IF(H1173="","",IF(K1173&lt;&gt;"",K1173,H1173*IFERROR(INDEX(O_Stok!$Q$6:$Q$85,MATCH(G1173,O_Stok!$A$6:$A$85,0)),0)))</f>
        <v/>
      </c>
      <c r="M1173" s="11" t="str">
        <f aca="false">IF(H1173="","",J1173-L1173)</f>
        <v/>
      </c>
      <c r="N1173" s="34" t="str">
        <f aca="false">IF(G1173="","",IFERROR(INDEX(I_Master!$B$6:$B$85,MATCH(G1173,I_Master!$A$6:$A$85,0)),"?"))</f>
        <v/>
      </c>
      <c r="O1173" s="34" t="str">
        <f aca="false">IF(G1173="","",IFERROR(INDEX(I_Master!$E$6:$E$85,MATCH(G1173,I_Master!$A$6:$A$85,0)),"?"))</f>
        <v/>
      </c>
      <c r="P1173" s="46" t="str">
        <f aca="false">IF(H1173="","",IF(OR(A1173&lt;I_Parameter!$C$5,A1173&gt;I_Parameter!$C$6),0,IF(B1173="Aktual",1,IF(AND(B1173="Order",A1173&gt;=I_Parameter!$C$4),1,0))))</f>
        <v/>
      </c>
    </row>
    <row r="1174" customFormat="false" ht="15" hidden="false" customHeight="false" outlineLevel="0" collapsed="false">
      <c r="A1174" s="37"/>
      <c r="B1174" s="44"/>
      <c r="C1174" s="44"/>
      <c r="D1174" s="44"/>
      <c r="E1174" s="44"/>
      <c r="F1174" s="44"/>
      <c r="G1174" s="34" t="str">
        <f aca="false">IF(F1174&lt;&gt;"",F1174,IF(E1174="","",IFERROR(INDEX(I_Item!$C$6:$C$255,MATCH(E1174,I_Item!$A$6:$A$255,0)),"KODE BARU")))</f>
        <v/>
      </c>
      <c r="H1174" s="45"/>
      <c r="I1174" s="42"/>
      <c r="J1174" s="11" t="str">
        <f aca="false">IF(H1174="","",H1174*I1174)</f>
        <v/>
      </c>
      <c r="K1174" s="42"/>
      <c r="L1174" s="11" t="str">
        <f aca="false">IF(H1174="","",IF(K1174&lt;&gt;"",K1174,H1174*IFERROR(INDEX(O_Stok!$Q$6:$Q$85,MATCH(G1174,O_Stok!$A$6:$A$85,0)),0)))</f>
        <v/>
      </c>
      <c r="M1174" s="11" t="str">
        <f aca="false">IF(H1174="","",J1174-L1174)</f>
        <v/>
      </c>
      <c r="N1174" s="34" t="str">
        <f aca="false">IF(G1174="","",IFERROR(INDEX(I_Master!$B$6:$B$85,MATCH(G1174,I_Master!$A$6:$A$85,0)),"?"))</f>
        <v/>
      </c>
      <c r="O1174" s="34" t="str">
        <f aca="false">IF(G1174="","",IFERROR(INDEX(I_Master!$E$6:$E$85,MATCH(G1174,I_Master!$A$6:$A$85,0)),"?"))</f>
        <v/>
      </c>
      <c r="P1174" s="46" t="str">
        <f aca="false">IF(H1174="","",IF(OR(A1174&lt;I_Parameter!$C$5,A1174&gt;I_Parameter!$C$6),0,IF(B1174="Aktual",1,IF(AND(B1174="Order",A1174&gt;=I_Parameter!$C$4),1,0))))</f>
        <v/>
      </c>
    </row>
    <row r="1175" customFormat="false" ht="15" hidden="false" customHeight="false" outlineLevel="0" collapsed="false">
      <c r="A1175" s="37"/>
      <c r="B1175" s="44"/>
      <c r="C1175" s="44"/>
      <c r="D1175" s="44"/>
      <c r="E1175" s="44"/>
      <c r="F1175" s="44"/>
      <c r="G1175" s="34" t="str">
        <f aca="false">IF(F1175&lt;&gt;"",F1175,IF(E1175="","",IFERROR(INDEX(I_Item!$C$6:$C$255,MATCH(E1175,I_Item!$A$6:$A$255,0)),"KODE BARU")))</f>
        <v/>
      </c>
      <c r="H1175" s="45"/>
      <c r="I1175" s="42"/>
      <c r="J1175" s="11" t="str">
        <f aca="false">IF(H1175="","",H1175*I1175)</f>
        <v/>
      </c>
      <c r="K1175" s="42"/>
      <c r="L1175" s="11" t="str">
        <f aca="false">IF(H1175="","",IF(K1175&lt;&gt;"",K1175,H1175*IFERROR(INDEX(O_Stok!$Q$6:$Q$85,MATCH(G1175,O_Stok!$A$6:$A$85,0)),0)))</f>
        <v/>
      </c>
      <c r="M1175" s="11" t="str">
        <f aca="false">IF(H1175="","",J1175-L1175)</f>
        <v/>
      </c>
      <c r="N1175" s="34" t="str">
        <f aca="false">IF(G1175="","",IFERROR(INDEX(I_Master!$B$6:$B$85,MATCH(G1175,I_Master!$A$6:$A$85,0)),"?"))</f>
        <v/>
      </c>
      <c r="O1175" s="34" t="str">
        <f aca="false">IF(G1175="","",IFERROR(INDEX(I_Master!$E$6:$E$85,MATCH(G1175,I_Master!$A$6:$A$85,0)),"?"))</f>
        <v/>
      </c>
      <c r="P1175" s="46" t="str">
        <f aca="false">IF(H1175="","",IF(OR(A1175&lt;I_Parameter!$C$5,A1175&gt;I_Parameter!$C$6),0,IF(B1175="Aktual",1,IF(AND(B1175="Order",A1175&gt;=I_Parameter!$C$4),1,0))))</f>
        <v/>
      </c>
    </row>
    <row r="1176" customFormat="false" ht="15" hidden="false" customHeight="false" outlineLevel="0" collapsed="false">
      <c r="A1176" s="37"/>
      <c r="B1176" s="44"/>
      <c r="C1176" s="44"/>
      <c r="D1176" s="44"/>
      <c r="E1176" s="44"/>
      <c r="F1176" s="44"/>
      <c r="G1176" s="34" t="str">
        <f aca="false">IF(F1176&lt;&gt;"",F1176,IF(E1176="","",IFERROR(INDEX(I_Item!$C$6:$C$255,MATCH(E1176,I_Item!$A$6:$A$255,0)),"KODE BARU")))</f>
        <v/>
      </c>
      <c r="H1176" s="45"/>
      <c r="I1176" s="42"/>
      <c r="J1176" s="11" t="str">
        <f aca="false">IF(H1176="","",H1176*I1176)</f>
        <v/>
      </c>
      <c r="K1176" s="42"/>
      <c r="L1176" s="11" t="str">
        <f aca="false">IF(H1176="","",IF(K1176&lt;&gt;"",K1176,H1176*IFERROR(INDEX(O_Stok!$Q$6:$Q$85,MATCH(G1176,O_Stok!$A$6:$A$85,0)),0)))</f>
        <v/>
      </c>
      <c r="M1176" s="11" t="str">
        <f aca="false">IF(H1176="","",J1176-L1176)</f>
        <v/>
      </c>
      <c r="N1176" s="34" t="str">
        <f aca="false">IF(G1176="","",IFERROR(INDEX(I_Master!$B$6:$B$85,MATCH(G1176,I_Master!$A$6:$A$85,0)),"?"))</f>
        <v/>
      </c>
      <c r="O1176" s="34" t="str">
        <f aca="false">IF(G1176="","",IFERROR(INDEX(I_Master!$E$6:$E$85,MATCH(G1176,I_Master!$A$6:$A$85,0)),"?"))</f>
        <v/>
      </c>
      <c r="P1176" s="46" t="str">
        <f aca="false">IF(H1176="","",IF(OR(A1176&lt;I_Parameter!$C$5,A1176&gt;I_Parameter!$C$6),0,IF(B1176="Aktual",1,IF(AND(B1176="Order",A1176&gt;=I_Parameter!$C$4),1,0))))</f>
        <v/>
      </c>
    </row>
    <row r="1177" customFormat="false" ht="15" hidden="false" customHeight="false" outlineLevel="0" collapsed="false">
      <c r="A1177" s="37"/>
      <c r="B1177" s="44"/>
      <c r="C1177" s="44"/>
      <c r="D1177" s="44"/>
      <c r="E1177" s="44"/>
      <c r="F1177" s="44"/>
      <c r="G1177" s="34" t="str">
        <f aca="false">IF(F1177&lt;&gt;"",F1177,IF(E1177="","",IFERROR(INDEX(I_Item!$C$6:$C$255,MATCH(E1177,I_Item!$A$6:$A$255,0)),"KODE BARU")))</f>
        <v/>
      </c>
      <c r="H1177" s="45"/>
      <c r="I1177" s="42"/>
      <c r="J1177" s="11" t="str">
        <f aca="false">IF(H1177="","",H1177*I1177)</f>
        <v/>
      </c>
      <c r="K1177" s="42"/>
      <c r="L1177" s="11" t="str">
        <f aca="false">IF(H1177="","",IF(K1177&lt;&gt;"",K1177,H1177*IFERROR(INDEX(O_Stok!$Q$6:$Q$85,MATCH(G1177,O_Stok!$A$6:$A$85,0)),0)))</f>
        <v/>
      </c>
      <c r="M1177" s="11" t="str">
        <f aca="false">IF(H1177="","",J1177-L1177)</f>
        <v/>
      </c>
      <c r="N1177" s="34" t="str">
        <f aca="false">IF(G1177="","",IFERROR(INDEX(I_Master!$B$6:$B$85,MATCH(G1177,I_Master!$A$6:$A$85,0)),"?"))</f>
        <v/>
      </c>
      <c r="O1177" s="34" t="str">
        <f aca="false">IF(G1177="","",IFERROR(INDEX(I_Master!$E$6:$E$85,MATCH(G1177,I_Master!$A$6:$A$85,0)),"?"))</f>
        <v/>
      </c>
      <c r="P1177" s="46" t="str">
        <f aca="false">IF(H1177="","",IF(OR(A1177&lt;I_Parameter!$C$5,A1177&gt;I_Parameter!$C$6),0,IF(B1177="Aktual",1,IF(AND(B1177="Order",A1177&gt;=I_Parameter!$C$4),1,0))))</f>
        <v/>
      </c>
    </row>
    <row r="1178" customFormat="false" ht="15" hidden="false" customHeight="false" outlineLevel="0" collapsed="false">
      <c r="A1178" s="37"/>
      <c r="B1178" s="44"/>
      <c r="C1178" s="44"/>
      <c r="D1178" s="44"/>
      <c r="E1178" s="44"/>
      <c r="F1178" s="44"/>
      <c r="G1178" s="34" t="str">
        <f aca="false">IF(F1178&lt;&gt;"",F1178,IF(E1178="","",IFERROR(INDEX(I_Item!$C$6:$C$255,MATCH(E1178,I_Item!$A$6:$A$255,0)),"KODE BARU")))</f>
        <v/>
      </c>
      <c r="H1178" s="45"/>
      <c r="I1178" s="42"/>
      <c r="J1178" s="11" t="str">
        <f aca="false">IF(H1178="","",H1178*I1178)</f>
        <v/>
      </c>
      <c r="K1178" s="42"/>
      <c r="L1178" s="11" t="str">
        <f aca="false">IF(H1178="","",IF(K1178&lt;&gt;"",K1178,H1178*IFERROR(INDEX(O_Stok!$Q$6:$Q$85,MATCH(G1178,O_Stok!$A$6:$A$85,0)),0)))</f>
        <v/>
      </c>
      <c r="M1178" s="11" t="str">
        <f aca="false">IF(H1178="","",J1178-L1178)</f>
        <v/>
      </c>
      <c r="N1178" s="34" t="str">
        <f aca="false">IF(G1178="","",IFERROR(INDEX(I_Master!$B$6:$B$85,MATCH(G1178,I_Master!$A$6:$A$85,0)),"?"))</f>
        <v/>
      </c>
      <c r="O1178" s="34" t="str">
        <f aca="false">IF(G1178="","",IFERROR(INDEX(I_Master!$E$6:$E$85,MATCH(G1178,I_Master!$A$6:$A$85,0)),"?"))</f>
        <v/>
      </c>
      <c r="P1178" s="46" t="str">
        <f aca="false">IF(H1178="","",IF(OR(A1178&lt;I_Parameter!$C$5,A1178&gt;I_Parameter!$C$6),0,IF(B1178="Aktual",1,IF(AND(B1178="Order",A1178&gt;=I_Parameter!$C$4),1,0))))</f>
        <v/>
      </c>
    </row>
    <row r="1179" customFormat="false" ht="15" hidden="false" customHeight="false" outlineLevel="0" collapsed="false">
      <c r="A1179" s="37"/>
      <c r="B1179" s="44"/>
      <c r="C1179" s="44"/>
      <c r="D1179" s="44"/>
      <c r="E1179" s="44"/>
      <c r="F1179" s="44"/>
      <c r="G1179" s="34" t="str">
        <f aca="false">IF(F1179&lt;&gt;"",F1179,IF(E1179="","",IFERROR(INDEX(I_Item!$C$6:$C$255,MATCH(E1179,I_Item!$A$6:$A$255,0)),"KODE BARU")))</f>
        <v/>
      </c>
      <c r="H1179" s="45"/>
      <c r="I1179" s="42"/>
      <c r="J1179" s="11" t="str">
        <f aca="false">IF(H1179="","",H1179*I1179)</f>
        <v/>
      </c>
      <c r="K1179" s="42"/>
      <c r="L1179" s="11" t="str">
        <f aca="false">IF(H1179="","",IF(K1179&lt;&gt;"",K1179,H1179*IFERROR(INDEX(O_Stok!$Q$6:$Q$85,MATCH(G1179,O_Stok!$A$6:$A$85,0)),0)))</f>
        <v/>
      </c>
      <c r="M1179" s="11" t="str">
        <f aca="false">IF(H1179="","",J1179-L1179)</f>
        <v/>
      </c>
      <c r="N1179" s="34" t="str">
        <f aca="false">IF(G1179="","",IFERROR(INDEX(I_Master!$B$6:$B$85,MATCH(G1179,I_Master!$A$6:$A$85,0)),"?"))</f>
        <v/>
      </c>
      <c r="O1179" s="34" t="str">
        <f aca="false">IF(G1179="","",IFERROR(INDEX(I_Master!$E$6:$E$85,MATCH(G1179,I_Master!$A$6:$A$85,0)),"?"))</f>
        <v/>
      </c>
      <c r="P1179" s="46" t="str">
        <f aca="false">IF(H1179="","",IF(OR(A1179&lt;I_Parameter!$C$5,A1179&gt;I_Parameter!$C$6),0,IF(B1179="Aktual",1,IF(AND(B1179="Order",A1179&gt;=I_Parameter!$C$4),1,0))))</f>
        <v/>
      </c>
    </row>
    <row r="1180" customFormat="false" ht="15" hidden="false" customHeight="false" outlineLevel="0" collapsed="false">
      <c r="A1180" s="37"/>
      <c r="B1180" s="44"/>
      <c r="C1180" s="44"/>
      <c r="D1180" s="44"/>
      <c r="E1180" s="44"/>
      <c r="F1180" s="44"/>
      <c r="G1180" s="34" t="str">
        <f aca="false">IF(F1180&lt;&gt;"",F1180,IF(E1180="","",IFERROR(INDEX(I_Item!$C$6:$C$255,MATCH(E1180,I_Item!$A$6:$A$255,0)),"KODE BARU")))</f>
        <v/>
      </c>
      <c r="H1180" s="45"/>
      <c r="I1180" s="42"/>
      <c r="J1180" s="11" t="str">
        <f aca="false">IF(H1180="","",H1180*I1180)</f>
        <v/>
      </c>
      <c r="K1180" s="42"/>
      <c r="L1180" s="11" t="str">
        <f aca="false">IF(H1180="","",IF(K1180&lt;&gt;"",K1180,H1180*IFERROR(INDEX(O_Stok!$Q$6:$Q$85,MATCH(G1180,O_Stok!$A$6:$A$85,0)),0)))</f>
        <v/>
      </c>
      <c r="M1180" s="11" t="str">
        <f aca="false">IF(H1180="","",J1180-L1180)</f>
        <v/>
      </c>
      <c r="N1180" s="34" t="str">
        <f aca="false">IF(G1180="","",IFERROR(INDEX(I_Master!$B$6:$B$85,MATCH(G1180,I_Master!$A$6:$A$85,0)),"?"))</f>
        <v/>
      </c>
      <c r="O1180" s="34" t="str">
        <f aca="false">IF(G1180="","",IFERROR(INDEX(I_Master!$E$6:$E$85,MATCH(G1180,I_Master!$A$6:$A$85,0)),"?"))</f>
        <v/>
      </c>
      <c r="P1180" s="46" t="str">
        <f aca="false">IF(H1180="","",IF(OR(A1180&lt;I_Parameter!$C$5,A1180&gt;I_Parameter!$C$6),0,IF(B1180="Aktual",1,IF(AND(B1180="Order",A1180&gt;=I_Parameter!$C$4),1,0))))</f>
        <v/>
      </c>
    </row>
    <row r="1181" customFormat="false" ht="15" hidden="false" customHeight="false" outlineLevel="0" collapsed="false">
      <c r="A1181" s="37"/>
      <c r="B1181" s="44"/>
      <c r="C1181" s="44"/>
      <c r="D1181" s="44"/>
      <c r="E1181" s="44"/>
      <c r="F1181" s="44"/>
      <c r="G1181" s="34" t="str">
        <f aca="false">IF(F1181&lt;&gt;"",F1181,IF(E1181="","",IFERROR(INDEX(I_Item!$C$6:$C$255,MATCH(E1181,I_Item!$A$6:$A$255,0)),"KODE BARU")))</f>
        <v/>
      </c>
      <c r="H1181" s="45"/>
      <c r="I1181" s="42"/>
      <c r="J1181" s="11" t="str">
        <f aca="false">IF(H1181="","",H1181*I1181)</f>
        <v/>
      </c>
      <c r="K1181" s="42"/>
      <c r="L1181" s="11" t="str">
        <f aca="false">IF(H1181="","",IF(K1181&lt;&gt;"",K1181,H1181*IFERROR(INDEX(O_Stok!$Q$6:$Q$85,MATCH(G1181,O_Stok!$A$6:$A$85,0)),0)))</f>
        <v/>
      </c>
      <c r="M1181" s="11" t="str">
        <f aca="false">IF(H1181="","",J1181-L1181)</f>
        <v/>
      </c>
      <c r="N1181" s="34" t="str">
        <f aca="false">IF(G1181="","",IFERROR(INDEX(I_Master!$B$6:$B$85,MATCH(G1181,I_Master!$A$6:$A$85,0)),"?"))</f>
        <v/>
      </c>
      <c r="O1181" s="34" t="str">
        <f aca="false">IF(G1181="","",IFERROR(INDEX(I_Master!$E$6:$E$85,MATCH(G1181,I_Master!$A$6:$A$85,0)),"?"))</f>
        <v/>
      </c>
      <c r="P1181" s="46" t="str">
        <f aca="false">IF(H1181="","",IF(OR(A1181&lt;I_Parameter!$C$5,A1181&gt;I_Parameter!$C$6),0,IF(B1181="Aktual",1,IF(AND(B1181="Order",A1181&gt;=I_Parameter!$C$4),1,0))))</f>
        <v/>
      </c>
    </row>
    <row r="1182" customFormat="false" ht="15" hidden="false" customHeight="false" outlineLevel="0" collapsed="false">
      <c r="A1182" s="37"/>
      <c r="B1182" s="44"/>
      <c r="C1182" s="44"/>
      <c r="D1182" s="44"/>
      <c r="E1182" s="44"/>
      <c r="F1182" s="44"/>
      <c r="G1182" s="34" t="str">
        <f aca="false">IF(F1182&lt;&gt;"",F1182,IF(E1182="","",IFERROR(INDEX(I_Item!$C$6:$C$255,MATCH(E1182,I_Item!$A$6:$A$255,0)),"KODE BARU")))</f>
        <v/>
      </c>
      <c r="H1182" s="45"/>
      <c r="I1182" s="42"/>
      <c r="J1182" s="11" t="str">
        <f aca="false">IF(H1182="","",H1182*I1182)</f>
        <v/>
      </c>
      <c r="K1182" s="42"/>
      <c r="L1182" s="11" t="str">
        <f aca="false">IF(H1182="","",IF(K1182&lt;&gt;"",K1182,H1182*IFERROR(INDEX(O_Stok!$Q$6:$Q$85,MATCH(G1182,O_Stok!$A$6:$A$85,0)),0)))</f>
        <v/>
      </c>
      <c r="M1182" s="11" t="str">
        <f aca="false">IF(H1182="","",J1182-L1182)</f>
        <v/>
      </c>
      <c r="N1182" s="34" t="str">
        <f aca="false">IF(G1182="","",IFERROR(INDEX(I_Master!$B$6:$B$85,MATCH(G1182,I_Master!$A$6:$A$85,0)),"?"))</f>
        <v/>
      </c>
      <c r="O1182" s="34" t="str">
        <f aca="false">IF(G1182="","",IFERROR(INDEX(I_Master!$E$6:$E$85,MATCH(G1182,I_Master!$A$6:$A$85,0)),"?"))</f>
        <v/>
      </c>
      <c r="P1182" s="46" t="str">
        <f aca="false">IF(H1182="","",IF(OR(A1182&lt;I_Parameter!$C$5,A1182&gt;I_Parameter!$C$6),0,IF(B1182="Aktual",1,IF(AND(B1182="Order",A1182&gt;=I_Parameter!$C$4),1,0))))</f>
        <v/>
      </c>
    </row>
    <row r="1183" customFormat="false" ht="15" hidden="false" customHeight="false" outlineLevel="0" collapsed="false">
      <c r="A1183" s="37"/>
      <c r="B1183" s="44"/>
      <c r="C1183" s="44"/>
      <c r="D1183" s="44"/>
      <c r="E1183" s="44"/>
      <c r="F1183" s="44"/>
      <c r="G1183" s="34" t="str">
        <f aca="false">IF(F1183&lt;&gt;"",F1183,IF(E1183="","",IFERROR(INDEX(I_Item!$C$6:$C$255,MATCH(E1183,I_Item!$A$6:$A$255,0)),"KODE BARU")))</f>
        <v/>
      </c>
      <c r="H1183" s="45"/>
      <c r="I1183" s="42"/>
      <c r="J1183" s="11" t="str">
        <f aca="false">IF(H1183="","",H1183*I1183)</f>
        <v/>
      </c>
      <c r="K1183" s="42"/>
      <c r="L1183" s="11" t="str">
        <f aca="false">IF(H1183="","",IF(K1183&lt;&gt;"",K1183,H1183*IFERROR(INDEX(O_Stok!$Q$6:$Q$85,MATCH(G1183,O_Stok!$A$6:$A$85,0)),0)))</f>
        <v/>
      </c>
      <c r="M1183" s="11" t="str">
        <f aca="false">IF(H1183="","",J1183-L1183)</f>
        <v/>
      </c>
      <c r="N1183" s="34" t="str">
        <f aca="false">IF(G1183="","",IFERROR(INDEX(I_Master!$B$6:$B$85,MATCH(G1183,I_Master!$A$6:$A$85,0)),"?"))</f>
        <v/>
      </c>
      <c r="O1183" s="34" t="str">
        <f aca="false">IF(G1183="","",IFERROR(INDEX(I_Master!$E$6:$E$85,MATCH(G1183,I_Master!$A$6:$A$85,0)),"?"))</f>
        <v/>
      </c>
      <c r="P1183" s="46" t="str">
        <f aca="false">IF(H1183="","",IF(OR(A1183&lt;I_Parameter!$C$5,A1183&gt;I_Parameter!$C$6),0,IF(B1183="Aktual",1,IF(AND(B1183="Order",A1183&gt;=I_Parameter!$C$4),1,0))))</f>
        <v/>
      </c>
    </row>
    <row r="1184" customFormat="false" ht="15" hidden="false" customHeight="false" outlineLevel="0" collapsed="false">
      <c r="A1184" s="37"/>
      <c r="B1184" s="44"/>
      <c r="C1184" s="44"/>
      <c r="D1184" s="44"/>
      <c r="E1184" s="44"/>
      <c r="F1184" s="44"/>
      <c r="G1184" s="34" t="str">
        <f aca="false">IF(F1184&lt;&gt;"",F1184,IF(E1184="","",IFERROR(INDEX(I_Item!$C$6:$C$255,MATCH(E1184,I_Item!$A$6:$A$255,0)),"KODE BARU")))</f>
        <v/>
      </c>
      <c r="H1184" s="45"/>
      <c r="I1184" s="42"/>
      <c r="J1184" s="11" t="str">
        <f aca="false">IF(H1184="","",H1184*I1184)</f>
        <v/>
      </c>
      <c r="K1184" s="42"/>
      <c r="L1184" s="11" t="str">
        <f aca="false">IF(H1184="","",IF(K1184&lt;&gt;"",K1184,H1184*IFERROR(INDEX(O_Stok!$Q$6:$Q$85,MATCH(G1184,O_Stok!$A$6:$A$85,0)),0)))</f>
        <v/>
      </c>
      <c r="M1184" s="11" t="str">
        <f aca="false">IF(H1184="","",J1184-L1184)</f>
        <v/>
      </c>
      <c r="N1184" s="34" t="str">
        <f aca="false">IF(G1184="","",IFERROR(INDEX(I_Master!$B$6:$B$85,MATCH(G1184,I_Master!$A$6:$A$85,0)),"?"))</f>
        <v/>
      </c>
      <c r="O1184" s="34" t="str">
        <f aca="false">IF(G1184="","",IFERROR(INDEX(I_Master!$E$6:$E$85,MATCH(G1184,I_Master!$A$6:$A$85,0)),"?"))</f>
        <v/>
      </c>
      <c r="P1184" s="46" t="str">
        <f aca="false">IF(H1184="","",IF(OR(A1184&lt;I_Parameter!$C$5,A1184&gt;I_Parameter!$C$6),0,IF(B1184="Aktual",1,IF(AND(B1184="Order",A1184&gt;=I_Parameter!$C$4),1,0))))</f>
        <v/>
      </c>
    </row>
    <row r="1185" customFormat="false" ht="15" hidden="false" customHeight="false" outlineLevel="0" collapsed="false">
      <c r="A1185" s="37"/>
      <c r="B1185" s="44"/>
      <c r="C1185" s="44"/>
      <c r="D1185" s="44"/>
      <c r="E1185" s="44"/>
      <c r="F1185" s="44"/>
      <c r="G1185" s="34" t="str">
        <f aca="false">IF(F1185&lt;&gt;"",F1185,IF(E1185="","",IFERROR(INDEX(I_Item!$C$6:$C$255,MATCH(E1185,I_Item!$A$6:$A$255,0)),"KODE BARU")))</f>
        <v/>
      </c>
      <c r="H1185" s="45"/>
      <c r="I1185" s="42"/>
      <c r="J1185" s="11" t="str">
        <f aca="false">IF(H1185="","",H1185*I1185)</f>
        <v/>
      </c>
      <c r="K1185" s="42"/>
      <c r="L1185" s="11" t="str">
        <f aca="false">IF(H1185="","",IF(K1185&lt;&gt;"",K1185,H1185*IFERROR(INDEX(O_Stok!$Q$6:$Q$85,MATCH(G1185,O_Stok!$A$6:$A$85,0)),0)))</f>
        <v/>
      </c>
      <c r="M1185" s="11" t="str">
        <f aca="false">IF(H1185="","",J1185-L1185)</f>
        <v/>
      </c>
      <c r="N1185" s="34" t="str">
        <f aca="false">IF(G1185="","",IFERROR(INDEX(I_Master!$B$6:$B$85,MATCH(G1185,I_Master!$A$6:$A$85,0)),"?"))</f>
        <v/>
      </c>
      <c r="O1185" s="34" t="str">
        <f aca="false">IF(G1185="","",IFERROR(INDEX(I_Master!$E$6:$E$85,MATCH(G1185,I_Master!$A$6:$A$85,0)),"?"))</f>
        <v/>
      </c>
      <c r="P1185" s="46" t="str">
        <f aca="false">IF(H1185="","",IF(OR(A1185&lt;I_Parameter!$C$5,A1185&gt;I_Parameter!$C$6),0,IF(B1185="Aktual",1,IF(AND(B1185="Order",A1185&gt;=I_Parameter!$C$4),1,0))))</f>
        <v/>
      </c>
    </row>
    <row r="1186" customFormat="false" ht="15" hidden="false" customHeight="false" outlineLevel="0" collapsed="false">
      <c r="A1186" s="37"/>
      <c r="B1186" s="44"/>
      <c r="C1186" s="44"/>
      <c r="D1186" s="44"/>
      <c r="E1186" s="44"/>
      <c r="F1186" s="44"/>
      <c r="G1186" s="34" t="str">
        <f aca="false">IF(F1186&lt;&gt;"",F1186,IF(E1186="","",IFERROR(INDEX(I_Item!$C$6:$C$255,MATCH(E1186,I_Item!$A$6:$A$255,0)),"KODE BARU")))</f>
        <v/>
      </c>
      <c r="H1186" s="45"/>
      <c r="I1186" s="42"/>
      <c r="J1186" s="11" t="str">
        <f aca="false">IF(H1186="","",H1186*I1186)</f>
        <v/>
      </c>
      <c r="K1186" s="42"/>
      <c r="L1186" s="11" t="str">
        <f aca="false">IF(H1186="","",IF(K1186&lt;&gt;"",K1186,H1186*IFERROR(INDEX(O_Stok!$Q$6:$Q$85,MATCH(G1186,O_Stok!$A$6:$A$85,0)),0)))</f>
        <v/>
      </c>
      <c r="M1186" s="11" t="str">
        <f aca="false">IF(H1186="","",J1186-L1186)</f>
        <v/>
      </c>
      <c r="N1186" s="34" t="str">
        <f aca="false">IF(G1186="","",IFERROR(INDEX(I_Master!$B$6:$B$85,MATCH(G1186,I_Master!$A$6:$A$85,0)),"?"))</f>
        <v/>
      </c>
      <c r="O1186" s="34" t="str">
        <f aca="false">IF(G1186="","",IFERROR(INDEX(I_Master!$E$6:$E$85,MATCH(G1186,I_Master!$A$6:$A$85,0)),"?"))</f>
        <v/>
      </c>
      <c r="P1186" s="46" t="str">
        <f aca="false">IF(H1186="","",IF(OR(A1186&lt;I_Parameter!$C$5,A1186&gt;I_Parameter!$C$6),0,IF(B1186="Aktual",1,IF(AND(B1186="Order",A1186&gt;=I_Parameter!$C$4),1,0))))</f>
        <v/>
      </c>
    </row>
    <row r="1187" customFormat="false" ht="15" hidden="false" customHeight="false" outlineLevel="0" collapsed="false">
      <c r="A1187" s="37"/>
      <c r="B1187" s="44"/>
      <c r="C1187" s="44"/>
      <c r="D1187" s="44"/>
      <c r="E1187" s="44"/>
      <c r="F1187" s="44"/>
      <c r="G1187" s="34" t="str">
        <f aca="false">IF(F1187&lt;&gt;"",F1187,IF(E1187="","",IFERROR(INDEX(I_Item!$C$6:$C$255,MATCH(E1187,I_Item!$A$6:$A$255,0)),"KODE BARU")))</f>
        <v/>
      </c>
      <c r="H1187" s="45"/>
      <c r="I1187" s="42"/>
      <c r="J1187" s="11" t="str">
        <f aca="false">IF(H1187="","",H1187*I1187)</f>
        <v/>
      </c>
      <c r="K1187" s="42"/>
      <c r="L1187" s="11" t="str">
        <f aca="false">IF(H1187="","",IF(K1187&lt;&gt;"",K1187,H1187*IFERROR(INDEX(O_Stok!$Q$6:$Q$85,MATCH(G1187,O_Stok!$A$6:$A$85,0)),0)))</f>
        <v/>
      </c>
      <c r="M1187" s="11" t="str">
        <f aca="false">IF(H1187="","",J1187-L1187)</f>
        <v/>
      </c>
      <c r="N1187" s="34" t="str">
        <f aca="false">IF(G1187="","",IFERROR(INDEX(I_Master!$B$6:$B$85,MATCH(G1187,I_Master!$A$6:$A$85,0)),"?"))</f>
        <v/>
      </c>
      <c r="O1187" s="34" t="str">
        <f aca="false">IF(G1187="","",IFERROR(INDEX(I_Master!$E$6:$E$85,MATCH(G1187,I_Master!$A$6:$A$85,0)),"?"))</f>
        <v/>
      </c>
      <c r="P1187" s="46" t="str">
        <f aca="false">IF(H1187="","",IF(OR(A1187&lt;I_Parameter!$C$5,A1187&gt;I_Parameter!$C$6),0,IF(B1187="Aktual",1,IF(AND(B1187="Order",A1187&gt;=I_Parameter!$C$4),1,0))))</f>
        <v/>
      </c>
    </row>
    <row r="1188" customFormat="false" ht="15" hidden="false" customHeight="false" outlineLevel="0" collapsed="false">
      <c r="A1188" s="37"/>
      <c r="B1188" s="44"/>
      <c r="C1188" s="44"/>
      <c r="D1188" s="44"/>
      <c r="E1188" s="44"/>
      <c r="F1188" s="44"/>
      <c r="G1188" s="34" t="str">
        <f aca="false">IF(F1188&lt;&gt;"",F1188,IF(E1188="","",IFERROR(INDEX(I_Item!$C$6:$C$255,MATCH(E1188,I_Item!$A$6:$A$255,0)),"KODE BARU")))</f>
        <v/>
      </c>
      <c r="H1188" s="45"/>
      <c r="I1188" s="42"/>
      <c r="J1188" s="11" t="str">
        <f aca="false">IF(H1188="","",H1188*I1188)</f>
        <v/>
      </c>
      <c r="K1188" s="42"/>
      <c r="L1188" s="11" t="str">
        <f aca="false">IF(H1188="","",IF(K1188&lt;&gt;"",K1188,H1188*IFERROR(INDEX(O_Stok!$Q$6:$Q$85,MATCH(G1188,O_Stok!$A$6:$A$85,0)),0)))</f>
        <v/>
      </c>
      <c r="M1188" s="11" t="str">
        <f aca="false">IF(H1188="","",J1188-L1188)</f>
        <v/>
      </c>
      <c r="N1188" s="34" t="str">
        <f aca="false">IF(G1188="","",IFERROR(INDEX(I_Master!$B$6:$B$85,MATCH(G1188,I_Master!$A$6:$A$85,0)),"?"))</f>
        <v/>
      </c>
      <c r="O1188" s="34" t="str">
        <f aca="false">IF(G1188="","",IFERROR(INDEX(I_Master!$E$6:$E$85,MATCH(G1188,I_Master!$A$6:$A$85,0)),"?"))</f>
        <v/>
      </c>
      <c r="P1188" s="46" t="str">
        <f aca="false">IF(H1188="","",IF(OR(A1188&lt;I_Parameter!$C$5,A1188&gt;I_Parameter!$C$6),0,IF(B1188="Aktual",1,IF(AND(B1188="Order",A1188&gt;=I_Parameter!$C$4),1,0))))</f>
        <v/>
      </c>
    </row>
    <row r="1189" customFormat="false" ht="15" hidden="false" customHeight="false" outlineLevel="0" collapsed="false">
      <c r="A1189" s="37"/>
      <c r="B1189" s="44"/>
      <c r="C1189" s="44"/>
      <c r="D1189" s="44"/>
      <c r="E1189" s="44"/>
      <c r="F1189" s="44"/>
      <c r="G1189" s="34" t="str">
        <f aca="false">IF(F1189&lt;&gt;"",F1189,IF(E1189="","",IFERROR(INDEX(I_Item!$C$6:$C$255,MATCH(E1189,I_Item!$A$6:$A$255,0)),"KODE BARU")))</f>
        <v/>
      </c>
      <c r="H1189" s="45"/>
      <c r="I1189" s="42"/>
      <c r="J1189" s="11" t="str">
        <f aca="false">IF(H1189="","",H1189*I1189)</f>
        <v/>
      </c>
      <c r="K1189" s="42"/>
      <c r="L1189" s="11" t="str">
        <f aca="false">IF(H1189="","",IF(K1189&lt;&gt;"",K1189,H1189*IFERROR(INDEX(O_Stok!$Q$6:$Q$85,MATCH(G1189,O_Stok!$A$6:$A$85,0)),0)))</f>
        <v/>
      </c>
      <c r="M1189" s="11" t="str">
        <f aca="false">IF(H1189="","",J1189-L1189)</f>
        <v/>
      </c>
      <c r="N1189" s="34" t="str">
        <f aca="false">IF(G1189="","",IFERROR(INDEX(I_Master!$B$6:$B$85,MATCH(G1189,I_Master!$A$6:$A$85,0)),"?"))</f>
        <v/>
      </c>
      <c r="O1189" s="34" t="str">
        <f aca="false">IF(G1189="","",IFERROR(INDEX(I_Master!$E$6:$E$85,MATCH(G1189,I_Master!$A$6:$A$85,0)),"?"))</f>
        <v/>
      </c>
      <c r="P1189" s="46" t="str">
        <f aca="false">IF(H1189="","",IF(OR(A1189&lt;I_Parameter!$C$5,A1189&gt;I_Parameter!$C$6),0,IF(B1189="Aktual",1,IF(AND(B1189="Order",A1189&gt;=I_Parameter!$C$4),1,0))))</f>
        <v/>
      </c>
    </row>
    <row r="1190" customFormat="false" ht="15" hidden="false" customHeight="false" outlineLevel="0" collapsed="false">
      <c r="A1190" s="37"/>
      <c r="B1190" s="44"/>
      <c r="C1190" s="44"/>
      <c r="D1190" s="44"/>
      <c r="E1190" s="44"/>
      <c r="F1190" s="44"/>
      <c r="G1190" s="34" t="str">
        <f aca="false">IF(F1190&lt;&gt;"",F1190,IF(E1190="","",IFERROR(INDEX(I_Item!$C$6:$C$255,MATCH(E1190,I_Item!$A$6:$A$255,0)),"KODE BARU")))</f>
        <v/>
      </c>
      <c r="H1190" s="45"/>
      <c r="I1190" s="42"/>
      <c r="J1190" s="11" t="str">
        <f aca="false">IF(H1190="","",H1190*I1190)</f>
        <v/>
      </c>
      <c r="K1190" s="42"/>
      <c r="L1190" s="11" t="str">
        <f aca="false">IF(H1190="","",IF(K1190&lt;&gt;"",K1190,H1190*IFERROR(INDEX(O_Stok!$Q$6:$Q$85,MATCH(G1190,O_Stok!$A$6:$A$85,0)),0)))</f>
        <v/>
      </c>
      <c r="M1190" s="11" t="str">
        <f aca="false">IF(H1190="","",J1190-L1190)</f>
        <v/>
      </c>
      <c r="N1190" s="34" t="str">
        <f aca="false">IF(G1190="","",IFERROR(INDEX(I_Master!$B$6:$B$85,MATCH(G1190,I_Master!$A$6:$A$85,0)),"?"))</f>
        <v/>
      </c>
      <c r="O1190" s="34" t="str">
        <f aca="false">IF(G1190="","",IFERROR(INDEX(I_Master!$E$6:$E$85,MATCH(G1190,I_Master!$A$6:$A$85,0)),"?"))</f>
        <v/>
      </c>
      <c r="P1190" s="46" t="str">
        <f aca="false">IF(H1190="","",IF(OR(A1190&lt;I_Parameter!$C$5,A1190&gt;I_Parameter!$C$6),0,IF(B1190="Aktual",1,IF(AND(B1190="Order",A1190&gt;=I_Parameter!$C$4),1,0))))</f>
        <v/>
      </c>
    </row>
    <row r="1191" customFormat="false" ht="15" hidden="false" customHeight="false" outlineLevel="0" collapsed="false">
      <c r="A1191" s="37"/>
      <c r="B1191" s="44"/>
      <c r="C1191" s="44"/>
      <c r="D1191" s="44"/>
      <c r="E1191" s="44"/>
      <c r="F1191" s="44"/>
      <c r="G1191" s="34" t="str">
        <f aca="false">IF(F1191&lt;&gt;"",F1191,IF(E1191="","",IFERROR(INDEX(I_Item!$C$6:$C$255,MATCH(E1191,I_Item!$A$6:$A$255,0)),"KODE BARU")))</f>
        <v/>
      </c>
      <c r="H1191" s="45"/>
      <c r="I1191" s="42"/>
      <c r="J1191" s="11" t="str">
        <f aca="false">IF(H1191="","",H1191*I1191)</f>
        <v/>
      </c>
      <c r="K1191" s="42"/>
      <c r="L1191" s="11" t="str">
        <f aca="false">IF(H1191="","",IF(K1191&lt;&gt;"",K1191,H1191*IFERROR(INDEX(O_Stok!$Q$6:$Q$85,MATCH(G1191,O_Stok!$A$6:$A$85,0)),0)))</f>
        <v/>
      </c>
      <c r="M1191" s="11" t="str">
        <f aca="false">IF(H1191="","",J1191-L1191)</f>
        <v/>
      </c>
      <c r="N1191" s="34" t="str">
        <f aca="false">IF(G1191="","",IFERROR(INDEX(I_Master!$B$6:$B$85,MATCH(G1191,I_Master!$A$6:$A$85,0)),"?"))</f>
        <v/>
      </c>
      <c r="O1191" s="34" t="str">
        <f aca="false">IF(G1191="","",IFERROR(INDEX(I_Master!$E$6:$E$85,MATCH(G1191,I_Master!$A$6:$A$85,0)),"?"))</f>
        <v/>
      </c>
      <c r="P1191" s="46" t="str">
        <f aca="false">IF(H1191="","",IF(OR(A1191&lt;I_Parameter!$C$5,A1191&gt;I_Parameter!$C$6),0,IF(B1191="Aktual",1,IF(AND(B1191="Order",A1191&gt;=I_Parameter!$C$4),1,0))))</f>
        <v/>
      </c>
    </row>
    <row r="1192" customFormat="false" ht="15" hidden="false" customHeight="false" outlineLevel="0" collapsed="false">
      <c r="A1192" s="37"/>
      <c r="B1192" s="44"/>
      <c r="C1192" s="44"/>
      <c r="D1192" s="44"/>
      <c r="E1192" s="44"/>
      <c r="F1192" s="44"/>
      <c r="G1192" s="34" t="str">
        <f aca="false">IF(F1192&lt;&gt;"",F1192,IF(E1192="","",IFERROR(INDEX(I_Item!$C$6:$C$255,MATCH(E1192,I_Item!$A$6:$A$255,0)),"KODE BARU")))</f>
        <v/>
      </c>
      <c r="H1192" s="45"/>
      <c r="I1192" s="42"/>
      <c r="J1192" s="11" t="str">
        <f aca="false">IF(H1192="","",H1192*I1192)</f>
        <v/>
      </c>
      <c r="K1192" s="42"/>
      <c r="L1192" s="11" t="str">
        <f aca="false">IF(H1192="","",IF(K1192&lt;&gt;"",K1192,H1192*IFERROR(INDEX(O_Stok!$Q$6:$Q$85,MATCH(G1192,O_Stok!$A$6:$A$85,0)),0)))</f>
        <v/>
      </c>
      <c r="M1192" s="11" t="str">
        <f aca="false">IF(H1192="","",J1192-L1192)</f>
        <v/>
      </c>
      <c r="N1192" s="34" t="str">
        <f aca="false">IF(G1192="","",IFERROR(INDEX(I_Master!$B$6:$B$85,MATCH(G1192,I_Master!$A$6:$A$85,0)),"?"))</f>
        <v/>
      </c>
      <c r="O1192" s="34" t="str">
        <f aca="false">IF(G1192="","",IFERROR(INDEX(I_Master!$E$6:$E$85,MATCH(G1192,I_Master!$A$6:$A$85,0)),"?"))</f>
        <v/>
      </c>
      <c r="P1192" s="46" t="str">
        <f aca="false">IF(H1192="","",IF(OR(A1192&lt;I_Parameter!$C$5,A1192&gt;I_Parameter!$C$6),0,IF(B1192="Aktual",1,IF(AND(B1192="Order",A1192&gt;=I_Parameter!$C$4),1,0))))</f>
        <v/>
      </c>
    </row>
    <row r="1193" customFormat="false" ht="15" hidden="false" customHeight="false" outlineLevel="0" collapsed="false">
      <c r="A1193" s="37"/>
      <c r="B1193" s="44"/>
      <c r="C1193" s="44"/>
      <c r="D1193" s="44"/>
      <c r="E1193" s="44"/>
      <c r="F1193" s="44"/>
      <c r="G1193" s="34" t="str">
        <f aca="false">IF(F1193&lt;&gt;"",F1193,IF(E1193="","",IFERROR(INDEX(I_Item!$C$6:$C$255,MATCH(E1193,I_Item!$A$6:$A$255,0)),"KODE BARU")))</f>
        <v/>
      </c>
      <c r="H1193" s="45"/>
      <c r="I1193" s="42"/>
      <c r="J1193" s="11" t="str">
        <f aca="false">IF(H1193="","",H1193*I1193)</f>
        <v/>
      </c>
      <c r="K1193" s="42"/>
      <c r="L1193" s="11" t="str">
        <f aca="false">IF(H1193="","",IF(K1193&lt;&gt;"",K1193,H1193*IFERROR(INDEX(O_Stok!$Q$6:$Q$85,MATCH(G1193,O_Stok!$A$6:$A$85,0)),0)))</f>
        <v/>
      </c>
      <c r="M1193" s="11" t="str">
        <f aca="false">IF(H1193="","",J1193-L1193)</f>
        <v/>
      </c>
      <c r="N1193" s="34" t="str">
        <f aca="false">IF(G1193="","",IFERROR(INDEX(I_Master!$B$6:$B$85,MATCH(G1193,I_Master!$A$6:$A$85,0)),"?"))</f>
        <v/>
      </c>
      <c r="O1193" s="34" t="str">
        <f aca="false">IF(G1193="","",IFERROR(INDEX(I_Master!$E$6:$E$85,MATCH(G1193,I_Master!$A$6:$A$85,0)),"?"))</f>
        <v/>
      </c>
      <c r="P1193" s="46" t="str">
        <f aca="false">IF(H1193="","",IF(OR(A1193&lt;I_Parameter!$C$5,A1193&gt;I_Parameter!$C$6),0,IF(B1193="Aktual",1,IF(AND(B1193="Order",A1193&gt;=I_Parameter!$C$4),1,0))))</f>
        <v/>
      </c>
    </row>
    <row r="1194" customFormat="false" ht="15" hidden="false" customHeight="false" outlineLevel="0" collapsed="false">
      <c r="A1194" s="37"/>
      <c r="B1194" s="44"/>
      <c r="C1194" s="44"/>
      <c r="D1194" s="44"/>
      <c r="E1194" s="44"/>
      <c r="F1194" s="44"/>
      <c r="G1194" s="34" t="str">
        <f aca="false">IF(F1194&lt;&gt;"",F1194,IF(E1194="","",IFERROR(INDEX(I_Item!$C$6:$C$255,MATCH(E1194,I_Item!$A$6:$A$255,0)),"KODE BARU")))</f>
        <v/>
      </c>
      <c r="H1194" s="45"/>
      <c r="I1194" s="42"/>
      <c r="J1194" s="11" t="str">
        <f aca="false">IF(H1194="","",H1194*I1194)</f>
        <v/>
      </c>
      <c r="K1194" s="42"/>
      <c r="L1194" s="11" t="str">
        <f aca="false">IF(H1194="","",IF(K1194&lt;&gt;"",K1194,H1194*IFERROR(INDEX(O_Stok!$Q$6:$Q$85,MATCH(G1194,O_Stok!$A$6:$A$85,0)),0)))</f>
        <v/>
      </c>
      <c r="M1194" s="11" t="str">
        <f aca="false">IF(H1194="","",J1194-L1194)</f>
        <v/>
      </c>
      <c r="N1194" s="34" t="str">
        <f aca="false">IF(G1194="","",IFERROR(INDEX(I_Master!$B$6:$B$85,MATCH(G1194,I_Master!$A$6:$A$85,0)),"?"))</f>
        <v/>
      </c>
      <c r="O1194" s="34" t="str">
        <f aca="false">IF(G1194="","",IFERROR(INDEX(I_Master!$E$6:$E$85,MATCH(G1194,I_Master!$A$6:$A$85,0)),"?"))</f>
        <v/>
      </c>
      <c r="P1194" s="46" t="str">
        <f aca="false">IF(H1194="","",IF(OR(A1194&lt;I_Parameter!$C$5,A1194&gt;I_Parameter!$C$6),0,IF(B1194="Aktual",1,IF(AND(B1194="Order",A1194&gt;=I_Parameter!$C$4),1,0))))</f>
        <v/>
      </c>
    </row>
    <row r="1195" customFormat="false" ht="15" hidden="false" customHeight="false" outlineLevel="0" collapsed="false">
      <c r="A1195" s="37"/>
      <c r="B1195" s="44"/>
      <c r="C1195" s="44"/>
      <c r="D1195" s="44"/>
      <c r="E1195" s="44"/>
      <c r="F1195" s="44"/>
      <c r="G1195" s="34" t="str">
        <f aca="false">IF(F1195&lt;&gt;"",F1195,IF(E1195="","",IFERROR(INDEX(I_Item!$C$6:$C$255,MATCH(E1195,I_Item!$A$6:$A$255,0)),"KODE BARU")))</f>
        <v/>
      </c>
      <c r="H1195" s="45"/>
      <c r="I1195" s="42"/>
      <c r="J1195" s="11" t="str">
        <f aca="false">IF(H1195="","",H1195*I1195)</f>
        <v/>
      </c>
      <c r="K1195" s="42"/>
      <c r="L1195" s="11" t="str">
        <f aca="false">IF(H1195="","",IF(K1195&lt;&gt;"",K1195,H1195*IFERROR(INDEX(O_Stok!$Q$6:$Q$85,MATCH(G1195,O_Stok!$A$6:$A$85,0)),0)))</f>
        <v/>
      </c>
      <c r="M1195" s="11" t="str">
        <f aca="false">IF(H1195="","",J1195-L1195)</f>
        <v/>
      </c>
      <c r="N1195" s="34" t="str">
        <f aca="false">IF(G1195="","",IFERROR(INDEX(I_Master!$B$6:$B$85,MATCH(G1195,I_Master!$A$6:$A$85,0)),"?"))</f>
        <v/>
      </c>
      <c r="O1195" s="34" t="str">
        <f aca="false">IF(G1195="","",IFERROR(INDEX(I_Master!$E$6:$E$85,MATCH(G1195,I_Master!$A$6:$A$85,0)),"?"))</f>
        <v/>
      </c>
      <c r="P1195" s="46" t="str">
        <f aca="false">IF(H1195="","",IF(OR(A1195&lt;I_Parameter!$C$5,A1195&gt;I_Parameter!$C$6),0,IF(B1195="Aktual",1,IF(AND(B1195="Order",A1195&gt;=I_Parameter!$C$4),1,0))))</f>
        <v/>
      </c>
    </row>
    <row r="1196" customFormat="false" ht="15" hidden="false" customHeight="false" outlineLevel="0" collapsed="false">
      <c r="A1196" s="37"/>
      <c r="B1196" s="44"/>
      <c r="C1196" s="44"/>
      <c r="D1196" s="44"/>
      <c r="E1196" s="44"/>
      <c r="F1196" s="44"/>
      <c r="G1196" s="34" t="str">
        <f aca="false">IF(F1196&lt;&gt;"",F1196,IF(E1196="","",IFERROR(INDEX(I_Item!$C$6:$C$255,MATCH(E1196,I_Item!$A$6:$A$255,0)),"KODE BARU")))</f>
        <v/>
      </c>
      <c r="H1196" s="45"/>
      <c r="I1196" s="42"/>
      <c r="J1196" s="11" t="str">
        <f aca="false">IF(H1196="","",H1196*I1196)</f>
        <v/>
      </c>
      <c r="K1196" s="42"/>
      <c r="L1196" s="11" t="str">
        <f aca="false">IF(H1196="","",IF(K1196&lt;&gt;"",K1196,H1196*IFERROR(INDEX(O_Stok!$Q$6:$Q$85,MATCH(G1196,O_Stok!$A$6:$A$85,0)),0)))</f>
        <v/>
      </c>
      <c r="M1196" s="11" t="str">
        <f aca="false">IF(H1196="","",J1196-L1196)</f>
        <v/>
      </c>
      <c r="N1196" s="34" t="str">
        <f aca="false">IF(G1196="","",IFERROR(INDEX(I_Master!$B$6:$B$85,MATCH(G1196,I_Master!$A$6:$A$85,0)),"?"))</f>
        <v/>
      </c>
      <c r="O1196" s="34" t="str">
        <f aca="false">IF(G1196="","",IFERROR(INDEX(I_Master!$E$6:$E$85,MATCH(G1196,I_Master!$A$6:$A$85,0)),"?"))</f>
        <v/>
      </c>
      <c r="P1196" s="46" t="str">
        <f aca="false">IF(H1196="","",IF(OR(A1196&lt;I_Parameter!$C$5,A1196&gt;I_Parameter!$C$6),0,IF(B1196="Aktual",1,IF(AND(B1196="Order",A1196&gt;=I_Parameter!$C$4),1,0))))</f>
        <v/>
      </c>
    </row>
    <row r="1197" customFormat="false" ht="15" hidden="false" customHeight="false" outlineLevel="0" collapsed="false">
      <c r="A1197" s="37"/>
      <c r="B1197" s="44"/>
      <c r="C1197" s="44"/>
      <c r="D1197" s="44"/>
      <c r="E1197" s="44"/>
      <c r="F1197" s="44"/>
      <c r="G1197" s="34" t="str">
        <f aca="false">IF(F1197&lt;&gt;"",F1197,IF(E1197="","",IFERROR(INDEX(I_Item!$C$6:$C$255,MATCH(E1197,I_Item!$A$6:$A$255,0)),"KODE BARU")))</f>
        <v/>
      </c>
      <c r="H1197" s="45"/>
      <c r="I1197" s="42"/>
      <c r="J1197" s="11" t="str">
        <f aca="false">IF(H1197="","",H1197*I1197)</f>
        <v/>
      </c>
      <c r="K1197" s="42"/>
      <c r="L1197" s="11" t="str">
        <f aca="false">IF(H1197="","",IF(K1197&lt;&gt;"",K1197,H1197*IFERROR(INDEX(O_Stok!$Q$6:$Q$85,MATCH(G1197,O_Stok!$A$6:$A$85,0)),0)))</f>
        <v/>
      </c>
      <c r="M1197" s="11" t="str">
        <f aca="false">IF(H1197="","",J1197-L1197)</f>
        <v/>
      </c>
      <c r="N1197" s="34" t="str">
        <f aca="false">IF(G1197="","",IFERROR(INDEX(I_Master!$B$6:$B$85,MATCH(G1197,I_Master!$A$6:$A$85,0)),"?"))</f>
        <v/>
      </c>
      <c r="O1197" s="34" t="str">
        <f aca="false">IF(G1197="","",IFERROR(INDEX(I_Master!$E$6:$E$85,MATCH(G1197,I_Master!$A$6:$A$85,0)),"?"))</f>
        <v/>
      </c>
      <c r="P1197" s="46" t="str">
        <f aca="false">IF(H1197="","",IF(OR(A1197&lt;I_Parameter!$C$5,A1197&gt;I_Parameter!$C$6),0,IF(B1197="Aktual",1,IF(AND(B1197="Order",A1197&gt;=I_Parameter!$C$4),1,0))))</f>
        <v/>
      </c>
    </row>
    <row r="1198" customFormat="false" ht="15" hidden="false" customHeight="false" outlineLevel="0" collapsed="false">
      <c r="A1198" s="37"/>
      <c r="B1198" s="44"/>
      <c r="C1198" s="44"/>
      <c r="D1198" s="44"/>
      <c r="E1198" s="44"/>
      <c r="F1198" s="44"/>
      <c r="G1198" s="34" t="str">
        <f aca="false">IF(F1198&lt;&gt;"",F1198,IF(E1198="","",IFERROR(INDEX(I_Item!$C$6:$C$255,MATCH(E1198,I_Item!$A$6:$A$255,0)),"KODE BARU")))</f>
        <v/>
      </c>
      <c r="H1198" s="45"/>
      <c r="I1198" s="42"/>
      <c r="J1198" s="11" t="str">
        <f aca="false">IF(H1198="","",H1198*I1198)</f>
        <v/>
      </c>
      <c r="K1198" s="42"/>
      <c r="L1198" s="11" t="str">
        <f aca="false">IF(H1198="","",IF(K1198&lt;&gt;"",K1198,H1198*IFERROR(INDEX(O_Stok!$Q$6:$Q$85,MATCH(G1198,O_Stok!$A$6:$A$85,0)),0)))</f>
        <v/>
      </c>
      <c r="M1198" s="11" t="str">
        <f aca="false">IF(H1198="","",J1198-L1198)</f>
        <v/>
      </c>
      <c r="N1198" s="34" t="str">
        <f aca="false">IF(G1198="","",IFERROR(INDEX(I_Master!$B$6:$B$85,MATCH(G1198,I_Master!$A$6:$A$85,0)),"?"))</f>
        <v/>
      </c>
      <c r="O1198" s="34" t="str">
        <f aca="false">IF(G1198="","",IFERROR(INDEX(I_Master!$E$6:$E$85,MATCH(G1198,I_Master!$A$6:$A$85,0)),"?"))</f>
        <v/>
      </c>
      <c r="P1198" s="46" t="str">
        <f aca="false">IF(H1198="","",IF(OR(A1198&lt;I_Parameter!$C$5,A1198&gt;I_Parameter!$C$6),0,IF(B1198="Aktual",1,IF(AND(B1198="Order",A1198&gt;=I_Parameter!$C$4),1,0))))</f>
        <v/>
      </c>
    </row>
    <row r="1199" customFormat="false" ht="15" hidden="false" customHeight="false" outlineLevel="0" collapsed="false">
      <c r="A1199" s="37"/>
      <c r="B1199" s="44"/>
      <c r="C1199" s="44"/>
      <c r="D1199" s="44"/>
      <c r="E1199" s="44"/>
      <c r="F1199" s="44"/>
      <c r="G1199" s="34" t="str">
        <f aca="false">IF(F1199&lt;&gt;"",F1199,IF(E1199="","",IFERROR(INDEX(I_Item!$C$6:$C$255,MATCH(E1199,I_Item!$A$6:$A$255,0)),"KODE BARU")))</f>
        <v/>
      </c>
      <c r="H1199" s="45"/>
      <c r="I1199" s="42"/>
      <c r="J1199" s="11" t="str">
        <f aca="false">IF(H1199="","",H1199*I1199)</f>
        <v/>
      </c>
      <c r="K1199" s="42"/>
      <c r="L1199" s="11" t="str">
        <f aca="false">IF(H1199="","",IF(K1199&lt;&gt;"",K1199,H1199*IFERROR(INDEX(O_Stok!$Q$6:$Q$85,MATCH(G1199,O_Stok!$A$6:$A$85,0)),0)))</f>
        <v/>
      </c>
      <c r="M1199" s="11" t="str">
        <f aca="false">IF(H1199="","",J1199-L1199)</f>
        <v/>
      </c>
      <c r="N1199" s="34" t="str">
        <f aca="false">IF(G1199="","",IFERROR(INDEX(I_Master!$B$6:$B$85,MATCH(G1199,I_Master!$A$6:$A$85,0)),"?"))</f>
        <v/>
      </c>
      <c r="O1199" s="34" t="str">
        <f aca="false">IF(G1199="","",IFERROR(INDEX(I_Master!$E$6:$E$85,MATCH(G1199,I_Master!$A$6:$A$85,0)),"?"))</f>
        <v/>
      </c>
      <c r="P1199" s="46" t="str">
        <f aca="false">IF(H1199="","",IF(OR(A1199&lt;I_Parameter!$C$5,A1199&gt;I_Parameter!$C$6),0,IF(B1199="Aktual",1,IF(AND(B1199="Order",A1199&gt;=I_Parameter!$C$4),1,0))))</f>
        <v/>
      </c>
    </row>
    <row r="1200" customFormat="false" ht="15" hidden="false" customHeight="false" outlineLevel="0" collapsed="false">
      <c r="A1200" s="37"/>
      <c r="B1200" s="44"/>
      <c r="C1200" s="44"/>
      <c r="D1200" s="44"/>
      <c r="E1200" s="44"/>
      <c r="F1200" s="44"/>
      <c r="G1200" s="34" t="str">
        <f aca="false">IF(F1200&lt;&gt;"",F1200,IF(E1200="","",IFERROR(INDEX(I_Item!$C$6:$C$255,MATCH(E1200,I_Item!$A$6:$A$255,0)),"KODE BARU")))</f>
        <v/>
      </c>
      <c r="H1200" s="45"/>
      <c r="I1200" s="42"/>
      <c r="J1200" s="11" t="str">
        <f aca="false">IF(H1200="","",H1200*I1200)</f>
        <v/>
      </c>
      <c r="K1200" s="42"/>
      <c r="L1200" s="11" t="str">
        <f aca="false">IF(H1200="","",IF(K1200&lt;&gt;"",K1200,H1200*IFERROR(INDEX(O_Stok!$Q$6:$Q$85,MATCH(G1200,O_Stok!$A$6:$A$85,0)),0)))</f>
        <v/>
      </c>
      <c r="M1200" s="11" t="str">
        <f aca="false">IF(H1200="","",J1200-L1200)</f>
        <v/>
      </c>
      <c r="N1200" s="34" t="str">
        <f aca="false">IF(G1200="","",IFERROR(INDEX(I_Master!$B$6:$B$85,MATCH(G1200,I_Master!$A$6:$A$85,0)),"?"))</f>
        <v/>
      </c>
      <c r="O1200" s="34" t="str">
        <f aca="false">IF(G1200="","",IFERROR(INDEX(I_Master!$E$6:$E$85,MATCH(G1200,I_Master!$A$6:$A$85,0)),"?"))</f>
        <v/>
      </c>
      <c r="P1200" s="46" t="str">
        <f aca="false">IF(H1200="","",IF(OR(A1200&lt;I_Parameter!$C$5,A1200&gt;I_Parameter!$C$6),0,IF(B1200="Aktual",1,IF(AND(B1200="Order",A1200&gt;=I_Parameter!$C$4),1,0))))</f>
        <v/>
      </c>
    </row>
    <row r="1201" customFormat="false" ht="15" hidden="false" customHeight="false" outlineLevel="0" collapsed="false">
      <c r="A1201" s="37"/>
      <c r="B1201" s="44"/>
      <c r="C1201" s="44"/>
      <c r="D1201" s="44"/>
      <c r="E1201" s="44"/>
      <c r="F1201" s="44"/>
      <c r="G1201" s="34" t="str">
        <f aca="false">IF(F1201&lt;&gt;"",F1201,IF(E1201="","",IFERROR(INDEX(I_Item!$C$6:$C$255,MATCH(E1201,I_Item!$A$6:$A$255,0)),"KODE BARU")))</f>
        <v/>
      </c>
      <c r="H1201" s="45"/>
      <c r="I1201" s="42"/>
      <c r="J1201" s="11" t="str">
        <f aca="false">IF(H1201="","",H1201*I1201)</f>
        <v/>
      </c>
      <c r="K1201" s="42"/>
      <c r="L1201" s="11" t="str">
        <f aca="false">IF(H1201="","",IF(K1201&lt;&gt;"",K1201,H1201*IFERROR(INDEX(O_Stok!$Q$6:$Q$85,MATCH(G1201,O_Stok!$A$6:$A$85,0)),0)))</f>
        <v/>
      </c>
      <c r="M1201" s="11" t="str">
        <f aca="false">IF(H1201="","",J1201-L1201)</f>
        <v/>
      </c>
      <c r="N1201" s="34" t="str">
        <f aca="false">IF(G1201="","",IFERROR(INDEX(I_Master!$B$6:$B$85,MATCH(G1201,I_Master!$A$6:$A$85,0)),"?"))</f>
        <v/>
      </c>
      <c r="O1201" s="34" t="str">
        <f aca="false">IF(G1201="","",IFERROR(INDEX(I_Master!$E$6:$E$85,MATCH(G1201,I_Master!$A$6:$A$85,0)),"?"))</f>
        <v/>
      </c>
      <c r="P1201" s="46" t="str">
        <f aca="false">IF(H1201="","",IF(OR(A1201&lt;I_Parameter!$C$5,A1201&gt;I_Parameter!$C$6),0,IF(B1201="Aktual",1,IF(AND(B1201="Order",A1201&gt;=I_Parameter!$C$4),1,0))))</f>
        <v/>
      </c>
    </row>
    <row r="1202" customFormat="false" ht="15" hidden="false" customHeight="false" outlineLevel="0" collapsed="false">
      <c r="A1202" s="37"/>
      <c r="B1202" s="44"/>
      <c r="C1202" s="44"/>
      <c r="D1202" s="44"/>
      <c r="E1202" s="44"/>
      <c r="F1202" s="44"/>
      <c r="G1202" s="34" t="str">
        <f aca="false">IF(F1202&lt;&gt;"",F1202,IF(E1202="","",IFERROR(INDEX(I_Item!$C$6:$C$255,MATCH(E1202,I_Item!$A$6:$A$255,0)),"KODE BARU")))</f>
        <v/>
      </c>
      <c r="H1202" s="45"/>
      <c r="I1202" s="42"/>
      <c r="J1202" s="11" t="str">
        <f aca="false">IF(H1202="","",H1202*I1202)</f>
        <v/>
      </c>
      <c r="K1202" s="42"/>
      <c r="L1202" s="11" t="str">
        <f aca="false">IF(H1202="","",IF(K1202&lt;&gt;"",K1202,H1202*IFERROR(INDEX(O_Stok!$Q$6:$Q$85,MATCH(G1202,O_Stok!$A$6:$A$85,0)),0)))</f>
        <v/>
      </c>
      <c r="M1202" s="11" t="str">
        <f aca="false">IF(H1202="","",J1202-L1202)</f>
        <v/>
      </c>
      <c r="N1202" s="34" t="str">
        <f aca="false">IF(G1202="","",IFERROR(INDEX(I_Master!$B$6:$B$85,MATCH(G1202,I_Master!$A$6:$A$85,0)),"?"))</f>
        <v/>
      </c>
      <c r="O1202" s="34" t="str">
        <f aca="false">IF(G1202="","",IFERROR(INDEX(I_Master!$E$6:$E$85,MATCH(G1202,I_Master!$A$6:$A$85,0)),"?"))</f>
        <v/>
      </c>
      <c r="P1202" s="46" t="str">
        <f aca="false">IF(H1202="","",IF(OR(A1202&lt;I_Parameter!$C$5,A1202&gt;I_Parameter!$C$6),0,IF(B1202="Aktual",1,IF(AND(B1202="Order",A1202&gt;=I_Parameter!$C$4),1,0))))</f>
        <v/>
      </c>
    </row>
    <row r="1203" customFormat="false" ht="15" hidden="false" customHeight="false" outlineLevel="0" collapsed="false">
      <c r="A1203" s="37"/>
      <c r="B1203" s="44"/>
      <c r="C1203" s="44"/>
      <c r="D1203" s="44"/>
      <c r="E1203" s="44"/>
      <c r="F1203" s="44"/>
      <c r="G1203" s="34" t="str">
        <f aca="false">IF(F1203&lt;&gt;"",F1203,IF(E1203="","",IFERROR(INDEX(I_Item!$C$6:$C$255,MATCH(E1203,I_Item!$A$6:$A$255,0)),"KODE BARU")))</f>
        <v/>
      </c>
      <c r="H1203" s="45"/>
      <c r="I1203" s="42"/>
      <c r="J1203" s="11" t="str">
        <f aca="false">IF(H1203="","",H1203*I1203)</f>
        <v/>
      </c>
      <c r="K1203" s="42"/>
      <c r="L1203" s="11" t="str">
        <f aca="false">IF(H1203="","",IF(K1203&lt;&gt;"",K1203,H1203*IFERROR(INDEX(O_Stok!$Q$6:$Q$85,MATCH(G1203,O_Stok!$A$6:$A$85,0)),0)))</f>
        <v/>
      </c>
      <c r="M1203" s="11" t="str">
        <f aca="false">IF(H1203="","",J1203-L1203)</f>
        <v/>
      </c>
      <c r="N1203" s="34" t="str">
        <f aca="false">IF(G1203="","",IFERROR(INDEX(I_Master!$B$6:$B$85,MATCH(G1203,I_Master!$A$6:$A$85,0)),"?"))</f>
        <v/>
      </c>
      <c r="O1203" s="34" t="str">
        <f aca="false">IF(G1203="","",IFERROR(INDEX(I_Master!$E$6:$E$85,MATCH(G1203,I_Master!$A$6:$A$85,0)),"?"))</f>
        <v/>
      </c>
      <c r="P1203" s="46" t="str">
        <f aca="false">IF(H1203="","",IF(OR(A1203&lt;I_Parameter!$C$5,A1203&gt;I_Parameter!$C$6),0,IF(B1203="Aktual",1,IF(AND(B1203="Order",A1203&gt;=I_Parameter!$C$4),1,0))))</f>
        <v/>
      </c>
    </row>
    <row r="1204" customFormat="false" ht="15" hidden="false" customHeight="false" outlineLevel="0" collapsed="false">
      <c r="A1204" s="37"/>
      <c r="B1204" s="44"/>
      <c r="C1204" s="44"/>
      <c r="D1204" s="44"/>
      <c r="E1204" s="44"/>
      <c r="F1204" s="44"/>
      <c r="G1204" s="34" t="str">
        <f aca="false">IF(F1204&lt;&gt;"",F1204,IF(E1204="","",IFERROR(INDEX(I_Item!$C$6:$C$255,MATCH(E1204,I_Item!$A$6:$A$255,0)),"KODE BARU")))</f>
        <v/>
      </c>
      <c r="H1204" s="45"/>
      <c r="I1204" s="42"/>
      <c r="J1204" s="11" t="str">
        <f aca="false">IF(H1204="","",H1204*I1204)</f>
        <v/>
      </c>
      <c r="K1204" s="42"/>
      <c r="L1204" s="11" t="str">
        <f aca="false">IF(H1204="","",IF(K1204&lt;&gt;"",K1204,H1204*IFERROR(INDEX(O_Stok!$Q$6:$Q$85,MATCH(G1204,O_Stok!$A$6:$A$85,0)),0)))</f>
        <v/>
      </c>
      <c r="M1204" s="11" t="str">
        <f aca="false">IF(H1204="","",J1204-L1204)</f>
        <v/>
      </c>
      <c r="N1204" s="34" t="str">
        <f aca="false">IF(G1204="","",IFERROR(INDEX(I_Master!$B$6:$B$85,MATCH(G1204,I_Master!$A$6:$A$85,0)),"?"))</f>
        <v/>
      </c>
      <c r="O1204" s="34" t="str">
        <f aca="false">IF(G1204="","",IFERROR(INDEX(I_Master!$E$6:$E$85,MATCH(G1204,I_Master!$A$6:$A$85,0)),"?"))</f>
        <v/>
      </c>
      <c r="P1204" s="46" t="str">
        <f aca="false">IF(H1204="","",IF(OR(A1204&lt;I_Parameter!$C$5,A1204&gt;I_Parameter!$C$6),0,IF(B1204="Aktual",1,IF(AND(B1204="Order",A1204&gt;=I_Parameter!$C$4),1,0))))</f>
        <v/>
      </c>
    </row>
    <row r="1205" customFormat="false" ht="15" hidden="false" customHeight="false" outlineLevel="0" collapsed="false">
      <c r="A1205" s="37"/>
      <c r="B1205" s="44"/>
      <c r="C1205" s="44"/>
      <c r="D1205" s="44"/>
      <c r="E1205" s="44"/>
      <c r="F1205" s="44"/>
      <c r="G1205" s="34" t="str">
        <f aca="false">IF(F1205&lt;&gt;"",F1205,IF(E1205="","",IFERROR(INDEX(I_Item!$C$6:$C$255,MATCH(E1205,I_Item!$A$6:$A$255,0)),"KODE BARU")))</f>
        <v/>
      </c>
      <c r="H1205" s="45"/>
      <c r="I1205" s="42"/>
      <c r="J1205" s="11" t="str">
        <f aca="false">IF(H1205="","",H1205*I1205)</f>
        <v/>
      </c>
      <c r="K1205" s="42"/>
      <c r="L1205" s="11" t="str">
        <f aca="false">IF(H1205="","",IF(K1205&lt;&gt;"",K1205,H1205*IFERROR(INDEX(O_Stok!$Q$6:$Q$85,MATCH(G1205,O_Stok!$A$6:$A$85,0)),0)))</f>
        <v/>
      </c>
      <c r="M1205" s="11" t="str">
        <f aca="false">IF(H1205="","",J1205-L1205)</f>
        <v/>
      </c>
      <c r="N1205" s="34" t="str">
        <f aca="false">IF(G1205="","",IFERROR(INDEX(I_Master!$B$6:$B$85,MATCH(G1205,I_Master!$A$6:$A$85,0)),"?"))</f>
        <v/>
      </c>
      <c r="O1205" s="34" t="str">
        <f aca="false">IF(G1205="","",IFERROR(INDEX(I_Master!$E$6:$E$85,MATCH(G1205,I_Master!$A$6:$A$85,0)),"?"))</f>
        <v/>
      </c>
      <c r="P1205" s="46" t="str">
        <f aca="false">IF(H1205="","",IF(OR(A1205&lt;I_Parameter!$C$5,A1205&gt;I_Parameter!$C$6),0,IF(B1205="Aktual",1,IF(AND(B1205="Order",A1205&gt;=I_Parameter!$C$4),1,0))))</f>
        <v/>
      </c>
    </row>
    <row r="1206" customFormat="false" ht="15" hidden="false" customHeight="false" outlineLevel="0" collapsed="false">
      <c r="A1206" s="37"/>
      <c r="B1206" s="44"/>
      <c r="C1206" s="44"/>
      <c r="D1206" s="44"/>
      <c r="E1206" s="44"/>
      <c r="F1206" s="44"/>
      <c r="G1206" s="34" t="str">
        <f aca="false">IF(F1206&lt;&gt;"",F1206,IF(E1206="","",IFERROR(INDEX(I_Item!$C$6:$C$255,MATCH(E1206,I_Item!$A$6:$A$255,0)),"KODE BARU")))</f>
        <v/>
      </c>
      <c r="H1206" s="45"/>
      <c r="I1206" s="42"/>
      <c r="J1206" s="11" t="str">
        <f aca="false">IF(H1206="","",H1206*I1206)</f>
        <v/>
      </c>
      <c r="K1206" s="42"/>
      <c r="L1206" s="11" t="str">
        <f aca="false">IF(H1206="","",IF(K1206&lt;&gt;"",K1206,H1206*IFERROR(INDEX(O_Stok!$Q$6:$Q$85,MATCH(G1206,O_Stok!$A$6:$A$85,0)),0)))</f>
        <v/>
      </c>
      <c r="M1206" s="11" t="str">
        <f aca="false">IF(H1206="","",J1206-L1206)</f>
        <v/>
      </c>
      <c r="N1206" s="34" t="str">
        <f aca="false">IF(G1206="","",IFERROR(INDEX(I_Master!$B$6:$B$85,MATCH(G1206,I_Master!$A$6:$A$85,0)),"?"))</f>
        <v/>
      </c>
      <c r="O1206" s="34" t="str">
        <f aca="false">IF(G1206="","",IFERROR(INDEX(I_Master!$E$6:$E$85,MATCH(G1206,I_Master!$A$6:$A$85,0)),"?"))</f>
        <v/>
      </c>
      <c r="P1206" s="46" t="str">
        <f aca="false">IF(H1206="","",IF(OR(A1206&lt;I_Parameter!$C$5,A1206&gt;I_Parameter!$C$6),0,IF(B1206="Aktual",1,IF(AND(B1206="Order",A1206&gt;=I_Parameter!$C$4),1,0))))</f>
        <v/>
      </c>
    </row>
    <row r="1207" customFormat="false" ht="15" hidden="false" customHeight="false" outlineLevel="0" collapsed="false">
      <c r="A1207" s="37"/>
      <c r="B1207" s="44"/>
      <c r="C1207" s="44"/>
      <c r="D1207" s="44"/>
      <c r="E1207" s="44"/>
      <c r="F1207" s="44"/>
      <c r="G1207" s="34" t="str">
        <f aca="false">IF(F1207&lt;&gt;"",F1207,IF(E1207="","",IFERROR(INDEX(I_Item!$C$6:$C$255,MATCH(E1207,I_Item!$A$6:$A$255,0)),"KODE BARU")))</f>
        <v/>
      </c>
      <c r="H1207" s="45"/>
      <c r="I1207" s="42"/>
      <c r="J1207" s="11" t="str">
        <f aca="false">IF(H1207="","",H1207*I1207)</f>
        <v/>
      </c>
      <c r="K1207" s="42"/>
      <c r="L1207" s="11" t="str">
        <f aca="false">IF(H1207="","",IF(K1207&lt;&gt;"",K1207,H1207*IFERROR(INDEX(O_Stok!$Q$6:$Q$85,MATCH(G1207,O_Stok!$A$6:$A$85,0)),0)))</f>
        <v/>
      </c>
      <c r="M1207" s="11" t="str">
        <f aca="false">IF(H1207="","",J1207-L1207)</f>
        <v/>
      </c>
      <c r="N1207" s="34" t="str">
        <f aca="false">IF(G1207="","",IFERROR(INDEX(I_Master!$B$6:$B$85,MATCH(G1207,I_Master!$A$6:$A$85,0)),"?"))</f>
        <v/>
      </c>
      <c r="O1207" s="34" t="str">
        <f aca="false">IF(G1207="","",IFERROR(INDEX(I_Master!$E$6:$E$85,MATCH(G1207,I_Master!$A$6:$A$85,0)),"?"))</f>
        <v/>
      </c>
      <c r="P1207" s="46" t="str">
        <f aca="false">IF(H1207="","",IF(OR(A1207&lt;I_Parameter!$C$5,A1207&gt;I_Parameter!$C$6),0,IF(B1207="Aktual",1,IF(AND(B1207="Order",A1207&gt;=I_Parameter!$C$4),1,0))))</f>
        <v/>
      </c>
    </row>
    <row r="1208" customFormat="false" ht="15" hidden="false" customHeight="false" outlineLevel="0" collapsed="false">
      <c r="A1208" s="37"/>
      <c r="B1208" s="44"/>
      <c r="C1208" s="44"/>
      <c r="D1208" s="44"/>
      <c r="E1208" s="44"/>
      <c r="F1208" s="44"/>
      <c r="G1208" s="34" t="str">
        <f aca="false">IF(F1208&lt;&gt;"",F1208,IF(E1208="","",IFERROR(INDEX(I_Item!$C$6:$C$255,MATCH(E1208,I_Item!$A$6:$A$255,0)),"KODE BARU")))</f>
        <v/>
      </c>
      <c r="H1208" s="45"/>
      <c r="I1208" s="42"/>
      <c r="J1208" s="11" t="str">
        <f aca="false">IF(H1208="","",H1208*I1208)</f>
        <v/>
      </c>
      <c r="K1208" s="42"/>
      <c r="L1208" s="11" t="str">
        <f aca="false">IF(H1208="","",IF(K1208&lt;&gt;"",K1208,H1208*IFERROR(INDEX(O_Stok!$Q$6:$Q$85,MATCH(G1208,O_Stok!$A$6:$A$85,0)),0)))</f>
        <v/>
      </c>
      <c r="M1208" s="11" t="str">
        <f aca="false">IF(H1208="","",J1208-L1208)</f>
        <v/>
      </c>
      <c r="N1208" s="34" t="str">
        <f aca="false">IF(G1208="","",IFERROR(INDEX(I_Master!$B$6:$B$85,MATCH(G1208,I_Master!$A$6:$A$85,0)),"?"))</f>
        <v/>
      </c>
      <c r="O1208" s="34" t="str">
        <f aca="false">IF(G1208="","",IFERROR(INDEX(I_Master!$E$6:$E$85,MATCH(G1208,I_Master!$A$6:$A$85,0)),"?"))</f>
        <v/>
      </c>
      <c r="P1208" s="46" t="str">
        <f aca="false">IF(H1208="","",IF(OR(A1208&lt;I_Parameter!$C$5,A1208&gt;I_Parameter!$C$6),0,IF(B1208="Aktual",1,IF(AND(B1208="Order",A1208&gt;=I_Parameter!$C$4),1,0))))</f>
        <v/>
      </c>
    </row>
    <row r="1209" customFormat="false" ht="15" hidden="false" customHeight="false" outlineLevel="0" collapsed="false">
      <c r="A1209" s="37"/>
      <c r="B1209" s="44"/>
      <c r="C1209" s="44"/>
      <c r="D1209" s="44"/>
      <c r="E1209" s="44"/>
      <c r="F1209" s="44"/>
      <c r="G1209" s="34" t="str">
        <f aca="false">IF(F1209&lt;&gt;"",F1209,IF(E1209="","",IFERROR(INDEX(I_Item!$C$6:$C$255,MATCH(E1209,I_Item!$A$6:$A$255,0)),"KODE BARU")))</f>
        <v/>
      </c>
      <c r="H1209" s="45"/>
      <c r="I1209" s="42"/>
      <c r="J1209" s="11" t="str">
        <f aca="false">IF(H1209="","",H1209*I1209)</f>
        <v/>
      </c>
      <c r="K1209" s="42"/>
      <c r="L1209" s="11" t="str">
        <f aca="false">IF(H1209="","",IF(K1209&lt;&gt;"",K1209,H1209*IFERROR(INDEX(O_Stok!$Q$6:$Q$85,MATCH(G1209,O_Stok!$A$6:$A$85,0)),0)))</f>
        <v/>
      </c>
      <c r="M1209" s="11" t="str">
        <f aca="false">IF(H1209="","",J1209-L1209)</f>
        <v/>
      </c>
      <c r="N1209" s="34" t="str">
        <f aca="false">IF(G1209="","",IFERROR(INDEX(I_Master!$B$6:$B$85,MATCH(G1209,I_Master!$A$6:$A$85,0)),"?"))</f>
        <v/>
      </c>
      <c r="O1209" s="34" t="str">
        <f aca="false">IF(G1209="","",IFERROR(INDEX(I_Master!$E$6:$E$85,MATCH(G1209,I_Master!$A$6:$A$85,0)),"?"))</f>
        <v/>
      </c>
      <c r="P1209" s="46" t="str">
        <f aca="false">IF(H1209="","",IF(OR(A1209&lt;I_Parameter!$C$5,A1209&gt;I_Parameter!$C$6),0,IF(B1209="Aktual",1,IF(AND(B1209="Order",A1209&gt;=I_Parameter!$C$4),1,0))))</f>
        <v/>
      </c>
    </row>
    <row r="1210" customFormat="false" ht="15" hidden="false" customHeight="false" outlineLevel="0" collapsed="false">
      <c r="A1210" s="37"/>
      <c r="B1210" s="44"/>
      <c r="C1210" s="44"/>
      <c r="D1210" s="44"/>
      <c r="E1210" s="44"/>
      <c r="F1210" s="44"/>
      <c r="G1210" s="34" t="str">
        <f aca="false">IF(F1210&lt;&gt;"",F1210,IF(E1210="","",IFERROR(INDEX(I_Item!$C$6:$C$255,MATCH(E1210,I_Item!$A$6:$A$255,0)),"KODE BARU")))</f>
        <v/>
      </c>
      <c r="H1210" s="45"/>
      <c r="I1210" s="42"/>
      <c r="J1210" s="11" t="str">
        <f aca="false">IF(H1210="","",H1210*I1210)</f>
        <v/>
      </c>
      <c r="K1210" s="42"/>
      <c r="L1210" s="11" t="str">
        <f aca="false">IF(H1210="","",IF(K1210&lt;&gt;"",K1210,H1210*IFERROR(INDEX(O_Stok!$Q$6:$Q$85,MATCH(G1210,O_Stok!$A$6:$A$85,0)),0)))</f>
        <v/>
      </c>
      <c r="M1210" s="11" t="str">
        <f aca="false">IF(H1210="","",J1210-L1210)</f>
        <v/>
      </c>
      <c r="N1210" s="34" t="str">
        <f aca="false">IF(G1210="","",IFERROR(INDEX(I_Master!$B$6:$B$85,MATCH(G1210,I_Master!$A$6:$A$85,0)),"?"))</f>
        <v/>
      </c>
      <c r="O1210" s="34" t="str">
        <f aca="false">IF(G1210="","",IFERROR(INDEX(I_Master!$E$6:$E$85,MATCH(G1210,I_Master!$A$6:$A$85,0)),"?"))</f>
        <v/>
      </c>
      <c r="P1210" s="46" t="str">
        <f aca="false">IF(H1210="","",IF(OR(A1210&lt;I_Parameter!$C$5,A1210&gt;I_Parameter!$C$6),0,IF(B1210="Aktual",1,IF(AND(B1210="Order",A1210&gt;=I_Parameter!$C$4),1,0))))</f>
        <v/>
      </c>
    </row>
    <row r="1211" customFormat="false" ht="15" hidden="false" customHeight="false" outlineLevel="0" collapsed="false">
      <c r="A1211" s="37"/>
      <c r="B1211" s="44"/>
      <c r="C1211" s="44"/>
      <c r="D1211" s="44"/>
      <c r="E1211" s="44"/>
      <c r="F1211" s="44"/>
      <c r="G1211" s="34" t="str">
        <f aca="false">IF(F1211&lt;&gt;"",F1211,IF(E1211="","",IFERROR(INDEX(I_Item!$C$6:$C$255,MATCH(E1211,I_Item!$A$6:$A$255,0)),"KODE BARU")))</f>
        <v/>
      </c>
      <c r="H1211" s="45"/>
      <c r="I1211" s="42"/>
      <c r="J1211" s="11" t="str">
        <f aca="false">IF(H1211="","",H1211*I1211)</f>
        <v/>
      </c>
      <c r="K1211" s="42"/>
      <c r="L1211" s="11" t="str">
        <f aca="false">IF(H1211="","",IF(K1211&lt;&gt;"",K1211,H1211*IFERROR(INDEX(O_Stok!$Q$6:$Q$85,MATCH(G1211,O_Stok!$A$6:$A$85,0)),0)))</f>
        <v/>
      </c>
      <c r="M1211" s="11" t="str">
        <f aca="false">IF(H1211="","",J1211-L1211)</f>
        <v/>
      </c>
      <c r="N1211" s="34" t="str">
        <f aca="false">IF(G1211="","",IFERROR(INDEX(I_Master!$B$6:$B$85,MATCH(G1211,I_Master!$A$6:$A$85,0)),"?"))</f>
        <v/>
      </c>
      <c r="O1211" s="34" t="str">
        <f aca="false">IF(G1211="","",IFERROR(INDEX(I_Master!$E$6:$E$85,MATCH(G1211,I_Master!$A$6:$A$85,0)),"?"))</f>
        <v/>
      </c>
      <c r="P1211" s="46" t="str">
        <f aca="false">IF(H1211="","",IF(OR(A1211&lt;I_Parameter!$C$5,A1211&gt;I_Parameter!$C$6),0,IF(B1211="Aktual",1,IF(AND(B1211="Order",A1211&gt;=I_Parameter!$C$4),1,0))))</f>
        <v/>
      </c>
    </row>
    <row r="1212" customFormat="false" ht="15" hidden="false" customHeight="false" outlineLevel="0" collapsed="false">
      <c r="A1212" s="37"/>
      <c r="B1212" s="44"/>
      <c r="C1212" s="44"/>
      <c r="D1212" s="44"/>
      <c r="E1212" s="44"/>
      <c r="F1212" s="44"/>
      <c r="G1212" s="34" t="str">
        <f aca="false">IF(F1212&lt;&gt;"",F1212,IF(E1212="","",IFERROR(INDEX(I_Item!$C$6:$C$255,MATCH(E1212,I_Item!$A$6:$A$255,0)),"KODE BARU")))</f>
        <v/>
      </c>
      <c r="H1212" s="45"/>
      <c r="I1212" s="42"/>
      <c r="J1212" s="11" t="str">
        <f aca="false">IF(H1212="","",H1212*I1212)</f>
        <v/>
      </c>
      <c r="K1212" s="42"/>
      <c r="L1212" s="11" t="str">
        <f aca="false">IF(H1212="","",IF(K1212&lt;&gt;"",K1212,H1212*IFERROR(INDEX(O_Stok!$Q$6:$Q$85,MATCH(G1212,O_Stok!$A$6:$A$85,0)),0)))</f>
        <v/>
      </c>
      <c r="M1212" s="11" t="str">
        <f aca="false">IF(H1212="","",J1212-L1212)</f>
        <v/>
      </c>
      <c r="N1212" s="34" t="str">
        <f aca="false">IF(G1212="","",IFERROR(INDEX(I_Master!$B$6:$B$85,MATCH(G1212,I_Master!$A$6:$A$85,0)),"?"))</f>
        <v/>
      </c>
      <c r="O1212" s="34" t="str">
        <f aca="false">IF(G1212="","",IFERROR(INDEX(I_Master!$E$6:$E$85,MATCH(G1212,I_Master!$A$6:$A$85,0)),"?"))</f>
        <v/>
      </c>
      <c r="P1212" s="46" t="str">
        <f aca="false">IF(H1212="","",IF(OR(A1212&lt;I_Parameter!$C$5,A1212&gt;I_Parameter!$C$6),0,IF(B1212="Aktual",1,IF(AND(B1212="Order",A1212&gt;=I_Parameter!$C$4),1,0))))</f>
        <v/>
      </c>
    </row>
    <row r="1213" customFormat="false" ht="15" hidden="false" customHeight="false" outlineLevel="0" collapsed="false">
      <c r="A1213" s="37"/>
      <c r="B1213" s="44"/>
      <c r="C1213" s="44"/>
      <c r="D1213" s="44"/>
      <c r="E1213" s="44"/>
      <c r="F1213" s="44"/>
      <c r="G1213" s="34" t="str">
        <f aca="false">IF(F1213&lt;&gt;"",F1213,IF(E1213="","",IFERROR(INDEX(I_Item!$C$6:$C$255,MATCH(E1213,I_Item!$A$6:$A$255,0)),"KODE BARU")))</f>
        <v/>
      </c>
      <c r="H1213" s="45"/>
      <c r="I1213" s="42"/>
      <c r="J1213" s="11" t="str">
        <f aca="false">IF(H1213="","",H1213*I1213)</f>
        <v/>
      </c>
      <c r="K1213" s="42"/>
      <c r="L1213" s="11" t="str">
        <f aca="false">IF(H1213="","",IF(K1213&lt;&gt;"",K1213,H1213*IFERROR(INDEX(O_Stok!$Q$6:$Q$85,MATCH(G1213,O_Stok!$A$6:$A$85,0)),0)))</f>
        <v/>
      </c>
      <c r="M1213" s="11" t="str">
        <f aca="false">IF(H1213="","",J1213-L1213)</f>
        <v/>
      </c>
      <c r="N1213" s="34" t="str">
        <f aca="false">IF(G1213="","",IFERROR(INDEX(I_Master!$B$6:$B$85,MATCH(G1213,I_Master!$A$6:$A$85,0)),"?"))</f>
        <v/>
      </c>
      <c r="O1213" s="34" t="str">
        <f aca="false">IF(G1213="","",IFERROR(INDEX(I_Master!$E$6:$E$85,MATCH(G1213,I_Master!$A$6:$A$85,0)),"?"))</f>
        <v/>
      </c>
      <c r="P1213" s="46" t="str">
        <f aca="false">IF(H1213="","",IF(OR(A1213&lt;I_Parameter!$C$5,A1213&gt;I_Parameter!$C$6),0,IF(B1213="Aktual",1,IF(AND(B1213="Order",A1213&gt;=I_Parameter!$C$4),1,0))))</f>
        <v/>
      </c>
    </row>
    <row r="1214" customFormat="false" ht="15" hidden="false" customHeight="false" outlineLevel="0" collapsed="false">
      <c r="A1214" s="37"/>
      <c r="B1214" s="44"/>
      <c r="C1214" s="44"/>
      <c r="D1214" s="44"/>
      <c r="E1214" s="44"/>
      <c r="F1214" s="44"/>
      <c r="G1214" s="34" t="str">
        <f aca="false">IF(F1214&lt;&gt;"",F1214,IF(E1214="","",IFERROR(INDEX(I_Item!$C$6:$C$255,MATCH(E1214,I_Item!$A$6:$A$255,0)),"KODE BARU")))</f>
        <v/>
      </c>
      <c r="H1214" s="45"/>
      <c r="I1214" s="42"/>
      <c r="J1214" s="11" t="str">
        <f aca="false">IF(H1214="","",H1214*I1214)</f>
        <v/>
      </c>
      <c r="K1214" s="42"/>
      <c r="L1214" s="11" t="str">
        <f aca="false">IF(H1214="","",IF(K1214&lt;&gt;"",K1214,H1214*IFERROR(INDEX(O_Stok!$Q$6:$Q$85,MATCH(G1214,O_Stok!$A$6:$A$85,0)),0)))</f>
        <v/>
      </c>
      <c r="M1214" s="11" t="str">
        <f aca="false">IF(H1214="","",J1214-L1214)</f>
        <v/>
      </c>
      <c r="N1214" s="34" t="str">
        <f aca="false">IF(G1214="","",IFERROR(INDEX(I_Master!$B$6:$B$85,MATCH(G1214,I_Master!$A$6:$A$85,0)),"?"))</f>
        <v/>
      </c>
      <c r="O1214" s="34" t="str">
        <f aca="false">IF(G1214="","",IFERROR(INDEX(I_Master!$E$6:$E$85,MATCH(G1214,I_Master!$A$6:$A$85,0)),"?"))</f>
        <v/>
      </c>
      <c r="P1214" s="46" t="str">
        <f aca="false">IF(H1214="","",IF(OR(A1214&lt;I_Parameter!$C$5,A1214&gt;I_Parameter!$C$6),0,IF(B1214="Aktual",1,IF(AND(B1214="Order",A1214&gt;=I_Parameter!$C$4),1,0))))</f>
        <v/>
      </c>
    </row>
    <row r="1215" customFormat="false" ht="15" hidden="false" customHeight="false" outlineLevel="0" collapsed="false">
      <c r="A1215" s="37"/>
      <c r="B1215" s="44"/>
      <c r="C1215" s="44"/>
      <c r="D1215" s="44"/>
      <c r="E1215" s="44"/>
      <c r="F1215" s="44"/>
      <c r="G1215" s="34" t="str">
        <f aca="false">IF(F1215&lt;&gt;"",F1215,IF(E1215="","",IFERROR(INDEX(I_Item!$C$6:$C$255,MATCH(E1215,I_Item!$A$6:$A$255,0)),"KODE BARU")))</f>
        <v/>
      </c>
      <c r="H1215" s="45"/>
      <c r="I1215" s="42"/>
      <c r="J1215" s="11" t="str">
        <f aca="false">IF(H1215="","",H1215*I1215)</f>
        <v/>
      </c>
      <c r="K1215" s="42"/>
      <c r="L1215" s="11" t="str">
        <f aca="false">IF(H1215="","",IF(K1215&lt;&gt;"",K1215,H1215*IFERROR(INDEX(O_Stok!$Q$6:$Q$85,MATCH(G1215,O_Stok!$A$6:$A$85,0)),0)))</f>
        <v/>
      </c>
      <c r="M1215" s="11" t="str">
        <f aca="false">IF(H1215="","",J1215-L1215)</f>
        <v/>
      </c>
      <c r="N1215" s="34" t="str">
        <f aca="false">IF(G1215="","",IFERROR(INDEX(I_Master!$B$6:$B$85,MATCH(G1215,I_Master!$A$6:$A$85,0)),"?"))</f>
        <v/>
      </c>
      <c r="O1215" s="34" t="str">
        <f aca="false">IF(G1215="","",IFERROR(INDEX(I_Master!$E$6:$E$85,MATCH(G1215,I_Master!$A$6:$A$85,0)),"?"))</f>
        <v/>
      </c>
      <c r="P1215" s="46" t="str">
        <f aca="false">IF(H1215="","",IF(OR(A1215&lt;I_Parameter!$C$5,A1215&gt;I_Parameter!$C$6),0,IF(B1215="Aktual",1,IF(AND(B1215="Order",A1215&gt;=I_Parameter!$C$4),1,0))))</f>
        <v/>
      </c>
    </row>
    <row r="1216" customFormat="false" ht="15" hidden="false" customHeight="false" outlineLevel="0" collapsed="false">
      <c r="A1216" s="37"/>
      <c r="B1216" s="44"/>
      <c r="C1216" s="44"/>
      <c r="D1216" s="44"/>
      <c r="E1216" s="44"/>
      <c r="F1216" s="44"/>
      <c r="G1216" s="34" t="str">
        <f aca="false">IF(F1216&lt;&gt;"",F1216,IF(E1216="","",IFERROR(INDEX(I_Item!$C$6:$C$255,MATCH(E1216,I_Item!$A$6:$A$255,0)),"KODE BARU")))</f>
        <v/>
      </c>
      <c r="H1216" s="45"/>
      <c r="I1216" s="42"/>
      <c r="J1216" s="11" t="str">
        <f aca="false">IF(H1216="","",H1216*I1216)</f>
        <v/>
      </c>
      <c r="K1216" s="42"/>
      <c r="L1216" s="11" t="str">
        <f aca="false">IF(H1216="","",IF(K1216&lt;&gt;"",K1216,H1216*IFERROR(INDEX(O_Stok!$Q$6:$Q$85,MATCH(G1216,O_Stok!$A$6:$A$85,0)),0)))</f>
        <v/>
      </c>
      <c r="M1216" s="11" t="str">
        <f aca="false">IF(H1216="","",J1216-L1216)</f>
        <v/>
      </c>
      <c r="N1216" s="34" t="str">
        <f aca="false">IF(G1216="","",IFERROR(INDEX(I_Master!$B$6:$B$85,MATCH(G1216,I_Master!$A$6:$A$85,0)),"?"))</f>
        <v/>
      </c>
      <c r="O1216" s="34" t="str">
        <f aca="false">IF(G1216="","",IFERROR(INDEX(I_Master!$E$6:$E$85,MATCH(G1216,I_Master!$A$6:$A$85,0)),"?"))</f>
        <v/>
      </c>
      <c r="P1216" s="46" t="str">
        <f aca="false">IF(H1216="","",IF(OR(A1216&lt;I_Parameter!$C$5,A1216&gt;I_Parameter!$C$6),0,IF(B1216="Aktual",1,IF(AND(B1216="Order",A1216&gt;=I_Parameter!$C$4),1,0))))</f>
        <v/>
      </c>
    </row>
    <row r="1217" customFormat="false" ht="15" hidden="false" customHeight="false" outlineLevel="0" collapsed="false">
      <c r="A1217" s="37"/>
      <c r="B1217" s="44"/>
      <c r="C1217" s="44"/>
      <c r="D1217" s="44"/>
      <c r="E1217" s="44"/>
      <c r="F1217" s="44"/>
      <c r="G1217" s="34" t="str">
        <f aca="false">IF(F1217&lt;&gt;"",F1217,IF(E1217="","",IFERROR(INDEX(I_Item!$C$6:$C$255,MATCH(E1217,I_Item!$A$6:$A$255,0)),"KODE BARU")))</f>
        <v/>
      </c>
      <c r="H1217" s="45"/>
      <c r="I1217" s="42"/>
      <c r="J1217" s="11" t="str">
        <f aca="false">IF(H1217="","",H1217*I1217)</f>
        <v/>
      </c>
      <c r="K1217" s="42"/>
      <c r="L1217" s="11" t="str">
        <f aca="false">IF(H1217="","",IF(K1217&lt;&gt;"",K1217,H1217*IFERROR(INDEX(O_Stok!$Q$6:$Q$85,MATCH(G1217,O_Stok!$A$6:$A$85,0)),0)))</f>
        <v/>
      </c>
      <c r="M1217" s="11" t="str">
        <f aca="false">IF(H1217="","",J1217-L1217)</f>
        <v/>
      </c>
      <c r="N1217" s="34" t="str">
        <f aca="false">IF(G1217="","",IFERROR(INDEX(I_Master!$B$6:$B$85,MATCH(G1217,I_Master!$A$6:$A$85,0)),"?"))</f>
        <v/>
      </c>
      <c r="O1217" s="34" t="str">
        <f aca="false">IF(G1217="","",IFERROR(INDEX(I_Master!$E$6:$E$85,MATCH(G1217,I_Master!$A$6:$A$85,0)),"?"))</f>
        <v/>
      </c>
      <c r="P1217" s="46" t="str">
        <f aca="false">IF(H1217="","",IF(OR(A1217&lt;I_Parameter!$C$5,A1217&gt;I_Parameter!$C$6),0,IF(B1217="Aktual",1,IF(AND(B1217="Order",A1217&gt;=I_Parameter!$C$4),1,0))))</f>
        <v/>
      </c>
    </row>
    <row r="1218" customFormat="false" ht="15" hidden="false" customHeight="false" outlineLevel="0" collapsed="false">
      <c r="A1218" s="37"/>
      <c r="B1218" s="44"/>
      <c r="C1218" s="44"/>
      <c r="D1218" s="44"/>
      <c r="E1218" s="44"/>
      <c r="F1218" s="44"/>
      <c r="G1218" s="34" t="str">
        <f aca="false">IF(F1218&lt;&gt;"",F1218,IF(E1218="","",IFERROR(INDEX(I_Item!$C$6:$C$255,MATCH(E1218,I_Item!$A$6:$A$255,0)),"KODE BARU")))</f>
        <v/>
      </c>
      <c r="H1218" s="45"/>
      <c r="I1218" s="42"/>
      <c r="J1218" s="11" t="str">
        <f aca="false">IF(H1218="","",H1218*I1218)</f>
        <v/>
      </c>
      <c r="K1218" s="42"/>
      <c r="L1218" s="11" t="str">
        <f aca="false">IF(H1218="","",IF(K1218&lt;&gt;"",K1218,H1218*IFERROR(INDEX(O_Stok!$Q$6:$Q$85,MATCH(G1218,O_Stok!$A$6:$A$85,0)),0)))</f>
        <v/>
      </c>
      <c r="M1218" s="11" t="str">
        <f aca="false">IF(H1218="","",J1218-L1218)</f>
        <v/>
      </c>
      <c r="N1218" s="34" t="str">
        <f aca="false">IF(G1218="","",IFERROR(INDEX(I_Master!$B$6:$B$85,MATCH(G1218,I_Master!$A$6:$A$85,0)),"?"))</f>
        <v/>
      </c>
      <c r="O1218" s="34" t="str">
        <f aca="false">IF(G1218="","",IFERROR(INDEX(I_Master!$E$6:$E$85,MATCH(G1218,I_Master!$A$6:$A$85,0)),"?"))</f>
        <v/>
      </c>
      <c r="P1218" s="46" t="str">
        <f aca="false">IF(H1218="","",IF(OR(A1218&lt;I_Parameter!$C$5,A1218&gt;I_Parameter!$C$6),0,IF(B1218="Aktual",1,IF(AND(B1218="Order",A1218&gt;=I_Parameter!$C$4),1,0))))</f>
        <v/>
      </c>
    </row>
    <row r="1219" customFormat="false" ht="15" hidden="false" customHeight="false" outlineLevel="0" collapsed="false">
      <c r="A1219" s="37"/>
      <c r="B1219" s="44"/>
      <c r="C1219" s="44"/>
      <c r="D1219" s="44"/>
      <c r="E1219" s="44"/>
      <c r="F1219" s="44"/>
      <c r="G1219" s="34" t="str">
        <f aca="false">IF(F1219&lt;&gt;"",F1219,IF(E1219="","",IFERROR(INDEX(I_Item!$C$6:$C$255,MATCH(E1219,I_Item!$A$6:$A$255,0)),"KODE BARU")))</f>
        <v/>
      </c>
      <c r="H1219" s="45"/>
      <c r="I1219" s="42"/>
      <c r="J1219" s="11" t="str">
        <f aca="false">IF(H1219="","",H1219*I1219)</f>
        <v/>
      </c>
      <c r="K1219" s="42"/>
      <c r="L1219" s="11" t="str">
        <f aca="false">IF(H1219="","",IF(K1219&lt;&gt;"",K1219,H1219*IFERROR(INDEX(O_Stok!$Q$6:$Q$85,MATCH(G1219,O_Stok!$A$6:$A$85,0)),0)))</f>
        <v/>
      </c>
      <c r="M1219" s="11" t="str">
        <f aca="false">IF(H1219="","",J1219-L1219)</f>
        <v/>
      </c>
      <c r="N1219" s="34" t="str">
        <f aca="false">IF(G1219="","",IFERROR(INDEX(I_Master!$B$6:$B$85,MATCH(G1219,I_Master!$A$6:$A$85,0)),"?"))</f>
        <v/>
      </c>
      <c r="O1219" s="34" t="str">
        <f aca="false">IF(G1219="","",IFERROR(INDEX(I_Master!$E$6:$E$85,MATCH(G1219,I_Master!$A$6:$A$85,0)),"?"))</f>
        <v/>
      </c>
      <c r="P1219" s="46" t="str">
        <f aca="false">IF(H1219="","",IF(OR(A1219&lt;I_Parameter!$C$5,A1219&gt;I_Parameter!$C$6),0,IF(B1219="Aktual",1,IF(AND(B1219="Order",A1219&gt;=I_Parameter!$C$4),1,0))))</f>
        <v/>
      </c>
    </row>
    <row r="1220" customFormat="false" ht="15" hidden="false" customHeight="false" outlineLevel="0" collapsed="false">
      <c r="A1220" s="37"/>
      <c r="B1220" s="44"/>
      <c r="C1220" s="44"/>
      <c r="D1220" s="44"/>
      <c r="E1220" s="44"/>
      <c r="F1220" s="44"/>
      <c r="G1220" s="34" t="str">
        <f aca="false">IF(F1220&lt;&gt;"",F1220,IF(E1220="","",IFERROR(INDEX(I_Item!$C$6:$C$255,MATCH(E1220,I_Item!$A$6:$A$255,0)),"KODE BARU")))</f>
        <v/>
      </c>
      <c r="H1220" s="45"/>
      <c r="I1220" s="42"/>
      <c r="J1220" s="11" t="str">
        <f aca="false">IF(H1220="","",H1220*I1220)</f>
        <v/>
      </c>
      <c r="K1220" s="42"/>
      <c r="L1220" s="11" t="str">
        <f aca="false">IF(H1220="","",IF(K1220&lt;&gt;"",K1220,H1220*IFERROR(INDEX(O_Stok!$Q$6:$Q$85,MATCH(G1220,O_Stok!$A$6:$A$85,0)),0)))</f>
        <v/>
      </c>
      <c r="M1220" s="11" t="str">
        <f aca="false">IF(H1220="","",J1220-L1220)</f>
        <v/>
      </c>
      <c r="N1220" s="34" t="str">
        <f aca="false">IF(G1220="","",IFERROR(INDEX(I_Master!$B$6:$B$85,MATCH(G1220,I_Master!$A$6:$A$85,0)),"?"))</f>
        <v/>
      </c>
      <c r="O1220" s="34" t="str">
        <f aca="false">IF(G1220="","",IFERROR(INDEX(I_Master!$E$6:$E$85,MATCH(G1220,I_Master!$A$6:$A$85,0)),"?"))</f>
        <v/>
      </c>
      <c r="P1220" s="46" t="str">
        <f aca="false">IF(H1220="","",IF(OR(A1220&lt;I_Parameter!$C$5,A1220&gt;I_Parameter!$C$6),0,IF(B1220="Aktual",1,IF(AND(B1220="Order",A1220&gt;=I_Parameter!$C$4),1,0))))</f>
        <v/>
      </c>
    </row>
    <row r="1221" customFormat="false" ht="15" hidden="false" customHeight="false" outlineLevel="0" collapsed="false">
      <c r="A1221" s="37"/>
      <c r="B1221" s="44"/>
      <c r="C1221" s="44"/>
      <c r="D1221" s="44"/>
      <c r="E1221" s="44"/>
      <c r="F1221" s="44"/>
      <c r="G1221" s="34" t="str">
        <f aca="false">IF(F1221&lt;&gt;"",F1221,IF(E1221="","",IFERROR(INDEX(I_Item!$C$6:$C$255,MATCH(E1221,I_Item!$A$6:$A$255,0)),"KODE BARU")))</f>
        <v/>
      </c>
      <c r="H1221" s="45"/>
      <c r="I1221" s="42"/>
      <c r="J1221" s="11" t="str">
        <f aca="false">IF(H1221="","",H1221*I1221)</f>
        <v/>
      </c>
      <c r="K1221" s="42"/>
      <c r="L1221" s="11" t="str">
        <f aca="false">IF(H1221="","",IF(K1221&lt;&gt;"",K1221,H1221*IFERROR(INDEX(O_Stok!$Q$6:$Q$85,MATCH(G1221,O_Stok!$A$6:$A$85,0)),0)))</f>
        <v/>
      </c>
      <c r="M1221" s="11" t="str">
        <f aca="false">IF(H1221="","",J1221-L1221)</f>
        <v/>
      </c>
      <c r="N1221" s="34" t="str">
        <f aca="false">IF(G1221="","",IFERROR(INDEX(I_Master!$B$6:$B$85,MATCH(G1221,I_Master!$A$6:$A$85,0)),"?"))</f>
        <v/>
      </c>
      <c r="O1221" s="34" t="str">
        <f aca="false">IF(G1221="","",IFERROR(INDEX(I_Master!$E$6:$E$85,MATCH(G1221,I_Master!$A$6:$A$85,0)),"?"))</f>
        <v/>
      </c>
      <c r="P1221" s="46" t="str">
        <f aca="false">IF(H1221="","",IF(OR(A1221&lt;I_Parameter!$C$5,A1221&gt;I_Parameter!$C$6),0,IF(B1221="Aktual",1,IF(AND(B1221="Order",A1221&gt;=I_Parameter!$C$4),1,0))))</f>
        <v/>
      </c>
    </row>
    <row r="1222" customFormat="false" ht="15" hidden="false" customHeight="false" outlineLevel="0" collapsed="false">
      <c r="A1222" s="37"/>
      <c r="B1222" s="44"/>
      <c r="C1222" s="44"/>
      <c r="D1222" s="44"/>
      <c r="E1222" s="44"/>
      <c r="F1222" s="44"/>
      <c r="G1222" s="34" t="str">
        <f aca="false">IF(F1222&lt;&gt;"",F1222,IF(E1222="","",IFERROR(INDEX(I_Item!$C$6:$C$255,MATCH(E1222,I_Item!$A$6:$A$255,0)),"KODE BARU")))</f>
        <v/>
      </c>
      <c r="H1222" s="45"/>
      <c r="I1222" s="42"/>
      <c r="J1222" s="11" t="str">
        <f aca="false">IF(H1222="","",H1222*I1222)</f>
        <v/>
      </c>
      <c r="K1222" s="42"/>
      <c r="L1222" s="11" t="str">
        <f aca="false">IF(H1222="","",IF(K1222&lt;&gt;"",K1222,H1222*IFERROR(INDEX(O_Stok!$Q$6:$Q$85,MATCH(G1222,O_Stok!$A$6:$A$85,0)),0)))</f>
        <v/>
      </c>
      <c r="M1222" s="11" t="str">
        <f aca="false">IF(H1222="","",J1222-L1222)</f>
        <v/>
      </c>
      <c r="N1222" s="34" t="str">
        <f aca="false">IF(G1222="","",IFERROR(INDEX(I_Master!$B$6:$B$85,MATCH(G1222,I_Master!$A$6:$A$85,0)),"?"))</f>
        <v/>
      </c>
      <c r="O1222" s="34" t="str">
        <f aca="false">IF(G1222="","",IFERROR(INDEX(I_Master!$E$6:$E$85,MATCH(G1222,I_Master!$A$6:$A$85,0)),"?"))</f>
        <v/>
      </c>
      <c r="P1222" s="46" t="str">
        <f aca="false">IF(H1222="","",IF(OR(A1222&lt;I_Parameter!$C$5,A1222&gt;I_Parameter!$C$6),0,IF(B1222="Aktual",1,IF(AND(B1222="Order",A1222&gt;=I_Parameter!$C$4),1,0))))</f>
        <v/>
      </c>
    </row>
    <row r="1223" customFormat="false" ht="15" hidden="false" customHeight="false" outlineLevel="0" collapsed="false">
      <c r="A1223" s="37"/>
      <c r="B1223" s="44"/>
      <c r="C1223" s="44"/>
      <c r="D1223" s="44"/>
      <c r="E1223" s="44"/>
      <c r="F1223" s="44"/>
      <c r="G1223" s="34" t="str">
        <f aca="false">IF(F1223&lt;&gt;"",F1223,IF(E1223="","",IFERROR(INDEX(I_Item!$C$6:$C$255,MATCH(E1223,I_Item!$A$6:$A$255,0)),"KODE BARU")))</f>
        <v/>
      </c>
      <c r="H1223" s="45"/>
      <c r="I1223" s="42"/>
      <c r="J1223" s="11" t="str">
        <f aca="false">IF(H1223="","",H1223*I1223)</f>
        <v/>
      </c>
      <c r="K1223" s="42"/>
      <c r="L1223" s="11" t="str">
        <f aca="false">IF(H1223="","",IF(K1223&lt;&gt;"",K1223,H1223*IFERROR(INDEX(O_Stok!$Q$6:$Q$85,MATCH(G1223,O_Stok!$A$6:$A$85,0)),0)))</f>
        <v/>
      </c>
      <c r="M1223" s="11" t="str">
        <f aca="false">IF(H1223="","",J1223-L1223)</f>
        <v/>
      </c>
      <c r="N1223" s="34" t="str">
        <f aca="false">IF(G1223="","",IFERROR(INDEX(I_Master!$B$6:$B$85,MATCH(G1223,I_Master!$A$6:$A$85,0)),"?"))</f>
        <v/>
      </c>
      <c r="O1223" s="34" t="str">
        <f aca="false">IF(G1223="","",IFERROR(INDEX(I_Master!$E$6:$E$85,MATCH(G1223,I_Master!$A$6:$A$85,0)),"?"))</f>
        <v/>
      </c>
      <c r="P1223" s="46" t="str">
        <f aca="false">IF(H1223="","",IF(OR(A1223&lt;I_Parameter!$C$5,A1223&gt;I_Parameter!$C$6),0,IF(B1223="Aktual",1,IF(AND(B1223="Order",A1223&gt;=I_Parameter!$C$4),1,0))))</f>
        <v/>
      </c>
    </row>
    <row r="1224" customFormat="false" ht="15" hidden="false" customHeight="false" outlineLevel="0" collapsed="false">
      <c r="A1224" s="37"/>
      <c r="B1224" s="44"/>
      <c r="C1224" s="44"/>
      <c r="D1224" s="44"/>
      <c r="E1224" s="44"/>
      <c r="F1224" s="44"/>
      <c r="G1224" s="34" t="str">
        <f aca="false">IF(F1224&lt;&gt;"",F1224,IF(E1224="","",IFERROR(INDEX(I_Item!$C$6:$C$255,MATCH(E1224,I_Item!$A$6:$A$255,0)),"KODE BARU")))</f>
        <v/>
      </c>
      <c r="H1224" s="45"/>
      <c r="I1224" s="42"/>
      <c r="J1224" s="11" t="str">
        <f aca="false">IF(H1224="","",H1224*I1224)</f>
        <v/>
      </c>
      <c r="K1224" s="42"/>
      <c r="L1224" s="11" t="str">
        <f aca="false">IF(H1224="","",IF(K1224&lt;&gt;"",K1224,H1224*IFERROR(INDEX(O_Stok!$Q$6:$Q$85,MATCH(G1224,O_Stok!$A$6:$A$85,0)),0)))</f>
        <v/>
      </c>
      <c r="M1224" s="11" t="str">
        <f aca="false">IF(H1224="","",J1224-L1224)</f>
        <v/>
      </c>
      <c r="N1224" s="34" t="str">
        <f aca="false">IF(G1224="","",IFERROR(INDEX(I_Master!$B$6:$B$85,MATCH(G1224,I_Master!$A$6:$A$85,0)),"?"))</f>
        <v/>
      </c>
      <c r="O1224" s="34" t="str">
        <f aca="false">IF(G1224="","",IFERROR(INDEX(I_Master!$E$6:$E$85,MATCH(G1224,I_Master!$A$6:$A$85,0)),"?"))</f>
        <v/>
      </c>
      <c r="P1224" s="46" t="str">
        <f aca="false">IF(H1224="","",IF(OR(A1224&lt;I_Parameter!$C$5,A1224&gt;I_Parameter!$C$6),0,IF(B1224="Aktual",1,IF(AND(B1224="Order",A1224&gt;=I_Parameter!$C$4),1,0))))</f>
        <v/>
      </c>
    </row>
    <row r="1225" customFormat="false" ht="15" hidden="false" customHeight="false" outlineLevel="0" collapsed="false">
      <c r="A1225" s="37"/>
      <c r="B1225" s="44"/>
      <c r="C1225" s="44"/>
      <c r="D1225" s="44"/>
      <c r="E1225" s="44"/>
      <c r="F1225" s="44"/>
      <c r="G1225" s="34" t="str">
        <f aca="false">IF(F1225&lt;&gt;"",F1225,IF(E1225="","",IFERROR(INDEX(I_Item!$C$6:$C$255,MATCH(E1225,I_Item!$A$6:$A$255,0)),"KODE BARU")))</f>
        <v/>
      </c>
      <c r="H1225" s="45"/>
      <c r="I1225" s="42"/>
      <c r="J1225" s="11" t="str">
        <f aca="false">IF(H1225="","",H1225*I1225)</f>
        <v/>
      </c>
      <c r="K1225" s="42"/>
      <c r="L1225" s="11" t="str">
        <f aca="false">IF(H1225="","",IF(K1225&lt;&gt;"",K1225,H1225*IFERROR(INDEX(O_Stok!$Q$6:$Q$85,MATCH(G1225,O_Stok!$A$6:$A$85,0)),0)))</f>
        <v/>
      </c>
      <c r="M1225" s="11" t="str">
        <f aca="false">IF(H1225="","",J1225-L1225)</f>
        <v/>
      </c>
      <c r="N1225" s="34" t="str">
        <f aca="false">IF(G1225="","",IFERROR(INDEX(I_Master!$B$6:$B$85,MATCH(G1225,I_Master!$A$6:$A$85,0)),"?"))</f>
        <v/>
      </c>
      <c r="O1225" s="34" t="str">
        <f aca="false">IF(G1225="","",IFERROR(INDEX(I_Master!$E$6:$E$85,MATCH(G1225,I_Master!$A$6:$A$85,0)),"?"))</f>
        <v/>
      </c>
      <c r="P1225" s="46" t="str">
        <f aca="false">IF(H1225="","",IF(OR(A1225&lt;I_Parameter!$C$5,A1225&gt;I_Parameter!$C$6),0,IF(B1225="Aktual",1,IF(AND(B1225="Order",A1225&gt;=I_Parameter!$C$4),1,0))))</f>
        <v/>
      </c>
    </row>
    <row r="1226" customFormat="false" ht="15" hidden="false" customHeight="false" outlineLevel="0" collapsed="false">
      <c r="A1226" s="37"/>
      <c r="B1226" s="44"/>
      <c r="C1226" s="44"/>
      <c r="D1226" s="44"/>
      <c r="E1226" s="44"/>
      <c r="F1226" s="44"/>
      <c r="G1226" s="34" t="str">
        <f aca="false">IF(F1226&lt;&gt;"",F1226,IF(E1226="","",IFERROR(INDEX(I_Item!$C$6:$C$255,MATCH(E1226,I_Item!$A$6:$A$255,0)),"KODE BARU")))</f>
        <v/>
      </c>
      <c r="H1226" s="45"/>
      <c r="I1226" s="42"/>
      <c r="J1226" s="11" t="str">
        <f aca="false">IF(H1226="","",H1226*I1226)</f>
        <v/>
      </c>
      <c r="K1226" s="42"/>
      <c r="L1226" s="11" t="str">
        <f aca="false">IF(H1226="","",IF(K1226&lt;&gt;"",K1226,H1226*IFERROR(INDEX(O_Stok!$Q$6:$Q$85,MATCH(G1226,O_Stok!$A$6:$A$85,0)),0)))</f>
        <v/>
      </c>
      <c r="M1226" s="11" t="str">
        <f aca="false">IF(H1226="","",J1226-L1226)</f>
        <v/>
      </c>
      <c r="N1226" s="34" t="str">
        <f aca="false">IF(G1226="","",IFERROR(INDEX(I_Master!$B$6:$B$85,MATCH(G1226,I_Master!$A$6:$A$85,0)),"?"))</f>
        <v/>
      </c>
      <c r="O1226" s="34" t="str">
        <f aca="false">IF(G1226="","",IFERROR(INDEX(I_Master!$E$6:$E$85,MATCH(G1226,I_Master!$A$6:$A$85,0)),"?"))</f>
        <v/>
      </c>
      <c r="P1226" s="46" t="str">
        <f aca="false">IF(H1226="","",IF(OR(A1226&lt;I_Parameter!$C$5,A1226&gt;I_Parameter!$C$6),0,IF(B1226="Aktual",1,IF(AND(B1226="Order",A1226&gt;=I_Parameter!$C$4),1,0))))</f>
        <v/>
      </c>
    </row>
    <row r="1227" customFormat="false" ht="15" hidden="false" customHeight="false" outlineLevel="0" collapsed="false">
      <c r="A1227" s="37"/>
      <c r="B1227" s="44"/>
      <c r="C1227" s="44"/>
      <c r="D1227" s="44"/>
      <c r="E1227" s="44"/>
      <c r="F1227" s="44"/>
      <c r="G1227" s="34" t="str">
        <f aca="false">IF(F1227&lt;&gt;"",F1227,IF(E1227="","",IFERROR(INDEX(I_Item!$C$6:$C$255,MATCH(E1227,I_Item!$A$6:$A$255,0)),"KODE BARU")))</f>
        <v/>
      </c>
      <c r="H1227" s="45"/>
      <c r="I1227" s="42"/>
      <c r="J1227" s="11" t="str">
        <f aca="false">IF(H1227="","",H1227*I1227)</f>
        <v/>
      </c>
      <c r="K1227" s="42"/>
      <c r="L1227" s="11" t="str">
        <f aca="false">IF(H1227="","",IF(K1227&lt;&gt;"",K1227,H1227*IFERROR(INDEX(O_Stok!$Q$6:$Q$85,MATCH(G1227,O_Stok!$A$6:$A$85,0)),0)))</f>
        <v/>
      </c>
      <c r="M1227" s="11" t="str">
        <f aca="false">IF(H1227="","",J1227-L1227)</f>
        <v/>
      </c>
      <c r="N1227" s="34" t="str">
        <f aca="false">IF(G1227="","",IFERROR(INDEX(I_Master!$B$6:$B$85,MATCH(G1227,I_Master!$A$6:$A$85,0)),"?"))</f>
        <v/>
      </c>
      <c r="O1227" s="34" t="str">
        <f aca="false">IF(G1227="","",IFERROR(INDEX(I_Master!$E$6:$E$85,MATCH(G1227,I_Master!$A$6:$A$85,0)),"?"))</f>
        <v/>
      </c>
      <c r="P1227" s="46" t="str">
        <f aca="false">IF(H1227="","",IF(OR(A1227&lt;I_Parameter!$C$5,A1227&gt;I_Parameter!$C$6),0,IF(B1227="Aktual",1,IF(AND(B1227="Order",A1227&gt;=I_Parameter!$C$4),1,0))))</f>
        <v/>
      </c>
    </row>
    <row r="1228" customFormat="false" ht="15" hidden="false" customHeight="false" outlineLevel="0" collapsed="false">
      <c r="A1228" s="37"/>
      <c r="B1228" s="44"/>
      <c r="C1228" s="44"/>
      <c r="D1228" s="44"/>
      <c r="E1228" s="44"/>
      <c r="F1228" s="44"/>
      <c r="G1228" s="34" t="str">
        <f aca="false">IF(F1228&lt;&gt;"",F1228,IF(E1228="","",IFERROR(INDEX(I_Item!$C$6:$C$255,MATCH(E1228,I_Item!$A$6:$A$255,0)),"KODE BARU")))</f>
        <v/>
      </c>
      <c r="H1228" s="45"/>
      <c r="I1228" s="42"/>
      <c r="J1228" s="11" t="str">
        <f aca="false">IF(H1228="","",H1228*I1228)</f>
        <v/>
      </c>
      <c r="K1228" s="42"/>
      <c r="L1228" s="11" t="str">
        <f aca="false">IF(H1228="","",IF(K1228&lt;&gt;"",K1228,H1228*IFERROR(INDEX(O_Stok!$Q$6:$Q$85,MATCH(G1228,O_Stok!$A$6:$A$85,0)),0)))</f>
        <v/>
      </c>
      <c r="M1228" s="11" t="str">
        <f aca="false">IF(H1228="","",J1228-L1228)</f>
        <v/>
      </c>
      <c r="N1228" s="34" t="str">
        <f aca="false">IF(G1228="","",IFERROR(INDEX(I_Master!$B$6:$B$85,MATCH(G1228,I_Master!$A$6:$A$85,0)),"?"))</f>
        <v/>
      </c>
      <c r="O1228" s="34" t="str">
        <f aca="false">IF(G1228="","",IFERROR(INDEX(I_Master!$E$6:$E$85,MATCH(G1228,I_Master!$A$6:$A$85,0)),"?"))</f>
        <v/>
      </c>
      <c r="P1228" s="46" t="str">
        <f aca="false">IF(H1228="","",IF(OR(A1228&lt;I_Parameter!$C$5,A1228&gt;I_Parameter!$C$6),0,IF(B1228="Aktual",1,IF(AND(B1228="Order",A1228&gt;=I_Parameter!$C$4),1,0))))</f>
        <v/>
      </c>
    </row>
    <row r="1229" customFormat="false" ht="15" hidden="false" customHeight="false" outlineLevel="0" collapsed="false">
      <c r="A1229" s="37"/>
      <c r="B1229" s="44"/>
      <c r="C1229" s="44"/>
      <c r="D1229" s="44"/>
      <c r="E1229" s="44"/>
      <c r="F1229" s="44"/>
      <c r="G1229" s="34" t="str">
        <f aca="false">IF(F1229&lt;&gt;"",F1229,IF(E1229="","",IFERROR(INDEX(I_Item!$C$6:$C$255,MATCH(E1229,I_Item!$A$6:$A$255,0)),"KODE BARU")))</f>
        <v/>
      </c>
      <c r="H1229" s="45"/>
      <c r="I1229" s="42"/>
      <c r="J1229" s="11" t="str">
        <f aca="false">IF(H1229="","",H1229*I1229)</f>
        <v/>
      </c>
      <c r="K1229" s="42"/>
      <c r="L1229" s="11" t="str">
        <f aca="false">IF(H1229="","",IF(K1229&lt;&gt;"",K1229,H1229*IFERROR(INDEX(O_Stok!$Q$6:$Q$85,MATCH(G1229,O_Stok!$A$6:$A$85,0)),0)))</f>
        <v/>
      </c>
      <c r="M1229" s="11" t="str">
        <f aca="false">IF(H1229="","",J1229-L1229)</f>
        <v/>
      </c>
      <c r="N1229" s="34" t="str">
        <f aca="false">IF(G1229="","",IFERROR(INDEX(I_Master!$B$6:$B$85,MATCH(G1229,I_Master!$A$6:$A$85,0)),"?"))</f>
        <v/>
      </c>
      <c r="O1229" s="34" t="str">
        <f aca="false">IF(G1229="","",IFERROR(INDEX(I_Master!$E$6:$E$85,MATCH(G1229,I_Master!$A$6:$A$85,0)),"?"))</f>
        <v/>
      </c>
      <c r="P1229" s="46" t="str">
        <f aca="false">IF(H1229="","",IF(OR(A1229&lt;I_Parameter!$C$5,A1229&gt;I_Parameter!$C$6),0,IF(B1229="Aktual",1,IF(AND(B1229="Order",A1229&gt;=I_Parameter!$C$4),1,0))))</f>
        <v/>
      </c>
    </row>
    <row r="1230" customFormat="false" ht="15" hidden="false" customHeight="false" outlineLevel="0" collapsed="false">
      <c r="A1230" s="37"/>
      <c r="B1230" s="44"/>
      <c r="C1230" s="44"/>
      <c r="D1230" s="44"/>
      <c r="E1230" s="44"/>
      <c r="F1230" s="44"/>
      <c r="G1230" s="34" t="str">
        <f aca="false">IF(F1230&lt;&gt;"",F1230,IF(E1230="","",IFERROR(INDEX(I_Item!$C$6:$C$255,MATCH(E1230,I_Item!$A$6:$A$255,0)),"KODE BARU")))</f>
        <v/>
      </c>
      <c r="H1230" s="45"/>
      <c r="I1230" s="42"/>
      <c r="J1230" s="11" t="str">
        <f aca="false">IF(H1230="","",H1230*I1230)</f>
        <v/>
      </c>
      <c r="K1230" s="42"/>
      <c r="L1230" s="11" t="str">
        <f aca="false">IF(H1230="","",IF(K1230&lt;&gt;"",K1230,H1230*IFERROR(INDEX(O_Stok!$Q$6:$Q$85,MATCH(G1230,O_Stok!$A$6:$A$85,0)),0)))</f>
        <v/>
      </c>
      <c r="M1230" s="11" t="str">
        <f aca="false">IF(H1230="","",J1230-L1230)</f>
        <v/>
      </c>
      <c r="N1230" s="34" t="str">
        <f aca="false">IF(G1230="","",IFERROR(INDEX(I_Master!$B$6:$B$85,MATCH(G1230,I_Master!$A$6:$A$85,0)),"?"))</f>
        <v/>
      </c>
      <c r="O1230" s="34" t="str">
        <f aca="false">IF(G1230="","",IFERROR(INDEX(I_Master!$E$6:$E$85,MATCH(G1230,I_Master!$A$6:$A$85,0)),"?"))</f>
        <v/>
      </c>
      <c r="P1230" s="46" t="str">
        <f aca="false">IF(H1230="","",IF(OR(A1230&lt;I_Parameter!$C$5,A1230&gt;I_Parameter!$C$6),0,IF(B1230="Aktual",1,IF(AND(B1230="Order",A1230&gt;=I_Parameter!$C$4),1,0))))</f>
        <v/>
      </c>
    </row>
    <row r="1231" customFormat="false" ht="15" hidden="false" customHeight="false" outlineLevel="0" collapsed="false">
      <c r="A1231" s="37"/>
      <c r="B1231" s="44"/>
      <c r="C1231" s="44"/>
      <c r="D1231" s="44"/>
      <c r="E1231" s="44"/>
      <c r="F1231" s="44"/>
      <c r="G1231" s="34" t="str">
        <f aca="false">IF(F1231&lt;&gt;"",F1231,IF(E1231="","",IFERROR(INDEX(I_Item!$C$6:$C$255,MATCH(E1231,I_Item!$A$6:$A$255,0)),"KODE BARU")))</f>
        <v/>
      </c>
      <c r="H1231" s="45"/>
      <c r="I1231" s="42"/>
      <c r="J1231" s="11" t="str">
        <f aca="false">IF(H1231="","",H1231*I1231)</f>
        <v/>
      </c>
      <c r="K1231" s="42"/>
      <c r="L1231" s="11" t="str">
        <f aca="false">IF(H1231="","",IF(K1231&lt;&gt;"",K1231,H1231*IFERROR(INDEX(O_Stok!$Q$6:$Q$85,MATCH(G1231,O_Stok!$A$6:$A$85,0)),0)))</f>
        <v/>
      </c>
      <c r="M1231" s="11" t="str">
        <f aca="false">IF(H1231="","",J1231-L1231)</f>
        <v/>
      </c>
      <c r="N1231" s="34" t="str">
        <f aca="false">IF(G1231="","",IFERROR(INDEX(I_Master!$B$6:$B$85,MATCH(G1231,I_Master!$A$6:$A$85,0)),"?"))</f>
        <v/>
      </c>
      <c r="O1231" s="34" t="str">
        <f aca="false">IF(G1231="","",IFERROR(INDEX(I_Master!$E$6:$E$85,MATCH(G1231,I_Master!$A$6:$A$85,0)),"?"))</f>
        <v/>
      </c>
      <c r="P1231" s="46" t="str">
        <f aca="false">IF(H1231="","",IF(OR(A1231&lt;I_Parameter!$C$5,A1231&gt;I_Parameter!$C$6),0,IF(B1231="Aktual",1,IF(AND(B1231="Order",A1231&gt;=I_Parameter!$C$4),1,0))))</f>
        <v/>
      </c>
    </row>
    <row r="1232" customFormat="false" ht="15" hidden="false" customHeight="false" outlineLevel="0" collapsed="false">
      <c r="A1232" s="37"/>
      <c r="B1232" s="44"/>
      <c r="C1232" s="44"/>
      <c r="D1232" s="44"/>
      <c r="E1232" s="44"/>
      <c r="F1232" s="44"/>
      <c r="G1232" s="34" t="str">
        <f aca="false">IF(F1232&lt;&gt;"",F1232,IF(E1232="","",IFERROR(INDEX(I_Item!$C$6:$C$255,MATCH(E1232,I_Item!$A$6:$A$255,0)),"KODE BARU")))</f>
        <v/>
      </c>
      <c r="H1232" s="45"/>
      <c r="I1232" s="42"/>
      <c r="J1232" s="11" t="str">
        <f aca="false">IF(H1232="","",H1232*I1232)</f>
        <v/>
      </c>
      <c r="K1232" s="42"/>
      <c r="L1232" s="11" t="str">
        <f aca="false">IF(H1232="","",IF(K1232&lt;&gt;"",K1232,H1232*IFERROR(INDEX(O_Stok!$Q$6:$Q$85,MATCH(G1232,O_Stok!$A$6:$A$85,0)),0)))</f>
        <v/>
      </c>
      <c r="M1232" s="11" t="str">
        <f aca="false">IF(H1232="","",J1232-L1232)</f>
        <v/>
      </c>
      <c r="N1232" s="34" t="str">
        <f aca="false">IF(G1232="","",IFERROR(INDEX(I_Master!$B$6:$B$85,MATCH(G1232,I_Master!$A$6:$A$85,0)),"?"))</f>
        <v/>
      </c>
      <c r="O1232" s="34" t="str">
        <f aca="false">IF(G1232="","",IFERROR(INDEX(I_Master!$E$6:$E$85,MATCH(G1232,I_Master!$A$6:$A$85,0)),"?"))</f>
        <v/>
      </c>
      <c r="P1232" s="46" t="str">
        <f aca="false">IF(H1232="","",IF(OR(A1232&lt;I_Parameter!$C$5,A1232&gt;I_Parameter!$C$6),0,IF(B1232="Aktual",1,IF(AND(B1232="Order",A1232&gt;=I_Parameter!$C$4),1,0))))</f>
        <v/>
      </c>
    </row>
    <row r="1233" customFormat="false" ht="15" hidden="false" customHeight="false" outlineLevel="0" collapsed="false">
      <c r="A1233" s="37"/>
      <c r="B1233" s="44"/>
      <c r="C1233" s="44"/>
      <c r="D1233" s="44"/>
      <c r="E1233" s="44"/>
      <c r="F1233" s="44"/>
      <c r="G1233" s="34" t="str">
        <f aca="false">IF(F1233&lt;&gt;"",F1233,IF(E1233="","",IFERROR(INDEX(I_Item!$C$6:$C$255,MATCH(E1233,I_Item!$A$6:$A$255,0)),"KODE BARU")))</f>
        <v/>
      </c>
      <c r="H1233" s="45"/>
      <c r="I1233" s="42"/>
      <c r="J1233" s="11" t="str">
        <f aca="false">IF(H1233="","",H1233*I1233)</f>
        <v/>
      </c>
      <c r="K1233" s="42"/>
      <c r="L1233" s="11" t="str">
        <f aca="false">IF(H1233="","",IF(K1233&lt;&gt;"",K1233,H1233*IFERROR(INDEX(O_Stok!$Q$6:$Q$85,MATCH(G1233,O_Stok!$A$6:$A$85,0)),0)))</f>
        <v/>
      </c>
      <c r="M1233" s="11" t="str">
        <f aca="false">IF(H1233="","",J1233-L1233)</f>
        <v/>
      </c>
      <c r="N1233" s="34" t="str">
        <f aca="false">IF(G1233="","",IFERROR(INDEX(I_Master!$B$6:$B$85,MATCH(G1233,I_Master!$A$6:$A$85,0)),"?"))</f>
        <v/>
      </c>
      <c r="O1233" s="34" t="str">
        <f aca="false">IF(G1233="","",IFERROR(INDEX(I_Master!$E$6:$E$85,MATCH(G1233,I_Master!$A$6:$A$85,0)),"?"))</f>
        <v/>
      </c>
      <c r="P1233" s="46" t="str">
        <f aca="false">IF(H1233="","",IF(OR(A1233&lt;I_Parameter!$C$5,A1233&gt;I_Parameter!$C$6),0,IF(B1233="Aktual",1,IF(AND(B1233="Order",A1233&gt;=I_Parameter!$C$4),1,0))))</f>
        <v/>
      </c>
    </row>
    <row r="1234" customFormat="false" ht="15" hidden="false" customHeight="false" outlineLevel="0" collapsed="false">
      <c r="A1234" s="37"/>
      <c r="B1234" s="44"/>
      <c r="C1234" s="44"/>
      <c r="D1234" s="44"/>
      <c r="E1234" s="44"/>
      <c r="F1234" s="44"/>
      <c r="G1234" s="34" t="str">
        <f aca="false">IF(F1234&lt;&gt;"",F1234,IF(E1234="","",IFERROR(INDEX(I_Item!$C$6:$C$255,MATCH(E1234,I_Item!$A$6:$A$255,0)),"KODE BARU")))</f>
        <v/>
      </c>
      <c r="H1234" s="45"/>
      <c r="I1234" s="42"/>
      <c r="J1234" s="11" t="str">
        <f aca="false">IF(H1234="","",H1234*I1234)</f>
        <v/>
      </c>
      <c r="K1234" s="42"/>
      <c r="L1234" s="11" t="str">
        <f aca="false">IF(H1234="","",IF(K1234&lt;&gt;"",K1234,H1234*IFERROR(INDEX(O_Stok!$Q$6:$Q$85,MATCH(G1234,O_Stok!$A$6:$A$85,0)),0)))</f>
        <v/>
      </c>
      <c r="M1234" s="11" t="str">
        <f aca="false">IF(H1234="","",J1234-L1234)</f>
        <v/>
      </c>
      <c r="N1234" s="34" t="str">
        <f aca="false">IF(G1234="","",IFERROR(INDEX(I_Master!$B$6:$B$85,MATCH(G1234,I_Master!$A$6:$A$85,0)),"?"))</f>
        <v/>
      </c>
      <c r="O1234" s="34" t="str">
        <f aca="false">IF(G1234="","",IFERROR(INDEX(I_Master!$E$6:$E$85,MATCH(G1234,I_Master!$A$6:$A$85,0)),"?"))</f>
        <v/>
      </c>
      <c r="P1234" s="46" t="str">
        <f aca="false">IF(H1234="","",IF(OR(A1234&lt;I_Parameter!$C$5,A1234&gt;I_Parameter!$C$6),0,IF(B1234="Aktual",1,IF(AND(B1234="Order",A1234&gt;=I_Parameter!$C$4),1,0))))</f>
        <v/>
      </c>
    </row>
    <row r="1235" customFormat="false" ht="15" hidden="false" customHeight="false" outlineLevel="0" collapsed="false">
      <c r="A1235" s="37"/>
      <c r="B1235" s="44"/>
      <c r="C1235" s="44"/>
      <c r="D1235" s="44"/>
      <c r="E1235" s="44"/>
      <c r="F1235" s="44"/>
      <c r="G1235" s="34" t="str">
        <f aca="false">IF(F1235&lt;&gt;"",F1235,IF(E1235="","",IFERROR(INDEX(I_Item!$C$6:$C$255,MATCH(E1235,I_Item!$A$6:$A$255,0)),"KODE BARU")))</f>
        <v/>
      </c>
      <c r="H1235" s="45"/>
      <c r="I1235" s="42"/>
      <c r="J1235" s="11" t="str">
        <f aca="false">IF(H1235="","",H1235*I1235)</f>
        <v/>
      </c>
      <c r="K1235" s="42"/>
      <c r="L1235" s="11" t="str">
        <f aca="false">IF(H1235="","",IF(K1235&lt;&gt;"",K1235,H1235*IFERROR(INDEX(O_Stok!$Q$6:$Q$85,MATCH(G1235,O_Stok!$A$6:$A$85,0)),0)))</f>
        <v/>
      </c>
      <c r="M1235" s="11" t="str">
        <f aca="false">IF(H1235="","",J1235-L1235)</f>
        <v/>
      </c>
      <c r="N1235" s="34" t="str">
        <f aca="false">IF(G1235="","",IFERROR(INDEX(I_Master!$B$6:$B$85,MATCH(G1235,I_Master!$A$6:$A$85,0)),"?"))</f>
        <v/>
      </c>
      <c r="O1235" s="34" t="str">
        <f aca="false">IF(G1235="","",IFERROR(INDEX(I_Master!$E$6:$E$85,MATCH(G1235,I_Master!$A$6:$A$85,0)),"?"))</f>
        <v/>
      </c>
      <c r="P1235" s="46" t="str">
        <f aca="false">IF(H1235="","",IF(OR(A1235&lt;I_Parameter!$C$5,A1235&gt;I_Parameter!$C$6),0,IF(B1235="Aktual",1,IF(AND(B1235="Order",A1235&gt;=I_Parameter!$C$4),1,0))))</f>
        <v/>
      </c>
    </row>
    <row r="1236" customFormat="false" ht="15" hidden="false" customHeight="false" outlineLevel="0" collapsed="false">
      <c r="A1236" s="37"/>
      <c r="B1236" s="44"/>
      <c r="C1236" s="44"/>
      <c r="D1236" s="44"/>
      <c r="E1236" s="44"/>
      <c r="F1236" s="44"/>
      <c r="G1236" s="34" t="str">
        <f aca="false">IF(F1236&lt;&gt;"",F1236,IF(E1236="","",IFERROR(INDEX(I_Item!$C$6:$C$255,MATCH(E1236,I_Item!$A$6:$A$255,0)),"KODE BARU")))</f>
        <v/>
      </c>
      <c r="H1236" s="45"/>
      <c r="I1236" s="42"/>
      <c r="J1236" s="11" t="str">
        <f aca="false">IF(H1236="","",H1236*I1236)</f>
        <v/>
      </c>
      <c r="K1236" s="42"/>
      <c r="L1236" s="11" t="str">
        <f aca="false">IF(H1236="","",IF(K1236&lt;&gt;"",K1236,H1236*IFERROR(INDEX(O_Stok!$Q$6:$Q$85,MATCH(G1236,O_Stok!$A$6:$A$85,0)),0)))</f>
        <v/>
      </c>
      <c r="M1236" s="11" t="str">
        <f aca="false">IF(H1236="","",J1236-L1236)</f>
        <v/>
      </c>
      <c r="N1236" s="34" t="str">
        <f aca="false">IF(G1236="","",IFERROR(INDEX(I_Master!$B$6:$B$85,MATCH(G1236,I_Master!$A$6:$A$85,0)),"?"))</f>
        <v/>
      </c>
      <c r="O1236" s="34" t="str">
        <f aca="false">IF(G1236="","",IFERROR(INDEX(I_Master!$E$6:$E$85,MATCH(G1236,I_Master!$A$6:$A$85,0)),"?"))</f>
        <v/>
      </c>
      <c r="P1236" s="46" t="str">
        <f aca="false">IF(H1236="","",IF(OR(A1236&lt;I_Parameter!$C$5,A1236&gt;I_Parameter!$C$6),0,IF(B1236="Aktual",1,IF(AND(B1236="Order",A1236&gt;=I_Parameter!$C$4),1,0))))</f>
        <v/>
      </c>
    </row>
    <row r="1237" customFormat="false" ht="15" hidden="false" customHeight="false" outlineLevel="0" collapsed="false">
      <c r="A1237" s="37"/>
      <c r="B1237" s="44"/>
      <c r="C1237" s="44"/>
      <c r="D1237" s="44"/>
      <c r="E1237" s="44"/>
      <c r="F1237" s="44"/>
      <c r="G1237" s="34" t="str">
        <f aca="false">IF(F1237&lt;&gt;"",F1237,IF(E1237="","",IFERROR(INDEX(I_Item!$C$6:$C$255,MATCH(E1237,I_Item!$A$6:$A$255,0)),"KODE BARU")))</f>
        <v/>
      </c>
      <c r="H1237" s="45"/>
      <c r="I1237" s="42"/>
      <c r="J1237" s="11" t="str">
        <f aca="false">IF(H1237="","",H1237*I1237)</f>
        <v/>
      </c>
      <c r="K1237" s="42"/>
      <c r="L1237" s="11" t="str">
        <f aca="false">IF(H1237="","",IF(K1237&lt;&gt;"",K1237,H1237*IFERROR(INDEX(O_Stok!$Q$6:$Q$85,MATCH(G1237,O_Stok!$A$6:$A$85,0)),0)))</f>
        <v/>
      </c>
      <c r="M1237" s="11" t="str">
        <f aca="false">IF(H1237="","",J1237-L1237)</f>
        <v/>
      </c>
      <c r="N1237" s="34" t="str">
        <f aca="false">IF(G1237="","",IFERROR(INDEX(I_Master!$B$6:$B$85,MATCH(G1237,I_Master!$A$6:$A$85,0)),"?"))</f>
        <v/>
      </c>
      <c r="O1237" s="34" t="str">
        <f aca="false">IF(G1237="","",IFERROR(INDEX(I_Master!$E$6:$E$85,MATCH(G1237,I_Master!$A$6:$A$85,0)),"?"))</f>
        <v/>
      </c>
      <c r="P1237" s="46" t="str">
        <f aca="false">IF(H1237="","",IF(OR(A1237&lt;I_Parameter!$C$5,A1237&gt;I_Parameter!$C$6),0,IF(B1237="Aktual",1,IF(AND(B1237="Order",A1237&gt;=I_Parameter!$C$4),1,0))))</f>
        <v/>
      </c>
    </row>
    <row r="1238" customFormat="false" ht="15" hidden="false" customHeight="false" outlineLevel="0" collapsed="false">
      <c r="A1238" s="37"/>
      <c r="B1238" s="44"/>
      <c r="C1238" s="44"/>
      <c r="D1238" s="44"/>
      <c r="E1238" s="44"/>
      <c r="F1238" s="44"/>
      <c r="G1238" s="34" t="str">
        <f aca="false">IF(F1238&lt;&gt;"",F1238,IF(E1238="","",IFERROR(INDEX(I_Item!$C$6:$C$255,MATCH(E1238,I_Item!$A$6:$A$255,0)),"KODE BARU")))</f>
        <v/>
      </c>
      <c r="H1238" s="45"/>
      <c r="I1238" s="42"/>
      <c r="J1238" s="11" t="str">
        <f aca="false">IF(H1238="","",H1238*I1238)</f>
        <v/>
      </c>
      <c r="K1238" s="42"/>
      <c r="L1238" s="11" t="str">
        <f aca="false">IF(H1238="","",IF(K1238&lt;&gt;"",K1238,H1238*IFERROR(INDEX(O_Stok!$Q$6:$Q$85,MATCH(G1238,O_Stok!$A$6:$A$85,0)),0)))</f>
        <v/>
      </c>
      <c r="M1238" s="11" t="str">
        <f aca="false">IF(H1238="","",J1238-L1238)</f>
        <v/>
      </c>
      <c r="N1238" s="34" t="str">
        <f aca="false">IF(G1238="","",IFERROR(INDEX(I_Master!$B$6:$B$85,MATCH(G1238,I_Master!$A$6:$A$85,0)),"?"))</f>
        <v/>
      </c>
      <c r="O1238" s="34" t="str">
        <f aca="false">IF(G1238="","",IFERROR(INDEX(I_Master!$E$6:$E$85,MATCH(G1238,I_Master!$A$6:$A$85,0)),"?"))</f>
        <v/>
      </c>
      <c r="P1238" s="46" t="str">
        <f aca="false">IF(H1238="","",IF(OR(A1238&lt;I_Parameter!$C$5,A1238&gt;I_Parameter!$C$6),0,IF(B1238="Aktual",1,IF(AND(B1238="Order",A1238&gt;=I_Parameter!$C$4),1,0))))</f>
        <v/>
      </c>
    </row>
    <row r="1239" customFormat="false" ht="15" hidden="false" customHeight="false" outlineLevel="0" collapsed="false">
      <c r="A1239" s="37"/>
      <c r="B1239" s="44"/>
      <c r="C1239" s="44"/>
      <c r="D1239" s="44"/>
      <c r="E1239" s="44"/>
      <c r="F1239" s="44"/>
      <c r="G1239" s="34" t="str">
        <f aca="false">IF(F1239&lt;&gt;"",F1239,IF(E1239="","",IFERROR(INDEX(I_Item!$C$6:$C$255,MATCH(E1239,I_Item!$A$6:$A$255,0)),"KODE BARU")))</f>
        <v/>
      </c>
      <c r="H1239" s="45"/>
      <c r="I1239" s="42"/>
      <c r="J1239" s="11" t="str">
        <f aca="false">IF(H1239="","",H1239*I1239)</f>
        <v/>
      </c>
      <c r="K1239" s="42"/>
      <c r="L1239" s="11" t="str">
        <f aca="false">IF(H1239="","",IF(K1239&lt;&gt;"",K1239,H1239*IFERROR(INDEX(O_Stok!$Q$6:$Q$85,MATCH(G1239,O_Stok!$A$6:$A$85,0)),0)))</f>
        <v/>
      </c>
      <c r="M1239" s="11" t="str">
        <f aca="false">IF(H1239="","",J1239-L1239)</f>
        <v/>
      </c>
      <c r="N1239" s="34" t="str">
        <f aca="false">IF(G1239="","",IFERROR(INDEX(I_Master!$B$6:$B$85,MATCH(G1239,I_Master!$A$6:$A$85,0)),"?"))</f>
        <v/>
      </c>
      <c r="O1239" s="34" t="str">
        <f aca="false">IF(G1239="","",IFERROR(INDEX(I_Master!$E$6:$E$85,MATCH(G1239,I_Master!$A$6:$A$85,0)),"?"))</f>
        <v/>
      </c>
      <c r="P1239" s="46" t="str">
        <f aca="false">IF(H1239="","",IF(OR(A1239&lt;I_Parameter!$C$5,A1239&gt;I_Parameter!$C$6),0,IF(B1239="Aktual",1,IF(AND(B1239="Order",A1239&gt;=I_Parameter!$C$4),1,0))))</f>
        <v/>
      </c>
    </row>
    <row r="1240" customFormat="false" ht="15" hidden="false" customHeight="false" outlineLevel="0" collapsed="false">
      <c r="A1240" s="37"/>
      <c r="B1240" s="44"/>
      <c r="C1240" s="44"/>
      <c r="D1240" s="44"/>
      <c r="E1240" s="44"/>
      <c r="F1240" s="44"/>
      <c r="G1240" s="34" t="str">
        <f aca="false">IF(F1240&lt;&gt;"",F1240,IF(E1240="","",IFERROR(INDEX(I_Item!$C$6:$C$255,MATCH(E1240,I_Item!$A$6:$A$255,0)),"KODE BARU")))</f>
        <v/>
      </c>
      <c r="H1240" s="45"/>
      <c r="I1240" s="42"/>
      <c r="J1240" s="11" t="str">
        <f aca="false">IF(H1240="","",H1240*I1240)</f>
        <v/>
      </c>
      <c r="K1240" s="42"/>
      <c r="L1240" s="11" t="str">
        <f aca="false">IF(H1240="","",IF(K1240&lt;&gt;"",K1240,H1240*IFERROR(INDEX(O_Stok!$Q$6:$Q$85,MATCH(G1240,O_Stok!$A$6:$A$85,0)),0)))</f>
        <v/>
      </c>
      <c r="M1240" s="11" t="str">
        <f aca="false">IF(H1240="","",J1240-L1240)</f>
        <v/>
      </c>
      <c r="N1240" s="34" t="str">
        <f aca="false">IF(G1240="","",IFERROR(INDEX(I_Master!$B$6:$B$85,MATCH(G1240,I_Master!$A$6:$A$85,0)),"?"))</f>
        <v/>
      </c>
      <c r="O1240" s="34" t="str">
        <f aca="false">IF(G1240="","",IFERROR(INDEX(I_Master!$E$6:$E$85,MATCH(G1240,I_Master!$A$6:$A$85,0)),"?"))</f>
        <v/>
      </c>
      <c r="P1240" s="46" t="str">
        <f aca="false">IF(H1240="","",IF(OR(A1240&lt;I_Parameter!$C$5,A1240&gt;I_Parameter!$C$6),0,IF(B1240="Aktual",1,IF(AND(B1240="Order",A1240&gt;=I_Parameter!$C$4),1,0))))</f>
        <v/>
      </c>
    </row>
    <row r="1241" customFormat="false" ht="15" hidden="false" customHeight="false" outlineLevel="0" collapsed="false">
      <c r="A1241" s="37"/>
      <c r="B1241" s="44"/>
      <c r="C1241" s="44"/>
      <c r="D1241" s="44"/>
      <c r="E1241" s="44"/>
      <c r="F1241" s="44"/>
      <c r="G1241" s="34" t="str">
        <f aca="false">IF(F1241&lt;&gt;"",F1241,IF(E1241="","",IFERROR(INDEX(I_Item!$C$6:$C$255,MATCH(E1241,I_Item!$A$6:$A$255,0)),"KODE BARU")))</f>
        <v/>
      </c>
      <c r="H1241" s="45"/>
      <c r="I1241" s="42"/>
      <c r="J1241" s="11" t="str">
        <f aca="false">IF(H1241="","",H1241*I1241)</f>
        <v/>
      </c>
      <c r="K1241" s="42"/>
      <c r="L1241" s="11" t="str">
        <f aca="false">IF(H1241="","",IF(K1241&lt;&gt;"",K1241,H1241*IFERROR(INDEX(O_Stok!$Q$6:$Q$85,MATCH(G1241,O_Stok!$A$6:$A$85,0)),0)))</f>
        <v/>
      </c>
      <c r="M1241" s="11" t="str">
        <f aca="false">IF(H1241="","",J1241-L1241)</f>
        <v/>
      </c>
      <c r="N1241" s="34" t="str">
        <f aca="false">IF(G1241="","",IFERROR(INDEX(I_Master!$B$6:$B$85,MATCH(G1241,I_Master!$A$6:$A$85,0)),"?"))</f>
        <v/>
      </c>
      <c r="O1241" s="34" t="str">
        <f aca="false">IF(G1241="","",IFERROR(INDEX(I_Master!$E$6:$E$85,MATCH(G1241,I_Master!$A$6:$A$85,0)),"?"))</f>
        <v/>
      </c>
      <c r="P1241" s="46" t="str">
        <f aca="false">IF(H1241="","",IF(OR(A1241&lt;I_Parameter!$C$5,A1241&gt;I_Parameter!$C$6),0,IF(B1241="Aktual",1,IF(AND(B1241="Order",A1241&gt;=I_Parameter!$C$4),1,0))))</f>
        <v/>
      </c>
    </row>
    <row r="1242" customFormat="false" ht="15" hidden="false" customHeight="false" outlineLevel="0" collapsed="false">
      <c r="A1242" s="37"/>
      <c r="B1242" s="44"/>
      <c r="C1242" s="44"/>
      <c r="D1242" s="44"/>
      <c r="E1242" s="44"/>
      <c r="F1242" s="44"/>
      <c r="G1242" s="34" t="str">
        <f aca="false">IF(F1242&lt;&gt;"",F1242,IF(E1242="","",IFERROR(INDEX(I_Item!$C$6:$C$255,MATCH(E1242,I_Item!$A$6:$A$255,0)),"KODE BARU")))</f>
        <v/>
      </c>
      <c r="H1242" s="45"/>
      <c r="I1242" s="42"/>
      <c r="J1242" s="11" t="str">
        <f aca="false">IF(H1242="","",H1242*I1242)</f>
        <v/>
      </c>
      <c r="K1242" s="42"/>
      <c r="L1242" s="11" t="str">
        <f aca="false">IF(H1242="","",IF(K1242&lt;&gt;"",K1242,H1242*IFERROR(INDEX(O_Stok!$Q$6:$Q$85,MATCH(G1242,O_Stok!$A$6:$A$85,0)),0)))</f>
        <v/>
      </c>
      <c r="M1242" s="11" t="str">
        <f aca="false">IF(H1242="","",J1242-L1242)</f>
        <v/>
      </c>
      <c r="N1242" s="34" t="str">
        <f aca="false">IF(G1242="","",IFERROR(INDEX(I_Master!$B$6:$B$85,MATCH(G1242,I_Master!$A$6:$A$85,0)),"?"))</f>
        <v/>
      </c>
      <c r="O1242" s="34" t="str">
        <f aca="false">IF(G1242="","",IFERROR(INDEX(I_Master!$E$6:$E$85,MATCH(G1242,I_Master!$A$6:$A$85,0)),"?"))</f>
        <v/>
      </c>
      <c r="P1242" s="46" t="str">
        <f aca="false">IF(H1242="","",IF(OR(A1242&lt;I_Parameter!$C$5,A1242&gt;I_Parameter!$C$6),0,IF(B1242="Aktual",1,IF(AND(B1242="Order",A1242&gt;=I_Parameter!$C$4),1,0))))</f>
        <v/>
      </c>
    </row>
    <row r="1243" customFormat="false" ht="15" hidden="false" customHeight="false" outlineLevel="0" collapsed="false">
      <c r="A1243" s="37"/>
      <c r="B1243" s="44"/>
      <c r="C1243" s="44"/>
      <c r="D1243" s="44"/>
      <c r="E1243" s="44"/>
      <c r="F1243" s="44"/>
      <c r="G1243" s="34" t="str">
        <f aca="false">IF(F1243&lt;&gt;"",F1243,IF(E1243="","",IFERROR(INDEX(I_Item!$C$6:$C$255,MATCH(E1243,I_Item!$A$6:$A$255,0)),"KODE BARU")))</f>
        <v/>
      </c>
      <c r="H1243" s="45"/>
      <c r="I1243" s="42"/>
      <c r="J1243" s="11" t="str">
        <f aca="false">IF(H1243="","",H1243*I1243)</f>
        <v/>
      </c>
      <c r="K1243" s="42"/>
      <c r="L1243" s="11" t="str">
        <f aca="false">IF(H1243="","",IF(K1243&lt;&gt;"",K1243,H1243*IFERROR(INDEX(O_Stok!$Q$6:$Q$85,MATCH(G1243,O_Stok!$A$6:$A$85,0)),0)))</f>
        <v/>
      </c>
      <c r="M1243" s="11" t="str">
        <f aca="false">IF(H1243="","",J1243-L1243)</f>
        <v/>
      </c>
      <c r="N1243" s="34" t="str">
        <f aca="false">IF(G1243="","",IFERROR(INDEX(I_Master!$B$6:$B$85,MATCH(G1243,I_Master!$A$6:$A$85,0)),"?"))</f>
        <v/>
      </c>
      <c r="O1243" s="34" t="str">
        <f aca="false">IF(G1243="","",IFERROR(INDEX(I_Master!$E$6:$E$85,MATCH(G1243,I_Master!$A$6:$A$85,0)),"?"))</f>
        <v/>
      </c>
      <c r="P1243" s="46" t="str">
        <f aca="false">IF(H1243="","",IF(OR(A1243&lt;I_Parameter!$C$5,A1243&gt;I_Parameter!$C$6),0,IF(B1243="Aktual",1,IF(AND(B1243="Order",A1243&gt;=I_Parameter!$C$4),1,0))))</f>
        <v/>
      </c>
    </row>
    <row r="1244" customFormat="false" ht="15" hidden="false" customHeight="false" outlineLevel="0" collapsed="false">
      <c r="A1244" s="37"/>
      <c r="B1244" s="44"/>
      <c r="C1244" s="44"/>
      <c r="D1244" s="44"/>
      <c r="E1244" s="44"/>
      <c r="F1244" s="44"/>
      <c r="G1244" s="34" t="str">
        <f aca="false">IF(F1244&lt;&gt;"",F1244,IF(E1244="","",IFERROR(INDEX(I_Item!$C$6:$C$255,MATCH(E1244,I_Item!$A$6:$A$255,0)),"KODE BARU")))</f>
        <v/>
      </c>
      <c r="H1244" s="45"/>
      <c r="I1244" s="42"/>
      <c r="J1244" s="11" t="str">
        <f aca="false">IF(H1244="","",H1244*I1244)</f>
        <v/>
      </c>
      <c r="K1244" s="42"/>
      <c r="L1244" s="11" t="str">
        <f aca="false">IF(H1244="","",IF(K1244&lt;&gt;"",K1244,H1244*IFERROR(INDEX(O_Stok!$Q$6:$Q$85,MATCH(G1244,O_Stok!$A$6:$A$85,0)),0)))</f>
        <v/>
      </c>
      <c r="M1244" s="11" t="str">
        <f aca="false">IF(H1244="","",J1244-L1244)</f>
        <v/>
      </c>
      <c r="N1244" s="34" t="str">
        <f aca="false">IF(G1244="","",IFERROR(INDEX(I_Master!$B$6:$B$85,MATCH(G1244,I_Master!$A$6:$A$85,0)),"?"))</f>
        <v/>
      </c>
      <c r="O1244" s="34" t="str">
        <f aca="false">IF(G1244="","",IFERROR(INDEX(I_Master!$E$6:$E$85,MATCH(G1244,I_Master!$A$6:$A$85,0)),"?"))</f>
        <v/>
      </c>
      <c r="P1244" s="46" t="str">
        <f aca="false">IF(H1244="","",IF(OR(A1244&lt;I_Parameter!$C$5,A1244&gt;I_Parameter!$C$6),0,IF(B1244="Aktual",1,IF(AND(B1244="Order",A1244&gt;=I_Parameter!$C$4),1,0))))</f>
        <v/>
      </c>
    </row>
    <row r="1245" customFormat="false" ht="15" hidden="false" customHeight="false" outlineLevel="0" collapsed="false">
      <c r="A1245" s="37"/>
      <c r="B1245" s="44"/>
      <c r="C1245" s="44"/>
      <c r="D1245" s="44"/>
      <c r="E1245" s="44"/>
      <c r="F1245" s="44"/>
      <c r="G1245" s="34" t="str">
        <f aca="false">IF(F1245&lt;&gt;"",F1245,IF(E1245="","",IFERROR(INDEX(I_Item!$C$6:$C$255,MATCH(E1245,I_Item!$A$6:$A$255,0)),"KODE BARU")))</f>
        <v/>
      </c>
      <c r="H1245" s="45"/>
      <c r="I1245" s="42"/>
      <c r="J1245" s="11" t="str">
        <f aca="false">IF(H1245="","",H1245*I1245)</f>
        <v/>
      </c>
      <c r="K1245" s="42"/>
      <c r="L1245" s="11" t="str">
        <f aca="false">IF(H1245="","",IF(K1245&lt;&gt;"",K1245,H1245*IFERROR(INDEX(O_Stok!$Q$6:$Q$85,MATCH(G1245,O_Stok!$A$6:$A$85,0)),0)))</f>
        <v/>
      </c>
      <c r="M1245" s="11" t="str">
        <f aca="false">IF(H1245="","",J1245-L1245)</f>
        <v/>
      </c>
      <c r="N1245" s="34" t="str">
        <f aca="false">IF(G1245="","",IFERROR(INDEX(I_Master!$B$6:$B$85,MATCH(G1245,I_Master!$A$6:$A$85,0)),"?"))</f>
        <v/>
      </c>
      <c r="O1245" s="34" t="str">
        <f aca="false">IF(G1245="","",IFERROR(INDEX(I_Master!$E$6:$E$85,MATCH(G1245,I_Master!$A$6:$A$85,0)),"?"))</f>
        <v/>
      </c>
      <c r="P1245" s="46" t="str">
        <f aca="false">IF(H1245="","",IF(OR(A1245&lt;I_Parameter!$C$5,A1245&gt;I_Parameter!$C$6),0,IF(B1245="Aktual",1,IF(AND(B1245="Order",A1245&gt;=I_Parameter!$C$4),1,0))))</f>
        <v/>
      </c>
    </row>
    <row r="1246" customFormat="false" ht="15" hidden="false" customHeight="false" outlineLevel="0" collapsed="false">
      <c r="A1246" s="37"/>
      <c r="B1246" s="44"/>
      <c r="C1246" s="44"/>
      <c r="D1246" s="44"/>
      <c r="E1246" s="44"/>
      <c r="F1246" s="44"/>
      <c r="G1246" s="34" t="str">
        <f aca="false">IF(F1246&lt;&gt;"",F1246,IF(E1246="","",IFERROR(INDEX(I_Item!$C$6:$C$255,MATCH(E1246,I_Item!$A$6:$A$255,0)),"KODE BARU")))</f>
        <v/>
      </c>
      <c r="H1246" s="45"/>
      <c r="I1246" s="42"/>
      <c r="J1246" s="11" t="str">
        <f aca="false">IF(H1246="","",H1246*I1246)</f>
        <v/>
      </c>
      <c r="K1246" s="42"/>
      <c r="L1246" s="11" t="str">
        <f aca="false">IF(H1246="","",IF(K1246&lt;&gt;"",K1246,H1246*IFERROR(INDEX(O_Stok!$Q$6:$Q$85,MATCH(G1246,O_Stok!$A$6:$A$85,0)),0)))</f>
        <v/>
      </c>
      <c r="M1246" s="11" t="str">
        <f aca="false">IF(H1246="","",J1246-L1246)</f>
        <v/>
      </c>
      <c r="N1246" s="34" t="str">
        <f aca="false">IF(G1246="","",IFERROR(INDEX(I_Master!$B$6:$B$85,MATCH(G1246,I_Master!$A$6:$A$85,0)),"?"))</f>
        <v/>
      </c>
      <c r="O1246" s="34" t="str">
        <f aca="false">IF(G1246="","",IFERROR(INDEX(I_Master!$E$6:$E$85,MATCH(G1246,I_Master!$A$6:$A$85,0)),"?"))</f>
        <v/>
      </c>
      <c r="P1246" s="46" t="str">
        <f aca="false">IF(H1246="","",IF(OR(A1246&lt;I_Parameter!$C$5,A1246&gt;I_Parameter!$C$6),0,IF(B1246="Aktual",1,IF(AND(B1246="Order",A1246&gt;=I_Parameter!$C$4),1,0))))</f>
        <v/>
      </c>
    </row>
    <row r="1247" customFormat="false" ht="15" hidden="false" customHeight="false" outlineLevel="0" collapsed="false">
      <c r="A1247" s="37"/>
      <c r="B1247" s="44"/>
      <c r="C1247" s="44"/>
      <c r="D1247" s="44"/>
      <c r="E1247" s="44"/>
      <c r="F1247" s="44"/>
      <c r="G1247" s="34" t="str">
        <f aca="false">IF(F1247&lt;&gt;"",F1247,IF(E1247="","",IFERROR(INDEX(I_Item!$C$6:$C$255,MATCH(E1247,I_Item!$A$6:$A$255,0)),"KODE BARU")))</f>
        <v/>
      </c>
      <c r="H1247" s="45"/>
      <c r="I1247" s="42"/>
      <c r="J1247" s="11" t="str">
        <f aca="false">IF(H1247="","",H1247*I1247)</f>
        <v/>
      </c>
      <c r="K1247" s="42"/>
      <c r="L1247" s="11" t="str">
        <f aca="false">IF(H1247="","",IF(K1247&lt;&gt;"",K1247,H1247*IFERROR(INDEX(O_Stok!$Q$6:$Q$85,MATCH(G1247,O_Stok!$A$6:$A$85,0)),0)))</f>
        <v/>
      </c>
      <c r="M1247" s="11" t="str">
        <f aca="false">IF(H1247="","",J1247-L1247)</f>
        <v/>
      </c>
      <c r="N1247" s="34" t="str">
        <f aca="false">IF(G1247="","",IFERROR(INDEX(I_Master!$B$6:$B$85,MATCH(G1247,I_Master!$A$6:$A$85,0)),"?"))</f>
        <v/>
      </c>
      <c r="O1247" s="34" t="str">
        <f aca="false">IF(G1247="","",IFERROR(INDEX(I_Master!$E$6:$E$85,MATCH(G1247,I_Master!$A$6:$A$85,0)),"?"))</f>
        <v/>
      </c>
      <c r="P1247" s="46" t="str">
        <f aca="false">IF(H1247="","",IF(OR(A1247&lt;I_Parameter!$C$5,A1247&gt;I_Parameter!$C$6),0,IF(B1247="Aktual",1,IF(AND(B1247="Order",A1247&gt;=I_Parameter!$C$4),1,0))))</f>
        <v/>
      </c>
    </row>
    <row r="1248" customFormat="false" ht="15" hidden="false" customHeight="false" outlineLevel="0" collapsed="false">
      <c r="A1248" s="37"/>
      <c r="B1248" s="44"/>
      <c r="C1248" s="44"/>
      <c r="D1248" s="44"/>
      <c r="E1248" s="44"/>
      <c r="F1248" s="44"/>
      <c r="G1248" s="34" t="str">
        <f aca="false">IF(F1248&lt;&gt;"",F1248,IF(E1248="","",IFERROR(INDEX(I_Item!$C$6:$C$255,MATCH(E1248,I_Item!$A$6:$A$255,0)),"KODE BARU")))</f>
        <v/>
      </c>
      <c r="H1248" s="45"/>
      <c r="I1248" s="42"/>
      <c r="J1248" s="11" t="str">
        <f aca="false">IF(H1248="","",H1248*I1248)</f>
        <v/>
      </c>
      <c r="K1248" s="42"/>
      <c r="L1248" s="11" t="str">
        <f aca="false">IF(H1248="","",IF(K1248&lt;&gt;"",K1248,H1248*IFERROR(INDEX(O_Stok!$Q$6:$Q$85,MATCH(G1248,O_Stok!$A$6:$A$85,0)),0)))</f>
        <v/>
      </c>
      <c r="M1248" s="11" t="str">
        <f aca="false">IF(H1248="","",J1248-L1248)</f>
        <v/>
      </c>
      <c r="N1248" s="34" t="str">
        <f aca="false">IF(G1248="","",IFERROR(INDEX(I_Master!$B$6:$B$85,MATCH(G1248,I_Master!$A$6:$A$85,0)),"?"))</f>
        <v/>
      </c>
      <c r="O1248" s="34" t="str">
        <f aca="false">IF(G1248="","",IFERROR(INDEX(I_Master!$E$6:$E$85,MATCH(G1248,I_Master!$A$6:$A$85,0)),"?"))</f>
        <v/>
      </c>
      <c r="P1248" s="46" t="str">
        <f aca="false">IF(H1248="","",IF(OR(A1248&lt;I_Parameter!$C$5,A1248&gt;I_Parameter!$C$6),0,IF(B1248="Aktual",1,IF(AND(B1248="Order",A1248&gt;=I_Parameter!$C$4),1,0))))</f>
        <v/>
      </c>
    </row>
    <row r="1249" customFormat="false" ht="15" hidden="false" customHeight="false" outlineLevel="0" collapsed="false">
      <c r="A1249" s="37"/>
      <c r="B1249" s="44"/>
      <c r="C1249" s="44"/>
      <c r="D1249" s="44"/>
      <c r="E1249" s="44"/>
      <c r="F1249" s="44"/>
      <c r="G1249" s="34" t="str">
        <f aca="false">IF(F1249&lt;&gt;"",F1249,IF(E1249="","",IFERROR(INDEX(I_Item!$C$6:$C$255,MATCH(E1249,I_Item!$A$6:$A$255,0)),"KODE BARU")))</f>
        <v/>
      </c>
      <c r="H1249" s="45"/>
      <c r="I1249" s="42"/>
      <c r="J1249" s="11" t="str">
        <f aca="false">IF(H1249="","",H1249*I1249)</f>
        <v/>
      </c>
      <c r="K1249" s="42"/>
      <c r="L1249" s="11" t="str">
        <f aca="false">IF(H1249="","",IF(K1249&lt;&gt;"",K1249,H1249*IFERROR(INDEX(O_Stok!$Q$6:$Q$85,MATCH(G1249,O_Stok!$A$6:$A$85,0)),0)))</f>
        <v/>
      </c>
      <c r="M1249" s="11" t="str">
        <f aca="false">IF(H1249="","",J1249-L1249)</f>
        <v/>
      </c>
      <c r="N1249" s="34" t="str">
        <f aca="false">IF(G1249="","",IFERROR(INDEX(I_Master!$B$6:$B$85,MATCH(G1249,I_Master!$A$6:$A$85,0)),"?"))</f>
        <v/>
      </c>
      <c r="O1249" s="34" t="str">
        <f aca="false">IF(G1249="","",IFERROR(INDEX(I_Master!$E$6:$E$85,MATCH(G1249,I_Master!$A$6:$A$85,0)),"?"))</f>
        <v/>
      </c>
      <c r="P1249" s="46" t="str">
        <f aca="false">IF(H1249="","",IF(OR(A1249&lt;I_Parameter!$C$5,A1249&gt;I_Parameter!$C$6),0,IF(B1249="Aktual",1,IF(AND(B1249="Order",A1249&gt;=I_Parameter!$C$4),1,0))))</f>
        <v/>
      </c>
    </row>
    <row r="1250" customFormat="false" ht="15" hidden="false" customHeight="false" outlineLevel="0" collapsed="false">
      <c r="A1250" s="37"/>
      <c r="B1250" s="44"/>
      <c r="C1250" s="44"/>
      <c r="D1250" s="44"/>
      <c r="E1250" s="44"/>
      <c r="F1250" s="44"/>
      <c r="G1250" s="34" t="str">
        <f aca="false">IF(F1250&lt;&gt;"",F1250,IF(E1250="","",IFERROR(INDEX(I_Item!$C$6:$C$255,MATCH(E1250,I_Item!$A$6:$A$255,0)),"KODE BARU")))</f>
        <v/>
      </c>
      <c r="H1250" s="45"/>
      <c r="I1250" s="42"/>
      <c r="J1250" s="11" t="str">
        <f aca="false">IF(H1250="","",H1250*I1250)</f>
        <v/>
      </c>
      <c r="K1250" s="42"/>
      <c r="L1250" s="11" t="str">
        <f aca="false">IF(H1250="","",IF(K1250&lt;&gt;"",K1250,H1250*IFERROR(INDEX(O_Stok!$Q$6:$Q$85,MATCH(G1250,O_Stok!$A$6:$A$85,0)),0)))</f>
        <v/>
      </c>
      <c r="M1250" s="11" t="str">
        <f aca="false">IF(H1250="","",J1250-L1250)</f>
        <v/>
      </c>
      <c r="N1250" s="34" t="str">
        <f aca="false">IF(G1250="","",IFERROR(INDEX(I_Master!$B$6:$B$85,MATCH(G1250,I_Master!$A$6:$A$85,0)),"?"))</f>
        <v/>
      </c>
      <c r="O1250" s="34" t="str">
        <f aca="false">IF(G1250="","",IFERROR(INDEX(I_Master!$E$6:$E$85,MATCH(G1250,I_Master!$A$6:$A$85,0)),"?"))</f>
        <v/>
      </c>
      <c r="P1250" s="46" t="str">
        <f aca="false">IF(H1250="","",IF(OR(A1250&lt;I_Parameter!$C$5,A1250&gt;I_Parameter!$C$6),0,IF(B1250="Aktual",1,IF(AND(B1250="Order",A1250&gt;=I_Parameter!$C$4),1,0))))</f>
        <v/>
      </c>
    </row>
    <row r="1251" customFormat="false" ht="15" hidden="false" customHeight="false" outlineLevel="0" collapsed="false">
      <c r="A1251" s="37"/>
      <c r="B1251" s="44"/>
      <c r="C1251" s="44"/>
      <c r="D1251" s="44"/>
      <c r="E1251" s="44"/>
      <c r="F1251" s="44"/>
      <c r="G1251" s="34" t="str">
        <f aca="false">IF(F1251&lt;&gt;"",F1251,IF(E1251="","",IFERROR(INDEX(I_Item!$C$6:$C$255,MATCH(E1251,I_Item!$A$6:$A$255,0)),"KODE BARU")))</f>
        <v/>
      </c>
      <c r="H1251" s="45"/>
      <c r="I1251" s="42"/>
      <c r="J1251" s="11" t="str">
        <f aca="false">IF(H1251="","",H1251*I1251)</f>
        <v/>
      </c>
      <c r="K1251" s="42"/>
      <c r="L1251" s="11" t="str">
        <f aca="false">IF(H1251="","",IF(K1251&lt;&gt;"",K1251,H1251*IFERROR(INDEX(O_Stok!$Q$6:$Q$85,MATCH(G1251,O_Stok!$A$6:$A$85,0)),0)))</f>
        <v/>
      </c>
      <c r="M1251" s="11" t="str">
        <f aca="false">IF(H1251="","",J1251-L1251)</f>
        <v/>
      </c>
      <c r="N1251" s="34" t="str">
        <f aca="false">IF(G1251="","",IFERROR(INDEX(I_Master!$B$6:$B$85,MATCH(G1251,I_Master!$A$6:$A$85,0)),"?"))</f>
        <v/>
      </c>
      <c r="O1251" s="34" t="str">
        <f aca="false">IF(G1251="","",IFERROR(INDEX(I_Master!$E$6:$E$85,MATCH(G1251,I_Master!$A$6:$A$85,0)),"?"))</f>
        <v/>
      </c>
      <c r="P1251" s="46" t="str">
        <f aca="false">IF(H1251="","",IF(OR(A1251&lt;I_Parameter!$C$5,A1251&gt;I_Parameter!$C$6),0,IF(B1251="Aktual",1,IF(AND(B1251="Order",A1251&gt;=I_Parameter!$C$4),1,0))))</f>
        <v/>
      </c>
    </row>
    <row r="1252" customFormat="false" ht="15" hidden="false" customHeight="false" outlineLevel="0" collapsed="false">
      <c r="A1252" s="37"/>
      <c r="B1252" s="44"/>
      <c r="C1252" s="44"/>
      <c r="D1252" s="44"/>
      <c r="E1252" s="44"/>
      <c r="F1252" s="44"/>
      <c r="G1252" s="34" t="str">
        <f aca="false">IF(F1252&lt;&gt;"",F1252,IF(E1252="","",IFERROR(INDEX(I_Item!$C$6:$C$255,MATCH(E1252,I_Item!$A$6:$A$255,0)),"KODE BARU")))</f>
        <v/>
      </c>
      <c r="H1252" s="45"/>
      <c r="I1252" s="42"/>
      <c r="J1252" s="11" t="str">
        <f aca="false">IF(H1252="","",H1252*I1252)</f>
        <v/>
      </c>
      <c r="K1252" s="42"/>
      <c r="L1252" s="11" t="str">
        <f aca="false">IF(H1252="","",IF(K1252&lt;&gt;"",K1252,H1252*IFERROR(INDEX(O_Stok!$Q$6:$Q$85,MATCH(G1252,O_Stok!$A$6:$A$85,0)),0)))</f>
        <v/>
      </c>
      <c r="M1252" s="11" t="str">
        <f aca="false">IF(H1252="","",J1252-L1252)</f>
        <v/>
      </c>
      <c r="N1252" s="34" t="str">
        <f aca="false">IF(G1252="","",IFERROR(INDEX(I_Master!$B$6:$B$85,MATCH(G1252,I_Master!$A$6:$A$85,0)),"?"))</f>
        <v/>
      </c>
      <c r="O1252" s="34" t="str">
        <f aca="false">IF(G1252="","",IFERROR(INDEX(I_Master!$E$6:$E$85,MATCH(G1252,I_Master!$A$6:$A$85,0)),"?"))</f>
        <v/>
      </c>
      <c r="P1252" s="46" t="str">
        <f aca="false">IF(H1252="","",IF(OR(A1252&lt;I_Parameter!$C$5,A1252&gt;I_Parameter!$C$6),0,IF(B1252="Aktual",1,IF(AND(B1252="Order",A1252&gt;=I_Parameter!$C$4),1,0))))</f>
        <v/>
      </c>
    </row>
    <row r="1253" customFormat="false" ht="15" hidden="false" customHeight="false" outlineLevel="0" collapsed="false">
      <c r="A1253" s="37"/>
      <c r="B1253" s="44"/>
      <c r="C1253" s="44"/>
      <c r="D1253" s="44"/>
      <c r="E1253" s="44"/>
      <c r="F1253" s="44"/>
      <c r="G1253" s="34" t="str">
        <f aca="false">IF(F1253&lt;&gt;"",F1253,IF(E1253="","",IFERROR(INDEX(I_Item!$C$6:$C$255,MATCH(E1253,I_Item!$A$6:$A$255,0)),"KODE BARU")))</f>
        <v/>
      </c>
      <c r="H1253" s="45"/>
      <c r="I1253" s="42"/>
      <c r="J1253" s="11" t="str">
        <f aca="false">IF(H1253="","",H1253*I1253)</f>
        <v/>
      </c>
      <c r="K1253" s="42"/>
      <c r="L1253" s="11" t="str">
        <f aca="false">IF(H1253="","",IF(K1253&lt;&gt;"",K1253,H1253*IFERROR(INDEX(O_Stok!$Q$6:$Q$85,MATCH(G1253,O_Stok!$A$6:$A$85,0)),0)))</f>
        <v/>
      </c>
      <c r="M1253" s="11" t="str">
        <f aca="false">IF(H1253="","",J1253-L1253)</f>
        <v/>
      </c>
      <c r="N1253" s="34" t="str">
        <f aca="false">IF(G1253="","",IFERROR(INDEX(I_Master!$B$6:$B$85,MATCH(G1253,I_Master!$A$6:$A$85,0)),"?"))</f>
        <v/>
      </c>
      <c r="O1253" s="34" t="str">
        <f aca="false">IF(G1253="","",IFERROR(INDEX(I_Master!$E$6:$E$85,MATCH(G1253,I_Master!$A$6:$A$85,0)),"?"))</f>
        <v/>
      </c>
      <c r="P1253" s="46" t="str">
        <f aca="false">IF(H1253="","",IF(OR(A1253&lt;I_Parameter!$C$5,A1253&gt;I_Parameter!$C$6),0,IF(B1253="Aktual",1,IF(AND(B1253="Order",A1253&gt;=I_Parameter!$C$4),1,0))))</f>
        <v/>
      </c>
    </row>
    <row r="1254" customFormat="false" ht="15" hidden="false" customHeight="false" outlineLevel="0" collapsed="false">
      <c r="A1254" s="37"/>
      <c r="B1254" s="44"/>
      <c r="C1254" s="44"/>
      <c r="D1254" s="44"/>
      <c r="E1254" s="44"/>
      <c r="F1254" s="44"/>
      <c r="G1254" s="34" t="str">
        <f aca="false">IF(F1254&lt;&gt;"",F1254,IF(E1254="","",IFERROR(INDEX(I_Item!$C$6:$C$255,MATCH(E1254,I_Item!$A$6:$A$255,0)),"KODE BARU")))</f>
        <v/>
      </c>
      <c r="H1254" s="45"/>
      <c r="I1254" s="42"/>
      <c r="J1254" s="11" t="str">
        <f aca="false">IF(H1254="","",H1254*I1254)</f>
        <v/>
      </c>
      <c r="K1254" s="42"/>
      <c r="L1254" s="11" t="str">
        <f aca="false">IF(H1254="","",IF(K1254&lt;&gt;"",K1254,H1254*IFERROR(INDEX(O_Stok!$Q$6:$Q$85,MATCH(G1254,O_Stok!$A$6:$A$85,0)),0)))</f>
        <v/>
      </c>
      <c r="M1254" s="11" t="str">
        <f aca="false">IF(H1254="","",J1254-L1254)</f>
        <v/>
      </c>
      <c r="N1254" s="34" t="str">
        <f aca="false">IF(G1254="","",IFERROR(INDEX(I_Master!$B$6:$B$85,MATCH(G1254,I_Master!$A$6:$A$85,0)),"?"))</f>
        <v/>
      </c>
      <c r="O1254" s="34" t="str">
        <f aca="false">IF(G1254="","",IFERROR(INDEX(I_Master!$E$6:$E$85,MATCH(G1254,I_Master!$A$6:$A$85,0)),"?"))</f>
        <v/>
      </c>
      <c r="P1254" s="46" t="str">
        <f aca="false">IF(H1254="","",IF(OR(A1254&lt;I_Parameter!$C$5,A1254&gt;I_Parameter!$C$6),0,IF(B1254="Aktual",1,IF(AND(B1254="Order",A1254&gt;=I_Parameter!$C$4),1,0))))</f>
        <v/>
      </c>
    </row>
    <row r="1255" customFormat="false" ht="15" hidden="false" customHeight="false" outlineLevel="0" collapsed="false">
      <c r="A1255" s="37"/>
      <c r="B1255" s="44"/>
      <c r="C1255" s="44"/>
      <c r="D1255" s="44"/>
      <c r="E1255" s="44"/>
      <c r="F1255" s="44"/>
      <c r="G1255" s="34" t="str">
        <f aca="false">IF(F1255&lt;&gt;"",F1255,IF(E1255="","",IFERROR(INDEX(I_Item!$C$6:$C$255,MATCH(E1255,I_Item!$A$6:$A$255,0)),"KODE BARU")))</f>
        <v/>
      </c>
      <c r="H1255" s="45"/>
      <c r="I1255" s="42"/>
      <c r="J1255" s="11" t="str">
        <f aca="false">IF(H1255="","",H1255*I1255)</f>
        <v/>
      </c>
      <c r="K1255" s="42"/>
      <c r="L1255" s="11" t="str">
        <f aca="false">IF(H1255="","",IF(K1255&lt;&gt;"",K1255,H1255*IFERROR(INDEX(O_Stok!$Q$6:$Q$85,MATCH(G1255,O_Stok!$A$6:$A$85,0)),0)))</f>
        <v/>
      </c>
      <c r="M1255" s="11" t="str">
        <f aca="false">IF(H1255="","",J1255-L1255)</f>
        <v/>
      </c>
      <c r="N1255" s="34" t="str">
        <f aca="false">IF(G1255="","",IFERROR(INDEX(I_Master!$B$6:$B$85,MATCH(G1255,I_Master!$A$6:$A$85,0)),"?"))</f>
        <v/>
      </c>
      <c r="O1255" s="34" t="str">
        <f aca="false">IF(G1255="","",IFERROR(INDEX(I_Master!$E$6:$E$85,MATCH(G1255,I_Master!$A$6:$A$85,0)),"?"))</f>
        <v/>
      </c>
      <c r="P1255" s="46" t="str">
        <f aca="false">IF(H1255="","",IF(OR(A1255&lt;I_Parameter!$C$5,A1255&gt;I_Parameter!$C$6),0,IF(B1255="Aktual",1,IF(AND(B1255="Order",A1255&gt;=I_Parameter!$C$4),1,0))))</f>
        <v/>
      </c>
    </row>
    <row r="1256" customFormat="false" ht="15" hidden="false" customHeight="false" outlineLevel="0" collapsed="false">
      <c r="A1256" s="37"/>
      <c r="B1256" s="44"/>
      <c r="C1256" s="44"/>
      <c r="D1256" s="44"/>
      <c r="E1256" s="44"/>
      <c r="F1256" s="44"/>
      <c r="G1256" s="34" t="str">
        <f aca="false">IF(F1256&lt;&gt;"",F1256,IF(E1256="","",IFERROR(INDEX(I_Item!$C$6:$C$255,MATCH(E1256,I_Item!$A$6:$A$255,0)),"KODE BARU")))</f>
        <v/>
      </c>
      <c r="H1256" s="45"/>
      <c r="I1256" s="42"/>
      <c r="J1256" s="11" t="str">
        <f aca="false">IF(H1256="","",H1256*I1256)</f>
        <v/>
      </c>
      <c r="K1256" s="42"/>
      <c r="L1256" s="11" t="str">
        <f aca="false">IF(H1256="","",IF(K1256&lt;&gt;"",K1256,H1256*IFERROR(INDEX(O_Stok!$Q$6:$Q$85,MATCH(G1256,O_Stok!$A$6:$A$85,0)),0)))</f>
        <v/>
      </c>
      <c r="M1256" s="11" t="str">
        <f aca="false">IF(H1256="","",J1256-L1256)</f>
        <v/>
      </c>
      <c r="N1256" s="34" t="str">
        <f aca="false">IF(G1256="","",IFERROR(INDEX(I_Master!$B$6:$B$85,MATCH(G1256,I_Master!$A$6:$A$85,0)),"?"))</f>
        <v/>
      </c>
      <c r="O1256" s="34" t="str">
        <f aca="false">IF(G1256="","",IFERROR(INDEX(I_Master!$E$6:$E$85,MATCH(G1256,I_Master!$A$6:$A$85,0)),"?"))</f>
        <v/>
      </c>
      <c r="P1256" s="46" t="str">
        <f aca="false">IF(H1256="","",IF(OR(A1256&lt;I_Parameter!$C$5,A1256&gt;I_Parameter!$C$6),0,IF(B1256="Aktual",1,IF(AND(B1256="Order",A1256&gt;=I_Parameter!$C$4),1,0))))</f>
        <v/>
      </c>
    </row>
    <row r="1257" customFormat="false" ht="15" hidden="false" customHeight="false" outlineLevel="0" collapsed="false">
      <c r="A1257" s="37"/>
      <c r="B1257" s="44"/>
      <c r="C1257" s="44"/>
      <c r="D1257" s="44"/>
      <c r="E1257" s="44"/>
      <c r="F1257" s="44"/>
      <c r="G1257" s="34" t="str">
        <f aca="false">IF(F1257&lt;&gt;"",F1257,IF(E1257="","",IFERROR(INDEX(I_Item!$C$6:$C$255,MATCH(E1257,I_Item!$A$6:$A$255,0)),"KODE BARU")))</f>
        <v/>
      </c>
      <c r="H1257" s="45"/>
      <c r="I1257" s="42"/>
      <c r="J1257" s="11" t="str">
        <f aca="false">IF(H1257="","",H1257*I1257)</f>
        <v/>
      </c>
      <c r="K1257" s="42"/>
      <c r="L1257" s="11" t="str">
        <f aca="false">IF(H1257="","",IF(K1257&lt;&gt;"",K1257,H1257*IFERROR(INDEX(O_Stok!$Q$6:$Q$85,MATCH(G1257,O_Stok!$A$6:$A$85,0)),0)))</f>
        <v/>
      </c>
      <c r="M1257" s="11" t="str">
        <f aca="false">IF(H1257="","",J1257-L1257)</f>
        <v/>
      </c>
      <c r="N1257" s="34" t="str">
        <f aca="false">IF(G1257="","",IFERROR(INDEX(I_Master!$B$6:$B$85,MATCH(G1257,I_Master!$A$6:$A$85,0)),"?"))</f>
        <v/>
      </c>
      <c r="O1257" s="34" t="str">
        <f aca="false">IF(G1257="","",IFERROR(INDEX(I_Master!$E$6:$E$85,MATCH(G1257,I_Master!$A$6:$A$85,0)),"?"))</f>
        <v/>
      </c>
      <c r="P1257" s="46" t="str">
        <f aca="false">IF(H1257="","",IF(OR(A1257&lt;I_Parameter!$C$5,A1257&gt;I_Parameter!$C$6),0,IF(B1257="Aktual",1,IF(AND(B1257="Order",A1257&gt;=I_Parameter!$C$4),1,0))))</f>
        <v/>
      </c>
    </row>
    <row r="1258" customFormat="false" ht="15" hidden="false" customHeight="false" outlineLevel="0" collapsed="false">
      <c r="A1258" s="37"/>
      <c r="B1258" s="44"/>
      <c r="C1258" s="44"/>
      <c r="D1258" s="44"/>
      <c r="E1258" s="44"/>
      <c r="F1258" s="44"/>
      <c r="G1258" s="34" t="str">
        <f aca="false">IF(F1258&lt;&gt;"",F1258,IF(E1258="","",IFERROR(INDEX(I_Item!$C$6:$C$255,MATCH(E1258,I_Item!$A$6:$A$255,0)),"KODE BARU")))</f>
        <v/>
      </c>
      <c r="H1258" s="45"/>
      <c r="I1258" s="42"/>
      <c r="J1258" s="11" t="str">
        <f aca="false">IF(H1258="","",H1258*I1258)</f>
        <v/>
      </c>
      <c r="K1258" s="42"/>
      <c r="L1258" s="11" t="str">
        <f aca="false">IF(H1258="","",IF(K1258&lt;&gt;"",K1258,H1258*IFERROR(INDEX(O_Stok!$Q$6:$Q$85,MATCH(G1258,O_Stok!$A$6:$A$85,0)),0)))</f>
        <v/>
      </c>
      <c r="M1258" s="11" t="str">
        <f aca="false">IF(H1258="","",J1258-L1258)</f>
        <v/>
      </c>
      <c r="N1258" s="34" t="str">
        <f aca="false">IF(G1258="","",IFERROR(INDEX(I_Master!$B$6:$B$85,MATCH(G1258,I_Master!$A$6:$A$85,0)),"?"))</f>
        <v/>
      </c>
      <c r="O1258" s="34" t="str">
        <f aca="false">IF(G1258="","",IFERROR(INDEX(I_Master!$E$6:$E$85,MATCH(G1258,I_Master!$A$6:$A$85,0)),"?"))</f>
        <v/>
      </c>
      <c r="P1258" s="46" t="str">
        <f aca="false">IF(H1258="","",IF(OR(A1258&lt;I_Parameter!$C$5,A1258&gt;I_Parameter!$C$6),0,IF(B1258="Aktual",1,IF(AND(B1258="Order",A1258&gt;=I_Parameter!$C$4),1,0))))</f>
        <v/>
      </c>
    </row>
    <row r="1259" customFormat="false" ht="15" hidden="false" customHeight="false" outlineLevel="0" collapsed="false">
      <c r="A1259" s="37"/>
      <c r="B1259" s="44"/>
      <c r="C1259" s="44"/>
      <c r="D1259" s="44"/>
      <c r="E1259" s="44"/>
      <c r="F1259" s="44"/>
      <c r="G1259" s="34" t="str">
        <f aca="false">IF(F1259&lt;&gt;"",F1259,IF(E1259="","",IFERROR(INDEX(I_Item!$C$6:$C$255,MATCH(E1259,I_Item!$A$6:$A$255,0)),"KODE BARU")))</f>
        <v/>
      </c>
      <c r="H1259" s="45"/>
      <c r="I1259" s="42"/>
      <c r="J1259" s="11" t="str">
        <f aca="false">IF(H1259="","",H1259*I1259)</f>
        <v/>
      </c>
      <c r="K1259" s="42"/>
      <c r="L1259" s="11" t="str">
        <f aca="false">IF(H1259="","",IF(K1259&lt;&gt;"",K1259,H1259*IFERROR(INDEX(O_Stok!$Q$6:$Q$85,MATCH(G1259,O_Stok!$A$6:$A$85,0)),0)))</f>
        <v/>
      </c>
      <c r="M1259" s="11" t="str">
        <f aca="false">IF(H1259="","",J1259-L1259)</f>
        <v/>
      </c>
      <c r="N1259" s="34" t="str">
        <f aca="false">IF(G1259="","",IFERROR(INDEX(I_Master!$B$6:$B$85,MATCH(G1259,I_Master!$A$6:$A$85,0)),"?"))</f>
        <v/>
      </c>
      <c r="O1259" s="34" t="str">
        <f aca="false">IF(G1259="","",IFERROR(INDEX(I_Master!$E$6:$E$85,MATCH(G1259,I_Master!$A$6:$A$85,0)),"?"))</f>
        <v/>
      </c>
      <c r="P1259" s="46" t="str">
        <f aca="false">IF(H1259="","",IF(OR(A1259&lt;I_Parameter!$C$5,A1259&gt;I_Parameter!$C$6),0,IF(B1259="Aktual",1,IF(AND(B1259="Order",A1259&gt;=I_Parameter!$C$4),1,0))))</f>
        <v/>
      </c>
    </row>
    <row r="1260" customFormat="false" ht="15" hidden="false" customHeight="false" outlineLevel="0" collapsed="false">
      <c r="A1260" s="37"/>
      <c r="B1260" s="44"/>
      <c r="C1260" s="44"/>
      <c r="D1260" s="44"/>
      <c r="E1260" s="44"/>
      <c r="F1260" s="44"/>
      <c r="G1260" s="34" t="str">
        <f aca="false">IF(F1260&lt;&gt;"",F1260,IF(E1260="","",IFERROR(INDEX(I_Item!$C$6:$C$255,MATCH(E1260,I_Item!$A$6:$A$255,0)),"KODE BARU")))</f>
        <v/>
      </c>
      <c r="H1260" s="45"/>
      <c r="I1260" s="42"/>
      <c r="J1260" s="11" t="str">
        <f aca="false">IF(H1260="","",H1260*I1260)</f>
        <v/>
      </c>
      <c r="K1260" s="42"/>
      <c r="L1260" s="11" t="str">
        <f aca="false">IF(H1260="","",IF(K1260&lt;&gt;"",K1260,H1260*IFERROR(INDEX(O_Stok!$Q$6:$Q$85,MATCH(G1260,O_Stok!$A$6:$A$85,0)),0)))</f>
        <v/>
      </c>
      <c r="M1260" s="11" t="str">
        <f aca="false">IF(H1260="","",J1260-L1260)</f>
        <v/>
      </c>
      <c r="N1260" s="34" t="str">
        <f aca="false">IF(G1260="","",IFERROR(INDEX(I_Master!$B$6:$B$85,MATCH(G1260,I_Master!$A$6:$A$85,0)),"?"))</f>
        <v/>
      </c>
      <c r="O1260" s="34" t="str">
        <f aca="false">IF(G1260="","",IFERROR(INDEX(I_Master!$E$6:$E$85,MATCH(G1260,I_Master!$A$6:$A$85,0)),"?"))</f>
        <v/>
      </c>
      <c r="P1260" s="46" t="str">
        <f aca="false">IF(H1260="","",IF(OR(A1260&lt;I_Parameter!$C$5,A1260&gt;I_Parameter!$C$6),0,IF(B1260="Aktual",1,IF(AND(B1260="Order",A1260&gt;=I_Parameter!$C$4),1,0))))</f>
        <v/>
      </c>
    </row>
    <row r="1261" customFormat="false" ht="15" hidden="false" customHeight="false" outlineLevel="0" collapsed="false">
      <c r="A1261" s="37"/>
      <c r="B1261" s="44"/>
      <c r="C1261" s="44"/>
      <c r="D1261" s="44"/>
      <c r="E1261" s="44"/>
      <c r="F1261" s="44"/>
      <c r="G1261" s="34" t="str">
        <f aca="false">IF(F1261&lt;&gt;"",F1261,IF(E1261="","",IFERROR(INDEX(I_Item!$C$6:$C$255,MATCH(E1261,I_Item!$A$6:$A$255,0)),"KODE BARU")))</f>
        <v/>
      </c>
      <c r="H1261" s="45"/>
      <c r="I1261" s="42"/>
      <c r="J1261" s="11" t="str">
        <f aca="false">IF(H1261="","",H1261*I1261)</f>
        <v/>
      </c>
      <c r="K1261" s="42"/>
      <c r="L1261" s="11" t="str">
        <f aca="false">IF(H1261="","",IF(K1261&lt;&gt;"",K1261,H1261*IFERROR(INDEX(O_Stok!$Q$6:$Q$85,MATCH(G1261,O_Stok!$A$6:$A$85,0)),0)))</f>
        <v/>
      </c>
      <c r="M1261" s="11" t="str">
        <f aca="false">IF(H1261="","",J1261-L1261)</f>
        <v/>
      </c>
      <c r="N1261" s="34" t="str">
        <f aca="false">IF(G1261="","",IFERROR(INDEX(I_Master!$B$6:$B$85,MATCH(G1261,I_Master!$A$6:$A$85,0)),"?"))</f>
        <v/>
      </c>
      <c r="O1261" s="34" t="str">
        <f aca="false">IF(G1261="","",IFERROR(INDEX(I_Master!$E$6:$E$85,MATCH(G1261,I_Master!$A$6:$A$85,0)),"?"))</f>
        <v/>
      </c>
      <c r="P1261" s="46" t="str">
        <f aca="false">IF(H1261="","",IF(OR(A1261&lt;I_Parameter!$C$5,A1261&gt;I_Parameter!$C$6),0,IF(B1261="Aktual",1,IF(AND(B1261="Order",A1261&gt;=I_Parameter!$C$4),1,0))))</f>
        <v/>
      </c>
    </row>
    <row r="1262" customFormat="false" ht="15" hidden="false" customHeight="false" outlineLevel="0" collapsed="false">
      <c r="A1262" s="37"/>
      <c r="B1262" s="44"/>
      <c r="C1262" s="44"/>
      <c r="D1262" s="44"/>
      <c r="E1262" s="44"/>
      <c r="F1262" s="44"/>
      <c r="G1262" s="34" t="str">
        <f aca="false">IF(F1262&lt;&gt;"",F1262,IF(E1262="","",IFERROR(INDEX(I_Item!$C$6:$C$255,MATCH(E1262,I_Item!$A$6:$A$255,0)),"KODE BARU")))</f>
        <v/>
      </c>
      <c r="H1262" s="45"/>
      <c r="I1262" s="42"/>
      <c r="J1262" s="11" t="str">
        <f aca="false">IF(H1262="","",H1262*I1262)</f>
        <v/>
      </c>
      <c r="K1262" s="42"/>
      <c r="L1262" s="11" t="str">
        <f aca="false">IF(H1262="","",IF(K1262&lt;&gt;"",K1262,H1262*IFERROR(INDEX(O_Stok!$Q$6:$Q$85,MATCH(G1262,O_Stok!$A$6:$A$85,0)),0)))</f>
        <v/>
      </c>
      <c r="M1262" s="11" t="str">
        <f aca="false">IF(H1262="","",J1262-L1262)</f>
        <v/>
      </c>
      <c r="N1262" s="34" t="str">
        <f aca="false">IF(G1262="","",IFERROR(INDEX(I_Master!$B$6:$B$85,MATCH(G1262,I_Master!$A$6:$A$85,0)),"?"))</f>
        <v/>
      </c>
      <c r="O1262" s="34" t="str">
        <f aca="false">IF(G1262="","",IFERROR(INDEX(I_Master!$E$6:$E$85,MATCH(G1262,I_Master!$A$6:$A$85,0)),"?"))</f>
        <v/>
      </c>
      <c r="P1262" s="46" t="str">
        <f aca="false">IF(H1262="","",IF(OR(A1262&lt;I_Parameter!$C$5,A1262&gt;I_Parameter!$C$6),0,IF(B1262="Aktual",1,IF(AND(B1262="Order",A1262&gt;=I_Parameter!$C$4),1,0))))</f>
        <v/>
      </c>
    </row>
    <row r="1263" customFormat="false" ht="15" hidden="false" customHeight="false" outlineLevel="0" collapsed="false">
      <c r="A1263" s="37"/>
      <c r="B1263" s="44"/>
      <c r="C1263" s="44"/>
      <c r="D1263" s="44"/>
      <c r="E1263" s="44"/>
      <c r="F1263" s="44"/>
      <c r="G1263" s="34" t="str">
        <f aca="false">IF(F1263&lt;&gt;"",F1263,IF(E1263="","",IFERROR(INDEX(I_Item!$C$6:$C$255,MATCH(E1263,I_Item!$A$6:$A$255,0)),"KODE BARU")))</f>
        <v/>
      </c>
      <c r="H1263" s="45"/>
      <c r="I1263" s="42"/>
      <c r="J1263" s="11" t="str">
        <f aca="false">IF(H1263="","",H1263*I1263)</f>
        <v/>
      </c>
      <c r="K1263" s="42"/>
      <c r="L1263" s="11" t="str">
        <f aca="false">IF(H1263="","",IF(K1263&lt;&gt;"",K1263,H1263*IFERROR(INDEX(O_Stok!$Q$6:$Q$85,MATCH(G1263,O_Stok!$A$6:$A$85,0)),0)))</f>
        <v/>
      </c>
      <c r="M1263" s="11" t="str">
        <f aca="false">IF(H1263="","",J1263-L1263)</f>
        <v/>
      </c>
      <c r="N1263" s="34" t="str">
        <f aca="false">IF(G1263="","",IFERROR(INDEX(I_Master!$B$6:$B$85,MATCH(G1263,I_Master!$A$6:$A$85,0)),"?"))</f>
        <v/>
      </c>
      <c r="O1263" s="34" t="str">
        <f aca="false">IF(G1263="","",IFERROR(INDEX(I_Master!$E$6:$E$85,MATCH(G1263,I_Master!$A$6:$A$85,0)),"?"))</f>
        <v/>
      </c>
      <c r="P1263" s="46" t="str">
        <f aca="false">IF(H1263="","",IF(OR(A1263&lt;I_Parameter!$C$5,A1263&gt;I_Parameter!$C$6),0,IF(B1263="Aktual",1,IF(AND(B1263="Order",A1263&gt;=I_Parameter!$C$4),1,0))))</f>
        <v/>
      </c>
    </row>
    <row r="1264" customFormat="false" ht="15" hidden="false" customHeight="false" outlineLevel="0" collapsed="false">
      <c r="A1264" s="37"/>
      <c r="B1264" s="44"/>
      <c r="C1264" s="44"/>
      <c r="D1264" s="44"/>
      <c r="E1264" s="44"/>
      <c r="F1264" s="44"/>
      <c r="G1264" s="34" t="str">
        <f aca="false">IF(F1264&lt;&gt;"",F1264,IF(E1264="","",IFERROR(INDEX(I_Item!$C$6:$C$255,MATCH(E1264,I_Item!$A$6:$A$255,0)),"KODE BARU")))</f>
        <v/>
      </c>
      <c r="H1264" s="45"/>
      <c r="I1264" s="42"/>
      <c r="J1264" s="11" t="str">
        <f aca="false">IF(H1264="","",H1264*I1264)</f>
        <v/>
      </c>
      <c r="K1264" s="42"/>
      <c r="L1264" s="11" t="str">
        <f aca="false">IF(H1264="","",IF(K1264&lt;&gt;"",K1264,H1264*IFERROR(INDEX(O_Stok!$Q$6:$Q$85,MATCH(G1264,O_Stok!$A$6:$A$85,0)),0)))</f>
        <v/>
      </c>
      <c r="M1264" s="11" t="str">
        <f aca="false">IF(H1264="","",J1264-L1264)</f>
        <v/>
      </c>
      <c r="N1264" s="34" t="str">
        <f aca="false">IF(G1264="","",IFERROR(INDEX(I_Master!$B$6:$B$85,MATCH(G1264,I_Master!$A$6:$A$85,0)),"?"))</f>
        <v/>
      </c>
      <c r="O1264" s="34" t="str">
        <f aca="false">IF(G1264="","",IFERROR(INDEX(I_Master!$E$6:$E$85,MATCH(G1264,I_Master!$A$6:$A$85,0)),"?"))</f>
        <v/>
      </c>
      <c r="P1264" s="46" t="str">
        <f aca="false">IF(H1264="","",IF(OR(A1264&lt;I_Parameter!$C$5,A1264&gt;I_Parameter!$C$6),0,IF(B1264="Aktual",1,IF(AND(B1264="Order",A1264&gt;=I_Parameter!$C$4),1,0))))</f>
        <v/>
      </c>
    </row>
    <row r="1265" customFormat="false" ht="15" hidden="false" customHeight="false" outlineLevel="0" collapsed="false">
      <c r="A1265" s="37"/>
      <c r="B1265" s="44"/>
      <c r="C1265" s="44"/>
      <c r="D1265" s="44"/>
      <c r="E1265" s="44"/>
      <c r="F1265" s="44"/>
      <c r="G1265" s="34" t="str">
        <f aca="false">IF(F1265&lt;&gt;"",F1265,IF(E1265="","",IFERROR(INDEX(I_Item!$C$6:$C$255,MATCH(E1265,I_Item!$A$6:$A$255,0)),"KODE BARU")))</f>
        <v/>
      </c>
      <c r="H1265" s="45"/>
      <c r="I1265" s="42"/>
      <c r="J1265" s="11" t="str">
        <f aca="false">IF(H1265="","",H1265*I1265)</f>
        <v/>
      </c>
      <c r="K1265" s="42"/>
      <c r="L1265" s="11" t="str">
        <f aca="false">IF(H1265="","",IF(K1265&lt;&gt;"",K1265,H1265*IFERROR(INDEX(O_Stok!$Q$6:$Q$85,MATCH(G1265,O_Stok!$A$6:$A$85,0)),0)))</f>
        <v/>
      </c>
      <c r="M1265" s="11" t="str">
        <f aca="false">IF(H1265="","",J1265-L1265)</f>
        <v/>
      </c>
      <c r="N1265" s="34" t="str">
        <f aca="false">IF(G1265="","",IFERROR(INDEX(I_Master!$B$6:$B$85,MATCH(G1265,I_Master!$A$6:$A$85,0)),"?"))</f>
        <v/>
      </c>
      <c r="O1265" s="34" t="str">
        <f aca="false">IF(G1265="","",IFERROR(INDEX(I_Master!$E$6:$E$85,MATCH(G1265,I_Master!$A$6:$A$85,0)),"?"))</f>
        <v/>
      </c>
      <c r="P1265" s="46" t="str">
        <f aca="false">IF(H1265="","",IF(OR(A1265&lt;I_Parameter!$C$5,A1265&gt;I_Parameter!$C$6),0,IF(B1265="Aktual",1,IF(AND(B1265="Order",A1265&gt;=I_Parameter!$C$4),1,0))))</f>
        <v/>
      </c>
    </row>
    <row r="1266" customFormat="false" ht="15" hidden="false" customHeight="false" outlineLevel="0" collapsed="false">
      <c r="A1266" s="37"/>
      <c r="B1266" s="44"/>
      <c r="C1266" s="44"/>
      <c r="D1266" s="44"/>
      <c r="E1266" s="44"/>
      <c r="F1266" s="44"/>
      <c r="G1266" s="34" t="str">
        <f aca="false">IF(F1266&lt;&gt;"",F1266,IF(E1266="","",IFERROR(INDEX(I_Item!$C$6:$C$255,MATCH(E1266,I_Item!$A$6:$A$255,0)),"KODE BARU")))</f>
        <v/>
      </c>
      <c r="H1266" s="45"/>
      <c r="I1266" s="42"/>
      <c r="J1266" s="11" t="str">
        <f aca="false">IF(H1266="","",H1266*I1266)</f>
        <v/>
      </c>
      <c r="K1266" s="42"/>
      <c r="L1266" s="11" t="str">
        <f aca="false">IF(H1266="","",IF(K1266&lt;&gt;"",K1266,H1266*IFERROR(INDEX(O_Stok!$Q$6:$Q$85,MATCH(G1266,O_Stok!$A$6:$A$85,0)),0)))</f>
        <v/>
      </c>
      <c r="M1266" s="11" t="str">
        <f aca="false">IF(H1266="","",J1266-L1266)</f>
        <v/>
      </c>
      <c r="N1266" s="34" t="str">
        <f aca="false">IF(G1266="","",IFERROR(INDEX(I_Master!$B$6:$B$85,MATCH(G1266,I_Master!$A$6:$A$85,0)),"?"))</f>
        <v/>
      </c>
      <c r="O1266" s="34" t="str">
        <f aca="false">IF(G1266="","",IFERROR(INDEX(I_Master!$E$6:$E$85,MATCH(G1266,I_Master!$A$6:$A$85,0)),"?"))</f>
        <v/>
      </c>
      <c r="P1266" s="46" t="str">
        <f aca="false">IF(H1266="","",IF(OR(A1266&lt;I_Parameter!$C$5,A1266&gt;I_Parameter!$C$6),0,IF(B1266="Aktual",1,IF(AND(B1266="Order",A1266&gt;=I_Parameter!$C$4),1,0))))</f>
        <v/>
      </c>
    </row>
    <row r="1267" customFormat="false" ht="15" hidden="false" customHeight="false" outlineLevel="0" collapsed="false">
      <c r="A1267" s="37"/>
      <c r="B1267" s="44"/>
      <c r="C1267" s="44"/>
      <c r="D1267" s="44"/>
      <c r="E1267" s="44"/>
      <c r="F1267" s="44"/>
      <c r="G1267" s="34" t="str">
        <f aca="false">IF(F1267&lt;&gt;"",F1267,IF(E1267="","",IFERROR(INDEX(I_Item!$C$6:$C$255,MATCH(E1267,I_Item!$A$6:$A$255,0)),"KODE BARU")))</f>
        <v/>
      </c>
      <c r="H1267" s="45"/>
      <c r="I1267" s="42"/>
      <c r="J1267" s="11" t="str">
        <f aca="false">IF(H1267="","",H1267*I1267)</f>
        <v/>
      </c>
      <c r="K1267" s="42"/>
      <c r="L1267" s="11" t="str">
        <f aca="false">IF(H1267="","",IF(K1267&lt;&gt;"",K1267,H1267*IFERROR(INDEX(O_Stok!$Q$6:$Q$85,MATCH(G1267,O_Stok!$A$6:$A$85,0)),0)))</f>
        <v/>
      </c>
      <c r="M1267" s="11" t="str">
        <f aca="false">IF(H1267="","",J1267-L1267)</f>
        <v/>
      </c>
      <c r="N1267" s="34" t="str">
        <f aca="false">IF(G1267="","",IFERROR(INDEX(I_Master!$B$6:$B$85,MATCH(G1267,I_Master!$A$6:$A$85,0)),"?"))</f>
        <v/>
      </c>
      <c r="O1267" s="34" t="str">
        <f aca="false">IF(G1267="","",IFERROR(INDEX(I_Master!$E$6:$E$85,MATCH(G1267,I_Master!$A$6:$A$85,0)),"?"))</f>
        <v/>
      </c>
      <c r="P1267" s="46" t="str">
        <f aca="false">IF(H1267="","",IF(OR(A1267&lt;I_Parameter!$C$5,A1267&gt;I_Parameter!$C$6),0,IF(B1267="Aktual",1,IF(AND(B1267="Order",A1267&gt;=I_Parameter!$C$4),1,0))))</f>
        <v/>
      </c>
    </row>
    <row r="1268" customFormat="false" ht="15" hidden="false" customHeight="false" outlineLevel="0" collapsed="false">
      <c r="A1268" s="37"/>
      <c r="B1268" s="44"/>
      <c r="C1268" s="44"/>
      <c r="D1268" s="44"/>
      <c r="E1268" s="44"/>
      <c r="F1268" s="44"/>
      <c r="G1268" s="34" t="str">
        <f aca="false">IF(F1268&lt;&gt;"",F1268,IF(E1268="","",IFERROR(INDEX(I_Item!$C$6:$C$255,MATCH(E1268,I_Item!$A$6:$A$255,0)),"KODE BARU")))</f>
        <v/>
      </c>
      <c r="H1268" s="45"/>
      <c r="I1268" s="42"/>
      <c r="J1268" s="11" t="str">
        <f aca="false">IF(H1268="","",H1268*I1268)</f>
        <v/>
      </c>
      <c r="K1268" s="42"/>
      <c r="L1268" s="11" t="str">
        <f aca="false">IF(H1268="","",IF(K1268&lt;&gt;"",K1268,H1268*IFERROR(INDEX(O_Stok!$Q$6:$Q$85,MATCH(G1268,O_Stok!$A$6:$A$85,0)),0)))</f>
        <v/>
      </c>
      <c r="M1268" s="11" t="str">
        <f aca="false">IF(H1268="","",J1268-L1268)</f>
        <v/>
      </c>
      <c r="N1268" s="34" t="str">
        <f aca="false">IF(G1268="","",IFERROR(INDEX(I_Master!$B$6:$B$85,MATCH(G1268,I_Master!$A$6:$A$85,0)),"?"))</f>
        <v/>
      </c>
      <c r="O1268" s="34" t="str">
        <f aca="false">IF(G1268="","",IFERROR(INDEX(I_Master!$E$6:$E$85,MATCH(G1268,I_Master!$A$6:$A$85,0)),"?"))</f>
        <v/>
      </c>
      <c r="P1268" s="46" t="str">
        <f aca="false">IF(H1268="","",IF(OR(A1268&lt;I_Parameter!$C$5,A1268&gt;I_Parameter!$C$6),0,IF(B1268="Aktual",1,IF(AND(B1268="Order",A1268&gt;=I_Parameter!$C$4),1,0))))</f>
        <v/>
      </c>
    </row>
    <row r="1269" customFormat="false" ht="15" hidden="false" customHeight="false" outlineLevel="0" collapsed="false">
      <c r="A1269" s="37"/>
      <c r="B1269" s="44"/>
      <c r="C1269" s="44"/>
      <c r="D1269" s="44"/>
      <c r="E1269" s="44"/>
      <c r="F1269" s="44"/>
      <c r="G1269" s="34" t="str">
        <f aca="false">IF(F1269&lt;&gt;"",F1269,IF(E1269="","",IFERROR(INDEX(I_Item!$C$6:$C$255,MATCH(E1269,I_Item!$A$6:$A$255,0)),"KODE BARU")))</f>
        <v/>
      </c>
      <c r="H1269" s="45"/>
      <c r="I1269" s="42"/>
      <c r="J1269" s="11" t="str">
        <f aca="false">IF(H1269="","",H1269*I1269)</f>
        <v/>
      </c>
      <c r="K1269" s="42"/>
      <c r="L1269" s="11" t="str">
        <f aca="false">IF(H1269="","",IF(K1269&lt;&gt;"",K1269,H1269*IFERROR(INDEX(O_Stok!$Q$6:$Q$85,MATCH(G1269,O_Stok!$A$6:$A$85,0)),0)))</f>
        <v/>
      </c>
      <c r="M1269" s="11" t="str">
        <f aca="false">IF(H1269="","",J1269-L1269)</f>
        <v/>
      </c>
      <c r="N1269" s="34" t="str">
        <f aca="false">IF(G1269="","",IFERROR(INDEX(I_Master!$B$6:$B$85,MATCH(G1269,I_Master!$A$6:$A$85,0)),"?"))</f>
        <v/>
      </c>
      <c r="O1269" s="34" t="str">
        <f aca="false">IF(G1269="","",IFERROR(INDEX(I_Master!$E$6:$E$85,MATCH(G1269,I_Master!$A$6:$A$85,0)),"?"))</f>
        <v/>
      </c>
      <c r="P1269" s="46" t="str">
        <f aca="false">IF(H1269="","",IF(OR(A1269&lt;I_Parameter!$C$5,A1269&gt;I_Parameter!$C$6),0,IF(B1269="Aktual",1,IF(AND(B1269="Order",A1269&gt;=I_Parameter!$C$4),1,0))))</f>
        <v/>
      </c>
    </row>
    <row r="1270" customFormat="false" ht="15" hidden="false" customHeight="false" outlineLevel="0" collapsed="false">
      <c r="A1270" s="37"/>
      <c r="B1270" s="44"/>
      <c r="C1270" s="44"/>
      <c r="D1270" s="44"/>
      <c r="E1270" s="44"/>
      <c r="F1270" s="44"/>
      <c r="G1270" s="34" t="str">
        <f aca="false">IF(F1270&lt;&gt;"",F1270,IF(E1270="","",IFERROR(INDEX(I_Item!$C$6:$C$255,MATCH(E1270,I_Item!$A$6:$A$255,0)),"KODE BARU")))</f>
        <v/>
      </c>
      <c r="H1270" s="45"/>
      <c r="I1270" s="42"/>
      <c r="J1270" s="11" t="str">
        <f aca="false">IF(H1270="","",H1270*I1270)</f>
        <v/>
      </c>
      <c r="K1270" s="42"/>
      <c r="L1270" s="11" t="str">
        <f aca="false">IF(H1270="","",IF(K1270&lt;&gt;"",K1270,H1270*IFERROR(INDEX(O_Stok!$Q$6:$Q$85,MATCH(G1270,O_Stok!$A$6:$A$85,0)),0)))</f>
        <v/>
      </c>
      <c r="M1270" s="11" t="str">
        <f aca="false">IF(H1270="","",J1270-L1270)</f>
        <v/>
      </c>
      <c r="N1270" s="34" t="str">
        <f aca="false">IF(G1270="","",IFERROR(INDEX(I_Master!$B$6:$B$85,MATCH(G1270,I_Master!$A$6:$A$85,0)),"?"))</f>
        <v/>
      </c>
      <c r="O1270" s="34" t="str">
        <f aca="false">IF(G1270="","",IFERROR(INDEX(I_Master!$E$6:$E$85,MATCH(G1270,I_Master!$A$6:$A$85,0)),"?"))</f>
        <v/>
      </c>
      <c r="P1270" s="46" t="str">
        <f aca="false">IF(H1270="","",IF(OR(A1270&lt;I_Parameter!$C$5,A1270&gt;I_Parameter!$C$6),0,IF(B1270="Aktual",1,IF(AND(B1270="Order",A1270&gt;=I_Parameter!$C$4),1,0))))</f>
        <v/>
      </c>
    </row>
    <row r="1271" customFormat="false" ht="15" hidden="false" customHeight="false" outlineLevel="0" collapsed="false">
      <c r="A1271" s="37"/>
      <c r="B1271" s="44"/>
      <c r="C1271" s="44"/>
      <c r="D1271" s="44"/>
      <c r="E1271" s="44"/>
      <c r="F1271" s="44"/>
      <c r="G1271" s="34" t="str">
        <f aca="false">IF(F1271&lt;&gt;"",F1271,IF(E1271="","",IFERROR(INDEX(I_Item!$C$6:$C$255,MATCH(E1271,I_Item!$A$6:$A$255,0)),"KODE BARU")))</f>
        <v/>
      </c>
      <c r="H1271" s="45"/>
      <c r="I1271" s="42"/>
      <c r="J1271" s="11" t="str">
        <f aca="false">IF(H1271="","",H1271*I1271)</f>
        <v/>
      </c>
      <c r="K1271" s="42"/>
      <c r="L1271" s="11" t="str">
        <f aca="false">IF(H1271="","",IF(K1271&lt;&gt;"",K1271,H1271*IFERROR(INDEX(O_Stok!$Q$6:$Q$85,MATCH(G1271,O_Stok!$A$6:$A$85,0)),0)))</f>
        <v/>
      </c>
      <c r="M1271" s="11" t="str">
        <f aca="false">IF(H1271="","",J1271-L1271)</f>
        <v/>
      </c>
      <c r="N1271" s="34" t="str">
        <f aca="false">IF(G1271="","",IFERROR(INDEX(I_Master!$B$6:$B$85,MATCH(G1271,I_Master!$A$6:$A$85,0)),"?"))</f>
        <v/>
      </c>
      <c r="O1271" s="34" t="str">
        <f aca="false">IF(G1271="","",IFERROR(INDEX(I_Master!$E$6:$E$85,MATCH(G1271,I_Master!$A$6:$A$85,0)),"?"))</f>
        <v/>
      </c>
      <c r="P1271" s="46" t="str">
        <f aca="false">IF(H1271="","",IF(OR(A1271&lt;I_Parameter!$C$5,A1271&gt;I_Parameter!$C$6),0,IF(B1271="Aktual",1,IF(AND(B1271="Order",A1271&gt;=I_Parameter!$C$4),1,0))))</f>
        <v/>
      </c>
    </row>
    <row r="1272" customFormat="false" ht="15" hidden="false" customHeight="false" outlineLevel="0" collapsed="false">
      <c r="A1272" s="37"/>
      <c r="B1272" s="44"/>
      <c r="C1272" s="44"/>
      <c r="D1272" s="44"/>
      <c r="E1272" s="44"/>
      <c r="F1272" s="44"/>
      <c r="G1272" s="34" t="str">
        <f aca="false">IF(F1272&lt;&gt;"",F1272,IF(E1272="","",IFERROR(INDEX(I_Item!$C$6:$C$255,MATCH(E1272,I_Item!$A$6:$A$255,0)),"KODE BARU")))</f>
        <v/>
      </c>
      <c r="H1272" s="45"/>
      <c r="I1272" s="42"/>
      <c r="J1272" s="11" t="str">
        <f aca="false">IF(H1272="","",H1272*I1272)</f>
        <v/>
      </c>
      <c r="K1272" s="42"/>
      <c r="L1272" s="11" t="str">
        <f aca="false">IF(H1272="","",IF(K1272&lt;&gt;"",K1272,H1272*IFERROR(INDEX(O_Stok!$Q$6:$Q$85,MATCH(G1272,O_Stok!$A$6:$A$85,0)),0)))</f>
        <v/>
      </c>
      <c r="M1272" s="11" t="str">
        <f aca="false">IF(H1272="","",J1272-L1272)</f>
        <v/>
      </c>
      <c r="N1272" s="34" t="str">
        <f aca="false">IF(G1272="","",IFERROR(INDEX(I_Master!$B$6:$B$85,MATCH(G1272,I_Master!$A$6:$A$85,0)),"?"))</f>
        <v/>
      </c>
      <c r="O1272" s="34" t="str">
        <f aca="false">IF(G1272="","",IFERROR(INDEX(I_Master!$E$6:$E$85,MATCH(G1272,I_Master!$A$6:$A$85,0)),"?"))</f>
        <v/>
      </c>
      <c r="P1272" s="46" t="str">
        <f aca="false">IF(H1272="","",IF(OR(A1272&lt;I_Parameter!$C$5,A1272&gt;I_Parameter!$C$6),0,IF(B1272="Aktual",1,IF(AND(B1272="Order",A1272&gt;=I_Parameter!$C$4),1,0))))</f>
        <v/>
      </c>
    </row>
    <row r="1273" customFormat="false" ht="15" hidden="false" customHeight="false" outlineLevel="0" collapsed="false">
      <c r="A1273" s="37"/>
      <c r="B1273" s="44"/>
      <c r="C1273" s="44"/>
      <c r="D1273" s="44"/>
      <c r="E1273" s="44"/>
      <c r="F1273" s="44"/>
      <c r="G1273" s="34" t="str">
        <f aca="false">IF(F1273&lt;&gt;"",F1273,IF(E1273="","",IFERROR(INDEX(I_Item!$C$6:$C$255,MATCH(E1273,I_Item!$A$6:$A$255,0)),"KODE BARU")))</f>
        <v/>
      </c>
      <c r="H1273" s="45"/>
      <c r="I1273" s="42"/>
      <c r="J1273" s="11" t="str">
        <f aca="false">IF(H1273="","",H1273*I1273)</f>
        <v/>
      </c>
      <c r="K1273" s="42"/>
      <c r="L1273" s="11" t="str">
        <f aca="false">IF(H1273="","",IF(K1273&lt;&gt;"",K1273,H1273*IFERROR(INDEX(O_Stok!$Q$6:$Q$85,MATCH(G1273,O_Stok!$A$6:$A$85,0)),0)))</f>
        <v/>
      </c>
      <c r="M1273" s="11" t="str">
        <f aca="false">IF(H1273="","",J1273-L1273)</f>
        <v/>
      </c>
      <c r="N1273" s="34" t="str">
        <f aca="false">IF(G1273="","",IFERROR(INDEX(I_Master!$B$6:$B$85,MATCH(G1273,I_Master!$A$6:$A$85,0)),"?"))</f>
        <v/>
      </c>
      <c r="O1273" s="34" t="str">
        <f aca="false">IF(G1273="","",IFERROR(INDEX(I_Master!$E$6:$E$85,MATCH(G1273,I_Master!$A$6:$A$85,0)),"?"))</f>
        <v/>
      </c>
      <c r="P1273" s="46" t="str">
        <f aca="false">IF(H1273="","",IF(OR(A1273&lt;I_Parameter!$C$5,A1273&gt;I_Parameter!$C$6),0,IF(B1273="Aktual",1,IF(AND(B1273="Order",A1273&gt;=I_Parameter!$C$4),1,0))))</f>
        <v/>
      </c>
    </row>
    <row r="1274" customFormat="false" ht="15" hidden="false" customHeight="false" outlineLevel="0" collapsed="false">
      <c r="A1274" s="37"/>
      <c r="B1274" s="44"/>
      <c r="C1274" s="44"/>
      <c r="D1274" s="44"/>
      <c r="E1274" s="44"/>
      <c r="F1274" s="44"/>
      <c r="G1274" s="34" t="str">
        <f aca="false">IF(F1274&lt;&gt;"",F1274,IF(E1274="","",IFERROR(INDEX(I_Item!$C$6:$C$255,MATCH(E1274,I_Item!$A$6:$A$255,0)),"KODE BARU")))</f>
        <v/>
      </c>
      <c r="H1274" s="45"/>
      <c r="I1274" s="42"/>
      <c r="J1274" s="11" t="str">
        <f aca="false">IF(H1274="","",H1274*I1274)</f>
        <v/>
      </c>
      <c r="K1274" s="42"/>
      <c r="L1274" s="11" t="str">
        <f aca="false">IF(H1274="","",IF(K1274&lt;&gt;"",K1274,H1274*IFERROR(INDEX(O_Stok!$Q$6:$Q$85,MATCH(G1274,O_Stok!$A$6:$A$85,0)),0)))</f>
        <v/>
      </c>
      <c r="M1274" s="11" t="str">
        <f aca="false">IF(H1274="","",J1274-L1274)</f>
        <v/>
      </c>
      <c r="N1274" s="34" t="str">
        <f aca="false">IF(G1274="","",IFERROR(INDEX(I_Master!$B$6:$B$85,MATCH(G1274,I_Master!$A$6:$A$85,0)),"?"))</f>
        <v/>
      </c>
      <c r="O1274" s="34" t="str">
        <f aca="false">IF(G1274="","",IFERROR(INDEX(I_Master!$E$6:$E$85,MATCH(G1274,I_Master!$A$6:$A$85,0)),"?"))</f>
        <v/>
      </c>
      <c r="P1274" s="46" t="str">
        <f aca="false">IF(H1274="","",IF(OR(A1274&lt;I_Parameter!$C$5,A1274&gt;I_Parameter!$C$6),0,IF(B1274="Aktual",1,IF(AND(B1274="Order",A1274&gt;=I_Parameter!$C$4),1,0))))</f>
        <v/>
      </c>
    </row>
    <row r="1275" customFormat="false" ht="15" hidden="false" customHeight="false" outlineLevel="0" collapsed="false">
      <c r="A1275" s="37"/>
      <c r="B1275" s="44"/>
      <c r="C1275" s="44"/>
      <c r="D1275" s="44"/>
      <c r="E1275" s="44"/>
      <c r="F1275" s="44"/>
      <c r="G1275" s="34" t="str">
        <f aca="false">IF(F1275&lt;&gt;"",F1275,IF(E1275="","",IFERROR(INDEX(I_Item!$C$6:$C$255,MATCH(E1275,I_Item!$A$6:$A$255,0)),"KODE BARU")))</f>
        <v/>
      </c>
      <c r="H1275" s="45"/>
      <c r="I1275" s="42"/>
      <c r="J1275" s="11" t="str">
        <f aca="false">IF(H1275="","",H1275*I1275)</f>
        <v/>
      </c>
      <c r="K1275" s="42"/>
      <c r="L1275" s="11" t="str">
        <f aca="false">IF(H1275="","",IF(K1275&lt;&gt;"",K1275,H1275*IFERROR(INDEX(O_Stok!$Q$6:$Q$85,MATCH(G1275,O_Stok!$A$6:$A$85,0)),0)))</f>
        <v/>
      </c>
      <c r="M1275" s="11" t="str">
        <f aca="false">IF(H1275="","",J1275-L1275)</f>
        <v/>
      </c>
      <c r="N1275" s="34" t="str">
        <f aca="false">IF(G1275="","",IFERROR(INDEX(I_Master!$B$6:$B$85,MATCH(G1275,I_Master!$A$6:$A$85,0)),"?"))</f>
        <v/>
      </c>
      <c r="O1275" s="34" t="str">
        <f aca="false">IF(G1275="","",IFERROR(INDEX(I_Master!$E$6:$E$85,MATCH(G1275,I_Master!$A$6:$A$85,0)),"?"))</f>
        <v/>
      </c>
      <c r="P1275" s="46" t="str">
        <f aca="false">IF(H1275="","",IF(OR(A1275&lt;I_Parameter!$C$5,A1275&gt;I_Parameter!$C$6),0,IF(B1275="Aktual",1,IF(AND(B1275="Order",A1275&gt;=I_Parameter!$C$4),1,0))))</f>
        <v/>
      </c>
    </row>
    <row r="1276" customFormat="false" ht="15" hidden="false" customHeight="false" outlineLevel="0" collapsed="false">
      <c r="A1276" s="37"/>
      <c r="B1276" s="44"/>
      <c r="C1276" s="44"/>
      <c r="D1276" s="44"/>
      <c r="E1276" s="44"/>
      <c r="F1276" s="44"/>
      <c r="G1276" s="34" t="str">
        <f aca="false">IF(F1276&lt;&gt;"",F1276,IF(E1276="","",IFERROR(INDEX(I_Item!$C$6:$C$255,MATCH(E1276,I_Item!$A$6:$A$255,0)),"KODE BARU")))</f>
        <v/>
      </c>
      <c r="H1276" s="45"/>
      <c r="I1276" s="42"/>
      <c r="J1276" s="11" t="str">
        <f aca="false">IF(H1276="","",H1276*I1276)</f>
        <v/>
      </c>
      <c r="K1276" s="42"/>
      <c r="L1276" s="11" t="str">
        <f aca="false">IF(H1276="","",IF(K1276&lt;&gt;"",K1276,H1276*IFERROR(INDEX(O_Stok!$Q$6:$Q$85,MATCH(G1276,O_Stok!$A$6:$A$85,0)),0)))</f>
        <v/>
      </c>
      <c r="M1276" s="11" t="str">
        <f aca="false">IF(H1276="","",J1276-L1276)</f>
        <v/>
      </c>
      <c r="N1276" s="34" t="str">
        <f aca="false">IF(G1276="","",IFERROR(INDEX(I_Master!$B$6:$B$85,MATCH(G1276,I_Master!$A$6:$A$85,0)),"?"))</f>
        <v/>
      </c>
      <c r="O1276" s="34" t="str">
        <f aca="false">IF(G1276="","",IFERROR(INDEX(I_Master!$E$6:$E$85,MATCH(G1276,I_Master!$A$6:$A$85,0)),"?"))</f>
        <v/>
      </c>
      <c r="P1276" s="46" t="str">
        <f aca="false">IF(H1276="","",IF(OR(A1276&lt;I_Parameter!$C$5,A1276&gt;I_Parameter!$C$6),0,IF(B1276="Aktual",1,IF(AND(B1276="Order",A1276&gt;=I_Parameter!$C$4),1,0))))</f>
        <v/>
      </c>
    </row>
    <row r="1277" customFormat="false" ht="15" hidden="false" customHeight="false" outlineLevel="0" collapsed="false">
      <c r="A1277" s="37"/>
      <c r="B1277" s="44"/>
      <c r="C1277" s="44"/>
      <c r="D1277" s="44"/>
      <c r="E1277" s="44"/>
      <c r="F1277" s="44"/>
      <c r="G1277" s="34" t="str">
        <f aca="false">IF(F1277&lt;&gt;"",F1277,IF(E1277="","",IFERROR(INDEX(I_Item!$C$6:$C$255,MATCH(E1277,I_Item!$A$6:$A$255,0)),"KODE BARU")))</f>
        <v/>
      </c>
      <c r="H1277" s="45"/>
      <c r="I1277" s="42"/>
      <c r="J1277" s="11" t="str">
        <f aca="false">IF(H1277="","",H1277*I1277)</f>
        <v/>
      </c>
      <c r="K1277" s="42"/>
      <c r="L1277" s="11" t="str">
        <f aca="false">IF(H1277="","",IF(K1277&lt;&gt;"",K1277,H1277*IFERROR(INDEX(O_Stok!$Q$6:$Q$85,MATCH(G1277,O_Stok!$A$6:$A$85,0)),0)))</f>
        <v/>
      </c>
      <c r="M1277" s="11" t="str">
        <f aca="false">IF(H1277="","",J1277-L1277)</f>
        <v/>
      </c>
      <c r="N1277" s="34" t="str">
        <f aca="false">IF(G1277="","",IFERROR(INDEX(I_Master!$B$6:$B$85,MATCH(G1277,I_Master!$A$6:$A$85,0)),"?"))</f>
        <v/>
      </c>
      <c r="O1277" s="34" t="str">
        <f aca="false">IF(G1277="","",IFERROR(INDEX(I_Master!$E$6:$E$85,MATCH(G1277,I_Master!$A$6:$A$85,0)),"?"))</f>
        <v/>
      </c>
      <c r="P1277" s="46" t="str">
        <f aca="false">IF(H1277="","",IF(OR(A1277&lt;I_Parameter!$C$5,A1277&gt;I_Parameter!$C$6),0,IF(B1277="Aktual",1,IF(AND(B1277="Order",A1277&gt;=I_Parameter!$C$4),1,0))))</f>
        <v/>
      </c>
    </row>
    <row r="1278" customFormat="false" ht="15" hidden="false" customHeight="false" outlineLevel="0" collapsed="false">
      <c r="A1278" s="37"/>
      <c r="B1278" s="44"/>
      <c r="C1278" s="44"/>
      <c r="D1278" s="44"/>
      <c r="E1278" s="44"/>
      <c r="F1278" s="44"/>
      <c r="G1278" s="34" t="str">
        <f aca="false">IF(F1278&lt;&gt;"",F1278,IF(E1278="","",IFERROR(INDEX(I_Item!$C$6:$C$255,MATCH(E1278,I_Item!$A$6:$A$255,0)),"KODE BARU")))</f>
        <v/>
      </c>
      <c r="H1278" s="45"/>
      <c r="I1278" s="42"/>
      <c r="J1278" s="11" t="str">
        <f aca="false">IF(H1278="","",H1278*I1278)</f>
        <v/>
      </c>
      <c r="K1278" s="42"/>
      <c r="L1278" s="11" t="str">
        <f aca="false">IF(H1278="","",IF(K1278&lt;&gt;"",K1278,H1278*IFERROR(INDEX(O_Stok!$Q$6:$Q$85,MATCH(G1278,O_Stok!$A$6:$A$85,0)),0)))</f>
        <v/>
      </c>
      <c r="M1278" s="11" t="str">
        <f aca="false">IF(H1278="","",J1278-L1278)</f>
        <v/>
      </c>
      <c r="N1278" s="34" t="str">
        <f aca="false">IF(G1278="","",IFERROR(INDEX(I_Master!$B$6:$B$85,MATCH(G1278,I_Master!$A$6:$A$85,0)),"?"))</f>
        <v/>
      </c>
      <c r="O1278" s="34" t="str">
        <f aca="false">IF(G1278="","",IFERROR(INDEX(I_Master!$E$6:$E$85,MATCH(G1278,I_Master!$A$6:$A$85,0)),"?"))</f>
        <v/>
      </c>
      <c r="P1278" s="46" t="str">
        <f aca="false">IF(H1278="","",IF(OR(A1278&lt;I_Parameter!$C$5,A1278&gt;I_Parameter!$C$6),0,IF(B1278="Aktual",1,IF(AND(B1278="Order",A1278&gt;=I_Parameter!$C$4),1,0))))</f>
        <v/>
      </c>
    </row>
    <row r="1279" customFormat="false" ht="15" hidden="false" customHeight="false" outlineLevel="0" collapsed="false">
      <c r="A1279" s="37"/>
      <c r="B1279" s="44"/>
      <c r="C1279" s="44"/>
      <c r="D1279" s="44"/>
      <c r="E1279" s="44"/>
      <c r="F1279" s="44"/>
      <c r="G1279" s="34" t="str">
        <f aca="false">IF(F1279&lt;&gt;"",F1279,IF(E1279="","",IFERROR(INDEX(I_Item!$C$6:$C$255,MATCH(E1279,I_Item!$A$6:$A$255,0)),"KODE BARU")))</f>
        <v/>
      </c>
      <c r="H1279" s="45"/>
      <c r="I1279" s="42"/>
      <c r="J1279" s="11" t="str">
        <f aca="false">IF(H1279="","",H1279*I1279)</f>
        <v/>
      </c>
      <c r="K1279" s="42"/>
      <c r="L1279" s="11" t="str">
        <f aca="false">IF(H1279="","",IF(K1279&lt;&gt;"",K1279,H1279*IFERROR(INDEX(O_Stok!$Q$6:$Q$85,MATCH(G1279,O_Stok!$A$6:$A$85,0)),0)))</f>
        <v/>
      </c>
      <c r="M1279" s="11" t="str">
        <f aca="false">IF(H1279="","",J1279-L1279)</f>
        <v/>
      </c>
      <c r="N1279" s="34" t="str">
        <f aca="false">IF(G1279="","",IFERROR(INDEX(I_Master!$B$6:$B$85,MATCH(G1279,I_Master!$A$6:$A$85,0)),"?"))</f>
        <v/>
      </c>
      <c r="O1279" s="34" t="str">
        <f aca="false">IF(G1279="","",IFERROR(INDEX(I_Master!$E$6:$E$85,MATCH(G1279,I_Master!$A$6:$A$85,0)),"?"))</f>
        <v/>
      </c>
      <c r="P1279" s="46" t="str">
        <f aca="false">IF(H1279="","",IF(OR(A1279&lt;I_Parameter!$C$5,A1279&gt;I_Parameter!$C$6),0,IF(B1279="Aktual",1,IF(AND(B1279="Order",A1279&gt;=I_Parameter!$C$4),1,0))))</f>
        <v/>
      </c>
    </row>
    <row r="1280" customFormat="false" ht="15" hidden="false" customHeight="false" outlineLevel="0" collapsed="false">
      <c r="A1280" s="37"/>
      <c r="B1280" s="44"/>
      <c r="C1280" s="44"/>
      <c r="D1280" s="44"/>
      <c r="E1280" s="44"/>
      <c r="F1280" s="44"/>
      <c r="G1280" s="34" t="str">
        <f aca="false">IF(F1280&lt;&gt;"",F1280,IF(E1280="","",IFERROR(INDEX(I_Item!$C$6:$C$255,MATCH(E1280,I_Item!$A$6:$A$255,0)),"KODE BARU")))</f>
        <v/>
      </c>
      <c r="H1280" s="45"/>
      <c r="I1280" s="42"/>
      <c r="J1280" s="11" t="str">
        <f aca="false">IF(H1280="","",H1280*I1280)</f>
        <v/>
      </c>
      <c r="K1280" s="42"/>
      <c r="L1280" s="11" t="str">
        <f aca="false">IF(H1280="","",IF(K1280&lt;&gt;"",K1280,H1280*IFERROR(INDEX(O_Stok!$Q$6:$Q$85,MATCH(G1280,O_Stok!$A$6:$A$85,0)),0)))</f>
        <v/>
      </c>
      <c r="M1280" s="11" t="str">
        <f aca="false">IF(H1280="","",J1280-L1280)</f>
        <v/>
      </c>
      <c r="N1280" s="34" t="str">
        <f aca="false">IF(G1280="","",IFERROR(INDEX(I_Master!$B$6:$B$85,MATCH(G1280,I_Master!$A$6:$A$85,0)),"?"))</f>
        <v/>
      </c>
      <c r="O1280" s="34" t="str">
        <f aca="false">IF(G1280="","",IFERROR(INDEX(I_Master!$E$6:$E$85,MATCH(G1280,I_Master!$A$6:$A$85,0)),"?"))</f>
        <v/>
      </c>
      <c r="P1280" s="46" t="str">
        <f aca="false">IF(H1280="","",IF(OR(A1280&lt;I_Parameter!$C$5,A1280&gt;I_Parameter!$C$6),0,IF(B1280="Aktual",1,IF(AND(B1280="Order",A1280&gt;=I_Parameter!$C$4),1,0))))</f>
        <v/>
      </c>
    </row>
    <row r="1281" customFormat="false" ht="15" hidden="false" customHeight="false" outlineLevel="0" collapsed="false">
      <c r="A1281" s="37"/>
      <c r="B1281" s="44"/>
      <c r="C1281" s="44"/>
      <c r="D1281" s="44"/>
      <c r="E1281" s="44"/>
      <c r="F1281" s="44"/>
      <c r="G1281" s="34" t="str">
        <f aca="false">IF(F1281&lt;&gt;"",F1281,IF(E1281="","",IFERROR(INDEX(I_Item!$C$6:$C$255,MATCH(E1281,I_Item!$A$6:$A$255,0)),"KODE BARU")))</f>
        <v/>
      </c>
      <c r="H1281" s="45"/>
      <c r="I1281" s="42"/>
      <c r="J1281" s="11" t="str">
        <f aca="false">IF(H1281="","",H1281*I1281)</f>
        <v/>
      </c>
      <c r="K1281" s="42"/>
      <c r="L1281" s="11" t="str">
        <f aca="false">IF(H1281="","",IF(K1281&lt;&gt;"",K1281,H1281*IFERROR(INDEX(O_Stok!$Q$6:$Q$85,MATCH(G1281,O_Stok!$A$6:$A$85,0)),0)))</f>
        <v/>
      </c>
      <c r="M1281" s="11" t="str">
        <f aca="false">IF(H1281="","",J1281-L1281)</f>
        <v/>
      </c>
      <c r="N1281" s="34" t="str">
        <f aca="false">IF(G1281="","",IFERROR(INDEX(I_Master!$B$6:$B$85,MATCH(G1281,I_Master!$A$6:$A$85,0)),"?"))</f>
        <v/>
      </c>
      <c r="O1281" s="34" t="str">
        <f aca="false">IF(G1281="","",IFERROR(INDEX(I_Master!$E$6:$E$85,MATCH(G1281,I_Master!$A$6:$A$85,0)),"?"))</f>
        <v/>
      </c>
      <c r="P1281" s="46" t="str">
        <f aca="false">IF(H1281="","",IF(OR(A1281&lt;I_Parameter!$C$5,A1281&gt;I_Parameter!$C$6),0,IF(B1281="Aktual",1,IF(AND(B1281="Order",A1281&gt;=I_Parameter!$C$4),1,0))))</f>
        <v/>
      </c>
    </row>
    <row r="1282" customFormat="false" ht="15" hidden="false" customHeight="false" outlineLevel="0" collapsed="false">
      <c r="A1282" s="37"/>
      <c r="B1282" s="44"/>
      <c r="C1282" s="44"/>
      <c r="D1282" s="44"/>
      <c r="E1282" s="44"/>
      <c r="F1282" s="44"/>
      <c r="G1282" s="34" t="str">
        <f aca="false">IF(F1282&lt;&gt;"",F1282,IF(E1282="","",IFERROR(INDEX(I_Item!$C$6:$C$255,MATCH(E1282,I_Item!$A$6:$A$255,0)),"KODE BARU")))</f>
        <v/>
      </c>
      <c r="H1282" s="45"/>
      <c r="I1282" s="42"/>
      <c r="J1282" s="11" t="str">
        <f aca="false">IF(H1282="","",H1282*I1282)</f>
        <v/>
      </c>
      <c r="K1282" s="42"/>
      <c r="L1282" s="11" t="str">
        <f aca="false">IF(H1282="","",IF(K1282&lt;&gt;"",K1282,H1282*IFERROR(INDEX(O_Stok!$Q$6:$Q$85,MATCH(G1282,O_Stok!$A$6:$A$85,0)),0)))</f>
        <v/>
      </c>
      <c r="M1282" s="11" t="str">
        <f aca="false">IF(H1282="","",J1282-L1282)</f>
        <v/>
      </c>
      <c r="N1282" s="34" t="str">
        <f aca="false">IF(G1282="","",IFERROR(INDEX(I_Master!$B$6:$B$85,MATCH(G1282,I_Master!$A$6:$A$85,0)),"?"))</f>
        <v/>
      </c>
      <c r="O1282" s="34" t="str">
        <f aca="false">IF(G1282="","",IFERROR(INDEX(I_Master!$E$6:$E$85,MATCH(G1282,I_Master!$A$6:$A$85,0)),"?"))</f>
        <v/>
      </c>
      <c r="P1282" s="46" t="str">
        <f aca="false">IF(H1282="","",IF(OR(A1282&lt;I_Parameter!$C$5,A1282&gt;I_Parameter!$C$6),0,IF(B1282="Aktual",1,IF(AND(B1282="Order",A1282&gt;=I_Parameter!$C$4),1,0))))</f>
        <v/>
      </c>
    </row>
    <row r="1283" customFormat="false" ht="15" hidden="false" customHeight="false" outlineLevel="0" collapsed="false">
      <c r="A1283" s="37"/>
      <c r="B1283" s="44"/>
      <c r="C1283" s="44"/>
      <c r="D1283" s="44"/>
      <c r="E1283" s="44"/>
      <c r="F1283" s="44"/>
      <c r="G1283" s="34" t="str">
        <f aca="false">IF(F1283&lt;&gt;"",F1283,IF(E1283="","",IFERROR(INDEX(I_Item!$C$6:$C$255,MATCH(E1283,I_Item!$A$6:$A$255,0)),"KODE BARU")))</f>
        <v/>
      </c>
      <c r="H1283" s="45"/>
      <c r="I1283" s="42"/>
      <c r="J1283" s="11" t="str">
        <f aca="false">IF(H1283="","",H1283*I1283)</f>
        <v/>
      </c>
      <c r="K1283" s="42"/>
      <c r="L1283" s="11" t="str">
        <f aca="false">IF(H1283="","",IF(K1283&lt;&gt;"",K1283,H1283*IFERROR(INDEX(O_Stok!$Q$6:$Q$85,MATCH(G1283,O_Stok!$A$6:$A$85,0)),0)))</f>
        <v/>
      </c>
      <c r="M1283" s="11" t="str">
        <f aca="false">IF(H1283="","",J1283-L1283)</f>
        <v/>
      </c>
      <c r="N1283" s="34" t="str">
        <f aca="false">IF(G1283="","",IFERROR(INDEX(I_Master!$B$6:$B$85,MATCH(G1283,I_Master!$A$6:$A$85,0)),"?"))</f>
        <v/>
      </c>
      <c r="O1283" s="34" t="str">
        <f aca="false">IF(G1283="","",IFERROR(INDEX(I_Master!$E$6:$E$85,MATCH(G1283,I_Master!$A$6:$A$85,0)),"?"))</f>
        <v/>
      </c>
      <c r="P1283" s="46" t="str">
        <f aca="false">IF(H1283="","",IF(OR(A1283&lt;I_Parameter!$C$5,A1283&gt;I_Parameter!$C$6),0,IF(B1283="Aktual",1,IF(AND(B1283="Order",A1283&gt;=I_Parameter!$C$4),1,0))))</f>
        <v/>
      </c>
    </row>
    <row r="1284" customFormat="false" ht="15" hidden="false" customHeight="false" outlineLevel="0" collapsed="false">
      <c r="A1284" s="37"/>
      <c r="B1284" s="44"/>
      <c r="C1284" s="44"/>
      <c r="D1284" s="44"/>
      <c r="E1284" s="44"/>
      <c r="F1284" s="44"/>
      <c r="G1284" s="34" t="str">
        <f aca="false">IF(F1284&lt;&gt;"",F1284,IF(E1284="","",IFERROR(INDEX(I_Item!$C$6:$C$255,MATCH(E1284,I_Item!$A$6:$A$255,0)),"KODE BARU")))</f>
        <v/>
      </c>
      <c r="H1284" s="45"/>
      <c r="I1284" s="42"/>
      <c r="J1284" s="11" t="str">
        <f aca="false">IF(H1284="","",H1284*I1284)</f>
        <v/>
      </c>
      <c r="K1284" s="42"/>
      <c r="L1284" s="11" t="str">
        <f aca="false">IF(H1284="","",IF(K1284&lt;&gt;"",K1284,H1284*IFERROR(INDEX(O_Stok!$Q$6:$Q$85,MATCH(G1284,O_Stok!$A$6:$A$85,0)),0)))</f>
        <v/>
      </c>
      <c r="M1284" s="11" t="str">
        <f aca="false">IF(H1284="","",J1284-L1284)</f>
        <v/>
      </c>
      <c r="N1284" s="34" t="str">
        <f aca="false">IF(G1284="","",IFERROR(INDEX(I_Master!$B$6:$B$85,MATCH(G1284,I_Master!$A$6:$A$85,0)),"?"))</f>
        <v/>
      </c>
      <c r="O1284" s="34" t="str">
        <f aca="false">IF(G1284="","",IFERROR(INDEX(I_Master!$E$6:$E$85,MATCH(G1284,I_Master!$A$6:$A$85,0)),"?"))</f>
        <v/>
      </c>
      <c r="P1284" s="46" t="str">
        <f aca="false">IF(H1284="","",IF(OR(A1284&lt;I_Parameter!$C$5,A1284&gt;I_Parameter!$C$6),0,IF(B1284="Aktual",1,IF(AND(B1284="Order",A1284&gt;=I_Parameter!$C$4),1,0))))</f>
        <v/>
      </c>
    </row>
    <row r="1285" customFormat="false" ht="15" hidden="false" customHeight="false" outlineLevel="0" collapsed="false">
      <c r="A1285" s="37"/>
      <c r="B1285" s="44"/>
      <c r="C1285" s="44"/>
      <c r="D1285" s="44"/>
      <c r="E1285" s="44"/>
      <c r="F1285" s="44"/>
      <c r="G1285" s="34" t="str">
        <f aca="false">IF(F1285&lt;&gt;"",F1285,IF(E1285="","",IFERROR(INDEX(I_Item!$C$6:$C$255,MATCH(E1285,I_Item!$A$6:$A$255,0)),"KODE BARU")))</f>
        <v/>
      </c>
      <c r="H1285" s="45"/>
      <c r="I1285" s="42"/>
      <c r="J1285" s="11" t="str">
        <f aca="false">IF(H1285="","",H1285*I1285)</f>
        <v/>
      </c>
      <c r="K1285" s="42"/>
      <c r="L1285" s="11" t="str">
        <f aca="false">IF(H1285="","",IF(K1285&lt;&gt;"",K1285,H1285*IFERROR(INDEX(O_Stok!$Q$6:$Q$85,MATCH(G1285,O_Stok!$A$6:$A$85,0)),0)))</f>
        <v/>
      </c>
      <c r="M1285" s="11" t="str">
        <f aca="false">IF(H1285="","",J1285-L1285)</f>
        <v/>
      </c>
      <c r="N1285" s="34" t="str">
        <f aca="false">IF(G1285="","",IFERROR(INDEX(I_Master!$B$6:$B$85,MATCH(G1285,I_Master!$A$6:$A$85,0)),"?"))</f>
        <v/>
      </c>
      <c r="O1285" s="34" t="str">
        <f aca="false">IF(G1285="","",IFERROR(INDEX(I_Master!$E$6:$E$85,MATCH(G1285,I_Master!$A$6:$A$85,0)),"?"))</f>
        <v/>
      </c>
      <c r="P1285" s="46" t="str">
        <f aca="false">IF(H1285="","",IF(OR(A1285&lt;I_Parameter!$C$5,A1285&gt;I_Parameter!$C$6),0,IF(B1285="Aktual",1,IF(AND(B1285="Order",A1285&gt;=I_Parameter!$C$4),1,0))))</f>
        <v/>
      </c>
    </row>
    <row r="1286" customFormat="false" ht="15" hidden="false" customHeight="false" outlineLevel="0" collapsed="false">
      <c r="A1286" s="37"/>
      <c r="B1286" s="44"/>
      <c r="C1286" s="44"/>
      <c r="D1286" s="44"/>
      <c r="E1286" s="44"/>
      <c r="F1286" s="44"/>
      <c r="G1286" s="34" t="str">
        <f aca="false">IF(F1286&lt;&gt;"",F1286,IF(E1286="","",IFERROR(INDEX(I_Item!$C$6:$C$255,MATCH(E1286,I_Item!$A$6:$A$255,0)),"KODE BARU")))</f>
        <v/>
      </c>
      <c r="H1286" s="45"/>
      <c r="I1286" s="42"/>
      <c r="J1286" s="11" t="str">
        <f aca="false">IF(H1286="","",H1286*I1286)</f>
        <v/>
      </c>
      <c r="K1286" s="42"/>
      <c r="L1286" s="11" t="str">
        <f aca="false">IF(H1286="","",IF(K1286&lt;&gt;"",K1286,H1286*IFERROR(INDEX(O_Stok!$Q$6:$Q$85,MATCH(G1286,O_Stok!$A$6:$A$85,0)),0)))</f>
        <v/>
      </c>
      <c r="M1286" s="11" t="str">
        <f aca="false">IF(H1286="","",J1286-L1286)</f>
        <v/>
      </c>
      <c r="N1286" s="34" t="str">
        <f aca="false">IF(G1286="","",IFERROR(INDEX(I_Master!$B$6:$B$85,MATCH(G1286,I_Master!$A$6:$A$85,0)),"?"))</f>
        <v/>
      </c>
      <c r="O1286" s="34" t="str">
        <f aca="false">IF(G1286="","",IFERROR(INDEX(I_Master!$E$6:$E$85,MATCH(G1286,I_Master!$A$6:$A$85,0)),"?"))</f>
        <v/>
      </c>
      <c r="P1286" s="46" t="str">
        <f aca="false">IF(H1286="","",IF(OR(A1286&lt;I_Parameter!$C$5,A1286&gt;I_Parameter!$C$6),0,IF(B1286="Aktual",1,IF(AND(B1286="Order",A1286&gt;=I_Parameter!$C$4),1,0))))</f>
        <v/>
      </c>
    </row>
    <row r="1287" customFormat="false" ht="15" hidden="false" customHeight="false" outlineLevel="0" collapsed="false">
      <c r="A1287" s="37"/>
      <c r="B1287" s="44"/>
      <c r="C1287" s="44"/>
      <c r="D1287" s="44"/>
      <c r="E1287" s="44"/>
      <c r="F1287" s="44"/>
      <c r="G1287" s="34" t="str">
        <f aca="false">IF(F1287&lt;&gt;"",F1287,IF(E1287="","",IFERROR(INDEX(I_Item!$C$6:$C$255,MATCH(E1287,I_Item!$A$6:$A$255,0)),"KODE BARU")))</f>
        <v/>
      </c>
      <c r="H1287" s="45"/>
      <c r="I1287" s="42"/>
      <c r="J1287" s="11" t="str">
        <f aca="false">IF(H1287="","",H1287*I1287)</f>
        <v/>
      </c>
      <c r="K1287" s="42"/>
      <c r="L1287" s="11" t="str">
        <f aca="false">IF(H1287="","",IF(K1287&lt;&gt;"",K1287,H1287*IFERROR(INDEX(O_Stok!$Q$6:$Q$85,MATCH(G1287,O_Stok!$A$6:$A$85,0)),0)))</f>
        <v/>
      </c>
      <c r="M1287" s="11" t="str">
        <f aca="false">IF(H1287="","",J1287-L1287)</f>
        <v/>
      </c>
      <c r="N1287" s="34" t="str">
        <f aca="false">IF(G1287="","",IFERROR(INDEX(I_Master!$B$6:$B$85,MATCH(G1287,I_Master!$A$6:$A$85,0)),"?"))</f>
        <v/>
      </c>
      <c r="O1287" s="34" t="str">
        <f aca="false">IF(G1287="","",IFERROR(INDEX(I_Master!$E$6:$E$85,MATCH(G1287,I_Master!$A$6:$A$85,0)),"?"))</f>
        <v/>
      </c>
      <c r="P1287" s="46" t="str">
        <f aca="false">IF(H1287="","",IF(OR(A1287&lt;I_Parameter!$C$5,A1287&gt;I_Parameter!$C$6),0,IF(B1287="Aktual",1,IF(AND(B1287="Order",A1287&gt;=I_Parameter!$C$4),1,0))))</f>
        <v/>
      </c>
    </row>
    <row r="1288" customFormat="false" ht="15" hidden="false" customHeight="false" outlineLevel="0" collapsed="false">
      <c r="A1288" s="37"/>
      <c r="B1288" s="44"/>
      <c r="C1288" s="44"/>
      <c r="D1288" s="44"/>
      <c r="E1288" s="44"/>
      <c r="F1288" s="44"/>
      <c r="G1288" s="34" t="str">
        <f aca="false">IF(F1288&lt;&gt;"",F1288,IF(E1288="","",IFERROR(INDEX(I_Item!$C$6:$C$255,MATCH(E1288,I_Item!$A$6:$A$255,0)),"KODE BARU")))</f>
        <v/>
      </c>
      <c r="H1288" s="45"/>
      <c r="I1288" s="42"/>
      <c r="J1288" s="11" t="str">
        <f aca="false">IF(H1288="","",H1288*I1288)</f>
        <v/>
      </c>
      <c r="K1288" s="42"/>
      <c r="L1288" s="11" t="str">
        <f aca="false">IF(H1288="","",IF(K1288&lt;&gt;"",K1288,H1288*IFERROR(INDEX(O_Stok!$Q$6:$Q$85,MATCH(G1288,O_Stok!$A$6:$A$85,0)),0)))</f>
        <v/>
      </c>
      <c r="M1288" s="11" t="str">
        <f aca="false">IF(H1288="","",J1288-L1288)</f>
        <v/>
      </c>
      <c r="N1288" s="34" t="str">
        <f aca="false">IF(G1288="","",IFERROR(INDEX(I_Master!$B$6:$B$85,MATCH(G1288,I_Master!$A$6:$A$85,0)),"?"))</f>
        <v/>
      </c>
      <c r="O1288" s="34" t="str">
        <f aca="false">IF(G1288="","",IFERROR(INDEX(I_Master!$E$6:$E$85,MATCH(G1288,I_Master!$A$6:$A$85,0)),"?"))</f>
        <v/>
      </c>
      <c r="P1288" s="46" t="str">
        <f aca="false">IF(H1288="","",IF(OR(A1288&lt;I_Parameter!$C$5,A1288&gt;I_Parameter!$C$6),0,IF(B1288="Aktual",1,IF(AND(B1288="Order",A1288&gt;=I_Parameter!$C$4),1,0))))</f>
        <v/>
      </c>
    </row>
    <row r="1289" customFormat="false" ht="15" hidden="false" customHeight="false" outlineLevel="0" collapsed="false">
      <c r="A1289" s="37"/>
      <c r="B1289" s="44"/>
      <c r="C1289" s="44"/>
      <c r="D1289" s="44"/>
      <c r="E1289" s="44"/>
      <c r="F1289" s="44"/>
      <c r="G1289" s="34" t="str">
        <f aca="false">IF(F1289&lt;&gt;"",F1289,IF(E1289="","",IFERROR(INDEX(I_Item!$C$6:$C$255,MATCH(E1289,I_Item!$A$6:$A$255,0)),"KODE BARU")))</f>
        <v/>
      </c>
      <c r="H1289" s="45"/>
      <c r="I1289" s="42"/>
      <c r="J1289" s="11" t="str">
        <f aca="false">IF(H1289="","",H1289*I1289)</f>
        <v/>
      </c>
      <c r="K1289" s="42"/>
      <c r="L1289" s="11" t="str">
        <f aca="false">IF(H1289="","",IF(K1289&lt;&gt;"",K1289,H1289*IFERROR(INDEX(O_Stok!$Q$6:$Q$85,MATCH(G1289,O_Stok!$A$6:$A$85,0)),0)))</f>
        <v/>
      </c>
      <c r="M1289" s="11" t="str">
        <f aca="false">IF(H1289="","",J1289-L1289)</f>
        <v/>
      </c>
      <c r="N1289" s="34" t="str">
        <f aca="false">IF(G1289="","",IFERROR(INDEX(I_Master!$B$6:$B$85,MATCH(G1289,I_Master!$A$6:$A$85,0)),"?"))</f>
        <v/>
      </c>
      <c r="O1289" s="34" t="str">
        <f aca="false">IF(G1289="","",IFERROR(INDEX(I_Master!$E$6:$E$85,MATCH(G1289,I_Master!$A$6:$A$85,0)),"?"))</f>
        <v/>
      </c>
      <c r="P1289" s="46" t="str">
        <f aca="false">IF(H1289="","",IF(OR(A1289&lt;I_Parameter!$C$5,A1289&gt;I_Parameter!$C$6),0,IF(B1289="Aktual",1,IF(AND(B1289="Order",A1289&gt;=I_Parameter!$C$4),1,0))))</f>
        <v/>
      </c>
    </row>
    <row r="1290" customFormat="false" ht="15" hidden="false" customHeight="false" outlineLevel="0" collapsed="false">
      <c r="A1290" s="37"/>
      <c r="B1290" s="44"/>
      <c r="C1290" s="44"/>
      <c r="D1290" s="44"/>
      <c r="E1290" s="44"/>
      <c r="F1290" s="44"/>
      <c r="G1290" s="34" t="str">
        <f aca="false">IF(F1290&lt;&gt;"",F1290,IF(E1290="","",IFERROR(INDEX(I_Item!$C$6:$C$255,MATCH(E1290,I_Item!$A$6:$A$255,0)),"KODE BARU")))</f>
        <v/>
      </c>
      <c r="H1290" s="45"/>
      <c r="I1290" s="42"/>
      <c r="J1290" s="11" t="str">
        <f aca="false">IF(H1290="","",H1290*I1290)</f>
        <v/>
      </c>
      <c r="K1290" s="42"/>
      <c r="L1290" s="11" t="str">
        <f aca="false">IF(H1290="","",IF(K1290&lt;&gt;"",K1290,H1290*IFERROR(INDEX(O_Stok!$Q$6:$Q$85,MATCH(G1290,O_Stok!$A$6:$A$85,0)),0)))</f>
        <v/>
      </c>
      <c r="M1290" s="11" t="str">
        <f aca="false">IF(H1290="","",J1290-L1290)</f>
        <v/>
      </c>
      <c r="N1290" s="34" t="str">
        <f aca="false">IF(G1290="","",IFERROR(INDEX(I_Master!$B$6:$B$85,MATCH(G1290,I_Master!$A$6:$A$85,0)),"?"))</f>
        <v/>
      </c>
      <c r="O1290" s="34" t="str">
        <f aca="false">IF(G1290="","",IFERROR(INDEX(I_Master!$E$6:$E$85,MATCH(G1290,I_Master!$A$6:$A$85,0)),"?"))</f>
        <v/>
      </c>
      <c r="P1290" s="46" t="str">
        <f aca="false">IF(H1290="","",IF(OR(A1290&lt;I_Parameter!$C$5,A1290&gt;I_Parameter!$C$6),0,IF(B1290="Aktual",1,IF(AND(B1290="Order",A1290&gt;=I_Parameter!$C$4),1,0))))</f>
        <v/>
      </c>
    </row>
    <row r="1291" customFormat="false" ht="15" hidden="false" customHeight="false" outlineLevel="0" collapsed="false">
      <c r="A1291" s="37"/>
      <c r="B1291" s="44"/>
      <c r="C1291" s="44"/>
      <c r="D1291" s="44"/>
      <c r="E1291" s="44"/>
      <c r="F1291" s="44"/>
      <c r="G1291" s="34" t="str">
        <f aca="false">IF(F1291&lt;&gt;"",F1291,IF(E1291="","",IFERROR(INDEX(I_Item!$C$6:$C$255,MATCH(E1291,I_Item!$A$6:$A$255,0)),"KODE BARU")))</f>
        <v/>
      </c>
      <c r="H1291" s="45"/>
      <c r="I1291" s="42"/>
      <c r="J1291" s="11" t="str">
        <f aca="false">IF(H1291="","",H1291*I1291)</f>
        <v/>
      </c>
      <c r="K1291" s="42"/>
      <c r="L1291" s="11" t="str">
        <f aca="false">IF(H1291="","",IF(K1291&lt;&gt;"",K1291,H1291*IFERROR(INDEX(O_Stok!$Q$6:$Q$85,MATCH(G1291,O_Stok!$A$6:$A$85,0)),0)))</f>
        <v/>
      </c>
      <c r="M1291" s="11" t="str">
        <f aca="false">IF(H1291="","",J1291-L1291)</f>
        <v/>
      </c>
      <c r="N1291" s="34" t="str">
        <f aca="false">IF(G1291="","",IFERROR(INDEX(I_Master!$B$6:$B$85,MATCH(G1291,I_Master!$A$6:$A$85,0)),"?"))</f>
        <v/>
      </c>
      <c r="O1291" s="34" t="str">
        <f aca="false">IF(G1291="","",IFERROR(INDEX(I_Master!$E$6:$E$85,MATCH(G1291,I_Master!$A$6:$A$85,0)),"?"))</f>
        <v/>
      </c>
      <c r="P1291" s="46" t="str">
        <f aca="false">IF(H1291="","",IF(OR(A1291&lt;I_Parameter!$C$5,A1291&gt;I_Parameter!$C$6),0,IF(B1291="Aktual",1,IF(AND(B1291="Order",A1291&gt;=I_Parameter!$C$4),1,0))))</f>
        <v/>
      </c>
    </row>
    <row r="1292" customFormat="false" ht="15" hidden="false" customHeight="false" outlineLevel="0" collapsed="false">
      <c r="A1292" s="37"/>
      <c r="B1292" s="44"/>
      <c r="C1292" s="44"/>
      <c r="D1292" s="44"/>
      <c r="E1292" s="44"/>
      <c r="F1292" s="44"/>
      <c r="G1292" s="34" t="str">
        <f aca="false">IF(F1292&lt;&gt;"",F1292,IF(E1292="","",IFERROR(INDEX(I_Item!$C$6:$C$255,MATCH(E1292,I_Item!$A$6:$A$255,0)),"KODE BARU")))</f>
        <v/>
      </c>
      <c r="H1292" s="45"/>
      <c r="I1292" s="42"/>
      <c r="J1292" s="11" t="str">
        <f aca="false">IF(H1292="","",H1292*I1292)</f>
        <v/>
      </c>
      <c r="K1292" s="42"/>
      <c r="L1292" s="11" t="str">
        <f aca="false">IF(H1292="","",IF(K1292&lt;&gt;"",K1292,H1292*IFERROR(INDEX(O_Stok!$Q$6:$Q$85,MATCH(G1292,O_Stok!$A$6:$A$85,0)),0)))</f>
        <v/>
      </c>
      <c r="M1292" s="11" t="str">
        <f aca="false">IF(H1292="","",J1292-L1292)</f>
        <v/>
      </c>
      <c r="N1292" s="34" t="str">
        <f aca="false">IF(G1292="","",IFERROR(INDEX(I_Master!$B$6:$B$85,MATCH(G1292,I_Master!$A$6:$A$85,0)),"?"))</f>
        <v/>
      </c>
      <c r="O1292" s="34" t="str">
        <f aca="false">IF(G1292="","",IFERROR(INDEX(I_Master!$E$6:$E$85,MATCH(G1292,I_Master!$A$6:$A$85,0)),"?"))</f>
        <v/>
      </c>
      <c r="P1292" s="46" t="str">
        <f aca="false">IF(H1292="","",IF(OR(A1292&lt;I_Parameter!$C$5,A1292&gt;I_Parameter!$C$6),0,IF(B1292="Aktual",1,IF(AND(B1292="Order",A1292&gt;=I_Parameter!$C$4),1,0))))</f>
        <v/>
      </c>
    </row>
    <row r="1293" customFormat="false" ht="15" hidden="false" customHeight="false" outlineLevel="0" collapsed="false">
      <c r="A1293" s="37"/>
      <c r="B1293" s="44"/>
      <c r="C1293" s="44"/>
      <c r="D1293" s="44"/>
      <c r="E1293" s="44"/>
      <c r="F1293" s="44"/>
      <c r="G1293" s="34" t="str">
        <f aca="false">IF(F1293&lt;&gt;"",F1293,IF(E1293="","",IFERROR(INDEX(I_Item!$C$6:$C$255,MATCH(E1293,I_Item!$A$6:$A$255,0)),"KODE BARU")))</f>
        <v/>
      </c>
      <c r="H1293" s="45"/>
      <c r="I1293" s="42"/>
      <c r="J1293" s="11" t="str">
        <f aca="false">IF(H1293="","",H1293*I1293)</f>
        <v/>
      </c>
      <c r="K1293" s="42"/>
      <c r="L1293" s="11" t="str">
        <f aca="false">IF(H1293="","",IF(K1293&lt;&gt;"",K1293,H1293*IFERROR(INDEX(O_Stok!$Q$6:$Q$85,MATCH(G1293,O_Stok!$A$6:$A$85,0)),0)))</f>
        <v/>
      </c>
      <c r="M1293" s="11" t="str">
        <f aca="false">IF(H1293="","",J1293-L1293)</f>
        <v/>
      </c>
      <c r="N1293" s="34" t="str">
        <f aca="false">IF(G1293="","",IFERROR(INDEX(I_Master!$B$6:$B$85,MATCH(G1293,I_Master!$A$6:$A$85,0)),"?"))</f>
        <v/>
      </c>
      <c r="O1293" s="34" t="str">
        <f aca="false">IF(G1293="","",IFERROR(INDEX(I_Master!$E$6:$E$85,MATCH(G1293,I_Master!$A$6:$A$85,0)),"?"))</f>
        <v/>
      </c>
      <c r="P1293" s="46" t="str">
        <f aca="false">IF(H1293="","",IF(OR(A1293&lt;I_Parameter!$C$5,A1293&gt;I_Parameter!$C$6),0,IF(B1293="Aktual",1,IF(AND(B1293="Order",A1293&gt;=I_Parameter!$C$4),1,0))))</f>
        <v/>
      </c>
    </row>
    <row r="1294" customFormat="false" ht="15" hidden="false" customHeight="false" outlineLevel="0" collapsed="false">
      <c r="A1294" s="37"/>
      <c r="B1294" s="44"/>
      <c r="C1294" s="44"/>
      <c r="D1294" s="44"/>
      <c r="E1294" s="44"/>
      <c r="F1294" s="44"/>
      <c r="G1294" s="34" t="str">
        <f aca="false">IF(F1294&lt;&gt;"",F1294,IF(E1294="","",IFERROR(INDEX(I_Item!$C$6:$C$255,MATCH(E1294,I_Item!$A$6:$A$255,0)),"KODE BARU")))</f>
        <v/>
      </c>
      <c r="H1294" s="45"/>
      <c r="I1294" s="42"/>
      <c r="J1294" s="11" t="str">
        <f aca="false">IF(H1294="","",H1294*I1294)</f>
        <v/>
      </c>
      <c r="K1294" s="42"/>
      <c r="L1294" s="11" t="str">
        <f aca="false">IF(H1294="","",IF(K1294&lt;&gt;"",K1294,H1294*IFERROR(INDEX(O_Stok!$Q$6:$Q$85,MATCH(G1294,O_Stok!$A$6:$A$85,0)),0)))</f>
        <v/>
      </c>
      <c r="M1294" s="11" t="str">
        <f aca="false">IF(H1294="","",J1294-L1294)</f>
        <v/>
      </c>
      <c r="N1294" s="34" t="str">
        <f aca="false">IF(G1294="","",IFERROR(INDEX(I_Master!$B$6:$B$85,MATCH(G1294,I_Master!$A$6:$A$85,0)),"?"))</f>
        <v/>
      </c>
      <c r="O1294" s="34" t="str">
        <f aca="false">IF(G1294="","",IFERROR(INDEX(I_Master!$E$6:$E$85,MATCH(G1294,I_Master!$A$6:$A$85,0)),"?"))</f>
        <v/>
      </c>
      <c r="P1294" s="46" t="str">
        <f aca="false">IF(H1294="","",IF(OR(A1294&lt;I_Parameter!$C$5,A1294&gt;I_Parameter!$C$6),0,IF(B1294="Aktual",1,IF(AND(B1294="Order",A1294&gt;=I_Parameter!$C$4),1,0))))</f>
        <v/>
      </c>
    </row>
    <row r="1295" customFormat="false" ht="15" hidden="false" customHeight="false" outlineLevel="0" collapsed="false">
      <c r="A1295" s="37"/>
      <c r="B1295" s="44"/>
      <c r="C1295" s="44"/>
      <c r="D1295" s="44"/>
      <c r="E1295" s="44"/>
      <c r="F1295" s="44"/>
      <c r="G1295" s="34" t="str">
        <f aca="false">IF(F1295&lt;&gt;"",F1295,IF(E1295="","",IFERROR(INDEX(I_Item!$C$6:$C$255,MATCH(E1295,I_Item!$A$6:$A$255,0)),"KODE BARU")))</f>
        <v/>
      </c>
      <c r="H1295" s="45"/>
      <c r="I1295" s="42"/>
      <c r="J1295" s="11" t="str">
        <f aca="false">IF(H1295="","",H1295*I1295)</f>
        <v/>
      </c>
      <c r="K1295" s="42"/>
      <c r="L1295" s="11" t="str">
        <f aca="false">IF(H1295="","",IF(K1295&lt;&gt;"",K1295,H1295*IFERROR(INDEX(O_Stok!$Q$6:$Q$85,MATCH(G1295,O_Stok!$A$6:$A$85,0)),0)))</f>
        <v/>
      </c>
      <c r="M1295" s="11" t="str">
        <f aca="false">IF(H1295="","",J1295-L1295)</f>
        <v/>
      </c>
      <c r="N1295" s="34" t="str">
        <f aca="false">IF(G1295="","",IFERROR(INDEX(I_Master!$B$6:$B$85,MATCH(G1295,I_Master!$A$6:$A$85,0)),"?"))</f>
        <v/>
      </c>
      <c r="O1295" s="34" t="str">
        <f aca="false">IF(G1295="","",IFERROR(INDEX(I_Master!$E$6:$E$85,MATCH(G1295,I_Master!$A$6:$A$85,0)),"?"))</f>
        <v/>
      </c>
      <c r="P1295" s="46" t="str">
        <f aca="false">IF(H1295="","",IF(OR(A1295&lt;I_Parameter!$C$5,A1295&gt;I_Parameter!$C$6),0,IF(B1295="Aktual",1,IF(AND(B1295="Order",A1295&gt;=I_Parameter!$C$4),1,0))))</f>
        <v/>
      </c>
    </row>
    <row r="1296" customFormat="false" ht="15" hidden="false" customHeight="false" outlineLevel="0" collapsed="false">
      <c r="A1296" s="37"/>
      <c r="B1296" s="44"/>
      <c r="C1296" s="44"/>
      <c r="D1296" s="44"/>
      <c r="E1296" s="44"/>
      <c r="F1296" s="44"/>
      <c r="G1296" s="34" t="str">
        <f aca="false">IF(F1296&lt;&gt;"",F1296,IF(E1296="","",IFERROR(INDEX(I_Item!$C$6:$C$255,MATCH(E1296,I_Item!$A$6:$A$255,0)),"KODE BARU")))</f>
        <v/>
      </c>
      <c r="H1296" s="45"/>
      <c r="I1296" s="42"/>
      <c r="J1296" s="11" t="str">
        <f aca="false">IF(H1296="","",H1296*I1296)</f>
        <v/>
      </c>
      <c r="K1296" s="42"/>
      <c r="L1296" s="11" t="str">
        <f aca="false">IF(H1296="","",IF(K1296&lt;&gt;"",K1296,H1296*IFERROR(INDEX(O_Stok!$Q$6:$Q$85,MATCH(G1296,O_Stok!$A$6:$A$85,0)),0)))</f>
        <v/>
      </c>
      <c r="M1296" s="11" t="str">
        <f aca="false">IF(H1296="","",J1296-L1296)</f>
        <v/>
      </c>
      <c r="N1296" s="34" t="str">
        <f aca="false">IF(G1296="","",IFERROR(INDEX(I_Master!$B$6:$B$85,MATCH(G1296,I_Master!$A$6:$A$85,0)),"?"))</f>
        <v/>
      </c>
      <c r="O1296" s="34" t="str">
        <f aca="false">IF(G1296="","",IFERROR(INDEX(I_Master!$E$6:$E$85,MATCH(G1296,I_Master!$A$6:$A$85,0)),"?"))</f>
        <v/>
      </c>
      <c r="P1296" s="46" t="str">
        <f aca="false">IF(H1296="","",IF(OR(A1296&lt;I_Parameter!$C$5,A1296&gt;I_Parameter!$C$6),0,IF(B1296="Aktual",1,IF(AND(B1296="Order",A1296&gt;=I_Parameter!$C$4),1,0))))</f>
        <v/>
      </c>
    </row>
    <row r="1297" customFormat="false" ht="15" hidden="false" customHeight="false" outlineLevel="0" collapsed="false">
      <c r="A1297" s="37"/>
      <c r="B1297" s="44"/>
      <c r="C1297" s="44"/>
      <c r="D1297" s="44"/>
      <c r="E1297" s="44"/>
      <c r="F1297" s="44"/>
      <c r="G1297" s="34" t="str">
        <f aca="false">IF(F1297&lt;&gt;"",F1297,IF(E1297="","",IFERROR(INDEX(I_Item!$C$6:$C$255,MATCH(E1297,I_Item!$A$6:$A$255,0)),"KODE BARU")))</f>
        <v/>
      </c>
      <c r="H1297" s="45"/>
      <c r="I1297" s="42"/>
      <c r="J1297" s="11" t="str">
        <f aca="false">IF(H1297="","",H1297*I1297)</f>
        <v/>
      </c>
      <c r="K1297" s="42"/>
      <c r="L1297" s="11" t="str">
        <f aca="false">IF(H1297="","",IF(K1297&lt;&gt;"",K1297,H1297*IFERROR(INDEX(O_Stok!$Q$6:$Q$85,MATCH(G1297,O_Stok!$A$6:$A$85,0)),0)))</f>
        <v/>
      </c>
      <c r="M1297" s="11" t="str">
        <f aca="false">IF(H1297="","",J1297-L1297)</f>
        <v/>
      </c>
      <c r="N1297" s="34" t="str">
        <f aca="false">IF(G1297="","",IFERROR(INDEX(I_Master!$B$6:$B$85,MATCH(G1297,I_Master!$A$6:$A$85,0)),"?"))</f>
        <v/>
      </c>
      <c r="O1297" s="34" t="str">
        <f aca="false">IF(G1297="","",IFERROR(INDEX(I_Master!$E$6:$E$85,MATCH(G1297,I_Master!$A$6:$A$85,0)),"?"))</f>
        <v/>
      </c>
      <c r="P1297" s="46" t="str">
        <f aca="false">IF(H1297="","",IF(OR(A1297&lt;I_Parameter!$C$5,A1297&gt;I_Parameter!$C$6),0,IF(B1297="Aktual",1,IF(AND(B1297="Order",A1297&gt;=I_Parameter!$C$4),1,0))))</f>
        <v/>
      </c>
    </row>
    <row r="1298" customFormat="false" ht="15" hidden="false" customHeight="false" outlineLevel="0" collapsed="false">
      <c r="A1298" s="37"/>
      <c r="B1298" s="44"/>
      <c r="C1298" s="44"/>
      <c r="D1298" s="44"/>
      <c r="E1298" s="44"/>
      <c r="F1298" s="44"/>
      <c r="G1298" s="34" t="str">
        <f aca="false">IF(F1298&lt;&gt;"",F1298,IF(E1298="","",IFERROR(INDEX(I_Item!$C$6:$C$255,MATCH(E1298,I_Item!$A$6:$A$255,0)),"KODE BARU")))</f>
        <v/>
      </c>
      <c r="H1298" s="45"/>
      <c r="I1298" s="42"/>
      <c r="J1298" s="11" t="str">
        <f aca="false">IF(H1298="","",H1298*I1298)</f>
        <v/>
      </c>
      <c r="K1298" s="42"/>
      <c r="L1298" s="11" t="str">
        <f aca="false">IF(H1298="","",IF(K1298&lt;&gt;"",K1298,H1298*IFERROR(INDEX(O_Stok!$Q$6:$Q$85,MATCH(G1298,O_Stok!$A$6:$A$85,0)),0)))</f>
        <v/>
      </c>
      <c r="M1298" s="11" t="str">
        <f aca="false">IF(H1298="","",J1298-L1298)</f>
        <v/>
      </c>
      <c r="N1298" s="34" t="str">
        <f aca="false">IF(G1298="","",IFERROR(INDEX(I_Master!$B$6:$B$85,MATCH(G1298,I_Master!$A$6:$A$85,0)),"?"))</f>
        <v/>
      </c>
      <c r="O1298" s="34" t="str">
        <f aca="false">IF(G1298="","",IFERROR(INDEX(I_Master!$E$6:$E$85,MATCH(G1298,I_Master!$A$6:$A$85,0)),"?"))</f>
        <v/>
      </c>
      <c r="P1298" s="46" t="str">
        <f aca="false">IF(H1298="","",IF(OR(A1298&lt;I_Parameter!$C$5,A1298&gt;I_Parameter!$C$6),0,IF(B1298="Aktual",1,IF(AND(B1298="Order",A1298&gt;=I_Parameter!$C$4),1,0))))</f>
        <v/>
      </c>
    </row>
    <row r="1299" customFormat="false" ht="15" hidden="false" customHeight="false" outlineLevel="0" collapsed="false">
      <c r="A1299" s="37"/>
      <c r="B1299" s="44"/>
      <c r="C1299" s="44"/>
      <c r="D1299" s="44"/>
      <c r="E1299" s="44"/>
      <c r="F1299" s="44"/>
      <c r="G1299" s="34" t="str">
        <f aca="false">IF(F1299&lt;&gt;"",F1299,IF(E1299="","",IFERROR(INDEX(I_Item!$C$6:$C$255,MATCH(E1299,I_Item!$A$6:$A$255,0)),"KODE BARU")))</f>
        <v/>
      </c>
      <c r="H1299" s="45"/>
      <c r="I1299" s="42"/>
      <c r="J1299" s="11" t="str">
        <f aca="false">IF(H1299="","",H1299*I1299)</f>
        <v/>
      </c>
      <c r="K1299" s="42"/>
      <c r="L1299" s="11" t="str">
        <f aca="false">IF(H1299="","",IF(K1299&lt;&gt;"",K1299,H1299*IFERROR(INDEX(O_Stok!$Q$6:$Q$85,MATCH(G1299,O_Stok!$A$6:$A$85,0)),0)))</f>
        <v/>
      </c>
      <c r="M1299" s="11" t="str">
        <f aca="false">IF(H1299="","",J1299-L1299)</f>
        <v/>
      </c>
      <c r="N1299" s="34" t="str">
        <f aca="false">IF(G1299="","",IFERROR(INDEX(I_Master!$B$6:$B$85,MATCH(G1299,I_Master!$A$6:$A$85,0)),"?"))</f>
        <v/>
      </c>
      <c r="O1299" s="34" t="str">
        <f aca="false">IF(G1299="","",IFERROR(INDEX(I_Master!$E$6:$E$85,MATCH(G1299,I_Master!$A$6:$A$85,0)),"?"))</f>
        <v/>
      </c>
      <c r="P1299" s="46" t="str">
        <f aca="false">IF(H1299="","",IF(OR(A1299&lt;I_Parameter!$C$5,A1299&gt;I_Parameter!$C$6),0,IF(B1299="Aktual",1,IF(AND(B1299="Order",A1299&gt;=I_Parameter!$C$4),1,0))))</f>
        <v/>
      </c>
    </row>
    <row r="1300" customFormat="false" ht="15" hidden="false" customHeight="false" outlineLevel="0" collapsed="false">
      <c r="A1300" s="37"/>
      <c r="B1300" s="44"/>
      <c r="C1300" s="44"/>
      <c r="D1300" s="44"/>
      <c r="E1300" s="44"/>
      <c r="F1300" s="44"/>
      <c r="G1300" s="34" t="str">
        <f aca="false">IF(F1300&lt;&gt;"",F1300,IF(E1300="","",IFERROR(INDEX(I_Item!$C$6:$C$255,MATCH(E1300,I_Item!$A$6:$A$255,0)),"KODE BARU")))</f>
        <v/>
      </c>
      <c r="H1300" s="45"/>
      <c r="I1300" s="42"/>
      <c r="J1300" s="11" t="str">
        <f aca="false">IF(H1300="","",H1300*I1300)</f>
        <v/>
      </c>
      <c r="K1300" s="42"/>
      <c r="L1300" s="11" t="str">
        <f aca="false">IF(H1300="","",IF(K1300&lt;&gt;"",K1300,H1300*IFERROR(INDEX(O_Stok!$Q$6:$Q$85,MATCH(G1300,O_Stok!$A$6:$A$85,0)),0)))</f>
        <v/>
      </c>
      <c r="M1300" s="11" t="str">
        <f aca="false">IF(H1300="","",J1300-L1300)</f>
        <v/>
      </c>
      <c r="N1300" s="34" t="str">
        <f aca="false">IF(G1300="","",IFERROR(INDEX(I_Master!$B$6:$B$85,MATCH(G1300,I_Master!$A$6:$A$85,0)),"?"))</f>
        <v/>
      </c>
      <c r="O1300" s="34" t="str">
        <f aca="false">IF(G1300="","",IFERROR(INDEX(I_Master!$E$6:$E$85,MATCH(G1300,I_Master!$A$6:$A$85,0)),"?"))</f>
        <v/>
      </c>
      <c r="P1300" s="46" t="str">
        <f aca="false">IF(H1300="","",IF(OR(A1300&lt;I_Parameter!$C$5,A1300&gt;I_Parameter!$C$6),0,IF(B1300="Aktual",1,IF(AND(B1300="Order",A1300&gt;=I_Parameter!$C$4),1,0))))</f>
        <v/>
      </c>
    </row>
    <row r="1301" customFormat="false" ht="15" hidden="false" customHeight="false" outlineLevel="0" collapsed="false">
      <c r="A1301" s="37"/>
      <c r="B1301" s="44"/>
      <c r="C1301" s="44"/>
      <c r="D1301" s="44"/>
      <c r="E1301" s="44"/>
      <c r="F1301" s="44"/>
      <c r="G1301" s="34" t="str">
        <f aca="false">IF(F1301&lt;&gt;"",F1301,IF(E1301="","",IFERROR(INDEX(I_Item!$C$6:$C$255,MATCH(E1301,I_Item!$A$6:$A$255,0)),"KODE BARU")))</f>
        <v/>
      </c>
      <c r="H1301" s="45"/>
      <c r="I1301" s="42"/>
      <c r="J1301" s="11" t="str">
        <f aca="false">IF(H1301="","",H1301*I1301)</f>
        <v/>
      </c>
      <c r="K1301" s="42"/>
      <c r="L1301" s="11" t="str">
        <f aca="false">IF(H1301="","",IF(K1301&lt;&gt;"",K1301,H1301*IFERROR(INDEX(O_Stok!$Q$6:$Q$85,MATCH(G1301,O_Stok!$A$6:$A$85,0)),0)))</f>
        <v/>
      </c>
      <c r="M1301" s="11" t="str">
        <f aca="false">IF(H1301="","",J1301-L1301)</f>
        <v/>
      </c>
      <c r="N1301" s="34" t="str">
        <f aca="false">IF(G1301="","",IFERROR(INDEX(I_Master!$B$6:$B$85,MATCH(G1301,I_Master!$A$6:$A$85,0)),"?"))</f>
        <v/>
      </c>
      <c r="O1301" s="34" t="str">
        <f aca="false">IF(G1301="","",IFERROR(INDEX(I_Master!$E$6:$E$85,MATCH(G1301,I_Master!$A$6:$A$85,0)),"?"))</f>
        <v/>
      </c>
      <c r="P1301" s="46" t="str">
        <f aca="false">IF(H1301="","",IF(OR(A1301&lt;I_Parameter!$C$5,A1301&gt;I_Parameter!$C$6),0,IF(B1301="Aktual",1,IF(AND(B1301="Order",A1301&gt;=I_Parameter!$C$4),1,0))))</f>
        <v/>
      </c>
    </row>
    <row r="1302" customFormat="false" ht="15" hidden="false" customHeight="false" outlineLevel="0" collapsed="false">
      <c r="A1302" s="37"/>
      <c r="B1302" s="44"/>
      <c r="C1302" s="44"/>
      <c r="D1302" s="44"/>
      <c r="E1302" s="44"/>
      <c r="F1302" s="44"/>
      <c r="G1302" s="34" t="str">
        <f aca="false">IF(F1302&lt;&gt;"",F1302,IF(E1302="","",IFERROR(INDEX(I_Item!$C$6:$C$255,MATCH(E1302,I_Item!$A$6:$A$255,0)),"KODE BARU")))</f>
        <v/>
      </c>
      <c r="H1302" s="45"/>
      <c r="I1302" s="42"/>
      <c r="J1302" s="11" t="str">
        <f aca="false">IF(H1302="","",H1302*I1302)</f>
        <v/>
      </c>
      <c r="K1302" s="42"/>
      <c r="L1302" s="11" t="str">
        <f aca="false">IF(H1302="","",IF(K1302&lt;&gt;"",K1302,H1302*IFERROR(INDEX(O_Stok!$Q$6:$Q$85,MATCH(G1302,O_Stok!$A$6:$A$85,0)),0)))</f>
        <v/>
      </c>
      <c r="M1302" s="11" t="str">
        <f aca="false">IF(H1302="","",J1302-L1302)</f>
        <v/>
      </c>
      <c r="N1302" s="34" t="str">
        <f aca="false">IF(G1302="","",IFERROR(INDEX(I_Master!$B$6:$B$85,MATCH(G1302,I_Master!$A$6:$A$85,0)),"?"))</f>
        <v/>
      </c>
      <c r="O1302" s="34" t="str">
        <f aca="false">IF(G1302="","",IFERROR(INDEX(I_Master!$E$6:$E$85,MATCH(G1302,I_Master!$A$6:$A$85,0)),"?"))</f>
        <v/>
      </c>
      <c r="P1302" s="46" t="str">
        <f aca="false">IF(H1302="","",IF(OR(A1302&lt;I_Parameter!$C$5,A1302&gt;I_Parameter!$C$6),0,IF(B1302="Aktual",1,IF(AND(B1302="Order",A1302&gt;=I_Parameter!$C$4),1,0))))</f>
        <v/>
      </c>
    </row>
    <row r="1303" customFormat="false" ht="15" hidden="false" customHeight="false" outlineLevel="0" collapsed="false">
      <c r="A1303" s="37"/>
      <c r="B1303" s="44"/>
      <c r="C1303" s="44"/>
      <c r="D1303" s="44"/>
      <c r="E1303" s="44"/>
      <c r="F1303" s="44"/>
      <c r="G1303" s="34" t="str">
        <f aca="false">IF(F1303&lt;&gt;"",F1303,IF(E1303="","",IFERROR(INDEX(I_Item!$C$6:$C$255,MATCH(E1303,I_Item!$A$6:$A$255,0)),"KODE BARU")))</f>
        <v/>
      </c>
      <c r="H1303" s="45"/>
      <c r="I1303" s="42"/>
      <c r="J1303" s="11" t="str">
        <f aca="false">IF(H1303="","",H1303*I1303)</f>
        <v/>
      </c>
      <c r="K1303" s="42"/>
      <c r="L1303" s="11" t="str">
        <f aca="false">IF(H1303="","",IF(K1303&lt;&gt;"",K1303,H1303*IFERROR(INDEX(O_Stok!$Q$6:$Q$85,MATCH(G1303,O_Stok!$A$6:$A$85,0)),0)))</f>
        <v/>
      </c>
      <c r="M1303" s="11" t="str">
        <f aca="false">IF(H1303="","",J1303-L1303)</f>
        <v/>
      </c>
      <c r="N1303" s="34" t="str">
        <f aca="false">IF(G1303="","",IFERROR(INDEX(I_Master!$B$6:$B$85,MATCH(G1303,I_Master!$A$6:$A$85,0)),"?"))</f>
        <v/>
      </c>
      <c r="O1303" s="34" t="str">
        <f aca="false">IF(G1303="","",IFERROR(INDEX(I_Master!$E$6:$E$85,MATCH(G1303,I_Master!$A$6:$A$85,0)),"?"))</f>
        <v/>
      </c>
      <c r="P1303" s="46" t="str">
        <f aca="false">IF(H1303="","",IF(OR(A1303&lt;I_Parameter!$C$5,A1303&gt;I_Parameter!$C$6),0,IF(B1303="Aktual",1,IF(AND(B1303="Order",A1303&gt;=I_Parameter!$C$4),1,0))))</f>
        <v/>
      </c>
    </row>
    <row r="1304" customFormat="false" ht="15" hidden="false" customHeight="false" outlineLevel="0" collapsed="false">
      <c r="A1304" s="37"/>
      <c r="B1304" s="44"/>
      <c r="C1304" s="44"/>
      <c r="D1304" s="44"/>
      <c r="E1304" s="44"/>
      <c r="F1304" s="44"/>
      <c r="G1304" s="34" t="str">
        <f aca="false">IF(F1304&lt;&gt;"",F1304,IF(E1304="","",IFERROR(INDEX(I_Item!$C$6:$C$255,MATCH(E1304,I_Item!$A$6:$A$255,0)),"KODE BARU")))</f>
        <v/>
      </c>
      <c r="H1304" s="45"/>
      <c r="I1304" s="42"/>
      <c r="J1304" s="11" t="str">
        <f aca="false">IF(H1304="","",H1304*I1304)</f>
        <v/>
      </c>
      <c r="K1304" s="42"/>
      <c r="L1304" s="11" t="str">
        <f aca="false">IF(H1304="","",IF(K1304&lt;&gt;"",K1304,H1304*IFERROR(INDEX(O_Stok!$Q$6:$Q$85,MATCH(G1304,O_Stok!$A$6:$A$85,0)),0)))</f>
        <v/>
      </c>
      <c r="M1304" s="11" t="str">
        <f aca="false">IF(H1304="","",J1304-L1304)</f>
        <v/>
      </c>
      <c r="N1304" s="34" t="str">
        <f aca="false">IF(G1304="","",IFERROR(INDEX(I_Master!$B$6:$B$85,MATCH(G1304,I_Master!$A$6:$A$85,0)),"?"))</f>
        <v/>
      </c>
      <c r="O1304" s="34" t="str">
        <f aca="false">IF(G1304="","",IFERROR(INDEX(I_Master!$E$6:$E$85,MATCH(G1304,I_Master!$A$6:$A$85,0)),"?"))</f>
        <v/>
      </c>
      <c r="P1304" s="46" t="str">
        <f aca="false">IF(H1304="","",IF(OR(A1304&lt;I_Parameter!$C$5,A1304&gt;I_Parameter!$C$6),0,IF(B1304="Aktual",1,IF(AND(B1304="Order",A1304&gt;=I_Parameter!$C$4),1,0))))</f>
        <v/>
      </c>
    </row>
    <row r="1305" customFormat="false" ht="15" hidden="false" customHeight="false" outlineLevel="0" collapsed="false">
      <c r="A1305" s="37"/>
      <c r="B1305" s="44"/>
      <c r="C1305" s="44"/>
      <c r="D1305" s="44"/>
      <c r="E1305" s="44"/>
      <c r="F1305" s="44"/>
      <c r="G1305" s="34" t="str">
        <f aca="false">IF(F1305&lt;&gt;"",F1305,IF(E1305="","",IFERROR(INDEX(I_Item!$C$6:$C$255,MATCH(E1305,I_Item!$A$6:$A$255,0)),"KODE BARU")))</f>
        <v/>
      </c>
      <c r="H1305" s="45"/>
      <c r="I1305" s="42"/>
      <c r="J1305" s="11" t="str">
        <f aca="false">IF(H1305="","",H1305*I1305)</f>
        <v/>
      </c>
      <c r="K1305" s="42"/>
      <c r="L1305" s="11" t="str">
        <f aca="false">IF(H1305="","",IF(K1305&lt;&gt;"",K1305,H1305*IFERROR(INDEX(O_Stok!$Q$6:$Q$85,MATCH(G1305,O_Stok!$A$6:$A$85,0)),0)))</f>
        <v/>
      </c>
      <c r="M1305" s="11" t="str">
        <f aca="false">IF(H1305="","",J1305-L1305)</f>
        <v/>
      </c>
      <c r="N1305" s="34" t="str">
        <f aca="false">IF(G1305="","",IFERROR(INDEX(I_Master!$B$6:$B$85,MATCH(G1305,I_Master!$A$6:$A$85,0)),"?"))</f>
        <v/>
      </c>
      <c r="O1305" s="34" t="str">
        <f aca="false">IF(G1305="","",IFERROR(INDEX(I_Master!$E$6:$E$85,MATCH(G1305,I_Master!$A$6:$A$85,0)),"?"))</f>
        <v/>
      </c>
      <c r="P1305" s="46" t="str">
        <f aca="false">IF(H1305="","",IF(OR(A1305&lt;I_Parameter!$C$5,A1305&gt;I_Parameter!$C$6),0,IF(B1305="Aktual",1,IF(AND(B1305="Order",A1305&gt;=I_Parameter!$C$4),1,0))))</f>
        <v/>
      </c>
    </row>
    <row r="1306" customFormat="false" ht="15" hidden="false" customHeight="false" outlineLevel="0" collapsed="false">
      <c r="A1306" s="37"/>
      <c r="B1306" s="44"/>
      <c r="C1306" s="44"/>
      <c r="D1306" s="44"/>
      <c r="E1306" s="44"/>
      <c r="F1306" s="44"/>
      <c r="G1306" s="34" t="str">
        <f aca="false">IF(F1306&lt;&gt;"",F1306,IF(E1306="","",IFERROR(INDEX(I_Item!$C$6:$C$255,MATCH(E1306,I_Item!$A$6:$A$255,0)),"KODE BARU")))</f>
        <v/>
      </c>
      <c r="H1306" s="45"/>
      <c r="I1306" s="42"/>
      <c r="J1306" s="11" t="str">
        <f aca="false">IF(H1306="","",H1306*I1306)</f>
        <v/>
      </c>
      <c r="K1306" s="42"/>
      <c r="L1306" s="11" t="str">
        <f aca="false">IF(H1306="","",IF(K1306&lt;&gt;"",K1306,H1306*IFERROR(INDEX(O_Stok!$Q$6:$Q$85,MATCH(G1306,O_Stok!$A$6:$A$85,0)),0)))</f>
        <v/>
      </c>
      <c r="M1306" s="11" t="str">
        <f aca="false">IF(H1306="","",J1306-L1306)</f>
        <v/>
      </c>
      <c r="N1306" s="34" t="str">
        <f aca="false">IF(G1306="","",IFERROR(INDEX(I_Master!$B$6:$B$85,MATCH(G1306,I_Master!$A$6:$A$85,0)),"?"))</f>
        <v/>
      </c>
      <c r="O1306" s="34" t="str">
        <f aca="false">IF(G1306="","",IFERROR(INDEX(I_Master!$E$6:$E$85,MATCH(G1306,I_Master!$A$6:$A$85,0)),"?"))</f>
        <v/>
      </c>
      <c r="P1306" s="46" t="str">
        <f aca="false">IF(H1306="","",IF(OR(A1306&lt;I_Parameter!$C$5,A1306&gt;I_Parameter!$C$6),0,IF(B1306="Aktual",1,IF(AND(B1306="Order",A1306&gt;=I_Parameter!$C$4),1,0))))</f>
        <v/>
      </c>
    </row>
    <row r="1307" customFormat="false" ht="15" hidden="false" customHeight="false" outlineLevel="0" collapsed="false">
      <c r="A1307" s="37"/>
      <c r="B1307" s="44"/>
      <c r="C1307" s="44"/>
      <c r="D1307" s="44"/>
      <c r="E1307" s="44"/>
      <c r="F1307" s="44"/>
      <c r="G1307" s="34" t="str">
        <f aca="false">IF(F1307&lt;&gt;"",F1307,IF(E1307="","",IFERROR(INDEX(I_Item!$C$6:$C$255,MATCH(E1307,I_Item!$A$6:$A$255,0)),"KODE BARU")))</f>
        <v/>
      </c>
      <c r="H1307" s="45"/>
      <c r="I1307" s="42"/>
      <c r="J1307" s="11" t="str">
        <f aca="false">IF(H1307="","",H1307*I1307)</f>
        <v/>
      </c>
      <c r="K1307" s="42"/>
      <c r="L1307" s="11" t="str">
        <f aca="false">IF(H1307="","",IF(K1307&lt;&gt;"",K1307,H1307*IFERROR(INDEX(O_Stok!$Q$6:$Q$85,MATCH(G1307,O_Stok!$A$6:$A$85,0)),0)))</f>
        <v/>
      </c>
      <c r="M1307" s="11" t="str">
        <f aca="false">IF(H1307="","",J1307-L1307)</f>
        <v/>
      </c>
      <c r="N1307" s="34" t="str">
        <f aca="false">IF(G1307="","",IFERROR(INDEX(I_Master!$B$6:$B$85,MATCH(G1307,I_Master!$A$6:$A$85,0)),"?"))</f>
        <v/>
      </c>
      <c r="O1307" s="34" t="str">
        <f aca="false">IF(G1307="","",IFERROR(INDEX(I_Master!$E$6:$E$85,MATCH(G1307,I_Master!$A$6:$A$85,0)),"?"))</f>
        <v/>
      </c>
      <c r="P1307" s="46" t="str">
        <f aca="false">IF(H1307="","",IF(OR(A1307&lt;I_Parameter!$C$5,A1307&gt;I_Parameter!$C$6),0,IF(B1307="Aktual",1,IF(AND(B1307="Order",A1307&gt;=I_Parameter!$C$4),1,0))))</f>
        <v/>
      </c>
    </row>
    <row r="1308" customFormat="false" ht="15" hidden="false" customHeight="false" outlineLevel="0" collapsed="false">
      <c r="A1308" s="37"/>
      <c r="B1308" s="44"/>
      <c r="C1308" s="44"/>
      <c r="D1308" s="44"/>
      <c r="E1308" s="44"/>
      <c r="F1308" s="44"/>
      <c r="G1308" s="34" t="str">
        <f aca="false">IF(F1308&lt;&gt;"",F1308,IF(E1308="","",IFERROR(INDEX(I_Item!$C$6:$C$255,MATCH(E1308,I_Item!$A$6:$A$255,0)),"KODE BARU")))</f>
        <v/>
      </c>
      <c r="H1308" s="45"/>
      <c r="I1308" s="42"/>
      <c r="J1308" s="11" t="str">
        <f aca="false">IF(H1308="","",H1308*I1308)</f>
        <v/>
      </c>
      <c r="K1308" s="42"/>
      <c r="L1308" s="11" t="str">
        <f aca="false">IF(H1308="","",IF(K1308&lt;&gt;"",K1308,H1308*IFERROR(INDEX(O_Stok!$Q$6:$Q$85,MATCH(G1308,O_Stok!$A$6:$A$85,0)),0)))</f>
        <v/>
      </c>
      <c r="M1308" s="11" t="str">
        <f aca="false">IF(H1308="","",J1308-L1308)</f>
        <v/>
      </c>
      <c r="N1308" s="34" t="str">
        <f aca="false">IF(G1308="","",IFERROR(INDEX(I_Master!$B$6:$B$85,MATCH(G1308,I_Master!$A$6:$A$85,0)),"?"))</f>
        <v/>
      </c>
      <c r="O1308" s="34" t="str">
        <f aca="false">IF(G1308="","",IFERROR(INDEX(I_Master!$E$6:$E$85,MATCH(G1308,I_Master!$A$6:$A$85,0)),"?"))</f>
        <v/>
      </c>
      <c r="P1308" s="46" t="str">
        <f aca="false">IF(H1308="","",IF(OR(A1308&lt;I_Parameter!$C$5,A1308&gt;I_Parameter!$C$6),0,IF(B1308="Aktual",1,IF(AND(B1308="Order",A1308&gt;=I_Parameter!$C$4),1,0))))</f>
        <v/>
      </c>
    </row>
    <row r="1309" customFormat="false" ht="15" hidden="false" customHeight="false" outlineLevel="0" collapsed="false">
      <c r="A1309" s="37"/>
      <c r="B1309" s="44"/>
      <c r="C1309" s="44"/>
      <c r="D1309" s="44"/>
      <c r="E1309" s="44"/>
      <c r="F1309" s="44"/>
      <c r="G1309" s="34" t="str">
        <f aca="false">IF(F1309&lt;&gt;"",F1309,IF(E1309="","",IFERROR(INDEX(I_Item!$C$6:$C$255,MATCH(E1309,I_Item!$A$6:$A$255,0)),"KODE BARU")))</f>
        <v/>
      </c>
      <c r="H1309" s="45"/>
      <c r="I1309" s="42"/>
      <c r="J1309" s="11" t="str">
        <f aca="false">IF(H1309="","",H1309*I1309)</f>
        <v/>
      </c>
      <c r="K1309" s="42"/>
      <c r="L1309" s="11" t="str">
        <f aca="false">IF(H1309="","",IF(K1309&lt;&gt;"",K1309,H1309*IFERROR(INDEX(O_Stok!$Q$6:$Q$85,MATCH(G1309,O_Stok!$A$6:$A$85,0)),0)))</f>
        <v/>
      </c>
      <c r="M1309" s="11" t="str">
        <f aca="false">IF(H1309="","",J1309-L1309)</f>
        <v/>
      </c>
      <c r="N1309" s="34" t="str">
        <f aca="false">IF(G1309="","",IFERROR(INDEX(I_Master!$B$6:$B$85,MATCH(G1309,I_Master!$A$6:$A$85,0)),"?"))</f>
        <v/>
      </c>
      <c r="O1309" s="34" t="str">
        <f aca="false">IF(G1309="","",IFERROR(INDEX(I_Master!$E$6:$E$85,MATCH(G1309,I_Master!$A$6:$A$85,0)),"?"))</f>
        <v/>
      </c>
      <c r="P1309" s="46" t="str">
        <f aca="false">IF(H1309="","",IF(OR(A1309&lt;I_Parameter!$C$5,A1309&gt;I_Parameter!$C$6),0,IF(B1309="Aktual",1,IF(AND(B1309="Order",A1309&gt;=I_Parameter!$C$4),1,0))))</f>
        <v/>
      </c>
    </row>
    <row r="1310" customFormat="false" ht="15" hidden="false" customHeight="false" outlineLevel="0" collapsed="false">
      <c r="A1310" s="37"/>
      <c r="B1310" s="44"/>
      <c r="C1310" s="44"/>
      <c r="D1310" s="44"/>
      <c r="E1310" s="44"/>
      <c r="F1310" s="44"/>
      <c r="G1310" s="34" t="str">
        <f aca="false">IF(F1310&lt;&gt;"",F1310,IF(E1310="","",IFERROR(INDEX(I_Item!$C$6:$C$255,MATCH(E1310,I_Item!$A$6:$A$255,0)),"KODE BARU")))</f>
        <v/>
      </c>
      <c r="H1310" s="45"/>
      <c r="I1310" s="42"/>
      <c r="J1310" s="11" t="str">
        <f aca="false">IF(H1310="","",H1310*I1310)</f>
        <v/>
      </c>
      <c r="K1310" s="42"/>
      <c r="L1310" s="11" t="str">
        <f aca="false">IF(H1310="","",IF(K1310&lt;&gt;"",K1310,H1310*IFERROR(INDEX(O_Stok!$Q$6:$Q$85,MATCH(G1310,O_Stok!$A$6:$A$85,0)),0)))</f>
        <v/>
      </c>
      <c r="M1310" s="11" t="str">
        <f aca="false">IF(H1310="","",J1310-L1310)</f>
        <v/>
      </c>
      <c r="N1310" s="34" t="str">
        <f aca="false">IF(G1310="","",IFERROR(INDEX(I_Master!$B$6:$B$85,MATCH(G1310,I_Master!$A$6:$A$85,0)),"?"))</f>
        <v/>
      </c>
      <c r="O1310" s="34" t="str">
        <f aca="false">IF(G1310="","",IFERROR(INDEX(I_Master!$E$6:$E$85,MATCH(G1310,I_Master!$A$6:$A$85,0)),"?"))</f>
        <v/>
      </c>
      <c r="P1310" s="46" t="str">
        <f aca="false">IF(H1310="","",IF(OR(A1310&lt;I_Parameter!$C$5,A1310&gt;I_Parameter!$C$6),0,IF(B1310="Aktual",1,IF(AND(B1310="Order",A1310&gt;=I_Parameter!$C$4),1,0))))</f>
        <v/>
      </c>
    </row>
    <row r="1311" customFormat="false" ht="15" hidden="false" customHeight="false" outlineLevel="0" collapsed="false">
      <c r="A1311" s="37"/>
      <c r="B1311" s="44"/>
      <c r="C1311" s="44"/>
      <c r="D1311" s="44"/>
      <c r="E1311" s="44"/>
      <c r="F1311" s="44"/>
      <c r="G1311" s="34" t="str">
        <f aca="false">IF(F1311&lt;&gt;"",F1311,IF(E1311="","",IFERROR(INDEX(I_Item!$C$6:$C$255,MATCH(E1311,I_Item!$A$6:$A$255,0)),"KODE BARU")))</f>
        <v/>
      </c>
      <c r="H1311" s="45"/>
      <c r="I1311" s="42"/>
      <c r="J1311" s="11" t="str">
        <f aca="false">IF(H1311="","",H1311*I1311)</f>
        <v/>
      </c>
      <c r="K1311" s="42"/>
      <c r="L1311" s="11" t="str">
        <f aca="false">IF(H1311="","",IF(K1311&lt;&gt;"",K1311,H1311*IFERROR(INDEX(O_Stok!$Q$6:$Q$85,MATCH(G1311,O_Stok!$A$6:$A$85,0)),0)))</f>
        <v/>
      </c>
      <c r="M1311" s="11" t="str">
        <f aca="false">IF(H1311="","",J1311-L1311)</f>
        <v/>
      </c>
      <c r="N1311" s="34" t="str">
        <f aca="false">IF(G1311="","",IFERROR(INDEX(I_Master!$B$6:$B$85,MATCH(G1311,I_Master!$A$6:$A$85,0)),"?"))</f>
        <v/>
      </c>
      <c r="O1311" s="34" t="str">
        <f aca="false">IF(G1311="","",IFERROR(INDEX(I_Master!$E$6:$E$85,MATCH(G1311,I_Master!$A$6:$A$85,0)),"?"))</f>
        <v/>
      </c>
      <c r="P1311" s="46" t="str">
        <f aca="false">IF(H1311="","",IF(OR(A1311&lt;I_Parameter!$C$5,A1311&gt;I_Parameter!$C$6),0,IF(B1311="Aktual",1,IF(AND(B1311="Order",A1311&gt;=I_Parameter!$C$4),1,0))))</f>
        <v/>
      </c>
    </row>
    <row r="1312" customFormat="false" ht="15" hidden="false" customHeight="false" outlineLevel="0" collapsed="false">
      <c r="A1312" s="37"/>
      <c r="B1312" s="44"/>
      <c r="C1312" s="44"/>
      <c r="D1312" s="44"/>
      <c r="E1312" s="44"/>
      <c r="F1312" s="44"/>
      <c r="G1312" s="34" t="str">
        <f aca="false">IF(F1312&lt;&gt;"",F1312,IF(E1312="","",IFERROR(INDEX(I_Item!$C$6:$C$255,MATCH(E1312,I_Item!$A$6:$A$255,0)),"KODE BARU")))</f>
        <v/>
      </c>
      <c r="H1312" s="45"/>
      <c r="I1312" s="42"/>
      <c r="J1312" s="11" t="str">
        <f aca="false">IF(H1312="","",H1312*I1312)</f>
        <v/>
      </c>
      <c r="K1312" s="42"/>
      <c r="L1312" s="11" t="str">
        <f aca="false">IF(H1312="","",IF(K1312&lt;&gt;"",K1312,H1312*IFERROR(INDEX(O_Stok!$Q$6:$Q$85,MATCH(G1312,O_Stok!$A$6:$A$85,0)),0)))</f>
        <v/>
      </c>
      <c r="M1312" s="11" t="str">
        <f aca="false">IF(H1312="","",J1312-L1312)</f>
        <v/>
      </c>
      <c r="N1312" s="34" t="str">
        <f aca="false">IF(G1312="","",IFERROR(INDEX(I_Master!$B$6:$B$85,MATCH(G1312,I_Master!$A$6:$A$85,0)),"?"))</f>
        <v/>
      </c>
      <c r="O1312" s="34" t="str">
        <f aca="false">IF(G1312="","",IFERROR(INDEX(I_Master!$E$6:$E$85,MATCH(G1312,I_Master!$A$6:$A$85,0)),"?"))</f>
        <v/>
      </c>
      <c r="P1312" s="46" t="str">
        <f aca="false">IF(H1312="","",IF(OR(A1312&lt;I_Parameter!$C$5,A1312&gt;I_Parameter!$C$6),0,IF(B1312="Aktual",1,IF(AND(B1312="Order",A1312&gt;=I_Parameter!$C$4),1,0))))</f>
        <v/>
      </c>
    </row>
    <row r="1313" customFormat="false" ht="15" hidden="false" customHeight="false" outlineLevel="0" collapsed="false">
      <c r="A1313" s="37"/>
      <c r="B1313" s="44"/>
      <c r="C1313" s="44"/>
      <c r="D1313" s="44"/>
      <c r="E1313" s="44"/>
      <c r="F1313" s="44"/>
      <c r="G1313" s="34" t="str">
        <f aca="false">IF(F1313&lt;&gt;"",F1313,IF(E1313="","",IFERROR(INDEX(I_Item!$C$6:$C$255,MATCH(E1313,I_Item!$A$6:$A$255,0)),"KODE BARU")))</f>
        <v/>
      </c>
      <c r="H1313" s="45"/>
      <c r="I1313" s="42"/>
      <c r="J1313" s="11" t="str">
        <f aca="false">IF(H1313="","",H1313*I1313)</f>
        <v/>
      </c>
      <c r="K1313" s="42"/>
      <c r="L1313" s="11" t="str">
        <f aca="false">IF(H1313="","",IF(K1313&lt;&gt;"",K1313,H1313*IFERROR(INDEX(O_Stok!$Q$6:$Q$85,MATCH(G1313,O_Stok!$A$6:$A$85,0)),0)))</f>
        <v/>
      </c>
      <c r="M1313" s="11" t="str">
        <f aca="false">IF(H1313="","",J1313-L1313)</f>
        <v/>
      </c>
      <c r="N1313" s="34" t="str">
        <f aca="false">IF(G1313="","",IFERROR(INDEX(I_Master!$B$6:$B$85,MATCH(G1313,I_Master!$A$6:$A$85,0)),"?"))</f>
        <v/>
      </c>
      <c r="O1313" s="34" t="str">
        <f aca="false">IF(G1313="","",IFERROR(INDEX(I_Master!$E$6:$E$85,MATCH(G1313,I_Master!$A$6:$A$85,0)),"?"))</f>
        <v/>
      </c>
      <c r="P1313" s="46" t="str">
        <f aca="false">IF(H1313="","",IF(OR(A1313&lt;I_Parameter!$C$5,A1313&gt;I_Parameter!$C$6),0,IF(B1313="Aktual",1,IF(AND(B1313="Order",A1313&gt;=I_Parameter!$C$4),1,0))))</f>
        <v/>
      </c>
    </row>
    <row r="1314" customFormat="false" ht="15" hidden="false" customHeight="false" outlineLevel="0" collapsed="false">
      <c r="A1314" s="37"/>
      <c r="B1314" s="44"/>
      <c r="C1314" s="44"/>
      <c r="D1314" s="44"/>
      <c r="E1314" s="44"/>
      <c r="F1314" s="44"/>
      <c r="G1314" s="34" t="str">
        <f aca="false">IF(F1314&lt;&gt;"",F1314,IF(E1314="","",IFERROR(INDEX(I_Item!$C$6:$C$255,MATCH(E1314,I_Item!$A$6:$A$255,0)),"KODE BARU")))</f>
        <v/>
      </c>
      <c r="H1314" s="45"/>
      <c r="I1314" s="42"/>
      <c r="J1314" s="11" t="str">
        <f aca="false">IF(H1314="","",H1314*I1314)</f>
        <v/>
      </c>
      <c r="K1314" s="42"/>
      <c r="L1314" s="11" t="str">
        <f aca="false">IF(H1314="","",IF(K1314&lt;&gt;"",K1314,H1314*IFERROR(INDEX(O_Stok!$Q$6:$Q$85,MATCH(G1314,O_Stok!$A$6:$A$85,0)),0)))</f>
        <v/>
      </c>
      <c r="M1314" s="11" t="str">
        <f aca="false">IF(H1314="","",J1314-L1314)</f>
        <v/>
      </c>
      <c r="N1314" s="34" t="str">
        <f aca="false">IF(G1314="","",IFERROR(INDEX(I_Master!$B$6:$B$85,MATCH(G1314,I_Master!$A$6:$A$85,0)),"?"))</f>
        <v/>
      </c>
      <c r="O1314" s="34" t="str">
        <f aca="false">IF(G1314="","",IFERROR(INDEX(I_Master!$E$6:$E$85,MATCH(G1314,I_Master!$A$6:$A$85,0)),"?"))</f>
        <v/>
      </c>
      <c r="P1314" s="46" t="str">
        <f aca="false">IF(H1314="","",IF(OR(A1314&lt;I_Parameter!$C$5,A1314&gt;I_Parameter!$C$6),0,IF(B1314="Aktual",1,IF(AND(B1314="Order",A1314&gt;=I_Parameter!$C$4),1,0))))</f>
        <v/>
      </c>
    </row>
    <row r="1315" customFormat="false" ht="15" hidden="false" customHeight="false" outlineLevel="0" collapsed="false">
      <c r="A1315" s="37"/>
      <c r="B1315" s="44"/>
      <c r="C1315" s="44"/>
      <c r="D1315" s="44"/>
      <c r="E1315" s="44"/>
      <c r="F1315" s="44"/>
      <c r="G1315" s="34" t="str">
        <f aca="false">IF(F1315&lt;&gt;"",F1315,IF(E1315="","",IFERROR(INDEX(I_Item!$C$6:$C$255,MATCH(E1315,I_Item!$A$6:$A$255,0)),"KODE BARU")))</f>
        <v/>
      </c>
      <c r="H1315" s="45"/>
      <c r="I1315" s="42"/>
      <c r="J1315" s="11" t="str">
        <f aca="false">IF(H1315="","",H1315*I1315)</f>
        <v/>
      </c>
      <c r="K1315" s="42"/>
      <c r="L1315" s="11" t="str">
        <f aca="false">IF(H1315="","",IF(K1315&lt;&gt;"",K1315,H1315*IFERROR(INDEX(O_Stok!$Q$6:$Q$85,MATCH(G1315,O_Stok!$A$6:$A$85,0)),0)))</f>
        <v/>
      </c>
      <c r="M1315" s="11" t="str">
        <f aca="false">IF(H1315="","",J1315-L1315)</f>
        <v/>
      </c>
      <c r="N1315" s="34" t="str">
        <f aca="false">IF(G1315="","",IFERROR(INDEX(I_Master!$B$6:$B$85,MATCH(G1315,I_Master!$A$6:$A$85,0)),"?"))</f>
        <v/>
      </c>
      <c r="O1315" s="34" t="str">
        <f aca="false">IF(G1315="","",IFERROR(INDEX(I_Master!$E$6:$E$85,MATCH(G1315,I_Master!$A$6:$A$85,0)),"?"))</f>
        <v/>
      </c>
      <c r="P1315" s="46" t="str">
        <f aca="false">IF(H1315="","",IF(OR(A1315&lt;I_Parameter!$C$5,A1315&gt;I_Parameter!$C$6),0,IF(B1315="Aktual",1,IF(AND(B1315="Order",A1315&gt;=I_Parameter!$C$4),1,0))))</f>
        <v/>
      </c>
    </row>
    <row r="1316" customFormat="false" ht="15" hidden="false" customHeight="false" outlineLevel="0" collapsed="false">
      <c r="A1316" s="37"/>
      <c r="B1316" s="44"/>
      <c r="C1316" s="44"/>
      <c r="D1316" s="44"/>
      <c r="E1316" s="44"/>
      <c r="F1316" s="44"/>
      <c r="G1316" s="34" t="str">
        <f aca="false">IF(F1316&lt;&gt;"",F1316,IF(E1316="","",IFERROR(INDEX(I_Item!$C$6:$C$255,MATCH(E1316,I_Item!$A$6:$A$255,0)),"KODE BARU")))</f>
        <v/>
      </c>
      <c r="H1316" s="45"/>
      <c r="I1316" s="42"/>
      <c r="J1316" s="11" t="str">
        <f aca="false">IF(H1316="","",H1316*I1316)</f>
        <v/>
      </c>
      <c r="K1316" s="42"/>
      <c r="L1316" s="11" t="str">
        <f aca="false">IF(H1316="","",IF(K1316&lt;&gt;"",K1316,H1316*IFERROR(INDEX(O_Stok!$Q$6:$Q$85,MATCH(G1316,O_Stok!$A$6:$A$85,0)),0)))</f>
        <v/>
      </c>
      <c r="M1316" s="11" t="str">
        <f aca="false">IF(H1316="","",J1316-L1316)</f>
        <v/>
      </c>
      <c r="N1316" s="34" t="str">
        <f aca="false">IF(G1316="","",IFERROR(INDEX(I_Master!$B$6:$B$85,MATCH(G1316,I_Master!$A$6:$A$85,0)),"?"))</f>
        <v/>
      </c>
      <c r="O1316" s="34" t="str">
        <f aca="false">IF(G1316="","",IFERROR(INDEX(I_Master!$E$6:$E$85,MATCH(G1316,I_Master!$A$6:$A$85,0)),"?"))</f>
        <v/>
      </c>
      <c r="P1316" s="46" t="str">
        <f aca="false">IF(H1316="","",IF(OR(A1316&lt;I_Parameter!$C$5,A1316&gt;I_Parameter!$C$6),0,IF(B1316="Aktual",1,IF(AND(B1316="Order",A1316&gt;=I_Parameter!$C$4),1,0))))</f>
        <v/>
      </c>
    </row>
    <row r="1317" customFormat="false" ht="15" hidden="false" customHeight="false" outlineLevel="0" collapsed="false">
      <c r="A1317" s="37"/>
      <c r="B1317" s="44"/>
      <c r="C1317" s="44"/>
      <c r="D1317" s="44"/>
      <c r="E1317" s="44"/>
      <c r="F1317" s="44"/>
      <c r="G1317" s="34" t="str">
        <f aca="false">IF(F1317&lt;&gt;"",F1317,IF(E1317="","",IFERROR(INDEX(I_Item!$C$6:$C$255,MATCH(E1317,I_Item!$A$6:$A$255,0)),"KODE BARU")))</f>
        <v/>
      </c>
      <c r="H1317" s="45"/>
      <c r="I1317" s="42"/>
      <c r="J1317" s="11" t="str">
        <f aca="false">IF(H1317="","",H1317*I1317)</f>
        <v/>
      </c>
      <c r="K1317" s="42"/>
      <c r="L1317" s="11" t="str">
        <f aca="false">IF(H1317="","",IF(K1317&lt;&gt;"",K1317,H1317*IFERROR(INDEX(O_Stok!$Q$6:$Q$85,MATCH(G1317,O_Stok!$A$6:$A$85,0)),0)))</f>
        <v/>
      </c>
      <c r="M1317" s="11" t="str">
        <f aca="false">IF(H1317="","",J1317-L1317)</f>
        <v/>
      </c>
      <c r="N1317" s="34" t="str">
        <f aca="false">IF(G1317="","",IFERROR(INDEX(I_Master!$B$6:$B$85,MATCH(G1317,I_Master!$A$6:$A$85,0)),"?"))</f>
        <v/>
      </c>
      <c r="O1317" s="34" t="str">
        <f aca="false">IF(G1317="","",IFERROR(INDEX(I_Master!$E$6:$E$85,MATCH(G1317,I_Master!$A$6:$A$85,0)),"?"))</f>
        <v/>
      </c>
      <c r="P1317" s="46" t="str">
        <f aca="false">IF(H1317="","",IF(OR(A1317&lt;I_Parameter!$C$5,A1317&gt;I_Parameter!$C$6),0,IF(B1317="Aktual",1,IF(AND(B1317="Order",A1317&gt;=I_Parameter!$C$4),1,0))))</f>
        <v/>
      </c>
    </row>
    <row r="1318" customFormat="false" ht="15" hidden="false" customHeight="false" outlineLevel="0" collapsed="false">
      <c r="A1318" s="37"/>
      <c r="B1318" s="44"/>
      <c r="C1318" s="44"/>
      <c r="D1318" s="44"/>
      <c r="E1318" s="44"/>
      <c r="F1318" s="44"/>
      <c r="G1318" s="34" t="str">
        <f aca="false">IF(F1318&lt;&gt;"",F1318,IF(E1318="","",IFERROR(INDEX(I_Item!$C$6:$C$255,MATCH(E1318,I_Item!$A$6:$A$255,0)),"KODE BARU")))</f>
        <v/>
      </c>
      <c r="H1318" s="45"/>
      <c r="I1318" s="42"/>
      <c r="J1318" s="11" t="str">
        <f aca="false">IF(H1318="","",H1318*I1318)</f>
        <v/>
      </c>
      <c r="K1318" s="42"/>
      <c r="L1318" s="11" t="str">
        <f aca="false">IF(H1318="","",IF(K1318&lt;&gt;"",K1318,H1318*IFERROR(INDEX(O_Stok!$Q$6:$Q$85,MATCH(G1318,O_Stok!$A$6:$A$85,0)),0)))</f>
        <v/>
      </c>
      <c r="M1318" s="11" t="str">
        <f aca="false">IF(H1318="","",J1318-L1318)</f>
        <v/>
      </c>
      <c r="N1318" s="34" t="str">
        <f aca="false">IF(G1318="","",IFERROR(INDEX(I_Master!$B$6:$B$85,MATCH(G1318,I_Master!$A$6:$A$85,0)),"?"))</f>
        <v/>
      </c>
      <c r="O1318" s="34" t="str">
        <f aca="false">IF(G1318="","",IFERROR(INDEX(I_Master!$E$6:$E$85,MATCH(G1318,I_Master!$A$6:$A$85,0)),"?"))</f>
        <v/>
      </c>
      <c r="P1318" s="46" t="str">
        <f aca="false">IF(H1318="","",IF(OR(A1318&lt;I_Parameter!$C$5,A1318&gt;I_Parameter!$C$6),0,IF(B1318="Aktual",1,IF(AND(B1318="Order",A1318&gt;=I_Parameter!$C$4),1,0))))</f>
        <v/>
      </c>
    </row>
    <row r="1319" customFormat="false" ht="15" hidden="false" customHeight="false" outlineLevel="0" collapsed="false">
      <c r="A1319" s="37"/>
      <c r="B1319" s="44"/>
      <c r="C1319" s="44"/>
      <c r="D1319" s="44"/>
      <c r="E1319" s="44"/>
      <c r="F1319" s="44"/>
      <c r="G1319" s="34" t="str">
        <f aca="false">IF(F1319&lt;&gt;"",F1319,IF(E1319="","",IFERROR(INDEX(I_Item!$C$6:$C$255,MATCH(E1319,I_Item!$A$6:$A$255,0)),"KODE BARU")))</f>
        <v/>
      </c>
      <c r="H1319" s="45"/>
      <c r="I1319" s="42"/>
      <c r="J1319" s="11" t="str">
        <f aca="false">IF(H1319="","",H1319*I1319)</f>
        <v/>
      </c>
      <c r="K1319" s="42"/>
      <c r="L1319" s="11" t="str">
        <f aca="false">IF(H1319="","",IF(K1319&lt;&gt;"",K1319,H1319*IFERROR(INDEX(O_Stok!$Q$6:$Q$85,MATCH(G1319,O_Stok!$A$6:$A$85,0)),0)))</f>
        <v/>
      </c>
      <c r="M1319" s="11" t="str">
        <f aca="false">IF(H1319="","",J1319-L1319)</f>
        <v/>
      </c>
      <c r="N1319" s="34" t="str">
        <f aca="false">IF(G1319="","",IFERROR(INDEX(I_Master!$B$6:$B$85,MATCH(G1319,I_Master!$A$6:$A$85,0)),"?"))</f>
        <v/>
      </c>
      <c r="O1319" s="34" t="str">
        <f aca="false">IF(G1319="","",IFERROR(INDEX(I_Master!$E$6:$E$85,MATCH(G1319,I_Master!$A$6:$A$85,0)),"?"))</f>
        <v/>
      </c>
      <c r="P1319" s="46" t="str">
        <f aca="false">IF(H1319="","",IF(OR(A1319&lt;I_Parameter!$C$5,A1319&gt;I_Parameter!$C$6),0,IF(B1319="Aktual",1,IF(AND(B1319="Order",A1319&gt;=I_Parameter!$C$4),1,0))))</f>
        <v/>
      </c>
    </row>
    <row r="1320" customFormat="false" ht="15" hidden="false" customHeight="false" outlineLevel="0" collapsed="false">
      <c r="A1320" s="37"/>
      <c r="B1320" s="44"/>
      <c r="C1320" s="44"/>
      <c r="D1320" s="44"/>
      <c r="E1320" s="44"/>
      <c r="F1320" s="44"/>
      <c r="G1320" s="34" t="str">
        <f aca="false">IF(F1320&lt;&gt;"",F1320,IF(E1320="","",IFERROR(INDEX(I_Item!$C$6:$C$255,MATCH(E1320,I_Item!$A$6:$A$255,0)),"KODE BARU")))</f>
        <v/>
      </c>
      <c r="H1320" s="45"/>
      <c r="I1320" s="42"/>
      <c r="J1320" s="11" t="str">
        <f aca="false">IF(H1320="","",H1320*I1320)</f>
        <v/>
      </c>
      <c r="K1320" s="42"/>
      <c r="L1320" s="11" t="str">
        <f aca="false">IF(H1320="","",IF(K1320&lt;&gt;"",K1320,H1320*IFERROR(INDEX(O_Stok!$Q$6:$Q$85,MATCH(G1320,O_Stok!$A$6:$A$85,0)),0)))</f>
        <v/>
      </c>
      <c r="M1320" s="11" t="str">
        <f aca="false">IF(H1320="","",J1320-L1320)</f>
        <v/>
      </c>
      <c r="N1320" s="34" t="str">
        <f aca="false">IF(G1320="","",IFERROR(INDEX(I_Master!$B$6:$B$85,MATCH(G1320,I_Master!$A$6:$A$85,0)),"?"))</f>
        <v/>
      </c>
      <c r="O1320" s="34" t="str">
        <f aca="false">IF(G1320="","",IFERROR(INDEX(I_Master!$E$6:$E$85,MATCH(G1320,I_Master!$A$6:$A$85,0)),"?"))</f>
        <v/>
      </c>
      <c r="P1320" s="46" t="str">
        <f aca="false">IF(H1320="","",IF(OR(A1320&lt;I_Parameter!$C$5,A1320&gt;I_Parameter!$C$6),0,IF(B1320="Aktual",1,IF(AND(B1320="Order",A1320&gt;=I_Parameter!$C$4),1,0))))</f>
        <v/>
      </c>
    </row>
    <row r="1321" customFormat="false" ht="15" hidden="false" customHeight="false" outlineLevel="0" collapsed="false">
      <c r="A1321" s="37"/>
      <c r="B1321" s="44"/>
      <c r="C1321" s="44"/>
      <c r="D1321" s="44"/>
      <c r="E1321" s="44"/>
      <c r="F1321" s="44"/>
      <c r="G1321" s="34" t="str">
        <f aca="false">IF(F1321&lt;&gt;"",F1321,IF(E1321="","",IFERROR(INDEX(I_Item!$C$6:$C$255,MATCH(E1321,I_Item!$A$6:$A$255,0)),"KODE BARU")))</f>
        <v/>
      </c>
      <c r="H1321" s="45"/>
      <c r="I1321" s="42"/>
      <c r="J1321" s="11" t="str">
        <f aca="false">IF(H1321="","",H1321*I1321)</f>
        <v/>
      </c>
      <c r="K1321" s="42"/>
      <c r="L1321" s="11" t="str">
        <f aca="false">IF(H1321="","",IF(K1321&lt;&gt;"",K1321,H1321*IFERROR(INDEX(O_Stok!$Q$6:$Q$85,MATCH(G1321,O_Stok!$A$6:$A$85,0)),0)))</f>
        <v/>
      </c>
      <c r="M1321" s="11" t="str">
        <f aca="false">IF(H1321="","",J1321-L1321)</f>
        <v/>
      </c>
      <c r="N1321" s="34" t="str">
        <f aca="false">IF(G1321="","",IFERROR(INDEX(I_Master!$B$6:$B$85,MATCH(G1321,I_Master!$A$6:$A$85,0)),"?"))</f>
        <v/>
      </c>
      <c r="O1321" s="34" t="str">
        <f aca="false">IF(G1321="","",IFERROR(INDEX(I_Master!$E$6:$E$85,MATCH(G1321,I_Master!$A$6:$A$85,0)),"?"))</f>
        <v/>
      </c>
      <c r="P1321" s="46" t="str">
        <f aca="false">IF(H1321="","",IF(OR(A1321&lt;I_Parameter!$C$5,A1321&gt;I_Parameter!$C$6),0,IF(B1321="Aktual",1,IF(AND(B1321="Order",A1321&gt;=I_Parameter!$C$4),1,0))))</f>
        <v/>
      </c>
    </row>
    <row r="1322" customFormat="false" ht="15" hidden="false" customHeight="false" outlineLevel="0" collapsed="false">
      <c r="A1322" s="37"/>
      <c r="B1322" s="44"/>
      <c r="C1322" s="44"/>
      <c r="D1322" s="44"/>
      <c r="E1322" s="44"/>
      <c r="F1322" s="44"/>
      <c r="G1322" s="34" t="str">
        <f aca="false">IF(F1322&lt;&gt;"",F1322,IF(E1322="","",IFERROR(INDEX(I_Item!$C$6:$C$255,MATCH(E1322,I_Item!$A$6:$A$255,0)),"KODE BARU")))</f>
        <v/>
      </c>
      <c r="H1322" s="45"/>
      <c r="I1322" s="42"/>
      <c r="J1322" s="11" t="str">
        <f aca="false">IF(H1322="","",H1322*I1322)</f>
        <v/>
      </c>
      <c r="K1322" s="42"/>
      <c r="L1322" s="11" t="str">
        <f aca="false">IF(H1322="","",IF(K1322&lt;&gt;"",K1322,H1322*IFERROR(INDEX(O_Stok!$Q$6:$Q$85,MATCH(G1322,O_Stok!$A$6:$A$85,0)),0)))</f>
        <v/>
      </c>
      <c r="M1322" s="11" t="str">
        <f aca="false">IF(H1322="","",J1322-L1322)</f>
        <v/>
      </c>
      <c r="N1322" s="34" t="str">
        <f aca="false">IF(G1322="","",IFERROR(INDEX(I_Master!$B$6:$B$85,MATCH(G1322,I_Master!$A$6:$A$85,0)),"?"))</f>
        <v/>
      </c>
      <c r="O1322" s="34" t="str">
        <f aca="false">IF(G1322="","",IFERROR(INDEX(I_Master!$E$6:$E$85,MATCH(G1322,I_Master!$A$6:$A$85,0)),"?"))</f>
        <v/>
      </c>
      <c r="P1322" s="46" t="str">
        <f aca="false">IF(H1322="","",IF(OR(A1322&lt;I_Parameter!$C$5,A1322&gt;I_Parameter!$C$6),0,IF(B1322="Aktual",1,IF(AND(B1322="Order",A1322&gt;=I_Parameter!$C$4),1,0))))</f>
        <v/>
      </c>
    </row>
    <row r="1323" customFormat="false" ht="15" hidden="false" customHeight="false" outlineLevel="0" collapsed="false">
      <c r="A1323" s="37"/>
      <c r="B1323" s="44"/>
      <c r="C1323" s="44"/>
      <c r="D1323" s="44"/>
      <c r="E1323" s="44"/>
      <c r="F1323" s="44"/>
      <c r="G1323" s="34" t="str">
        <f aca="false">IF(F1323&lt;&gt;"",F1323,IF(E1323="","",IFERROR(INDEX(I_Item!$C$6:$C$255,MATCH(E1323,I_Item!$A$6:$A$255,0)),"KODE BARU")))</f>
        <v/>
      </c>
      <c r="H1323" s="45"/>
      <c r="I1323" s="42"/>
      <c r="J1323" s="11" t="str">
        <f aca="false">IF(H1323="","",H1323*I1323)</f>
        <v/>
      </c>
      <c r="K1323" s="42"/>
      <c r="L1323" s="11" t="str">
        <f aca="false">IF(H1323="","",IF(K1323&lt;&gt;"",K1323,H1323*IFERROR(INDEX(O_Stok!$Q$6:$Q$85,MATCH(G1323,O_Stok!$A$6:$A$85,0)),0)))</f>
        <v/>
      </c>
      <c r="M1323" s="11" t="str">
        <f aca="false">IF(H1323="","",J1323-L1323)</f>
        <v/>
      </c>
      <c r="N1323" s="34" t="str">
        <f aca="false">IF(G1323="","",IFERROR(INDEX(I_Master!$B$6:$B$85,MATCH(G1323,I_Master!$A$6:$A$85,0)),"?"))</f>
        <v/>
      </c>
      <c r="O1323" s="34" t="str">
        <f aca="false">IF(G1323="","",IFERROR(INDEX(I_Master!$E$6:$E$85,MATCH(G1323,I_Master!$A$6:$A$85,0)),"?"))</f>
        <v/>
      </c>
      <c r="P1323" s="46" t="str">
        <f aca="false">IF(H1323="","",IF(OR(A1323&lt;I_Parameter!$C$5,A1323&gt;I_Parameter!$C$6),0,IF(B1323="Aktual",1,IF(AND(B1323="Order",A1323&gt;=I_Parameter!$C$4),1,0))))</f>
        <v/>
      </c>
    </row>
    <row r="1324" customFormat="false" ht="15" hidden="false" customHeight="false" outlineLevel="0" collapsed="false">
      <c r="A1324" s="37"/>
      <c r="B1324" s="44"/>
      <c r="C1324" s="44"/>
      <c r="D1324" s="44"/>
      <c r="E1324" s="44"/>
      <c r="F1324" s="44"/>
      <c r="G1324" s="34" t="str">
        <f aca="false">IF(F1324&lt;&gt;"",F1324,IF(E1324="","",IFERROR(INDEX(I_Item!$C$6:$C$255,MATCH(E1324,I_Item!$A$6:$A$255,0)),"KODE BARU")))</f>
        <v/>
      </c>
      <c r="H1324" s="45"/>
      <c r="I1324" s="42"/>
      <c r="J1324" s="11" t="str">
        <f aca="false">IF(H1324="","",H1324*I1324)</f>
        <v/>
      </c>
      <c r="K1324" s="42"/>
      <c r="L1324" s="11" t="str">
        <f aca="false">IF(H1324="","",IF(K1324&lt;&gt;"",K1324,H1324*IFERROR(INDEX(O_Stok!$Q$6:$Q$85,MATCH(G1324,O_Stok!$A$6:$A$85,0)),0)))</f>
        <v/>
      </c>
      <c r="M1324" s="11" t="str">
        <f aca="false">IF(H1324="","",J1324-L1324)</f>
        <v/>
      </c>
      <c r="N1324" s="34" t="str">
        <f aca="false">IF(G1324="","",IFERROR(INDEX(I_Master!$B$6:$B$85,MATCH(G1324,I_Master!$A$6:$A$85,0)),"?"))</f>
        <v/>
      </c>
      <c r="O1324" s="34" t="str">
        <f aca="false">IF(G1324="","",IFERROR(INDEX(I_Master!$E$6:$E$85,MATCH(G1324,I_Master!$A$6:$A$85,0)),"?"))</f>
        <v/>
      </c>
      <c r="P1324" s="46" t="str">
        <f aca="false">IF(H1324="","",IF(OR(A1324&lt;I_Parameter!$C$5,A1324&gt;I_Parameter!$C$6),0,IF(B1324="Aktual",1,IF(AND(B1324="Order",A1324&gt;=I_Parameter!$C$4),1,0))))</f>
        <v/>
      </c>
    </row>
    <row r="1325" customFormat="false" ht="15" hidden="false" customHeight="false" outlineLevel="0" collapsed="false">
      <c r="A1325" s="37"/>
      <c r="B1325" s="44"/>
      <c r="C1325" s="44"/>
      <c r="D1325" s="44"/>
      <c r="E1325" s="44"/>
      <c r="F1325" s="44"/>
      <c r="G1325" s="34" t="str">
        <f aca="false">IF(F1325&lt;&gt;"",F1325,IF(E1325="","",IFERROR(INDEX(I_Item!$C$6:$C$255,MATCH(E1325,I_Item!$A$6:$A$255,0)),"KODE BARU")))</f>
        <v/>
      </c>
      <c r="H1325" s="45"/>
      <c r="I1325" s="42"/>
      <c r="J1325" s="11" t="str">
        <f aca="false">IF(H1325="","",H1325*I1325)</f>
        <v/>
      </c>
      <c r="K1325" s="42"/>
      <c r="L1325" s="11" t="str">
        <f aca="false">IF(H1325="","",IF(K1325&lt;&gt;"",K1325,H1325*IFERROR(INDEX(O_Stok!$Q$6:$Q$85,MATCH(G1325,O_Stok!$A$6:$A$85,0)),0)))</f>
        <v/>
      </c>
      <c r="M1325" s="11" t="str">
        <f aca="false">IF(H1325="","",J1325-L1325)</f>
        <v/>
      </c>
      <c r="N1325" s="34" t="str">
        <f aca="false">IF(G1325="","",IFERROR(INDEX(I_Master!$B$6:$B$85,MATCH(G1325,I_Master!$A$6:$A$85,0)),"?"))</f>
        <v/>
      </c>
      <c r="O1325" s="34" t="str">
        <f aca="false">IF(G1325="","",IFERROR(INDEX(I_Master!$E$6:$E$85,MATCH(G1325,I_Master!$A$6:$A$85,0)),"?"))</f>
        <v/>
      </c>
      <c r="P1325" s="46" t="str">
        <f aca="false">IF(H1325="","",IF(OR(A1325&lt;I_Parameter!$C$5,A1325&gt;I_Parameter!$C$6),0,IF(B1325="Aktual",1,IF(AND(B1325="Order",A1325&gt;=I_Parameter!$C$4),1,0))))</f>
        <v/>
      </c>
    </row>
    <row r="1326" customFormat="false" ht="15" hidden="false" customHeight="false" outlineLevel="0" collapsed="false">
      <c r="A1326" s="37"/>
      <c r="B1326" s="44"/>
      <c r="C1326" s="44"/>
      <c r="D1326" s="44"/>
      <c r="E1326" s="44"/>
      <c r="F1326" s="44"/>
      <c r="G1326" s="34" t="str">
        <f aca="false">IF(F1326&lt;&gt;"",F1326,IF(E1326="","",IFERROR(INDEX(I_Item!$C$6:$C$255,MATCH(E1326,I_Item!$A$6:$A$255,0)),"KODE BARU")))</f>
        <v/>
      </c>
      <c r="H1326" s="45"/>
      <c r="I1326" s="42"/>
      <c r="J1326" s="11" t="str">
        <f aca="false">IF(H1326="","",H1326*I1326)</f>
        <v/>
      </c>
      <c r="K1326" s="42"/>
      <c r="L1326" s="11" t="str">
        <f aca="false">IF(H1326="","",IF(K1326&lt;&gt;"",K1326,H1326*IFERROR(INDEX(O_Stok!$Q$6:$Q$85,MATCH(G1326,O_Stok!$A$6:$A$85,0)),0)))</f>
        <v/>
      </c>
      <c r="M1326" s="11" t="str">
        <f aca="false">IF(H1326="","",J1326-L1326)</f>
        <v/>
      </c>
      <c r="N1326" s="34" t="str">
        <f aca="false">IF(G1326="","",IFERROR(INDEX(I_Master!$B$6:$B$85,MATCH(G1326,I_Master!$A$6:$A$85,0)),"?"))</f>
        <v/>
      </c>
      <c r="O1326" s="34" t="str">
        <f aca="false">IF(G1326="","",IFERROR(INDEX(I_Master!$E$6:$E$85,MATCH(G1326,I_Master!$A$6:$A$85,0)),"?"))</f>
        <v/>
      </c>
      <c r="P1326" s="46" t="str">
        <f aca="false">IF(H1326="","",IF(OR(A1326&lt;I_Parameter!$C$5,A1326&gt;I_Parameter!$C$6),0,IF(B1326="Aktual",1,IF(AND(B1326="Order",A1326&gt;=I_Parameter!$C$4),1,0))))</f>
        <v/>
      </c>
    </row>
    <row r="1327" customFormat="false" ht="15" hidden="false" customHeight="false" outlineLevel="0" collapsed="false">
      <c r="A1327" s="37"/>
      <c r="B1327" s="44"/>
      <c r="C1327" s="44"/>
      <c r="D1327" s="44"/>
      <c r="E1327" s="44"/>
      <c r="F1327" s="44"/>
      <c r="G1327" s="34" t="str">
        <f aca="false">IF(F1327&lt;&gt;"",F1327,IF(E1327="","",IFERROR(INDEX(I_Item!$C$6:$C$255,MATCH(E1327,I_Item!$A$6:$A$255,0)),"KODE BARU")))</f>
        <v/>
      </c>
      <c r="H1327" s="45"/>
      <c r="I1327" s="42"/>
      <c r="J1327" s="11" t="str">
        <f aca="false">IF(H1327="","",H1327*I1327)</f>
        <v/>
      </c>
      <c r="K1327" s="42"/>
      <c r="L1327" s="11" t="str">
        <f aca="false">IF(H1327="","",IF(K1327&lt;&gt;"",K1327,H1327*IFERROR(INDEX(O_Stok!$Q$6:$Q$85,MATCH(G1327,O_Stok!$A$6:$A$85,0)),0)))</f>
        <v/>
      </c>
      <c r="M1327" s="11" t="str">
        <f aca="false">IF(H1327="","",J1327-L1327)</f>
        <v/>
      </c>
      <c r="N1327" s="34" t="str">
        <f aca="false">IF(G1327="","",IFERROR(INDEX(I_Master!$B$6:$B$85,MATCH(G1327,I_Master!$A$6:$A$85,0)),"?"))</f>
        <v/>
      </c>
      <c r="O1327" s="34" t="str">
        <f aca="false">IF(G1327="","",IFERROR(INDEX(I_Master!$E$6:$E$85,MATCH(G1327,I_Master!$A$6:$A$85,0)),"?"))</f>
        <v/>
      </c>
      <c r="P1327" s="46" t="str">
        <f aca="false">IF(H1327="","",IF(OR(A1327&lt;I_Parameter!$C$5,A1327&gt;I_Parameter!$C$6),0,IF(B1327="Aktual",1,IF(AND(B1327="Order",A1327&gt;=I_Parameter!$C$4),1,0))))</f>
        <v/>
      </c>
    </row>
    <row r="1328" customFormat="false" ht="15" hidden="false" customHeight="false" outlineLevel="0" collapsed="false">
      <c r="A1328" s="37"/>
      <c r="B1328" s="44"/>
      <c r="C1328" s="44"/>
      <c r="D1328" s="44"/>
      <c r="E1328" s="44"/>
      <c r="F1328" s="44"/>
      <c r="G1328" s="34" t="str">
        <f aca="false">IF(F1328&lt;&gt;"",F1328,IF(E1328="","",IFERROR(INDEX(I_Item!$C$6:$C$255,MATCH(E1328,I_Item!$A$6:$A$255,0)),"KODE BARU")))</f>
        <v/>
      </c>
      <c r="H1328" s="45"/>
      <c r="I1328" s="42"/>
      <c r="J1328" s="11" t="str">
        <f aca="false">IF(H1328="","",H1328*I1328)</f>
        <v/>
      </c>
      <c r="K1328" s="42"/>
      <c r="L1328" s="11" t="str">
        <f aca="false">IF(H1328="","",IF(K1328&lt;&gt;"",K1328,H1328*IFERROR(INDEX(O_Stok!$Q$6:$Q$85,MATCH(G1328,O_Stok!$A$6:$A$85,0)),0)))</f>
        <v/>
      </c>
      <c r="M1328" s="11" t="str">
        <f aca="false">IF(H1328="","",J1328-L1328)</f>
        <v/>
      </c>
      <c r="N1328" s="34" t="str">
        <f aca="false">IF(G1328="","",IFERROR(INDEX(I_Master!$B$6:$B$85,MATCH(G1328,I_Master!$A$6:$A$85,0)),"?"))</f>
        <v/>
      </c>
      <c r="O1328" s="34" t="str">
        <f aca="false">IF(G1328="","",IFERROR(INDEX(I_Master!$E$6:$E$85,MATCH(G1328,I_Master!$A$6:$A$85,0)),"?"))</f>
        <v/>
      </c>
      <c r="P1328" s="46" t="str">
        <f aca="false">IF(H1328="","",IF(OR(A1328&lt;I_Parameter!$C$5,A1328&gt;I_Parameter!$C$6),0,IF(B1328="Aktual",1,IF(AND(B1328="Order",A1328&gt;=I_Parameter!$C$4),1,0))))</f>
        <v/>
      </c>
    </row>
    <row r="1329" customFormat="false" ht="15" hidden="false" customHeight="false" outlineLevel="0" collapsed="false">
      <c r="A1329" s="37"/>
      <c r="B1329" s="44"/>
      <c r="C1329" s="44"/>
      <c r="D1329" s="44"/>
      <c r="E1329" s="44"/>
      <c r="F1329" s="44"/>
      <c r="G1329" s="34" t="str">
        <f aca="false">IF(F1329&lt;&gt;"",F1329,IF(E1329="","",IFERROR(INDEX(I_Item!$C$6:$C$255,MATCH(E1329,I_Item!$A$6:$A$255,0)),"KODE BARU")))</f>
        <v/>
      </c>
      <c r="H1329" s="45"/>
      <c r="I1329" s="42"/>
      <c r="J1329" s="11" t="str">
        <f aca="false">IF(H1329="","",H1329*I1329)</f>
        <v/>
      </c>
      <c r="K1329" s="42"/>
      <c r="L1329" s="11" t="str">
        <f aca="false">IF(H1329="","",IF(K1329&lt;&gt;"",K1329,H1329*IFERROR(INDEX(O_Stok!$Q$6:$Q$85,MATCH(G1329,O_Stok!$A$6:$A$85,0)),0)))</f>
        <v/>
      </c>
      <c r="M1329" s="11" t="str">
        <f aca="false">IF(H1329="","",J1329-L1329)</f>
        <v/>
      </c>
      <c r="N1329" s="34" t="str">
        <f aca="false">IF(G1329="","",IFERROR(INDEX(I_Master!$B$6:$B$85,MATCH(G1329,I_Master!$A$6:$A$85,0)),"?"))</f>
        <v/>
      </c>
      <c r="O1329" s="34" t="str">
        <f aca="false">IF(G1329="","",IFERROR(INDEX(I_Master!$E$6:$E$85,MATCH(G1329,I_Master!$A$6:$A$85,0)),"?"))</f>
        <v/>
      </c>
      <c r="P1329" s="46" t="str">
        <f aca="false">IF(H1329="","",IF(OR(A1329&lt;I_Parameter!$C$5,A1329&gt;I_Parameter!$C$6),0,IF(B1329="Aktual",1,IF(AND(B1329="Order",A1329&gt;=I_Parameter!$C$4),1,0))))</f>
        <v/>
      </c>
    </row>
    <row r="1330" customFormat="false" ht="15" hidden="false" customHeight="false" outlineLevel="0" collapsed="false">
      <c r="A1330" s="37"/>
      <c r="B1330" s="44"/>
      <c r="C1330" s="44"/>
      <c r="D1330" s="44"/>
      <c r="E1330" s="44"/>
      <c r="F1330" s="44"/>
      <c r="G1330" s="34" t="str">
        <f aca="false">IF(F1330&lt;&gt;"",F1330,IF(E1330="","",IFERROR(INDEX(I_Item!$C$6:$C$255,MATCH(E1330,I_Item!$A$6:$A$255,0)),"KODE BARU")))</f>
        <v/>
      </c>
      <c r="H1330" s="45"/>
      <c r="I1330" s="42"/>
      <c r="J1330" s="11" t="str">
        <f aca="false">IF(H1330="","",H1330*I1330)</f>
        <v/>
      </c>
      <c r="K1330" s="42"/>
      <c r="L1330" s="11" t="str">
        <f aca="false">IF(H1330="","",IF(K1330&lt;&gt;"",K1330,H1330*IFERROR(INDEX(O_Stok!$Q$6:$Q$85,MATCH(G1330,O_Stok!$A$6:$A$85,0)),0)))</f>
        <v/>
      </c>
      <c r="M1330" s="11" t="str">
        <f aca="false">IF(H1330="","",J1330-L1330)</f>
        <v/>
      </c>
      <c r="N1330" s="34" t="str">
        <f aca="false">IF(G1330="","",IFERROR(INDEX(I_Master!$B$6:$B$85,MATCH(G1330,I_Master!$A$6:$A$85,0)),"?"))</f>
        <v/>
      </c>
      <c r="O1330" s="34" t="str">
        <f aca="false">IF(G1330="","",IFERROR(INDEX(I_Master!$E$6:$E$85,MATCH(G1330,I_Master!$A$6:$A$85,0)),"?"))</f>
        <v/>
      </c>
      <c r="P1330" s="46" t="str">
        <f aca="false">IF(H1330="","",IF(OR(A1330&lt;I_Parameter!$C$5,A1330&gt;I_Parameter!$C$6),0,IF(B1330="Aktual",1,IF(AND(B1330="Order",A1330&gt;=I_Parameter!$C$4),1,0))))</f>
        <v/>
      </c>
    </row>
    <row r="1331" customFormat="false" ht="15" hidden="false" customHeight="false" outlineLevel="0" collapsed="false">
      <c r="A1331" s="37"/>
      <c r="B1331" s="44"/>
      <c r="C1331" s="44"/>
      <c r="D1331" s="44"/>
      <c r="E1331" s="44"/>
      <c r="F1331" s="44"/>
      <c r="G1331" s="34" t="str">
        <f aca="false">IF(F1331&lt;&gt;"",F1331,IF(E1331="","",IFERROR(INDEX(I_Item!$C$6:$C$255,MATCH(E1331,I_Item!$A$6:$A$255,0)),"KODE BARU")))</f>
        <v/>
      </c>
      <c r="H1331" s="45"/>
      <c r="I1331" s="42"/>
      <c r="J1331" s="11" t="str">
        <f aca="false">IF(H1331="","",H1331*I1331)</f>
        <v/>
      </c>
      <c r="K1331" s="42"/>
      <c r="L1331" s="11" t="str">
        <f aca="false">IF(H1331="","",IF(K1331&lt;&gt;"",K1331,H1331*IFERROR(INDEX(O_Stok!$Q$6:$Q$85,MATCH(G1331,O_Stok!$A$6:$A$85,0)),0)))</f>
        <v/>
      </c>
      <c r="M1331" s="11" t="str">
        <f aca="false">IF(H1331="","",J1331-L1331)</f>
        <v/>
      </c>
      <c r="N1331" s="34" t="str">
        <f aca="false">IF(G1331="","",IFERROR(INDEX(I_Master!$B$6:$B$85,MATCH(G1331,I_Master!$A$6:$A$85,0)),"?"))</f>
        <v/>
      </c>
      <c r="O1331" s="34" t="str">
        <f aca="false">IF(G1331="","",IFERROR(INDEX(I_Master!$E$6:$E$85,MATCH(G1331,I_Master!$A$6:$A$85,0)),"?"))</f>
        <v/>
      </c>
      <c r="P1331" s="46" t="str">
        <f aca="false">IF(H1331="","",IF(OR(A1331&lt;I_Parameter!$C$5,A1331&gt;I_Parameter!$C$6),0,IF(B1331="Aktual",1,IF(AND(B1331="Order",A1331&gt;=I_Parameter!$C$4),1,0))))</f>
        <v/>
      </c>
    </row>
    <row r="1332" customFormat="false" ht="15" hidden="false" customHeight="false" outlineLevel="0" collapsed="false">
      <c r="A1332" s="37"/>
      <c r="B1332" s="44"/>
      <c r="C1332" s="44"/>
      <c r="D1332" s="44"/>
      <c r="E1332" s="44"/>
      <c r="F1332" s="44"/>
      <c r="G1332" s="34" t="str">
        <f aca="false">IF(F1332&lt;&gt;"",F1332,IF(E1332="","",IFERROR(INDEX(I_Item!$C$6:$C$255,MATCH(E1332,I_Item!$A$6:$A$255,0)),"KODE BARU")))</f>
        <v/>
      </c>
      <c r="H1332" s="45"/>
      <c r="I1332" s="42"/>
      <c r="J1332" s="11" t="str">
        <f aca="false">IF(H1332="","",H1332*I1332)</f>
        <v/>
      </c>
      <c r="K1332" s="42"/>
      <c r="L1332" s="11" t="str">
        <f aca="false">IF(H1332="","",IF(K1332&lt;&gt;"",K1332,H1332*IFERROR(INDEX(O_Stok!$Q$6:$Q$85,MATCH(G1332,O_Stok!$A$6:$A$85,0)),0)))</f>
        <v/>
      </c>
      <c r="M1332" s="11" t="str">
        <f aca="false">IF(H1332="","",J1332-L1332)</f>
        <v/>
      </c>
      <c r="N1332" s="34" t="str">
        <f aca="false">IF(G1332="","",IFERROR(INDEX(I_Master!$B$6:$B$85,MATCH(G1332,I_Master!$A$6:$A$85,0)),"?"))</f>
        <v/>
      </c>
      <c r="O1332" s="34" t="str">
        <f aca="false">IF(G1332="","",IFERROR(INDEX(I_Master!$E$6:$E$85,MATCH(G1332,I_Master!$A$6:$A$85,0)),"?"))</f>
        <v/>
      </c>
      <c r="P1332" s="46" t="str">
        <f aca="false">IF(H1332="","",IF(OR(A1332&lt;I_Parameter!$C$5,A1332&gt;I_Parameter!$C$6),0,IF(B1332="Aktual",1,IF(AND(B1332="Order",A1332&gt;=I_Parameter!$C$4),1,0))))</f>
        <v/>
      </c>
    </row>
    <row r="1333" customFormat="false" ht="15" hidden="false" customHeight="false" outlineLevel="0" collapsed="false">
      <c r="A1333" s="37"/>
      <c r="B1333" s="44"/>
      <c r="C1333" s="44"/>
      <c r="D1333" s="44"/>
      <c r="E1333" s="44"/>
      <c r="F1333" s="44"/>
      <c r="G1333" s="34" t="str">
        <f aca="false">IF(F1333&lt;&gt;"",F1333,IF(E1333="","",IFERROR(INDEX(I_Item!$C$6:$C$255,MATCH(E1333,I_Item!$A$6:$A$255,0)),"KODE BARU")))</f>
        <v/>
      </c>
      <c r="H1333" s="45"/>
      <c r="I1333" s="42"/>
      <c r="J1333" s="11" t="str">
        <f aca="false">IF(H1333="","",H1333*I1333)</f>
        <v/>
      </c>
      <c r="K1333" s="42"/>
      <c r="L1333" s="11" t="str">
        <f aca="false">IF(H1333="","",IF(K1333&lt;&gt;"",K1333,H1333*IFERROR(INDEX(O_Stok!$Q$6:$Q$85,MATCH(G1333,O_Stok!$A$6:$A$85,0)),0)))</f>
        <v/>
      </c>
      <c r="M1333" s="11" t="str">
        <f aca="false">IF(H1333="","",J1333-L1333)</f>
        <v/>
      </c>
      <c r="N1333" s="34" t="str">
        <f aca="false">IF(G1333="","",IFERROR(INDEX(I_Master!$B$6:$B$85,MATCH(G1333,I_Master!$A$6:$A$85,0)),"?"))</f>
        <v/>
      </c>
      <c r="O1333" s="34" t="str">
        <f aca="false">IF(G1333="","",IFERROR(INDEX(I_Master!$E$6:$E$85,MATCH(G1333,I_Master!$A$6:$A$85,0)),"?"))</f>
        <v/>
      </c>
      <c r="P1333" s="46" t="str">
        <f aca="false">IF(H1333="","",IF(OR(A1333&lt;I_Parameter!$C$5,A1333&gt;I_Parameter!$C$6),0,IF(B1333="Aktual",1,IF(AND(B1333="Order",A1333&gt;=I_Parameter!$C$4),1,0))))</f>
        <v/>
      </c>
    </row>
    <row r="1334" customFormat="false" ht="15" hidden="false" customHeight="false" outlineLevel="0" collapsed="false">
      <c r="A1334" s="37"/>
      <c r="B1334" s="44"/>
      <c r="C1334" s="44"/>
      <c r="D1334" s="44"/>
      <c r="E1334" s="44"/>
      <c r="F1334" s="44"/>
      <c r="G1334" s="34" t="str">
        <f aca="false">IF(F1334&lt;&gt;"",F1334,IF(E1334="","",IFERROR(INDEX(I_Item!$C$6:$C$255,MATCH(E1334,I_Item!$A$6:$A$255,0)),"KODE BARU")))</f>
        <v/>
      </c>
      <c r="H1334" s="45"/>
      <c r="I1334" s="42"/>
      <c r="J1334" s="11" t="str">
        <f aca="false">IF(H1334="","",H1334*I1334)</f>
        <v/>
      </c>
      <c r="K1334" s="42"/>
      <c r="L1334" s="11" t="str">
        <f aca="false">IF(H1334="","",IF(K1334&lt;&gt;"",K1334,H1334*IFERROR(INDEX(O_Stok!$Q$6:$Q$85,MATCH(G1334,O_Stok!$A$6:$A$85,0)),0)))</f>
        <v/>
      </c>
      <c r="M1334" s="11" t="str">
        <f aca="false">IF(H1334="","",J1334-L1334)</f>
        <v/>
      </c>
      <c r="N1334" s="34" t="str">
        <f aca="false">IF(G1334="","",IFERROR(INDEX(I_Master!$B$6:$B$85,MATCH(G1334,I_Master!$A$6:$A$85,0)),"?"))</f>
        <v/>
      </c>
      <c r="O1334" s="34" t="str">
        <f aca="false">IF(G1334="","",IFERROR(INDEX(I_Master!$E$6:$E$85,MATCH(G1334,I_Master!$A$6:$A$85,0)),"?"))</f>
        <v/>
      </c>
      <c r="P1334" s="46" t="str">
        <f aca="false">IF(H1334="","",IF(OR(A1334&lt;I_Parameter!$C$5,A1334&gt;I_Parameter!$C$6),0,IF(B1334="Aktual",1,IF(AND(B1334="Order",A1334&gt;=I_Parameter!$C$4),1,0))))</f>
        <v/>
      </c>
    </row>
    <row r="1335" customFormat="false" ht="15" hidden="false" customHeight="false" outlineLevel="0" collapsed="false">
      <c r="A1335" s="37"/>
      <c r="B1335" s="44"/>
      <c r="C1335" s="44"/>
      <c r="D1335" s="44"/>
      <c r="E1335" s="44"/>
      <c r="F1335" s="44"/>
      <c r="G1335" s="34" t="str">
        <f aca="false">IF(F1335&lt;&gt;"",F1335,IF(E1335="","",IFERROR(INDEX(I_Item!$C$6:$C$255,MATCH(E1335,I_Item!$A$6:$A$255,0)),"KODE BARU")))</f>
        <v/>
      </c>
      <c r="H1335" s="45"/>
      <c r="I1335" s="42"/>
      <c r="J1335" s="11" t="str">
        <f aca="false">IF(H1335="","",H1335*I1335)</f>
        <v/>
      </c>
      <c r="K1335" s="42"/>
      <c r="L1335" s="11" t="str">
        <f aca="false">IF(H1335="","",IF(K1335&lt;&gt;"",K1335,H1335*IFERROR(INDEX(O_Stok!$Q$6:$Q$85,MATCH(G1335,O_Stok!$A$6:$A$85,0)),0)))</f>
        <v/>
      </c>
      <c r="M1335" s="11" t="str">
        <f aca="false">IF(H1335="","",J1335-L1335)</f>
        <v/>
      </c>
      <c r="N1335" s="34" t="str">
        <f aca="false">IF(G1335="","",IFERROR(INDEX(I_Master!$B$6:$B$85,MATCH(G1335,I_Master!$A$6:$A$85,0)),"?"))</f>
        <v/>
      </c>
      <c r="O1335" s="34" t="str">
        <f aca="false">IF(G1335="","",IFERROR(INDEX(I_Master!$E$6:$E$85,MATCH(G1335,I_Master!$A$6:$A$85,0)),"?"))</f>
        <v/>
      </c>
      <c r="P1335" s="46" t="str">
        <f aca="false">IF(H1335="","",IF(OR(A1335&lt;I_Parameter!$C$5,A1335&gt;I_Parameter!$C$6),0,IF(B1335="Aktual",1,IF(AND(B1335="Order",A1335&gt;=I_Parameter!$C$4),1,0))))</f>
        <v/>
      </c>
    </row>
    <row r="1336" customFormat="false" ht="15" hidden="false" customHeight="false" outlineLevel="0" collapsed="false">
      <c r="A1336" s="37"/>
      <c r="B1336" s="44"/>
      <c r="C1336" s="44"/>
      <c r="D1336" s="44"/>
      <c r="E1336" s="44"/>
      <c r="F1336" s="44"/>
      <c r="G1336" s="34" t="str">
        <f aca="false">IF(F1336&lt;&gt;"",F1336,IF(E1336="","",IFERROR(INDEX(I_Item!$C$6:$C$255,MATCH(E1336,I_Item!$A$6:$A$255,0)),"KODE BARU")))</f>
        <v/>
      </c>
      <c r="H1336" s="45"/>
      <c r="I1336" s="42"/>
      <c r="J1336" s="11" t="str">
        <f aca="false">IF(H1336="","",H1336*I1336)</f>
        <v/>
      </c>
      <c r="K1336" s="42"/>
      <c r="L1336" s="11" t="str">
        <f aca="false">IF(H1336="","",IF(K1336&lt;&gt;"",K1336,H1336*IFERROR(INDEX(O_Stok!$Q$6:$Q$85,MATCH(G1336,O_Stok!$A$6:$A$85,0)),0)))</f>
        <v/>
      </c>
      <c r="M1336" s="11" t="str">
        <f aca="false">IF(H1336="","",J1336-L1336)</f>
        <v/>
      </c>
      <c r="N1336" s="34" t="str">
        <f aca="false">IF(G1336="","",IFERROR(INDEX(I_Master!$B$6:$B$85,MATCH(G1336,I_Master!$A$6:$A$85,0)),"?"))</f>
        <v/>
      </c>
      <c r="O1336" s="34" t="str">
        <f aca="false">IF(G1336="","",IFERROR(INDEX(I_Master!$E$6:$E$85,MATCH(G1336,I_Master!$A$6:$A$85,0)),"?"))</f>
        <v/>
      </c>
      <c r="P1336" s="46" t="str">
        <f aca="false">IF(H1336="","",IF(OR(A1336&lt;I_Parameter!$C$5,A1336&gt;I_Parameter!$C$6),0,IF(B1336="Aktual",1,IF(AND(B1336="Order",A1336&gt;=I_Parameter!$C$4),1,0))))</f>
        <v/>
      </c>
    </row>
    <row r="1337" customFormat="false" ht="15" hidden="false" customHeight="false" outlineLevel="0" collapsed="false">
      <c r="A1337" s="37"/>
      <c r="B1337" s="44"/>
      <c r="C1337" s="44"/>
      <c r="D1337" s="44"/>
      <c r="E1337" s="44"/>
      <c r="F1337" s="44"/>
      <c r="G1337" s="34" t="str">
        <f aca="false">IF(F1337&lt;&gt;"",F1337,IF(E1337="","",IFERROR(INDEX(I_Item!$C$6:$C$255,MATCH(E1337,I_Item!$A$6:$A$255,0)),"KODE BARU")))</f>
        <v/>
      </c>
      <c r="H1337" s="45"/>
      <c r="I1337" s="42"/>
      <c r="J1337" s="11" t="str">
        <f aca="false">IF(H1337="","",H1337*I1337)</f>
        <v/>
      </c>
      <c r="K1337" s="42"/>
      <c r="L1337" s="11" t="str">
        <f aca="false">IF(H1337="","",IF(K1337&lt;&gt;"",K1337,H1337*IFERROR(INDEX(O_Stok!$Q$6:$Q$85,MATCH(G1337,O_Stok!$A$6:$A$85,0)),0)))</f>
        <v/>
      </c>
      <c r="M1337" s="11" t="str">
        <f aca="false">IF(H1337="","",J1337-L1337)</f>
        <v/>
      </c>
      <c r="N1337" s="34" t="str">
        <f aca="false">IF(G1337="","",IFERROR(INDEX(I_Master!$B$6:$B$85,MATCH(G1337,I_Master!$A$6:$A$85,0)),"?"))</f>
        <v/>
      </c>
      <c r="O1337" s="34" t="str">
        <f aca="false">IF(G1337="","",IFERROR(INDEX(I_Master!$E$6:$E$85,MATCH(G1337,I_Master!$A$6:$A$85,0)),"?"))</f>
        <v/>
      </c>
      <c r="P1337" s="46" t="str">
        <f aca="false">IF(H1337="","",IF(OR(A1337&lt;I_Parameter!$C$5,A1337&gt;I_Parameter!$C$6),0,IF(B1337="Aktual",1,IF(AND(B1337="Order",A1337&gt;=I_Parameter!$C$4),1,0))))</f>
        <v/>
      </c>
    </row>
    <row r="1338" customFormat="false" ht="15" hidden="false" customHeight="false" outlineLevel="0" collapsed="false">
      <c r="A1338" s="37"/>
      <c r="B1338" s="44"/>
      <c r="C1338" s="44"/>
      <c r="D1338" s="44"/>
      <c r="E1338" s="44"/>
      <c r="F1338" s="44"/>
      <c r="G1338" s="34" t="str">
        <f aca="false">IF(F1338&lt;&gt;"",F1338,IF(E1338="","",IFERROR(INDEX(I_Item!$C$6:$C$255,MATCH(E1338,I_Item!$A$6:$A$255,0)),"KODE BARU")))</f>
        <v/>
      </c>
      <c r="H1338" s="45"/>
      <c r="I1338" s="42"/>
      <c r="J1338" s="11" t="str">
        <f aca="false">IF(H1338="","",H1338*I1338)</f>
        <v/>
      </c>
      <c r="K1338" s="42"/>
      <c r="L1338" s="11" t="str">
        <f aca="false">IF(H1338="","",IF(K1338&lt;&gt;"",K1338,H1338*IFERROR(INDEX(O_Stok!$Q$6:$Q$85,MATCH(G1338,O_Stok!$A$6:$A$85,0)),0)))</f>
        <v/>
      </c>
      <c r="M1338" s="11" t="str">
        <f aca="false">IF(H1338="","",J1338-L1338)</f>
        <v/>
      </c>
      <c r="N1338" s="34" t="str">
        <f aca="false">IF(G1338="","",IFERROR(INDEX(I_Master!$B$6:$B$85,MATCH(G1338,I_Master!$A$6:$A$85,0)),"?"))</f>
        <v/>
      </c>
      <c r="O1338" s="34" t="str">
        <f aca="false">IF(G1338="","",IFERROR(INDEX(I_Master!$E$6:$E$85,MATCH(G1338,I_Master!$A$6:$A$85,0)),"?"))</f>
        <v/>
      </c>
      <c r="P1338" s="46" t="str">
        <f aca="false">IF(H1338="","",IF(OR(A1338&lt;I_Parameter!$C$5,A1338&gt;I_Parameter!$C$6),0,IF(B1338="Aktual",1,IF(AND(B1338="Order",A1338&gt;=I_Parameter!$C$4),1,0))))</f>
        <v/>
      </c>
    </row>
    <row r="1339" customFormat="false" ht="15" hidden="false" customHeight="false" outlineLevel="0" collapsed="false">
      <c r="A1339" s="37"/>
      <c r="B1339" s="44"/>
      <c r="C1339" s="44"/>
      <c r="D1339" s="44"/>
      <c r="E1339" s="44"/>
      <c r="F1339" s="44"/>
      <c r="G1339" s="34" t="str">
        <f aca="false">IF(F1339&lt;&gt;"",F1339,IF(E1339="","",IFERROR(INDEX(I_Item!$C$6:$C$255,MATCH(E1339,I_Item!$A$6:$A$255,0)),"KODE BARU")))</f>
        <v/>
      </c>
      <c r="H1339" s="45"/>
      <c r="I1339" s="42"/>
      <c r="J1339" s="11" t="str">
        <f aca="false">IF(H1339="","",H1339*I1339)</f>
        <v/>
      </c>
      <c r="K1339" s="42"/>
      <c r="L1339" s="11" t="str">
        <f aca="false">IF(H1339="","",IF(K1339&lt;&gt;"",K1339,H1339*IFERROR(INDEX(O_Stok!$Q$6:$Q$85,MATCH(G1339,O_Stok!$A$6:$A$85,0)),0)))</f>
        <v/>
      </c>
      <c r="M1339" s="11" t="str">
        <f aca="false">IF(H1339="","",J1339-L1339)</f>
        <v/>
      </c>
      <c r="N1339" s="34" t="str">
        <f aca="false">IF(G1339="","",IFERROR(INDEX(I_Master!$B$6:$B$85,MATCH(G1339,I_Master!$A$6:$A$85,0)),"?"))</f>
        <v/>
      </c>
      <c r="O1339" s="34" t="str">
        <f aca="false">IF(G1339="","",IFERROR(INDEX(I_Master!$E$6:$E$85,MATCH(G1339,I_Master!$A$6:$A$85,0)),"?"))</f>
        <v/>
      </c>
      <c r="P1339" s="46" t="str">
        <f aca="false">IF(H1339="","",IF(OR(A1339&lt;I_Parameter!$C$5,A1339&gt;I_Parameter!$C$6),0,IF(B1339="Aktual",1,IF(AND(B1339="Order",A1339&gt;=I_Parameter!$C$4),1,0))))</f>
        <v/>
      </c>
    </row>
    <row r="1340" customFormat="false" ht="15" hidden="false" customHeight="false" outlineLevel="0" collapsed="false">
      <c r="A1340" s="37"/>
      <c r="B1340" s="44"/>
      <c r="C1340" s="44"/>
      <c r="D1340" s="44"/>
      <c r="E1340" s="44"/>
      <c r="F1340" s="44"/>
      <c r="G1340" s="34" t="str">
        <f aca="false">IF(F1340&lt;&gt;"",F1340,IF(E1340="","",IFERROR(INDEX(I_Item!$C$6:$C$255,MATCH(E1340,I_Item!$A$6:$A$255,0)),"KODE BARU")))</f>
        <v/>
      </c>
      <c r="H1340" s="45"/>
      <c r="I1340" s="42"/>
      <c r="J1340" s="11" t="str">
        <f aca="false">IF(H1340="","",H1340*I1340)</f>
        <v/>
      </c>
      <c r="K1340" s="42"/>
      <c r="L1340" s="11" t="str">
        <f aca="false">IF(H1340="","",IF(K1340&lt;&gt;"",K1340,H1340*IFERROR(INDEX(O_Stok!$Q$6:$Q$85,MATCH(G1340,O_Stok!$A$6:$A$85,0)),0)))</f>
        <v/>
      </c>
      <c r="M1340" s="11" t="str">
        <f aca="false">IF(H1340="","",J1340-L1340)</f>
        <v/>
      </c>
      <c r="N1340" s="34" t="str">
        <f aca="false">IF(G1340="","",IFERROR(INDEX(I_Master!$B$6:$B$85,MATCH(G1340,I_Master!$A$6:$A$85,0)),"?"))</f>
        <v/>
      </c>
      <c r="O1340" s="34" t="str">
        <f aca="false">IF(G1340="","",IFERROR(INDEX(I_Master!$E$6:$E$85,MATCH(G1340,I_Master!$A$6:$A$85,0)),"?"))</f>
        <v/>
      </c>
      <c r="P1340" s="46" t="str">
        <f aca="false">IF(H1340="","",IF(OR(A1340&lt;I_Parameter!$C$5,A1340&gt;I_Parameter!$C$6),0,IF(B1340="Aktual",1,IF(AND(B1340="Order",A1340&gt;=I_Parameter!$C$4),1,0))))</f>
        <v/>
      </c>
    </row>
    <row r="1341" customFormat="false" ht="15" hidden="false" customHeight="false" outlineLevel="0" collapsed="false">
      <c r="A1341" s="37"/>
      <c r="B1341" s="44"/>
      <c r="C1341" s="44"/>
      <c r="D1341" s="44"/>
      <c r="E1341" s="44"/>
      <c r="F1341" s="44"/>
      <c r="G1341" s="34" t="str">
        <f aca="false">IF(F1341&lt;&gt;"",F1341,IF(E1341="","",IFERROR(INDEX(I_Item!$C$6:$C$255,MATCH(E1341,I_Item!$A$6:$A$255,0)),"KODE BARU")))</f>
        <v/>
      </c>
      <c r="H1341" s="45"/>
      <c r="I1341" s="42"/>
      <c r="J1341" s="11" t="str">
        <f aca="false">IF(H1341="","",H1341*I1341)</f>
        <v/>
      </c>
      <c r="K1341" s="42"/>
      <c r="L1341" s="11" t="str">
        <f aca="false">IF(H1341="","",IF(K1341&lt;&gt;"",K1341,H1341*IFERROR(INDEX(O_Stok!$Q$6:$Q$85,MATCH(G1341,O_Stok!$A$6:$A$85,0)),0)))</f>
        <v/>
      </c>
      <c r="M1341" s="11" t="str">
        <f aca="false">IF(H1341="","",J1341-L1341)</f>
        <v/>
      </c>
      <c r="N1341" s="34" t="str">
        <f aca="false">IF(G1341="","",IFERROR(INDEX(I_Master!$B$6:$B$85,MATCH(G1341,I_Master!$A$6:$A$85,0)),"?"))</f>
        <v/>
      </c>
      <c r="O1341" s="34" t="str">
        <f aca="false">IF(G1341="","",IFERROR(INDEX(I_Master!$E$6:$E$85,MATCH(G1341,I_Master!$A$6:$A$85,0)),"?"))</f>
        <v/>
      </c>
      <c r="P1341" s="46" t="str">
        <f aca="false">IF(H1341="","",IF(OR(A1341&lt;I_Parameter!$C$5,A1341&gt;I_Parameter!$C$6),0,IF(B1341="Aktual",1,IF(AND(B1341="Order",A1341&gt;=I_Parameter!$C$4),1,0))))</f>
        <v/>
      </c>
    </row>
    <row r="1342" customFormat="false" ht="15" hidden="false" customHeight="false" outlineLevel="0" collapsed="false">
      <c r="A1342" s="37"/>
      <c r="B1342" s="44"/>
      <c r="C1342" s="44"/>
      <c r="D1342" s="44"/>
      <c r="E1342" s="44"/>
      <c r="F1342" s="44"/>
      <c r="G1342" s="34" t="str">
        <f aca="false">IF(F1342&lt;&gt;"",F1342,IF(E1342="","",IFERROR(INDEX(I_Item!$C$6:$C$255,MATCH(E1342,I_Item!$A$6:$A$255,0)),"KODE BARU")))</f>
        <v/>
      </c>
      <c r="H1342" s="45"/>
      <c r="I1342" s="42"/>
      <c r="J1342" s="11" t="str">
        <f aca="false">IF(H1342="","",H1342*I1342)</f>
        <v/>
      </c>
      <c r="K1342" s="42"/>
      <c r="L1342" s="11" t="str">
        <f aca="false">IF(H1342="","",IF(K1342&lt;&gt;"",K1342,H1342*IFERROR(INDEX(O_Stok!$Q$6:$Q$85,MATCH(G1342,O_Stok!$A$6:$A$85,0)),0)))</f>
        <v/>
      </c>
      <c r="M1342" s="11" t="str">
        <f aca="false">IF(H1342="","",J1342-L1342)</f>
        <v/>
      </c>
      <c r="N1342" s="34" t="str">
        <f aca="false">IF(G1342="","",IFERROR(INDEX(I_Master!$B$6:$B$85,MATCH(G1342,I_Master!$A$6:$A$85,0)),"?"))</f>
        <v/>
      </c>
      <c r="O1342" s="34" t="str">
        <f aca="false">IF(G1342="","",IFERROR(INDEX(I_Master!$E$6:$E$85,MATCH(G1342,I_Master!$A$6:$A$85,0)),"?"))</f>
        <v/>
      </c>
      <c r="P1342" s="46" t="str">
        <f aca="false">IF(H1342="","",IF(OR(A1342&lt;I_Parameter!$C$5,A1342&gt;I_Parameter!$C$6),0,IF(B1342="Aktual",1,IF(AND(B1342="Order",A1342&gt;=I_Parameter!$C$4),1,0))))</f>
        <v/>
      </c>
    </row>
    <row r="1343" customFormat="false" ht="15" hidden="false" customHeight="false" outlineLevel="0" collapsed="false">
      <c r="A1343" s="37"/>
      <c r="B1343" s="44"/>
      <c r="C1343" s="44"/>
      <c r="D1343" s="44"/>
      <c r="E1343" s="44"/>
      <c r="F1343" s="44"/>
      <c r="G1343" s="34" t="str">
        <f aca="false">IF(F1343&lt;&gt;"",F1343,IF(E1343="","",IFERROR(INDEX(I_Item!$C$6:$C$255,MATCH(E1343,I_Item!$A$6:$A$255,0)),"KODE BARU")))</f>
        <v/>
      </c>
      <c r="H1343" s="45"/>
      <c r="I1343" s="42"/>
      <c r="J1343" s="11" t="str">
        <f aca="false">IF(H1343="","",H1343*I1343)</f>
        <v/>
      </c>
      <c r="K1343" s="42"/>
      <c r="L1343" s="11" t="str">
        <f aca="false">IF(H1343="","",IF(K1343&lt;&gt;"",K1343,H1343*IFERROR(INDEX(O_Stok!$Q$6:$Q$85,MATCH(G1343,O_Stok!$A$6:$A$85,0)),0)))</f>
        <v/>
      </c>
      <c r="M1343" s="11" t="str">
        <f aca="false">IF(H1343="","",J1343-L1343)</f>
        <v/>
      </c>
      <c r="N1343" s="34" t="str">
        <f aca="false">IF(G1343="","",IFERROR(INDEX(I_Master!$B$6:$B$85,MATCH(G1343,I_Master!$A$6:$A$85,0)),"?"))</f>
        <v/>
      </c>
      <c r="O1343" s="34" t="str">
        <f aca="false">IF(G1343="","",IFERROR(INDEX(I_Master!$E$6:$E$85,MATCH(G1343,I_Master!$A$6:$A$85,0)),"?"))</f>
        <v/>
      </c>
      <c r="P1343" s="46" t="str">
        <f aca="false">IF(H1343="","",IF(OR(A1343&lt;I_Parameter!$C$5,A1343&gt;I_Parameter!$C$6),0,IF(B1343="Aktual",1,IF(AND(B1343="Order",A1343&gt;=I_Parameter!$C$4),1,0))))</f>
        <v/>
      </c>
    </row>
    <row r="1344" customFormat="false" ht="15" hidden="false" customHeight="false" outlineLevel="0" collapsed="false">
      <c r="A1344" s="37"/>
      <c r="B1344" s="44"/>
      <c r="C1344" s="44"/>
      <c r="D1344" s="44"/>
      <c r="E1344" s="44"/>
      <c r="F1344" s="44"/>
      <c r="G1344" s="34" t="str">
        <f aca="false">IF(F1344&lt;&gt;"",F1344,IF(E1344="","",IFERROR(INDEX(I_Item!$C$6:$C$255,MATCH(E1344,I_Item!$A$6:$A$255,0)),"KODE BARU")))</f>
        <v/>
      </c>
      <c r="H1344" s="45"/>
      <c r="I1344" s="42"/>
      <c r="J1344" s="11" t="str">
        <f aca="false">IF(H1344="","",H1344*I1344)</f>
        <v/>
      </c>
      <c r="K1344" s="42"/>
      <c r="L1344" s="11" t="str">
        <f aca="false">IF(H1344="","",IF(K1344&lt;&gt;"",K1344,H1344*IFERROR(INDEX(O_Stok!$Q$6:$Q$85,MATCH(G1344,O_Stok!$A$6:$A$85,0)),0)))</f>
        <v/>
      </c>
      <c r="M1344" s="11" t="str">
        <f aca="false">IF(H1344="","",J1344-L1344)</f>
        <v/>
      </c>
      <c r="N1344" s="34" t="str">
        <f aca="false">IF(G1344="","",IFERROR(INDEX(I_Master!$B$6:$B$85,MATCH(G1344,I_Master!$A$6:$A$85,0)),"?"))</f>
        <v/>
      </c>
      <c r="O1344" s="34" t="str">
        <f aca="false">IF(G1344="","",IFERROR(INDEX(I_Master!$E$6:$E$85,MATCH(G1344,I_Master!$A$6:$A$85,0)),"?"))</f>
        <v/>
      </c>
      <c r="P1344" s="46" t="str">
        <f aca="false">IF(H1344="","",IF(OR(A1344&lt;I_Parameter!$C$5,A1344&gt;I_Parameter!$C$6),0,IF(B1344="Aktual",1,IF(AND(B1344="Order",A1344&gt;=I_Parameter!$C$4),1,0))))</f>
        <v/>
      </c>
    </row>
    <row r="1345" customFormat="false" ht="15" hidden="false" customHeight="false" outlineLevel="0" collapsed="false">
      <c r="A1345" s="37"/>
      <c r="B1345" s="44"/>
      <c r="C1345" s="44"/>
      <c r="D1345" s="44"/>
      <c r="E1345" s="44"/>
      <c r="F1345" s="44"/>
      <c r="G1345" s="34" t="str">
        <f aca="false">IF(F1345&lt;&gt;"",F1345,IF(E1345="","",IFERROR(INDEX(I_Item!$C$6:$C$255,MATCH(E1345,I_Item!$A$6:$A$255,0)),"KODE BARU")))</f>
        <v/>
      </c>
      <c r="H1345" s="45"/>
      <c r="I1345" s="42"/>
      <c r="J1345" s="11" t="str">
        <f aca="false">IF(H1345="","",H1345*I1345)</f>
        <v/>
      </c>
      <c r="K1345" s="42"/>
      <c r="L1345" s="11" t="str">
        <f aca="false">IF(H1345="","",IF(K1345&lt;&gt;"",K1345,H1345*IFERROR(INDEX(O_Stok!$Q$6:$Q$85,MATCH(G1345,O_Stok!$A$6:$A$85,0)),0)))</f>
        <v/>
      </c>
      <c r="M1345" s="11" t="str">
        <f aca="false">IF(H1345="","",J1345-L1345)</f>
        <v/>
      </c>
      <c r="N1345" s="34" t="str">
        <f aca="false">IF(G1345="","",IFERROR(INDEX(I_Master!$B$6:$B$85,MATCH(G1345,I_Master!$A$6:$A$85,0)),"?"))</f>
        <v/>
      </c>
      <c r="O1345" s="34" t="str">
        <f aca="false">IF(G1345="","",IFERROR(INDEX(I_Master!$E$6:$E$85,MATCH(G1345,I_Master!$A$6:$A$85,0)),"?"))</f>
        <v/>
      </c>
      <c r="P1345" s="46" t="str">
        <f aca="false">IF(H1345="","",IF(OR(A1345&lt;I_Parameter!$C$5,A1345&gt;I_Parameter!$C$6),0,IF(B1345="Aktual",1,IF(AND(B1345="Order",A1345&gt;=I_Parameter!$C$4),1,0))))</f>
        <v/>
      </c>
    </row>
    <row r="1346" customFormat="false" ht="15" hidden="false" customHeight="false" outlineLevel="0" collapsed="false">
      <c r="A1346" s="37"/>
      <c r="B1346" s="44"/>
      <c r="C1346" s="44"/>
      <c r="D1346" s="44"/>
      <c r="E1346" s="44"/>
      <c r="F1346" s="44"/>
      <c r="G1346" s="34" t="str">
        <f aca="false">IF(F1346&lt;&gt;"",F1346,IF(E1346="","",IFERROR(INDEX(I_Item!$C$6:$C$255,MATCH(E1346,I_Item!$A$6:$A$255,0)),"KODE BARU")))</f>
        <v/>
      </c>
      <c r="H1346" s="45"/>
      <c r="I1346" s="42"/>
      <c r="J1346" s="11" t="str">
        <f aca="false">IF(H1346="","",H1346*I1346)</f>
        <v/>
      </c>
      <c r="K1346" s="42"/>
      <c r="L1346" s="11" t="str">
        <f aca="false">IF(H1346="","",IF(K1346&lt;&gt;"",K1346,H1346*IFERROR(INDEX(O_Stok!$Q$6:$Q$85,MATCH(G1346,O_Stok!$A$6:$A$85,0)),0)))</f>
        <v/>
      </c>
      <c r="M1346" s="11" t="str">
        <f aca="false">IF(H1346="","",J1346-L1346)</f>
        <v/>
      </c>
      <c r="N1346" s="34" t="str">
        <f aca="false">IF(G1346="","",IFERROR(INDEX(I_Master!$B$6:$B$85,MATCH(G1346,I_Master!$A$6:$A$85,0)),"?"))</f>
        <v/>
      </c>
      <c r="O1346" s="34" t="str">
        <f aca="false">IF(G1346="","",IFERROR(INDEX(I_Master!$E$6:$E$85,MATCH(G1346,I_Master!$A$6:$A$85,0)),"?"))</f>
        <v/>
      </c>
      <c r="P1346" s="46" t="str">
        <f aca="false">IF(H1346="","",IF(OR(A1346&lt;I_Parameter!$C$5,A1346&gt;I_Parameter!$C$6),0,IF(B1346="Aktual",1,IF(AND(B1346="Order",A1346&gt;=I_Parameter!$C$4),1,0))))</f>
        <v/>
      </c>
    </row>
    <row r="1347" customFormat="false" ht="15" hidden="false" customHeight="false" outlineLevel="0" collapsed="false">
      <c r="A1347" s="37"/>
      <c r="B1347" s="44"/>
      <c r="C1347" s="44"/>
      <c r="D1347" s="44"/>
      <c r="E1347" s="44"/>
      <c r="F1347" s="44"/>
      <c r="G1347" s="34" t="str">
        <f aca="false">IF(F1347&lt;&gt;"",F1347,IF(E1347="","",IFERROR(INDEX(I_Item!$C$6:$C$255,MATCH(E1347,I_Item!$A$6:$A$255,0)),"KODE BARU")))</f>
        <v/>
      </c>
      <c r="H1347" s="45"/>
      <c r="I1347" s="42"/>
      <c r="J1347" s="11" t="str">
        <f aca="false">IF(H1347="","",H1347*I1347)</f>
        <v/>
      </c>
      <c r="K1347" s="42"/>
      <c r="L1347" s="11" t="str">
        <f aca="false">IF(H1347="","",IF(K1347&lt;&gt;"",K1347,H1347*IFERROR(INDEX(O_Stok!$Q$6:$Q$85,MATCH(G1347,O_Stok!$A$6:$A$85,0)),0)))</f>
        <v/>
      </c>
      <c r="M1347" s="11" t="str">
        <f aca="false">IF(H1347="","",J1347-L1347)</f>
        <v/>
      </c>
      <c r="N1347" s="34" t="str">
        <f aca="false">IF(G1347="","",IFERROR(INDEX(I_Master!$B$6:$B$85,MATCH(G1347,I_Master!$A$6:$A$85,0)),"?"))</f>
        <v/>
      </c>
      <c r="O1347" s="34" t="str">
        <f aca="false">IF(G1347="","",IFERROR(INDEX(I_Master!$E$6:$E$85,MATCH(G1347,I_Master!$A$6:$A$85,0)),"?"))</f>
        <v/>
      </c>
      <c r="P1347" s="46" t="str">
        <f aca="false">IF(H1347="","",IF(OR(A1347&lt;I_Parameter!$C$5,A1347&gt;I_Parameter!$C$6),0,IF(B1347="Aktual",1,IF(AND(B1347="Order",A1347&gt;=I_Parameter!$C$4),1,0))))</f>
        <v/>
      </c>
    </row>
    <row r="1348" customFormat="false" ht="15" hidden="false" customHeight="false" outlineLevel="0" collapsed="false">
      <c r="A1348" s="37"/>
      <c r="B1348" s="44"/>
      <c r="C1348" s="44"/>
      <c r="D1348" s="44"/>
      <c r="E1348" s="44"/>
      <c r="F1348" s="44"/>
      <c r="G1348" s="34" t="str">
        <f aca="false">IF(F1348&lt;&gt;"",F1348,IF(E1348="","",IFERROR(INDEX(I_Item!$C$6:$C$255,MATCH(E1348,I_Item!$A$6:$A$255,0)),"KODE BARU")))</f>
        <v/>
      </c>
      <c r="H1348" s="45"/>
      <c r="I1348" s="42"/>
      <c r="J1348" s="11" t="str">
        <f aca="false">IF(H1348="","",H1348*I1348)</f>
        <v/>
      </c>
      <c r="K1348" s="42"/>
      <c r="L1348" s="11" t="str">
        <f aca="false">IF(H1348="","",IF(K1348&lt;&gt;"",K1348,H1348*IFERROR(INDEX(O_Stok!$Q$6:$Q$85,MATCH(G1348,O_Stok!$A$6:$A$85,0)),0)))</f>
        <v/>
      </c>
      <c r="M1348" s="11" t="str">
        <f aca="false">IF(H1348="","",J1348-L1348)</f>
        <v/>
      </c>
      <c r="N1348" s="34" t="str">
        <f aca="false">IF(G1348="","",IFERROR(INDEX(I_Master!$B$6:$B$85,MATCH(G1348,I_Master!$A$6:$A$85,0)),"?"))</f>
        <v/>
      </c>
      <c r="O1348" s="34" t="str">
        <f aca="false">IF(G1348="","",IFERROR(INDEX(I_Master!$E$6:$E$85,MATCH(G1348,I_Master!$A$6:$A$85,0)),"?"))</f>
        <v/>
      </c>
      <c r="P1348" s="46" t="str">
        <f aca="false">IF(H1348="","",IF(OR(A1348&lt;I_Parameter!$C$5,A1348&gt;I_Parameter!$C$6),0,IF(B1348="Aktual",1,IF(AND(B1348="Order",A1348&gt;=I_Parameter!$C$4),1,0))))</f>
        <v/>
      </c>
    </row>
    <row r="1349" customFormat="false" ht="15" hidden="false" customHeight="false" outlineLevel="0" collapsed="false">
      <c r="A1349" s="37"/>
      <c r="B1349" s="44"/>
      <c r="C1349" s="44"/>
      <c r="D1349" s="44"/>
      <c r="E1349" s="44"/>
      <c r="F1349" s="44"/>
      <c r="G1349" s="34" t="str">
        <f aca="false">IF(F1349&lt;&gt;"",F1349,IF(E1349="","",IFERROR(INDEX(I_Item!$C$6:$C$255,MATCH(E1349,I_Item!$A$6:$A$255,0)),"KODE BARU")))</f>
        <v/>
      </c>
      <c r="H1349" s="45"/>
      <c r="I1349" s="42"/>
      <c r="J1349" s="11" t="str">
        <f aca="false">IF(H1349="","",H1349*I1349)</f>
        <v/>
      </c>
      <c r="K1349" s="42"/>
      <c r="L1349" s="11" t="str">
        <f aca="false">IF(H1349="","",IF(K1349&lt;&gt;"",K1349,H1349*IFERROR(INDEX(O_Stok!$Q$6:$Q$85,MATCH(G1349,O_Stok!$A$6:$A$85,0)),0)))</f>
        <v/>
      </c>
      <c r="M1349" s="11" t="str">
        <f aca="false">IF(H1349="","",J1349-L1349)</f>
        <v/>
      </c>
      <c r="N1349" s="34" t="str">
        <f aca="false">IF(G1349="","",IFERROR(INDEX(I_Master!$B$6:$B$85,MATCH(G1349,I_Master!$A$6:$A$85,0)),"?"))</f>
        <v/>
      </c>
      <c r="O1349" s="34" t="str">
        <f aca="false">IF(G1349="","",IFERROR(INDEX(I_Master!$E$6:$E$85,MATCH(G1349,I_Master!$A$6:$A$85,0)),"?"))</f>
        <v/>
      </c>
      <c r="P1349" s="46" t="str">
        <f aca="false">IF(H1349="","",IF(OR(A1349&lt;I_Parameter!$C$5,A1349&gt;I_Parameter!$C$6),0,IF(B1349="Aktual",1,IF(AND(B1349="Order",A1349&gt;=I_Parameter!$C$4),1,0))))</f>
        <v/>
      </c>
    </row>
    <row r="1350" customFormat="false" ht="15" hidden="false" customHeight="false" outlineLevel="0" collapsed="false">
      <c r="A1350" s="37"/>
      <c r="B1350" s="44"/>
      <c r="C1350" s="44"/>
      <c r="D1350" s="44"/>
      <c r="E1350" s="44"/>
      <c r="F1350" s="44"/>
      <c r="G1350" s="34" t="str">
        <f aca="false">IF(F1350&lt;&gt;"",F1350,IF(E1350="","",IFERROR(INDEX(I_Item!$C$6:$C$255,MATCH(E1350,I_Item!$A$6:$A$255,0)),"KODE BARU")))</f>
        <v/>
      </c>
      <c r="H1350" s="45"/>
      <c r="I1350" s="42"/>
      <c r="J1350" s="11" t="str">
        <f aca="false">IF(H1350="","",H1350*I1350)</f>
        <v/>
      </c>
      <c r="K1350" s="42"/>
      <c r="L1350" s="11" t="str">
        <f aca="false">IF(H1350="","",IF(K1350&lt;&gt;"",K1350,H1350*IFERROR(INDEX(O_Stok!$Q$6:$Q$85,MATCH(G1350,O_Stok!$A$6:$A$85,0)),0)))</f>
        <v/>
      </c>
      <c r="M1350" s="11" t="str">
        <f aca="false">IF(H1350="","",J1350-L1350)</f>
        <v/>
      </c>
      <c r="N1350" s="34" t="str">
        <f aca="false">IF(G1350="","",IFERROR(INDEX(I_Master!$B$6:$B$85,MATCH(G1350,I_Master!$A$6:$A$85,0)),"?"))</f>
        <v/>
      </c>
      <c r="O1350" s="34" t="str">
        <f aca="false">IF(G1350="","",IFERROR(INDEX(I_Master!$E$6:$E$85,MATCH(G1350,I_Master!$A$6:$A$85,0)),"?"))</f>
        <v/>
      </c>
      <c r="P1350" s="46" t="str">
        <f aca="false">IF(H1350="","",IF(OR(A1350&lt;I_Parameter!$C$5,A1350&gt;I_Parameter!$C$6),0,IF(B1350="Aktual",1,IF(AND(B1350="Order",A1350&gt;=I_Parameter!$C$4),1,0))))</f>
        <v/>
      </c>
    </row>
    <row r="1351" customFormat="false" ht="15" hidden="false" customHeight="false" outlineLevel="0" collapsed="false">
      <c r="A1351" s="37"/>
      <c r="B1351" s="44"/>
      <c r="C1351" s="44"/>
      <c r="D1351" s="44"/>
      <c r="E1351" s="44"/>
      <c r="F1351" s="44"/>
      <c r="G1351" s="34" t="str">
        <f aca="false">IF(F1351&lt;&gt;"",F1351,IF(E1351="","",IFERROR(INDEX(I_Item!$C$6:$C$255,MATCH(E1351,I_Item!$A$6:$A$255,0)),"KODE BARU")))</f>
        <v/>
      </c>
      <c r="H1351" s="45"/>
      <c r="I1351" s="42"/>
      <c r="J1351" s="11" t="str">
        <f aca="false">IF(H1351="","",H1351*I1351)</f>
        <v/>
      </c>
      <c r="K1351" s="42"/>
      <c r="L1351" s="11" t="str">
        <f aca="false">IF(H1351="","",IF(K1351&lt;&gt;"",K1351,H1351*IFERROR(INDEX(O_Stok!$Q$6:$Q$85,MATCH(G1351,O_Stok!$A$6:$A$85,0)),0)))</f>
        <v/>
      </c>
      <c r="M1351" s="11" t="str">
        <f aca="false">IF(H1351="","",J1351-L1351)</f>
        <v/>
      </c>
      <c r="N1351" s="34" t="str">
        <f aca="false">IF(G1351="","",IFERROR(INDEX(I_Master!$B$6:$B$85,MATCH(G1351,I_Master!$A$6:$A$85,0)),"?"))</f>
        <v/>
      </c>
      <c r="O1351" s="34" t="str">
        <f aca="false">IF(G1351="","",IFERROR(INDEX(I_Master!$E$6:$E$85,MATCH(G1351,I_Master!$A$6:$A$85,0)),"?"))</f>
        <v/>
      </c>
      <c r="P1351" s="46" t="str">
        <f aca="false">IF(H1351="","",IF(OR(A1351&lt;I_Parameter!$C$5,A1351&gt;I_Parameter!$C$6),0,IF(B1351="Aktual",1,IF(AND(B1351="Order",A1351&gt;=I_Parameter!$C$4),1,0))))</f>
        <v/>
      </c>
    </row>
    <row r="1352" customFormat="false" ht="15" hidden="false" customHeight="false" outlineLevel="0" collapsed="false">
      <c r="A1352" s="37"/>
      <c r="B1352" s="44"/>
      <c r="C1352" s="44"/>
      <c r="D1352" s="44"/>
      <c r="E1352" s="44"/>
      <c r="F1352" s="44"/>
      <c r="G1352" s="34" t="str">
        <f aca="false">IF(F1352&lt;&gt;"",F1352,IF(E1352="","",IFERROR(INDEX(I_Item!$C$6:$C$255,MATCH(E1352,I_Item!$A$6:$A$255,0)),"KODE BARU")))</f>
        <v/>
      </c>
      <c r="H1352" s="45"/>
      <c r="I1352" s="42"/>
      <c r="J1352" s="11" t="str">
        <f aca="false">IF(H1352="","",H1352*I1352)</f>
        <v/>
      </c>
      <c r="K1352" s="42"/>
      <c r="L1352" s="11" t="str">
        <f aca="false">IF(H1352="","",IF(K1352&lt;&gt;"",K1352,H1352*IFERROR(INDEX(O_Stok!$Q$6:$Q$85,MATCH(G1352,O_Stok!$A$6:$A$85,0)),0)))</f>
        <v/>
      </c>
      <c r="M1352" s="11" t="str">
        <f aca="false">IF(H1352="","",J1352-L1352)</f>
        <v/>
      </c>
      <c r="N1352" s="34" t="str">
        <f aca="false">IF(G1352="","",IFERROR(INDEX(I_Master!$B$6:$B$85,MATCH(G1352,I_Master!$A$6:$A$85,0)),"?"))</f>
        <v/>
      </c>
      <c r="O1352" s="34" t="str">
        <f aca="false">IF(G1352="","",IFERROR(INDEX(I_Master!$E$6:$E$85,MATCH(G1352,I_Master!$A$6:$A$85,0)),"?"))</f>
        <v/>
      </c>
      <c r="P1352" s="46" t="str">
        <f aca="false">IF(H1352="","",IF(OR(A1352&lt;I_Parameter!$C$5,A1352&gt;I_Parameter!$C$6),0,IF(B1352="Aktual",1,IF(AND(B1352="Order",A1352&gt;=I_Parameter!$C$4),1,0))))</f>
        <v/>
      </c>
    </row>
    <row r="1353" customFormat="false" ht="15" hidden="false" customHeight="false" outlineLevel="0" collapsed="false">
      <c r="A1353" s="37"/>
      <c r="B1353" s="44"/>
      <c r="C1353" s="44"/>
      <c r="D1353" s="44"/>
      <c r="E1353" s="44"/>
      <c r="F1353" s="44"/>
      <c r="G1353" s="34" t="str">
        <f aca="false">IF(F1353&lt;&gt;"",F1353,IF(E1353="","",IFERROR(INDEX(I_Item!$C$6:$C$255,MATCH(E1353,I_Item!$A$6:$A$255,0)),"KODE BARU")))</f>
        <v/>
      </c>
      <c r="H1353" s="45"/>
      <c r="I1353" s="42"/>
      <c r="J1353" s="11" t="str">
        <f aca="false">IF(H1353="","",H1353*I1353)</f>
        <v/>
      </c>
      <c r="K1353" s="42"/>
      <c r="L1353" s="11" t="str">
        <f aca="false">IF(H1353="","",IF(K1353&lt;&gt;"",K1353,H1353*IFERROR(INDEX(O_Stok!$Q$6:$Q$85,MATCH(G1353,O_Stok!$A$6:$A$85,0)),0)))</f>
        <v/>
      </c>
      <c r="M1353" s="11" t="str">
        <f aca="false">IF(H1353="","",J1353-L1353)</f>
        <v/>
      </c>
      <c r="N1353" s="34" t="str">
        <f aca="false">IF(G1353="","",IFERROR(INDEX(I_Master!$B$6:$B$85,MATCH(G1353,I_Master!$A$6:$A$85,0)),"?"))</f>
        <v/>
      </c>
      <c r="O1353" s="34" t="str">
        <f aca="false">IF(G1353="","",IFERROR(INDEX(I_Master!$E$6:$E$85,MATCH(G1353,I_Master!$A$6:$A$85,0)),"?"))</f>
        <v/>
      </c>
      <c r="P1353" s="46" t="str">
        <f aca="false">IF(H1353="","",IF(OR(A1353&lt;I_Parameter!$C$5,A1353&gt;I_Parameter!$C$6),0,IF(B1353="Aktual",1,IF(AND(B1353="Order",A1353&gt;=I_Parameter!$C$4),1,0))))</f>
        <v/>
      </c>
    </row>
    <row r="1354" customFormat="false" ht="15" hidden="false" customHeight="false" outlineLevel="0" collapsed="false">
      <c r="A1354" s="37"/>
      <c r="B1354" s="44"/>
      <c r="C1354" s="44"/>
      <c r="D1354" s="44"/>
      <c r="E1354" s="44"/>
      <c r="F1354" s="44"/>
      <c r="G1354" s="34" t="str">
        <f aca="false">IF(F1354&lt;&gt;"",F1354,IF(E1354="","",IFERROR(INDEX(I_Item!$C$6:$C$255,MATCH(E1354,I_Item!$A$6:$A$255,0)),"KODE BARU")))</f>
        <v/>
      </c>
      <c r="H1354" s="45"/>
      <c r="I1354" s="42"/>
      <c r="J1354" s="11" t="str">
        <f aca="false">IF(H1354="","",H1354*I1354)</f>
        <v/>
      </c>
      <c r="K1354" s="42"/>
      <c r="L1354" s="11" t="str">
        <f aca="false">IF(H1354="","",IF(K1354&lt;&gt;"",K1354,H1354*IFERROR(INDEX(O_Stok!$Q$6:$Q$85,MATCH(G1354,O_Stok!$A$6:$A$85,0)),0)))</f>
        <v/>
      </c>
      <c r="M1354" s="11" t="str">
        <f aca="false">IF(H1354="","",J1354-L1354)</f>
        <v/>
      </c>
      <c r="N1354" s="34" t="str">
        <f aca="false">IF(G1354="","",IFERROR(INDEX(I_Master!$B$6:$B$85,MATCH(G1354,I_Master!$A$6:$A$85,0)),"?"))</f>
        <v/>
      </c>
      <c r="O1354" s="34" t="str">
        <f aca="false">IF(G1354="","",IFERROR(INDEX(I_Master!$E$6:$E$85,MATCH(G1354,I_Master!$A$6:$A$85,0)),"?"))</f>
        <v/>
      </c>
      <c r="P1354" s="46" t="str">
        <f aca="false">IF(H1354="","",IF(OR(A1354&lt;I_Parameter!$C$5,A1354&gt;I_Parameter!$C$6),0,IF(B1354="Aktual",1,IF(AND(B1354="Order",A1354&gt;=I_Parameter!$C$4),1,0))))</f>
        <v/>
      </c>
    </row>
    <row r="1355" customFormat="false" ht="15" hidden="false" customHeight="false" outlineLevel="0" collapsed="false">
      <c r="A1355" s="37"/>
      <c r="B1355" s="44"/>
      <c r="C1355" s="44"/>
      <c r="D1355" s="44"/>
      <c r="E1355" s="44"/>
      <c r="F1355" s="44"/>
      <c r="G1355" s="34" t="str">
        <f aca="false">IF(F1355&lt;&gt;"",F1355,IF(E1355="","",IFERROR(INDEX(I_Item!$C$6:$C$255,MATCH(E1355,I_Item!$A$6:$A$255,0)),"KODE BARU")))</f>
        <v/>
      </c>
      <c r="H1355" s="45"/>
      <c r="I1355" s="42"/>
      <c r="J1355" s="11" t="str">
        <f aca="false">IF(H1355="","",H1355*I1355)</f>
        <v/>
      </c>
      <c r="K1355" s="42"/>
      <c r="L1355" s="11" t="str">
        <f aca="false">IF(H1355="","",IF(K1355&lt;&gt;"",K1355,H1355*IFERROR(INDEX(O_Stok!$Q$6:$Q$85,MATCH(G1355,O_Stok!$A$6:$A$85,0)),0)))</f>
        <v/>
      </c>
      <c r="M1355" s="11" t="str">
        <f aca="false">IF(H1355="","",J1355-L1355)</f>
        <v/>
      </c>
      <c r="N1355" s="34" t="str">
        <f aca="false">IF(G1355="","",IFERROR(INDEX(I_Master!$B$6:$B$85,MATCH(G1355,I_Master!$A$6:$A$85,0)),"?"))</f>
        <v/>
      </c>
      <c r="O1355" s="34" t="str">
        <f aca="false">IF(G1355="","",IFERROR(INDEX(I_Master!$E$6:$E$85,MATCH(G1355,I_Master!$A$6:$A$85,0)),"?"))</f>
        <v/>
      </c>
      <c r="P1355" s="46" t="str">
        <f aca="false">IF(H1355="","",IF(OR(A1355&lt;I_Parameter!$C$5,A1355&gt;I_Parameter!$C$6),0,IF(B1355="Aktual",1,IF(AND(B1355="Order",A1355&gt;=I_Parameter!$C$4),1,0))))</f>
        <v/>
      </c>
    </row>
    <row r="1356" customFormat="false" ht="15" hidden="false" customHeight="false" outlineLevel="0" collapsed="false">
      <c r="A1356" s="37"/>
      <c r="B1356" s="44"/>
      <c r="C1356" s="44"/>
      <c r="D1356" s="44"/>
      <c r="E1356" s="44"/>
      <c r="F1356" s="44"/>
      <c r="G1356" s="34" t="str">
        <f aca="false">IF(F1356&lt;&gt;"",F1356,IF(E1356="","",IFERROR(INDEX(I_Item!$C$6:$C$255,MATCH(E1356,I_Item!$A$6:$A$255,0)),"KODE BARU")))</f>
        <v/>
      </c>
      <c r="H1356" s="45"/>
      <c r="I1356" s="42"/>
      <c r="J1356" s="11" t="str">
        <f aca="false">IF(H1356="","",H1356*I1356)</f>
        <v/>
      </c>
      <c r="K1356" s="42"/>
      <c r="L1356" s="11" t="str">
        <f aca="false">IF(H1356="","",IF(K1356&lt;&gt;"",K1356,H1356*IFERROR(INDEX(O_Stok!$Q$6:$Q$85,MATCH(G1356,O_Stok!$A$6:$A$85,0)),0)))</f>
        <v/>
      </c>
      <c r="M1356" s="11" t="str">
        <f aca="false">IF(H1356="","",J1356-L1356)</f>
        <v/>
      </c>
      <c r="N1356" s="34" t="str">
        <f aca="false">IF(G1356="","",IFERROR(INDEX(I_Master!$B$6:$B$85,MATCH(G1356,I_Master!$A$6:$A$85,0)),"?"))</f>
        <v/>
      </c>
      <c r="O1356" s="34" t="str">
        <f aca="false">IF(G1356="","",IFERROR(INDEX(I_Master!$E$6:$E$85,MATCH(G1356,I_Master!$A$6:$A$85,0)),"?"))</f>
        <v/>
      </c>
      <c r="P1356" s="46" t="str">
        <f aca="false">IF(H1356="","",IF(OR(A1356&lt;I_Parameter!$C$5,A1356&gt;I_Parameter!$C$6),0,IF(B1356="Aktual",1,IF(AND(B1356="Order",A1356&gt;=I_Parameter!$C$4),1,0))))</f>
        <v/>
      </c>
    </row>
    <row r="1357" customFormat="false" ht="15" hidden="false" customHeight="false" outlineLevel="0" collapsed="false">
      <c r="A1357" s="37"/>
      <c r="B1357" s="44"/>
      <c r="C1357" s="44"/>
      <c r="D1357" s="44"/>
      <c r="E1357" s="44"/>
      <c r="F1357" s="44"/>
      <c r="G1357" s="34" t="str">
        <f aca="false">IF(F1357&lt;&gt;"",F1357,IF(E1357="","",IFERROR(INDEX(I_Item!$C$6:$C$255,MATCH(E1357,I_Item!$A$6:$A$255,0)),"KODE BARU")))</f>
        <v/>
      </c>
      <c r="H1357" s="45"/>
      <c r="I1357" s="42"/>
      <c r="J1357" s="11" t="str">
        <f aca="false">IF(H1357="","",H1357*I1357)</f>
        <v/>
      </c>
      <c r="K1357" s="42"/>
      <c r="L1357" s="11" t="str">
        <f aca="false">IF(H1357="","",IF(K1357&lt;&gt;"",K1357,H1357*IFERROR(INDEX(O_Stok!$Q$6:$Q$85,MATCH(G1357,O_Stok!$A$6:$A$85,0)),0)))</f>
        <v/>
      </c>
      <c r="M1357" s="11" t="str">
        <f aca="false">IF(H1357="","",J1357-L1357)</f>
        <v/>
      </c>
      <c r="N1357" s="34" t="str">
        <f aca="false">IF(G1357="","",IFERROR(INDEX(I_Master!$B$6:$B$85,MATCH(G1357,I_Master!$A$6:$A$85,0)),"?"))</f>
        <v/>
      </c>
      <c r="O1357" s="34" t="str">
        <f aca="false">IF(G1357="","",IFERROR(INDEX(I_Master!$E$6:$E$85,MATCH(G1357,I_Master!$A$6:$A$85,0)),"?"))</f>
        <v/>
      </c>
      <c r="P1357" s="46" t="str">
        <f aca="false">IF(H1357="","",IF(OR(A1357&lt;I_Parameter!$C$5,A1357&gt;I_Parameter!$C$6),0,IF(B1357="Aktual",1,IF(AND(B1357="Order",A1357&gt;=I_Parameter!$C$4),1,0))))</f>
        <v/>
      </c>
    </row>
    <row r="1358" customFormat="false" ht="15" hidden="false" customHeight="false" outlineLevel="0" collapsed="false">
      <c r="A1358" s="37"/>
      <c r="B1358" s="44"/>
      <c r="C1358" s="44"/>
      <c r="D1358" s="44"/>
      <c r="E1358" s="44"/>
      <c r="F1358" s="44"/>
      <c r="G1358" s="34" t="str">
        <f aca="false">IF(F1358&lt;&gt;"",F1358,IF(E1358="","",IFERROR(INDEX(I_Item!$C$6:$C$255,MATCH(E1358,I_Item!$A$6:$A$255,0)),"KODE BARU")))</f>
        <v/>
      </c>
      <c r="H1358" s="45"/>
      <c r="I1358" s="42"/>
      <c r="J1358" s="11" t="str">
        <f aca="false">IF(H1358="","",H1358*I1358)</f>
        <v/>
      </c>
      <c r="K1358" s="42"/>
      <c r="L1358" s="11" t="str">
        <f aca="false">IF(H1358="","",IF(K1358&lt;&gt;"",K1358,H1358*IFERROR(INDEX(O_Stok!$Q$6:$Q$85,MATCH(G1358,O_Stok!$A$6:$A$85,0)),0)))</f>
        <v/>
      </c>
      <c r="M1358" s="11" t="str">
        <f aca="false">IF(H1358="","",J1358-L1358)</f>
        <v/>
      </c>
      <c r="N1358" s="34" t="str">
        <f aca="false">IF(G1358="","",IFERROR(INDEX(I_Master!$B$6:$B$85,MATCH(G1358,I_Master!$A$6:$A$85,0)),"?"))</f>
        <v/>
      </c>
      <c r="O1358" s="34" t="str">
        <f aca="false">IF(G1358="","",IFERROR(INDEX(I_Master!$E$6:$E$85,MATCH(G1358,I_Master!$A$6:$A$85,0)),"?"))</f>
        <v/>
      </c>
      <c r="P1358" s="46" t="str">
        <f aca="false">IF(H1358="","",IF(OR(A1358&lt;I_Parameter!$C$5,A1358&gt;I_Parameter!$C$6),0,IF(B1358="Aktual",1,IF(AND(B1358="Order",A1358&gt;=I_Parameter!$C$4),1,0))))</f>
        <v/>
      </c>
    </row>
    <row r="1359" customFormat="false" ht="15" hidden="false" customHeight="false" outlineLevel="0" collapsed="false">
      <c r="A1359" s="37"/>
      <c r="B1359" s="44"/>
      <c r="C1359" s="44"/>
      <c r="D1359" s="44"/>
      <c r="E1359" s="44"/>
      <c r="F1359" s="44"/>
      <c r="G1359" s="34" t="str">
        <f aca="false">IF(F1359&lt;&gt;"",F1359,IF(E1359="","",IFERROR(INDEX(I_Item!$C$6:$C$255,MATCH(E1359,I_Item!$A$6:$A$255,0)),"KODE BARU")))</f>
        <v/>
      </c>
      <c r="H1359" s="45"/>
      <c r="I1359" s="42"/>
      <c r="J1359" s="11" t="str">
        <f aca="false">IF(H1359="","",H1359*I1359)</f>
        <v/>
      </c>
      <c r="K1359" s="42"/>
      <c r="L1359" s="11" t="str">
        <f aca="false">IF(H1359="","",IF(K1359&lt;&gt;"",K1359,H1359*IFERROR(INDEX(O_Stok!$Q$6:$Q$85,MATCH(G1359,O_Stok!$A$6:$A$85,0)),0)))</f>
        <v/>
      </c>
      <c r="M1359" s="11" t="str">
        <f aca="false">IF(H1359="","",J1359-L1359)</f>
        <v/>
      </c>
      <c r="N1359" s="34" t="str">
        <f aca="false">IF(G1359="","",IFERROR(INDEX(I_Master!$B$6:$B$85,MATCH(G1359,I_Master!$A$6:$A$85,0)),"?"))</f>
        <v/>
      </c>
      <c r="O1359" s="34" t="str">
        <f aca="false">IF(G1359="","",IFERROR(INDEX(I_Master!$E$6:$E$85,MATCH(G1359,I_Master!$A$6:$A$85,0)),"?"))</f>
        <v/>
      </c>
      <c r="P1359" s="46" t="str">
        <f aca="false">IF(H1359="","",IF(OR(A1359&lt;I_Parameter!$C$5,A1359&gt;I_Parameter!$C$6),0,IF(B1359="Aktual",1,IF(AND(B1359="Order",A1359&gt;=I_Parameter!$C$4),1,0))))</f>
        <v/>
      </c>
    </row>
    <row r="1360" customFormat="false" ht="15" hidden="false" customHeight="false" outlineLevel="0" collapsed="false">
      <c r="A1360" s="37"/>
      <c r="B1360" s="44"/>
      <c r="C1360" s="44"/>
      <c r="D1360" s="44"/>
      <c r="E1360" s="44"/>
      <c r="F1360" s="44"/>
      <c r="G1360" s="34" t="str">
        <f aca="false">IF(F1360&lt;&gt;"",F1360,IF(E1360="","",IFERROR(INDEX(I_Item!$C$6:$C$255,MATCH(E1360,I_Item!$A$6:$A$255,0)),"KODE BARU")))</f>
        <v/>
      </c>
      <c r="H1360" s="45"/>
      <c r="I1360" s="42"/>
      <c r="J1360" s="11" t="str">
        <f aca="false">IF(H1360="","",H1360*I1360)</f>
        <v/>
      </c>
      <c r="K1360" s="42"/>
      <c r="L1360" s="11" t="str">
        <f aca="false">IF(H1360="","",IF(K1360&lt;&gt;"",K1360,H1360*IFERROR(INDEX(O_Stok!$Q$6:$Q$85,MATCH(G1360,O_Stok!$A$6:$A$85,0)),0)))</f>
        <v/>
      </c>
      <c r="M1360" s="11" t="str">
        <f aca="false">IF(H1360="","",J1360-L1360)</f>
        <v/>
      </c>
      <c r="N1360" s="34" t="str">
        <f aca="false">IF(G1360="","",IFERROR(INDEX(I_Master!$B$6:$B$85,MATCH(G1360,I_Master!$A$6:$A$85,0)),"?"))</f>
        <v/>
      </c>
      <c r="O1360" s="34" t="str">
        <f aca="false">IF(G1360="","",IFERROR(INDEX(I_Master!$E$6:$E$85,MATCH(G1360,I_Master!$A$6:$A$85,0)),"?"))</f>
        <v/>
      </c>
      <c r="P1360" s="46" t="str">
        <f aca="false">IF(H1360="","",IF(OR(A1360&lt;I_Parameter!$C$5,A1360&gt;I_Parameter!$C$6),0,IF(B1360="Aktual",1,IF(AND(B1360="Order",A1360&gt;=I_Parameter!$C$4),1,0))))</f>
        <v/>
      </c>
    </row>
    <row r="1361" customFormat="false" ht="15" hidden="false" customHeight="false" outlineLevel="0" collapsed="false">
      <c r="A1361" s="37"/>
      <c r="B1361" s="44"/>
      <c r="C1361" s="44"/>
      <c r="D1361" s="44"/>
      <c r="E1361" s="44"/>
      <c r="F1361" s="44"/>
      <c r="G1361" s="34" t="str">
        <f aca="false">IF(F1361&lt;&gt;"",F1361,IF(E1361="","",IFERROR(INDEX(I_Item!$C$6:$C$255,MATCH(E1361,I_Item!$A$6:$A$255,0)),"KODE BARU")))</f>
        <v/>
      </c>
      <c r="H1361" s="45"/>
      <c r="I1361" s="42"/>
      <c r="J1361" s="11" t="str">
        <f aca="false">IF(H1361="","",H1361*I1361)</f>
        <v/>
      </c>
      <c r="K1361" s="42"/>
      <c r="L1361" s="11" t="str">
        <f aca="false">IF(H1361="","",IF(K1361&lt;&gt;"",K1361,H1361*IFERROR(INDEX(O_Stok!$Q$6:$Q$85,MATCH(G1361,O_Stok!$A$6:$A$85,0)),0)))</f>
        <v/>
      </c>
      <c r="M1361" s="11" t="str">
        <f aca="false">IF(H1361="","",J1361-L1361)</f>
        <v/>
      </c>
      <c r="N1361" s="34" t="str">
        <f aca="false">IF(G1361="","",IFERROR(INDEX(I_Master!$B$6:$B$85,MATCH(G1361,I_Master!$A$6:$A$85,0)),"?"))</f>
        <v/>
      </c>
      <c r="O1361" s="34" t="str">
        <f aca="false">IF(G1361="","",IFERROR(INDEX(I_Master!$E$6:$E$85,MATCH(G1361,I_Master!$A$6:$A$85,0)),"?"))</f>
        <v/>
      </c>
      <c r="P1361" s="46" t="str">
        <f aca="false">IF(H1361="","",IF(OR(A1361&lt;I_Parameter!$C$5,A1361&gt;I_Parameter!$C$6),0,IF(B1361="Aktual",1,IF(AND(B1361="Order",A1361&gt;=I_Parameter!$C$4),1,0))))</f>
        <v/>
      </c>
    </row>
    <row r="1362" customFormat="false" ht="15" hidden="false" customHeight="false" outlineLevel="0" collapsed="false">
      <c r="A1362" s="37"/>
      <c r="B1362" s="44"/>
      <c r="C1362" s="44"/>
      <c r="D1362" s="44"/>
      <c r="E1362" s="44"/>
      <c r="F1362" s="44"/>
      <c r="G1362" s="34" t="str">
        <f aca="false">IF(F1362&lt;&gt;"",F1362,IF(E1362="","",IFERROR(INDEX(I_Item!$C$6:$C$255,MATCH(E1362,I_Item!$A$6:$A$255,0)),"KODE BARU")))</f>
        <v/>
      </c>
      <c r="H1362" s="45"/>
      <c r="I1362" s="42"/>
      <c r="J1362" s="11" t="str">
        <f aca="false">IF(H1362="","",H1362*I1362)</f>
        <v/>
      </c>
      <c r="K1362" s="42"/>
      <c r="L1362" s="11" t="str">
        <f aca="false">IF(H1362="","",IF(K1362&lt;&gt;"",K1362,H1362*IFERROR(INDEX(O_Stok!$Q$6:$Q$85,MATCH(G1362,O_Stok!$A$6:$A$85,0)),0)))</f>
        <v/>
      </c>
      <c r="M1362" s="11" t="str">
        <f aca="false">IF(H1362="","",J1362-L1362)</f>
        <v/>
      </c>
      <c r="N1362" s="34" t="str">
        <f aca="false">IF(G1362="","",IFERROR(INDEX(I_Master!$B$6:$B$85,MATCH(G1362,I_Master!$A$6:$A$85,0)),"?"))</f>
        <v/>
      </c>
      <c r="O1362" s="34" t="str">
        <f aca="false">IF(G1362="","",IFERROR(INDEX(I_Master!$E$6:$E$85,MATCH(G1362,I_Master!$A$6:$A$85,0)),"?"))</f>
        <v/>
      </c>
      <c r="P1362" s="46" t="str">
        <f aca="false">IF(H1362="","",IF(OR(A1362&lt;I_Parameter!$C$5,A1362&gt;I_Parameter!$C$6),0,IF(B1362="Aktual",1,IF(AND(B1362="Order",A1362&gt;=I_Parameter!$C$4),1,0))))</f>
        <v/>
      </c>
    </row>
    <row r="1363" customFormat="false" ht="15" hidden="false" customHeight="false" outlineLevel="0" collapsed="false">
      <c r="A1363" s="37"/>
      <c r="B1363" s="44"/>
      <c r="C1363" s="44"/>
      <c r="D1363" s="44"/>
      <c r="E1363" s="44"/>
      <c r="F1363" s="44"/>
      <c r="G1363" s="34" t="str">
        <f aca="false">IF(F1363&lt;&gt;"",F1363,IF(E1363="","",IFERROR(INDEX(I_Item!$C$6:$C$255,MATCH(E1363,I_Item!$A$6:$A$255,0)),"KODE BARU")))</f>
        <v/>
      </c>
      <c r="H1363" s="45"/>
      <c r="I1363" s="42"/>
      <c r="J1363" s="11" t="str">
        <f aca="false">IF(H1363="","",H1363*I1363)</f>
        <v/>
      </c>
      <c r="K1363" s="42"/>
      <c r="L1363" s="11" t="str">
        <f aca="false">IF(H1363="","",IF(K1363&lt;&gt;"",K1363,H1363*IFERROR(INDEX(O_Stok!$Q$6:$Q$85,MATCH(G1363,O_Stok!$A$6:$A$85,0)),0)))</f>
        <v/>
      </c>
      <c r="M1363" s="11" t="str">
        <f aca="false">IF(H1363="","",J1363-L1363)</f>
        <v/>
      </c>
      <c r="N1363" s="34" t="str">
        <f aca="false">IF(G1363="","",IFERROR(INDEX(I_Master!$B$6:$B$85,MATCH(G1363,I_Master!$A$6:$A$85,0)),"?"))</f>
        <v/>
      </c>
      <c r="O1363" s="34" t="str">
        <f aca="false">IF(G1363="","",IFERROR(INDEX(I_Master!$E$6:$E$85,MATCH(G1363,I_Master!$A$6:$A$85,0)),"?"))</f>
        <v/>
      </c>
      <c r="P1363" s="46" t="str">
        <f aca="false">IF(H1363="","",IF(OR(A1363&lt;I_Parameter!$C$5,A1363&gt;I_Parameter!$C$6),0,IF(B1363="Aktual",1,IF(AND(B1363="Order",A1363&gt;=I_Parameter!$C$4),1,0))))</f>
        <v/>
      </c>
    </row>
    <row r="1364" customFormat="false" ht="15" hidden="false" customHeight="false" outlineLevel="0" collapsed="false">
      <c r="A1364" s="37"/>
      <c r="B1364" s="44"/>
      <c r="C1364" s="44"/>
      <c r="D1364" s="44"/>
      <c r="E1364" s="44"/>
      <c r="F1364" s="44"/>
      <c r="G1364" s="34" t="str">
        <f aca="false">IF(F1364&lt;&gt;"",F1364,IF(E1364="","",IFERROR(INDEX(I_Item!$C$6:$C$255,MATCH(E1364,I_Item!$A$6:$A$255,0)),"KODE BARU")))</f>
        <v/>
      </c>
      <c r="H1364" s="45"/>
      <c r="I1364" s="42"/>
      <c r="J1364" s="11" t="str">
        <f aca="false">IF(H1364="","",H1364*I1364)</f>
        <v/>
      </c>
      <c r="K1364" s="42"/>
      <c r="L1364" s="11" t="str">
        <f aca="false">IF(H1364="","",IF(K1364&lt;&gt;"",K1364,H1364*IFERROR(INDEX(O_Stok!$Q$6:$Q$85,MATCH(G1364,O_Stok!$A$6:$A$85,0)),0)))</f>
        <v/>
      </c>
      <c r="M1364" s="11" t="str">
        <f aca="false">IF(H1364="","",J1364-L1364)</f>
        <v/>
      </c>
      <c r="N1364" s="34" t="str">
        <f aca="false">IF(G1364="","",IFERROR(INDEX(I_Master!$B$6:$B$85,MATCH(G1364,I_Master!$A$6:$A$85,0)),"?"))</f>
        <v/>
      </c>
      <c r="O1364" s="34" t="str">
        <f aca="false">IF(G1364="","",IFERROR(INDEX(I_Master!$E$6:$E$85,MATCH(G1364,I_Master!$A$6:$A$85,0)),"?"))</f>
        <v/>
      </c>
      <c r="P1364" s="46" t="str">
        <f aca="false">IF(H1364="","",IF(OR(A1364&lt;I_Parameter!$C$5,A1364&gt;I_Parameter!$C$6),0,IF(B1364="Aktual",1,IF(AND(B1364="Order",A1364&gt;=I_Parameter!$C$4),1,0))))</f>
        <v/>
      </c>
    </row>
    <row r="1365" customFormat="false" ht="15" hidden="false" customHeight="false" outlineLevel="0" collapsed="false">
      <c r="A1365" s="37"/>
      <c r="B1365" s="44"/>
      <c r="C1365" s="44"/>
      <c r="D1365" s="44"/>
      <c r="E1365" s="44"/>
      <c r="F1365" s="44"/>
      <c r="G1365" s="34" t="str">
        <f aca="false">IF(F1365&lt;&gt;"",F1365,IF(E1365="","",IFERROR(INDEX(I_Item!$C$6:$C$255,MATCH(E1365,I_Item!$A$6:$A$255,0)),"KODE BARU")))</f>
        <v/>
      </c>
      <c r="H1365" s="45"/>
      <c r="I1365" s="42"/>
      <c r="J1365" s="11" t="str">
        <f aca="false">IF(H1365="","",H1365*I1365)</f>
        <v/>
      </c>
      <c r="K1365" s="42"/>
      <c r="L1365" s="11" t="str">
        <f aca="false">IF(H1365="","",IF(K1365&lt;&gt;"",K1365,H1365*IFERROR(INDEX(O_Stok!$Q$6:$Q$85,MATCH(G1365,O_Stok!$A$6:$A$85,0)),0)))</f>
        <v/>
      </c>
      <c r="M1365" s="11" t="str">
        <f aca="false">IF(H1365="","",J1365-L1365)</f>
        <v/>
      </c>
      <c r="N1365" s="34" t="str">
        <f aca="false">IF(G1365="","",IFERROR(INDEX(I_Master!$B$6:$B$85,MATCH(G1365,I_Master!$A$6:$A$85,0)),"?"))</f>
        <v/>
      </c>
      <c r="O1365" s="34" t="str">
        <f aca="false">IF(G1365="","",IFERROR(INDEX(I_Master!$E$6:$E$85,MATCH(G1365,I_Master!$A$6:$A$85,0)),"?"))</f>
        <v/>
      </c>
      <c r="P1365" s="46" t="str">
        <f aca="false">IF(H1365="","",IF(OR(A1365&lt;I_Parameter!$C$5,A1365&gt;I_Parameter!$C$6),0,IF(B1365="Aktual",1,IF(AND(B1365="Order",A1365&gt;=I_Parameter!$C$4),1,0))))</f>
        <v/>
      </c>
    </row>
    <row r="1366" customFormat="false" ht="15" hidden="false" customHeight="false" outlineLevel="0" collapsed="false">
      <c r="A1366" s="37"/>
      <c r="B1366" s="44"/>
      <c r="C1366" s="44"/>
      <c r="D1366" s="44"/>
      <c r="E1366" s="44"/>
      <c r="F1366" s="44"/>
      <c r="G1366" s="34" t="str">
        <f aca="false">IF(F1366&lt;&gt;"",F1366,IF(E1366="","",IFERROR(INDEX(I_Item!$C$6:$C$255,MATCH(E1366,I_Item!$A$6:$A$255,0)),"KODE BARU")))</f>
        <v/>
      </c>
      <c r="H1366" s="45"/>
      <c r="I1366" s="42"/>
      <c r="J1366" s="11" t="str">
        <f aca="false">IF(H1366="","",H1366*I1366)</f>
        <v/>
      </c>
      <c r="K1366" s="42"/>
      <c r="L1366" s="11" t="str">
        <f aca="false">IF(H1366="","",IF(K1366&lt;&gt;"",K1366,H1366*IFERROR(INDEX(O_Stok!$Q$6:$Q$85,MATCH(G1366,O_Stok!$A$6:$A$85,0)),0)))</f>
        <v/>
      </c>
      <c r="M1366" s="11" t="str">
        <f aca="false">IF(H1366="","",J1366-L1366)</f>
        <v/>
      </c>
      <c r="N1366" s="34" t="str">
        <f aca="false">IF(G1366="","",IFERROR(INDEX(I_Master!$B$6:$B$85,MATCH(G1366,I_Master!$A$6:$A$85,0)),"?"))</f>
        <v/>
      </c>
      <c r="O1366" s="34" t="str">
        <f aca="false">IF(G1366="","",IFERROR(INDEX(I_Master!$E$6:$E$85,MATCH(G1366,I_Master!$A$6:$A$85,0)),"?"))</f>
        <v/>
      </c>
      <c r="P1366" s="46" t="str">
        <f aca="false">IF(H1366="","",IF(OR(A1366&lt;I_Parameter!$C$5,A1366&gt;I_Parameter!$C$6),0,IF(B1366="Aktual",1,IF(AND(B1366="Order",A1366&gt;=I_Parameter!$C$4),1,0))))</f>
        <v/>
      </c>
    </row>
    <row r="1367" customFormat="false" ht="15" hidden="false" customHeight="false" outlineLevel="0" collapsed="false">
      <c r="A1367" s="37"/>
      <c r="B1367" s="44"/>
      <c r="C1367" s="44"/>
      <c r="D1367" s="44"/>
      <c r="E1367" s="44"/>
      <c r="F1367" s="44"/>
      <c r="G1367" s="34" t="str">
        <f aca="false">IF(F1367&lt;&gt;"",F1367,IF(E1367="","",IFERROR(INDEX(I_Item!$C$6:$C$255,MATCH(E1367,I_Item!$A$6:$A$255,0)),"KODE BARU")))</f>
        <v/>
      </c>
      <c r="H1367" s="45"/>
      <c r="I1367" s="42"/>
      <c r="J1367" s="11" t="str">
        <f aca="false">IF(H1367="","",H1367*I1367)</f>
        <v/>
      </c>
      <c r="K1367" s="42"/>
      <c r="L1367" s="11" t="str">
        <f aca="false">IF(H1367="","",IF(K1367&lt;&gt;"",K1367,H1367*IFERROR(INDEX(O_Stok!$Q$6:$Q$85,MATCH(G1367,O_Stok!$A$6:$A$85,0)),0)))</f>
        <v/>
      </c>
      <c r="M1367" s="11" t="str">
        <f aca="false">IF(H1367="","",J1367-L1367)</f>
        <v/>
      </c>
      <c r="N1367" s="34" t="str">
        <f aca="false">IF(G1367="","",IFERROR(INDEX(I_Master!$B$6:$B$85,MATCH(G1367,I_Master!$A$6:$A$85,0)),"?"))</f>
        <v/>
      </c>
      <c r="O1367" s="34" t="str">
        <f aca="false">IF(G1367="","",IFERROR(INDEX(I_Master!$E$6:$E$85,MATCH(G1367,I_Master!$A$6:$A$85,0)),"?"))</f>
        <v/>
      </c>
      <c r="P1367" s="46" t="str">
        <f aca="false">IF(H1367="","",IF(OR(A1367&lt;I_Parameter!$C$5,A1367&gt;I_Parameter!$C$6),0,IF(B1367="Aktual",1,IF(AND(B1367="Order",A1367&gt;=I_Parameter!$C$4),1,0))))</f>
        <v/>
      </c>
    </row>
    <row r="1368" customFormat="false" ht="15" hidden="false" customHeight="false" outlineLevel="0" collapsed="false">
      <c r="A1368" s="37"/>
      <c r="B1368" s="44"/>
      <c r="C1368" s="44"/>
      <c r="D1368" s="44"/>
      <c r="E1368" s="44"/>
      <c r="F1368" s="44"/>
      <c r="G1368" s="34" t="str">
        <f aca="false">IF(F1368&lt;&gt;"",F1368,IF(E1368="","",IFERROR(INDEX(I_Item!$C$6:$C$255,MATCH(E1368,I_Item!$A$6:$A$255,0)),"KODE BARU")))</f>
        <v/>
      </c>
      <c r="H1368" s="45"/>
      <c r="I1368" s="42"/>
      <c r="J1368" s="11" t="str">
        <f aca="false">IF(H1368="","",H1368*I1368)</f>
        <v/>
      </c>
      <c r="K1368" s="42"/>
      <c r="L1368" s="11" t="str">
        <f aca="false">IF(H1368="","",IF(K1368&lt;&gt;"",K1368,H1368*IFERROR(INDEX(O_Stok!$Q$6:$Q$85,MATCH(G1368,O_Stok!$A$6:$A$85,0)),0)))</f>
        <v/>
      </c>
      <c r="M1368" s="11" t="str">
        <f aca="false">IF(H1368="","",J1368-L1368)</f>
        <v/>
      </c>
      <c r="N1368" s="34" t="str">
        <f aca="false">IF(G1368="","",IFERROR(INDEX(I_Master!$B$6:$B$85,MATCH(G1368,I_Master!$A$6:$A$85,0)),"?"))</f>
        <v/>
      </c>
      <c r="O1368" s="34" t="str">
        <f aca="false">IF(G1368="","",IFERROR(INDEX(I_Master!$E$6:$E$85,MATCH(G1368,I_Master!$A$6:$A$85,0)),"?"))</f>
        <v/>
      </c>
      <c r="P1368" s="46" t="str">
        <f aca="false">IF(H1368="","",IF(OR(A1368&lt;I_Parameter!$C$5,A1368&gt;I_Parameter!$C$6),0,IF(B1368="Aktual",1,IF(AND(B1368="Order",A1368&gt;=I_Parameter!$C$4),1,0))))</f>
        <v/>
      </c>
    </row>
    <row r="1369" customFormat="false" ht="15" hidden="false" customHeight="false" outlineLevel="0" collapsed="false">
      <c r="A1369" s="37"/>
      <c r="B1369" s="44"/>
      <c r="C1369" s="44"/>
      <c r="D1369" s="44"/>
      <c r="E1369" s="44"/>
      <c r="F1369" s="44"/>
      <c r="G1369" s="34" t="str">
        <f aca="false">IF(F1369&lt;&gt;"",F1369,IF(E1369="","",IFERROR(INDEX(I_Item!$C$6:$C$255,MATCH(E1369,I_Item!$A$6:$A$255,0)),"KODE BARU")))</f>
        <v/>
      </c>
      <c r="H1369" s="45"/>
      <c r="I1369" s="42"/>
      <c r="J1369" s="11" t="str">
        <f aca="false">IF(H1369="","",H1369*I1369)</f>
        <v/>
      </c>
      <c r="K1369" s="42"/>
      <c r="L1369" s="11" t="str">
        <f aca="false">IF(H1369="","",IF(K1369&lt;&gt;"",K1369,H1369*IFERROR(INDEX(O_Stok!$Q$6:$Q$85,MATCH(G1369,O_Stok!$A$6:$A$85,0)),0)))</f>
        <v/>
      </c>
      <c r="M1369" s="11" t="str">
        <f aca="false">IF(H1369="","",J1369-L1369)</f>
        <v/>
      </c>
      <c r="N1369" s="34" t="str">
        <f aca="false">IF(G1369="","",IFERROR(INDEX(I_Master!$B$6:$B$85,MATCH(G1369,I_Master!$A$6:$A$85,0)),"?"))</f>
        <v/>
      </c>
      <c r="O1369" s="34" t="str">
        <f aca="false">IF(G1369="","",IFERROR(INDEX(I_Master!$E$6:$E$85,MATCH(G1369,I_Master!$A$6:$A$85,0)),"?"))</f>
        <v/>
      </c>
      <c r="P1369" s="46" t="str">
        <f aca="false">IF(H1369="","",IF(OR(A1369&lt;I_Parameter!$C$5,A1369&gt;I_Parameter!$C$6),0,IF(B1369="Aktual",1,IF(AND(B1369="Order",A1369&gt;=I_Parameter!$C$4),1,0))))</f>
        <v/>
      </c>
    </row>
    <row r="1370" customFormat="false" ht="15" hidden="false" customHeight="false" outlineLevel="0" collapsed="false">
      <c r="A1370" s="37"/>
      <c r="B1370" s="44"/>
      <c r="C1370" s="44"/>
      <c r="D1370" s="44"/>
      <c r="E1370" s="44"/>
      <c r="F1370" s="44"/>
      <c r="G1370" s="34" t="str">
        <f aca="false">IF(F1370&lt;&gt;"",F1370,IF(E1370="","",IFERROR(INDEX(I_Item!$C$6:$C$255,MATCH(E1370,I_Item!$A$6:$A$255,0)),"KODE BARU")))</f>
        <v/>
      </c>
      <c r="H1370" s="45"/>
      <c r="I1370" s="42"/>
      <c r="J1370" s="11" t="str">
        <f aca="false">IF(H1370="","",H1370*I1370)</f>
        <v/>
      </c>
      <c r="K1370" s="42"/>
      <c r="L1370" s="11" t="str">
        <f aca="false">IF(H1370="","",IF(K1370&lt;&gt;"",K1370,H1370*IFERROR(INDEX(O_Stok!$Q$6:$Q$85,MATCH(G1370,O_Stok!$A$6:$A$85,0)),0)))</f>
        <v/>
      </c>
      <c r="M1370" s="11" t="str">
        <f aca="false">IF(H1370="","",J1370-L1370)</f>
        <v/>
      </c>
      <c r="N1370" s="34" t="str">
        <f aca="false">IF(G1370="","",IFERROR(INDEX(I_Master!$B$6:$B$85,MATCH(G1370,I_Master!$A$6:$A$85,0)),"?"))</f>
        <v/>
      </c>
      <c r="O1370" s="34" t="str">
        <f aca="false">IF(G1370="","",IFERROR(INDEX(I_Master!$E$6:$E$85,MATCH(G1370,I_Master!$A$6:$A$85,0)),"?"))</f>
        <v/>
      </c>
      <c r="P1370" s="46" t="str">
        <f aca="false">IF(H1370="","",IF(OR(A1370&lt;I_Parameter!$C$5,A1370&gt;I_Parameter!$C$6),0,IF(B1370="Aktual",1,IF(AND(B1370="Order",A1370&gt;=I_Parameter!$C$4),1,0))))</f>
        <v/>
      </c>
    </row>
    <row r="1371" customFormat="false" ht="15" hidden="false" customHeight="false" outlineLevel="0" collapsed="false">
      <c r="A1371" s="37"/>
      <c r="B1371" s="44"/>
      <c r="C1371" s="44"/>
      <c r="D1371" s="44"/>
      <c r="E1371" s="44"/>
      <c r="F1371" s="44"/>
      <c r="G1371" s="34" t="str">
        <f aca="false">IF(F1371&lt;&gt;"",F1371,IF(E1371="","",IFERROR(INDEX(I_Item!$C$6:$C$255,MATCH(E1371,I_Item!$A$6:$A$255,0)),"KODE BARU")))</f>
        <v/>
      </c>
      <c r="H1371" s="45"/>
      <c r="I1371" s="42"/>
      <c r="J1371" s="11" t="str">
        <f aca="false">IF(H1371="","",H1371*I1371)</f>
        <v/>
      </c>
      <c r="K1371" s="42"/>
      <c r="L1371" s="11" t="str">
        <f aca="false">IF(H1371="","",IF(K1371&lt;&gt;"",K1371,H1371*IFERROR(INDEX(O_Stok!$Q$6:$Q$85,MATCH(G1371,O_Stok!$A$6:$A$85,0)),0)))</f>
        <v/>
      </c>
      <c r="M1371" s="11" t="str">
        <f aca="false">IF(H1371="","",J1371-L1371)</f>
        <v/>
      </c>
      <c r="N1371" s="34" t="str">
        <f aca="false">IF(G1371="","",IFERROR(INDEX(I_Master!$B$6:$B$85,MATCH(G1371,I_Master!$A$6:$A$85,0)),"?"))</f>
        <v/>
      </c>
      <c r="O1371" s="34" t="str">
        <f aca="false">IF(G1371="","",IFERROR(INDEX(I_Master!$E$6:$E$85,MATCH(G1371,I_Master!$A$6:$A$85,0)),"?"))</f>
        <v/>
      </c>
      <c r="P1371" s="46" t="str">
        <f aca="false">IF(H1371="","",IF(OR(A1371&lt;I_Parameter!$C$5,A1371&gt;I_Parameter!$C$6),0,IF(B1371="Aktual",1,IF(AND(B1371="Order",A1371&gt;=I_Parameter!$C$4),1,0))))</f>
        <v/>
      </c>
    </row>
    <row r="1372" customFormat="false" ht="15" hidden="false" customHeight="false" outlineLevel="0" collapsed="false">
      <c r="A1372" s="37"/>
      <c r="B1372" s="44"/>
      <c r="C1372" s="44"/>
      <c r="D1372" s="44"/>
      <c r="E1372" s="44"/>
      <c r="F1372" s="44"/>
      <c r="G1372" s="34" t="str">
        <f aca="false">IF(F1372&lt;&gt;"",F1372,IF(E1372="","",IFERROR(INDEX(I_Item!$C$6:$C$255,MATCH(E1372,I_Item!$A$6:$A$255,0)),"KODE BARU")))</f>
        <v/>
      </c>
      <c r="H1372" s="45"/>
      <c r="I1372" s="42"/>
      <c r="J1372" s="11" t="str">
        <f aca="false">IF(H1372="","",H1372*I1372)</f>
        <v/>
      </c>
      <c r="K1372" s="42"/>
      <c r="L1372" s="11" t="str">
        <f aca="false">IF(H1372="","",IF(K1372&lt;&gt;"",K1372,H1372*IFERROR(INDEX(O_Stok!$Q$6:$Q$85,MATCH(G1372,O_Stok!$A$6:$A$85,0)),0)))</f>
        <v/>
      </c>
      <c r="M1372" s="11" t="str">
        <f aca="false">IF(H1372="","",J1372-L1372)</f>
        <v/>
      </c>
      <c r="N1372" s="34" t="str">
        <f aca="false">IF(G1372="","",IFERROR(INDEX(I_Master!$B$6:$B$85,MATCH(G1372,I_Master!$A$6:$A$85,0)),"?"))</f>
        <v/>
      </c>
      <c r="O1372" s="34" t="str">
        <f aca="false">IF(G1372="","",IFERROR(INDEX(I_Master!$E$6:$E$85,MATCH(G1372,I_Master!$A$6:$A$85,0)),"?"))</f>
        <v/>
      </c>
      <c r="P1372" s="46" t="str">
        <f aca="false">IF(H1372="","",IF(OR(A1372&lt;I_Parameter!$C$5,A1372&gt;I_Parameter!$C$6),0,IF(B1372="Aktual",1,IF(AND(B1372="Order",A1372&gt;=I_Parameter!$C$4),1,0))))</f>
        <v/>
      </c>
    </row>
    <row r="1373" customFormat="false" ht="15" hidden="false" customHeight="false" outlineLevel="0" collapsed="false">
      <c r="A1373" s="37"/>
      <c r="B1373" s="44"/>
      <c r="C1373" s="44"/>
      <c r="D1373" s="44"/>
      <c r="E1373" s="44"/>
      <c r="F1373" s="44"/>
      <c r="G1373" s="34" t="str">
        <f aca="false">IF(F1373&lt;&gt;"",F1373,IF(E1373="","",IFERROR(INDEX(I_Item!$C$6:$C$255,MATCH(E1373,I_Item!$A$6:$A$255,0)),"KODE BARU")))</f>
        <v/>
      </c>
      <c r="H1373" s="45"/>
      <c r="I1373" s="42"/>
      <c r="J1373" s="11" t="str">
        <f aca="false">IF(H1373="","",H1373*I1373)</f>
        <v/>
      </c>
      <c r="K1373" s="42"/>
      <c r="L1373" s="11" t="str">
        <f aca="false">IF(H1373="","",IF(K1373&lt;&gt;"",K1373,H1373*IFERROR(INDEX(O_Stok!$Q$6:$Q$85,MATCH(G1373,O_Stok!$A$6:$A$85,0)),0)))</f>
        <v/>
      </c>
      <c r="M1373" s="11" t="str">
        <f aca="false">IF(H1373="","",J1373-L1373)</f>
        <v/>
      </c>
      <c r="N1373" s="34" t="str">
        <f aca="false">IF(G1373="","",IFERROR(INDEX(I_Master!$B$6:$B$85,MATCH(G1373,I_Master!$A$6:$A$85,0)),"?"))</f>
        <v/>
      </c>
      <c r="O1373" s="34" t="str">
        <f aca="false">IF(G1373="","",IFERROR(INDEX(I_Master!$E$6:$E$85,MATCH(G1373,I_Master!$A$6:$A$85,0)),"?"))</f>
        <v/>
      </c>
      <c r="P1373" s="46" t="str">
        <f aca="false">IF(H1373="","",IF(OR(A1373&lt;I_Parameter!$C$5,A1373&gt;I_Parameter!$C$6),0,IF(B1373="Aktual",1,IF(AND(B1373="Order",A1373&gt;=I_Parameter!$C$4),1,0))))</f>
        <v/>
      </c>
    </row>
    <row r="1374" customFormat="false" ht="15" hidden="false" customHeight="false" outlineLevel="0" collapsed="false">
      <c r="A1374" s="37"/>
      <c r="B1374" s="44"/>
      <c r="C1374" s="44"/>
      <c r="D1374" s="44"/>
      <c r="E1374" s="44"/>
      <c r="F1374" s="44"/>
      <c r="G1374" s="34" t="str">
        <f aca="false">IF(F1374&lt;&gt;"",F1374,IF(E1374="","",IFERROR(INDEX(I_Item!$C$6:$C$255,MATCH(E1374,I_Item!$A$6:$A$255,0)),"KODE BARU")))</f>
        <v/>
      </c>
      <c r="H1374" s="45"/>
      <c r="I1374" s="42"/>
      <c r="J1374" s="11" t="str">
        <f aca="false">IF(H1374="","",H1374*I1374)</f>
        <v/>
      </c>
      <c r="K1374" s="42"/>
      <c r="L1374" s="11" t="str">
        <f aca="false">IF(H1374="","",IF(K1374&lt;&gt;"",K1374,H1374*IFERROR(INDEX(O_Stok!$Q$6:$Q$85,MATCH(G1374,O_Stok!$A$6:$A$85,0)),0)))</f>
        <v/>
      </c>
      <c r="M1374" s="11" t="str">
        <f aca="false">IF(H1374="","",J1374-L1374)</f>
        <v/>
      </c>
      <c r="N1374" s="34" t="str">
        <f aca="false">IF(G1374="","",IFERROR(INDEX(I_Master!$B$6:$B$85,MATCH(G1374,I_Master!$A$6:$A$85,0)),"?"))</f>
        <v/>
      </c>
      <c r="O1374" s="34" t="str">
        <f aca="false">IF(G1374="","",IFERROR(INDEX(I_Master!$E$6:$E$85,MATCH(G1374,I_Master!$A$6:$A$85,0)),"?"))</f>
        <v/>
      </c>
      <c r="P1374" s="46" t="str">
        <f aca="false">IF(H1374="","",IF(OR(A1374&lt;I_Parameter!$C$5,A1374&gt;I_Parameter!$C$6),0,IF(B1374="Aktual",1,IF(AND(B1374="Order",A1374&gt;=I_Parameter!$C$4),1,0))))</f>
        <v/>
      </c>
    </row>
    <row r="1375" customFormat="false" ht="15" hidden="false" customHeight="false" outlineLevel="0" collapsed="false">
      <c r="A1375" s="37"/>
      <c r="B1375" s="44"/>
      <c r="C1375" s="44"/>
      <c r="D1375" s="44"/>
      <c r="E1375" s="44"/>
      <c r="F1375" s="44"/>
      <c r="G1375" s="34" t="str">
        <f aca="false">IF(F1375&lt;&gt;"",F1375,IF(E1375="","",IFERROR(INDEX(I_Item!$C$6:$C$255,MATCH(E1375,I_Item!$A$6:$A$255,0)),"KODE BARU")))</f>
        <v/>
      </c>
      <c r="H1375" s="45"/>
      <c r="I1375" s="42"/>
      <c r="J1375" s="11" t="str">
        <f aca="false">IF(H1375="","",H1375*I1375)</f>
        <v/>
      </c>
      <c r="K1375" s="42"/>
      <c r="L1375" s="11" t="str">
        <f aca="false">IF(H1375="","",IF(K1375&lt;&gt;"",K1375,H1375*IFERROR(INDEX(O_Stok!$Q$6:$Q$85,MATCH(G1375,O_Stok!$A$6:$A$85,0)),0)))</f>
        <v/>
      </c>
      <c r="M1375" s="11" t="str">
        <f aca="false">IF(H1375="","",J1375-L1375)</f>
        <v/>
      </c>
      <c r="N1375" s="34" t="str">
        <f aca="false">IF(G1375="","",IFERROR(INDEX(I_Master!$B$6:$B$85,MATCH(G1375,I_Master!$A$6:$A$85,0)),"?"))</f>
        <v/>
      </c>
      <c r="O1375" s="34" t="str">
        <f aca="false">IF(G1375="","",IFERROR(INDEX(I_Master!$E$6:$E$85,MATCH(G1375,I_Master!$A$6:$A$85,0)),"?"))</f>
        <v/>
      </c>
      <c r="P1375" s="46" t="str">
        <f aca="false">IF(H1375="","",IF(OR(A1375&lt;I_Parameter!$C$5,A1375&gt;I_Parameter!$C$6),0,IF(B1375="Aktual",1,IF(AND(B1375="Order",A1375&gt;=I_Parameter!$C$4),1,0))))</f>
        <v/>
      </c>
    </row>
    <row r="1376" customFormat="false" ht="15" hidden="false" customHeight="false" outlineLevel="0" collapsed="false">
      <c r="A1376" s="37"/>
      <c r="B1376" s="44"/>
      <c r="C1376" s="44"/>
      <c r="D1376" s="44"/>
      <c r="E1376" s="44"/>
      <c r="F1376" s="44"/>
      <c r="G1376" s="34" t="str">
        <f aca="false">IF(F1376&lt;&gt;"",F1376,IF(E1376="","",IFERROR(INDEX(I_Item!$C$6:$C$255,MATCH(E1376,I_Item!$A$6:$A$255,0)),"KODE BARU")))</f>
        <v/>
      </c>
      <c r="H1376" s="45"/>
      <c r="I1376" s="42"/>
      <c r="J1376" s="11" t="str">
        <f aca="false">IF(H1376="","",H1376*I1376)</f>
        <v/>
      </c>
      <c r="K1376" s="42"/>
      <c r="L1376" s="11" t="str">
        <f aca="false">IF(H1376="","",IF(K1376&lt;&gt;"",K1376,H1376*IFERROR(INDEX(O_Stok!$Q$6:$Q$85,MATCH(G1376,O_Stok!$A$6:$A$85,0)),0)))</f>
        <v/>
      </c>
      <c r="M1376" s="11" t="str">
        <f aca="false">IF(H1376="","",J1376-L1376)</f>
        <v/>
      </c>
      <c r="N1376" s="34" t="str">
        <f aca="false">IF(G1376="","",IFERROR(INDEX(I_Master!$B$6:$B$85,MATCH(G1376,I_Master!$A$6:$A$85,0)),"?"))</f>
        <v/>
      </c>
      <c r="O1376" s="34" t="str">
        <f aca="false">IF(G1376="","",IFERROR(INDEX(I_Master!$E$6:$E$85,MATCH(G1376,I_Master!$A$6:$A$85,0)),"?"))</f>
        <v/>
      </c>
      <c r="P1376" s="46" t="str">
        <f aca="false">IF(H1376="","",IF(OR(A1376&lt;I_Parameter!$C$5,A1376&gt;I_Parameter!$C$6),0,IF(B1376="Aktual",1,IF(AND(B1376="Order",A1376&gt;=I_Parameter!$C$4),1,0))))</f>
        <v/>
      </c>
    </row>
    <row r="1377" customFormat="false" ht="15" hidden="false" customHeight="false" outlineLevel="0" collapsed="false">
      <c r="A1377" s="37"/>
      <c r="B1377" s="44"/>
      <c r="C1377" s="44"/>
      <c r="D1377" s="44"/>
      <c r="E1377" s="44"/>
      <c r="F1377" s="44"/>
      <c r="G1377" s="34" t="str">
        <f aca="false">IF(F1377&lt;&gt;"",F1377,IF(E1377="","",IFERROR(INDEX(I_Item!$C$6:$C$255,MATCH(E1377,I_Item!$A$6:$A$255,0)),"KODE BARU")))</f>
        <v/>
      </c>
      <c r="H1377" s="45"/>
      <c r="I1377" s="42"/>
      <c r="J1377" s="11" t="str">
        <f aca="false">IF(H1377="","",H1377*I1377)</f>
        <v/>
      </c>
      <c r="K1377" s="42"/>
      <c r="L1377" s="11" t="str">
        <f aca="false">IF(H1377="","",IF(K1377&lt;&gt;"",K1377,H1377*IFERROR(INDEX(O_Stok!$Q$6:$Q$85,MATCH(G1377,O_Stok!$A$6:$A$85,0)),0)))</f>
        <v/>
      </c>
      <c r="M1377" s="11" t="str">
        <f aca="false">IF(H1377="","",J1377-L1377)</f>
        <v/>
      </c>
      <c r="N1377" s="34" t="str">
        <f aca="false">IF(G1377="","",IFERROR(INDEX(I_Master!$B$6:$B$85,MATCH(G1377,I_Master!$A$6:$A$85,0)),"?"))</f>
        <v/>
      </c>
      <c r="O1377" s="34" t="str">
        <f aca="false">IF(G1377="","",IFERROR(INDEX(I_Master!$E$6:$E$85,MATCH(G1377,I_Master!$A$6:$A$85,0)),"?"))</f>
        <v/>
      </c>
      <c r="P1377" s="46" t="str">
        <f aca="false">IF(H1377="","",IF(OR(A1377&lt;I_Parameter!$C$5,A1377&gt;I_Parameter!$C$6),0,IF(B1377="Aktual",1,IF(AND(B1377="Order",A1377&gt;=I_Parameter!$C$4),1,0))))</f>
        <v/>
      </c>
    </row>
    <row r="1378" customFormat="false" ht="15" hidden="false" customHeight="false" outlineLevel="0" collapsed="false">
      <c r="A1378" s="37"/>
      <c r="B1378" s="44"/>
      <c r="C1378" s="44"/>
      <c r="D1378" s="44"/>
      <c r="E1378" s="44"/>
      <c r="F1378" s="44"/>
      <c r="G1378" s="34" t="str">
        <f aca="false">IF(F1378&lt;&gt;"",F1378,IF(E1378="","",IFERROR(INDEX(I_Item!$C$6:$C$255,MATCH(E1378,I_Item!$A$6:$A$255,0)),"KODE BARU")))</f>
        <v/>
      </c>
      <c r="H1378" s="45"/>
      <c r="I1378" s="42"/>
      <c r="J1378" s="11" t="str">
        <f aca="false">IF(H1378="","",H1378*I1378)</f>
        <v/>
      </c>
      <c r="K1378" s="42"/>
      <c r="L1378" s="11" t="str">
        <f aca="false">IF(H1378="","",IF(K1378&lt;&gt;"",K1378,H1378*IFERROR(INDEX(O_Stok!$Q$6:$Q$85,MATCH(G1378,O_Stok!$A$6:$A$85,0)),0)))</f>
        <v/>
      </c>
      <c r="M1378" s="11" t="str">
        <f aca="false">IF(H1378="","",J1378-L1378)</f>
        <v/>
      </c>
      <c r="N1378" s="34" t="str">
        <f aca="false">IF(G1378="","",IFERROR(INDEX(I_Master!$B$6:$B$85,MATCH(G1378,I_Master!$A$6:$A$85,0)),"?"))</f>
        <v/>
      </c>
      <c r="O1378" s="34" t="str">
        <f aca="false">IF(G1378="","",IFERROR(INDEX(I_Master!$E$6:$E$85,MATCH(G1378,I_Master!$A$6:$A$85,0)),"?"))</f>
        <v/>
      </c>
      <c r="P1378" s="46" t="str">
        <f aca="false">IF(H1378="","",IF(OR(A1378&lt;I_Parameter!$C$5,A1378&gt;I_Parameter!$C$6),0,IF(B1378="Aktual",1,IF(AND(B1378="Order",A1378&gt;=I_Parameter!$C$4),1,0))))</f>
        <v/>
      </c>
    </row>
    <row r="1379" customFormat="false" ht="15" hidden="false" customHeight="false" outlineLevel="0" collapsed="false">
      <c r="A1379" s="37"/>
      <c r="B1379" s="44"/>
      <c r="C1379" s="44"/>
      <c r="D1379" s="44"/>
      <c r="E1379" s="44"/>
      <c r="F1379" s="44"/>
      <c r="G1379" s="34" t="str">
        <f aca="false">IF(F1379&lt;&gt;"",F1379,IF(E1379="","",IFERROR(INDEX(I_Item!$C$6:$C$255,MATCH(E1379,I_Item!$A$6:$A$255,0)),"KODE BARU")))</f>
        <v/>
      </c>
      <c r="H1379" s="45"/>
      <c r="I1379" s="42"/>
      <c r="J1379" s="11" t="str">
        <f aca="false">IF(H1379="","",H1379*I1379)</f>
        <v/>
      </c>
      <c r="K1379" s="42"/>
      <c r="L1379" s="11" t="str">
        <f aca="false">IF(H1379="","",IF(K1379&lt;&gt;"",K1379,H1379*IFERROR(INDEX(O_Stok!$Q$6:$Q$85,MATCH(G1379,O_Stok!$A$6:$A$85,0)),0)))</f>
        <v/>
      </c>
      <c r="M1379" s="11" t="str">
        <f aca="false">IF(H1379="","",J1379-L1379)</f>
        <v/>
      </c>
      <c r="N1379" s="34" t="str">
        <f aca="false">IF(G1379="","",IFERROR(INDEX(I_Master!$B$6:$B$85,MATCH(G1379,I_Master!$A$6:$A$85,0)),"?"))</f>
        <v/>
      </c>
      <c r="O1379" s="34" t="str">
        <f aca="false">IF(G1379="","",IFERROR(INDEX(I_Master!$E$6:$E$85,MATCH(G1379,I_Master!$A$6:$A$85,0)),"?"))</f>
        <v/>
      </c>
      <c r="P1379" s="46" t="str">
        <f aca="false">IF(H1379="","",IF(OR(A1379&lt;I_Parameter!$C$5,A1379&gt;I_Parameter!$C$6),0,IF(B1379="Aktual",1,IF(AND(B1379="Order",A1379&gt;=I_Parameter!$C$4),1,0))))</f>
        <v/>
      </c>
    </row>
    <row r="1380" customFormat="false" ht="15" hidden="false" customHeight="false" outlineLevel="0" collapsed="false">
      <c r="A1380" s="37"/>
      <c r="B1380" s="44"/>
      <c r="C1380" s="44"/>
      <c r="D1380" s="44"/>
      <c r="E1380" s="44"/>
      <c r="F1380" s="44"/>
      <c r="G1380" s="34" t="str">
        <f aca="false">IF(F1380&lt;&gt;"",F1380,IF(E1380="","",IFERROR(INDEX(I_Item!$C$6:$C$255,MATCH(E1380,I_Item!$A$6:$A$255,0)),"KODE BARU")))</f>
        <v/>
      </c>
      <c r="H1380" s="45"/>
      <c r="I1380" s="42"/>
      <c r="J1380" s="11" t="str">
        <f aca="false">IF(H1380="","",H1380*I1380)</f>
        <v/>
      </c>
      <c r="K1380" s="42"/>
      <c r="L1380" s="11" t="str">
        <f aca="false">IF(H1380="","",IF(K1380&lt;&gt;"",K1380,H1380*IFERROR(INDEX(O_Stok!$Q$6:$Q$85,MATCH(G1380,O_Stok!$A$6:$A$85,0)),0)))</f>
        <v/>
      </c>
      <c r="M1380" s="11" t="str">
        <f aca="false">IF(H1380="","",J1380-L1380)</f>
        <v/>
      </c>
      <c r="N1380" s="34" t="str">
        <f aca="false">IF(G1380="","",IFERROR(INDEX(I_Master!$B$6:$B$85,MATCH(G1380,I_Master!$A$6:$A$85,0)),"?"))</f>
        <v/>
      </c>
      <c r="O1380" s="34" t="str">
        <f aca="false">IF(G1380="","",IFERROR(INDEX(I_Master!$E$6:$E$85,MATCH(G1380,I_Master!$A$6:$A$85,0)),"?"))</f>
        <v/>
      </c>
      <c r="P1380" s="46" t="str">
        <f aca="false">IF(H1380="","",IF(OR(A1380&lt;I_Parameter!$C$5,A1380&gt;I_Parameter!$C$6),0,IF(B1380="Aktual",1,IF(AND(B1380="Order",A1380&gt;=I_Parameter!$C$4),1,0))))</f>
        <v/>
      </c>
    </row>
    <row r="1381" customFormat="false" ht="15" hidden="false" customHeight="false" outlineLevel="0" collapsed="false">
      <c r="A1381" s="37"/>
      <c r="B1381" s="44"/>
      <c r="C1381" s="44"/>
      <c r="D1381" s="44"/>
      <c r="E1381" s="44"/>
      <c r="F1381" s="44"/>
      <c r="G1381" s="34" t="str">
        <f aca="false">IF(F1381&lt;&gt;"",F1381,IF(E1381="","",IFERROR(INDEX(I_Item!$C$6:$C$255,MATCH(E1381,I_Item!$A$6:$A$255,0)),"KODE BARU")))</f>
        <v/>
      </c>
      <c r="H1381" s="45"/>
      <c r="I1381" s="42"/>
      <c r="J1381" s="11" t="str">
        <f aca="false">IF(H1381="","",H1381*I1381)</f>
        <v/>
      </c>
      <c r="K1381" s="42"/>
      <c r="L1381" s="11" t="str">
        <f aca="false">IF(H1381="","",IF(K1381&lt;&gt;"",K1381,H1381*IFERROR(INDEX(O_Stok!$Q$6:$Q$85,MATCH(G1381,O_Stok!$A$6:$A$85,0)),0)))</f>
        <v/>
      </c>
      <c r="M1381" s="11" t="str">
        <f aca="false">IF(H1381="","",J1381-L1381)</f>
        <v/>
      </c>
      <c r="N1381" s="34" t="str">
        <f aca="false">IF(G1381="","",IFERROR(INDEX(I_Master!$B$6:$B$85,MATCH(G1381,I_Master!$A$6:$A$85,0)),"?"))</f>
        <v/>
      </c>
      <c r="O1381" s="34" t="str">
        <f aca="false">IF(G1381="","",IFERROR(INDEX(I_Master!$E$6:$E$85,MATCH(G1381,I_Master!$A$6:$A$85,0)),"?"))</f>
        <v/>
      </c>
      <c r="P1381" s="46" t="str">
        <f aca="false">IF(H1381="","",IF(OR(A1381&lt;I_Parameter!$C$5,A1381&gt;I_Parameter!$C$6),0,IF(B1381="Aktual",1,IF(AND(B1381="Order",A1381&gt;=I_Parameter!$C$4),1,0))))</f>
        <v/>
      </c>
    </row>
    <row r="1382" customFormat="false" ht="15" hidden="false" customHeight="false" outlineLevel="0" collapsed="false">
      <c r="A1382" s="37"/>
      <c r="B1382" s="44"/>
      <c r="C1382" s="44"/>
      <c r="D1382" s="44"/>
      <c r="E1382" s="44"/>
      <c r="F1382" s="44"/>
      <c r="G1382" s="34" t="str">
        <f aca="false">IF(F1382&lt;&gt;"",F1382,IF(E1382="","",IFERROR(INDEX(I_Item!$C$6:$C$255,MATCH(E1382,I_Item!$A$6:$A$255,0)),"KODE BARU")))</f>
        <v/>
      </c>
      <c r="H1382" s="45"/>
      <c r="I1382" s="42"/>
      <c r="J1382" s="11" t="str">
        <f aca="false">IF(H1382="","",H1382*I1382)</f>
        <v/>
      </c>
      <c r="K1382" s="42"/>
      <c r="L1382" s="11" t="str">
        <f aca="false">IF(H1382="","",IF(K1382&lt;&gt;"",K1382,H1382*IFERROR(INDEX(O_Stok!$Q$6:$Q$85,MATCH(G1382,O_Stok!$A$6:$A$85,0)),0)))</f>
        <v/>
      </c>
      <c r="M1382" s="11" t="str">
        <f aca="false">IF(H1382="","",J1382-L1382)</f>
        <v/>
      </c>
      <c r="N1382" s="34" t="str">
        <f aca="false">IF(G1382="","",IFERROR(INDEX(I_Master!$B$6:$B$85,MATCH(G1382,I_Master!$A$6:$A$85,0)),"?"))</f>
        <v/>
      </c>
      <c r="O1382" s="34" t="str">
        <f aca="false">IF(G1382="","",IFERROR(INDEX(I_Master!$E$6:$E$85,MATCH(G1382,I_Master!$A$6:$A$85,0)),"?"))</f>
        <v/>
      </c>
      <c r="P1382" s="46" t="str">
        <f aca="false">IF(H1382="","",IF(OR(A1382&lt;I_Parameter!$C$5,A1382&gt;I_Parameter!$C$6),0,IF(B1382="Aktual",1,IF(AND(B1382="Order",A1382&gt;=I_Parameter!$C$4),1,0))))</f>
        <v/>
      </c>
    </row>
    <row r="1383" customFormat="false" ht="15" hidden="false" customHeight="false" outlineLevel="0" collapsed="false">
      <c r="A1383" s="37"/>
      <c r="B1383" s="44"/>
      <c r="C1383" s="44"/>
      <c r="D1383" s="44"/>
      <c r="E1383" s="44"/>
      <c r="F1383" s="44"/>
      <c r="G1383" s="34" t="str">
        <f aca="false">IF(F1383&lt;&gt;"",F1383,IF(E1383="","",IFERROR(INDEX(I_Item!$C$6:$C$255,MATCH(E1383,I_Item!$A$6:$A$255,0)),"KODE BARU")))</f>
        <v/>
      </c>
      <c r="H1383" s="45"/>
      <c r="I1383" s="42"/>
      <c r="J1383" s="11" t="str">
        <f aca="false">IF(H1383="","",H1383*I1383)</f>
        <v/>
      </c>
      <c r="K1383" s="42"/>
      <c r="L1383" s="11" t="str">
        <f aca="false">IF(H1383="","",IF(K1383&lt;&gt;"",K1383,H1383*IFERROR(INDEX(O_Stok!$Q$6:$Q$85,MATCH(G1383,O_Stok!$A$6:$A$85,0)),0)))</f>
        <v/>
      </c>
      <c r="M1383" s="11" t="str">
        <f aca="false">IF(H1383="","",J1383-L1383)</f>
        <v/>
      </c>
      <c r="N1383" s="34" t="str">
        <f aca="false">IF(G1383="","",IFERROR(INDEX(I_Master!$B$6:$B$85,MATCH(G1383,I_Master!$A$6:$A$85,0)),"?"))</f>
        <v/>
      </c>
      <c r="O1383" s="34" t="str">
        <f aca="false">IF(G1383="","",IFERROR(INDEX(I_Master!$E$6:$E$85,MATCH(G1383,I_Master!$A$6:$A$85,0)),"?"))</f>
        <v/>
      </c>
      <c r="P1383" s="46" t="str">
        <f aca="false">IF(H1383="","",IF(OR(A1383&lt;I_Parameter!$C$5,A1383&gt;I_Parameter!$C$6),0,IF(B1383="Aktual",1,IF(AND(B1383="Order",A1383&gt;=I_Parameter!$C$4),1,0))))</f>
        <v/>
      </c>
    </row>
    <row r="1384" customFormat="false" ht="15" hidden="false" customHeight="false" outlineLevel="0" collapsed="false">
      <c r="A1384" s="37"/>
      <c r="B1384" s="44"/>
      <c r="C1384" s="44"/>
      <c r="D1384" s="44"/>
      <c r="E1384" s="44"/>
      <c r="F1384" s="44"/>
      <c r="G1384" s="34" t="str">
        <f aca="false">IF(F1384&lt;&gt;"",F1384,IF(E1384="","",IFERROR(INDEX(I_Item!$C$6:$C$255,MATCH(E1384,I_Item!$A$6:$A$255,0)),"KODE BARU")))</f>
        <v/>
      </c>
      <c r="H1384" s="45"/>
      <c r="I1384" s="42"/>
      <c r="J1384" s="11" t="str">
        <f aca="false">IF(H1384="","",H1384*I1384)</f>
        <v/>
      </c>
      <c r="K1384" s="42"/>
      <c r="L1384" s="11" t="str">
        <f aca="false">IF(H1384="","",IF(K1384&lt;&gt;"",K1384,H1384*IFERROR(INDEX(O_Stok!$Q$6:$Q$85,MATCH(G1384,O_Stok!$A$6:$A$85,0)),0)))</f>
        <v/>
      </c>
      <c r="M1384" s="11" t="str">
        <f aca="false">IF(H1384="","",J1384-L1384)</f>
        <v/>
      </c>
      <c r="N1384" s="34" t="str">
        <f aca="false">IF(G1384="","",IFERROR(INDEX(I_Master!$B$6:$B$85,MATCH(G1384,I_Master!$A$6:$A$85,0)),"?"))</f>
        <v/>
      </c>
      <c r="O1384" s="34" t="str">
        <f aca="false">IF(G1384="","",IFERROR(INDEX(I_Master!$E$6:$E$85,MATCH(G1384,I_Master!$A$6:$A$85,0)),"?"))</f>
        <v/>
      </c>
      <c r="P1384" s="46" t="str">
        <f aca="false">IF(H1384="","",IF(OR(A1384&lt;I_Parameter!$C$5,A1384&gt;I_Parameter!$C$6),0,IF(B1384="Aktual",1,IF(AND(B1384="Order",A1384&gt;=I_Parameter!$C$4),1,0))))</f>
        <v/>
      </c>
    </row>
    <row r="1385" customFormat="false" ht="15" hidden="false" customHeight="false" outlineLevel="0" collapsed="false">
      <c r="A1385" s="37"/>
      <c r="B1385" s="44"/>
      <c r="C1385" s="44"/>
      <c r="D1385" s="44"/>
      <c r="E1385" s="44"/>
      <c r="F1385" s="44"/>
      <c r="G1385" s="34" t="str">
        <f aca="false">IF(F1385&lt;&gt;"",F1385,IF(E1385="","",IFERROR(INDEX(I_Item!$C$6:$C$255,MATCH(E1385,I_Item!$A$6:$A$255,0)),"KODE BARU")))</f>
        <v/>
      </c>
      <c r="H1385" s="45"/>
      <c r="I1385" s="42"/>
      <c r="J1385" s="11" t="str">
        <f aca="false">IF(H1385="","",H1385*I1385)</f>
        <v/>
      </c>
      <c r="K1385" s="42"/>
      <c r="L1385" s="11" t="str">
        <f aca="false">IF(H1385="","",IF(K1385&lt;&gt;"",K1385,H1385*IFERROR(INDEX(O_Stok!$Q$6:$Q$85,MATCH(G1385,O_Stok!$A$6:$A$85,0)),0)))</f>
        <v/>
      </c>
      <c r="M1385" s="11" t="str">
        <f aca="false">IF(H1385="","",J1385-L1385)</f>
        <v/>
      </c>
      <c r="N1385" s="34" t="str">
        <f aca="false">IF(G1385="","",IFERROR(INDEX(I_Master!$B$6:$B$85,MATCH(G1385,I_Master!$A$6:$A$85,0)),"?"))</f>
        <v/>
      </c>
      <c r="O1385" s="34" t="str">
        <f aca="false">IF(G1385="","",IFERROR(INDEX(I_Master!$E$6:$E$85,MATCH(G1385,I_Master!$A$6:$A$85,0)),"?"))</f>
        <v/>
      </c>
      <c r="P1385" s="46" t="str">
        <f aca="false">IF(H1385="","",IF(OR(A1385&lt;I_Parameter!$C$5,A1385&gt;I_Parameter!$C$6),0,IF(B1385="Aktual",1,IF(AND(B1385="Order",A1385&gt;=I_Parameter!$C$4),1,0))))</f>
        <v/>
      </c>
    </row>
    <row r="1386" customFormat="false" ht="15" hidden="false" customHeight="false" outlineLevel="0" collapsed="false">
      <c r="A1386" s="37"/>
      <c r="B1386" s="44"/>
      <c r="C1386" s="44"/>
      <c r="D1386" s="44"/>
      <c r="E1386" s="44"/>
      <c r="F1386" s="44"/>
      <c r="G1386" s="34" t="str">
        <f aca="false">IF(F1386&lt;&gt;"",F1386,IF(E1386="","",IFERROR(INDEX(I_Item!$C$6:$C$255,MATCH(E1386,I_Item!$A$6:$A$255,0)),"KODE BARU")))</f>
        <v/>
      </c>
      <c r="H1386" s="45"/>
      <c r="I1386" s="42"/>
      <c r="J1386" s="11" t="str">
        <f aca="false">IF(H1386="","",H1386*I1386)</f>
        <v/>
      </c>
      <c r="K1386" s="42"/>
      <c r="L1386" s="11" t="str">
        <f aca="false">IF(H1386="","",IF(K1386&lt;&gt;"",K1386,H1386*IFERROR(INDEX(O_Stok!$Q$6:$Q$85,MATCH(G1386,O_Stok!$A$6:$A$85,0)),0)))</f>
        <v/>
      </c>
      <c r="M1386" s="11" t="str">
        <f aca="false">IF(H1386="","",J1386-L1386)</f>
        <v/>
      </c>
      <c r="N1386" s="34" t="str">
        <f aca="false">IF(G1386="","",IFERROR(INDEX(I_Master!$B$6:$B$85,MATCH(G1386,I_Master!$A$6:$A$85,0)),"?"))</f>
        <v/>
      </c>
      <c r="O1386" s="34" t="str">
        <f aca="false">IF(G1386="","",IFERROR(INDEX(I_Master!$E$6:$E$85,MATCH(G1386,I_Master!$A$6:$A$85,0)),"?"))</f>
        <v/>
      </c>
      <c r="P1386" s="46" t="str">
        <f aca="false">IF(H1386="","",IF(OR(A1386&lt;I_Parameter!$C$5,A1386&gt;I_Parameter!$C$6),0,IF(B1386="Aktual",1,IF(AND(B1386="Order",A1386&gt;=I_Parameter!$C$4),1,0))))</f>
        <v/>
      </c>
    </row>
    <row r="1387" customFormat="false" ht="15" hidden="false" customHeight="false" outlineLevel="0" collapsed="false">
      <c r="A1387" s="37"/>
      <c r="B1387" s="44"/>
      <c r="C1387" s="44"/>
      <c r="D1387" s="44"/>
      <c r="E1387" s="44"/>
      <c r="F1387" s="44"/>
      <c r="G1387" s="34" t="str">
        <f aca="false">IF(F1387&lt;&gt;"",F1387,IF(E1387="","",IFERROR(INDEX(I_Item!$C$6:$C$255,MATCH(E1387,I_Item!$A$6:$A$255,0)),"KODE BARU")))</f>
        <v/>
      </c>
      <c r="H1387" s="45"/>
      <c r="I1387" s="42"/>
      <c r="J1387" s="11" t="str">
        <f aca="false">IF(H1387="","",H1387*I1387)</f>
        <v/>
      </c>
      <c r="K1387" s="42"/>
      <c r="L1387" s="11" t="str">
        <f aca="false">IF(H1387="","",IF(K1387&lt;&gt;"",K1387,H1387*IFERROR(INDEX(O_Stok!$Q$6:$Q$85,MATCH(G1387,O_Stok!$A$6:$A$85,0)),0)))</f>
        <v/>
      </c>
      <c r="M1387" s="11" t="str">
        <f aca="false">IF(H1387="","",J1387-L1387)</f>
        <v/>
      </c>
      <c r="N1387" s="34" t="str">
        <f aca="false">IF(G1387="","",IFERROR(INDEX(I_Master!$B$6:$B$85,MATCH(G1387,I_Master!$A$6:$A$85,0)),"?"))</f>
        <v/>
      </c>
      <c r="O1387" s="34" t="str">
        <f aca="false">IF(G1387="","",IFERROR(INDEX(I_Master!$E$6:$E$85,MATCH(G1387,I_Master!$A$6:$A$85,0)),"?"))</f>
        <v/>
      </c>
      <c r="P1387" s="46" t="str">
        <f aca="false">IF(H1387="","",IF(OR(A1387&lt;I_Parameter!$C$5,A1387&gt;I_Parameter!$C$6),0,IF(B1387="Aktual",1,IF(AND(B1387="Order",A1387&gt;=I_Parameter!$C$4),1,0))))</f>
        <v/>
      </c>
    </row>
    <row r="1388" customFormat="false" ht="15" hidden="false" customHeight="false" outlineLevel="0" collapsed="false">
      <c r="A1388" s="37"/>
      <c r="B1388" s="44"/>
      <c r="C1388" s="44"/>
      <c r="D1388" s="44"/>
      <c r="E1388" s="44"/>
      <c r="F1388" s="44"/>
      <c r="G1388" s="34" t="str">
        <f aca="false">IF(F1388&lt;&gt;"",F1388,IF(E1388="","",IFERROR(INDEX(I_Item!$C$6:$C$255,MATCH(E1388,I_Item!$A$6:$A$255,0)),"KODE BARU")))</f>
        <v/>
      </c>
      <c r="H1388" s="45"/>
      <c r="I1388" s="42"/>
      <c r="J1388" s="11" t="str">
        <f aca="false">IF(H1388="","",H1388*I1388)</f>
        <v/>
      </c>
      <c r="K1388" s="42"/>
      <c r="L1388" s="11" t="str">
        <f aca="false">IF(H1388="","",IF(K1388&lt;&gt;"",K1388,H1388*IFERROR(INDEX(O_Stok!$Q$6:$Q$85,MATCH(G1388,O_Stok!$A$6:$A$85,0)),0)))</f>
        <v/>
      </c>
      <c r="M1388" s="11" t="str">
        <f aca="false">IF(H1388="","",J1388-L1388)</f>
        <v/>
      </c>
      <c r="N1388" s="34" t="str">
        <f aca="false">IF(G1388="","",IFERROR(INDEX(I_Master!$B$6:$B$85,MATCH(G1388,I_Master!$A$6:$A$85,0)),"?"))</f>
        <v/>
      </c>
      <c r="O1388" s="34" t="str">
        <f aca="false">IF(G1388="","",IFERROR(INDEX(I_Master!$E$6:$E$85,MATCH(G1388,I_Master!$A$6:$A$85,0)),"?"))</f>
        <v/>
      </c>
      <c r="P1388" s="46" t="str">
        <f aca="false">IF(H1388="","",IF(OR(A1388&lt;I_Parameter!$C$5,A1388&gt;I_Parameter!$C$6),0,IF(B1388="Aktual",1,IF(AND(B1388="Order",A1388&gt;=I_Parameter!$C$4),1,0))))</f>
        <v/>
      </c>
    </row>
    <row r="1389" customFormat="false" ht="15" hidden="false" customHeight="false" outlineLevel="0" collapsed="false">
      <c r="A1389" s="37"/>
      <c r="B1389" s="44"/>
      <c r="C1389" s="44"/>
      <c r="D1389" s="44"/>
      <c r="E1389" s="44"/>
      <c r="F1389" s="44"/>
      <c r="G1389" s="34" t="str">
        <f aca="false">IF(F1389&lt;&gt;"",F1389,IF(E1389="","",IFERROR(INDEX(I_Item!$C$6:$C$255,MATCH(E1389,I_Item!$A$6:$A$255,0)),"KODE BARU")))</f>
        <v/>
      </c>
      <c r="H1389" s="45"/>
      <c r="I1389" s="42"/>
      <c r="J1389" s="11" t="str">
        <f aca="false">IF(H1389="","",H1389*I1389)</f>
        <v/>
      </c>
      <c r="K1389" s="42"/>
      <c r="L1389" s="11" t="str">
        <f aca="false">IF(H1389="","",IF(K1389&lt;&gt;"",K1389,H1389*IFERROR(INDEX(O_Stok!$Q$6:$Q$85,MATCH(G1389,O_Stok!$A$6:$A$85,0)),0)))</f>
        <v/>
      </c>
      <c r="M1389" s="11" t="str">
        <f aca="false">IF(H1389="","",J1389-L1389)</f>
        <v/>
      </c>
      <c r="N1389" s="34" t="str">
        <f aca="false">IF(G1389="","",IFERROR(INDEX(I_Master!$B$6:$B$85,MATCH(G1389,I_Master!$A$6:$A$85,0)),"?"))</f>
        <v/>
      </c>
      <c r="O1389" s="34" t="str">
        <f aca="false">IF(G1389="","",IFERROR(INDEX(I_Master!$E$6:$E$85,MATCH(G1389,I_Master!$A$6:$A$85,0)),"?"))</f>
        <v/>
      </c>
      <c r="P1389" s="46" t="str">
        <f aca="false">IF(H1389="","",IF(OR(A1389&lt;I_Parameter!$C$5,A1389&gt;I_Parameter!$C$6),0,IF(B1389="Aktual",1,IF(AND(B1389="Order",A1389&gt;=I_Parameter!$C$4),1,0))))</f>
        <v/>
      </c>
    </row>
    <row r="1390" customFormat="false" ht="15" hidden="false" customHeight="false" outlineLevel="0" collapsed="false">
      <c r="A1390" s="37"/>
      <c r="B1390" s="44"/>
      <c r="C1390" s="44"/>
      <c r="D1390" s="44"/>
      <c r="E1390" s="44"/>
      <c r="F1390" s="44"/>
      <c r="G1390" s="34" t="str">
        <f aca="false">IF(F1390&lt;&gt;"",F1390,IF(E1390="","",IFERROR(INDEX(I_Item!$C$6:$C$255,MATCH(E1390,I_Item!$A$6:$A$255,0)),"KODE BARU")))</f>
        <v/>
      </c>
      <c r="H1390" s="45"/>
      <c r="I1390" s="42"/>
      <c r="J1390" s="11" t="str">
        <f aca="false">IF(H1390="","",H1390*I1390)</f>
        <v/>
      </c>
      <c r="K1390" s="42"/>
      <c r="L1390" s="11" t="str">
        <f aca="false">IF(H1390="","",IF(K1390&lt;&gt;"",K1390,H1390*IFERROR(INDEX(O_Stok!$Q$6:$Q$85,MATCH(G1390,O_Stok!$A$6:$A$85,0)),0)))</f>
        <v/>
      </c>
      <c r="M1390" s="11" t="str">
        <f aca="false">IF(H1390="","",J1390-L1390)</f>
        <v/>
      </c>
      <c r="N1390" s="34" t="str">
        <f aca="false">IF(G1390="","",IFERROR(INDEX(I_Master!$B$6:$B$85,MATCH(G1390,I_Master!$A$6:$A$85,0)),"?"))</f>
        <v/>
      </c>
      <c r="O1390" s="34" t="str">
        <f aca="false">IF(G1390="","",IFERROR(INDEX(I_Master!$E$6:$E$85,MATCH(G1390,I_Master!$A$6:$A$85,0)),"?"))</f>
        <v/>
      </c>
      <c r="P1390" s="46" t="str">
        <f aca="false">IF(H1390="","",IF(OR(A1390&lt;I_Parameter!$C$5,A1390&gt;I_Parameter!$C$6),0,IF(B1390="Aktual",1,IF(AND(B1390="Order",A1390&gt;=I_Parameter!$C$4),1,0))))</f>
        <v/>
      </c>
    </row>
    <row r="1391" customFormat="false" ht="15" hidden="false" customHeight="false" outlineLevel="0" collapsed="false">
      <c r="A1391" s="37"/>
      <c r="B1391" s="44"/>
      <c r="C1391" s="44"/>
      <c r="D1391" s="44"/>
      <c r="E1391" s="44"/>
      <c r="F1391" s="44"/>
      <c r="G1391" s="34" t="str">
        <f aca="false">IF(F1391&lt;&gt;"",F1391,IF(E1391="","",IFERROR(INDEX(I_Item!$C$6:$C$255,MATCH(E1391,I_Item!$A$6:$A$255,0)),"KODE BARU")))</f>
        <v/>
      </c>
      <c r="H1391" s="45"/>
      <c r="I1391" s="42"/>
      <c r="J1391" s="11" t="str">
        <f aca="false">IF(H1391="","",H1391*I1391)</f>
        <v/>
      </c>
      <c r="K1391" s="42"/>
      <c r="L1391" s="11" t="str">
        <f aca="false">IF(H1391="","",IF(K1391&lt;&gt;"",K1391,H1391*IFERROR(INDEX(O_Stok!$Q$6:$Q$85,MATCH(G1391,O_Stok!$A$6:$A$85,0)),0)))</f>
        <v/>
      </c>
      <c r="M1391" s="11" t="str">
        <f aca="false">IF(H1391="","",J1391-L1391)</f>
        <v/>
      </c>
      <c r="N1391" s="34" t="str">
        <f aca="false">IF(G1391="","",IFERROR(INDEX(I_Master!$B$6:$B$85,MATCH(G1391,I_Master!$A$6:$A$85,0)),"?"))</f>
        <v/>
      </c>
      <c r="O1391" s="34" t="str">
        <f aca="false">IF(G1391="","",IFERROR(INDEX(I_Master!$E$6:$E$85,MATCH(G1391,I_Master!$A$6:$A$85,0)),"?"))</f>
        <v/>
      </c>
      <c r="P1391" s="46" t="str">
        <f aca="false">IF(H1391="","",IF(OR(A1391&lt;I_Parameter!$C$5,A1391&gt;I_Parameter!$C$6),0,IF(B1391="Aktual",1,IF(AND(B1391="Order",A1391&gt;=I_Parameter!$C$4),1,0))))</f>
        <v/>
      </c>
    </row>
    <row r="1392" customFormat="false" ht="15" hidden="false" customHeight="false" outlineLevel="0" collapsed="false">
      <c r="A1392" s="37"/>
      <c r="B1392" s="44"/>
      <c r="C1392" s="44"/>
      <c r="D1392" s="44"/>
      <c r="E1392" s="44"/>
      <c r="F1392" s="44"/>
      <c r="G1392" s="34" t="str">
        <f aca="false">IF(F1392&lt;&gt;"",F1392,IF(E1392="","",IFERROR(INDEX(I_Item!$C$6:$C$255,MATCH(E1392,I_Item!$A$6:$A$255,0)),"KODE BARU")))</f>
        <v/>
      </c>
      <c r="H1392" s="45"/>
      <c r="I1392" s="42"/>
      <c r="J1392" s="11" t="str">
        <f aca="false">IF(H1392="","",H1392*I1392)</f>
        <v/>
      </c>
      <c r="K1392" s="42"/>
      <c r="L1392" s="11" t="str">
        <f aca="false">IF(H1392="","",IF(K1392&lt;&gt;"",K1392,H1392*IFERROR(INDEX(O_Stok!$Q$6:$Q$85,MATCH(G1392,O_Stok!$A$6:$A$85,0)),0)))</f>
        <v/>
      </c>
      <c r="M1392" s="11" t="str">
        <f aca="false">IF(H1392="","",J1392-L1392)</f>
        <v/>
      </c>
      <c r="N1392" s="34" t="str">
        <f aca="false">IF(G1392="","",IFERROR(INDEX(I_Master!$B$6:$B$85,MATCH(G1392,I_Master!$A$6:$A$85,0)),"?"))</f>
        <v/>
      </c>
      <c r="O1392" s="34" t="str">
        <f aca="false">IF(G1392="","",IFERROR(INDEX(I_Master!$E$6:$E$85,MATCH(G1392,I_Master!$A$6:$A$85,0)),"?"))</f>
        <v/>
      </c>
      <c r="P1392" s="46" t="str">
        <f aca="false">IF(H1392="","",IF(OR(A1392&lt;I_Parameter!$C$5,A1392&gt;I_Parameter!$C$6),0,IF(B1392="Aktual",1,IF(AND(B1392="Order",A1392&gt;=I_Parameter!$C$4),1,0))))</f>
        <v/>
      </c>
    </row>
    <row r="1393" customFormat="false" ht="15" hidden="false" customHeight="false" outlineLevel="0" collapsed="false">
      <c r="A1393" s="37"/>
      <c r="B1393" s="44"/>
      <c r="C1393" s="44"/>
      <c r="D1393" s="44"/>
      <c r="E1393" s="44"/>
      <c r="F1393" s="44"/>
      <c r="G1393" s="34" t="str">
        <f aca="false">IF(F1393&lt;&gt;"",F1393,IF(E1393="","",IFERROR(INDEX(I_Item!$C$6:$C$255,MATCH(E1393,I_Item!$A$6:$A$255,0)),"KODE BARU")))</f>
        <v/>
      </c>
      <c r="H1393" s="45"/>
      <c r="I1393" s="42"/>
      <c r="J1393" s="11" t="str">
        <f aca="false">IF(H1393="","",H1393*I1393)</f>
        <v/>
      </c>
      <c r="K1393" s="42"/>
      <c r="L1393" s="11" t="str">
        <f aca="false">IF(H1393="","",IF(K1393&lt;&gt;"",K1393,H1393*IFERROR(INDEX(O_Stok!$Q$6:$Q$85,MATCH(G1393,O_Stok!$A$6:$A$85,0)),0)))</f>
        <v/>
      </c>
      <c r="M1393" s="11" t="str">
        <f aca="false">IF(H1393="","",J1393-L1393)</f>
        <v/>
      </c>
      <c r="N1393" s="34" t="str">
        <f aca="false">IF(G1393="","",IFERROR(INDEX(I_Master!$B$6:$B$85,MATCH(G1393,I_Master!$A$6:$A$85,0)),"?"))</f>
        <v/>
      </c>
      <c r="O1393" s="34" t="str">
        <f aca="false">IF(G1393="","",IFERROR(INDEX(I_Master!$E$6:$E$85,MATCH(G1393,I_Master!$A$6:$A$85,0)),"?"))</f>
        <v/>
      </c>
      <c r="P1393" s="46" t="str">
        <f aca="false">IF(H1393="","",IF(OR(A1393&lt;I_Parameter!$C$5,A1393&gt;I_Parameter!$C$6),0,IF(B1393="Aktual",1,IF(AND(B1393="Order",A1393&gt;=I_Parameter!$C$4),1,0))))</f>
        <v/>
      </c>
    </row>
    <row r="1394" customFormat="false" ht="15" hidden="false" customHeight="false" outlineLevel="0" collapsed="false">
      <c r="A1394" s="37"/>
      <c r="B1394" s="44"/>
      <c r="C1394" s="44"/>
      <c r="D1394" s="44"/>
      <c r="E1394" s="44"/>
      <c r="F1394" s="44"/>
      <c r="G1394" s="34" t="str">
        <f aca="false">IF(F1394&lt;&gt;"",F1394,IF(E1394="","",IFERROR(INDEX(I_Item!$C$6:$C$255,MATCH(E1394,I_Item!$A$6:$A$255,0)),"KODE BARU")))</f>
        <v/>
      </c>
      <c r="H1394" s="45"/>
      <c r="I1394" s="42"/>
      <c r="J1394" s="11" t="str">
        <f aca="false">IF(H1394="","",H1394*I1394)</f>
        <v/>
      </c>
      <c r="K1394" s="42"/>
      <c r="L1394" s="11" t="str">
        <f aca="false">IF(H1394="","",IF(K1394&lt;&gt;"",K1394,H1394*IFERROR(INDEX(O_Stok!$Q$6:$Q$85,MATCH(G1394,O_Stok!$A$6:$A$85,0)),0)))</f>
        <v/>
      </c>
      <c r="M1394" s="11" t="str">
        <f aca="false">IF(H1394="","",J1394-L1394)</f>
        <v/>
      </c>
      <c r="N1394" s="34" t="str">
        <f aca="false">IF(G1394="","",IFERROR(INDEX(I_Master!$B$6:$B$85,MATCH(G1394,I_Master!$A$6:$A$85,0)),"?"))</f>
        <v/>
      </c>
      <c r="O1394" s="34" t="str">
        <f aca="false">IF(G1394="","",IFERROR(INDEX(I_Master!$E$6:$E$85,MATCH(G1394,I_Master!$A$6:$A$85,0)),"?"))</f>
        <v/>
      </c>
      <c r="P1394" s="46" t="str">
        <f aca="false">IF(H1394="","",IF(OR(A1394&lt;I_Parameter!$C$5,A1394&gt;I_Parameter!$C$6),0,IF(B1394="Aktual",1,IF(AND(B1394="Order",A1394&gt;=I_Parameter!$C$4),1,0))))</f>
        <v/>
      </c>
    </row>
    <row r="1395" customFormat="false" ht="15" hidden="false" customHeight="false" outlineLevel="0" collapsed="false">
      <c r="A1395" s="37"/>
      <c r="B1395" s="44"/>
      <c r="C1395" s="44"/>
      <c r="D1395" s="44"/>
      <c r="E1395" s="44"/>
      <c r="F1395" s="44"/>
      <c r="G1395" s="34" t="str">
        <f aca="false">IF(F1395&lt;&gt;"",F1395,IF(E1395="","",IFERROR(INDEX(I_Item!$C$6:$C$255,MATCH(E1395,I_Item!$A$6:$A$255,0)),"KODE BARU")))</f>
        <v/>
      </c>
      <c r="H1395" s="45"/>
      <c r="I1395" s="42"/>
      <c r="J1395" s="11" t="str">
        <f aca="false">IF(H1395="","",H1395*I1395)</f>
        <v/>
      </c>
      <c r="K1395" s="42"/>
      <c r="L1395" s="11" t="str">
        <f aca="false">IF(H1395="","",IF(K1395&lt;&gt;"",K1395,H1395*IFERROR(INDEX(O_Stok!$Q$6:$Q$85,MATCH(G1395,O_Stok!$A$6:$A$85,0)),0)))</f>
        <v/>
      </c>
      <c r="M1395" s="11" t="str">
        <f aca="false">IF(H1395="","",J1395-L1395)</f>
        <v/>
      </c>
      <c r="N1395" s="34" t="str">
        <f aca="false">IF(G1395="","",IFERROR(INDEX(I_Master!$B$6:$B$85,MATCH(G1395,I_Master!$A$6:$A$85,0)),"?"))</f>
        <v/>
      </c>
      <c r="O1395" s="34" t="str">
        <f aca="false">IF(G1395="","",IFERROR(INDEX(I_Master!$E$6:$E$85,MATCH(G1395,I_Master!$A$6:$A$85,0)),"?"))</f>
        <v/>
      </c>
      <c r="P1395" s="46" t="str">
        <f aca="false">IF(H1395="","",IF(OR(A1395&lt;I_Parameter!$C$5,A1395&gt;I_Parameter!$C$6),0,IF(B1395="Aktual",1,IF(AND(B1395="Order",A1395&gt;=I_Parameter!$C$4),1,0))))</f>
        <v/>
      </c>
    </row>
    <row r="1396" customFormat="false" ht="15" hidden="false" customHeight="false" outlineLevel="0" collapsed="false">
      <c r="A1396" s="37"/>
      <c r="B1396" s="44"/>
      <c r="C1396" s="44"/>
      <c r="D1396" s="44"/>
      <c r="E1396" s="44"/>
      <c r="F1396" s="44"/>
      <c r="G1396" s="34" t="str">
        <f aca="false">IF(F1396&lt;&gt;"",F1396,IF(E1396="","",IFERROR(INDEX(I_Item!$C$6:$C$255,MATCH(E1396,I_Item!$A$6:$A$255,0)),"KODE BARU")))</f>
        <v/>
      </c>
      <c r="H1396" s="45"/>
      <c r="I1396" s="42"/>
      <c r="J1396" s="11" t="str">
        <f aca="false">IF(H1396="","",H1396*I1396)</f>
        <v/>
      </c>
      <c r="K1396" s="42"/>
      <c r="L1396" s="11" t="str">
        <f aca="false">IF(H1396="","",IF(K1396&lt;&gt;"",K1396,H1396*IFERROR(INDEX(O_Stok!$Q$6:$Q$85,MATCH(G1396,O_Stok!$A$6:$A$85,0)),0)))</f>
        <v/>
      </c>
      <c r="M1396" s="11" t="str">
        <f aca="false">IF(H1396="","",J1396-L1396)</f>
        <v/>
      </c>
      <c r="N1396" s="34" t="str">
        <f aca="false">IF(G1396="","",IFERROR(INDEX(I_Master!$B$6:$B$85,MATCH(G1396,I_Master!$A$6:$A$85,0)),"?"))</f>
        <v/>
      </c>
      <c r="O1396" s="34" t="str">
        <f aca="false">IF(G1396="","",IFERROR(INDEX(I_Master!$E$6:$E$85,MATCH(G1396,I_Master!$A$6:$A$85,0)),"?"))</f>
        <v/>
      </c>
      <c r="P1396" s="46" t="str">
        <f aca="false">IF(H1396="","",IF(OR(A1396&lt;I_Parameter!$C$5,A1396&gt;I_Parameter!$C$6),0,IF(B1396="Aktual",1,IF(AND(B1396="Order",A1396&gt;=I_Parameter!$C$4),1,0))))</f>
        <v/>
      </c>
    </row>
    <row r="1397" customFormat="false" ht="15" hidden="false" customHeight="false" outlineLevel="0" collapsed="false">
      <c r="A1397" s="37"/>
      <c r="B1397" s="44"/>
      <c r="C1397" s="44"/>
      <c r="D1397" s="44"/>
      <c r="E1397" s="44"/>
      <c r="F1397" s="44"/>
      <c r="G1397" s="34" t="str">
        <f aca="false">IF(F1397&lt;&gt;"",F1397,IF(E1397="","",IFERROR(INDEX(I_Item!$C$6:$C$255,MATCH(E1397,I_Item!$A$6:$A$255,0)),"KODE BARU")))</f>
        <v/>
      </c>
      <c r="H1397" s="45"/>
      <c r="I1397" s="42"/>
      <c r="J1397" s="11" t="str">
        <f aca="false">IF(H1397="","",H1397*I1397)</f>
        <v/>
      </c>
      <c r="K1397" s="42"/>
      <c r="L1397" s="11" t="str">
        <f aca="false">IF(H1397="","",IF(K1397&lt;&gt;"",K1397,H1397*IFERROR(INDEX(O_Stok!$Q$6:$Q$85,MATCH(G1397,O_Stok!$A$6:$A$85,0)),0)))</f>
        <v/>
      </c>
      <c r="M1397" s="11" t="str">
        <f aca="false">IF(H1397="","",J1397-L1397)</f>
        <v/>
      </c>
      <c r="N1397" s="34" t="str">
        <f aca="false">IF(G1397="","",IFERROR(INDEX(I_Master!$B$6:$B$85,MATCH(G1397,I_Master!$A$6:$A$85,0)),"?"))</f>
        <v/>
      </c>
      <c r="O1397" s="34" t="str">
        <f aca="false">IF(G1397="","",IFERROR(INDEX(I_Master!$E$6:$E$85,MATCH(G1397,I_Master!$A$6:$A$85,0)),"?"))</f>
        <v/>
      </c>
      <c r="P1397" s="46" t="str">
        <f aca="false">IF(H1397="","",IF(OR(A1397&lt;I_Parameter!$C$5,A1397&gt;I_Parameter!$C$6),0,IF(B1397="Aktual",1,IF(AND(B1397="Order",A1397&gt;=I_Parameter!$C$4),1,0))))</f>
        <v/>
      </c>
    </row>
    <row r="1398" customFormat="false" ht="15" hidden="false" customHeight="false" outlineLevel="0" collapsed="false">
      <c r="A1398" s="37"/>
      <c r="B1398" s="44"/>
      <c r="C1398" s="44"/>
      <c r="D1398" s="44"/>
      <c r="E1398" s="44"/>
      <c r="F1398" s="44"/>
      <c r="G1398" s="34" t="str">
        <f aca="false">IF(F1398&lt;&gt;"",F1398,IF(E1398="","",IFERROR(INDEX(I_Item!$C$6:$C$255,MATCH(E1398,I_Item!$A$6:$A$255,0)),"KODE BARU")))</f>
        <v/>
      </c>
      <c r="H1398" s="45"/>
      <c r="I1398" s="42"/>
      <c r="J1398" s="11" t="str">
        <f aca="false">IF(H1398="","",H1398*I1398)</f>
        <v/>
      </c>
      <c r="K1398" s="42"/>
      <c r="L1398" s="11" t="str">
        <f aca="false">IF(H1398="","",IF(K1398&lt;&gt;"",K1398,H1398*IFERROR(INDEX(O_Stok!$Q$6:$Q$85,MATCH(G1398,O_Stok!$A$6:$A$85,0)),0)))</f>
        <v/>
      </c>
      <c r="M1398" s="11" t="str">
        <f aca="false">IF(H1398="","",J1398-L1398)</f>
        <v/>
      </c>
      <c r="N1398" s="34" t="str">
        <f aca="false">IF(G1398="","",IFERROR(INDEX(I_Master!$B$6:$B$85,MATCH(G1398,I_Master!$A$6:$A$85,0)),"?"))</f>
        <v/>
      </c>
      <c r="O1398" s="34" t="str">
        <f aca="false">IF(G1398="","",IFERROR(INDEX(I_Master!$E$6:$E$85,MATCH(G1398,I_Master!$A$6:$A$85,0)),"?"))</f>
        <v/>
      </c>
      <c r="P1398" s="46" t="str">
        <f aca="false">IF(H1398="","",IF(OR(A1398&lt;I_Parameter!$C$5,A1398&gt;I_Parameter!$C$6),0,IF(B1398="Aktual",1,IF(AND(B1398="Order",A1398&gt;=I_Parameter!$C$4),1,0))))</f>
        <v/>
      </c>
    </row>
    <row r="1399" customFormat="false" ht="15" hidden="false" customHeight="false" outlineLevel="0" collapsed="false">
      <c r="A1399" s="37"/>
      <c r="B1399" s="44"/>
      <c r="C1399" s="44"/>
      <c r="D1399" s="44"/>
      <c r="E1399" s="44"/>
      <c r="F1399" s="44"/>
      <c r="G1399" s="34" t="str">
        <f aca="false">IF(F1399&lt;&gt;"",F1399,IF(E1399="","",IFERROR(INDEX(I_Item!$C$6:$C$255,MATCH(E1399,I_Item!$A$6:$A$255,0)),"KODE BARU")))</f>
        <v/>
      </c>
      <c r="H1399" s="45"/>
      <c r="I1399" s="42"/>
      <c r="J1399" s="11" t="str">
        <f aca="false">IF(H1399="","",H1399*I1399)</f>
        <v/>
      </c>
      <c r="K1399" s="42"/>
      <c r="L1399" s="11" t="str">
        <f aca="false">IF(H1399="","",IF(K1399&lt;&gt;"",K1399,H1399*IFERROR(INDEX(O_Stok!$Q$6:$Q$85,MATCH(G1399,O_Stok!$A$6:$A$85,0)),0)))</f>
        <v/>
      </c>
      <c r="M1399" s="11" t="str">
        <f aca="false">IF(H1399="","",J1399-L1399)</f>
        <v/>
      </c>
      <c r="N1399" s="34" t="str">
        <f aca="false">IF(G1399="","",IFERROR(INDEX(I_Master!$B$6:$B$85,MATCH(G1399,I_Master!$A$6:$A$85,0)),"?"))</f>
        <v/>
      </c>
      <c r="O1399" s="34" t="str">
        <f aca="false">IF(G1399="","",IFERROR(INDEX(I_Master!$E$6:$E$85,MATCH(G1399,I_Master!$A$6:$A$85,0)),"?"))</f>
        <v/>
      </c>
      <c r="P1399" s="46" t="str">
        <f aca="false">IF(H1399="","",IF(OR(A1399&lt;I_Parameter!$C$5,A1399&gt;I_Parameter!$C$6),0,IF(B1399="Aktual",1,IF(AND(B1399="Order",A1399&gt;=I_Parameter!$C$4),1,0))))</f>
        <v/>
      </c>
    </row>
    <row r="1400" customFormat="false" ht="15" hidden="false" customHeight="false" outlineLevel="0" collapsed="false">
      <c r="A1400" s="37"/>
      <c r="B1400" s="44"/>
      <c r="C1400" s="44"/>
      <c r="D1400" s="44"/>
      <c r="E1400" s="44"/>
      <c r="F1400" s="44"/>
      <c r="G1400" s="34" t="str">
        <f aca="false">IF(F1400&lt;&gt;"",F1400,IF(E1400="","",IFERROR(INDEX(I_Item!$C$6:$C$255,MATCH(E1400,I_Item!$A$6:$A$255,0)),"KODE BARU")))</f>
        <v/>
      </c>
      <c r="H1400" s="45"/>
      <c r="I1400" s="42"/>
      <c r="J1400" s="11" t="str">
        <f aca="false">IF(H1400="","",H1400*I1400)</f>
        <v/>
      </c>
      <c r="K1400" s="42"/>
      <c r="L1400" s="11" t="str">
        <f aca="false">IF(H1400="","",IF(K1400&lt;&gt;"",K1400,H1400*IFERROR(INDEX(O_Stok!$Q$6:$Q$85,MATCH(G1400,O_Stok!$A$6:$A$85,0)),0)))</f>
        <v/>
      </c>
      <c r="M1400" s="11" t="str">
        <f aca="false">IF(H1400="","",J1400-L1400)</f>
        <v/>
      </c>
      <c r="N1400" s="34" t="str">
        <f aca="false">IF(G1400="","",IFERROR(INDEX(I_Master!$B$6:$B$85,MATCH(G1400,I_Master!$A$6:$A$85,0)),"?"))</f>
        <v/>
      </c>
      <c r="O1400" s="34" t="str">
        <f aca="false">IF(G1400="","",IFERROR(INDEX(I_Master!$E$6:$E$85,MATCH(G1400,I_Master!$A$6:$A$85,0)),"?"))</f>
        <v/>
      </c>
      <c r="P1400" s="46" t="str">
        <f aca="false">IF(H1400="","",IF(OR(A1400&lt;I_Parameter!$C$5,A1400&gt;I_Parameter!$C$6),0,IF(B1400="Aktual",1,IF(AND(B1400="Order",A1400&gt;=I_Parameter!$C$4),1,0))))</f>
        <v/>
      </c>
    </row>
    <row r="1401" customFormat="false" ht="15" hidden="false" customHeight="false" outlineLevel="0" collapsed="false">
      <c r="A1401" s="37"/>
      <c r="B1401" s="44"/>
      <c r="C1401" s="44"/>
      <c r="D1401" s="44"/>
      <c r="E1401" s="44"/>
      <c r="F1401" s="44"/>
      <c r="G1401" s="34" t="str">
        <f aca="false">IF(F1401&lt;&gt;"",F1401,IF(E1401="","",IFERROR(INDEX(I_Item!$C$6:$C$255,MATCH(E1401,I_Item!$A$6:$A$255,0)),"KODE BARU")))</f>
        <v/>
      </c>
      <c r="H1401" s="45"/>
      <c r="I1401" s="42"/>
      <c r="J1401" s="11" t="str">
        <f aca="false">IF(H1401="","",H1401*I1401)</f>
        <v/>
      </c>
      <c r="K1401" s="42"/>
      <c r="L1401" s="11" t="str">
        <f aca="false">IF(H1401="","",IF(K1401&lt;&gt;"",K1401,H1401*IFERROR(INDEX(O_Stok!$Q$6:$Q$85,MATCH(G1401,O_Stok!$A$6:$A$85,0)),0)))</f>
        <v/>
      </c>
      <c r="M1401" s="11" t="str">
        <f aca="false">IF(H1401="","",J1401-L1401)</f>
        <v/>
      </c>
      <c r="N1401" s="34" t="str">
        <f aca="false">IF(G1401="","",IFERROR(INDEX(I_Master!$B$6:$B$85,MATCH(G1401,I_Master!$A$6:$A$85,0)),"?"))</f>
        <v/>
      </c>
      <c r="O1401" s="34" t="str">
        <f aca="false">IF(G1401="","",IFERROR(INDEX(I_Master!$E$6:$E$85,MATCH(G1401,I_Master!$A$6:$A$85,0)),"?"))</f>
        <v/>
      </c>
      <c r="P1401" s="46" t="str">
        <f aca="false">IF(H1401="","",IF(OR(A1401&lt;I_Parameter!$C$5,A1401&gt;I_Parameter!$C$6),0,IF(B1401="Aktual",1,IF(AND(B1401="Order",A1401&gt;=I_Parameter!$C$4),1,0))))</f>
        <v/>
      </c>
    </row>
    <row r="1402" customFormat="false" ht="15" hidden="false" customHeight="false" outlineLevel="0" collapsed="false">
      <c r="A1402" s="37"/>
      <c r="B1402" s="44"/>
      <c r="C1402" s="44"/>
      <c r="D1402" s="44"/>
      <c r="E1402" s="44"/>
      <c r="F1402" s="44"/>
      <c r="G1402" s="34" t="str">
        <f aca="false">IF(F1402&lt;&gt;"",F1402,IF(E1402="","",IFERROR(INDEX(I_Item!$C$6:$C$255,MATCH(E1402,I_Item!$A$6:$A$255,0)),"KODE BARU")))</f>
        <v/>
      </c>
      <c r="H1402" s="45"/>
      <c r="I1402" s="42"/>
      <c r="J1402" s="11" t="str">
        <f aca="false">IF(H1402="","",H1402*I1402)</f>
        <v/>
      </c>
      <c r="K1402" s="42"/>
      <c r="L1402" s="11" t="str">
        <f aca="false">IF(H1402="","",IF(K1402&lt;&gt;"",K1402,H1402*IFERROR(INDEX(O_Stok!$Q$6:$Q$85,MATCH(G1402,O_Stok!$A$6:$A$85,0)),0)))</f>
        <v/>
      </c>
      <c r="M1402" s="11" t="str">
        <f aca="false">IF(H1402="","",J1402-L1402)</f>
        <v/>
      </c>
      <c r="N1402" s="34" t="str">
        <f aca="false">IF(G1402="","",IFERROR(INDEX(I_Master!$B$6:$B$85,MATCH(G1402,I_Master!$A$6:$A$85,0)),"?"))</f>
        <v/>
      </c>
      <c r="O1402" s="34" t="str">
        <f aca="false">IF(G1402="","",IFERROR(INDEX(I_Master!$E$6:$E$85,MATCH(G1402,I_Master!$A$6:$A$85,0)),"?"))</f>
        <v/>
      </c>
      <c r="P1402" s="46" t="str">
        <f aca="false">IF(H1402="","",IF(OR(A1402&lt;I_Parameter!$C$5,A1402&gt;I_Parameter!$C$6),0,IF(B1402="Aktual",1,IF(AND(B1402="Order",A1402&gt;=I_Parameter!$C$4),1,0))))</f>
        <v/>
      </c>
    </row>
    <row r="1403" customFormat="false" ht="15" hidden="false" customHeight="false" outlineLevel="0" collapsed="false">
      <c r="A1403" s="37"/>
      <c r="B1403" s="44"/>
      <c r="C1403" s="44"/>
      <c r="D1403" s="44"/>
      <c r="E1403" s="44"/>
      <c r="F1403" s="44"/>
      <c r="G1403" s="34" t="str">
        <f aca="false">IF(F1403&lt;&gt;"",F1403,IF(E1403="","",IFERROR(INDEX(I_Item!$C$6:$C$255,MATCH(E1403,I_Item!$A$6:$A$255,0)),"KODE BARU")))</f>
        <v/>
      </c>
      <c r="H1403" s="45"/>
      <c r="I1403" s="42"/>
      <c r="J1403" s="11" t="str">
        <f aca="false">IF(H1403="","",H1403*I1403)</f>
        <v/>
      </c>
      <c r="K1403" s="42"/>
      <c r="L1403" s="11" t="str">
        <f aca="false">IF(H1403="","",IF(K1403&lt;&gt;"",K1403,H1403*IFERROR(INDEX(O_Stok!$Q$6:$Q$85,MATCH(G1403,O_Stok!$A$6:$A$85,0)),0)))</f>
        <v/>
      </c>
      <c r="M1403" s="11" t="str">
        <f aca="false">IF(H1403="","",J1403-L1403)</f>
        <v/>
      </c>
      <c r="N1403" s="34" t="str">
        <f aca="false">IF(G1403="","",IFERROR(INDEX(I_Master!$B$6:$B$85,MATCH(G1403,I_Master!$A$6:$A$85,0)),"?"))</f>
        <v/>
      </c>
      <c r="O1403" s="34" t="str">
        <f aca="false">IF(G1403="","",IFERROR(INDEX(I_Master!$E$6:$E$85,MATCH(G1403,I_Master!$A$6:$A$85,0)),"?"))</f>
        <v/>
      </c>
      <c r="P1403" s="46" t="str">
        <f aca="false">IF(H1403="","",IF(OR(A1403&lt;I_Parameter!$C$5,A1403&gt;I_Parameter!$C$6),0,IF(B1403="Aktual",1,IF(AND(B1403="Order",A1403&gt;=I_Parameter!$C$4),1,0))))</f>
        <v/>
      </c>
    </row>
    <row r="1404" customFormat="false" ht="15" hidden="false" customHeight="false" outlineLevel="0" collapsed="false">
      <c r="A1404" s="37"/>
      <c r="B1404" s="44"/>
      <c r="C1404" s="44"/>
      <c r="D1404" s="44"/>
      <c r="E1404" s="44"/>
      <c r="F1404" s="44"/>
      <c r="G1404" s="34" t="str">
        <f aca="false">IF(F1404&lt;&gt;"",F1404,IF(E1404="","",IFERROR(INDEX(I_Item!$C$6:$C$255,MATCH(E1404,I_Item!$A$6:$A$255,0)),"KODE BARU")))</f>
        <v/>
      </c>
      <c r="H1404" s="45"/>
      <c r="I1404" s="42"/>
      <c r="J1404" s="11" t="str">
        <f aca="false">IF(H1404="","",H1404*I1404)</f>
        <v/>
      </c>
      <c r="K1404" s="42"/>
      <c r="L1404" s="11" t="str">
        <f aca="false">IF(H1404="","",IF(K1404&lt;&gt;"",K1404,H1404*IFERROR(INDEX(O_Stok!$Q$6:$Q$85,MATCH(G1404,O_Stok!$A$6:$A$85,0)),0)))</f>
        <v/>
      </c>
      <c r="M1404" s="11" t="str">
        <f aca="false">IF(H1404="","",J1404-L1404)</f>
        <v/>
      </c>
      <c r="N1404" s="34" t="str">
        <f aca="false">IF(G1404="","",IFERROR(INDEX(I_Master!$B$6:$B$85,MATCH(G1404,I_Master!$A$6:$A$85,0)),"?"))</f>
        <v/>
      </c>
      <c r="O1404" s="34" t="str">
        <f aca="false">IF(G1404="","",IFERROR(INDEX(I_Master!$E$6:$E$85,MATCH(G1404,I_Master!$A$6:$A$85,0)),"?"))</f>
        <v/>
      </c>
      <c r="P1404" s="46" t="str">
        <f aca="false">IF(H1404="","",IF(OR(A1404&lt;I_Parameter!$C$5,A1404&gt;I_Parameter!$C$6),0,IF(B1404="Aktual",1,IF(AND(B1404="Order",A1404&gt;=I_Parameter!$C$4),1,0))))</f>
        <v/>
      </c>
    </row>
    <row r="1405" customFormat="false" ht="15" hidden="false" customHeight="false" outlineLevel="0" collapsed="false">
      <c r="A1405" s="37"/>
      <c r="B1405" s="44"/>
      <c r="C1405" s="44"/>
      <c r="D1405" s="44"/>
      <c r="E1405" s="44"/>
      <c r="F1405" s="44"/>
      <c r="G1405" s="34" t="str">
        <f aca="false">IF(F1405&lt;&gt;"",F1405,IF(E1405="","",IFERROR(INDEX(I_Item!$C$6:$C$255,MATCH(E1405,I_Item!$A$6:$A$255,0)),"KODE BARU")))</f>
        <v/>
      </c>
      <c r="H1405" s="45"/>
      <c r="I1405" s="42"/>
      <c r="J1405" s="11" t="str">
        <f aca="false">IF(H1405="","",H1405*I1405)</f>
        <v/>
      </c>
      <c r="K1405" s="42"/>
      <c r="L1405" s="11" t="str">
        <f aca="false">IF(H1405="","",IF(K1405&lt;&gt;"",K1405,H1405*IFERROR(INDEX(O_Stok!$Q$6:$Q$85,MATCH(G1405,O_Stok!$A$6:$A$85,0)),0)))</f>
        <v/>
      </c>
      <c r="M1405" s="11" t="str">
        <f aca="false">IF(H1405="","",J1405-L1405)</f>
        <v/>
      </c>
      <c r="N1405" s="34" t="str">
        <f aca="false">IF(G1405="","",IFERROR(INDEX(I_Master!$B$6:$B$85,MATCH(G1405,I_Master!$A$6:$A$85,0)),"?"))</f>
        <v/>
      </c>
      <c r="O1405" s="34" t="str">
        <f aca="false">IF(G1405="","",IFERROR(INDEX(I_Master!$E$6:$E$85,MATCH(G1405,I_Master!$A$6:$A$85,0)),"?"))</f>
        <v/>
      </c>
      <c r="P1405" s="46" t="str">
        <f aca="false">IF(H1405="","",IF(OR(A1405&lt;I_Parameter!$C$5,A1405&gt;I_Parameter!$C$6),0,IF(B1405="Aktual",1,IF(AND(B1405="Order",A1405&gt;=I_Parameter!$C$4),1,0))))</f>
        <v/>
      </c>
    </row>
    <row r="1406" customFormat="false" ht="15" hidden="false" customHeight="false" outlineLevel="0" collapsed="false">
      <c r="A1406" s="37"/>
      <c r="B1406" s="44"/>
      <c r="C1406" s="44"/>
      <c r="D1406" s="44"/>
      <c r="E1406" s="44"/>
      <c r="F1406" s="44"/>
      <c r="G1406" s="34" t="str">
        <f aca="false">IF(F1406&lt;&gt;"",F1406,IF(E1406="","",IFERROR(INDEX(I_Item!$C$6:$C$255,MATCH(E1406,I_Item!$A$6:$A$255,0)),"KODE BARU")))</f>
        <v/>
      </c>
      <c r="H1406" s="45"/>
      <c r="I1406" s="42"/>
      <c r="J1406" s="11" t="str">
        <f aca="false">IF(H1406="","",H1406*I1406)</f>
        <v/>
      </c>
      <c r="K1406" s="42"/>
      <c r="L1406" s="11" t="str">
        <f aca="false">IF(H1406="","",IF(K1406&lt;&gt;"",K1406,H1406*IFERROR(INDEX(O_Stok!$Q$6:$Q$85,MATCH(G1406,O_Stok!$A$6:$A$85,0)),0)))</f>
        <v/>
      </c>
      <c r="M1406" s="11" t="str">
        <f aca="false">IF(H1406="","",J1406-L1406)</f>
        <v/>
      </c>
      <c r="N1406" s="34" t="str">
        <f aca="false">IF(G1406="","",IFERROR(INDEX(I_Master!$B$6:$B$85,MATCH(G1406,I_Master!$A$6:$A$85,0)),"?"))</f>
        <v/>
      </c>
      <c r="O1406" s="34" t="str">
        <f aca="false">IF(G1406="","",IFERROR(INDEX(I_Master!$E$6:$E$85,MATCH(G1406,I_Master!$A$6:$A$85,0)),"?"))</f>
        <v/>
      </c>
      <c r="P1406" s="46" t="str">
        <f aca="false">IF(H1406="","",IF(OR(A1406&lt;I_Parameter!$C$5,A1406&gt;I_Parameter!$C$6),0,IF(B1406="Aktual",1,IF(AND(B1406="Order",A1406&gt;=I_Parameter!$C$4),1,0))))</f>
        <v/>
      </c>
    </row>
    <row r="1407" customFormat="false" ht="15" hidden="false" customHeight="false" outlineLevel="0" collapsed="false">
      <c r="A1407" s="37"/>
      <c r="B1407" s="44"/>
      <c r="C1407" s="44"/>
      <c r="D1407" s="44"/>
      <c r="E1407" s="44"/>
      <c r="F1407" s="44"/>
      <c r="G1407" s="34" t="str">
        <f aca="false">IF(F1407&lt;&gt;"",F1407,IF(E1407="","",IFERROR(INDEX(I_Item!$C$6:$C$255,MATCH(E1407,I_Item!$A$6:$A$255,0)),"KODE BARU")))</f>
        <v/>
      </c>
      <c r="H1407" s="45"/>
      <c r="I1407" s="42"/>
      <c r="J1407" s="11" t="str">
        <f aca="false">IF(H1407="","",H1407*I1407)</f>
        <v/>
      </c>
      <c r="K1407" s="42"/>
      <c r="L1407" s="11" t="str">
        <f aca="false">IF(H1407="","",IF(K1407&lt;&gt;"",K1407,H1407*IFERROR(INDEX(O_Stok!$Q$6:$Q$85,MATCH(G1407,O_Stok!$A$6:$A$85,0)),0)))</f>
        <v/>
      </c>
      <c r="M1407" s="11" t="str">
        <f aca="false">IF(H1407="","",J1407-L1407)</f>
        <v/>
      </c>
      <c r="N1407" s="34" t="str">
        <f aca="false">IF(G1407="","",IFERROR(INDEX(I_Master!$B$6:$B$85,MATCH(G1407,I_Master!$A$6:$A$85,0)),"?"))</f>
        <v/>
      </c>
      <c r="O1407" s="34" t="str">
        <f aca="false">IF(G1407="","",IFERROR(INDEX(I_Master!$E$6:$E$85,MATCH(G1407,I_Master!$A$6:$A$85,0)),"?"))</f>
        <v/>
      </c>
      <c r="P1407" s="46" t="str">
        <f aca="false">IF(H1407="","",IF(OR(A1407&lt;I_Parameter!$C$5,A1407&gt;I_Parameter!$C$6),0,IF(B1407="Aktual",1,IF(AND(B1407="Order",A1407&gt;=I_Parameter!$C$4),1,0))))</f>
        <v/>
      </c>
    </row>
    <row r="1408" customFormat="false" ht="15" hidden="false" customHeight="false" outlineLevel="0" collapsed="false">
      <c r="A1408" s="37"/>
      <c r="B1408" s="44"/>
      <c r="C1408" s="44"/>
      <c r="D1408" s="44"/>
      <c r="E1408" s="44"/>
      <c r="F1408" s="44"/>
      <c r="G1408" s="34" t="str">
        <f aca="false">IF(F1408&lt;&gt;"",F1408,IF(E1408="","",IFERROR(INDEX(I_Item!$C$6:$C$255,MATCH(E1408,I_Item!$A$6:$A$255,0)),"KODE BARU")))</f>
        <v/>
      </c>
      <c r="H1408" s="45"/>
      <c r="I1408" s="42"/>
      <c r="J1408" s="11" t="str">
        <f aca="false">IF(H1408="","",H1408*I1408)</f>
        <v/>
      </c>
      <c r="K1408" s="42"/>
      <c r="L1408" s="11" t="str">
        <f aca="false">IF(H1408="","",IF(K1408&lt;&gt;"",K1408,H1408*IFERROR(INDEX(O_Stok!$Q$6:$Q$85,MATCH(G1408,O_Stok!$A$6:$A$85,0)),0)))</f>
        <v/>
      </c>
      <c r="M1408" s="11" t="str">
        <f aca="false">IF(H1408="","",J1408-L1408)</f>
        <v/>
      </c>
      <c r="N1408" s="34" t="str">
        <f aca="false">IF(G1408="","",IFERROR(INDEX(I_Master!$B$6:$B$85,MATCH(G1408,I_Master!$A$6:$A$85,0)),"?"))</f>
        <v/>
      </c>
      <c r="O1408" s="34" t="str">
        <f aca="false">IF(G1408="","",IFERROR(INDEX(I_Master!$E$6:$E$85,MATCH(G1408,I_Master!$A$6:$A$85,0)),"?"))</f>
        <v/>
      </c>
      <c r="P1408" s="46" t="str">
        <f aca="false">IF(H1408="","",IF(OR(A1408&lt;I_Parameter!$C$5,A1408&gt;I_Parameter!$C$6),0,IF(B1408="Aktual",1,IF(AND(B1408="Order",A1408&gt;=I_Parameter!$C$4),1,0))))</f>
        <v/>
      </c>
    </row>
    <row r="1409" customFormat="false" ht="15" hidden="false" customHeight="false" outlineLevel="0" collapsed="false">
      <c r="A1409" s="37"/>
      <c r="B1409" s="44"/>
      <c r="C1409" s="44"/>
      <c r="D1409" s="44"/>
      <c r="E1409" s="44"/>
      <c r="F1409" s="44"/>
      <c r="G1409" s="34" t="str">
        <f aca="false">IF(F1409&lt;&gt;"",F1409,IF(E1409="","",IFERROR(INDEX(I_Item!$C$6:$C$255,MATCH(E1409,I_Item!$A$6:$A$255,0)),"KODE BARU")))</f>
        <v/>
      </c>
      <c r="H1409" s="45"/>
      <c r="I1409" s="42"/>
      <c r="J1409" s="11" t="str">
        <f aca="false">IF(H1409="","",H1409*I1409)</f>
        <v/>
      </c>
      <c r="K1409" s="42"/>
      <c r="L1409" s="11" t="str">
        <f aca="false">IF(H1409="","",IF(K1409&lt;&gt;"",K1409,H1409*IFERROR(INDEX(O_Stok!$Q$6:$Q$85,MATCH(G1409,O_Stok!$A$6:$A$85,0)),0)))</f>
        <v/>
      </c>
      <c r="M1409" s="11" t="str">
        <f aca="false">IF(H1409="","",J1409-L1409)</f>
        <v/>
      </c>
      <c r="N1409" s="34" t="str">
        <f aca="false">IF(G1409="","",IFERROR(INDEX(I_Master!$B$6:$B$85,MATCH(G1409,I_Master!$A$6:$A$85,0)),"?"))</f>
        <v/>
      </c>
      <c r="O1409" s="34" t="str">
        <f aca="false">IF(G1409="","",IFERROR(INDEX(I_Master!$E$6:$E$85,MATCH(G1409,I_Master!$A$6:$A$85,0)),"?"))</f>
        <v/>
      </c>
      <c r="P1409" s="46" t="str">
        <f aca="false">IF(H1409="","",IF(OR(A1409&lt;I_Parameter!$C$5,A1409&gt;I_Parameter!$C$6),0,IF(B1409="Aktual",1,IF(AND(B1409="Order",A1409&gt;=I_Parameter!$C$4),1,0))))</f>
        <v/>
      </c>
    </row>
    <row r="1410" customFormat="false" ht="15" hidden="false" customHeight="false" outlineLevel="0" collapsed="false">
      <c r="A1410" s="37"/>
      <c r="B1410" s="44"/>
      <c r="C1410" s="44"/>
      <c r="D1410" s="44"/>
      <c r="E1410" s="44"/>
      <c r="F1410" s="44"/>
      <c r="G1410" s="34" t="str">
        <f aca="false">IF(F1410&lt;&gt;"",F1410,IF(E1410="","",IFERROR(INDEX(I_Item!$C$6:$C$255,MATCH(E1410,I_Item!$A$6:$A$255,0)),"KODE BARU")))</f>
        <v/>
      </c>
      <c r="H1410" s="45"/>
      <c r="I1410" s="42"/>
      <c r="J1410" s="11" t="str">
        <f aca="false">IF(H1410="","",H1410*I1410)</f>
        <v/>
      </c>
      <c r="K1410" s="42"/>
      <c r="L1410" s="11" t="str">
        <f aca="false">IF(H1410="","",IF(K1410&lt;&gt;"",K1410,H1410*IFERROR(INDEX(O_Stok!$Q$6:$Q$85,MATCH(G1410,O_Stok!$A$6:$A$85,0)),0)))</f>
        <v/>
      </c>
      <c r="M1410" s="11" t="str">
        <f aca="false">IF(H1410="","",J1410-L1410)</f>
        <v/>
      </c>
      <c r="N1410" s="34" t="str">
        <f aca="false">IF(G1410="","",IFERROR(INDEX(I_Master!$B$6:$B$85,MATCH(G1410,I_Master!$A$6:$A$85,0)),"?"))</f>
        <v/>
      </c>
      <c r="O1410" s="34" t="str">
        <f aca="false">IF(G1410="","",IFERROR(INDEX(I_Master!$E$6:$E$85,MATCH(G1410,I_Master!$A$6:$A$85,0)),"?"))</f>
        <v/>
      </c>
      <c r="P1410" s="46" t="str">
        <f aca="false">IF(H1410="","",IF(OR(A1410&lt;I_Parameter!$C$5,A1410&gt;I_Parameter!$C$6),0,IF(B1410="Aktual",1,IF(AND(B1410="Order",A1410&gt;=I_Parameter!$C$4),1,0))))</f>
        <v/>
      </c>
    </row>
    <row r="1411" customFormat="false" ht="15" hidden="false" customHeight="false" outlineLevel="0" collapsed="false">
      <c r="A1411" s="37"/>
      <c r="B1411" s="44"/>
      <c r="C1411" s="44"/>
      <c r="D1411" s="44"/>
      <c r="E1411" s="44"/>
      <c r="F1411" s="44"/>
      <c r="G1411" s="34" t="str">
        <f aca="false">IF(F1411&lt;&gt;"",F1411,IF(E1411="","",IFERROR(INDEX(I_Item!$C$6:$C$255,MATCH(E1411,I_Item!$A$6:$A$255,0)),"KODE BARU")))</f>
        <v/>
      </c>
      <c r="H1411" s="45"/>
      <c r="I1411" s="42"/>
      <c r="J1411" s="11" t="str">
        <f aca="false">IF(H1411="","",H1411*I1411)</f>
        <v/>
      </c>
      <c r="K1411" s="42"/>
      <c r="L1411" s="11" t="str">
        <f aca="false">IF(H1411="","",IF(K1411&lt;&gt;"",K1411,H1411*IFERROR(INDEX(O_Stok!$Q$6:$Q$85,MATCH(G1411,O_Stok!$A$6:$A$85,0)),0)))</f>
        <v/>
      </c>
      <c r="M1411" s="11" t="str">
        <f aca="false">IF(H1411="","",J1411-L1411)</f>
        <v/>
      </c>
      <c r="N1411" s="34" t="str">
        <f aca="false">IF(G1411="","",IFERROR(INDEX(I_Master!$B$6:$B$85,MATCH(G1411,I_Master!$A$6:$A$85,0)),"?"))</f>
        <v/>
      </c>
      <c r="O1411" s="34" t="str">
        <f aca="false">IF(G1411="","",IFERROR(INDEX(I_Master!$E$6:$E$85,MATCH(G1411,I_Master!$A$6:$A$85,0)),"?"))</f>
        <v/>
      </c>
      <c r="P1411" s="46" t="str">
        <f aca="false">IF(H1411="","",IF(OR(A1411&lt;I_Parameter!$C$5,A1411&gt;I_Parameter!$C$6),0,IF(B1411="Aktual",1,IF(AND(B1411="Order",A1411&gt;=I_Parameter!$C$4),1,0))))</f>
        <v/>
      </c>
    </row>
    <row r="1412" customFormat="false" ht="15" hidden="false" customHeight="false" outlineLevel="0" collapsed="false">
      <c r="A1412" s="37"/>
      <c r="B1412" s="44"/>
      <c r="C1412" s="44"/>
      <c r="D1412" s="44"/>
      <c r="E1412" s="44"/>
      <c r="F1412" s="44"/>
      <c r="G1412" s="34" t="str">
        <f aca="false">IF(F1412&lt;&gt;"",F1412,IF(E1412="","",IFERROR(INDEX(I_Item!$C$6:$C$255,MATCH(E1412,I_Item!$A$6:$A$255,0)),"KODE BARU")))</f>
        <v/>
      </c>
      <c r="H1412" s="45"/>
      <c r="I1412" s="42"/>
      <c r="J1412" s="11" t="str">
        <f aca="false">IF(H1412="","",H1412*I1412)</f>
        <v/>
      </c>
      <c r="K1412" s="42"/>
      <c r="L1412" s="11" t="str">
        <f aca="false">IF(H1412="","",IF(K1412&lt;&gt;"",K1412,H1412*IFERROR(INDEX(O_Stok!$Q$6:$Q$85,MATCH(G1412,O_Stok!$A$6:$A$85,0)),0)))</f>
        <v/>
      </c>
      <c r="M1412" s="11" t="str">
        <f aca="false">IF(H1412="","",J1412-L1412)</f>
        <v/>
      </c>
      <c r="N1412" s="34" t="str">
        <f aca="false">IF(G1412="","",IFERROR(INDEX(I_Master!$B$6:$B$85,MATCH(G1412,I_Master!$A$6:$A$85,0)),"?"))</f>
        <v/>
      </c>
      <c r="O1412" s="34" t="str">
        <f aca="false">IF(G1412="","",IFERROR(INDEX(I_Master!$E$6:$E$85,MATCH(G1412,I_Master!$A$6:$A$85,0)),"?"))</f>
        <v/>
      </c>
      <c r="P1412" s="46" t="str">
        <f aca="false">IF(H1412="","",IF(OR(A1412&lt;I_Parameter!$C$5,A1412&gt;I_Parameter!$C$6),0,IF(B1412="Aktual",1,IF(AND(B1412="Order",A1412&gt;=I_Parameter!$C$4),1,0))))</f>
        <v/>
      </c>
    </row>
    <row r="1413" customFormat="false" ht="15" hidden="false" customHeight="false" outlineLevel="0" collapsed="false">
      <c r="A1413" s="37"/>
      <c r="B1413" s="44"/>
      <c r="C1413" s="44"/>
      <c r="D1413" s="44"/>
      <c r="E1413" s="44"/>
      <c r="F1413" s="44"/>
      <c r="G1413" s="34" t="str">
        <f aca="false">IF(F1413&lt;&gt;"",F1413,IF(E1413="","",IFERROR(INDEX(I_Item!$C$6:$C$255,MATCH(E1413,I_Item!$A$6:$A$255,0)),"KODE BARU")))</f>
        <v/>
      </c>
      <c r="H1413" s="45"/>
      <c r="I1413" s="42"/>
      <c r="J1413" s="11" t="str">
        <f aca="false">IF(H1413="","",H1413*I1413)</f>
        <v/>
      </c>
      <c r="K1413" s="42"/>
      <c r="L1413" s="11" t="str">
        <f aca="false">IF(H1413="","",IF(K1413&lt;&gt;"",K1413,H1413*IFERROR(INDEX(O_Stok!$Q$6:$Q$85,MATCH(G1413,O_Stok!$A$6:$A$85,0)),0)))</f>
        <v/>
      </c>
      <c r="M1413" s="11" t="str">
        <f aca="false">IF(H1413="","",J1413-L1413)</f>
        <v/>
      </c>
      <c r="N1413" s="34" t="str">
        <f aca="false">IF(G1413="","",IFERROR(INDEX(I_Master!$B$6:$B$85,MATCH(G1413,I_Master!$A$6:$A$85,0)),"?"))</f>
        <v/>
      </c>
      <c r="O1413" s="34" t="str">
        <f aca="false">IF(G1413="","",IFERROR(INDEX(I_Master!$E$6:$E$85,MATCH(G1413,I_Master!$A$6:$A$85,0)),"?"))</f>
        <v/>
      </c>
      <c r="P1413" s="46" t="str">
        <f aca="false">IF(H1413="","",IF(OR(A1413&lt;I_Parameter!$C$5,A1413&gt;I_Parameter!$C$6),0,IF(B1413="Aktual",1,IF(AND(B1413="Order",A1413&gt;=I_Parameter!$C$4),1,0))))</f>
        <v/>
      </c>
    </row>
    <row r="1414" customFormat="false" ht="15" hidden="false" customHeight="false" outlineLevel="0" collapsed="false">
      <c r="A1414" s="37"/>
      <c r="B1414" s="44"/>
      <c r="C1414" s="44"/>
      <c r="D1414" s="44"/>
      <c r="E1414" s="44"/>
      <c r="F1414" s="44"/>
      <c r="G1414" s="34" t="str">
        <f aca="false">IF(F1414&lt;&gt;"",F1414,IF(E1414="","",IFERROR(INDEX(I_Item!$C$6:$C$255,MATCH(E1414,I_Item!$A$6:$A$255,0)),"KODE BARU")))</f>
        <v/>
      </c>
      <c r="H1414" s="45"/>
      <c r="I1414" s="42"/>
      <c r="J1414" s="11" t="str">
        <f aca="false">IF(H1414="","",H1414*I1414)</f>
        <v/>
      </c>
      <c r="K1414" s="42"/>
      <c r="L1414" s="11" t="str">
        <f aca="false">IF(H1414="","",IF(K1414&lt;&gt;"",K1414,H1414*IFERROR(INDEX(O_Stok!$Q$6:$Q$85,MATCH(G1414,O_Stok!$A$6:$A$85,0)),0)))</f>
        <v/>
      </c>
      <c r="M1414" s="11" t="str">
        <f aca="false">IF(H1414="","",J1414-L1414)</f>
        <v/>
      </c>
      <c r="N1414" s="34" t="str">
        <f aca="false">IF(G1414="","",IFERROR(INDEX(I_Master!$B$6:$B$85,MATCH(G1414,I_Master!$A$6:$A$85,0)),"?"))</f>
        <v/>
      </c>
      <c r="O1414" s="34" t="str">
        <f aca="false">IF(G1414="","",IFERROR(INDEX(I_Master!$E$6:$E$85,MATCH(G1414,I_Master!$A$6:$A$85,0)),"?"))</f>
        <v/>
      </c>
      <c r="P1414" s="46" t="str">
        <f aca="false">IF(H1414="","",IF(OR(A1414&lt;I_Parameter!$C$5,A1414&gt;I_Parameter!$C$6),0,IF(B1414="Aktual",1,IF(AND(B1414="Order",A1414&gt;=I_Parameter!$C$4),1,0))))</f>
        <v/>
      </c>
    </row>
    <row r="1415" customFormat="false" ht="15" hidden="false" customHeight="false" outlineLevel="0" collapsed="false">
      <c r="A1415" s="37"/>
      <c r="B1415" s="44"/>
      <c r="C1415" s="44"/>
      <c r="D1415" s="44"/>
      <c r="E1415" s="44"/>
      <c r="F1415" s="44"/>
      <c r="G1415" s="34" t="str">
        <f aca="false">IF(F1415&lt;&gt;"",F1415,IF(E1415="","",IFERROR(INDEX(I_Item!$C$6:$C$255,MATCH(E1415,I_Item!$A$6:$A$255,0)),"KODE BARU")))</f>
        <v/>
      </c>
      <c r="H1415" s="45"/>
      <c r="I1415" s="42"/>
      <c r="J1415" s="11" t="str">
        <f aca="false">IF(H1415="","",H1415*I1415)</f>
        <v/>
      </c>
      <c r="K1415" s="42"/>
      <c r="L1415" s="11" t="str">
        <f aca="false">IF(H1415="","",IF(K1415&lt;&gt;"",K1415,H1415*IFERROR(INDEX(O_Stok!$Q$6:$Q$85,MATCH(G1415,O_Stok!$A$6:$A$85,0)),0)))</f>
        <v/>
      </c>
      <c r="M1415" s="11" t="str">
        <f aca="false">IF(H1415="","",J1415-L1415)</f>
        <v/>
      </c>
      <c r="N1415" s="34" t="str">
        <f aca="false">IF(G1415="","",IFERROR(INDEX(I_Master!$B$6:$B$85,MATCH(G1415,I_Master!$A$6:$A$85,0)),"?"))</f>
        <v/>
      </c>
      <c r="O1415" s="34" t="str">
        <f aca="false">IF(G1415="","",IFERROR(INDEX(I_Master!$E$6:$E$85,MATCH(G1415,I_Master!$A$6:$A$85,0)),"?"))</f>
        <v/>
      </c>
      <c r="P1415" s="46" t="str">
        <f aca="false">IF(H1415="","",IF(OR(A1415&lt;I_Parameter!$C$5,A1415&gt;I_Parameter!$C$6),0,IF(B1415="Aktual",1,IF(AND(B1415="Order",A1415&gt;=I_Parameter!$C$4),1,0))))</f>
        <v/>
      </c>
    </row>
    <row r="1416" customFormat="false" ht="15" hidden="false" customHeight="false" outlineLevel="0" collapsed="false">
      <c r="A1416" s="37"/>
      <c r="B1416" s="44"/>
      <c r="C1416" s="44"/>
      <c r="D1416" s="44"/>
      <c r="E1416" s="44"/>
      <c r="F1416" s="44"/>
      <c r="G1416" s="34" t="str">
        <f aca="false">IF(F1416&lt;&gt;"",F1416,IF(E1416="","",IFERROR(INDEX(I_Item!$C$6:$C$255,MATCH(E1416,I_Item!$A$6:$A$255,0)),"KODE BARU")))</f>
        <v/>
      </c>
      <c r="H1416" s="45"/>
      <c r="I1416" s="42"/>
      <c r="J1416" s="11" t="str">
        <f aca="false">IF(H1416="","",H1416*I1416)</f>
        <v/>
      </c>
      <c r="K1416" s="42"/>
      <c r="L1416" s="11" t="str">
        <f aca="false">IF(H1416="","",IF(K1416&lt;&gt;"",K1416,H1416*IFERROR(INDEX(O_Stok!$Q$6:$Q$85,MATCH(G1416,O_Stok!$A$6:$A$85,0)),0)))</f>
        <v/>
      </c>
      <c r="M1416" s="11" t="str">
        <f aca="false">IF(H1416="","",J1416-L1416)</f>
        <v/>
      </c>
      <c r="N1416" s="34" t="str">
        <f aca="false">IF(G1416="","",IFERROR(INDEX(I_Master!$B$6:$B$85,MATCH(G1416,I_Master!$A$6:$A$85,0)),"?"))</f>
        <v/>
      </c>
      <c r="O1416" s="34" t="str">
        <f aca="false">IF(G1416="","",IFERROR(INDEX(I_Master!$E$6:$E$85,MATCH(G1416,I_Master!$A$6:$A$85,0)),"?"))</f>
        <v/>
      </c>
      <c r="P1416" s="46" t="str">
        <f aca="false">IF(H1416="","",IF(OR(A1416&lt;I_Parameter!$C$5,A1416&gt;I_Parameter!$C$6),0,IF(B1416="Aktual",1,IF(AND(B1416="Order",A1416&gt;=I_Parameter!$C$4),1,0))))</f>
        <v/>
      </c>
    </row>
    <row r="1417" customFormat="false" ht="15" hidden="false" customHeight="false" outlineLevel="0" collapsed="false">
      <c r="A1417" s="37"/>
      <c r="B1417" s="44"/>
      <c r="C1417" s="44"/>
      <c r="D1417" s="44"/>
      <c r="E1417" s="44"/>
      <c r="F1417" s="44"/>
      <c r="G1417" s="34" t="str">
        <f aca="false">IF(F1417&lt;&gt;"",F1417,IF(E1417="","",IFERROR(INDEX(I_Item!$C$6:$C$255,MATCH(E1417,I_Item!$A$6:$A$255,0)),"KODE BARU")))</f>
        <v/>
      </c>
      <c r="H1417" s="45"/>
      <c r="I1417" s="42"/>
      <c r="J1417" s="11" t="str">
        <f aca="false">IF(H1417="","",H1417*I1417)</f>
        <v/>
      </c>
      <c r="K1417" s="42"/>
      <c r="L1417" s="11" t="str">
        <f aca="false">IF(H1417="","",IF(K1417&lt;&gt;"",K1417,H1417*IFERROR(INDEX(O_Stok!$Q$6:$Q$85,MATCH(G1417,O_Stok!$A$6:$A$85,0)),0)))</f>
        <v/>
      </c>
      <c r="M1417" s="11" t="str">
        <f aca="false">IF(H1417="","",J1417-L1417)</f>
        <v/>
      </c>
      <c r="N1417" s="34" t="str">
        <f aca="false">IF(G1417="","",IFERROR(INDEX(I_Master!$B$6:$B$85,MATCH(G1417,I_Master!$A$6:$A$85,0)),"?"))</f>
        <v/>
      </c>
      <c r="O1417" s="34" t="str">
        <f aca="false">IF(G1417="","",IFERROR(INDEX(I_Master!$E$6:$E$85,MATCH(G1417,I_Master!$A$6:$A$85,0)),"?"))</f>
        <v/>
      </c>
      <c r="P1417" s="46" t="str">
        <f aca="false">IF(H1417="","",IF(OR(A1417&lt;I_Parameter!$C$5,A1417&gt;I_Parameter!$C$6),0,IF(B1417="Aktual",1,IF(AND(B1417="Order",A1417&gt;=I_Parameter!$C$4),1,0))))</f>
        <v/>
      </c>
    </row>
    <row r="1418" customFormat="false" ht="15" hidden="false" customHeight="false" outlineLevel="0" collapsed="false">
      <c r="A1418" s="37"/>
      <c r="B1418" s="44"/>
      <c r="C1418" s="44"/>
      <c r="D1418" s="44"/>
      <c r="E1418" s="44"/>
      <c r="F1418" s="44"/>
      <c r="G1418" s="34" t="str">
        <f aca="false">IF(F1418&lt;&gt;"",F1418,IF(E1418="","",IFERROR(INDEX(I_Item!$C$6:$C$255,MATCH(E1418,I_Item!$A$6:$A$255,0)),"KODE BARU")))</f>
        <v/>
      </c>
      <c r="H1418" s="45"/>
      <c r="I1418" s="42"/>
      <c r="J1418" s="11" t="str">
        <f aca="false">IF(H1418="","",H1418*I1418)</f>
        <v/>
      </c>
      <c r="K1418" s="42"/>
      <c r="L1418" s="11" t="str">
        <f aca="false">IF(H1418="","",IF(K1418&lt;&gt;"",K1418,H1418*IFERROR(INDEX(O_Stok!$Q$6:$Q$85,MATCH(G1418,O_Stok!$A$6:$A$85,0)),0)))</f>
        <v/>
      </c>
      <c r="M1418" s="11" t="str">
        <f aca="false">IF(H1418="","",J1418-L1418)</f>
        <v/>
      </c>
      <c r="N1418" s="34" t="str">
        <f aca="false">IF(G1418="","",IFERROR(INDEX(I_Master!$B$6:$B$85,MATCH(G1418,I_Master!$A$6:$A$85,0)),"?"))</f>
        <v/>
      </c>
      <c r="O1418" s="34" t="str">
        <f aca="false">IF(G1418="","",IFERROR(INDEX(I_Master!$E$6:$E$85,MATCH(G1418,I_Master!$A$6:$A$85,0)),"?"))</f>
        <v/>
      </c>
      <c r="P1418" s="46" t="str">
        <f aca="false">IF(H1418="","",IF(OR(A1418&lt;I_Parameter!$C$5,A1418&gt;I_Parameter!$C$6),0,IF(B1418="Aktual",1,IF(AND(B1418="Order",A1418&gt;=I_Parameter!$C$4),1,0))))</f>
        <v/>
      </c>
    </row>
    <row r="1419" customFormat="false" ht="15" hidden="false" customHeight="false" outlineLevel="0" collapsed="false">
      <c r="A1419" s="37"/>
      <c r="B1419" s="44"/>
      <c r="C1419" s="44"/>
      <c r="D1419" s="44"/>
      <c r="E1419" s="44"/>
      <c r="F1419" s="44"/>
      <c r="G1419" s="34" t="str">
        <f aca="false">IF(F1419&lt;&gt;"",F1419,IF(E1419="","",IFERROR(INDEX(I_Item!$C$6:$C$255,MATCH(E1419,I_Item!$A$6:$A$255,0)),"KODE BARU")))</f>
        <v/>
      </c>
      <c r="H1419" s="45"/>
      <c r="I1419" s="42"/>
      <c r="J1419" s="11" t="str">
        <f aca="false">IF(H1419="","",H1419*I1419)</f>
        <v/>
      </c>
      <c r="K1419" s="42"/>
      <c r="L1419" s="11" t="str">
        <f aca="false">IF(H1419="","",IF(K1419&lt;&gt;"",K1419,H1419*IFERROR(INDEX(O_Stok!$Q$6:$Q$85,MATCH(G1419,O_Stok!$A$6:$A$85,0)),0)))</f>
        <v/>
      </c>
      <c r="M1419" s="11" t="str">
        <f aca="false">IF(H1419="","",J1419-L1419)</f>
        <v/>
      </c>
      <c r="N1419" s="34" t="str">
        <f aca="false">IF(G1419="","",IFERROR(INDEX(I_Master!$B$6:$B$85,MATCH(G1419,I_Master!$A$6:$A$85,0)),"?"))</f>
        <v/>
      </c>
      <c r="O1419" s="34" t="str">
        <f aca="false">IF(G1419="","",IFERROR(INDEX(I_Master!$E$6:$E$85,MATCH(G1419,I_Master!$A$6:$A$85,0)),"?"))</f>
        <v/>
      </c>
      <c r="P1419" s="46" t="str">
        <f aca="false">IF(H1419="","",IF(OR(A1419&lt;I_Parameter!$C$5,A1419&gt;I_Parameter!$C$6),0,IF(B1419="Aktual",1,IF(AND(B1419="Order",A1419&gt;=I_Parameter!$C$4),1,0))))</f>
        <v/>
      </c>
    </row>
    <row r="1420" customFormat="false" ht="15" hidden="false" customHeight="false" outlineLevel="0" collapsed="false">
      <c r="A1420" s="37"/>
      <c r="B1420" s="44"/>
      <c r="C1420" s="44"/>
      <c r="D1420" s="44"/>
      <c r="E1420" s="44"/>
      <c r="F1420" s="44"/>
      <c r="G1420" s="34" t="str">
        <f aca="false">IF(F1420&lt;&gt;"",F1420,IF(E1420="","",IFERROR(INDEX(I_Item!$C$6:$C$255,MATCH(E1420,I_Item!$A$6:$A$255,0)),"KODE BARU")))</f>
        <v/>
      </c>
      <c r="H1420" s="45"/>
      <c r="I1420" s="42"/>
      <c r="J1420" s="11" t="str">
        <f aca="false">IF(H1420="","",H1420*I1420)</f>
        <v/>
      </c>
      <c r="K1420" s="42"/>
      <c r="L1420" s="11" t="str">
        <f aca="false">IF(H1420="","",IF(K1420&lt;&gt;"",K1420,H1420*IFERROR(INDEX(O_Stok!$Q$6:$Q$85,MATCH(G1420,O_Stok!$A$6:$A$85,0)),0)))</f>
        <v/>
      </c>
      <c r="M1420" s="11" t="str">
        <f aca="false">IF(H1420="","",J1420-L1420)</f>
        <v/>
      </c>
      <c r="N1420" s="34" t="str">
        <f aca="false">IF(G1420="","",IFERROR(INDEX(I_Master!$B$6:$B$85,MATCH(G1420,I_Master!$A$6:$A$85,0)),"?"))</f>
        <v/>
      </c>
      <c r="O1420" s="34" t="str">
        <f aca="false">IF(G1420="","",IFERROR(INDEX(I_Master!$E$6:$E$85,MATCH(G1420,I_Master!$A$6:$A$85,0)),"?"))</f>
        <v/>
      </c>
      <c r="P1420" s="46" t="str">
        <f aca="false">IF(H1420="","",IF(OR(A1420&lt;I_Parameter!$C$5,A1420&gt;I_Parameter!$C$6),0,IF(B1420="Aktual",1,IF(AND(B1420="Order",A1420&gt;=I_Parameter!$C$4),1,0))))</f>
        <v/>
      </c>
    </row>
    <row r="1421" customFormat="false" ht="15" hidden="false" customHeight="false" outlineLevel="0" collapsed="false">
      <c r="A1421" s="37"/>
      <c r="B1421" s="44"/>
      <c r="C1421" s="44"/>
      <c r="D1421" s="44"/>
      <c r="E1421" s="44"/>
      <c r="F1421" s="44"/>
      <c r="G1421" s="34" t="str">
        <f aca="false">IF(F1421&lt;&gt;"",F1421,IF(E1421="","",IFERROR(INDEX(I_Item!$C$6:$C$255,MATCH(E1421,I_Item!$A$6:$A$255,0)),"KODE BARU")))</f>
        <v/>
      </c>
      <c r="H1421" s="45"/>
      <c r="I1421" s="42"/>
      <c r="J1421" s="11" t="str">
        <f aca="false">IF(H1421="","",H1421*I1421)</f>
        <v/>
      </c>
      <c r="K1421" s="42"/>
      <c r="L1421" s="11" t="str">
        <f aca="false">IF(H1421="","",IF(K1421&lt;&gt;"",K1421,H1421*IFERROR(INDEX(O_Stok!$Q$6:$Q$85,MATCH(G1421,O_Stok!$A$6:$A$85,0)),0)))</f>
        <v/>
      </c>
      <c r="M1421" s="11" t="str">
        <f aca="false">IF(H1421="","",J1421-L1421)</f>
        <v/>
      </c>
      <c r="N1421" s="34" t="str">
        <f aca="false">IF(G1421="","",IFERROR(INDEX(I_Master!$B$6:$B$85,MATCH(G1421,I_Master!$A$6:$A$85,0)),"?"))</f>
        <v/>
      </c>
      <c r="O1421" s="34" t="str">
        <f aca="false">IF(G1421="","",IFERROR(INDEX(I_Master!$E$6:$E$85,MATCH(G1421,I_Master!$A$6:$A$85,0)),"?"))</f>
        <v/>
      </c>
      <c r="P1421" s="46" t="str">
        <f aca="false">IF(H1421="","",IF(OR(A1421&lt;I_Parameter!$C$5,A1421&gt;I_Parameter!$C$6),0,IF(B1421="Aktual",1,IF(AND(B1421="Order",A1421&gt;=I_Parameter!$C$4),1,0))))</f>
        <v/>
      </c>
    </row>
    <row r="1422" customFormat="false" ht="15" hidden="false" customHeight="false" outlineLevel="0" collapsed="false">
      <c r="A1422" s="37"/>
      <c r="B1422" s="44"/>
      <c r="C1422" s="44"/>
      <c r="D1422" s="44"/>
      <c r="E1422" s="44"/>
      <c r="F1422" s="44"/>
      <c r="G1422" s="34" t="str">
        <f aca="false">IF(F1422&lt;&gt;"",F1422,IF(E1422="","",IFERROR(INDEX(I_Item!$C$6:$C$255,MATCH(E1422,I_Item!$A$6:$A$255,0)),"KODE BARU")))</f>
        <v/>
      </c>
      <c r="H1422" s="45"/>
      <c r="I1422" s="42"/>
      <c r="J1422" s="11" t="str">
        <f aca="false">IF(H1422="","",H1422*I1422)</f>
        <v/>
      </c>
      <c r="K1422" s="42"/>
      <c r="L1422" s="11" t="str">
        <f aca="false">IF(H1422="","",IF(K1422&lt;&gt;"",K1422,H1422*IFERROR(INDEX(O_Stok!$Q$6:$Q$85,MATCH(G1422,O_Stok!$A$6:$A$85,0)),0)))</f>
        <v/>
      </c>
      <c r="M1422" s="11" t="str">
        <f aca="false">IF(H1422="","",J1422-L1422)</f>
        <v/>
      </c>
      <c r="N1422" s="34" t="str">
        <f aca="false">IF(G1422="","",IFERROR(INDEX(I_Master!$B$6:$B$85,MATCH(G1422,I_Master!$A$6:$A$85,0)),"?"))</f>
        <v/>
      </c>
      <c r="O1422" s="34" t="str">
        <f aca="false">IF(G1422="","",IFERROR(INDEX(I_Master!$E$6:$E$85,MATCH(G1422,I_Master!$A$6:$A$85,0)),"?"))</f>
        <v/>
      </c>
      <c r="P1422" s="46" t="str">
        <f aca="false">IF(H1422="","",IF(OR(A1422&lt;I_Parameter!$C$5,A1422&gt;I_Parameter!$C$6),0,IF(B1422="Aktual",1,IF(AND(B1422="Order",A1422&gt;=I_Parameter!$C$4),1,0))))</f>
        <v/>
      </c>
    </row>
    <row r="1423" customFormat="false" ht="15" hidden="false" customHeight="false" outlineLevel="0" collapsed="false">
      <c r="A1423" s="37"/>
      <c r="B1423" s="44"/>
      <c r="C1423" s="44"/>
      <c r="D1423" s="44"/>
      <c r="E1423" s="44"/>
      <c r="F1423" s="44"/>
      <c r="G1423" s="34" t="str">
        <f aca="false">IF(F1423&lt;&gt;"",F1423,IF(E1423="","",IFERROR(INDEX(I_Item!$C$6:$C$255,MATCH(E1423,I_Item!$A$6:$A$255,0)),"KODE BARU")))</f>
        <v/>
      </c>
      <c r="H1423" s="45"/>
      <c r="I1423" s="42"/>
      <c r="J1423" s="11" t="str">
        <f aca="false">IF(H1423="","",H1423*I1423)</f>
        <v/>
      </c>
      <c r="K1423" s="42"/>
      <c r="L1423" s="11" t="str">
        <f aca="false">IF(H1423="","",IF(K1423&lt;&gt;"",K1423,H1423*IFERROR(INDEX(O_Stok!$Q$6:$Q$85,MATCH(G1423,O_Stok!$A$6:$A$85,0)),0)))</f>
        <v/>
      </c>
      <c r="M1423" s="11" t="str">
        <f aca="false">IF(H1423="","",J1423-L1423)</f>
        <v/>
      </c>
      <c r="N1423" s="34" t="str">
        <f aca="false">IF(G1423="","",IFERROR(INDEX(I_Master!$B$6:$B$85,MATCH(G1423,I_Master!$A$6:$A$85,0)),"?"))</f>
        <v/>
      </c>
      <c r="O1423" s="34" t="str">
        <f aca="false">IF(G1423="","",IFERROR(INDEX(I_Master!$E$6:$E$85,MATCH(G1423,I_Master!$A$6:$A$85,0)),"?"))</f>
        <v/>
      </c>
      <c r="P1423" s="46" t="str">
        <f aca="false">IF(H1423="","",IF(OR(A1423&lt;I_Parameter!$C$5,A1423&gt;I_Parameter!$C$6),0,IF(B1423="Aktual",1,IF(AND(B1423="Order",A1423&gt;=I_Parameter!$C$4),1,0))))</f>
        <v/>
      </c>
    </row>
    <row r="1424" customFormat="false" ht="15" hidden="false" customHeight="false" outlineLevel="0" collapsed="false">
      <c r="A1424" s="37"/>
      <c r="B1424" s="44"/>
      <c r="C1424" s="44"/>
      <c r="D1424" s="44"/>
      <c r="E1424" s="44"/>
      <c r="F1424" s="44"/>
      <c r="G1424" s="34" t="str">
        <f aca="false">IF(F1424&lt;&gt;"",F1424,IF(E1424="","",IFERROR(INDEX(I_Item!$C$6:$C$255,MATCH(E1424,I_Item!$A$6:$A$255,0)),"KODE BARU")))</f>
        <v/>
      </c>
      <c r="H1424" s="45"/>
      <c r="I1424" s="42"/>
      <c r="J1424" s="11" t="str">
        <f aca="false">IF(H1424="","",H1424*I1424)</f>
        <v/>
      </c>
      <c r="K1424" s="42"/>
      <c r="L1424" s="11" t="str">
        <f aca="false">IF(H1424="","",IF(K1424&lt;&gt;"",K1424,H1424*IFERROR(INDEX(O_Stok!$Q$6:$Q$85,MATCH(G1424,O_Stok!$A$6:$A$85,0)),0)))</f>
        <v/>
      </c>
      <c r="M1424" s="11" t="str">
        <f aca="false">IF(H1424="","",J1424-L1424)</f>
        <v/>
      </c>
      <c r="N1424" s="34" t="str">
        <f aca="false">IF(G1424="","",IFERROR(INDEX(I_Master!$B$6:$B$85,MATCH(G1424,I_Master!$A$6:$A$85,0)),"?"))</f>
        <v/>
      </c>
      <c r="O1424" s="34" t="str">
        <f aca="false">IF(G1424="","",IFERROR(INDEX(I_Master!$E$6:$E$85,MATCH(G1424,I_Master!$A$6:$A$85,0)),"?"))</f>
        <v/>
      </c>
      <c r="P1424" s="46" t="str">
        <f aca="false">IF(H1424="","",IF(OR(A1424&lt;I_Parameter!$C$5,A1424&gt;I_Parameter!$C$6),0,IF(B1424="Aktual",1,IF(AND(B1424="Order",A1424&gt;=I_Parameter!$C$4),1,0))))</f>
        <v/>
      </c>
    </row>
    <row r="1425" customFormat="false" ht="15" hidden="false" customHeight="false" outlineLevel="0" collapsed="false">
      <c r="A1425" s="37"/>
      <c r="B1425" s="44"/>
      <c r="C1425" s="44"/>
      <c r="D1425" s="44"/>
      <c r="E1425" s="44"/>
      <c r="F1425" s="44"/>
      <c r="G1425" s="34" t="str">
        <f aca="false">IF(F1425&lt;&gt;"",F1425,IF(E1425="","",IFERROR(INDEX(I_Item!$C$6:$C$255,MATCH(E1425,I_Item!$A$6:$A$255,0)),"KODE BARU")))</f>
        <v/>
      </c>
      <c r="H1425" s="45"/>
      <c r="I1425" s="42"/>
      <c r="J1425" s="11" t="str">
        <f aca="false">IF(H1425="","",H1425*I1425)</f>
        <v/>
      </c>
      <c r="K1425" s="42"/>
      <c r="L1425" s="11" t="str">
        <f aca="false">IF(H1425="","",IF(K1425&lt;&gt;"",K1425,H1425*IFERROR(INDEX(O_Stok!$Q$6:$Q$85,MATCH(G1425,O_Stok!$A$6:$A$85,0)),0)))</f>
        <v/>
      </c>
      <c r="M1425" s="11" t="str">
        <f aca="false">IF(H1425="","",J1425-L1425)</f>
        <v/>
      </c>
      <c r="N1425" s="34" t="str">
        <f aca="false">IF(G1425="","",IFERROR(INDEX(I_Master!$B$6:$B$85,MATCH(G1425,I_Master!$A$6:$A$85,0)),"?"))</f>
        <v/>
      </c>
      <c r="O1425" s="34" t="str">
        <f aca="false">IF(G1425="","",IFERROR(INDEX(I_Master!$E$6:$E$85,MATCH(G1425,I_Master!$A$6:$A$85,0)),"?"))</f>
        <v/>
      </c>
      <c r="P1425" s="46" t="str">
        <f aca="false">IF(H1425="","",IF(OR(A1425&lt;I_Parameter!$C$5,A1425&gt;I_Parameter!$C$6),0,IF(B1425="Aktual",1,IF(AND(B1425="Order",A1425&gt;=I_Parameter!$C$4),1,0))))</f>
        <v/>
      </c>
    </row>
    <row r="1426" customFormat="false" ht="15" hidden="false" customHeight="false" outlineLevel="0" collapsed="false">
      <c r="A1426" s="37"/>
      <c r="B1426" s="44"/>
      <c r="C1426" s="44"/>
      <c r="D1426" s="44"/>
      <c r="E1426" s="44"/>
      <c r="F1426" s="44"/>
      <c r="G1426" s="34" t="str">
        <f aca="false">IF(F1426&lt;&gt;"",F1426,IF(E1426="","",IFERROR(INDEX(I_Item!$C$6:$C$255,MATCH(E1426,I_Item!$A$6:$A$255,0)),"KODE BARU")))</f>
        <v/>
      </c>
      <c r="H1426" s="45"/>
      <c r="I1426" s="42"/>
      <c r="J1426" s="11" t="str">
        <f aca="false">IF(H1426="","",H1426*I1426)</f>
        <v/>
      </c>
      <c r="K1426" s="42"/>
      <c r="L1426" s="11" t="str">
        <f aca="false">IF(H1426="","",IF(K1426&lt;&gt;"",K1426,H1426*IFERROR(INDEX(O_Stok!$Q$6:$Q$85,MATCH(G1426,O_Stok!$A$6:$A$85,0)),0)))</f>
        <v/>
      </c>
      <c r="M1426" s="11" t="str">
        <f aca="false">IF(H1426="","",J1426-L1426)</f>
        <v/>
      </c>
      <c r="N1426" s="34" t="str">
        <f aca="false">IF(G1426="","",IFERROR(INDEX(I_Master!$B$6:$B$85,MATCH(G1426,I_Master!$A$6:$A$85,0)),"?"))</f>
        <v/>
      </c>
      <c r="O1426" s="34" t="str">
        <f aca="false">IF(G1426="","",IFERROR(INDEX(I_Master!$E$6:$E$85,MATCH(G1426,I_Master!$A$6:$A$85,0)),"?"))</f>
        <v/>
      </c>
      <c r="P1426" s="46" t="str">
        <f aca="false">IF(H1426="","",IF(OR(A1426&lt;I_Parameter!$C$5,A1426&gt;I_Parameter!$C$6),0,IF(B1426="Aktual",1,IF(AND(B1426="Order",A1426&gt;=I_Parameter!$C$4),1,0))))</f>
        <v/>
      </c>
    </row>
    <row r="1427" customFormat="false" ht="15" hidden="false" customHeight="false" outlineLevel="0" collapsed="false">
      <c r="A1427" s="37"/>
      <c r="B1427" s="44"/>
      <c r="C1427" s="44"/>
      <c r="D1427" s="44"/>
      <c r="E1427" s="44"/>
      <c r="F1427" s="44"/>
      <c r="G1427" s="34" t="str">
        <f aca="false">IF(F1427&lt;&gt;"",F1427,IF(E1427="","",IFERROR(INDEX(I_Item!$C$6:$C$255,MATCH(E1427,I_Item!$A$6:$A$255,0)),"KODE BARU")))</f>
        <v/>
      </c>
      <c r="H1427" s="45"/>
      <c r="I1427" s="42"/>
      <c r="J1427" s="11" t="str">
        <f aca="false">IF(H1427="","",H1427*I1427)</f>
        <v/>
      </c>
      <c r="K1427" s="42"/>
      <c r="L1427" s="11" t="str">
        <f aca="false">IF(H1427="","",IF(K1427&lt;&gt;"",K1427,H1427*IFERROR(INDEX(O_Stok!$Q$6:$Q$85,MATCH(G1427,O_Stok!$A$6:$A$85,0)),0)))</f>
        <v/>
      </c>
      <c r="M1427" s="11" t="str">
        <f aca="false">IF(H1427="","",J1427-L1427)</f>
        <v/>
      </c>
      <c r="N1427" s="34" t="str">
        <f aca="false">IF(G1427="","",IFERROR(INDEX(I_Master!$B$6:$B$85,MATCH(G1427,I_Master!$A$6:$A$85,0)),"?"))</f>
        <v/>
      </c>
      <c r="O1427" s="34" t="str">
        <f aca="false">IF(G1427="","",IFERROR(INDEX(I_Master!$E$6:$E$85,MATCH(G1427,I_Master!$A$6:$A$85,0)),"?"))</f>
        <v/>
      </c>
      <c r="P1427" s="46" t="str">
        <f aca="false">IF(H1427="","",IF(OR(A1427&lt;I_Parameter!$C$5,A1427&gt;I_Parameter!$C$6),0,IF(B1427="Aktual",1,IF(AND(B1427="Order",A1427&gt;=I_Parameter!$C$4),1,0))))</f>
        <v/>
      </c>
    </row>
    <row r="1428" customFormat="false" ht="15" hidden="false" customHeight="false" outlineLevel="0" collapsed="false">
      <c r="A1428" s="37"/>
      <c r="B1428" s="44"/>
      <c r="C1428" s="44"/>
      <c r="D1428" s="44"/>
      <c r="E1428" s="44"/>
      <c r="F1428" s="44"/>
      <c r="G1428" s="34" t="str">
        <f aca="false">IF(F1428&lt;&gt;"",F1428,IF(E1428="","",IFERROR(INDEX(I_Item!$C$6:$C$255,MATCH(E1428,I_Item!$A$6:$A$255,0)),"KODE BARU")))</f>
        <v/>
      </c>
      <c r="H1428" s="45"/>
      <c r="I1428" s="42"/>
      <c r="J1428" s="11" t="str">
        <f aca="false">IF(H1428="","",H1428*I1428)</f>
        <v/>
      </c>
      <c r="K1428" s="42"/>
      <c r="L1428" s="11" t="str">
        <f aca="false">IF(H1428="","",IF(K1428&lt;&gt;"",K1428,H1428*IFERROR(INDEX(O_Stok!$Q$6:$Q$85,MATCH(G1428,O_Stok!$A$6:$A$85,0)),0)))</f>
        <v/>
      </c>
      <c r="M1428" s="11" t="str">
        <f aca="false">IF(H1428="","",J1428-L1428)</f>
        <v/>
      </c>
      <c r="N1428" s="34" t="str">
        <f aca="false">IF(G1428="","",IFERROR(INDEX(I_Master!$B$6:$B$85,MATCH(G1428,I_Master!$A$6:$A$85,0)),"?"))</f>
        <v/>
      </c>
      <c r="O1428" s="34" t="str">
        <f aca="false">IF(G1428="","",IFERROR(INDEX(I_Master!$E$6:$E$85,MATCH(G1428,I_Master!$A$6:$A$85,0)),"?"))</f>
        <v/>
      </c>
      <c r="P1428" s="46" t="str">
        <f aca="false">IF(H1428="","",IF(OR(A1428&lt;I_Parameter!$C$5,A1428&gt;I_Parameter!$C$6),0,IF(B1428="Aktual",1,IF(AND(B1428="Order",A1428&gt;=I_Parameter!$C$4),1,0))))</f>
        <v/>
      </c>
    </row>
    <row r="1429" customFormat="false" ht="15" hidden="false" customHeight="false" outlineLevel="0" collapsed="false">
      <c r="A1429" s="37"/>
      <c r="B1429" s="44"/>
      <c r="C1429" s="44"/>
      <c r="D1429" s="44"/>
      <c r="E1429" s="44"/>
      <c r="F1429" s="44"/>
      <c r="G1429" s="34" t="str">
        <f aca="false">IF(F1429&lt;&gt;"",F1429,IF(E1429="","",IFERROR(INDEX(I_Item!$C$6:$C$255,MATCH(E1429,I_Item!$A$6:$A$255,0)),"KODE BARU")))</f>
        <v/>
      </c>
      <c r="H1429" s="45"/>
      <c r="I1429" s="42"/>
      <c r="J1429" s="11" t="str">
        <f aca="false">IF(H1429="","",H1429*I1429)</f>
        <v/>
      </c>
      <c r="K1429" s="42"/>
      <c r="L1429" s="11" t="str">
        <f aca="false">IF(H1429="","",IF(K1429&lt;&gt;"",K1429,H1429*IFERROR(INDEX(O_Stok!$Q$6:$Q$85,MATCH(G1429,O_Stok!$A$6:$A$85,0)),0)))</f>
        <v/>
      </c>
      <c r="M1429" s="11" t="str">
        <f aca="false">IF(H1429="","",J1429-L1429)</f>
        <v/>
      </c>
      <c r="N1429" s="34" t="str">
        <f aca="false">IF(G1429="","",IFERROR(INDEX(I_Master!$B$6:$B$85,MATCH(G1429,I_Master!$A$6:$A$85,0)),"?"))</f>
        <v/>
      </c>
      <c r="O1429" s="34" t="str">
        <f aca="false">IF(G1429="","",IFERROR(INDEX(I_Master!$E$6:$E$85,MATCH(G1429,I_Master!$A$6:$A$85,0)),"?"))</f>
        <v/>
      </c>
      <c r="P1429" s="46" t="str">
        <f aca="false">IF(H1429="","",IF(OR(A1429&lt;I_Parameter!$C$5,A1429&gt;I_Parameter!$C$6),0,IF(B1429="Aktual",1,IF(AND(B1429="Order",A1429&gt;=I_Parameter!$C$4),1,0))))</f>
        <v/>
      </c>
    </row>
    <row r="1430" customFormat="false" ht="15" hidden="false" customHeight="false" outlineLevel="0" collapsed="false">
      <c r="A1430" s="37"/>
      <c r="B1430" s="44"/>
      <c r="C1430" s="44"/>
      <c r="D1430" s="44"/>
      <c r="E1430" s="44"/>
      <c r="F1430" s="44"/>
      <c r="G1430" s="34" t="str">
        <f aca="false">IF(F1430&lt;&gt;"",F1430,IF(E1430="","",IFERROR(INDEX(I_Item!$C$6:$C$255,MATCH(E1430,I_Item!$A$6:$A$255,0)),"KODE BARU")))</f>
        <v/>
      </c>
      <c r="H1430" s="45"/>
      <c r="I1430" s="42"/>
      <c r="J1430" s="11" t="str">
        <f aca="false">IF(H1430="","",H1430*I1430)</f>
        <v/>
      </c>
      <c r="K1430" s="42"/>
      <c r="L1430" s="11" t="str">
        <f aca="false">IF(H1430="","",IF(K1430&lt;&gt;"",K1430,H1430*IFERROR(INDEX(O_Stok!$Q$6:$Q$85,MATCH(G1430,O_Stok!$A$6:$A$85,0)),0)))</f>
        <v/>
      </c>
      <c r="M1430" s="11" t="str">
        <f aca="false">IF(H1430="","",J1430-L1430)</f>
        <v/>
      </c>
      <c r="N1430" s="34" t="str">
        <f aca="false">IF(G1430="","",IFERROR(INDEX(I_Master!$B$6:$B$85,MATCH(G1430,I_Master!$A$6:$A$85,0)),"?"))</f>
        <v/>
      </c>
      <c r="O1430" s="34" t="str">
        <f aca="false">IF(G1430="","",IFERROR(INDEX(I_Master!$E$6:$E$85,MATCH(G1430,I_Master!$A$6:$A$85,0)),"?"))</f>
        <v/>
      </c>
      <c r="P1430" s="46" t="str">
        <f aca="false">IF(H1430="","",IF(OR(A1430&lt;I_Parameter!$C$5,A1430&gt;I_Parameter!$C$6),0,IF(B1430="Aktual",1,IF(AND(B1430="Order",A1430&gt;=I_Parameter!$C$4),1,0))))</f>
        <v/>
      </c>
    </row>
    <row r="1431" customFormat="false" ht="15" hidden="false" customHeight="false" outlineLevel="0" collapsed="false">
      <c r="A1431" s="37"/>
      <c r="B1431" s="44"/>
      <c r="C1431" s="44"/>
      <c r="D1431" s="44"/>
      <c r="E1431" s="44"/>
      <c r="F1431" s="44"/>
      <c r="G1431" s="34" t="str">
        <f aca="false">IF(F1431&lt;&gt;"",F1431,IF(E1431="","",IFERROR(INDEX(I_Item!$C$6:$C$255,MATCH(E1431,I_Item!$A$6:$A$255,0)),"KODE BARU")))</f>
        <v/>
      </c>
      <c r="H1431" s="45"/>
      <c r="I1431" s="42"/>
      <c r="J1431" s="11" t="str">
        <f aca="false">IF(H1431="","",H1431*I1431)</f>
        <v/>
      </c>
      <c r="K1431" s="42"/>
      <c r="L1431" s="11" t="str">
        <f aca="false">IF(H1431="","",IF(K1431&lt;&gt;"",K1431,H1431*IFERROR(INDEX(O_Stok!$Q$6:$Q$85,MATCH(G1431,O_Stok!$A$6:$A$85,0)),0)))</f>
        <v/>
      </c>
      <c r="M1431" s="11" t="str">
        <f aca="false">IF(H1431="","",J1431-L1431)</f>
        <v/>
      </c>
      <c r="N1431" s="34" t="str">
        <f aca="false">IF(G1431="","",IFERROR(INDEX(I_Master!$B$6:$B$85,MATCH(G1431,I_Master!$A$6:$A$85,0)),"?"))</f>
        <v/>
      </c>
      <c r="O1431" s="34" t="str">
        <f aca="false">IF(G1431="","",IFERROR(INDEX(I_Master!$E$6:$E$85,MATCH(G1431,I_Master!$A$6:$A$85,0)),"?"))</f>
        <v/>
      </c>
      <c r="P1431" s="46" t="str">
        <f aca="false">IF(H1431="","",IF(OR(A1431&lt;I_Parameter!$C$5,A1431&gt;I_Parameter!$C$6),0,IF(B1431="Aktual",1,IF(AND(B1431="Order",A1431&gt;=I_Parameter!$C$4),1,0))))</f>
        <v/>
      </c>
    </row>
    <row r="1432" customFormat="false" ht="15" hidden="false" customHeight="false" outlineLevel="0" collapsed="false">
      <c r="A1432" s="37"/>
      <c r="B1432" s="44"/>
      <c r="C1432" s="44"/>
      <c r="D1432" s="44"/>
      <c r="E1432" s="44"/>
      <c r="F1432" s="44"/>
      <c r="G1432" s="34" t="str">
        <f aca="false">IF(F1432&lt;&gt;"",F1432,IF(E1432="","",IFERROR(INDEX(I_Item!$C$6:$C$255,MATCH(E1432,I_Item!$A$6:$A$255,0)),"KODE BARU")))</f>
        <v/>
      </c>
      <c r="H1432" s="45"/>
      <c r="I1432" s="42"/>
      <c r="J1432" s="11" t="str">
        <f aca="false">IF(H1432="","",H1432*I1432)</f>
        <v/>
      </c>
      <c r="K1432" s="42"/>
      <c r="L1432" s="11" t="str">
        <f aca="false">IF(H1432="","",IF(K1432&lt;&gt;"",K1432,H1432*IFERROR(INDEX(O_Stok!$Q$6:$Q$85,MATCH(G1432,O_Stok!$A$6:$A$85,0)),0)))</f>
        <v/>
      </c>
      <c r="M1432" s="11" t="str">
        <f aca="false">IF(H1432="","",J1432-L1432)</f>
        <v/>
      </c>
      <c r="N1432" s="34" t="str">
        <f aca="false">IF(G1432="","",IFERROR(INDEX(I_Master!$B$6:$B$85,MATCH(G1432,I_Master!$A$6:$A$85,0)),"?"))</f>
        <v/>
      </c>
      <c r="O1432" s="34" t="str">
        <f aca="false">IF(G1432="","",IFERROR(INDEX(I_Master!$E$6:$E$85,MATCH(G1432,I_Master!$A$6:$A$85,0)),"?"))</f>
        <v/>
      </c>
      <c r="P1432" s="46" t="str">
        <f aca="false">IF(H1432="","",IF(OR(A1432&lt;I_Parameter!$C$5,A1432&gt;I_Parameter!$C$6),0,IF(B1432="Aktual",1,IF(AND(B1432="Order",A1432&gt;=I_Parameter!$C$4),1,0))))</f>
        <v/>
      </c>
    </row>
    <row r="1433" customFormat="false" ht="15" hidden="false" customHeight="false" outlineLevel="0" collapsed="false">
      <c r="A1433" s="37"/>
      <c r="B1433" s="44"/>
      <c r="C1433" s="44"/>
      <c r="D1433" s="44"/>
      <c r="E1433" s="44"/>
      <c r="F1433" s="44"/>
      <c r="G1433" s="34" t="str">
        <f aca="false">IF(F1433&lt;&gt;"",F1433,IF(E1433="","",IFERROR(INDEX(I_Item!$C$6:$C$255,MATCH(E1433,I_Item!$A$6:$A$255,0)),"KODE BARU")))</f>
        <v/>
      </c>
      <c r="H1433" s="45"/>
      <c r="I1433" s="42"/>
      <c r="J1433" s="11" t="str">
        <f aca="false">IF(H1433="","",H1433*I1433)</f>
        <v/>
      </c>
      <c r="K1433" s="42"/>
      <c r="L1433" s="11" t="str">
        <f aca="false">IF(H1433="","",IF(K1433&lt;&gt;"",K1433,H1433*IFERROR(INDEX(O_Stok!$Q$6:$Q$85,MATCH(G1433,O_Stok!$A$6:$A$85,0)),0)))</f>
        <v/>
      </c>
      <c r="M1433" s="11" t="str">
        <f aca="false">IF(H1433="","",J1433-L1433)</f>
        <v/>
      </c>
      <c r="N1433" s="34" t="str">
        <f aca="false">IF(G1433="","",IFERROR(INDEX(I_Master!$B$6:$B$85,MATCH(G1433,I_Master!$A$6:$A$85,0)),"?"))</f>
        <v/>
      </c>
      <c r="O1433" s="34" t="str">
        <f aca="false">IF(G1433="","",IFERROR(INDEX(I_Master!$E$6:$E$85,MATCH(G1433,I_Master!$A$6:$A$85,0)),"?"))</f>
        <v/>
      </c>
      <c r="P1433" s="46" t="str">
        <f aca="false">IF(H1433="","",IF(OR(A1433&lt;I_Parameter!$C$5,A1433&gt;I_Parameter!$C$6),0,IF(B1433="Aktual",1,IF(AND(B1433="Order",A1433&gt;=I_Parameter!$C$4),1,0))))</f>
        <v/>
      </c>
    </row>
    <row r="1434" customFormat="false" ht="15" hidden="false" customHeight="false" outlineLevel="0" collapsed="false">
      <c r="A1434" s="37"/>
      <c r="B1434" s="44"/>
      <c r="C1434" s="44"/>
      <c r="D1434" s="44"/>
      <c r="E1434" s="44"/>
      <c r="F1434" s="44"/>
      <c r="G1434" s="34" t="str">
        <f aca="false">IF(F1434&lt;&gt;"",F1434,IF(E1434="","",IFERROR(INDEX(I_Item!$C$6:$C$255,MATCH(E1434,I_Item!$A$6:$A$255,0)),"KODE BARU")))</f>
        <v/>
      </c>
      <c r="H1434" s="45"/>
      <c r="I1434" s="42"/>
      <c r="J1434" s="11" t="str">
        <f aca="false">IF(H1434="","",H1434*I1434)</f>
        <v/>
      </c>
      <c r="K1434" s="42"/>
      <c r="L1434" s="11" t="str">
        <f aca="false">IF(H1434="","",IF(K1434&lt;&gt;"",K1434,H1434*IFERROR(INDEX(O_Stok!$Q$6:$Q$85,MATCH(G1434,O_Stok!$A$6:$A$85,0)),0)))</f>
        <v/>
      </c>
      <c r="M1434" s="11" t="str">
        <f aca="false">IF(H1434="","",J1434-L1434)</f>
        <v/>
      </c>
      <c r="N1434" s="34" t="str">
        <f aca="false">IF(G1434="","",IFERROR(INDEX(I_Master!$B$6:$B$85,MATCH(G1434,I_Master!$A$6:$A$85,0)),"?"))</f>
        <v/>
      </c>
      <c r="O1434" s="34" t="str">
        <f aca="false">IF(G1434="","",IFERROR(INDEX(I_Master!$E$6:$E$85,MATCH(G1434,I_Master!$A$6:$A$85,0)),"?"))</f>
        <v/>
      </c>
      <c r="P1434" s="46" t="str">
        <f aca="false">IF(H1434="","",IF(OR(A1434&lt;I_Parameter!$C$5,A1434&gt;I_Parameter!$C$6),0,IF(B1434="Aktual",1,IF(AND(B1434="Order",A1434&gt;=I_Parameter!$C$4),1,0))))</f>
        <v/>
      </c>
    </row>
    <row r="1435" customFormat="false" ht="15" hidden="false" customHeight="false" outlineLevel="0" collapsed="false">
      <c r="A1435" s="37"/>
      <c r="B1435" s="44"/>
      <c r="C1435" s="44"/>
      <c r="D1435" s="44"/>
      <c r="E1435" s="44"/>
      <c r="F1435" s="44"/>
      <c r="G1435" s="34" t="str">
        <f aca="false">IF(F1435&lt;&gt;"",F1435,IF(E1435="","",IFERROR(INDEX(I_Item!$C$6:$C$255,MATCH(E1435,I_Item!$A$6:$A$255,0)),"KODE BARU")))</f>
        <v/>
      </c>
      <c r="H1435" s="45"/>
      <c r="I1435" s="42"/>
      <c r="J1435" s="11" t="str">
        <f aca="false">IF(H1435="","",H1435*I1435)</f>
        <v/>
      </c>
      <c r="K1435" s="42"/>
      <c r="L1435" s="11" t="str">
        <f aca="false">IF(H1435="","",IF(K1435&lt;&gt;"",K1435,H1435*IFERROR(INDEX(O_Stok!$Q$6:$Q$85,MATCH(G1435,O_Stok!$A$6:$A$85,0)),0)))</f>
        <v/>
      </c>
      <c r="M1435" s="11" t="str">
        <f aca="false">IF(H1435="","",J1435-L1435)</f>
        <v/>
      </c>
      <c r="N1435" s="34" t="str">
        <f aca="false">IF(G1435="","",IFERROR(INDEX(I_Master!$B$6:$B$85,MATCH(G1435,I_Master!$A$6:$A$85,0)),"?"))</f>
        <v/>
      </c>
      <c r="O1435" s="34" t="str">
        <f aca="false">IF(G1435="","",IFERROR(INDEX(I_Master!$E$6:$E$85,MATCH(G1435,I_Master!$A$6:$A$85,0)),"?"))</f>
        <v/>
      </c>
      <c r="P1435" s="46" t="str">
        <f aca="false">IF(H1435="","",IF(OR(A1435&lt;I_Parameter!$C$5,A1435&gt;I_Parameter!$C$6),0,IF(B1435="Aktual",1,IF(AND(B1435="Order",A1435&gt;=I_Parameter!$C$4),1,0))))</f>
        <v/>
      </c>
    </row>
    <row r="1436" customFormat="false" ht="15" hidden="false" customHeight="false" outlineLevel="0" collapsed="false">
      <c r="A1436" s="37"/>
      <c r="B1436" s="44"/>
      <c r="C1436" s="44"/>
      <c r="D1436" s="44"/>
      <c r="E1436" s="44"/>
      <c r="F1436" s="44"/>
      <c r="G1436" s="34" t="str">
        <f aca="false">IF(F1436&lt;&gt;"",F1436,IF(E1436="","",IFERROR(INDEX(I_Item!$C$6:$C$255,MATCH(E1436,I_Item!$A$6:$A$255,0)),"KODE BARU")))</f>
        <v/>
      </c>
      <c r="H1436" s="45"/>
      <c r="I1436" s="42"/>
      <c r="J1436" s="11" t="str">
        <f aca="false">IF(H1436="","",H1436*I1436)</f>
        <v/>
      </c>
      <c r="K1436" s="42"/>
      <c r="L1436" s="11" t="str">
        <f aca="false">IF(H1436="","",IF(K1436&lt;&gt;"",K1436,H1436*IFERROR(INDEX(O_Stok!$Q$6:$Q$85,MATCH(G1436,O_Stok!$A$6:$A$85,0)),0)))</f>
        <v/>
      </c>
      <c r="M1436" s="11" t="str">
        <f aca="false">IF(H1436="","",J1436-L1436)</f>
        <v/>
      </c>
      <c r="N1436" s="34" t="str">
        <f aca="false">IF(G1436="","",IFERROR(INDEX(I_Master!$B$6:$B$85,MATCH(G1436,I_Master!$A$6:$A$85,0)),"?"))</f>
        <v/>
      </c>
      <c r="O1436" s="34" t="str">
        <f aca="false">IF(G1436="","",IFERROR(INDEX(I_Master!$E$6:$E$85,MATCH(G1436,I_Master!$A$6:$A$85,0)),"?"))</f>
        <v/>
      </c>
      <c r="P1436" s="46" t="str">
        <f aca="false">IF(H1436="","",IF(OR(A1436&lt;I_Parameter!$C$5,A1436&gt;I_Parameter!$C$6),0,IF(B1436="Aktual",1,IF(AND(B1436="Order",A1436&gt;=I_Parameter!$C$4),1,0))))</f>
        <v/>
      </c>
    </row>
    <row r="1437" customFormat="false" ht="15" hidden="false" customHeight="false" outlineLevel="0" collapsed="false">
      <c r="A1437" s="37"/>
      <c r="B1437" s="44"/>
      <c r="C1437" s="44"/>
      <c r="D1437" s="44"/>
      <c r="E1437" s="44"/>
      <c r="F1437" s="44"/>
      <c r="G1437" s="34" t="str">
        <f aca="false">IF(F1437&lt;&gt;"",F1437,IF(E1437="","",IFERROR(INDEX(I_Item!$C$6:$C$255,MATCH(E1437,I_Item!$A$6:$A$255,0)),"KODE BARU")))</f>
        <v/>
      </c>
      <c r="H1437" s="45"/>
      <c r="I1437" s="42"/>
      <c r="J1437" s="11" t="str">
        <f aca="false">IF(H1437="","",H1437*I1437)</f>
        <v/>
      </c>
      <c r="K1437" s="42"/>
      <c r="L1437" s="11" t="str">
        <f aca="false">IF(H1437="","",IF(K1437&lt;&gt;"",K1437,H1437*IFERROR(INDEX(O_Stok!$Q$6:$Q$85,MATCH(G1437,O_Stok!$A$6:$A$85,0)),0)))</f>
        <v/>
      </c>
      <c r="M1437" s="11" t="str">
        <f aca="false">IF(H1437="","",J1437-L1437)</f>
        <v/>
      </c>
      <c r="N1437" s="34" t="str">
        <f aca="false">IF(G1437="","",IFERROR(INDEX(I_Master!$B$6:$B$85,MATCH(G1437,I_Master!$A$6:$A$85,0)),"?"))</f>
        <v/>
      </c>
      <c r="O1437" s="34" t="str">
        <f aca="false">IF(G1437="","",IFERROR(INDEX(I_Master!$E$6:$E$85,MATCH(G1437,I_Master!$A$6:$A$85,0)),"?"))</f>
        <v/>
      </c>
      <c r="P1437" s="46" t="str">
        <f aca="false">IF(H1437="","",IF(OR(A1437&lt;I_Parameter!$C$5,A1437&gt;I_Parameter!$C$6),0,IF(B1437="Aktual",1,IF(AND(B1437="Order",A1437&gt;=I_Parameter!$C$4),1,0))))</f>
        <v/>
      </c>
    </row>
    <row r="1438" customFormat="false" ht="15" hidden="false" customHeight="false" outlineLevel="0" collapsed="false">
      <c r="A1438" s="37"/>
      <c r="B1438" s="44"/>
      <c r="C1438" s="44"/>
      <c r="D1438" s="44"/>
      <c r="E1438" s="44"/>
      <c r="F1438" s="44"/>
      <c r="G1438" s="34" t="str">
        <f aca="false">IF(F1438&lt;&gt;"",F1438,IF(E1438="","",IFERROR(INDEX(I_Item!$C$6:$C$255,MATCH(E1438,I_Item!$A$6:$A$255,0)),"KODE BARU")))</f>
        <v/>
      </c>
      <c r="H1438" s="45"/>
      <c r="I1438" s="42"/>
      <c r="J1438" s="11" t="str">
        <f aca="false">IF(H1438="","",H1438*I1438)</f>
        <v/>
      </c>
      <c r="K1438" s="42"/>
      <c r="L1438" s="11" t="str">
        <f aca="false">IF(H1438="","",IF(K1438&lt;&gt;"",K1438,H1438*IFERROR(INDEX(O_Stok!$Q$6:$Q$85,MATCH(G1438,O_Stok!$A$6:$A$85,0)),0)))</f>
        <v/>
      </c>
      <c r="M1438" s="11" t="str">
        <f aca="false">IF(H1438="","",J1438-L1438)</f>
        <v/>
      </c>
      <c r="N1438" s="34" t="str">
        <f aca="false">IF(G1438="","",IFERROR(INDEX(I_Master!$B$6:$B$85,MATCH(G1438,I_Master!$A$6:$A$85,0)),"?"))</f>
        <v/>
      </c>
      <c r="O1438" s="34" t="str">
        <f aca="false">IF(G1438="","",IFERROR(INDEX(I_Master!$E$6:$E$85,MATCH(G1438,I_Master!$A$6:$A$85,0)),"?"))</f>
        <v/>
      </c>
      <c r="P1438" s="46" t="str">
        <f aca="false">IF(H1438="","",IF(OR(A1438&lt;I_Parameter!$C$5,A1438&gt;I_Parameter!$C$6),0,IF(B1438="Aktual",1,IF(AND(B1438="Order",A1438&gt;=I_Parameter!$C$4),1,0))))</f>
        <v/>
      </c>
    </row>
    <row r="1439" customFormat="false" ht="15" hidden="false" customHeight="false" outlineLevel="0" collapsed="false">
      <c r="A1439" s="37"/>
      <c r="B1439" s="44"/>
      <c r="C1439" s="44"/>
      <c r="D1439" s="44"/>
      <c r="E1439" s="44"/>
      <c r="F1439" s="44"/>
      <c r="G1439" s="34" t="str">
        <f aca="false">IF(F1439&lt;&gt;"",F1439,IF(E1439="","",IFERROR(INDEX(I_Item!$C$6:$C$255,MATCH(E1439,I_Item!$A$6:$A$255,0)),"KODE BARU")))</f>
        <v/>
      </c>
      <c r="H1439" s="45"/>
      <c r="I1439" s="42"/>
      <c r="J1439" s="11" t="str">
        <f aca="false">IF(H1439="","",H1439*I1439)</f>
        <v/>
      </c>
      <c r="K1439" s="42"/>
      <c r="L1439" s="11" t="str">
        <f aca="false">IF(H1439="","",IF(K1439&lt;&gt;"",K1439,H1439*IFERROR(INDEX(O_Stok!$Q$6:$Q$85,MATCH(G1439,O_Stok!$A$6:$A$85,0)),0)))</f>
        <v/>
      </c>
      <c r="M1439" s="11" t="str">
        <f aca="false">IF(H1439="","",J1439-L1439)</f>
        <v/>
      </c>
      <c r="N1439" s="34" t="str">
        <f aca="false">IF(G1439="","",IFERROR(INDEX(I_Master!$B$6:$B$85,MATCH(G1439,I_Master!$A$6:$A$85,0)),"?"))</f>
        <v/>
      </c>
      <c r="O1439" s="34" t="str">
        <f aca="false">IF(G1439="","",IFERROR(INDEX(I_Master!$E$6:$E$85,MATCH(G1439,I_Master!$A$6:$A$85,0)),"?"))</f>
        <v/>
      </c>
      <c r="P1439" s="46" t="str">
        <f aca="false">IF(H1439="","",IF(OR(A1439&lt;I_Parameter!$C$5,A1439&gt;I_Parameter!$C$6),0,IF(B1439="Aktual",1,IF(AND(B1439="Order",A1439&gt;=I_Parameter!$C$4),1,0))))</f>
        <v/>
      </c>
    </row>
    <row r="1440" customFormat="false" ht="15" hidden="false" customHeight="false" outlineLevel="0" collapsed="false">
      <c r="A1440" s="37"/>
      <c r="B1440" s="44"/>
      <c r="C1440" s="44"/>
      <c r="D1440" s="44"/>
      <c r="E1440" s="44"/>
      <c r="F1440" s="44"/>
      <c r="G1440" s="34" t="str">
        <f aca="false">IF(F1440&lt;&gt;"",F1440,IF(E1440="","",IFERROR(INDEX(I_Item!$C$6:$C$255,MATCH(E1440,I_Item!$A$6:$A$255,0)),"KODE BARU")))</f>
        <v/>
      </c>
      <c r="H1440" s="45"/>
      <c r="I1440" s="42"/>
      <c r="J1440" s="11" t="str">
        <f aca="false">IF(H1440="","",H1440*I1440)</f>
        <v/>
      </c>
      <c r="K1440" s="42"/>
      <c r="L1440" s="11" t="str">
        <f aca="false">IF(H1440="","",IF(K1440&lt;&gt;"",K1440,H1440*IFERROR(INDEX(O_Stok!$Q$6:$Q$85,MATCH(G1440,O_Stok!$A$6:$A$85,0)),0)))</f>
        <v/>
      </c>
      <c r="M1440" s="11" t="str">
        <f aca="false">IF(H1440="","",J1440-L1440)</f>
        <v/>
      </c>
      <c r="N1440" s="34" t="str">
        <f aca="false">IF(G1440="","",IFERROR(INDEX(I_Master!$B$6:$B$85,MATCH(G1440,I_Master!$A$6:$A$85,0)),"?"))</f>
        <v/>
      </c>
      <c r="O1440" s="34" t="str">
        <f aca="false">IF(G1440="","",IFERROR(INDEX(I_Master!$E$6:$E$85,MATCH(G1440,I_Master!$A$6:$A$85,0)),"?"))</f>
        <v/>
      </c>
      <c r="P1440" s="46" t="str">
        <f aca="false">IF(H1440="","",IF(OR(A1440&lt;I_Parameter!$C$5,A1440&gt;I_Parameter!$C$6),0,IF(B1440="Aktual",1,IF(AND(B1440="Order",A1440&gt;=I_Parameter!$C$4),1,0))))</f>
        <v/>
      </c>
    </row>
    <row r="1441" customFormat="false" ht="15" hidden="false" customHeight="false" outlineLevel="0" collapsed="false">
      <c r="A1441" s="37"/>
      <c r="B1441" s="44"/>
      <c r="C1441" s="44"/>
      <c r="D1441" s="44"/>
      <c r="E1441" s="44"/>
      <c r="F1441" s="44"/>
      <c r="G1441" s="34" t="str">
        <f aca="false">IF(F1441&lt;&gt;"",F1441,IF(E1441="","",IFERROR(INDEX(I_Item!$C$6:$C$255,MATCH(E1441,I_Item!$A$6:$A$255,0)),"KODE BARU")))</f>
        <v/>
      </c>
      <c r="H1441" s="45"/>
      <c r="I1441" s="42"/>
      <c r="J1441" s="11" t="str">
        <f aca="false">IF(H1441="","",H1441*I1441)</f>
        <v/>
      </c>
      <c r="K1441" s="42"/>
      <c r="L1441" s="11" t="str">
        <f aca="false">IF(H1441="","",IF(K1441&lt;&gt;"",K1441,H1441*IFERROR(INDEX(O_Stok!$Q$6:$Q$85,MATCH(G1441,O_Stok!$A$6:$A$85,0)),0)))</f>
        <v/>
      </c>
      <c r="M1441" s="11" t="str">
        <f aca="false">IF(H1441="","",J1441-L1441)</f>
        <v/>
      </c>
      <c r="N1441" s="34" t="str">
        <f aca="false">IF(G1441="","",IFERROR(INDEX(I_Master!$B$6:$B$85,MATCH(G1441,I_Master!$A$6:$A$85,0)),"?"))</f>
        <v/>
      </c>
      <c r="O1441" s="34" t="str">
        <f aca="false">IF(G1441="","",IFERROR(INDEX(I_Master!$E$6:$E$85,MATCH(G1441,I_Master!$A$6:$A$85,0)),"?"))</f>
        <v/>
      </c>
      <c r="P1441" s="46" t="str">
        <f aca="false">IF(H1441="","",IF(OR(A1441&lt;I_Parameter!$C$5,A1441&gt;I_Parameter!$C$6),0,IF(B1441="Aktual",1,IF(AND(B1441="Order",A1441&gt;=I_Parameter!$C$4),1,0))))</f>
        <v/>
      </c>
    </row>
    <row r="1442" customFormat="false" ht="15" hidden="false" customHeight="false" outlineLevel="0" collapsed="false">
      <c r="A1442" s="37"/>
      <c r="B1442" s="44"/>
      <c r="C1442" s="44"/>
      <c r="D1442" s="44"/>
      <c r="E1442" s="44"/>
      <c r="F1442" s="44"/>
      <c r="G1442" s="34" t="str">
        <f aca="false">IF(F1442&lt;&gt;"",F1442,IF(E1442="","",IFERROR(INDEX(I_Item!$C$6:$C$255,MATCH(E1442,I_Item!$A$6:$A$255,0)),"KODE BARU")))</f>
        <v/>
      </c>
      <c r="H1442" s="45"/>
      <c r="I1442" s="42"/>
      <c r="J1442" s="11" t="str">
        <f aca="false">IF(H1442="","",H1442*I1442)</f>
        <v/>
      </c>
      <c r="K1442" s="42"/>
      <c r="L1442" s="11" t="str">
        <f aca="false">IF(H1442="","",IF(K1442&lt;&gt;"",K1442,H1442*IFERROR(INDEX(O_Stok!$Q$6:$Q$85,MATCH(G1442,O_Stok!$A$6:$A$85,0)),0)))</f>
        <v/>
      </c>
      <c r="M1442" s="11" t="str">
        <f aca="false">IF(H1442="","",J1442-L1442)</f>
        <v/>
      </c>
      <c r="N1442" s="34" t="str">
        <f aca="false">IF(G1442="","",IFERROR(INDEX(I_Master!$B$6:$B$85,MATCH(G1442,I_Master!$A$6:$A$85,0)),"?"))</f>
        <v/>
      </c>
      <c r="O1442" s="34" t="str">
        <f aca="false">IF(G1442="","",IFERROR(INDEX(I_Master!$E$6:$E$85,MATCH(G1442,I_Master!$A$6:$A$85,0)),"?"))</f>
        <v/>
      </c>
      <c r="P1442" s="46" t="str">
        <f aca="false">IF(H1442="","",IF(OR(A1442&lt;I_Parameter!$C$5,A1442&gt;I_Parameter!$C$6),0,IF(B1442="Aktual",1,IF(AND(B1442="Order",A1442&gt;=I_Parameter!$C$4),1,0))))</f>
        <v/>
      </c>
    </row>
    <row r="1443" customFormat="false" ht="15" hidden="false" customHeight="false" outlineLevel="0" collapsed="false">
      <c r="A1443" s="37"/>
      <c r="B1443" s="44"/>
      <c r="C1443" s="44"/>
      <c r="D1443" s="44"/>
      <c r="E1443" s="44"/>
      <c r="F1443" s="44"/>
      <c r="G1443" s="34" t="str">
        <f aca="false">IF(F1443&lt;&gt;"",F1443,IF(E1443="","",IFERROR(INDEX(I_Item!$C$6:$C$255,MATCH(E1443,I_Item!$A$6:$A$255,0)),"KODE BARU")))</f>
        <v/>
      </c>
      <c r="H1443" s="45"/>
      <c r="I1443" s="42"/>
      <c r="J1443" s="11" t="str">
        <f aca="false">IF(H1443="","",H1443*I1443)</f>
        <v/>
      </c>
      <c r="K1443" s="42"/>
      <c r="L1443" s="11" t="str">
        <f aca="false">IF(H1443="","",IF(K1443&lt;&gt;"",K1443,H1443*IFERROR(INDEX(O_Stok!$Q$6:$Q$85,MATCH(G1443,O_Stok!$A$6:$A$85,0)),0)))</f>
        <v/>
      </c>
      <c r="M1443" s="11" t="str">
        <f aca="false">IF(H1443="","",J1443-L1443)</f>
        <v/>
      </c>
      <c r="N1443" s="34" t="str">
        <f aca="false">IF(G1443="","",IFERROR(INDEX(I_Master!$B$6:$B$85,MATCH(G1443,I_Master!$A$6:$A$85,0)),"?"))</f>
        <v/>
      </c>
      <c r="O1443" s="34" t="str">
        <f aca="false">IF(G1443="","",IFERROR(INDEX(I_Master!$E$6:$E$85,MATCH(G1443,I_Master!$A$6:$A$85,0)),"?"))</f>
        <v/>
      </c>
      <c r="P1443" s="46" t="str">
        <f aca="false">IF(H1443="","",IF(OR(A1443&lt;I_Parameter!$C$5,A1443&gt;I_Parameter!$C$6),0,IF(B1443="Aktual",1,IF(AND(B1443="Order",A1443&gt;=I_Parameter!$C$4),1,0))))</f>
        <v/>
      </c>
    </row>
    <row r="1444" customFormat="false" ht="15" hidden="false" customHeight="false" outlineLevel="0" collapsed="false">
      <c r="A1444" s="37"/>
      <c r="B1444" s="44"/>
      <c r="C1444" s="44"/>
      <c r="D1444" s="44"/>
      <c r="E1444" s="44"/>
      <c r="F1444" s="44"/>
      <c r="G1444" s="34" t="str">
        <f aca="false">IF(F1444&lt;&gt;"",F1444,IF(E1444="","",IFERROR(INDEX(I_Item!$C$6:$C$255,MATCH(E1444,I_Item!$A$6:$A$255,0)),"KODE BARU")))</f>
        <v/>
      </c>
      <c r="H1444" s="45"/>
      <c r="I1444" s="42"/>
      <c r="J1444" s="11" t="str">
        <f aca="false">IF(H1444="","",H1444*I1444)</f>
        <v/>
      </c>
      <c r="K1444" s="42"/>
      <c r="L1444" s="11" t="str">
        <f aca="false">IF(H1444="","",IF(K1444&lt;&gt;"",K1444,H1444*IFERROR(INDEX(O_Stok!$Q$6:$Q$85,MATCH(G1444,O_Stok!$A$6:$A$85,0)),0)))</f>
        <v/>
      </c>
      <c r="M1444" s="11" t="str">
        <f aca="false">IF(H1444="","",J1444-L1444)</f>
        <v/>
      </c>
      <c r="N1444" s="34" t="str">
        <f aca="false">IF(G1444="","",IFERROR(INDEX(I_Master!$B$6:$B$85,MATCH(G1444,I_Master!$A$6:$A$85,0)),"?"))</f>
        <v/>
      </c>
      <c r="O1444" s="34" t="str">
        <f aca="false">IF(G1444="","",IFERROR(INDEX(I_Master!$E$6:$E$85,MATCH(G1444,I_Master!$A$6:$A$85,0)),"?"))</f>
        <v/>
      </c>
      <c r="P1444" s="46" t="str">
        <f aca="false">IF(H1444="","",IF(OR(A1444&lt;I_Parameter!$C$5,A1444&gt;I_Parameter!$C$6),0,IF(B1444="Aktual",1,IF(AND(B1444="Order",A1444&gt;=I_Parameter!$C$4),1,0))))</f>
        <v/>
      </c>
    </row>
    <row r="1445" customFormat="false" ht="15" hidden="false" customHeight="false" outlineLevel="0" collapsed="false">
      <c r="A1445" s="37"/>
      <c r="B1445" s="44"/>
      <c r="C1445" s="44"/>
      <c r="D1445" s="44"/>
      <c r="E1445" s="44"/>
      <c r="F1445" s="44"/>
      <c r="G1445" s="34" t="str">
        <f aca="false">IF(F1445&lt;&gt;"",F1445,IF(E1445="","",IFERROR(INDEX(I_Item!$C$6:$C$255,MATCH(E1445,I_Item!$A$6:$A$255,0)),"KODE BARU")))</f>
        <v/>
      </c>
      <c r="H1445" s="45"/>
      <c r="I1445" s="42"/>
      <c r="J1445" s="11" t="str">
        <f aca="false">IF(H1445="","",H1445*I1445)</f>
        <v/>
      </c>
      <c r="K1445" s="42"/>
      <c r="L1445" s="11" t="str">
        <f aca="false">IF(H1445="","",IF(K1445&lt;&gt;"",K1445,H1445*IFERROR(INDEX(O_Stok!$Q$6:$Q$85,MATCH(G1445,O_Stok!$A$6:$A$85,0)),0)))</f>
        <v/>
      </c>
      <c r="M1445" s="11" t="str">
        <f aca="false">IF(H1445="","",J1445-L1445)</f>
        <v/>
      </c>
      <c r="N1445" s="34" t="str">
        <f aca="false">IF(G1445="","",IFERROR(INDEX(I_Master!$B$6:$B$85,MATCH(G1445,I_Master!$A$6:$A$85,0)),"?"))</f>
        <v/>
      </c>
      <c r="O1445" s="34" t="str">
        <f aca="false">IF(G1445="","",IFERROR(INDEX(I_Master!$E$6:$E$85,MATCH(G1445,I_Master!$A$6:$A$85,0)),"?"))</f>
        <v/>
      </c>
      <c r="P1445" s="46" t="str">
        <f aca="false">IF(H1445="","",IF(OR(A1445&lt;I_Parameter!$C$5,A1445&gt;I_Parameter!$C$6),0,IF(B1445="Aktual",1,IF(AND(B1445="Order",A1445&gt;=I_Parameter!$C$4),1,0))))</f>
        <v/>
      </c>
    </row>
    <row r="1446" customFormat="false" ht="15" hidden="false" customHeight="false" outlineLevel="0" collapsed="false">
      <c r="A1446" s="37"/>
      <c r="B1446" s="44"/>
      <c r="C1446" s="44"/>
      <c r="D1446" s="44"/>
      <c r="E1446" s="44"/>
      <c r="F1446" s="44"/>
      <c r="G1446" s="34" t="str">
        <f aca="false">IF(F1446&lt;&gt;"",F1446,IF(E1446="","",IFERROR(INDEX(I_Item!$C$6:$C$255,MATCH(E1446,I_Item!$A$6:$A$255,0)),"KODE BARU")))</f>
        <v/>
      </c>
      <c r="H1446" s="45"/>
      <c r="I1446" s="42"/>
      <c r="J1446" s="11" t="str">
        <f aca="false">IF(H1446="","",H1446*I1446)</f>
        <v/>
      </c>
      <c r="K1446" s="42"/>
      <c r="L1446" s="11" t="str">
        <f aca="false">IF(H1446="","",IF(K1446&lt;&gt;"",K1446,H1446*IFERROR(INDEX(O_Stok!$Q$6:$Q$85,MATCH(G1446,O_Stok!$A$6:$A$85,0)),0)))</f>
        <v/>
      </c>
      <c r="M1446" s="11" t="str">
        <f aca="false">IF(H1446="","",J1446-L1446)</f>
        <v/>
      </c>
      <c r="N1446" s="34" t="str">
        <f aca="false">IF(G1446="","",IFERROR(INDEX(I_Master!$B$6:$B$85,MATCH(G1446,I_Master!$A$6:$A$85,0)),"?"))</f>
        <v/>
      </c>
      <c r="O1446" s="34" t="str">
        <f aca="false">IF(G1446="","",IFERROR(INDEX(I_Master!$E$6:$E$85,MATCH(G1446,I_Master!$A$6:$A$85,0)),"?"))</f>
        <v/>
      </c>
      <c r="P1446" s="46" t="str">
        <f aca="false">IF(H1446="","",IF(OR(A1446&lt;I_Parameter!$C$5,A1446&gt;I_Parameter!$C$6),0,IF(B1446="Aktual",1,IF(AND(B1446="Order",A1446&gt;=I_Parameter!$C$4),1,0))))</f>
        <v/>
      </c>
    </row>
    <row r="1447" customFormat="false" ht="15" hidden="false" customHeight="false" outlineLevel="0" collapsed="false">
      <c r="A1447" s="37"/>
      <c r="B1447" s="44"/>
      <c r="C1447" s="44"/>
      <c r="D1447" s="44"/>
      <c r="E1447" s="44"/>
      <c r="F1447" s="44"/>
      <c r="G1447" s="34" t="str">
        <f aca="false">IF(F1447&lt;&gt;"",F1447,IF(E1447="","",IFERROR(INDEX(I_Item!$C$6:$C$255,MATCH(E1447,I_Item!$A$6:$A$255,0)),"KODE BARU")))</f>
        <v/>
      </c>
      <c r="H1447" s="45"/>
      <c r="I1447" s="42"/>
      <c r="J1447" s="11" t="str">
        <f aca="false">IF(H1447="","",H1447*I1447)</f>
        <v/>
      </c>
      <c r="K1447" s="42"/>
      <c r="L1447" s="11" t="str">
        <f aca="false">IF(H1447="","",IF(K1447&lt;&gt;"",K1447,H1447*IFERROR(INDEX(O_Stok!$Q$6:$Q$85,MATCH(G1447,O_Stok!$A$6:$A$85,0)),0)))</f>
        <v/>
      </c>
      <c r="M1447" s="11" t="str">
        <f aca="false">IF(H1447="","",J1447-L1447)</f>
        <v/>
      </c>
      <c r="N1447" s="34" t="str">
        <f aca="false">IF(G1447="","",IFERROR(INDEX(I_Master!$B$6:$B$85,MATCH(G1447,I_Master!$A$6:$A$85,0)),"?"))</f>
        <v/>
      </c>
      <c r="O1447" s="34" t="str">
        <f aca="false">IF(G1447="","",IFERROR(INDEX(I_Master!$E$6:$E$85,MATCH(G1447,I_Master!$A$6:$A$85,0)),"?"))</f>
        <v/>
      </c>
      <c r="P1447" s="46" t="str">
        <f aca="false">IF(H1447="","",IF(OR(A1447&lt;I_Parameter!$C$5,A1447&gt;I_Parameter!$C$6),0,IF(B1447="Aktual",1,IF(AND(B1447="Order",A1447&gt;=I_Parameter!$C$4),1,0))))</f>
        <v/>
      </c>
    </row>
    <row r="1448" customFormat="false" ht="15" hidden="false" customHeight="false" outlineLevel="0" collapsed="false">
      <c r="A1448" s="37"/>
      <c r="B1448" s="44"/>
      <c r="C1448" s="44"/>
      <c r="D1448" s="44"/>
      <c r="E1448" s="44"/>
      <c r="F1448" s="44"/>
      <c r="G1448" s="34" t="str">
        <f aca="false">IF(F1448&lt;&gt;"",F1448,IF(E1448="","",IFERROR(INDEX(I_Item!$C$6:$C$255,MATCH(E1448,I_Item!$A$6:$A$255,0)),"KODE BARU")))</f>
        <v/>
      </c>
      <c r="H1448" s="45"/>
      <c r="I1448" s="42"/>
      <c r="J1448" s="11" t="str">
        <f aca="false">IF(H1448="","",H1448*I1448)</f>
        <v/>
      </c>
      <c r="K1448" s="42"/>
      <c r="L1448" s="11" t="str">
        <f aca="false">IF(H1448="","",IF(K1448&lt;&gt;"",K1448,H1448*IFERROR(INDEX(O_Stok!$Q$6:$Q$85,MATCH(G1448,O_Stok!$A$6:$A$85,0)),0)))</f>
        <v/>
      </c>
      <c r="M1448" s="11" t="str">
        <f aca="false">IF(H1448="","",J1448-L1448)</f>
        <v/>
      </c>
      <c r="N1448" s="34" t="str">
        <f aca="false">IF(G1448="","",IFERROR(INDEX(I_Master!$B$6:$B$85,MATCH(G1448,I_Master!$A$6:$A$85,0)),"?"))</f>
        <v/>
      </c>
      <c r="O1448" s="34" t="str">
        <f aca="false">IF(G1448="","",IFERROR(INDEX(I_Master!$E$6:$E$85,MATCH(G1448,I_Master!$A$6:$A$85,0)),"?"))</f>
        <v/>
      </c>
      <c r="P1448" s="46" t="str">
        <f aca="false">IF(H1448="","",IF(OR(A1448&lt;I_Parameter!$C$5,A1448&gt;I_Parameter!$C$6),0,IF(B1448="Aktual",1,IF(AND(B1448="Order",A1448&gt;=I_Parameter!$C$4),1,0))))</f>
        <v/>
      </c>
    </row>
    <row r="1449" customFormat="false" ht="15" hidden="false" customHeight="false" outlineLevel="0" collapsed="false">
      <c r="A1449" s="37"/>
      <c r="B1449" s="44"/>
      <c r="C1449" s="44"/>
      <c r="D1449" s="44"/>
      <c r="E1449" s="44"/>
      <c r="F1449" s="44"/>
      <c r="G1449" s="34" t="str">
        <f aca="false">IF(F1449&lt;&gt;"",F1449,IF(E1449="","",IFERROR(INDEX(I_Item!$C$6:$C$255,MATCH(E1449,I_Item!$A$6:$A$255,0)),"KODE BARU")))</f>
        <v/>
      </c>
      <c r="H1449" s="45"/>
      <c r="I1449" s="42"/>
      <c r="J1449" s="11" t="str">
        <f aca="false">IF(H1449="","",H1449*I1449)</f>
        <v/>
      </c>
      <c r="K1449" s="42"/>
      <c r="L1449" s="11" t="str">
        <f aca="false">IF(H1449="","",IF(K1449&lt;&gt;"",K1449,H1449*IFERROR(INDEX(O_Stok!$Q$6:$Q$85,MATCH(G1449,O_Stok!$A$6:$A$85,0)),0)))</f>
        <v/>
      </c>
      <c r="M1449" s="11" t="str">
        <f aca="false">IF(H1449="","",J1449-L1449)</f>
        <v/>
      </c>
      <c r="N1449" s="34" t="str">
        <f aca="false">IF(G1449="","",IFERROR(INDEX(I_Master!$B$6:$B$85,MATCH(G1449,I_Master!$A$6:$A$85,0)),"?"))</f>
        <v/>
      </c>
      <c r="O1449" s="34" t="str">
        <f aca="false">IF(G1449="","",IFERROR(INDEX(I_Master!$E$6:$E$85,MATCH(G1449,I_Master!$A$6:$A$85,0)),"?"))</f>
        <v/>
      </c>
      <c r="P1449" s="46" t="str">
        <f aca="false">IF(H1449="","",IF(OR(A1449&lt;I_Parameter!$C$5,A1449&gt;I_Parameter!$C$6),0,IF(B1449="Aktual",1,IF(AND(B1449="Order",A1449&gt;=I_Parameter!$C$4),1,0))))</f>
        <v/>
      </c>
    </row>
    <row r="1450" customFormat="false" ht="15" hidden="false" customHeight="false" outlineLevel="0" collapsed="false">
      <c r="A1450" s="37"/>
      <c r="B1450" s="44"/>
      <c r="C1450" s="44"/>
      <c r="D1450" s="44"/>
      <c r="E1450" s="44"/>
      <c r="F1450" s="44"/>
      <c r="G1450" s="34" t="str">
        <f aca="false">IF(F1450&lt;&gt;"",F1450,IF(E1450="","",IFERROR(INDEX(I_Item!$C$6:$C$255,MATCH(E1450,I_Item!$A$6:$A$255,0)),"KODE BARU")))</f>
        <v/>
      </c>
      <c r="H1450" s="45"/>
      <c r="I1450" s="42"/>
      <c r="J1450" s="11" t="str">
        <f aca="false">IF(H1450="","",H1450*I1450)</f>
        <v/>
      </c>
      <c r="K1450" s="42"/>
      <c r="L1450" s="11" t="str">
        <f aca="false">IF(H1450="","",IF(K1450&lt;&gt;"",K1450,H1450*IFERROR(INDEX(O_Stok!$Q$6:$Q$85,MATCH(G1450,O_Stok!$A$6:$A$85,0)),0)))</f>
        <v/>
      </c>
      <c r="M1450" s="11" t="str">
        <f aca="false">IF(H1450="","",J1450-L1450)</f>
        <v/>
      </c>
      <c r="N1450" s="34" t="str">
        <f aca="false">IF(G1450="","",IFERROR(INDEX(I_Master!$B$6:$B$85,MATCH(G1450,I_Master!$A$6:$A$85,0)),"?"))</f>
        <v/>
      </c>
      <c r="O1450" s="34" t="str">
        <f aca="false">IF(G1450="","",IFERROR(INDEX(I_Master!$E$6:$E$85,MATCH(G1450,I_Master!$A$6:$A$85,0)),"?"))</f>
        <v/>
      </c>
      <c r="P1450" s="46" t="str">
        <f aca="false">IF(H1450="","",IF(OR(A1450&lt;I_Parameter!$C$5,A1450&gt;I_Parameter!$C$6),0,IF(B1450="Aktual",1,IF(AND(B1450="Order",A1450&gt;=I_Parameter!$C$4),1,0))))</f>
        <v/>
      </c>
    </row>
    <row r="1451" customFormat="false" ht="15" hidden="false" customHeight="false" outlineLevel="0" collapsed="false">
      <c r="A1451" s="37"/>
      <c r="B1451" s="44"/>
      <c r="C1451" s="44"/>
      <c r="D1451" s="44"/>
      <c r="E1451" s="44"/>
      <c r="F1451" s="44"/>
      <c r="G1451" s="34" t="str">
        <f aca="false">IF(F1451&lt;&gt;"",F1451,IF(E1451="","",IFERROR(INDEX(I_Item!$C$6:$C$255,MATCH(E1451,I_Item!$A$6:$A$255,0)),"KODE BARU")))</f>
        <v/>
      </c>
      <c r="H1451" s="45"/>
      <c r="I1451" s="42"/>
      <c r="J1451" s="11" t="str">
        <f aca="false">IF(H1451="","",H1451*I1451)</f>
        <v/>
      </c>
      <c r="K1451" s="42"/>
      <c r="L1451" s="11" t="str">
        <f aca="false">IF(H1451="","",IF(K1451&lt;&gt;"",K1451,H1451*IFERROR(INDEX(O_Stok!$Q$6:$Q$85,MATCH(G1451,O_Stok!$A$6:$A$85,0)),0)))</f>
        <v/>
      </c>
      <c r="M1451" s="11" t="str">
        <f aca="false">IF(H1451="","",J1451-L1451)</f>
        <v/>
      </c>
      <c r="N1451" s="34" t="str">
        <f aca="false">IF(G1451="","",IFERROR(INDEX(I_Master!$B$6:$B$85,MATCH(G1451,I_Master!$A$6:$A$85,0)),"?"))</f>
        <v/>
      </c>
      <c r="O1451" s="34" t="str">
        <f aca="false">IF(G1451="","",IFERROR(INDEX(I_Master!$E$6:$E$85,MATCH(G1451,I_Master!$A$6:$A$85,0)),"?"))</f>
        <v/>
      </c>
      <c r="P1451" s="46" t="str">
        <f aca="false">IF(H1451="","",IF(OR(A1451&lt;I_Parameter!$C$5,A1451&gt;I_Parameter!$C$6),0,IF(B1451="Aktual",1,IF(AND(B1451="Order",A1451&gt;=I_Parameter!$C$4),1,0))))</f>
        <v/>
      </c>
    </row>
    <row r="1452" customFormat="false" ht="15" hidden="false" customHeight="false" outlineLevel="0" collapsed="false">
      <c r="A1452" s="37"/>
      <c r="B1452" s="44"/>
      <c r="C1452" s="44"/>
      <c r="D1452" s="44"/>
      <c r="E1452" s="44"/>
      <c r="F1452" s="44"/>
      <c r="G1452" s="34" t="str">
        <f aca="false">IF(F1452&lt;&gt;"",F1452,IF(E1452="","",IFERROR(INDEX(I_Item!$C$6:$C$255,MATCH(E1452,I_Item!$A$6:$A$255,0)),"KODE BARU")))</f>
        <v/>
      </c>
      <c r="H1452" s="45"/>
      <c r="I1452" s="42"/>
      <c r="J1452" s="11" t="str">
        <f aca="false">IF(H1452="","",H1452*I1452)</f>
        <v/>
      </c>
      <c r="K1452" s="42"/>
      <c r="L1452" s="11" t="str">
        <f aca="false">IF(H1452="","",IF(K1452&lt;&gt;"",K1452,H1452*IFERROR(INDEX(O_Stok!$Q$6:$Q$85,MATCH(G1452,O_Stok!$A$6:$A$85,0)),0)))</f>
        <v/>
      </c>
      <c r="M1452" s="11" t="str">
        <f aca="false">IF(H1452="","",J1452-L1452)</f>
        <v/>
      </c>
      <c r="N1452" s="34" t="str">
        <f aca="false">IF(G1452="","",IFERROR(INDEX(I_Master!$B$6:$B$85,MATCH(G1452,I_Master!$A$6:$A$85,0)),"?"))</f>
        <v/>
      </c>
      <c r="O1452" s="34" t="str">
        <f aca="false">IF(G1452="","",IFERROR(INDEX(I_Master!$E$6:$E$85,MATCH(G1452,I_Master!$A$6:$A$85,0)),"?"))</f>
        <v/>
      </c>
      <c r="P1452" s="46" t="str">
        <f aca="false">IF(H1452="","",IF(OR(A1452&lt;I_Parameter!$C$5,A1452&gt;I_Parameter!$C$6),0,IF(B1452="Aktual",1,IF(AND(B1452="Order",A1452&gt;=I_Parameter!$C$4),1,0))))</f>
        <v/>
      </c>
    </row>
    <row r="1453" customFormat="false" ht="15" hidden="false" customHeight="false" outlineLevel="0" collapsed="false">
      <c r="A1453" s="37"/>
      <c r="B1453" s="44"/>
      <c r="C1453" s="44"/>
      <c r="D1453" s="44"/>
      <c r="E1453" s="44"/>
      <c r="F1453" s="44"/>
      <c r="G1453" s="34" t="str">
        <f aca="false">IF(F1453&lt;&gt;"",F1453,IF(E1453="","",IFERROR(INDEX(I_Item!$C$6:$C$255,MATCH(E1453,I_Item!$A$6:$A$255,0)),"KODE BARU")))</f>
        <v/>
      </c>
      <c r="H1453" s="45"/>
      <c r="I1453" s="42"/>
      <c r="J1453" s="11" t="str">
        <f aca="false">IF(H1453="","",H1453*I1453)</f>
        <v/>
      </c>
      <c r="K1453" s="42"/>
      <c r="L1453" s="11" t="str">
        <f aca="false">IF(H1453="","",IF(K1453&lt;&gt;"",K1453,H1453*IFERROR(INDEX(O_Stok!$Q$6:$Q$85,MATCH(G1453,O_Stok!$A$6:$A$85,0)),0)))</f>
        <v/>
      </c>
      <c r="M1453" s="11" t="str">
        <f aca="false">IF(H1453="","",J1453-L1453)</f>
        <v/>
      </c>
      <c r="N1453" s="34" t="str">
        <f aca="false">IF(G1453="","",IFERROR(INDEX(I_Master!$B$6:$B$85,MATCH(G1453,I_Master!$A$6:$A$85,0)),"?"))</f>
        <v/>
      </c>
      <c r="O1453" s="34" t="str">
        <f aca="false">IF(G1453="","",IFERROR(INDEX(I_Master!$E$6:$E$85,MATCH(G1453,I_Master!$A$6:$A$85,0)),"?"))</f>
        <v/>
      </c>
      <c r="P1453" s="46" t="str">
        <f aca="false">IF(H1453="","",IF(OR(A1453&lt;I_Parameter!$C$5,A1453&gt;I_Parameter!$C$6),0,IF(B1453="Aktual",1,IF(AND(B1453="Order",A1453&gt;=I_Parameter!$C$4),1,0))))</f>
        <v/>
      </c>
    </row>
    <row r="1454" customFormat="false" ht="15" hidden="false" customHeight="false" outlineLevel="0" collapsed="false">
      <c r="A1454" s="37"/>
      <c r="B1454" s="44"/>
      <c r="C1454" s="44"/>
      <c r="D1454" s="44"/>
      <c r="E1454" s="44"/>
      <c r="F1454" s="44"/>
      <c r="G1454" s="34" t="str">
        <f aca="false">IF(F1454&lt;&gt;"",F1454,IF(E1454="","",IFERROR(INDEX(I_Item!$C$6:$C$255,MATCH(E1454,I_Item!$A$6:$A$255,0)),"KODE BARU")))</f>
        <v/>
      </c>
      <c r="H1454" s="45"/>
      <c r="I1454" s="42"/>
      <c r="J1454" s="11" t="str">
        <f aca="false">IF(H1454="","",H1454*I1454)</f>
        <v/>
      </c>
      <c r="K1454" s="42"/>
      <c r="L1454" s="11" t="str">
        <f aca="false">IF(H1454="","",IF(K1454&lt;&gt;"",K1454,H1454*IFERROR(INDEX(O_Stok!$Q$6:$Q$85,MATCH(G1454,O_Stok!$A$6:$A$85,0)),0)))</f>
        <v/>
      </c>
      <c r="M1454" s="11" t="str">
        <f aca="false">IF(H1454="","",J1454-L1454)</f>
        <v/>
      </c>
      <c r="N1454" s="34" t="str">
        <f aca="false">IF(G1454="","",IFERROR(INDEX(I_Master!$B$6:$B$85,MATCH(G1454,I_Master!$A$6:$A$85,0)),"?"))</f>
        <v/>
      </c>
      <c r="O1454" s="34" t="str">
        <f aca="false">IF(G1454="","",IFERROR(INDEX(I_Master!$E$6:$E$85,MATCH(G1454,I_Master!$A$6:$A$85,0)),"?"))</f>
        <v/>
      </c>
      <c r="P1454" s="46" t="str">
        <f aca="false">IF(H1454="","",IF(OR(A1454&lt;I_Parameter!$C$5,A1454&gt;I_Parameter!$C$6),0,IF(B1454="Aktual",1,IF(AND(B1454="Order",A1454&gt;=I_Parameter!$C$4),1,0))))</f>
        <v/>
      </c>
    </row>
    <row r="1455" customFormat="false" ht="15" hidden="false" customHeight="false" outlineLevel="0" collapsed="false">
      <c r="A1455" s="37"/>
      <c r="B1455" s="44"/>
      <c r="C1455" s="44"/>
      <c r="D1455" s="44"/>
      <c r="E1455" s="44"/>
      <c r="F1455" s="44"/>
      <c r="G1455" s="34" t="str">
        <f aca="false">IF(F1455&lt;&gt;"",F1455,IF(E1455="","",IFERROR(INDEX(I_Item!$C$6:$C$255,MATCH(E1455,I_Item!$A$6:$A$255,0)),"KODE BARU")))</f>
        <v/>
      </c>
      <c r="H1455" s="45"/>
      <c r="I1455" s="42"/>
      <c r="J1455" s="11" t="str">
        <f aca="false">IF(H1455="","",H1455*I1455)</f>
        <v/>
      </c>
      <c r="K1455" s="42"/>
      <c r="L1455" s="11" t="str">
        <f aca="false">IF(H1455="","",IF(K1455&lt;&gt;"",K1455,H1455*IFERROR(INDEX(O_Stok!$Q$6:$Q$85,MATCH(G1455,O_Stok!$A$6:$A$85,0)),0)))</f>
        <v/>
      </c>
      <c r="M1455" s="11" t="str">
        <f aca="false">IF(H1455="","",J1455-L1455)</f>
        <v/>
      </c>
      <c r="N1455" s="34" t="str">
        <f aca="false">IF(G1455="","",IFERROR(INDEX(I_Master!$B$6:$B$85,MATCH(G1455,I_Master!$A$6:$A$85,0)),"?"))</f>
        <v/>
      </c>
      <c r="O1455" s="34" t="str">
        <f aca="false">IF(G1455="","",IFERROR(INDEX(I_Master!$E$6:$E$85,MATCH(G1455,I_Master!$A$6:$A$85,0)),"?"))</f>
        <v/>
      </c>
      <c r="P1455" s="46" t="str">
        <f aca="false">IF(H1455="","",IF(OR(A1455&lt;I_Parameter!$C$5,A1455&gt;I_Parameter!$C$6),0,IF(B1455="Aktual",1,IF(AND(B1455="Order",A1455&gt;=I_Parameter!$C$4),1,0))))</f>
        <v/>
      </c>
    </row>
    <row r="1456" customFormat="false" ht="15" hidden="false" customHeight="false" outlineLevel="0" collapsed="false">
      <c r="A1456" s="37"/>
      <c r="B1456" s="44"/>
      <c r="C1456" s="44"/>
      <c r="D1456" s="44"/>
      <c r="E1456" s="44"/>
      <c r="F1456" s="44"/>
      <c r="G1456" s="34" t="str">
        <f aca="false">IF(F1456&lt;&gt;"",F1456,IF(E1456="","",IFERROR(INDEX(I_Item!$C$6:$C$255,MATCH(E1456,I_Item!$A$6:$A$255,0)),"KODE BARU")))</f>
        <v/>
      </c>
      <c r="H1456" s="45"/>
      <c r="I1456" s="42"/>
      <c r="J1456" s="11" t="str">
        <f aca="false">IF(H1456="","",H1456*I1456)</f>
        <v/>
      </c>
      <c r="K1456" s="42"/>
      <c r="L1456" s="11" t="str">
        <f aca="false">IF(H1456="","",IF(K1456&lt;&gt;"",K1456,H1456*IFERROR(INDEX(O_Stok!$Q$6:$Q$85,MATCH(G1456,O_Stok!$A$6:$A$85,0)),0)))</f>
        <v/>
      </c>
      <c r="M1456" s="11" t="str">
        <f aca="false">IF(H1456="","",J1456-L1456)</f>
        <v/>
      </c>
      <c r="N1456" s="34" t="str">
        <f aca="false">IF(G1456="","",IFERROR(INDEX(I_Master!$B$6:$B$85,MATCH(G1456,I_Master!$A$6:$A$85,0)),"?"))</f>
        <v/>
      </c>
      <c r="O1456" s="34" t="str">
        <f aca="false">IF(G1456="","",IFERROR(INDEX(I_Master!$E$6:$E$85,MATCH(G1456,I_Master!$A$6:$A$85,0)),"?"))</f>
        <v/>
      </c>
      <c r="P1456" s="46" t="str">
        <f aca="false">IF(H1456="","",IF(OR(A1456&lt;I_Parameter!$C$5,A1456&gt;I_Parameter!$C$6),0,IF(B1456="Aktual",1,IF(AND(B1456="Order",A1456&gt;=I_Parameter!$C$4),1,0))))</f>
        <v/>
      </c>
    </row>
    <row r="1457" customFormat="false" ht="15" hidden="false" customHeight="false" outlineLevel="0" collapsed="false">
      <c r="A1457" s="37"/>
      <c r="B1457" s="44"/>
      <c r="C1457" s="44"/>
      <c r="D1457" s="44"/>
      <c r="E1457" s="44"/>
      <c r="F1457" s="44"/>
      <c r="G1457" s="34" t="str">
        <f aca="false">IF(F1457&lt;&gt;"",F1457,IF(E1457="","",IFERROR(INDEX(I_Item!$C$6:$C$255,MATCH(E1457,I_Item!$A$6:$A$255,0)),"KODE BARU")))</f>
        <v/>
      </c>
      <c r="H1457" s="45"/>
      <c r="I1457" s="42"/>
      <c r="J1457" s="11" t="str">
        <f aca="false">IF(H1457="","",H1457*I1457)</f>
        <v/>
      </c>
      <c r="K1457" s="42"/>
      <c r="L1457" s="11" t="str">
        <f aca="false">IF(H1457="","",IF(K1457&lt;&gt;"",K1457,H1457*IFERROR(INDEX(O_Stok!$Q$6:$Q$85,MATCH(G1457,O_Stok!$A$6:$A$85,0)),0)))</f>
        <v/>
      </c>
      <c r="M1457" s="11" t="str">
        <f aca="false">IF(H1457="","",J1457-L1457)</f>
        <v/>
      </c>
      <c r="N1457" s="34" t="str">
        <f aca="false">IF(G1457="","",IFERROR(INDEX(I_Master!$B$6:$B$85,MATCH(G1457,I_Master!$A$6:$A$85,0)),"?"))</f>
        <v/>
      </c>
      <c r="O1457" s="34" t="str">
        <f aca="false">IF(G1457="","",IFERROR(INDEX(I_Master!$E$6:$E$85,MATCH(G1457,I_Master!$A$6:$A$85,0)),"?"))</f>
        <v/>
      </c>
      <c r="P1457" s="46" t="str">
        <f aca="false">IF(H1457="","",IF(OR(A1457&lt;I_Parameter!$C$5,A1457&gt;I_Parameter!$C$6),0,IF(B1457="Aktual",1,IF(AND(B1457="Order",A1457&gt;=I_Parameter!$C$4),1,0))))</f>
        <v/>
      </c>
    </row>
    <row r="1458" customFormat="false" ht="15" hidden="false" customHeight="false" outlineLevel="0" collapsed="false">
      <c r="A1458" s="37"/>
      <c r="B1458" s="44"/>
      <c r="C1458" s="44"/>
      <c r="D1458" s="44"/>
      <c r="E1458" s="44"/>
      <c r="F1458" s="44"/>
      <c r="G1458" s="34" t="str">
        <f aca="false">IF(F1458&lt;&gt;"",F1458,IF(E1458="","",IFERROR(INDEX(I_Item!$C$6:$C$255,MATCH(E1458,I_Item!$A$6:$A$255,0)),"KODE BARU")))</f>
        <v/>
      </c>
      <c r="H1458" s="45"/>
      <c r="I1458" s="42"/>
      <c r="J1458" s="11" t="str">
        <f aca="false">IF(H1458="","",H1458*I1458)</f>
        <v/>
      </c>
      <c r="K1458" s="42"/>
      <c r="L1458" s="11" t="str">
        <f aca="false">IF(H1458="","",IF(K1458&lt;&gt;"",K1458,H1458*IFERROR(INDEX(O_Stok!$Q$6:$Q$85,MATCH(G1458,O_Stok!$A$6:$A$85,0)),0)))</f>
        <v/>
      </c>
      <c r="M1458" s="11" t="str">
        <f aca="false">IF(H1458="","",J1458-L1458)</f>
        <v/>
      </c>
      <c r="N1458" s="34" t="str">
        <f aca="false">IF(G1458="","",IFERROR(INDEX(I_Master!$B$6:$B$85,MATCH(G1458,I_Master!$A$6:$A$85,0)),"?"))</f>
        <v/>
      </c>
      <c r="O1458" s="34" t="str">
        <f aca="false">IF(G1458="","",IFERROR(INDEX(I_Master!$E$6:$E$85,MATCH(G1458,I_Master!$A$6:$A$85,0)),"?"))</f>
        <v/>
      </c>
      <c r="P1458" s="46" t="str">
        <f aca="false">IF(H1458="","",IF(OR(A1458&lt;I_Parameter!$C$5,A1458&gt;I_Parameter!$C$6),0,IF(B1458="Aktual",1,IF(AND(B1458="Order",A1458&gt;=I_Parameter!$C$4),1,0))))</f>
        <v/>
      </c>
    </row>
    <row r="1459" customFormat="false" ht="15" hidden="false" customHeight="false" outlineLevel="0" collapsed="false">
      <c r="A1459" s="37"/>
      <c r="B1459" s="44"/>
      <c r="C1459" s="44"/>
      <c r="D1459" s="44"/>
      <c r="E1459" s="44"/>
      <c r="F1459" s="44"/>
      <c r="G1459" s="34" t="str">
        <f aca="false">IF(F1459&lt;&gt;"",F1459,IF(E1459="","",IFERROR(INDEX(I_Item!$C$6:$C$255,MATCH(E1459,I_Item!$A$6:$A$255,0)),"KODE BARU")))</f>
        <v/>
      </c>
      <c r="H1459" s="45"/>
      <c r="I1459" s="42"/>
      <c r="J1459" s="11" t="str">
        <f aca="false">IF(H1459="","",H1459*I1459)</f>
        <v/>
      </c>
      <c r="K1459" s="42"/>
      <c r="L1459" s="11" t="str">
        <f aca="false">IF(H1459="","",IF(K1459&lt;&gt;"",K1459,H1459*IFERROR(INDEX(O_Stok!$Q$6:$Q$85,MATCH(G1459,O_Stok!$A$6:$A$85,0)),0)))</f>
        <v/>
      </c>
      <c r="M1459" s="11" t="str">
        <f aca="false">IF(H1459="","",J1459-L1459)</f>
        <v/>
      </c>
      <c r="N1459" s="34" t="str">
        <f aca="false">IF(G1459="","",IFERROR(INDEX(I_Master!$B$6:$B$85,MATCH(G1459,I_Master!$A$6:$A$85,0)),"?"))</f>
        <v/>
      </c>
      <c r="O1459" s="34" t="str">
        <f aca="false">IF(G1459="","",IFERROR(INDEX(I_Master!$E$6:$E$85,MATCH(G1459,I_Master!$A$6:$A$85,0)),"?"))</f>
        <v/>
      </c>
      <c r="P1459" s="46" t="str">
        <f aca="false">IF(H1459="","",IF(OR(A1459&lt;I_Parameter!$C$5,A1459&gt;I_Parameter!$C$6),0,IF(B1459="Aktual",1,IF(AND(B1459="Order",A1459&gt;=I_Parameter!$C$4),1,0))))</f>
        <v/>
      </c>
    </row>
    <row r="1460" customFormat="false" ht="15" hidden="false" customHeight="false" outlineLevel="0" collapsed="false">
      <c r="A1460" s="37"/>
      <c r="B1460" s="44"/>
      <c r="C1460" s="44"/>
      <c r="D1460" s="44"/>
      <c r="E1460" s="44"/>
      <c r="F1460" s="44"/>
      <c r="G1460" s="34" t="str">
        <f aca="false">IF(F1460&lt;&gt;"",F1460,IF(E1460="","",IFERROR(INDEX(I_Item!$C$6:$C$255,MATCH(E1460,I_Item!$A$6:$A$255,0)),"KODE BARU")))</f>
        <v/>
      </c>
      <c r="H1460" s="45"/>
      <c r="I1460" s="42"/>
      <c r="J1460" s="11" t="str">
        <f aca="false">IF(H1460="","",H1460*I1460)</f>
        <v/>
      </c>
      <c r="K1460" s="42"/>
      <c r="L1460" s="11" t="str">
        <f aca="false">IF(H1460="","",IF(K1460&lt;&gt;"",K1460,H1460*IFERROR(INDEX(O_Stok!$Q$6:$Q$85,MATCH(G1460,O_Stok!$A$6:$A$85,0)),0)))</f>
        <v/>
      </c>
      <c r="M1460" s="11" t="str">
        <f aca="false">IF(H1460="","",J1460-L1460)</f>
        <v/>
      </c>
      <c r="N1460" s="34" t="str">
        <f aca="false">IF(G1460="","",IFERROR(INDEX(I_Master!$B$6:$B$85,MATCH(G1460,I_Master!$A$6:$A$85,0)),"?"))</f>
        <v/>
      </c>
      <c r="O1460" s="34" t="str">
        <f aca="false">IF(G1460="","",IFERROR(INDEX(I_Master!$E$6:$E$85,MATCH(G1460,I_Master!$A$6:$A$85,0)),"?"))</f>
        <v/>
      </c>
      <c r="P1460" s="46" t="str">
        <f aca="false">IF(H1460="","",IF(OR(A1460&lt;I_Parameter!$C$5,A1460&gt;I_Parameter!$C$6),0,IF(B1460="Aktual",1,IF(AND(B1460="Order",A1460&gt;=I_Parameter!$C$4),1,0))))</f>
        <v/>
      </c>
    </row>
    <row r="1461" customFormat="false" ht="15" hidden="false" customHeight="false" outlineLevel="0" collapsed="false">
      <c r="A1461" s="37"/>
      <c r="B1461" s="44"/>
      <c r="C1461" s="44"/>
      <c r="D1461" s="44"/>
      <c r="E1461" s="44"/>
      <c r="F1461" s="44"/>
      <c r="G1461" s="34" t="str">
        <f aca="false">IF(F1461&lt;&gt;"",F1461,IF(E1461="","",IFERROR(INDEX(I_Item!$C$6:$C$255,MATCH(E1461,I_Item!$A$6:$A$255,0)),"KODE BARU")))</f>
        <v/>
      </c>
      <c r="H1461" s="45"/>
      <c r="I1461" s="42"/>
      <c r="J1461" s="11" t="str">
        <f aca="false">IF(H1461="","",H1461*I1461)</f>
        <v/>
      </c>
      <c r="K1461" s="42"/>
      <c r="L1461" s="11" t="str">
        <f aca="false">IF(H1461="","",IF(K1461&lt;&gt;"",K1461,H1461*IFERROR(INDEX(O_Stok!$Q$6:$Q$85,MATCH(G1461,O_Stok!$A$6:$A$85,0)),0)))</f>
        <v/>
      </c>
      <c r="M1461" s="11" t="str">
        <f aca="false">IF(H1461="","",J1461-L1461)</f>
        <v/>
      </c>
      <c r="N1461" s="34" t="str">
        <f aca="false">IF(G1461="","",IFERROR(INDEX(I_Master!$B$6:$B$85,MATCH(G1461,I_Master!$A$6:$A$85,0)),"?"))</f>
        <v/>
      </c>
      <c r="O1461" s="34" t="str">
        <f aca="false">IF(G1461="","",IFERROR(INDEX(I_Master!$E$6:$E$85,MATCH(G1461,I_Master!$A$6:$A$85,0)),"?"))</f>
        <v/>
      </c>
      <c r="P1461" s="46" t="str">
        <f aca="false">IF(H1461="","",IF(OR(A1461&lt;I_Parameter!$C$5,A1461&gt;I_Parameter!$C$6),0,IF(B1461="Aktual",1,IF(AND(B1461="Order",A1461&gt;=I_Parameter!$C$4),1,0))))</f>
        <v/>
      </c>
    </row>
    <row r="1462" customFormat="false" ht="15" hidden="false" customHeight="false" outlineLevel="0" collapsed="false">
      <c r="A1462" s="37"/>
      <c r="B1462" s="44"/>
      <c r="C1462" s="44"/>
      <c r="D1462" s="44"/>
      <c r="E1462" s="44"/>
      <c r="F1462" s="44"/>
      <c r="G1462" s="34" t="str">
        <f aca="false">IF(F1462&lt;&gt;"",F1462,IF(E1462="","",IFERROR(INDEX(I_Item!$C$6:$C$255,MATCH(E1462,I_Item!$A$6:$A$255,0)),"KODE BARU")))</f>
        <v/>
      </c>
      <c r="H1462" s="45"/>
      <c r="I1462" s="42"/>
      <c r="J1462" s="11" t="str">
        <f aca="false">IF(H1462="","",H1462*I1462)</f>
        <v/>
      </c>
      <c r="K1462" s="42"/>
      <c r="L1462" s="11" t="str">
        <f aca="false">IF(H1462="","",IF(K1462&lt;&gt;"",K1462,H1462*IFERROR(INDEX(O_Stok!$Q$6:$Q$85,MATCH(G1462,O_Stok!$A$6:$A$85,0)),0)))</f>
        <v/>
      </c>
      <c r="M1462" s="11" t="str">
        <f aca="false">IF(H1462="","",J1462-L1462)</f>
        <v/>
      </c>
      <c r="N1462" s="34" t="str">
        <f aca="false">IF(G1462="","",IFERROR(INDEX(I_Master!$B$6:$B$85,MATCH(G1462,I_Master!$A$6:$A$85,0)),"?"))</f>
        <v/>
      </c>
      <c r="O1462" s="34" t="str">
        <f aca="false">IF(G1462="","",IFERROR(INDEX(I_Master!$E$6:$E$85,MATCH(G1462,I_Master!$A$6:$A$85,0)),"?"))</f>
        <v/>
      </c>
      <c r="P1462" s="46" t="str">
        <f aca="false">IF(H1462="","",IF(OR(A1462&lt;I_Parameter!$C$5,A1462&gt;I_Parameter!$C$6),0,IF(B1462="Aktual",1,IF(AND(B1462="Order",A1462&gt;=I_Parameter!$C$4),1,0))))</f>
        <v/>
      </c>
    </row>
    <row r="1463" customFormat="false" ht="15" hidden="false" customHeight="false" outlineLevel="0" collapsed="false">
      <c r="A1463" s="37"/>
      <c r="B1463" s="44"/>
      <c r="C1463" s="44"/>
      <c r="D1463" s="44"/>
      <c r="E1463" s="44"/>
      <c r="F1463" s="44"/>
      <c r="G1463" s="34" t="str">
        <f aca="false">IF(F1463&lt;&gt;"",F1463,IF(E1463="","",IFERROR(INDEX(I_Item!$C$6:$C$255,MATCH(E1463,I_Item!$A$6:$A$255,0)),"KODE BARU")))</f>
        <v/>
      </c>
      <c r="H1463" s="45"/>
      <c r="I1463" s="42"/>
      <c r="J1463" s="11" t="str">
        <f aca="false">IF(H1463="","",H1463*I1463)</f>
        <v/>
      </c>
      <c r="K1463" s="42"/>
      <c r="L1463" s="11" t="str">
        <f aca="false">IF(H1463="","",IF(K1463&lt;&gt;"",K1463,H1463*IFERROR(INDEX(O_Stok!$Q$6:$Q$85,MATCH(G1463,O_Stok!$A$6:$A$85,0)),0)))</f>
        <v/>
      </c>
      <c r="M1463" s="11" t="str">
        <f aca="false">IF(H1463="","",J1463-L1463)</f>
        <v/>
      </c>
      <c r="N1463" s="34" t="str">
        <f aca="false">IF(G1463="","",IFERROR(INDEX(I_Master!$B$6:$B$85,MATCH(G1463,I_Master!$A$6:$A$85,0)),"?"))</f>
        <v/>
      </c>
      <c r="O1463" s="34" t="str">
        <f aca="false">IF(G1463="","",IFERROR(INDEX(I_Master!$E$6:$E$85,MATCH(G1463,I_Master!$A$6:$A$85,0)),"?"))</f>
        <v/>
      </c>
      <c r="P1463" s="46" t="str">
        <f aca="false">IF(H1463="","",IF(OR(A1463&lt;I_Parameter!$C$5,A1463&gt;I_Parameter!$C$6),0,IF(B1463="Aktual",1,IF(AND(B1463="Order",A1463&gt;=I_Parameter!$C$4),1,0))))</f>
        <v/>
      </c>
    </row>
    <row r="1464" customFormat="false" ht="15" hidden="false" customHeight="false" outlineLevel="0" collapsed="false">
      <c r="A1464" s="37"/>
      <c r="B1464" s="44"/>
      <c r="C1464" s="44"/>
      <c r="D1464" s="44"/>
      <c r="E1464" s="44"/>
      <c r="F1464" s="44"/>
      <c r="G1464" s="34" t="str">
        <f aca="false">IF(F1464&lt;&gt;"",F1464,IF(E1464="","",IFERROR(INDEX(I_Item!$C$6:$C$255,MATCH(E1464,I_Item!$A$6:$A$255,0)),"KODE BARU")))</f>
        <v/>
      </c>
      <c r="H1464" s="45"/>
      <c r="I1464" s="42"/>
      <c r="J1464" s="11" t="str">
        <f aca="false">IF(H1464="","",H1464*I1464)</f>
        <v/>
      </c>
      <c r="K1464" s="42"/>
      <c r="L1464" s="11" t="str">
        <f aca="false">IF(H1464="","",IF(K1464&lt;&gt;"",K1464,H1464*IFERROR(INDEX(O_Stok!$Q$6:$Q$85,MATCH(G1464,O_Stok!$A$6:$A$85,0)),0)))</f>
        <v/>
      </c>
      <c r="M1464" s="11" t="str">
        <f aca="false">IF(H1464="","",J1464-L1464)</f>
        <v/>
      </c>
      <c r="N1464" s="34" t="str">
        <f aca="false">IF(G1464="","",IFERROR(INDEX(I_Master!$B$6:$B$85,MATCH(G1464,I_Master!$A$6:$A$85,0)),"?"))</f>
        <v/>
      </c>
      <c r="O1464" s="34" t="str">
        <f aca="false">IF(G1464="","",IFERROR(INDEX(I_Master!$E$6:$E$85,MATCH(G1464,I_Master!$A$6:$A$85,0)),"?"))</f>
        <v/>
      </c>
      <c r="P1464" s="46" t="str">
        <f aca="false">IF(H1464="","",IF(OR(A1464&lt;I_Parameter!$C$5,A1464&gt;I_Parameter!$C$6),0,IF(B1464="Aktual",1,IF(AND(B1464="Order",A1464&gt;=I_Parameter!$C$4),1,0))))</f>
        <v/>
      </c>
    </row>
    <row r="1465" customFormat="false" ht="15" hidden="false" customHeight="false" outlineLevel="0" collapsed="false">
      <c r="A1465" s="37"/>
      <c r="B1465" s="44"/>
      <c r="C1465" s="44"/>
      <c r="D1465" s="44"/>
      <c r="E1465" s="44"/>
      <c r="F1465" s="44"/>
      <c r="G1465" s="34" t="str">
        <f aca="false">IF(F1465&lt;&gt;"",F1465,IF(E1465="","",IFERROR(INDEX(I_Item!$C$6:$C$255,MATCH(E1465,I_Item!$A$6:$A$255,0)),"KODE BARU")))</f>
        <v/>
      </c>
      <c r="H1465" s="45"/>
      <c r="I1465" s="42"/>
      <c r="J1465" s="11" t="str">
        <f aca="false">IF(H1465="","",H1465*I1465)</f>
        <v/>
      </c>
      <c r="K1465" s="42"/>
      <c r="L1465" s="11" t="str">
        <f aca="false">IF(H1465="","",IF(K1465&lt;&gt;"",K1465,H1465*IFERROR(INDEX(O_Stok!$Q$6:$Q$85,MATCH(G1465,O_Stok!$A$6:$A$85,0)),0)))</f>
        <v/>
      </c>
      <c r="M1465" s="11" t="str">
        <f aca="false">IF(H1465="","",J1465-L1465)</f>
        <v/>
      </c>
      <c r="N1465" s="34" t="str">
        <f aca="false">IF(G1465="","",IFERROR(INDEX(I_Master!$B$6:$B$85,MATCH(G1465,I_Master!$A$6:$A$85,0)),"?"))</f>
        <v/>
      </c>
      <c r="O1465" s="34" t="str">
        <f aca="false">IF(G1465="","",IFERROR(INDEX(I_Master!$E$6:$E$85,MATCH(G1465,I_Master!$A$6:$A$85,0)),"?"))</f>
        <v/>
      </c>
      <c r="P1465" s="46" t="str">
        <f aca="false">IF(H1465="","",IF(OR(A1465&lt;I_Parameter!$C$5,A1465&gt;I_Parameter!$C$6),0,IF(B1465="Aktual",1,IF(AND(B1465="Order",A1465&gt;=I_Parameter!$C$4),1,0))))</f>
        <v/>
      </c>
    </row>
    <row r="1466" customFormat="false" ht="15" hidden="false" customHeight="false" outlineLevel="0" collapsed="false">
      <c r="A1466" s="37"/>
      <c r="B1466" s="44"/>
      <c r="C1466" s="44"/>
      <c r="D1466" s="44"/>
      <c r="E1466" s="44"/>
      <c r="F1466" s="44"/>
      <c r="G1466" s="34" t="str">
        <f aca="false">IF(F1466&lt;&gt;"",F1466,IF(E1466="","",IFERROR(INDEX(I_Item!$C$6:$C$255,MATCH(E1466,I_Item!$A$6:$A$255,0)),"KODE BARU")))</f>
        <v/>
      </c>
      <c r="H1466" s="45"/>
      <c r="I1466" s="42"/>
      <c r="J1466" s="11" t="str">
        <f aca="false">IF(H1466="","",H1466*I1466)</f>
        <v/>
      </c>
      <c r="K1466" s="42"/>
      <c r="L1466" s="11" t="str">
        <f aca="false">IF(H1466="","",IF(K1466&lt;&gt;"",K1466,H1466*IFERROR(INDEX(O_Stok!$Q$6:$Q$85,MATCH(G1466,O_Stok!$A$6:$A$85,0)),0)))</f>
        <v/>
      </c>
      <c r="M1466" s="11" t="str">
        <f aca="false">IF(H1466="","",J1466-L1466)</f>
        <v/>
      </c>
      <c r="N1466" s="34" t="str">
        <f aca="false">IF(G1466="","",IFERROR(INDEX(I_Master!$B$6:$B$85,MATCH(G1466,I_Master!$A$6:$A$85,0)),"?"))</f>
        <v/>
      </c>
      <c r="O1466" s="34" t="str">
        <f aca="false">IF(G1466="","",IFERROR(INDEX(I_Master!$E$6:$E$85,MATCH(G1466,I_Master!$A$6:$A$85,0)),"?"))</f>
        <v/>
      </c>
      <c r="P1466" s="46" t="str">
        <f aca="false">IF(H1466="","",IF(OR(A1466&lt;I_Parameter!$C$5,A1466&gt;I_Parameter!$C$6),0,IF(B1466="Aktual",1,IF(AND(B1466="Order",A1466&gt;=I_Parameter!$C$4),1,0))))</f>
        <v/>
      </c>
    </row>
    <row r="1467" customFormat="false" ht="15" hidden="false" customHeight="false" outlineLevel="0" collapsed="false">
      <c r="A1467" s="37"/>
      <c r="B1467" s="44"/>
      <c r="C1467" s="44"/>
      <c r="D1467" s="44"/>
      <c r="E1467" s="44"/>
      <c r="F1467" s="44"/>
      <c r="G1467" s="34" t="str">
        <f aca="false">IF(F1467&lt;&gt;"",F1467,IF(E1467="","",IFERROR(INDEX(I_Item!$C$6:$C$255,MATCH(E1467,I_Item!$A$6:$A$255,0)),"KODE BARU")))</f>
        <v/>
      </c>
      <c r="H1467" s="45"/>
      <c r="I1467" s="42"/>
      <c r="J1467" s="11" t="str">
        <f aca="false">IF(H1467="","",H1467*I1467)</f>
        <v/>
      </c>
      <c r="K1467" s="42"/>
      <c r="L1467" s="11" t="str">
        <f aca="false">IF(H1467="","",IF(K1467&lt;&gt;"",K1467,H1467*IFERROR(INDEX(O_Stok!$Q$6:$Q$85,MATCH(G1467,O_Stok!$A$6:$A$85,0)),0)))</f>
        <v/>
      </c>
      <c r="M1467" s="11" t="str">
        <f aca="false">IF(H1467="","",J1467-L1467)</f>
        <v/>
      </c>
      <c r="N1467" s="34" t="str">
        <f aca="false">IF(G1467="","",IFERROR(INDEX(I_Master!$B$6:$B$85,MATCH(G1467,I_Master!$A$6:$A$85,0)),"?"))</f>
        <v/>
      </c>
      <c r="O1467" s="34" t="str">
        <f aca="false">IF(G1467="","",IFERROR(INDEX(I_Master!$E$6:$E$85,MATCH(G1467,I_Master!$A$6:$A$85,0)),"?"))</f>
        <v/>
      </c>
      <c r="P1467" s="46" t="str">
        <f aca="false">IF(H1467="","",IF(OR(A1467&lt;I_Parameter!$C$5,A1467&gt;I_Parameter!$C$6),0,IF(B1467="Aktual",1,IF(AND(B1467="Order",A1467&gt;=I_Parameter!$C$4),1,0))))</f>
        <v/>
      </c>
    </row>
    <row r="1468" customFormat="false" ht="15" hidden="false" customHeight="false" outlineLevel="0" collapsed="false">
      <c r="A1468" s="37"/>
      <c r="B1468" s="44"/>
      <c r="C1468" s="44"/>
      <c r="D1468" s="44"/>
      <c r="E1468" s="44"/>
      <c r="F1468" s="44"/>
      <c r="G1468" s="34" t="str">
        <f aca="false">IF(F1468&lt;&gt;"",F1468,IF(E1468="","",IFERROR(INDEX(I_Item!$C$6:$C$255,MATCH(E1468,I_Item!$A$6:$A$255,0)),"KODE BARU")))</f>
        <v/>
      </c>
      <c r="H1468" s="45"/>
      <c r="I1468" s="42"/>
      <c r="J1468" s="11" t="str">
        <f aca="false">IF(H1468="","",H1468*I1468)</f>
        <v/>
      </c>
      <c r="K1468" s="42"/>
      <c r="L1468" s="11" t="str">
        <f aca="false">IF(H1468="","",IF(K1468&lt;&gt;"",K1468,H1468*IFERROR(INDEX(O_Stok!$Q$6:$Q$85,MATCH(G1468,O_Stok!$A$6:$A$85,0)),0)))</f>
        <v/>
      </c>
      <c r="M1468" s="11" t="str">
        <f aca="false">IF(H1468="","",J1468-L1468)</f>
        <v/>
      </c>
      <c r="N1468" s="34" t="str">
        <f aca="false">IF(G1468="","",IFERROR(INDEX(I_Master!$B$6:$B$85,MATCH(G1468,I_Master!$A$6:$A$85,0)),"?"))</f>
        <v/>
      </c>
      <c r="O1468" s="34" t="str">
        <f aca="false">IF(G1468="","",IFERROR(INDEX(I_Master!$E$6:$E$85,MATCH(G1468,I_Master!$A$6:$A$85,0)),"?"))</f>
        <v/>
      </c>
      <c r="P1468" s="46" t="str">
        <f aca="false">IF(H1468="","",IF(OR(A1468&lt;I_Parameter!$C$5,A1468&gt;I_Parameter!$C$6),0,IF(B1468="Aktual",1,IF(AND(B1468="Order",A1468&gt;=I_Parameter!$C$4),1,0))))</f>
        <v/>
      </c>
    </row>
    <row r="1469" customFormat="false" ht="15" hidden="false" customHeight="false" outlineLevel="0" collapsed="false">
      <c r="A1469" s="37"/>
      <c r="B1469" s="44"/>
      <c r="C1469" s="44"/>
      <c r="D1469" s="44"/>
      <c r="E1469" s="44"/>
      <c r="F1469" s="44"/>
      <c r="G1469" s="34" t="str">
        <f aca="false">IF(F1469&lt;&gt;"",F1469,IF(E1469="","",IFERROR(INDEX(I_Item!$C$6:$C$255,MATCH(E1469,I_Item!$A$6:$A$255,0)),"KODE BARU")))</f>
        <v/>
      </c>
      <c r="H1469" s="45"/>
      <c r="I1469" s="42"/>
      <c r="J1469" s="11" t="str">
        <f aca="false">IF(H1469="","",H1469*I1469)</f>
        <v/>
      </c>
      <c r="K1469" s="42"/>
      <c r="L1469" s="11" t="str">
        <f aca="false">IF(H1469="","",IF(K1469&lt;&gt;"",K1469,H1469*IFERROR(INDEX(O_Stok!$Q$6:$Q$85,MATCH(G1469,O_Stok!$A$6:$A$85,0)),0)))</f>
        <v/>
      </c>
      <c r="M1469" s="11" t="str">
        <f aca="false">IF(H1469="","",J1469-L1469)</f>
        <v/>
      </c>
      <c r="N1469" s="34" t="str">
        <f aca="false">IF(G1469="","",IFERROR(INDEX(I_Master!$B$6:$B$85,MATCH(G1469,I_Master!$A$6:$A$85,0)),"?"))</f>
        <v/>
      </c>
      <c r="O1469" s="34" t="str">
        <f aca="false">IF(G1469="","",IFERROR(INDEX(I_Master!$E$6:$E$85,MATCH(G1469,I_Master!$A$6:$A$85,0)),"?"))</f>
        <v/>
      </c>
      <c r="P1469" s="46" t="str">
        <f aca="false">IF(H1469="","",IF(OR(A1469&lt;I_Parameter!$C$5,A1469&gt;I_Parameter!$C$6),0,IF(B1469="Aktual",1,IF(AND(B1469="Order",A1469&gt;=I_Parameter!$C$4),1,0))))</f>
        <v/>
      </c>
    </row>
    <row r="1470" customFormat="false" ht="15" hidden="false" customHeight="false" outlineLevel="0" collapsed="false">
      <c r="A1470" s="37"/>
      <c r="B1470" s="44"/>
      <c r="C1470" s="44"/>
      <c r="D1470" s="44"/>
      <c r="E1470" s="44"/>
      <c r="F1470" s="44"/>
      <c r="G1470" s="34" t="str">
        <f aca="false">IF(F1470&lt;&gt;"",F1470,IF(E1470="","",IFERROR(INDEX(I_Item!$C$6:$C$255,MATCH(E1470,I_Item!$A$6:$A$255,0)),"KODE BARU")))</f>
        <v/>
      </c>
      <c r="H1470" s="45"/>
      <c r="I1470" s="42"/>
      <c r="J1470" s="11" t="str">
        <f aca="false">IF(H1470="","",H1470*I1470)</f>
        <v/>
      </c>
      <c r="K1470" s="42"/>
      <c r="L1470" s="11" t="str">
        <f aca="false">IF(H1470="","",IF(K1470&lt;&gt;"",K1470,H1470*IFERROR(INDEX(O_Stok!$Q$6:$Q$85,MATCH(G1470,O_Stok!$A$6:$A$85,0)),0)))</f>
        <v/>
      </c>
      <c r="M1470" s="11" t="str">
        <f aca="false">IF(H1470="","",J1470-L1470)</f>
        <v/>
      </c>
      <c r="N1470" s="34" t="str">
        <f aca="false">IF(G1470="","",IFERROR(INDEX(I_Master!$B$6:$B$85,MATCH(G1470,I_Master!$A$6:$A$85,0)),"?"))</f>
        <v/>
      </c>
      <c r="O1470" s="34" t="str">
        <f aca="false">IF(G1470="","",IFERROR(INDEX(I_Master!$E$6:$E$85,MATCH(G1470,I_Master!$A$6:$A$85,0)),"?"))</f>
        <v/>
      </c>
      <c r="P1470" s="46" t="str">
        <f aca="false">IF(H1470="","",IF(OR(A1470&lt;I_Parameter!$C$5,A1470&gt;I_Parameter!$C$6),0,IF(B1470="Aktual",1,IF(AND(B1470="Order",A1470&gt;=I_Parameter!$C$4),1,0))))</f>
        <v/>
      </c>
    </row>
    <row r="1471" customFormat="false" ht="15" hidden="false" customHeight="false" outlineLevel="0" collapsed="false">
      <c r="A1471" s="37"/>
      <c r="B1471" s="44"/>
      <c r="C1471" s="44"/>
      <c r="D1471" s="44"/>
      <c r="E1471" s="44"/>
      <c r="F1471" s="44"/>
      <c r="G1471" s="34" t="str">
        <f aca="false">IF(F1471&lt;&gt;"",F1471,IF(E1471="","",IFERROR(INDEX(I_Item!$C$6:$C$255,MATCH(E1471,I_Item!$A$6:$A$255,0)),"KODE BARU")))</f>
        <v/>
      </c>
      <c r="H1471" s="45"/>
      <c r="I1471" s="42"/>
      <c r="J1471" s="11" t="str">
        <f aca="false">IF(H1471="","",H1471*I1471)</f>
        <v/>
      </c>
      <c r="K1471" s="42"/>
      <c r="L1471" s="11" t="str">
        <f aca="false">IF(H1471="","",IF(K1471&lt;&gt;"",K1471,H1471*IFERROR(INDEX(O_Stok!$Q$6:$Q$85,MATCH(G1471,O_Stok!$A$6:$A$85,0)),0)))</f>
        <v/>
      </c>
      <c r="M1471" s="11" t="str">
        <f aca="false">IF(H1471="","",J1471-L1471)</f>
        <v/>
      </c>
      <c r="N1471" s="34" t="str">
        <f aca="false">IF(G1471="","",IFERROR(INDEX(I_Master!$B$6:$B$85,MATCH(G1471,I_Master!$A$6:$A$85,0)),"?"))</f>
        <v/>
      </c>
      <c r="O1471" s="34" t="str">
        <f aca="false">IF(G1471="","",IFERROR(INDEX(I_Master!$E$6:$E$85,MATCH(G1471,I_Master!$A$6:$A$85,0)),"?"))</f>
        <v/>
      </c>
      <c r="P1471" s="46" t="str">
        <f aca="false">IF(H1471="","",IF(OR(A1471&lt;I_Parameter!$C$5,A1471&gt;I_Parameter!$C$6),0,IF(B1471="Aktual",1,IF(AND(B1471="Order",A1471&gt;=I_Parameter!$C$4),1,0))))</f>
        <v/>
      </c>
    </row>
    <row r="1472" customFormat="false" ht="15" hidden="false" customHeight="false" outlineLevel="0" collapsed="false">
      <c r="A1472" s="37"/>
      <c r="B1472" s="44"/>
      <c r="C1472" s="44"/>
      <c r="D1472" s="44"/>
      <c r="E1472" s="44"/>
      <c r="F1472" s="44"/>
      <c r="G1472" s="34" t="str">
        <f aca="false">IF(F1472&lt;&gt;"",F1472,IF(E1472="","",IFERROR(INDEX(I_Item!$C$6:$C$255,MATCH(E1472,I_Item!$A$6:$A$255,0)),"KODE BARU")))</f>
        <v/>
      </c>
      <c r="H1472" s="45"/>
      <c r="I1472" s="42"/>
      <c r="J1472" s="11" t="str">
        <f aca="false">IF(H1472="","",H1472*I1472)</f>
        <v/>
      </c>
      <c r="K1472" s="42"/>
      <c r="L1472" s="11" t="str">
        <f aca="false">IF(H1472="","",IF(K1472&lt;&gt;"",K1472,H1472*IFERROR(INDEX(O_Stok!$Q$6:$Q$85,MATCH(G1472,O_Stok!$A$6:$A$85,0)),0)))</f>
        <v/>
      </c>
      <c r="M1472" s="11" t="str">
        <f aca="false">IF(H1472="","",J1472-L1472)</f>
        <v/>
      </c>
      <c r="N1472" s="34" t="str">
        <f aca="false">IF(G1472="","",IFERROR(INDEX(I_Master!$B$6:$B$85,MATCH(G1472,I_Master!$A$6:$A$85,0)),"?"))</f>
        <v/>
      </c>
      <c r="O1472" s="34" t="str">
        <f aca="false">IF(G1472="","",IFERROR(INDEX(I_Master!$E$6:$E$85,MATCH(G1472,I_Master!$A$6:$A$85,0)),"?"))</f>
        <v/>
      </c>
      <c r="P1472" s="46" t="str">
        <f aca="false">IF(H1472="","",IF(OR(A1472&lt;I_Parameter!$C$5,A1472&gt;I_Parameter!$C$6),0,IF(B1472="Aktual",1,IF(AND(B1472="Order",A1472&gt;=I_Parameter!$C$4),1,0))))</f>
        <v/>
      </c>
    </row>
    <row r="1473" customFormat="false" ht="15" hidden="false" customHeight="false" outlineLevel="0" collapsed="false">
      <c r="A1473" s="37"/>
      <c r="B1473" s="44"/>
      <c r="C1473" s="44"/>
      <c r="D1473" s="44"/>
      <c r="E1473" s="44"/>
      <c r="F1473" s="44"/>
      <c r="G1473" s="34" t="str">
        <f aca="false">IF(F1473&lt;&gt;"",F1473,IF(E1473="","",IFERROR(INDEX(I_Item!$C$6:$C$255,MATCH(E1473,I_Item!$A$6:$A$255,0)),"KODE BARU")))</f>
        <v/>
      </c>
      <c r="H1473" s="45"/>
      <c r="I1473" s="42"/>
      <c r="J1473" s="11" t="str">
        <f aca="false">IF(H1473="","",H1473*I1473)</f>
        <v/>
      </c>
      <c r="K1473" s="42"/>
      <c r="L1473" s="11" t="str">
        <f aca="false">IF(H1473="","",IF(K1473&lt;&gt;"",K1473,H1473*IFERROR(INDEX(O_Stok!$Q$6:$Q$85,MATCH(G1473,O_Stok!$A$6:$A$85,0)),0)))</f>
        <v/>
      </c>
      <c r="M1473" s="11" t="str">
        <f aca="false">IF(H1473="","",J1473-L1473)</f>
        <v/>
      </c>
      <c r="N1473" s="34" t="str">
        <f aca="false">IF(G1473="","",IFERROR(INDEX(I_Master!$B$6:$B$85,MATCH(G1473,I_Master!$A$6:$A$85,0)),"?"))</f>
        <v/>
      </c>
      <c r="O1473" s="34" t="str">
        <f aca="false">IF(G1473="","",IFERROR(INDEX(I_Master!$E$6:$E$85,MATCH(G1473,I_Master!$A$6:$A$85,0)),"?"))</f>
        <v/>
      </c>
      <c r="P1473" s="46" t="str">
        <f aca="false">IF(H1473="","",IF(OR(A1473&lt;I_Parameter!$C$5,A1473&gt;I_Parameter!$C$6),0,IF(B1473="Aktual",1,IF(AND(B1473="Order",A1473&gt;=I_Parameter!$C$4),1,0))))</f>
        <v/>
      </c>
    </row>
    <row r="1474" customFormat="false" ht="15" hidden="false" customHeight="false" outlineLevel="0" collapsed="false">
      <c r="A1474" s="37"/>
      <c r="B1474" s="44"/>
      <c r="C1474" s="44"/>
      <c r="D1474" s="44"/>
      <c r="E1474" s="44"/>
      <c r="F1474" s="44"/>
      <c r="G1474" s="34" t="str">
        <f aca="false">IF(F1474&lt;&gt;"",F1474,IF(E1474="","",IFERROR(INDEX(I_Item!$C$6:$C$255,MATCH(E1474,I_Item!$A$6:$A$255,0)),"KODE BARU")))</f>
        <v/>
      </c>
      <c r="H1474" s="45"/>
      <c r="I1474" s="42"/>
      <c r="J1474" s="11" t="str">
        <f aca="false">IF(H1474="","",H1474*I1474)</f>
        <v/>
      </c>
      <c r="K1474" s="42"/>
      <c r="L1474" s="11" t="str">
        <f aca="false">IF(H1474="","",IF(K1474&lt;&gt;"",K1474,H1474*IFERROR(INDEX(O_Stok!$Q$6:$Q$85,MATCH(G1474,O_Stok!$A$6:$A$85,0)),0)))</f>
        <v/>
      </c>
      <c r="M1474" s="11" t="str">
        <f aca="false">IF(H1474="","",J1474-L1474)</f>
        <v/>
      </c>
      <c r="N1474" s="34" t="str">
        <f aca="false">IF(G1474="","",IFERROR(INDEX(I_Master!$B$6:$B$85,MATCH(G1474,I_Master!$A$6:$A$85,0)),"?"))</f>
        <v/>
      </c>
      <c r="O1474" s="34" t="str">
        <f aca="false">IF(G1474="","",IFERROR(INDEX(I_Master!$E$6:$E$85,MATCH(G1474,I_Master!$A$6:$A$85,0)),"?"))</f>
        <v/>
      </c>
      <c r="P1474" s="46" t="str">
        <f aca="false">IF(H1474="","",IF(OR(A1474&lt;I_Parameter!$C$5,A1474&gt;I_Parameter!$C$6),0,IF(B1474="Aktual",1,IF(AND(B1474="Order",A1474&gt;=I_Parameter!$C$4),1,0))))</f>
        <v/>
      </c>
    </row>
    <row r="1475" customFormat="false" ht="15" hidden="false" customHeight="false" outlineLevel="0" collapsed="false">
      <c r="A1475" s="37"/>
      <c r="B1475" s="44"/>
      <c r="C1475" s="44"/>
      <c r="D1475" s="44"/>
      <c r="E1475" s="44"/>
      <c r="F1475" s="44"/>
      <c r="G1475" s="34" t="str">
        <f aca="false">IF(F1475&lt;&gt;"",F1475,IF(E1475="","",IFERROR(INDEX(I_Item!$C$6:$C$255,MATCH(E1475,I_Item!$A$6:$A$255,0)),"KODE BARU")))</f>
        <v/>
      </c>
      <c r="H1475" s="45"/>
      <c r="I1475" s="42"/>
      <c r="J1475" s="11" t="str">
        <f aca="false">IF(H1475="","",H1475*I1475)</f>
        <v/>
      </c>
      <c r="K1475" s="42"/>
      <c r="L1475" s="11" t="str">
        <f aca="false">IF(H1475="","",IF(K1475&lt;&gt;"",K1475,H1475*IFERROR(INDEX(O_Stok!$Q$6:$Q$85,MATCH(G1475,O_Stok!$A$6:$A$85,0)),0)))</f>
        <v/>
      </c>
      <c r="M1475" s="11" t="str">
        <f aca="false">IF(H1475="","",J1475-L1475)</f>
        <v/>
      </c>
      <c r="N1475" s="34" t="str">
        <f aca="false">IF(G1475="","",IFERROR(INDEX(I_Master!$B$6:$B$85,MATCH(G1475,I_Master!$A$6:$A$85,0)),"?"))</f>
        <v/>
      </c>
      <c r="O1475" s="34" t="str">
        <f aca="false">IF(G1475="","",IFERROR(INDEX(I_Master!$E$6:$E$85,MATCH(G1475,I_Master!$A$6:$A$85,0)),"?"))</f>
        <v/>
      </c>
      <c r="P1475" s="46" t="str">
        <f aca="false">IF(H1475="","",IF(OR(A1475&lt;I_Parameter!$C$5,A1475&gt;I_Parameter!$C$6),0,IF(B1475="Aktual",1,IF(AND(B1475="Order",A1475&gt;=I_Parameter!$C$4),1,0))))</f>
        <v/>
      </c>
    </row>
    <row r="1476" customFormat="false" ht="15" hidden="false" customHeight="false" outlineLevel="0" collapsed="false">
      <c r="A1476" s="37"/>
      <c r="B1476" s="44"/>
      <c r="C1476" s="44"/>
      <c r="D1476" s="44"/>
      <c r="E1476" s="44"/>
      <c r="F1476" s="44"/>
      <c r="G1476" s="34" t="str">
        <f aca="false">IF(F1476&lt;&gt;"",F1476,IF(E1476="","",IFERROR(INDEX(I_Item!$C$6:$C$255,MATCH(E1476,I_Item!$A$6:$A$255,0)),"KODE BARU")))</f>
        <v/>
      </c>
      <c r="H1476" s="45"/>
      <c r="I1476" s="42"/>
      <c r="J1476" s="11" t="str">
        <f aca="false">IF(H1476="","",H1476*I1476)</f>
        <v/>
      </c>
      <c r="K1476" s="42"/>
      <c r="L1476" s="11" t="str">
        <f aca="false">IF(H1476="","",IF(K1476&lt;&gt;"",K1476,H1476*IFERROR(INDEX(O_Stok!$Q$6:$Q$85,MATCH(G1476,O_Stok!$A$6:$A$85,0)),0)))</f>
        <v/>
      </c>
      <c r="M1476" s="11" t="str">
        <f aca="false">IF(H1476="","",J1476-L1476)</f>
        <v/>
      </c>
      <c r="N1476" s="34" t="str">
        <f aca="false">IF(G1476="","",IFERROR(INDEX(I_Master!$B$6:$B$85,MATCH(G1476,I_Master!$A$6:$A$85,0)),"?"))</f>
        <v/>
      </c>
      <c r="O1476" s="34" t="str">
        <f aca="false">IF(G1476="","",IFERROR(INDEX(I_Master!$E$6:$E$85,MATCH(G1476,I_Master!$A$6:$A$85,0)),"?"))</f>
        <v/>
      </c>
      <c r="P1476" s="46" t="str">
        <f aca="false">IF(H1476="","",IF(OR(A1476&lt;I_Parameter!$C$5,A1476&gt;I_Parameter!$C$6),0,IF(B1476="Aktual",1,IF(AND(B1476="Order",A1476&gt;=I_Parameter!$C$4),1,0))))</f>
        <v/>
      </c>
    </row>
    <row r="1477" customFormat="false" ht="15" hidden="false" customHeight="false" outlineLevel="0" collapsed="false">
      <c r="A1477" s="37"/>
      <c r="B1477" s="44"/>
      <c r="C1477" s="44"/>
      <c r="D1477" s="44"/>
      <c r="E1477" s="44"/>
      <c r="F1477" s="44"/>
      <c r="G1477" s="34" t="str">
        <f aca="false">IF(F1477&lt;&gt;"",F1477,IF(E1477="","",IFERROR(INDEX(I_Item!$C$6:$C$255,MATCH(E1477,I_Item!$A$6:$A$255,0)),"KODE BARU")))</f>
        <v/>
      </c>
      <c r="H1477" s="45"/>
      <c r="I1477" s="42"/>
      <c r="J1477" s="11" t="str">
        <f aca="false">IF(H1477="","",H1477*I1477)</f>
        <v/>
      </c>
      <c r="K1477" s="42"/>
      <c r="L1477" s="11" t="str">
        <f aca="false">IF(H1477="","",IF(K1477&lt;&gt;"",K1477,H1477*IFERROR(INDEX(O_Stok!$Q$6:$Q$85,MATCH(G1477,O_Stok!$A$6:$A$85,0)),0)))</f>
        <v/>
      </c>
      <c r="M1477" s="11" t="str">
        <f aca="false">IF(H1477="","",J1477-L1477)</f>
        <v/>
      </c>
      <c r="N1477" s="34" t="str">
        <f aca="false">IF(G1477="","",IFERROR(INDEX(I_Master!$B$6:$B$85,MATCH(G1477,I_Master!$A$6:$A$85,0)),"?"))</f>
        <v/>
      </c>
      <c r="O1477" s="34" t="str">
        <f aca="false">IF(G1477="","",IFERROR(INDEX(I_Master!$E$6:$E$85,MATCH(G1477,I_Master!$A$6:$A$85,0)),"?"))</f>
        <v/>
      </c>
      <c r="P1477" s="46" t="str">
        <f aca="false">IF(H1477="","",IF(OR(A1477&lt;I_Parameter!$C$5,A1477&gt;I_Parameter!$C$6),0,IF(B1477="Aktual",1,IF(AND(B1477="Order",A1477&gt;=I_Parameter!$C$4),1,0))))</f>
        <v/>
      </c>
    </row>
    <row r="1478" customFormat="false" ht="15" hidden="false" customHeight="false" outlineLevel="0" collapsed="false">
      <c r="A1478" s="37"/>
      <c r="B1478" s="44"/>
      <c r="C1478" s="44"/>
      <c r="D1478" s="44"/>
      <c r="E1478" s="44"/>
      <c r="F1478" s="44"/>
      <c r="G1478" s="34" t="str">
        <f aca="false">IF(F1478&lt;&gt;"",F1478,IF(E1478="","",IFERROR(INDEX(I_Item!$C$6:$C$255,MATCH(E1478,I_Item!$A$6:$A$255,0)),"KODE BARU")))</f>
        <v/>
      </c>
      <c r="H1478" s="45"/>
      <c r="I1478" s="42"/>
      <c r="J1478" s="11" t="str">
        <f aca="false">IF(H1478="","",H1478*I1478)</f>
        <v/>
      </c>
      <c r="K1478" s="42"/>
      <c r="L1478" s="11" t="str">
        <f aca="false">IF(H1478="","",IF(K1478&lt;&gt;"",K1478,H1478*IFERROR(INDEX(O_Stok!$Q$6:$Q$85,MATCH(G1478,O_Stok!$A$6:$A$85,0)),0)))</f>
        <v/>
      </c>
      <c r="M1478" s="11" t="str">
        <f aca="false">IF(H1478="","",J1478-L1478)</f>
        <v/>
      </c>
      <c r="N1478" s="34" t="str">
        <f aca="false">IF(G1478="","",IFERROR(INDEX(I_Master!$B$6:$B$85,MATCH(G1478,I_Master!$A$6:$A$85,0)),"?"))</f>
        <v/>
      </c>
      <c r="O1478" s="34" t="str">
        <f aca="false">IF(G1478="","",IFERROR(INDEX(I_Master!$E$6:$E$85,MATCH(G1478,I_Master!$A$6:$A$85,0)),"?"))</f>
        <v/>
      </c>
      <c r="P1478" s="46" t="str">
        <f aca="false">IF(H1478="","",IF(OR(A1478&lt;I_Parameter!$C$5,A1478&gt;I_Parameter!$C$6),0,IF(B1478="Aktual",1,IF(AND(B1478="Order",A1478&gt;=I_Parameter!$C$4),1,0))))</f>
        <v/>
      </c>
    </row>
    <row r="1479" customFormat="false" ht="15" hidden="false" customHeight="false" outlineLevel="0" collapsed="false">
      <c r="A1479" s="37"/>
      <c r="B1479" s="44"/>
      <c r="C1479" s="44"/>
      <c r="D1479" s="44"/>
      <c r="E1479" s="44"/>
      <c r="F1479" s="44"/>
      <c r="G1479" s="34" t="str">
        <f aca="false">IF(F1479&lt;&gt;"",F1479,IF(E1479="","",IFERROR(INDEX(I_Item!$C$6:$C$255,MATCH(E1479,I_Item!$A$6:$A$255,0)),"KODE BARU")))</f>
        <v/>
      </c>
      <c r="H1479" s="45"/>
      <c r="I1479" s="42"/>
      <c r="J1479" s="11" t="str">
        <f aca="false">IF(H1479="","",H1479*I1479)</f>
        <v/>
      </c>
      <c r="K1479" s="42"/>
      <c r="L1479" s="11" t="str">
        <f aca="false">IF(H1479="","",IF(K1479&lt;&gt;"",K1479,H1479*IFERROR(INDEX(O_Stok!$Q$6:$Q$85,MATCH(G1479,O_Stok!$A$6:$A$85,0)),0)))</f>
        <v/>
      </c>
      <c r="M1479" s="11" t="str">
        <f aca="false">IF(H1479="","",J1479-L1479)</f>
        <v/>
      </c>
      <c r="N1479" s="34" t="str">
        <f aca="false">IF(G1479="","",IFERROR(INDEX(I_Master!$B$6:$B$85,MATCH(G1479,I_Master!$A$6:$A$85,0)),"?"))</f>
        <v/>
      </c>
      <c r="O1479" s="34" t="str">
        <f aca="false">IF(G1479="","",IFERROR(INDEX(I_Master!$E$6:$E$85,MATCH(G1479,I_Master!$A$6:$A$85,0)),"?"))</f>
        <v/>
      </c>
      <c r="P1479" s="46" t="str">
        <f aca="false">IF(H1479="","",IF(OR(A1479&lt;I_Parameter!$C$5,A1479&gt;I_Parameter!$C$6),0,IF(B1479="Aktual",1,IF(AND(B1479="Order",A1479&gt;=I_Parameter!$C$4),1,0))))</f>
        <v/>
      </c>
    </row>
    <row r="1480" customFormat="false" ht="15" hidden="false" customHeight="false" outlineLevel="0" collapsed="false">
      <c r="A1480" s="37"/>
      <c r="B1480" s="44"/>
      <c r="C1480" s="44"/>
      <c r="D1480" s="44"/>
      <c r="E1480" s="44"/>
      <c r="F1480" s="44"/>
      <c r="G1480" s="34" t="str">
        <f aca="false">IF(F1480&lt;&gt;"",F1480,IF(E1480="","",IFERROR(INDEX(I_Item!$C$6:$C$255,MATCH(E1480,I_Item!$A$6:$A$255,0)),"KODE BARU")))</f>
        <v/>
      </c>
      <c r="H1480" s="45"/>
      <c r="I1480" s="42"/>
      <c r="J1480" s="11" t="str">
        <f aca="false">IF(H1480="","",H1480*I1480)</f>
        <v/>
      </c>
      <c r="K1480" s="42"/>
      <c r="L1480" s="11" t="str">
        <f aca="false">IF(H1480="","",IF(K1480&lt;&gt;"",K1480,H1480*IFERROR(INDEX(O_Stok!$Q$6:$Q$85,MATCH(G1480,O_Stok!$A$6:$A$85,0)),0)))</f>
        <v/>
      </c>
      <c r="M1480" s="11" t="str">
        <f aca="false">IF(H1480="","",J1480-L1480)</f>
        <v/>
      </c>
      <c r="N1480" s="34" t="str">
        <f aca="false">IF(G1480="","",IFERROR(INDEX(I_Master!$B$6:$B$85,MATCH(G1480,I_Master!$A$6:$A$85,0)),"?"))</f>
        <v/>
      </c>
      <c r="O1480" s="34" t="str">
        <f aca="false">IF(G1480="","",IFERROR(INDEX(I_Master!$E$6:$E$85,MATCH(G1480,I_Master!$A$6:$A$85,0)),"?"))</f>
        <v/>
      </c>
      <c r="P1480" s="46" t="str">
        <f aca="false">IF(H1480="","",IF(OR(A1480&lt;I_Parameter!$C$5,A1480&gt;I_Parameter!$C$6),0,IF(B1480="Aktual",1,IF(AND(B1480="Order",A1480&gt;=I_Parameter!$C$4),1,0))))</f>
        <v/>
      </c>
    </row>
    <row r="1481" customFormat="false" ht="15" hidden="false" customHeight="false" outlineLevel="0" collapsed="false">
      <c r="A1481" s="37"/>
      <c r="B1481" s="44"/>
      <c r="C1481" s="44"/>
      <c r="D1481" s="44"/>
      <c r="E1481" s="44"/>
      <c r="F1481" s="44"/>
      <c r="G1481" s="34" t="str">
        <f aca="false">IF(F1481&lt;&gt;"",F1481,IF(E1481="","",IFERROR(INDEX(I_Item!$C$6:$C$255,MATCH(E1481,I_Item!$A$6:$A$255,0)),"KODE BARU")))</f>
        <v/>
      </c>
      <c r="H1481" s="45"/>
      <c r="I1481" s="42"/>
      <c r="J1481" s="11" t="str">
        <f aca="false">IF(H1481="","",H1481*I1481)</f>
        <v/>
      </c>
      <c r="K1481" s="42"/>
      <c r="L1481" s="11" t="str">
        <f aca="false">IF(H1481="","",IF(K1481&lt;&gt;"",K1481,H1481*IFERROR(INDEX(O_Stok!$Q$6:$Q$85,MATCH(G1481,O_Stok!$A$6:$A$85,0)),0)))</f>
        <v/>
      </c>
      <c r="M1481" s="11" t="str">
        <f aca="false">IF(H1481="","",J1481-L1481)</f>
        <v/>
      </c>
      <c r="N1481" s="34" t="str">
        <f aca="false">IF(G1481="","",IFERROR(INDEX(I_Master!$B$6:$B$85,MATCH(G1481,I_Master!$A$6:$A$85,0)),"?"))</f>
        <v/>
      </c>
      <c r="O1481" s="34" t="str">
        <f aca="false">IF(G1481="","",IFERROR(INDEX(I_Master!$E$6:$E$85,MATCH(G1481,I_Master!$A$6:$A$85,0)),"?"))</f>
        <v/>
      </c>
      <c r="P1481" s="46" t="str">
        <f aca="false">IF(H1481="","",IF(OR(A1481&lt;I_Parameter!$C$5,A1481&gt;I_Parameter!$C$6),0,IF(B1481="Aktual",1,IF(AND(B1481="Order",A1481&gt;=I_Parameter!$C$4),1,0))))</f>
        <v/>
      </c>
    </row>
    <row r="1482" customFormat="false" ht="15" hidden="false" customHeight="false" outlineLevel="0" collapsed="false">
      <c r="A1482" s="37"/>
      <c r="B1482" s="44"/>
      <c r="C1482" s="44"/>
      <c r="D1482" s="44"/>
      <c r="E1482" s="44"/>
      <c r="F1482" s="44"/>
      <c r="G1482" s="34" t="str">
        <f aca="false">IF(F1482&lt;&gt;"",F1482,IF(E1482="","",IFERROR(INDEX(I_Item!$C$6:$C$255,MATCH(E1482,I_Item!$A$6:$A$255,0)),"KODE BARU")))</f>
        <v/>
      </c>
      <c r="H1482" s="45"/>
      <c r="I1482" s="42"/>
      <c r="J1482" s="11" t="str">
        <f aca="false">IF(H1482="","",H1482*I1482)</f>
        <v/>
      </c>
      <c r="K1482" s="42"/>
      <c r="L1482" s="11" t="str">
        <f aca="false">IF(H1482="","",IF(K1482&lt;&gt;"",K1482,H1482*IFERROR(INDEX(O_Stok!$Q$6:$Q$85,MATCH(G1482,O_Stok!$A$6:$A$85,0)),0)))</f>
        <v/>
      </c>
      <c r="M1482" s="11" t="str">
        <f aca="false">IF(H1482="","",J1482-L1482)</f>
        <v/>
      </c>
      <c r="N1482" s="34" t="str">
        <f aca="false">IF(G1482="","",IFERROR(INDEX(I_Master!$B$6:$B$85,MATCH(G1482,I_Master!$A$6:$A$85,0)),"?"))</f>
        <v/>
      </c>
      <c r="O1482" s="34" t="str">
        <f aca="false">IF(G1482="","",IFERROR(INDEX(I_Master!$E$6:$E$85,MATCH(G1482,I_Master!$A$6:$A$85,0)),"?"))</f>
        <v/>
      </c>
      <c r="P1482" s="46" t="str">
        <f aca="false">IF(H1482="","",IF(OR(A1482&lt;I_Parameter!$C$5,A1482&gt;I_Parameter!$C$6),0,IF(B1482="Aktual",1,IF(AND(B1482="Order",A1482&gt;=I_Parameter!$C$4),1,0))))</f>
        <v/>
      </c>
    </row>
    <row r="1483" customFormat="false" ht="15" hidden="false" customHeight="false" outlineLevel="0" collapsed="false">
      <c r="A1483" s="37"/>
      <c r="B1483" s="44"/>
      <c r="C1483" s="44"/>
      <c r="D1483" s="44"/>
      <c r="E1483" s="44"/>
      <c r="F1483" s="44"/>
      <c r="G1483" s="34" t="str">
        <f aca="false">IF(F1483&lt;&gt;"",F1483,IF(E1483="","",IFERROR(INDEX(I_Item!$C$6:$C$255,MATCH(E1483,I_Item!$A$6:$A$255,0)),"KODE BARU")))</f>
        <v/>
      </c>
      <c r="H1483" s="45"/>
      <c r="I1483" s="42"/>
      <c r="J1483" s="11" t="str">
        <f aca="false">IF(H1483="","",H1483*I1483)</f>
        <v/>
      </c>
      <c r="K1483" s="42"/>
      <c r="L1483" s="11" t="str">
        <f aca="false">IF(H1483="","",IF(K1483&lt;&gt;"",K1483,H1483*IFERROR(INDEX(O_Stok!$Q$6:$Q$85,MATCH(G1483,O_Stok!$A$6:$A$85,0)),0)))</f>
        <v/>
      </c>
      <c r="M1483" s="11" t="str">
        <f aca="false">IF(H1483="","",J1483-L1483)</f>
        <v/>
      </c>
      <c r="N1483" s="34" t="str">
        <f aca="false">IF(G1483="","",IFERROR(INDEX(I_Master!$B$6:$B$85,MATCH(G1483,I_Master!$A$6:$A$85,0)),"?"))</f>
        <v/>
      </c>
      <c r="O1483" s="34" t="str">
        <f aca="false">IF(G1483="","",IFERROR(INDEX(I_Master!$E$6:$E$85,MATCH(G1483,I_Master!$A$6:$A$85,0)),"?"))</f>
        <v/>
      </c>
      <c r="P1483" s="46" t="str">
        <f aca="false">IF(H1483="","",IF(OR(A1483&lt;I_Parameter!$C$5,A1483&gt;I_Parameter!$C$6),0,IF(B1483="Aktual",1,IF(AND(B1483="Order",A1483&gt;=I_Parameter!$C$4),1,0))))</f>
        <v/>
      </c>
    </row>
    <row r="1484" customFormat="false" ht="15" hidden="false" customHeight="false" outlineLevel="0" collapsed="false">
      <c r="A1484" s="37"/>
      <c r="B1484" s="44"/>
      <c r="C1484" s="44"/>
      <c r="D1484" s="44"/>
      <c r="E1484" s="44"/>
      <c r="F1484" s="44"/>
      <c r="G1484" s="34" t="str">
        <f aca="false">IF(F1484&lt;&gt;"",F1484,IF(E1484="","",IFERROR(INDEX(I_Item!$C$6:$C$255,MATCH(E1484,I_Item!$A$6:$A$255,0)),"KODE BARU")))</f>
        <v/>
      </c>
      <c r="H1484" s="45"/>
      <c r="I1484" s="42"/>
      <c r="J1484" s="11" t="str">
        <f aca="false">IF(H1484="","",H1484*I1484)</f>
        <v/>
      </c>
      <c r="K1484" s="42"/>
      <c r="L1484" s="11" t="str">
        <f aca="false">IF(H1484="","",IF(K1484&lt;&gt;"",K1484,H1484*IFERROR(INDEX(O_Stok!$Q$6:$Q$85,MATCH(G1484,O_Stok!$A$6:$A$85,0)),0)))</f>
        <v/>
      </c>
      <c r="M1484" s="11" t="str">
        <f aca="false">IF(H1484="","",J1484-L1484)</f>
        <v/>
      </c>
      <c r="N1484" s="34" t="str">
        <f aca="false">IF(G1484="","",IFERROR(INDEX(I_Master!$B$6:$B$85,MATCH(G1484,I_Master!$A$6:$A$85,0)),"?"))</f>
        <v/>
      </c>
      <c r="O1484" s="34" t="str">
        <f aca="false">IF(G1484="","",IFERROR(INDEX(I_Master!$E$6:$E$85,MATCH(G1484,I_Master!$A$6:$A$85,0)),"?"))</f>
        <v/>
      </c>
      <c r="P1484" s="46" t="str">
        <f aca="false">IF(H1484="","",IF(OR(A1484&lt;I_Parameter!$C$5,A1484&gt;I_Parameter!$C$6),0,IF(B1484="Aktual",1,IF(AND(B1484="Order",A1484&gt;=I_Parameter!$C$4),1,0))))</f>
        <v/>
      </c>
    </row>
    <row r="1485" customFormat="false" ht="15" hidden="false" customHeight="false" outlineLevel="0" collapsed="false">
      <c r="A1485" s="37"/>
      <c r="B1485" s="44"/>
      <c r="C1485" s="44"/>
      <c r="D1485" s="44"/>
      <c r="E1485" s="44"/>
      <c r="F1485" s="44"/>
      <c r="G1485" s="34" t="str">
        <f aca="false">IF(F1485&lt;&gt;"",F1485,IF(E1485="","",IFERROR(INDEX(I_Item!$C$6:$C$255,MATCH(E1485,I_Item!$A$6:$A$255,0)),"KODE BARU")))</f>
        <v/>
      </c>
      <c r="H1485" s="45"/>
      <c r="I1485" s="42"/>
      <c r="J1485" s="11" t="str">
        <f aca="false">IF(H1485="","",H1485*I1485)</f>
        <v/>
      </c>
      <c r="K1485" s="42"/>
      <c r="L1485" s="11" t="str">
        <f aca="false">IF(H1485="","",IF(K1485&lt;&gt;"",K1485,H1485*IFERROR(INDEX(O_Stok!$Q$6:$Q$85,MATCH(G1485,O_Stok!$A$6:$A$85,0)),0)))</f>
        <v/>
      </c>
      <c r="M1485" s="11" t="str">
        <f aca="false">IF(H1485="","",J1485-L1485)</f>
        <v/>
      </c>
      <c r="N1485" s="34" t="str">
        <f aca="false">IF(G1485="","",IFERROR(INDEX(I_Master!$B$6:$B$85,MATCH(G1485,I_Master!$A$6:$A$85,0)),"?"))</f>
        <v/>
      </c>
      <c r="O1485" s="34" t="str">
        <f aca="false">IF(G1485="","",IFERROR(INDEX(I_Master!$E$6:$E$85,MATCH(G1485,I_Master!$A$6:$A$85,0)),"?"))</f>
        <v/>
      </c>
      <c r="P1485" s="46" t="str">
        <f aca="false">IF(H1485="","",IF(OR(A1485&lt;I_Parameter!$C$5,A1485&gt;I_Parameter!$C$6),0,IF(B1485="Aktual",1,IF(AND(B1485="Order",A1485&gt;=I_Parameter!$C$4),1,0))))</f>
        <v/>
      </c>
    </row>
    <row r="1486" customFormat="false" ht="15" hidden="false" customHeight="false" outlineLevel="0" collapsed="false">
      <c r="A1486" s="37"/>
      <c r="B1486" s="44"/>
      <c r="C1486" s="44"/>
      <c r="D1486" s="44"/>
      <c r="E1486" s="44"/>
      <c r="F1486" s="44"/>
      <c r="G1486" s="34" t="str">
        <f aca="false">IF(F1486&lt;&gt;"",F1486,IF(E1486="","",IFERROR(INDEX(I_Item!$C$6:$C$255,MATCH(E1486,I_Item!$A$6:$A$255,0)),"KODE BARU")))</f>
        <v/>
      </c>
      <c r="H1486" s="45"/>
      <c r="I1486" s="42"/>
      <c r="J1486" s="11" t="str">
        <f aca="false">IF(H1486="","",H1486*I1486)</f>
        <v/>
      </c>
      <c r="K1486" s="42"/>
      <c r="L1486" s="11" t="str">
        <f aca="false">IF(H1486="","",IF(K1486&lt;&gt;"",K1486,H1486*IFERROR(INDEX(O_Stok!$Q$6:$Q$85,MATCH(G1486,O_Stok!$A$6:$A$85,0)),0)))</f>
        <v/>
      </c>
      <c r="M1486" s="11" t="str">
        <f aca="false">IF(H1486="","",J1486-L1486)</f>
        <v/>
      </c>
      <c r="N1486" s="34" t="str">
        <f aca="false">IF(G1486="","",IFERROR(INDEX(I_Master!$B$6:$B$85,MATCH(G1486,I_Master!$A$6:$A$85,0)),"?"))</f>
        <v/>
      </c>
      <c r="O1486" s="34" t="str">
        <f aca="false">IF(G1486="","",IFERROR(INDEX(I_Master!$E$6:$E$85,MATCH(G1486,I_Master!$A$6:$A$85,0)),"?"))</f>
        <v/>
      </c>
      <c r="P1486" s="46" t="str">
        <f aca="false">IF(H1486="","",IF(OR(A1486&lt;I_Parameter!$C$5,A1486&gt;I_Parameter!$C$6),0,IF(B1486="Aktual",1,IF(AND(B1486="Order",A1486&gt;=I_Parameter!$C$4),1,0))))</f>
        <v/>
      </c>
    </row>
    <row r="1487" customFormat="false" ht="15" hidden="false" customHeight="false" outlineLevel="0" collapsed="false">
      <c r="A1487" s="37"/>
      <c r="B1487" s="44"/>
      <c r="C1487" s="44"/>
      <c r="D1487" s="44"/>
      <c r="E1487" s="44"/>
      <c r="F1487" s="44"/>
      <c r="G1487" s="34" t="str">
        <f aca="false">IF(F1487&lt;&gt;"",F1487,IF(E1487="","",IFERROR(INDEX(I_Item!$C$6:$C$255,MATCH(E1487,I_Item!$A$6:$A$255,0)),"KODE BARU")))</f>
        <v/>
      </c>
      <c r="H1487" s="45"/>
      <c r="I1487" s="42"/>
      <c r="J1487" s="11" t="str">
        <f aca="false">IF(H1487="","",H1487*I1487)</f>
        <v/>
      </c>
      <c r="K1487" s="42"/>
      <c r="L1487" s="11" t="str">
        <f aca="false">IF(H1487="","",IF(K1487&lt;&gt;"",K1487,H1487*IFERROR(INDEX(O_Stok!$Q$6:$Q$85,MATCH(G1487,O_Stok!$A$6:$A$85,0)),0)))</f>
        <v/>
      </c>
      <c r="M1487" s="11" t="str">
        <f aca="false">IF(H1487="","",J1487-L1487)</f>
        <v/>
      </c>
      <c r="N1487" s="34" t="str">
        <f aca="false">IF(G1487="","",IFERROR(INDEX(I_Master!$B$6:$B$85,MATCH(G1487,I_Master!$A$6:$A$85,0)),"?"))</f>
        <v/>
      </c>
      <c r="O1487" s="34" t="str">
        <f aca="false">IF(G1487="","",IFERROR(INDEX(I_Master!$E$6:$E$85,MATCH(G1487,I_Master!$A$6:$A$85,0)),"?"))</f>
        <v/>
      </c>
      <c r="P1487" s="46" t="str">
        <f aca="false">IF(H1487="","",IF(OR(A1487&lt;I_Parameter!$C$5,A1487&gt;I_Parameter!$C$6),0,IF(B1487="Aktual",1,IF(AND(B1487="Order",A1487&gt;=I_Parameter!$C$4),1,0))))</f>
        <v/>
      </c>
    </row>
    <row r="1488" customFormat="false" ht="15" hidden="false" customHeight="false" outlineLevel="0" collapsed="false">
      <c r="A1488" s="37"/>
      <c r="B1488" s="44"/>
      <c r="C1488" s="44"/>
      <c r="D1488" s="44"/>
      <c r="E1488" s="44"/>
      <c r="F1488" s="44"/>
      <c r="G1488" s="34" t="str">
        <f aca="false">IF(F1488&lt;&gt;"",F1488,IF(E1488="","",IFERROR(INDEX(I_Item!$C$6:$C$255,MATCH(E1488,I_Item!$A$6:$A$255,0)),"KODE BARU")))</f>
        <v/>
      </c>
      <c r="H1488" s="45"/>
      <c r="I1488" s="42"/>
      <c r="J1488" s="11" t="str">
        <f aca="false">IF(H1488="","",H1488*I1488)</f>
        <v/>
      </c>
      <c r="K1488" s="42"/>
      <c r="L1488" s="11" t="str">
        <f aca="false">IF(H1488="","",IF(K1488&lt;&gt;"",K1488,H1488*IFERROR(INDEX(O_Stok!$Q$6:$Q$85,MATCH(G1488,O_Stok!$A$6:$A$85,0)),0)))</f>
        <v/>
      </c>
      <c r="M1488" s="11" t="str">
        <f aca="false">IF(H1488="","",J1488-L1488)</f>
        <v/>
      </c>
      <c r="N1488" s="34" t="str">
        <f aca="false">IF(G1488="","",IFERROR(INDEX(I_Master!$B$6:$B$85,MATCH(G1488,I_Master!$A$6:$A$85,0)),"?"))</f>
        <v/>
      </c>
      <c r="O1488" s="34" t="str">
        <f aca="false">IF(G1488="","",IFERROR(INDEX(I_Master!$E$6:$E$85,MATCH(G1488,I_Master!$A$6:$A$85,0)),"?"))</f>
        <v/>
      </c>
      <c r="P1488" s="46" t="str">
        <f aca="false">IF(H1488="","",IF(OR(A1488&lt;I_Parameter!$C$5,A1488&gt;I_Parameter!$C$6),0,IF(B1488="Aktual",1,IF(AND(B1488="Order",A1488&gt;=I_Parameter!$C$4),1,0))))</f>
        <v/>
      </c>
    </row>
    <row r="1489" customFormat="false" ht="15" hidden="false" customHeight="false" outlineLevel="0" collapsed="false">
      <c r="A1489" s="37"/>
      <c r="B1489" s="44"/>
      <c r="C1489" s="44"/>
      <c r="D1489" s="44"/>
      <c r="E1489" s="44"/>
      <c r="F1489" s="44"/>
      <c r="G1489" s="34" t="str">
        <f aca="false">IF(F1489&lt;&gt;"",F1489,IF(E1489="","",IFERROR(INDEX(I_Item!$C$6:$C$255,MATCH(E1489,I_Item!$A$6:$A$255,0)),"KODE BARU")))</f>
        <v/>
      </c>
      <c r="H1489" s="45"/>
      <c r="I1489" s="42"/>
      <c r="J1489" s="11" t="str">
        <f aca="false">IF(H1489="","",H1489*I1489)</f>
        <v/>
      </c>
      <c r="K1489" s="42"/>
      <c r="L1489" s="11" t="str">
        <f aca="false">IF(H1489="","",IF(K1489&lt;&gt;"",K1489,H1489*IFERROR(INDEX(O_Stok!$Q$6:$Q$85,MATCH(G1489,O_Stok!$A$6:$A$85,0)),0)))</f>
        <v/>
      </c>
      <c r="M1489" s="11" t="str">
        <f aca="false">IF(H1489="","",J1489-L1489)</f>
        <v/>
      </c>
      <c r="N1489" s="34" t="str">
        <f aca="false">IF(G1489="","",IFERROR(INDEX(I_Master!$B$6:$B$85,MATCH(G1489,I_Master!$A$6:$A$85,0)),"?"))</f>
        <v/>
      </c>
      <c r="O1489" s="34" t="str">
        <f aca="false">IF(G1489="","",IFERROR(INDEX(I_Master!$E$6:$E$85,MATCH(G1489,I_Master!$A$6:$A$85,0)),"?"))</f>
        <v/>
      </c>
      <c r="P1489" s="46" t="str">
        <f aca="false">IF(H1489="","",IF(OR(A1489&lt;I_Parameter!$C$5,A1489&gt;I_Parameter!$C$6),0,IF(B1489="Aktual",1,IF(AND(B1489="Order",A1489&gt;=I_Parameter!$C$4),1,0))))</f>
        <v/>
      </c>
    </row>
    <row r="1490" customFormat="false" ht="15" hidden="false" customHeight="false" outlineLevel="0" collapsed="false">
      <c r="A1490" s="37"/>
      <c r="B1490" s="44"/>
      <c r="C1490" s="44"/>
      <c r="D1490" s="44"/>
      <c r="E1490" s="44"/>
      <c r="F1490" s="44"/>
      <c r="G1490" s="34" t="str">
        <f aca="false">IF(F1490&lt;&gt;"",F1490,IF(E1490="","",IFERROR(INDEX(I_Item!$C$6:$C$255,MATCH(E1490,I_Item!$A$6:$A$255,0)),"KODE BARU")))</f>
        <v/>
      </c>
      <c r="H1490" s="45"/>
      <c r="I1490" s="42"/>
      <c r="J1490" s="11" t="str">
        <f aca="false">IF(H1490="","",H1490*I1490)</f>
        <v/>
      </c>
      <c r="K1490" s="42"/>
      <c r="L1490" s="11" t="str">
        <f aca="false">IF(H1490="","",IF(K1490&lt;&gt;"",K1490,H1490*IFERROR(INDEX(O_Stok!$Q$6:$Q$85,MATCH(G1490,O_Stok!$A$6:$A$85,0)),0)))</f>
        <v/>
      </c>
      <c r="M1490" s="11" t="str">
        <f aca="false">IF(H1490="","",J1490-L1490)</f>
        <v/>
      </c>
      <c r="N1490" s="34" t="str">
        <f aca="false">IF(G1490="","",IFERROR(INDEX(I_Master!$B$6:$B$85,MATCH(G1490,I_Master!$A$6:$A$85,0)),"?"))</f>
        <v/>
      </c>
      <c r="O1490" s="34" t="str">
        <f aca="false">IF(G1490="","",IFERROR(INDEX(I_Master!$E$6:$E$85,MATCH(G1490,I_Master!$A$6:$A$85,0)),"?"))</f>
        <v/>
      </c>
      <c r="P1490" s="46" t="str">
        <f aca="false">IF(H1490="","",IF(OR(A1490&lt;I_Parameter!$C$5,A1490&gt;I_Parameter!$C$6),0,IF(B1490="Aktual",1,IF(AND(B1490="Order",A1490&gt;=I_Parameter!$C$4),1,0))))</f>
        <v/>
      </c>
    </row>
    <row r="1491" customFormat="false" ht="15" hidden="false" customHeight="false" outlineLevel="0" collapsed="false">
      <c r="A1491" s="37"/>
      <c r="B1491" s="44"/>
      <c r="C1491" s="44"/>
      <c r="D1491" s="44"/>
      <c r="E1491" s="44"/>
      <c r="F1491" s="44"/>
      <c r="G1491" s="34" t="str">
        <f aca="false">IF(F1491&lt;&gt;"",F1491,IF(E1491="","",IFERROR(INDEX(I_Item!$C$6:$C$255,MATCH(E1491,I_Item!$A$6:$A$255,0)),"KODE BARU")))</f>
        <v/>
      </c>
      <c r="H1491" s="45"/>
      <c r="I1491" s="42"/>
      <c r="J1491" s="11" t="str">
        <f aca="false">IF(H1491="","",H1491*I1491)</f>
        <v/>
      </c>
      <c r="K1491" s="42"/>
      <c r="L1491" s="11" t="str">
        <f aca="false">IF(H1491="","",IF(K1491&lt;&gt;"",K1491,H1491*IFERROR(INDEX(O_Stok!$Q$6:$Q$85,MATCH(G1491,O_Stok!$A$6:$A$85,0)),0)))</f>
        <v/>
      </c>
      <c r="M1491" s="11" t="str">
        <f aca="false">IF(H1491="","",J1491-L1491)</f>
        <v/>
      </c>
      <c r="N1491" s="34" t="str">
        <f aca="false">IF(G1491="","",IFERROR(INDEX(I_Master!$B$6:$B$85,MATCH(G1491,I_Master!$A$6:$A$85,0)),"?"))</f>
        <v/>
      </c>
      <c r="O1491" s="34" t="str">
        <f aca="false">IF(G1491="","",IFERROR(INDEX(I_Master!$E$6:$E$85,MATCH(G1491,I_Master!$A$6:$A$85,0)),"?"))</f>
        <v/>
      </c>
      <c r="P1491" s="46" t="str">
        <f aca="false">IF(H1491="","",IF(OR(A1491&lt;I_Parameter!$C$5,A1491&gt;I_Parameter!$C$6),0,IF(B1491="Aktual",1,IF(AND(B1491="Order",A1491&gt;=I_Parameter!$C$4),1,0))))</f>
        <v/>
      </c>
    </row>
    <row r="1492" customFormat="false" ht="15" hidden="false" customHeight="false" outlineLevel="0" collapsed="false">
      <c r="A1492" s="37"/>
      <c r="B1492" s="44"/>
      <c r="C1492" s="44"/>
      <c r="D1492" s="44"/>
      <c r="E1492" s="44"/>
      <c r="F1492" s="44"/>
      <c r="G1492" s="34" t="str">
        <f aca="false">IF(F1492&lt;&gt;"",F1492,IF(E1492="","",IFERROR(INDEX(I_Item!$C$6:$C$255,MATCH(E1492,I_Item!$A$6:$A$255,0)),"KODE BARU")))</f>
        <v/>
      </c>
      <c r="H1492" s="45"/>
      <c r="I1492" s="42"/>
      <c r="J1492" s="11" t="str">
        <f aca="false">IF(H1492="","",H1492*I1492)</f>
        <v/>
      </c>
      <c r="K1492" s="42"/>
      <c r="L1492" s="11" t="str">
        <f aca="false">IF(H1492="","",IF(K1492&lt;&gt;"",K1492,H1492*IFERROR(INDEX(O_Stok!$Q$6:$Q$85,MATCH(G1492,O_Stok!$A$6:$A$85,0)),0)))</f>
        <v/>
      </c>
      <c r="M1492" s="11" t="str">
        <f aca="false">IF(H1492="","",J1492-L1492)</f>
        <v/>
      </c>
      <c r="N1492" s="34" t="str">
        <f aca="false">IF(G1492="","",IFERROR(INDEX(I_Master!$B$6:$B$85,MATCH(G1492,I_Master!$A$6:$A$85,0)),"?"))</f>
        <v/>
      </c>
      <c r="O1492" s="34" t="str">
        <f aca="false">IF(G1492="","",IFERROR(INDEX(I_Master!$E$6:$E$85,MATCH(G1492,I_Master!$A$6:$A$85,0)),"?"))</f>
        <v/>
      </c>
      <c r="P1492" s="46" t="str">
        <f aca="false">IF(H1492="","",IF(OR(A1492&lt;I_Parameter!$C$5,A1492&gt;I_Parameter!$C$6),0,IF(B1492="Aktual",1,IF(AND(B1492="Order",A1492&gt;=I_Parameter!$C$4),1,0))))</f>
        <v/>
      </c>
    </row>
    <row r="1493" customFormat="false" ht="15" hidden="false" customHeight="false" outlineLevel="0" collapsed="false">
      <c r="A1493" s="37"/>
      <c r="B1493" s="44"/>
      <c r="C1493" s="44"/>
      <c r="D1493" s="44"/>
      <c r="E1493" s="44"/>
      <c r="F1493" s="44"/>
      <c r="G1493" s="34" t="str">
        <f aca="false">IF(F1493&lt;&gt;"",F1493,IF(E1493="","",IFERROR(INDEX(I_Item!$C$6:$C$255,MATCH(E1493,I_Item!$A$6:$A$255,0)),"KODE BARU")))</f>
        <v/>
      </c>
      <c r="H1493" s="45"/>
      <c r="I1493" s="42"/>
      <c r="J1493" s="11" t="str">
        <f aca="false">IF(H1493="","",H1493*I1493)</f>
        <v/>
      </c>
      <c r="K1493" s="42"/>
      <c r="L1493" s="11" t="str">
        <f aca="false">IF(H1493="","",IF(K1493&lt;&gt;"",K1493,H1493*IFERROR(INDEX(O_Stok!$Q$6:$Q$85,MATCH(G1493,O_Stok!$A$6:$A$85,0)),0)))</f>
        <v/>
      </c>
      <c r="M1493" s="11" t="str">
        <f aca="false">IF(H1493="","",J1493-L1493)</f>
        <v/>
      </c>
      <c r="N1493" s="34" t="str">
        <f aca="false">IF(G1493="","",IFERROR(INDEX(I_Master!$B$6:$B$85,MATCH(G1493,I_Master!$A$6:$A$85,0)),"?"))</f>
        <v/>
      </c>
      <c r="O1493" s="34" t="str">
        <f aca="false">IF(G1493="","",IFERROR(INDEX(I_Master!$E$6:$E$85,MATCH(G1493,I_Master!$A$6:$A$85,0)),"?"))</f>
        <v/>
      </c>
      <c r="P1493" s="46" t="str">
        <f aca="false">IF(H1493="","",IF(OR(A1493&lt;I_Parameter!$C$5,A1493&gt;I_Parameter!$C$6),0,IF(B1493="Aktual",1,IF(AND(B1493="Order",A1493&gt;=I_Parameter!$C$4),1,0))))</f>
        <v/>
      </c>
    </row>
    <row r="1494" customFormat="false" ht="15" hidden="false" customHeight="false" outlineLevel="0" collapsed="false">
      <c r="A1494" s="37"/>
      <c r="B1494" s="44"/>
      <c r="C1494" s="44"/>
      <c r="D1494" s="44"/>
      <c r="E1494" s="44"/>
      <c r="F1494" s="44"/>
      <c r="G1494" s="34" t="str">
        <f aca="false">IF(F1494&lt;&gt;"",F1494,IF(E1494="","",IFERROR(INDEX(I_Item!$C$6:$C$255,MATCH(E1494,I_Item!$A$6:$A$255,0)),"KODE BARU")))</f>
        <v/>
      </c>
      <c r="H1494" s="45"/>
      <c r="I1494" s="42"/>
      <c r="J1494" s="11" t="str">
        <f aca="false">IF(H1494="","",H1494*I1494)</f>
        <v/>
      </c>
      <c r="K1494" s="42"/>
      <c r="L1494" s="11" t="str">
        <f aca="false">IF(H1494="","",IF(K1494&lt;&gt;"",K1494,H1494*IFERROR(INDEX(O_Stok!$Q$6:$Q$85,MATCH(G1494,O_Stok!$A$6:$A$85,0)),0)))</f>
        <v/>
      </c>
      <c r="M1494" s="11" t="str">
        <f aca="false">IF(H1494="","",J1494-L1494)</f>
        <v/>
      </c>
      <c r="N1494" s="34" t="str">
        <f aca="false">IF(G1494="","",IFERROR(INDEX(I_Master!$B$6:$B$85,MATCH(G1494,I_Master!$A$6:$A$85,0)),"?"))</f>
        <v/>
      </c>
      <c r="O1494" s="34" t="str">
        <f aca="false">IF(G1494="","",IFERROR(INDEX(I_Master!$E$6:$E$85,MATCH(G1494,I_Master!$A$6:$A$85,0)),"?"))</f>
        <v/>
      </c>
      <c r="P1494" s="46" t="str">
        <f aca="false">IF(H1494="","",IF(OR(A1494&lt;I_Parameter!$C$5,A1494&gt;I_Parameter!$C$6),0,IF(B1494="Aktual",1,IF(AND(B1494="Order",A1494&gt;=I_Parameter!$C$4),1,0))))</f>
        <v/>
      </c>
    </row>
    <row r="1495" customFormat="false" ht="15" hidden="false" customHeight="false" outlineLevel="0" collapsed="false">
      <c r="A1495" s="37"/>
      <c r="B1495" s="44"/>
      <c r="C1495" s="44"/>
      <c r="D1495" s="44"/>
      <c r="E1495" s="44"/>
      <c r="F1495" s="44"/>
      <c r="G1495" s="34" t="str">
        <f aca="false">IF(F1495&lt;&gt;"",F1495,IF(E1495="","",IFERROR(INDEX(I_Item!$C$6:$C$255,MATCH(E1495,I_Item!$A$6:$A$255,0)),"KODE BARU")))</f>
        <v/>
      </c>
      <c r="H1495" s="45"/>
      <c r="I1495" s="42"/>
      <c r="J1495" s="11" t="str">
        <f aca="false">IF(H1495="","",H1495*I1495)</f>
        <v/>
      </c>
      <c r="K1495" s="42"/>
      <c r="L1495" s="11" t="str">
        <f aca="false">IF(H1495="","",IF(K1495&lt;&gt;"",K1495,H1495*IFERROR(INDEX(O_Stok!$Q$6:$Q$85,MATCH(G1495,O_Stok!$A$6:$A$85,0)),0)))</f>
        <v/>
      </c>
      <c r="M1495" s="11" t="str">
        <f aca="false">IF(H1495="","",J1495-L1495)</f>
        <v/>
      </c>
      <c r="N1495" s="34" t="str">
        <f aca="false">IF(G1495="","",IFERROR(INDEX(I_Master!$B$6:$B$85,MATCH(G1495,I_Master!$A$6:$A$85,0)),"?"))</f>
        <v/>
      </c>
      <c r="O1495" s="34" t="str">
        <f aca="false">IF(G1495="","",IFERROR(INDEX(I_Master!$E$6:$E$85,MATCH(G1495,I_Master!$A$6:$A$85,0)),"?"))</f>
        <v/>
      </c>
      <c r="P1495" s="46" t="str">
        <f aca="false">IF(H1495="","",IF(OR(A1495&lt;I_Parameter!$C$5,A1495&gt;I_Parameter!$C$6),0,IF(B1495="Aktual",1,IF(AND(B1495="Order",A1495&gt;=I_Parameter!$C$4),1,0))))</f>
        <v/>
      </c>
    </row>
    <row r="1496" customFormat="false" ht="15" hidden="false" customHeight="false" outlineLevel="0" collapsed="false">
      <c r="A1496" s="37"/>
      <c r="B1496" s="44"/>
      <c r="C1496" s="44"/>
      <c r="D1496" s="44"/>
      <c r="E1496" s="44"/>
      <c r="F1496" s="44"/>
      <c r="G1496" s="34" t="str">
        <f aca="false">IF(F1496&lt;&gt;"",F1496,IF(E1496="","",IFERROR(INDEX(I_Item!$C$6:$C$255,MATCH(E1496,I_Item!$A$6:$A$255,0)),"KODE BARU")))</f>
        <v/>
      </c>
      <c r="H1496" s="45"/>
      <c r="I1496" s="42"/>
      <c r="J1496" s="11" t="str">
        <f aca="false">IF(H1496="","",H1496*I1496)</f>
        <v/>
      </c>
      <c r="K1496" s="42"/>
      <c r="L1496" s="11" t="str">
        <f aca="false">IF(H1496="","",IF(K1496&lt;&gt;"",K1496,H1496*IFERROR(INDEX(O_Stok!$Q$6:$Q$85,MATCH(G1496,O_Stok!$A$6:$A$85,0)),0)))</f>
        <v/>
      </c>
      <c r="M1496" s="11" t="str">
        <f aca="false">IF(H1496="","",J1496-L1496)</f>
        <v/>
      </c>
      <c r="N1496" s="34" t="str">
        <f aca="false">IF(G1496="","",IFERROR(INDEX(I_Master!$B$6:$B$85,MATCH(G1496,I_Master!$A$6:$A$85,0)),"?"))</f>
        <v/>
      </c>
      <c r="O1496" s="34" t="str">
        <f aca="false">IF(G1496="","",IFERROR(INDEX(I_Master!$E$6:$E$85,MATCH(G1496,I_Master!$A$6:$A$85,0)),"?"))</f>
        <v/>
      </c>
      <c r="P1496" s="46" t="str">
        <f aca="false">IF(H1496="","",IF(OR(A1496&lt;I_Parameter!$C$5,A1496&gt;I_Parameter!$C$6),0,IF(B1496="Aktual",1,IF(AND(B1496="Order",A1496&gt;=I_Parameter!$C$4),1,0))))</f>
        <v/>
      </c>
    </row>
    <row r="1497" customFormat="false" ht="15" hidden="false" customHeight="false" outlineLevel="0" collapsed="false">
      <c r="A1497" s="37"/>
      <c r="B1497" s="44"/>
      <c r="C1497" s="44"/>
      <c r="D1497" s="44"/>
      <c r="E1497" s="44"/>
      <c r="F1497" s="44"/>
      <c r="G1497" s="34" t="str">
        <f aca="false">IF(F1497&lt;&gt;"",F1497,IF(E1497="","",IFERROR(INDEX(I_Item!$C$6:$C$255,MATCH(E1497,I_Item!$A$6:$A$255,0)),"KODE BARU")))</f>
        <v/>
      </c>
      <c r="H1497" s="45"/>
      <c r="I1497" s="42"/>
      <c r="J1497" s="11" t="str">
        <f aca="false">IF(H1497="","",H1497*I1497)</f>
        <v/>
      </c>
      <c r="K1497" s="42"/>
      <c r="L1497" s="11" t="str">
        <f aca="false">IF(H1497="","",IF(K1497&lt;&gt;"",K1497,H1497*IFERROR(INDEX(O_Stok!$Q$6:$Q$85,MATCH(G1497,O_Stok!$A$6:$A$85,0)),0)))</f>
        <v/>
      </c>
      <c r="M1497" s="11" t="str">
        <f aca="false">IF(H1497="","",J1497-L1497)</f>
        <v/>
      </c>
      <c r="N1497" s="34" t="str">
        <f aca="false">IF(G1497="","",IFERROR(INDEX(I_Master!$B$6:$B$85,MATCH(G1497,I_Master!$A$6:$A$85,0)),"?"))</f>
        <v/>
      </c>
      <c r="O1497" s="34" t="str">
        <f aca="false">IF(G1497="","",IFERROR(INDEX(I_Master!$E$6:$E$85,MATCH(G1497,I_Master!$A$6:$A$85,0)),"?"))</f>
        <v/>
      </c>
      <c r="P1497" s="46" t="str">
        <f aca="false">IF(H1497="","",IF(OR(A1497&lt;I_Parameter!$C$5,A1497&gt;I_Parameter!$C$6),0,IF(B1497="Aktual",1,IF(AND(B1497="Order",A1497&gt;=I_Parameter!$C$4),1,0))))</f>
        <v/>
      </c>
    </row>
    <row r="1498" customFormat="false" ht="15" hidden="false" customHeight="false" outlineLevel="0" collapsed="false">
      <c r="A1498" s="37"/>
      <c r="B1498" s="44"/>
      <c r="C1498" s="44"/>
      <c r="D1498" s="44"/>
      <c r="E1498" s="44"/>
      <c r="F1498" s="44"/>
      <c r="G1498" s="34" t="str">
        <f aca="false">IF(F1498&lt;&gt;"",F1498,IF(E1498="","",IFERROR(INDEX(I_Item!$C$6:$C$255,MATCH(E1498,I_Item!$A$6:$A$255,0)),"KODE BARU")))</f>
        <v/>
      </c>
      <c r="H1498" s="45"/>
      <c r="I1498" s="42"/>
      <c r="J1498" s="11" t="str">
        <f aca="false">IF(H1498="","",H1498*I1498)</f>
        <v/>
      </c>
      <c r="K1498" s="42"/>
      <c r="L1498" s="11" t="str">
        <f aca="false">IF(H1498="","",IF(K1498&lt;&gt;"",K1498,H1498*IFERROR(INDEX(O_Stok!$Q$6:$Q$85,MATCH(G1498,O_Stok!$A$6:$A$85,0)),0)))</f>
        <v/>
      </c>
      <c r="M1498" s="11" t="str">
        <f aca="false">IF(H1498="","",J1498-L1498)</f>
        <v/>
      </c>
      <c r="N1498" s="34" t="str">
        <f aca="false">IF(G1498="","",IFERROR(INDEX(I_Master!$B$6:$B$85,MATCH(G1498,I_Master!$A$6:$A$85,0)),"?"))</f>
        <v/>
      </c>
      <c r="O1498" s="34" t="str">
        <f aca="false">IF(G1498="","",IFERROR(INDEX(I_Master!$E$6:$E$85,MATCH(G1498,I_Master!$A$6:$A$85,0)),"?"))</f>
        <v/>
      </c>
      <c r="P1498" s="46" t="str">
        <f aca="false">IF(H1498="","",IF(OR(A1498&lt;I_Parameter!$C$5,A1498&gt;I_Parameter!$C$6),0,IF(B1498="Aktual",1,IF(AND(B1498="Order",A1498&gt;=I_Parameter!$C$4),1,0))))</f>
        <v/>
      </c>
    </row>
    <row r="1499" customFormat="false" ht="15" hidden="false" customHeight="false" outlineLevel="0" collapsed="false">
      <c r="A1499" s="37"/>
      <c r="B1499" s="44"/>
      <c r="C1499" s="44"/>
      <c r="D1499" s="44"/>
      <c r="E1499" s="44"/>
      <c r="F1499" s="44"/>
      <c r="G1499" s="34" t="str">
        <f aca="false">IF(F1499&lt;&gt;"",F1499,IF(E1499="","",IFERROR(INDEX(I_Item!$C$6:$C$255,MATCH(E1499,I_Item!$A$6:$A$255,0)),"KODE BARU")))</f>
        <v/>
      </c>
      <c r="H1499" s="45"/>
      <c r="I1499" s="42"/>
      <c r="J1499" s="11" t="str">
        <f aca="false">IF(H1499="","",H1499*I1499)</f>
        <v/>
      </c>
      <c r="K1499" s="42"/>
      <c r="L1499" s="11" t="str">
        <f aca="false">IF(H1499="","",IF(K1499&lt;&gt;"",K1499,H1499*IFERROR(INDEX(O_Stok!$Q$6:$Q$85,MATCH(G1499,O_Stok!$A$6:$A$85,0)),0)))</f>
        <v/>
      </c>
      <c r="M1499" s="11" t="str">
        <f aca="false">IF(H1499="","",J1499-L1499)</f>
        <v/>
      </c>
      <c r="N1499" s="34" t="str">
        <f aca="false">IF(G1499="","",IFERROR(INDEX(I_Master!$B$6:$B$85,MATCH(G1499,I_Master!$A$6:$A$85,0)),"?"))</f>
        <v/>
      </c>
      <c r="O1499" s="34" t="str">
        <f aca="false">IF(G1499="","",IFERROR(INDEX(I_Master!$E$6:$E$85,MATCH(G1499,I_Master!$A$6:$A$85,0)),"?"))</f>
        <v/>
      </c>
      <c r="P1499" s="46" t="str">
        <f aca="false">IF(H1499="","",IF(OR(A1499&lt;I_Parameter!$C$5,A1499&gt;I_Parameter!$C$6),0,IF(B1499="Aktual",1,IF(AND(B1499="Order",A1499&gt;=I_Parameter!$C$4),1,0))))</f>
        <v/>
      </c>
    </row>
    <row r="1500" customFormat="false" ht="15" hidden="false" customHeight="false" outlineLevel="0" collapsed="false">
      <c r="A1500" s="37"/>
      <c r="B1500" s="44"/>
      <c r="C1500" s="44"/>
      <c r="D1500" s="44"/>
      <c r="E1500" s="44"/>
      <c r="F1500" s="44"/>
      <c r="G1500" s="34" t="str">
        <f aca="false">IF(F1500&lt;&gt;"",F1500,IF(E1500="","",IFERROR(INDEX(I_Item!$C$6:$C$255,MATCH(E1500,I_Item!$A$6:$A$255,0)),"KODE BARU")))</f>
        <v/>
      </c>
      <c r="H1500" s="45"/>
      <c r="I1500" s="42"/>
      <c r="J1500" s="11" t="str">
        <f aca="false">IF(H1500="","",H1500*I1500)</f>
        <v/>
      </c>
      <c r="K1500" s="42"/>
      <c r="L1500" s="11" t="str">
        <f aca="false">IF(H1500="","",IF(K1500&lt;&gt;"",K1500,H1500*IFERROR(INDEX(O_Stok!$Q$6:$Q$85,MATCH(G1500,O_Stok!$A$6:$A$85,0)),0)))</f>
        <v/>
      </c>
      <c r="M1500" s="11" t="str">
        <f aca="false">IF(H1500="","",J1500-L1500)</f>
        <v/>
      </c>
      <c r="N1500" s="34" t="str">
        <f aca="false">IF(G1500="","",IFERROR(INDEX(I_Master!$B$6:$B$85,MATCH(G1500,I_Master!$A$6:$A$85,0)),"?"))</f>
        <v/>
      </c>
      <c r="O1500" s="34" t="str">
        <f aca="false">IF(G1500="","",IFERROR(INDEX(I_Master!$E$6:$E$85,MATCH(G1500,I_Master!$A$6:$A$85,0)),"?"))</f>
        <v/>
      </c>
      <c r="P1500" s="46" t="str">
        <f aca="false">IF(H1500="","",IF(OR(A1500&lt;I_Parameter!$C$5,A1500&gt;I_Parameter!$C$6),0,IF(B1500="Aktual",1,IF(AND(B1500="Order",A1500&gt;=I_Parameter!$C$4),1,0))))</f>
        <v/>
      </c>
    </row>
    <row r="1501" customFormat="false" ht="15" hidden="false" customHeight="false" outlineLevel="0" collapsed="false">
      <c r="A1501" s="37"/>
      <c r="B1501" s="44"/>
      <c r="C1501" s="44"/>
      <c r="D1501" s="44"/>
      <c r="E1501" s="44"/>
      <c r="F1501" s="44"/>
      <c r="G1501" s="34" t="str">
        <f aca="false">IF(F1501&lt;&gt;"",F1501,IF(E1501="","",IFERROR(INDEX(I_Item!$C$6:$C$255,MATCH(E1501,I_Item!$A$6:$A$255,0)),"KODE BARU")))</f>
        <v/>
      </c>
      <c r="H1501" s="45"/>
      <c r="I1501" s="42"/>
      <c r="J1501" s="11" t="str">
        <f aca="false">IF(H1501="","",H1501*I1501)</f>
        <v/>
      </c>
      <c r="K1501" s="42"/>
      <c r="L1501" s="11" t="str">
        <f aca="false">IF(H1501="","",IF(K1501&lt;&gt;"",K1501,H1501*IFERROR(INDEX(O_Stok!$Q$6:$Q$85,MATCH(G1501,O_Stok!$A$6:$A$85,0)),0)))</f>
        <v/>
      </c>
      <c r="M1501" s="11" t="str">
        <f aca="false">IF(H1501="","",J1501-L1501)</f>
        <v/>
      </c>
      <c r="N1501" s="34" t="str">
        <f aca="false">IF(G1501="","",IFERROR(INDEX(I_Master!$B$6:$B$85,MATCH(G1501,I_Master!$A$6:$A$85,0)),"?"))</f>
        <v/>
      </c>
      <c r="O1501" s="34" t="str">
        <f aca="false">IF(G1501="","",IFERROR(INDEX(I_Master!$E$6:$E$85,MATCH(G1501,I_Master!$A$6:$A$85,0)),"?"))</f>
        <v/>
      </c>
      <c r="P1501" s="46" t="str">
        <f aca="false">IF(H1501="","",IF(OR(A1501&lt;I_Parameter!$C$5,A1501&gt;I_Parameter!$C$6),0,IF(B1501="Aktual",1,IF(AND(B1501="Order",A1501&gt;=I_Parameter!$C$4),1,0))))</f>
        <v/>
      </c>
    </row>
    <row r="1502" customFormat="false" ht="15" hidden="false" customHeight="false" outlineLevel="0" collapsed="false">
      <c r="A1502" s="37"/>
      <c r="B1502" s="44"/>
      <c r="C1502" s="44"/>
      <c r="D1502" s="44"/>
      <c r="E1502" s="44"/>
      <c r="F1502" s="44"/>
      <c r="G1502" s="34" t="str">
        <f aca="false">IF(F1502&lt;&gt;"",F1502,IF(E1502="","",IFERROR(INDEX(I_Item!$C$6:$C$255,MATCH(E1502,I_Item!$A$6:$A$255,0)),"KODE BARU")))</f>
        <v/>
      </c>
      <c r="H1502" s="45"/>
      <c r="I1502" s="42"/>
      <c r="J1502" s="11" t="str">
        <f aca="false">IF(H1502="","",H1502*I1502)</f>
        <v/>
      </c>
      <c r="K1502" s="42"/>
      <c r="L1502" s="11" t="str">
        <f aca="false">IF(H1502="","",IF(K1502&lt;&gt;"",K1502,H1502*IFERROR(INDEX(O_Stok!$Q$6:$Q$85,MATCH(G1502,O_Stok!$A$6:$A$85,0)),0)))</f>
        <v/>
      </c>
      <c r="M1502" s="11" t="str">
        <f aca="false">IF(H1502="","",J1502-L1502)</f>
        <v/>
      </c>
      <c r="N1502" s="34" t="str">
        <f aca="false">IF(G1502="","",IFERROR(INDEX(I_Master!$B$6:$B$85,MATCH(G1502,I_Master!$A$6:$A$85,0)),"?"))</f>
        <v/>
      </c>
      <c r="O1502" s="34" t="str">
        <f aca="false">IF(G1502="","",IFERROR(INDEX(I_Master!$E$6:$E$85,MATCH(G1502,I_Master!$A$6:$A$85,0)),"?"))</f>
        <v/>
      </c>
      <c r="P1502" s="46" t="str">
        <f aca="false">IF(H1502="","",IF(OR(A1502&lt;I_Parameter!$C$5,A1502&gt;I_Parameter!$C$6),0,IF(B1502="Aktual",1,IF(AND(B1502="Order",A1502&gt;=I_Parameter!$C$4),1,0))))</f>
        <v/>
      </c>
    </row>
    <row r="1503" customFormat="false" ht="15" hidden="false" customHeight="false" outlineLevel="0" collapsed="false">
      <c r="A1503" s="37"/>
      <c r="B1503" s="44"/>
      <c r="C1503" s="44"/>
      <c r="D1503" s="44"/>
      <c r="E1503" s="44"/>
      <c r="F1503" s="44"/>
      <c r="G1503" s="34" t="str">
        <f aca="false">IF(F1503&lt;&gt;"",F1503,IF(E1503="","",IFERROR(INDEX(I_Item!$C$6:$C$255,MATCH(E1503,I_Item!$A$6:$A$255,0)),"KODE BARU")))</f>
        <v/>
      </c>
      <c r="H1503" s="45"/>
      <c r="I1503" s="42"/>
      <c r="J1503" s="11" t="str">
        <f aca="false">IF(H1503="","",H1503*I1503)</f>
        <v/>
      </c>
      <c r="K1503" s="42"/>
      <c r="L1503" s="11" t="str">
        <f aca="false">IF(H1503="","",IF(K1503&lt;&gt;"",K1503,H1503*IFERROR(INDEX(O_Stok!$Q$6:$Q$85,MATCH(G1503,O_Stok!$A$6:$A$85,0)),0)))</f>
        <v/>
      </c>
      <c r="M1503" s="11" t="str">
        <f aca="false">IF(H1503="","",J1503-L1503)</f>
        <v/>
      </c>
      <c r="N1503" s="34" t="str">
        <f aca="false">IF(G1503="","",IFERROR(INDEX(I_Master!$B$6:$B$85,MATCH(G1503,I_Master!$A$6:$A$85,0)),"?"))</f>
        <v/>
      </c>
      <c r="O1503" s="34" t="str">
        <f aca="false">IF(G1503="","",IFERROR(INDEX(I_Master!$E$6:$E$85,MATCH(G1503,I_Master!$A$6:$A$85,0)),"?"))</f>
        <v/>
      </c>
      <c r="P1503" s="46" t="str">
        <f aca="false">IF(H1503="","",IF(OR(A1503&lt;I_Parameter!$C$5,A1503&gt;I_Parameter!$C$6),0,IF(B1503="Aktual",1,IF(AND(B1503="Order",A1503&gt;=I_Parameter!$C$4),1,0))))</f>
        <v/>
      </c>
    </row>
    <row r="1504" customFormat="false" ht="15" hidden="false" customHeight="false" outlineLevel="0" collapsed="false">
      <c r="A1504" s="37"/>
      <c r="B1504" s="44"/>
      <c r="C1504" s="44"/>
      <c r="D1504" s="44"/>
      <c r="E1504" s="44"/>
      <c r="F1504" s="44"/>
      <c r="G1504" s="34" t="str">
        <f aca="false">IF(F1504&lt;&gt;"",F1504,IF(E1504="","",IFERROR(INDEX(I_Item!$C$6:$C$255,MATCH(E1504,I_Item!$A$6:$A$255,0)),"KODE BARU")))</f>
        <v/>
      </c>
      <c r="H1504" s="45"/>
      <c r="I1504" s="42"/>
      <c r="J1504" s="11" t="str">
        <f aca="false">IF(H1504="","",H1504*I1504)</f>
        <v/>
      </c>
      <c r="K1504" s="42"/>
      <c r="L1504" s="11" t="str">
        <f aca="false">IF(H1504="","",IF(K1504&lt;&gt;"",K1504,H1504*IFERROR(INDEX(O_Stok!$Q$6:$Q$85,MATCH(G1504,O_Stok!$A$6:$A$85,0)),0)))</f>
        <v/>
      </c>
      <c r="M1504" s="11" t="str">
        <f aca="false">IF(H1504="","",J1504-L1504)</f>
        <v/>
      </c>
      <c r="N1504" s="34" t="str">
        <f aca="false">IF(G1504="","",IFERROR(INDEX(I_Master!$B$6:$B$85,MATCH(G1504,I_Master!$A$6:$A$85,0)),"?"))</f>
        <v/>
      </c>
      <c r="O1504" s="34" t="str">
        <f aca="false">IF(G1504="","",IFERROR(INDEX(I_Master!$E$6:$E$85,MATCH(G1504,I_Master!$A$6:$A$85,0)),"?"))</f>
        <v/>
      </c>
      <c r="P1504" s="46" t="str">
        <f aca="false">IF(H1504="","",IF(OR(A1504&lt;I_Parameter!$C$5,A1504&gt;I_Parameter!$C$6),0,IF(B1504="Aktual",1,IF(AND(B1504="Order",A1504&gt;=I_Parameter!$C$4),1,0))))</f>
        <v/>
      </c>
    </row>
    <row r="1505" customFormat="false" ht="15" hidden="false" customHeight="false" outlineLevel="0" collapsed="false">
      <c r="A1505" s="37"/>
      <c r="B1505" s="44"/>
      <c r="C1505" s="44"/>
      <c r="D1505" s="44"/>
      <c r="E1505" s="44"/>
      <c r="F1505" s="44"/>
      <c r="G1505" s="34" t="str">
        <f aca="false">IF(F1505&lt;&gt;"",F1505,IF(E1505="","",IFERROR(INDEX(I_Item!$C$6:$C$255,MATCH(E1505,I_Item!$A$6:$A$255,0)),"KODE BARU")))</f>
        <v/>
      </c>
      <c r="H1505" s="45"/>
      <c r="I1505" s="42"/>
      <c r="J1505" s="11" t="str">
        <f aca="false">IF(H1505="","",H1505*I1505)</f>
        <v/>
      </c>
      <c r="K1505" s="42"/>
      <c r="L1505" s="11" t="str">
        <f aca="false">IF(H1505="","",IF(K1505&lt;&gt;"",K1505,H1505*IFERROR(INDEX(O_Stok!$Q$6:$Q$85,MATCH(G1505,O_Stok!$A$6:$A$85,0)),0)))</f>
        <v/>
      </c>
      <c r="M1505" s="11" t="str">
        <f aca="false">IF(H1505="","",J1505-L1505)</f>
        <v/>
      </c>
      <c r="N1505" s="34" t="str">
        <f aca="false">IF(G1505="","",IFERROR(INDEX(I_Master!$B$6:$B$85,MATCH(G1505,I_Master!$A$6:$A$85,0)),"?"))</f>
        <v/>
      </c>
      <c r="O1505" s="34" t="str">
        <f aca="false">IF(G1505="","",IFERROR(INDEX(I_Master!$E$6:$E$85,MATCH(G1505,I_Master!$A$6:$A$85,0)),"?"))</f>
        <v/>
      </c>
      <c r="P1505" s="46" t="str">
        <f aca="false">IF(H1505="","",IF(OR(A1505&lt;I_Parameter!$C$5,A1505&gt;I_Parameter!$C$6),0,IF(B1505="Aktual",1,IF(AND(B1505="Order",A1505&gt;=I_Parameter!$C$4),1,0))))</f>
        <v/>
      </c>
    </row>
  </sheetData>
  <autoFilter ref="A5:P1505"/>
  <dataValidations count="1">
    <dataValidation allowBlank="true" errorStyle="stop" operator="between" showDropDown="false" showErrorMessage="false" showInputMessage="false" sqref="B6:B1505" type="list">
      <formula1>"Aktual,Order"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10" min="9" style="0" width="11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8"/>
  </cols>
  <sheetData>
    <row r="1" customFormat="false" ht="16.15" hidden="false" customHeight="false" outlineLevel="0" collapsed="false">
      <c r="A1" s="1" t="s">
        <v>507</v>
      </c>
    </row>
    <row r="2" customFormat="false" ht="15" hidden="false" customHeight="false" outlineLevel="0" collapsed="false">
      <c r="A2" s="6" t="s">
        <v>508</v>
      </c>
    </row>
    <row r="5" customFormat="false" ht="33.75" hidden="false" customHeight="true" outlineLevel="0" collapsed="false">
      <c r="A5" s="8" t="s">
        <v>110</v>
      </c>
      <c r="B5" s="8" t="s">
        <v>102</v>
      </c>
      <c r="C5" s="8" t="s">
        <v>509</v>
      </c>
      <c r="D5" s="8" t="s">
        <v>510</v>
      </c>
      <c r="E5" s="8" t="s">
        <v>511</v>
      </c>
      <c r="F5" s="8" t="s">
        <v>413</v>
      </c>
      <c r="G5" s="8" t="s">
        <v>414</v>
      </c>
      <c r="H5" s="8" t="s">
        <v>415</v>
      </c>
      <c r="I5" s="8" t="s">
        <v>49</v>
      </c>
      <c r="J5" s="8" t="s">
        <v>363</v>
      </c>
      <c r="K5" s="8" t="s">
        <v>105</v>
      </c>
      <c r="L5" s="8" t="s">
        <v>24</v>
      </c>
      <c r="M5" s="8" t="s">
        <v>420</v>
      </c>
    </row>
    <row r="6" customFormat="false" ht="15" hidden="false" customHeight="false" outlineLevel="0" collapsed="false">
      <c r="A6" s="37" t="n">
        <v>46258</v>
      </c>
      <c r="B6" s="44" t="s">
        <v>128</v>
      </c>
      <c r="C6" s="44" t="s">
        <v>512</v>
      </c>
      <c r="D6" s="44" t="s">
        <v>513</v>
      </c>
      <c r="E6" s="44"/>
      <c r="F6" s="44" t="s">
        <v>480</v>
      </c>
      <c r="G6" s="44"/>
      <c r="H6" s="34" t="str">
        <f aca="false">IF(G6&lt;&gt;"",G6,IF(F6="","",IFERROR(INDEX(I_Item!$C$6:$C$255,MATCH(F6,I_Item!$A$6:$A$255,0)),"KODE BARU")))</f>
        <v>Trading|Kulit|Frozen</v>
      </c>
      <c r="I6" s="45" t="n">
        <v>2972.7</v>
      </c>
      <c r="J6" s="42" t="n">
        <v>29577.2</v>
      </c>
      <c r="K6" s="11" t="n">
        <f aca="false">IF(I6="","",I6*J6)</f>
        <v>87924142.44</v>
      </c>
      <c r="L6" s="34" t="str">
        <f aca="false">IF(H6="","",IFERROR(INDEX(I_Master!$B$6:$B$85,MATCH(H6,I_Master!$A$6:$A$85,0)),"?"))</f>
        <v>Trading</v>
      </c>
      <c r="M6" s="46" t="n">
        <f aca="false">IF(I6="","",IF(OR(A6&lt;I_Parameter!$C$5,A6&gt;I_Parameter!$C$6),0,IF(B6="Aktual",1,IF(AND(B6="Rencana",A6&gt;=I_Parameter!$C$4),1,0))))</f>
        <v>1</v>
      </c>
    </row>
    <row r="7" customFormat="false" ht="15" hidden="false" customHeight="false" outlineLevel="0" collapsed="false">
      <c r="A7" s="37" t="n">
        <v>46258</v>
      </c>
      <c r="B7" s="44" t="s">
        <v>128</v>
      </c>
      <c r="C7" s="44" t="s">
        <v>512</v>
      </c>
      <c r="D7" s="44" t="s">
        <v>513</v>
      </c>
      <c r="E7" s="44"/>
      <c r="F7" s="44" t="s">
        <v>468</v>
      </c>
      <c r="G7" s="44"/>
      <c r="H7" s="34" t="str">
        <f aca="false">IF(G7&lt;&gt;"",G7,IF(F7="","",IFERROR(INDEX(I_Item!$C$6:$C$255,MATCH(F7,I_Item!$A$6:$A$255,0)),"KODE BARU")))</f>
        <v>Trading|BLP|Frozen</v>
      </c>
      <c r="I7" s="45" t="n">
        <v>4001.7</v>
      </c>
      <c r="J7" s="42" t="n">
        <v>49577.2</v>
      </c>
      <c r="K7" s="11" t="n">
        <f aca="false">IF(I7="","",I7*J7)</f>
        <v>198393081.24</v>
      </c>
      <c r="L7" s="34" t="str">
        <f aca="false">IF(H7="","",IFERROR(INDEX(I_Master!$B$6:$B$85,MATCH(H7,I_Master!$A$6:$A$85,0)),"?"))</f>
        <v>Trading</v>
      </c>
      <c r="M7" s="46" t="n">
        <f aca="false">IF(I7="","",IF(OR(A7&lt;I_Parameter!$C$5,A7&gt;I_Parameter!$C$6),0,IF(B7="Aktual",1,IF(AND(B7="Rencana",A7&gt;=I_Parameter!$C$4),1,0))))</f>
        <v>1</v>
      </c>
    </row>
    <row r="8" customFormat="false" ht="15" hidden="false" customHeight="false" outlineLevel="0" collapsed="false">
      <c r="A8" s="37" t="n">
        <v>46259</v>
      </c>
      <c r="B8" s="44" t="s">
        <v>128</v>
      </c>
      <c r="C8" s="44" t="s">
        <v>514</v>
      </c>
      <c r="D8" s="44" t="s">
        <v>515</v>
      </c>
      <c r="E8" s="44" t="s">
        <v>516</v>
      </c>
      <c r="F8" s="44" t="s">
        <v>441</v>
      </c>
      <c r="G8" s="44"/>
      <c r="H8" s="34" t="str">
        <f aca="false">IF(G8&lt;&gt;"",G8,IF(F8="","",IFERROR(INDEX(I_Item!$C$6:$C$255,MATCH(F8,I_Item!$A$6:$A$255,0)),"KODE BARU")))</f>
        <v>RPA|Ceker|Fresh</v>
      </c>
      <c r="I8" s="45" t="n">
        <v>307.8</v>
      </c>
      <c r="J8" s="42" t="n">
        <v>17881.01</v>
      </c>
      <c r="K8" s="11" t="n">
        <f aca="false">IF(I8="","",I8*J8)</f>
        <v>5503774.878</v>
      </c>
      <c r="L8" s="34" t="str">
        <f aca="false">IF(H8="","",IFERROR(INDEX(I_Master!$B$6:$B$85,MATCH(H8,I_Master!$A$6:$A$85,0)),"?"))</f>
        <v>RPA</v>
      </c>
      <c r="M8" s="46" t="n">
        <f aca="false">IF(I8="","",IF(OR(A8&lt;I_Parameter!$C$5,A8&gt;I_Parameter!$C$6),0,IF(B8="Aktual",1,IF(AND(B8="Rencana",A8&gt;=I_Parameter!$C$4),1,0))))</f>
        <v>1</v>
      </c>
    </row>
    <row r="9" customFormat="false" ht="15" hidden="false" customHeight="false" outlineLevel="0" collapsed="false">
      <c r="A9" s="37" t="n">
        <v>46259</v>
      </c>
      <c r="B9" s="44" t="s">
        <v>128</v>
      </c>
      <c r="C9" s="44" t="s">
        <v>514</v>
      </c>
      <c r="D9" s="44" t="s">
        <v>515</v>
      </c>
      <c r="E9" s="44" t="s">
        <v>516</v>
      </c>
      <c r="F9" s="44" t="s">
        <v>442</v>
      </c>
      <c r="G9" s="44"/>
      <c r="H9" s="34" t="str">
        <f aca="false">IF(G9&lt;&gt;"",G9,IF(F9="","",IFERROR(INDEX(I_Item!$C$6:$C$255,MATCH(F9,I_Item!$A$6:$A$255,0)),"KODE BARU")))</f>
        <v>RPA|HJA (Hati/Jantung/Ampela)|Fresh</v>
      </c>
      <c r="I9" s="45" t="n">
        <v>577</v>
      </c>
      <c r="J9" s="42" t="n">
        <v>5587.82</v>
      </c>
      <c r="K9" s="11" t="n">
        <f aca="false">IF(I9="","",I9*J9)</f>
        <v>3224172.14</v>
      </c>
      <c r="L9" s="34" t="str">
        <f aca="false">IF(H9="","",IFERROR(INDEX(I_Master!$B$6:$B$85,MATCH(H9,I_Master!$A$6:$A$85,0)),"?"))</f>
        <v>RPA</v>
      </c>
      <c r="M9" s="46" t="n">
        <f aca="false">IF(I9="","",IF(OR(A9&lt;I_Parameter!$C$5,A9&gt;I_Parameter!$C$6),0,IF(B9="Aktual",1,IF(AND(B9="Rencana",A9&gt;=I_Parameter!$C$4),1,0))))</f>
        <v>1</v>
      </c>
    </row>
    <row r="10" customFormat="false" ht="15" hidden="false" customHeight="false" outlineLevel="0" collapsed="false">
      <c r="A10" s="37" t="n">
        <v>46259</v>
      </c>
      <c r="B10" s="44" t="s">
        <v>128</v>
      </c>
      <c r="C10" s="44" t="s">
        <v>514</v>
      </c>
      <c r="D10" s="44" t="s">
        <v>515</v>
      </c>
      <c r="E10" s="44" t="s">
        <v>516</v>
      </c>
      <c r="F10" s="44" t="s">
        <v>443</v>
      </c>
      <c r="G10" s="44"/>
      <c r="H10" s="34" t="str">
        <f aca="false">IF(G10&lt;&gt;"",G10,IF(F10="","",IFERROR(INDEX(I_Item!$C$6:$C$255,MATCH(F10,I_Item!$A$6:$A$255,0)),"KODE BARU")))</f>
        <v>RPA|Kepala|Fresh</v>
      </c>
      <c r="I10" s="45" t="n">
        <v>491.5</v>
      </c>
      <c r="J10" s="42" t="n">
        <v>13410.76</v>
      </c>
      <c r="K10" s="11" t="n">
        <f aca="false">IF(I10="","",I10*J10)</f>
        <v>6591388.54</v>
      </c>
      <c r="L10" s="34" t="str">
        <f aca="false">IF(H10="","",IFERROR(INDEX(I_Master!$B$6:$B$85,MATCH(H10,I_Master!$A$6:$A$85,0)),"?"))</f>
        <v>RPA</v>
      </c>
      <c r="M10" s="46" t="n">
        <f aca="false">IF(I10="","",IF(OR(A10&lt;I_Parameter!$C$5,A10&gt;I_Parameter!$C$6),0,IF(B10="Aktual",1,IF(AND(B10="Rencana",A10&gt;=I_Parameter!$C$4),1,0))))</f>
        <v>1</v>
      </c>
    </row>
    <row r="11" customFormat="false" ht="15" hidden="false" customHeight="false" outlineLevel="0" collapsed="false">
      <c r="A11" s="37" t="n">
        <v>46259</v>
      </c>
      <c r="B11" s="44" t="s">
        <v>128</v>
      </c>
      <c r="C11" s="44" t="s">
        <v>514</v>
      </c>
      <c r="D11" s="44" t="s">
        <v>515</v>
      </c>
      <c r="E11" s="44" t="s">
        <v>516</v>
      </c>
      <c r="F11" s="44" t="s">
        <v>444</v>
      </c>
      <c r="G11" s="44"/>
      <c r="H11" s="34" t="str">
        <f aca="false">IF(G11&lt;&gt;"",G11,IF(F11="","",IFERROR(INDEX(I_Item!$C$6:$C$255,MATCH(F11,I_Item!$A$6:$A$255,0)),"KODE BARU")))</f>
        <v>RPA|Usus|Fresh</v>
      </c>
      <c r="I11" s="45" t="n">
        <v>501.1</v>
      </c>
      <c r="J11" s="42" t="n">
        <v>5587.82</v>
      </c>
      <c r="K11" s="11" t="n">
        <f aca="false">IF(I11="","",I11*J11)</f>
        <v>2800056.602</v>
      </c>
      <c r="L11" s="34" t="str">
        <f aca="false">IF(H11="","",IFERROR(INDEX(I_Master!$B$6:$B$85,MATCH(H11,I_Master!$A$6:$A$85,0)),"?"))</f>
        <v>RPA</v>
      </c>
      <c r="M11" s="46" t="n">
        <f aca="false">IF(I11="","",IF(OR(A11&lt;I_Parameter!$C$5,A11&gt;I_Parameter!$C$6),0,IF(B11="Aktual",1,IF(AND(B11="Rencana",A11&gt;=I_Parameter!$C$4),1,0))))</f>
        <v>1</v>
      </c>
    </row>
    <row r="12" customFormat="false" ht="15" hidden="false" customHeight="false" outlineLevel="0" collapsed="false">
      <c r="A12" s="37" t="n">
        <v>46259</v>
      </c>
      <c r="B12" s="44" t="s">
        <v>128</v>
      </c>
      <c r="C12" s="44" t="s">
        <v>514</v>
      </c>
      <c r="D12" s="44" t="s">
        <v>515</v>
      </c>
      <c r="E12" s="44" t="s">
        <v>516</v>
      </c>
      <c r="F12" s="44" t="s">
        <v>517</v>
      </c>
      <c r="G12" s="44"/>
      <c r="H12" s="34" t="str">
        <f aca="false">IF(G12&lt;&gt;"",G12,IF(F12="","",IFERROR(INDEX(I_Item!$C$6:$C$255,MATCH(F12,I_Item!$A$6:$A$255,0)),"KODE BARU")))</f>
        <v>RPA|Lemak|Frozen</v>
      </c>
      <c r="I12" s="45" t="n">
        <v>43.3</v>
      </c>
      <c r="J12" s="42" t="n">
        <v>26821.52</v>
      </c>
      <c r="K12" s="11" t="n">
        <f aca="false">IF(I12="","",I12*J12)</f>
        <v>1161371.816</v>
      </c>
      <c r="L12" s="34" t="str">
        <f aca="false">IF(H12="","",IFERROR(INDEX(I_Master!$B$6:$B$85,MATCH(H12,I_Master!$A$6:$A$85,0)),"?"))</f>
        <v>RPA</v>
      </c>
      <c r="M12" s="46" t="n">
        <f aca="false">IF(I12="","",IF(OR(A12&lt;I_Parameter!$C$5,A12&gt;I_Parameter!$C$6),0,IF(B12="Aktual",1,IF(AND(B12="Rencana",A12&gt;=I_Parameter!$C$4),1,0))))</f>
        <v>1</v>
      </c>
    </row>
    <row r="13" customFormat="false" ht="15" hidden="false" customHeight="false" outlineLevel="0" collapsed="false">
      <c r="A13" s="37" t="n">
        <v>46259</v>
      </c>
      <c r="B13" s="44" t="s">
        <v>128</v>
      </c>
      <c r="C13" s="44" t="s">
        <v>514</v>
      </c>
      <c r="D13" s="44" t="s">
        <v>515</v>
      </c>
      <c r="E13" s="44" t="s">
        <v>516</v>
      </c>
      <c r="F13" s="44" t="s">
        <v>518</v>
      </c>
      <c r="G13" s="44"/>
      <c r="H13" s="34" t="str">
        <f aca="false">IF(G13&lt;&gt;"",G13,IF(F13="","",IFERROR(INDEX(I_Item!$C$6:$C$255,MATCH(F13,I_Item!$A$6:$A$255,0)),"KODE BARU")))</f>
        <v>RPA|Karkas|Frozen</v>
      </c>
      <c r="I13" s="45" t="n">
        <v>1.3</v>
      </c>
      <c r="J13" s="42" t="n">
        <v>33526.9</v>
      </c>
      <c r="K13" s="11" t="n">
        <f aca="false">IF(I13="","",I13*J13)</f>
        <v>43584.97</v>
      </c>
      <c r="L13" s="34" t="str">
        <f aca="false">IF(H13="","",IFERROR(INDEX(I_Master!$B$6:$B$85,MATCH(H13,I_Master!$A$6:$A$85,0)),"?"))</f>
        <v>RPA</v>
      </c>
      <c r="M13" s="46" t="n">
        <f aca="false">IF(I13="","",IF(OR(A13&lt;I_Parameter!$C$5,A13&gt;I_Parameter!$C$6),0,IF(B13="Aktual",1,IF(AND(B13="Rencana",A13&gt;=I_Parameter!$C$4),1,0))))</f>
        <v>1</v>
      </c>
    </row>
    <row r="14" customFormat="false" ht="15" hidden="false" customHeight="false" outlineLevel="0" collapsed="false">
      <c r="A14" s="37" t="n">
        <v>46259</v>
      </c>
      <c r="B14" s="44" t="s">
        <v>128</v>
      </c>
      <c r="C14" s="44" t="s">
        <v>514</v>
      </c>
      <c r="D14" s="44" t="s">
        <v>515</v>
      </c>
      <c r="E14" s="44" t="s">
        <v>516</v>
      </c>
      <c r="F14" s="44" t="s">
        <v>448</v>
      </c>
      <c r="G14" s="44"/>
      <c r="H14" s="34" t="str">
        <f aca="false">IF(G14&lt;&gt;"",G14,IF(F14="","",IFERROR(INDEX(I_Item!$C$6:$C$255,MATCH(F14,I_Item!$A$6:$A$255,0)),"KODE BARU")))</f>
        <v>RPA|Karkas|Frozen</v>
      </c>
      <c r="I14" s="45" t="n">
        <v>6.3</v>
      </c>
      <c r="J14" s="42" t="n">
        <v>33526.9</v>
      </c>
      <c r="K14" s="11" t="n">
        <f aca="false">IF(I14="","",I14*J14)</f>
        <v>211219.47</v>
      </c>
      <c r="L14" s="34" t="str">
        <f aca="false">IF(H14="","",IFERROR(INDEX(I_Master!$B$6:$B$85,MATCH(H14,I_Master!$A$6:$A$85,0)),"?"))</f>
        <v>RPA</v>
      </c>
      <c r="M14" s="46" t="n">
        <f aca="false">IF(I14="","",IF(OR(A14&lt;I_Parameter!$C$5,A14&gt;I_Parameter!$C$6),0,IF(B14="Aktual",1,IF(AND(B14="Rencana",A14&gt;=I_Parameter!$C$4),1,0))))</f>
        <v>1</v>
      </c>
    </row>
    <row r="15" customFormat="false" ht="15" hidden="false" customHeight="false" outlineLevel="0" collapsed="false">
      <c r="A15" s="37" t="n">
        <v>46259</v>
      </c>
      <c r="B15" s="44" t="s">
        <v>128</v>
      </c>
      <c r="C15" s="44" t="s">
        <v>514</v>
      </c>
      <c r="D15" s="44" t="s">
        <v>515</v>
      </c>
      <c r="E15" s="44" t="s">
        <v>516</v>
      </c>
      <c r="F15" s="44" t="s">
        <v>519</v>
      </c>
      <c r="G15" s="44"/>
      <c r="H15" s="34" t="str">
        <f aca="false">IF(G15&lt;&gt;"",G15,IF(F15="","",IFERROR(INDEX(I_Item!$C$6:$C$255,MATCH(F15,I_Item!$A$6:$A$255,0)),"KODE BARU")))</f>
        <v>RPA|Karkas|Frozen</v>
      </c>
      <c r="I15" s="45" t="n">
        <v>6.8</v>
      </c>
      <c r="J15" s="42" t="n">
        <v>33526.9</v>
      </c>
      <c r="K15" s="11" t="n">
        <f aca="false">IF(I15="","",I15*J15)</f>
        <v>227982.92</v>
      </c>
      <c r="L15" s="34" t="str">
        <f aca="false">IF(H15="","",IFERROR(INDEX(I_Master!$B$6:$B$85,MATCH(H15,I_Master!$A$6:$A$85,0)),"?"))</f>
        <v>RPA</v>
      </c>
      <c r="M15" s="46" t="n">
        <f aca="false">IF(I15="","",IF(OR(A15&lt;I_Parameter!$C$5,A15&gt;I_Parameter!$C$6),0,IF(B15="Aktual",1,IF(AND(B15="Rencana",A15&gt;=I_Parameter!$C$4),1,0))))</f>
        <v>1</v>
      </c>
    </row>
    <row r="16" customFormat="false" ht="15" hidden="false" customHeight="false" outlineLevel="0" collapsed="false">
      <c r="A16" s="37" t="n">
        <v>46259</v>
      </c>
      <c r="B16" s="44" t="s">
        <v>128</v>
      </c>
      <c r="C16" s="44" t="s">
        <v>514</v>
      </c>
      <c r="D16" s="44" t="s">
        <v>515</v>
      </c>
      <c r="E16" s="44" t="s">
        <v>516</v>
      </c>
      <c r="F16" s="44" t="s">
        <v>449</v>
      </c>
      <c r="G16" s="44"/>
      <c r="H16" s="34" t="str">
        <f aca="false">IF(G16&lt;&gt;"",G16,IF(F16="","",IFERROR(INDEX(I_Item!$C$6:$C$255,MATCH(F16,I_Item!$A$6:$A$255,0)),"KODE BARU")))</f>
        <v>RPA|Karkas|Frozen</v>
      </c>
      <c r="I16" s="45" t="n">
        <v>44.3</v>
      </c>
      <c r="J16" s="42" t="n">
        <v>33526.9</v>
      </c>
      <c r="K16" s="11" t="n">
        <f aca="false">IF(I16="","",I16*J16)</f>
        <v>1485241.67</v>
      </c>
      <c r="L16" s="34" t="str">
        <f aca="false">IF(H16="","",IFERROR(INDEX(I_Master!$B$6:$B$85,MATCH(H16,I_Master!$A$6:$A$85,0)),"?"))</f>
        <v>RPA</v>
      </c>
      <c r="M16" s="46" t="n">
        <f aca="false">IF(I16="","",IF(OR(A16&lt;I_Parameter!$C$5,A16&gt;I_Parameter!$C$6),0,IF(B16="Aktual",1,IF(AND(B16="Rencana",A16&gt;=I_Parameter!$C$4),1,0))))</f>
        <v>1</v>
      </c>
    </row>
    <row r="17" customFormat="false" ht="15" hidden="false" customHeight="false" outlineLevel="0" collapsed="false">
      <c r="A17" s="37" t="n">
        <v>46259</v>
      </c>
      <c r="B17" s="44" t="s">
        <v>128</v>
      </c>
      <c r="C17" s="44" t="s">
        <v>514</v>
      </c>
      <c r="D17" s="44" t="s">
        <v>515</v>
      </c>
      <c r="E17" s="44" t="s">
        <v>516</v>
      </c>
      <c r="F17" s="44" t="s">
        <v>471</v>
      </c>
      <c r="G17" s="44"/>
      <c r="H17" s="34" t="str">
        <f aca="false">IF(G17&lt;&gt;"",G17,IF(F17="","",IFERROR(INDEX(I_Item!$C$6:$C$255,MATCH(F17,I_Item!$A$6:$A$255,0)),"KODE BARU")))</f>
        <v>RPA|Karkas|Frozen</v>
      </c>
      <c r="I17" s="45" t="n">
        <v>402.8</v>
      </c>
      <c r="J17" s="42" t="n">
        <v>36879.59</v>
      </c>
      <c r="K17" s="11" t="n">
        <f aca="false">IF(I17="","",I17*J17)</f>
        <v>14855098.852</v>
      </c>
      <c r="L17" s="34" t="str">
        <f aca="false">IF(H17="","",IFERROR(INDEX(I_Master!$B$6:$B$85,MATCH(H17,I_Master!$A$6:$A$85,0)),"?"))</f>
        <v>RPA</v>
      </c>
      <c r="M17" s="46" t="n">
        <f aca="false">IF(I17="","",IF(OR(A17&lt;I_Parameter!$C$5,A17&gt;I_Parameter!$C$6),0,IF(B17="Aktual",1,IF(AND(B17="Rencana",A17&gt;=I_Parameter!$C$4),1,0))))</f>
        <v>1</v>
      </c>
    </row>
    <row r="18" customFormat="false" ht="15" hidden="false" customHeight="false" outlineLevel="0" collapsed="false">
      <c r="A18" s="37" t="n">
        <v>46259</v>
      </c>
      <c r="B18" s="44" t="s">
        <v>128</v>
      </c>
      <c r="C18" s="44" t="s">
        <v>514</v>
      </c>
      <c r="D18" s="44" t="s">
        <v>515</v>
      </c>
      <c r="E18" s="44" t="s">
        <v>516</v>
      </c>
      <c r="F18" s="44" t="s">
        <v>520</v>
      </c>
      <c r="G18" s="44"/>
      <c r="H18" s="34" t="str">
        <f aca="false">IF(G18&lt;&gt;"",G18,IF(F18="","",IFERROR(INDEX(I_Item!$C$6:$C$255,MATCH(F18,I_Item!$A$6:$A$255,0)),"KODE BARU")))</f>
        <v>RPA|Karkas|Frozen</v>
      </c>
      <c r="I18" s="45" t="n">
        <v>89.9</v>
      </c>
      <c r="J18" s="42" t="n">
        <v>33526.9</v>
      </c>
      <c r="K18" s="11" t="n">
        <f aca="false">IF(I18="","",I18*J18)</f>
        <v>3014068.31</v>
      </c>
      <c r="L18" s="34" t="str">
        <f aca="false">IF(H18="","",IFERROR(INDEX(I_Master!$B$6:$B$85,MATCH(H18,I_Master!$A$6:$A$85,0)),"?"))</f>
        <v>RPA</v>
      </c>
      <c r="M18" s="46" t="n">
        <f aca="false">IF(I18="","",IF(OR(A18&lt;I_Parameter!$C$5,A18&gt;I_Parameter!$C$6),0,IF(B18="Aktual",1,IF(AND(B18="Rencana",A18&gt;=I_Parameter!$C$4),1,0))))</f>
        <v>1</v>
      </c>
    </row>
    <row r="19" customFormat="false" ht="15" hidden="false" customHeight="false" outlineLevel="0" collapsed="false">
      <c r="A19" s="37" t="n">
        <v>46259</v>
      </c>
      <c r="B19" s="44" t="s">
        <v>128</v>
      </c>
      <c r="C19" s="44" t="s">
        <v>514</v>
      </c>
      <c r="D19" s="44" t="s">
        <v>515</v>
      </c>
      <c r="E19" s="44" t="s">
        <v>516</v>
      </c>
      <c r="F19" s="44" t="s">
        <v>472</v>
      </c>
      <c r="G19" s="44"/>
      <c r="H19" s="34" t="str">
        <f aca="false">IF(G19&lt;&gt;"",G19,IF(F19="","",IFERROR(INDEX(I_Item!$C$6:$C$255,MATCH(F19,I_Item!$A$6:$A$255,0)),"KODE BARU")))</f>
        <v>RPA|Karkas|Frozen</v>
      </c>
      <c r="I19" s="45" t="n">
        <v>1056.7</v>
      </c>
      <c r="J19" s="42" t="n">
        <v>36879.59</v>
      </c>
      <c r="K19" s="11" t="n">
        <f aca="false">IF(I19="","",I19*J19)</f>
        <v>38970662.753</v>
      </c>
      <c r="L19" s="34" t="str">
        <f aca="false">IF(H19="","",IFERROR(INDEX(I_Master!$B$6:$B$85,MATCH(H19,I_Master!$A$6:$A$85,0)),"?"))</f>
        <v>RPA</v>
      </c>
      <c r="M19" s="46" t="n">
        <f aca="false">IF(I19="","",IF(OR(A19&lt;I_Parameter!$C$5,A19&gt;I_Parameter!$C$6),0,IF(B19="Aktual",1,IF(AND(B19="Rencana",A19&gt;=I_Parameter!$C$4),1,0))))</f>
        <v>1</v>
      </c>
    </row>
    <row r="20" customFormat="false" ht="15" hidden="false" customHeight="false" outlineLevel="0" collapsed="false">
      <c r="A20" s="37" t="n">
        <v>46259</v>
      </c>
      <c r="B20" s="44" t="s">
        <v>128</v>
      </c>
      <c r="C20" s="44" t="s">
        <v>514</v>
      </c>
      <c r="D20" s="44" t="s">
        <v>515</v>
      </c>
      <c r="E20" s="44" t="s">
        <v>516</v>
      </c>
      <c r="F20" s="44" t="s">
        <v>458</v>
      </c>
      <c r="G20" s="44"/>
      <c r="H20" s="34" t="str">
        <f aca="false">IF(G20&lt;&gt;"",G20,IF(F20="","",IFERROR(INDEX(I_Item!$C$6:$C$255,MATCH(F20,I_Item!$A$6:$A$255,0)),"KODE BARU")))</f>
        <v>RPA|Karkas|Fresh</v>
      </c>
      <c r="I20" s="45" t="n">
        <v>1742.5</v>
      </c>
      <c r="J20" s="42" t="n">
        <v>36879.59</v>
      </c>
      <c r="K20" s="11" t="n">
        <f aca="false">IF(I20="","",I20*J20)</f>
        <v>64262685.575</v>
      </c>
      <c r="L20" s="34" t="str">
        <f aca="false">IF(H20="","",IFERROR(INDEX(I_Master!$B$6:$B$85,MATCH(H20,I_Master!$A$6:$A$85,0)),"?"))</f>
        <v>RPA</v>
      </c>
      <c r="M20" s="46" t="n">
        <f aca="false">IF(I20="","",IF(OR(A20&lt;I_Parameter!$C$5,A20&gt;I_Parameter!$C$6),0,IF(B20="Aktual",1,IF(AND(B20="Rencana",A20&gt;=I_Parameter!$C$4),1,0))))</f>
        <v>1</v>
      </c>
    </row>
    <row r="21" customFormat="false" ht="15" hidden="false" customHeight="false" outlineLevel="0" collapsed="false">
      <c r="A21" s="37" t="n">
        <v>46259</v>
      </c>
      <c r="B21" s="44" t="s">
        <v>128</v>
      </c>
      <c r="C21" s="44" t="s">
        <v>514</v>
      </c>
      <c r="D21" s="44" t="s">
        <v>515</v>
      </c>
      <c r="E21" s="44" t="s">
        <v>516</v>
      </c>
      <c r="F21" s="44" t="s">
        <v>497</v>
      </c>
      <c r="G21" s="44"/>
      <c r="H21" s="34" t="str">
        <f aca="false">IF(G21&lt;&gt;"",G21,IF(F21="","",IFERROR(INDEX(I_Item!$C$6:$C$255,MATCH(F21,I_Item!$A$6:$A$255,0)),"KODE BARU")))</f>
        <v>RPA|Karkas|Frozen</v>
      </c>
      <c r="I21" s="45" t="n">
        <v>127</v>
      </c>
      <c r="J21" s="42" t="n">
        <v>33526.9</v>
      </c>
      <c r="K21" s="11" t="n">
        <f aca="false">IF(I21="","",I21*J21)</f>
        <v>4257916.3</v>
      </c>
      <c r="L21" s="34" t="str">
        <f aca="false">IF(H21="","",IFERROR(INDEX(I_Master!$B$6:$B$85,MATCH(H21,I_Master!$A$6:$A$85,0)),"?"))</f>
        <v>RPA</v>
      </c>
      <c r="M21" s="46" t="n">
        <f aca="false">IF(I21="","",IF(OR(A21&lt;I_Parameter!$C$5,A21&gt;I_Parameter!$C$6),0,IF(B21="Aktual",1,IF(AND(B21="Rencana",A21&gt;=I_Parameter!$C$4),1,0))))</f>
        <v>1</v>
      </c>
    </row>
    <row r="22" customFormat="false" ht="15" hidden="false" customHeight="false" outlineLevel="0" collapsed="false">
      <c r="A22" s="37" t="n">
        <v>46259</v>
      </c>
      <c r="B22" s="44" t="s">
        <v>128</v>
      </c>
      <c r="C22" s="44" t="s">
        <v>514</v>
      </c>
      <c r="D22" s="44" t="s">
        <v>515</v>
      </c>
      <c r="E22" s="44" t="s">
        <v>516</v>
      </c>
      <c r="F22" s="44" t="s">
        <v>459</v>
      </c>
      <c r="G22" s="44"/>
      <c r="H22" s="34" t="str">
        <f aca="false">IF(G22&lt;&gt;"",G22,IF(F22="","",IFERROR(INDEX(I_Item!$C$6:$C$255,MATCH(F22,I_Item!$A$6:$A$255,0)),"KODE BARU")))</f>
        <v>RPA|Karkas|Fresh</v>
      </c>
      <c r="I22" s="45" t="n">
        <v>1826.1</v>
      </c>
      <c r="J22" s="42" t="n">
        <v>36879.59</v>
      </c>
      <c r="K22" s="11" t="n">
        <f aca="false">IF(I22="","",I22*J22)</f>
        <v>67345819.299</v>
      </c>
      <c r="L22" s="34" t="str">
        <f aca="false">IF(H22="","",IFERROR(INDEX(I_Master!$B$6:$B$85,MATCH(H22,I_Master!$A$6:$A$85,0)),"?"))</f>
        <v>RPA</v>
      </c>
      <c r="M22" s="46" t="n">
        <f aca="false">IF(I22="","",IF(OR(A22&lt;I_Parameter!$C$5,A22&gt;I_Parameter!$C$6),0,IF(B22="Aktual",1,IF(AND(B22="Rencana",A22&gt;=I_Parameter!$C$4),1,0))))</f>
        <v>1</v>
      </c>
    </row>
    <row r="23" customFormat="false" ht="15" hidden="false" customHeight="false" outlineLevel="0" collapsed="false">
      <c r="A23" s="37" t="n">
        <v>46259</v>
      </c>
      <c r="B23" s="44" t="s">
        <v>128</v>
      </c>
      <c r="C23" s="44" t="s">
        <v>514</v>
      </c>
      <c r="D23" s="44" t="s">
        <v>515</v>
      </c>
      <c r="E23" s="44" t="s">
        <v>516</v>
      </c>
      <c r="F23" s="44" t="s">
        <v>521</v>
      </c>
      <c r="G23" s="44"/>
      <c r="H23" s="34" t="str">
        <f aca="false">IF(G23&lt;&gt;"",G23,IF(F23="","",IFERROR(INDEX(I_Item!$C$6:$C$255,MATCH(F23,I_Item!$A$6:$A$255,0)),"KODE BARU")))</f>
        <v>RPA|Karkas|Frozen</v>
      </c>
      <c r="I23" s="45" t="n">
        <v>166</v>
      </c>
      <c r="J23" s="42" t="n">
        <v>33526.9</v>
      </c>
      <c r="K23" s="11" t="n">
        <f aca="false">IF(I23="","",I23*J23)</f>
        <v>5565465.4</v>
      </c>
      <c r="L23" s="34" t="str">
        <f aca="false">IF(H23="","",IFERROR(INDEX(I_Master!$B$6:$B$85,MATCH(H23,I_Master!$A$6:$A$85,0)),"?"))</f>
        <v>RPA</v>
      </c>
      <c r="M23" s="46" t="n">
        <f aca="false">IF(I23="","",IF(OR(A23&lt;I_Parameter!$C$5,A23&gt;I_Parameter!$C$6),0,IF(B23="Aktual",1,IF(AND(B23="Rencana",A23&gt;=I_Parameter!$C$4),1,0))))</f>
        <v>1</v>
      </c>
    </row>
    <row r="24" customFormat="false" ht="15" hidden="false" customHeight="false" outlineLevel="0" collapsed="false">
      <c r="A24" s="37" t="n">
        <v>46259</v>
      </c>
      <c r="B24" s="44" t="s">
        <v>128</v>
      </c>
      <c r="C24" s="44" t="s">
        <v>514</v>
      </c>
      <c r="D24" s="44" t="s">
        <v>515</v>
      </c>
      <c r="E24" s="44" t="s">
        <v>516</v>
      </c>
      <c r="F24" s="44" t="s">
        <v>460</v>
      </c>
      <c r="G24" s="44"/>
      <c r="H24" s="34" t="str">
        <f aca="false">IF(G24&lt;&gt;"",G24,IF(F24="","",IFERROR(INDEX(I_Item!$C$6:$C$255,MATCH(F24,I_Item!$A$6:$A$255,0)),"KODE BARU")))</f>
        <v>RPA|Karkas|Fresh</v>
      </c>
      <c r="I24" s="45" t="n">
        <v>1517</v>
      </c>
      <c r="J24" s="42" t="n">
        <v>36879.59</v>
      </c>
      <c r="K24" s="11" t="n">
        <f aca="false">IF(I24="","",I24*J24)</f>
        <v>55946338.03</v>
      </c>
      <c r="L24" s="34" t="str">
        <f aca="false">IF(H24="","",IFERROR(INDEX(I_Master!$B$6:$B$85,MATCH(H24,I_Master!$A$6:$A$85,0)),"?"))</f>
        <v>RPA</v>
      </c>
      <c r="M24" s="46" t="n">
        <f aca="false">IF(I24="","",IF(OR(A24&lt;I_Parameter!$C$5,A24&gt;I_Parameter!$C$6),0,IF(B24="Aktual",1,IF(AND(B24="Rencana",A24&gt;=I_Parameter!$C$4),1,0))))</f>
        <v>1</v>
      </c>
    </row>
    <row r="25" customFormat="false" ht="15" hidden="false" customHeight="false" outlineLevel="0" collapsed="false">
      <c r="A25" s="37" t="n">
        <v>46259</v>
      </c>
      <c r="B25" s="44" t="s">
        <v>128</v>
      </c>
      <c r="C25" s="44" t="s">
        <v>514</v>
      </c>
      <c r="D25" s="44" t="s">
        <v>515</v>
      </c>
      <c r="E25" s="44" t="s">
        <v>516</v>
      </c>
      <c r="F25" s="44" t="s">
        <v>522</v>
      </c>
      <c r="G25" s="44"/>
      <c r="H25" s="34" t="str">
        <f aca="false">IF(G25&lt;&gt;"",G25,IF(F25="","",IFERROR(INDEX(I_Item!$C$6:$C$255,MATCH(F25,I_Item!$A$6:$A$255,0)),"KODE BARU")))</f>
        <v>RPA|Karkas|Frozen</v>
      </c>
      <c r="I25" s="45" t="n">
        <v>142.6</v>
      </c>
      <c r="J25" s="42" t="n">
        <v>33526.9</v>
      </c>
      <c r="K25" s="11" t="n">
        <f aca="false">IF(I25="","",I25*J25)</f>
        <v>4780935.94</v>
      </c>
      <c r="L25" s="34" t="str">
        <f aca="false">IF(H25="","",IFERROR(INDEX(I_Master!$B$6:$B$85,MATCH(H25,I_Master!$A$6:$A$85,0)),"?"))</f>
        <v>RPA</v>
      </c>
      <c r="M25" s="46" t="n">
        <f aca="false">IF(I25="","",IF(OR(A25&lt;I_Parameter!$C$5,A25&gt;I_Parameter!$C$6),0,IF(B25="Aktual",1,IF(AND(B25="Rencana",A25&gt;=I_Parameter!$C$4),1,0))))</f>
        <v>1</v>
      </c>
    </row>
    <row r="26" customFormat="false" ht="15" hidden="false" customHeight="false" outlineLevel="0" collapsed="false">
      <c r="A26" s="37" t="n">
        <v>46259</v>
      </c>
      <c r="B26" s="44" t="s">
        <v>128</v>
      </c>
      <c r="C26" s="44" t="s">
        <v>514</v>
      </c>
      <c r="D26" s="44" t="s">
        <v>515</v>
      </c>
      <c r="E26" s="44" t="s">
        <v>516</v>
      </c>
      <c r="F26" s="44" t="s">
        <v>461</v>
      </c>
      <c r="G26" s="44"/>
      <c r="H26" s="34" t="str">
        <f aca="false">IF(G26&lt;&gt;"",G26,IF(F26="","",IFERROR(INDEX(I_Item!$C$6:$C$255,MATCH(F26,I_Item!$A$6:$A$255,0)),"KODE BARU")))</f>
        <v>RPA|Karkas|Fresh</v>
      </c>
      <c r="I26" s="45" t="n">
        <v>811.5</v>
      </c>
      <c r="J26" s="42" t="n">
        <v>36879.59</v>
      </c>
      <c r="K26" s="11" t="n">
        <f aca="false">IF(I26="","",I26*J26)</f>
        <v>29927787.285</v>
      </c>
      <c r="L26" s="34" t="str">
        <f aca="false">IF(H26="","",IFERROR(INDEX(I_Master!$B$6:$B$85,MATCH(H26,I_Master!$A$6:$A$85,0)),"?"))</f>
        <v>RPA</v>
      </c>
      <c r="M26" s="46" t="n">
        <f aca="false">IF(I26="","",IF(OR(A26&lt;I_Parameter!$C$5,A26&gt;I_Parameter!$C$6),0,IF(B26="Aktual",1,IF(AND(B26="Rencana",A26&gt;=I_Parameter!$C$4),1,0))))</f>
        <v>1</v>
      </c>
    </row>
    <row r="27" customFormat="false" ht="15" hidden="false" customHeight="false" outlineLevel="0" collapsed="false">
      <c r="A27" s="37" t="n">
        <v>46259</v>
      </c>
      <c r="B27" s="44" t="s">
        <v>128</v>
      </c>
      <c r="C27" s="44" t="s">
        <v>514</v>
      </c>
      <c r="D27" s="44" t="s">
        <v>515</v>
      </c>
      <c r="E27" s="44" t="s">
        <v>516</v>
      </c>
      <c r="F27" s="44" t="s">
        <v>523</v>
      </c>
      <c r="G27" s="44"/>
      <c r="H27" s="34" t="str">
        <f aca="false">IF(G27&lt;&gt;"",G27,IF(F27="","",IFERROR(INDEX(I_Item!$C$6:$C$255,MATCH(F27,I_Item!$A$6:$A$255,0)),"KODE BARU")))</f>
        <v>RPA|Karkas|Frozen</v>
      </c>
      <c r="I27" s="45" t="n">
        <v>93.1</v>
      </c>
      <c r="J27" s="42" t="n">
        <v>33526.9</v>
      </c>
      <c r="K27" s="11" t="n">
        <f aca="false">IF(I27="","",I27*J27)</f>
        <v>3121354.39</v>
      </c>
      <c r="L27" s="34" t="str">
        <f aca="false">IF(H27="","",IFERROR(INDEX(I_Master!$B$6:$B$85,MATCH(H27,I_Master!$A$6:$A$85,0)),"?"))</f>
        <v>RPA</v>
      </c>
      <c r="M27" s="46" t="n">
        <f aca="false">IF(I27="","",IF(OR(A27&lt;I_Parameter!$C$5,A27&gt;I_Parameter!$C$6),0,IF(B27="Aktual",1,IF(AND(B27="Rencana",A27&gt;=I_Parameter!$C$4),1,0))))</f>
        <v>1</v>
      </c>
    </row>
    <row r="28" customFormat="false" ht="15" hidden="false" customHeight="false" outlineLevel="0" collapsed="false">
      <c r="A28" s="37" t="n">
        <v>46259</v>
      </c>
      <c r="B28" s="44" t="s">
        <v>128</v>
      </c>
      <c r="C28" s="44" t="s">
        <v>514</v>
      </c>
      <c r="D28" s="44" t="s">
        <v>515</v>
      </c>
      <c r="E28" s="44" t="s">
        <v>516</v>
      </c>
      <c r="F28" s="44" t="s">
        <v>524</v>
      </c>
      <c r="G28" s="44"/>
      <c r="H28" s="34" t="str">
        <f aca="false">IF(G28&lt;&gt;"",G28,IF(F28="","",IFERROR(INDEX(I_Item!$C$6:$C$255,MATCH(F28,I_Item!$A$6:$A$255,0)),"KODE BARU")))</f>
        <v>RPA|Karkas|Fresh</v>
      </c>
      <c r="I28" s="45" t="n">
        <v>289.2</v>
      </c>
      <c r="J28" s="42" t="n">
        <v>36879.59</v>
      </c>
      <c r="K28" s="11" t="n">
        <f aca="false">IF(I28="","",I28*J28)</f>
        <v>10665577.428</v>
      </c>
      <c r="L28" s="34" t="str">
        <f aca="false">IF(H28="","",IFERROR(INDEX(I_Master!$B$6:$B$85,MATCH(H28,I_Master!$A$6:$A$85,0)),"?"))</f>
        <v>RPA</v>
      </c>
      <c r="M28" s="46" t="n">
        <f aca="false">IF(I28="","",IF(OR(A28&lt;I_Parameter!$C$5,A28&gt;I_Parameter!$C$6),0,IF(B28="Aktual",1,IF(AND(B28="Rencana",A28&gt;=I_Parameter!$C$4),1,0))))</f>
        <v>1</v>
      </c>
    </row>
    <row r="29" customFormat="false" ht="15" hidden="false" customHeight="false" outlineLevel="0" collapsed="false">
      <c r="A29" s="37" t="n">
        <v>46259</v>
      </c>
      <c r="B29" s="44" t="s">
        <v>128</v>
      </c>
      <c r="C29" s="44" t="s">
        <v>514</v>
      </c>
      <c r="D29" s="44" t="s">
        <v>515</v>
      </c>
      <c r="E29" s="44" t="s">
        <v>516</v>
      </c>
      <c r="F29" s="44" t="s">
        <v>525</v>
      </c>
      <c r="G29" s="44"/>
      <c r="H29" s="34" t="str">
        <f aca="false">IF(G29&lt;&gt;"",G29,IF(F29="","",IFERROR(INDEX(I_Item!$C$6:$C$255,MATCH(F29,I_Item!$A$6:$A$255,0)),"KODE BARU")))</f>
        <v>RPA|Karkas|Frozen</v>
      </c>
      <c r="I29" s="45" t="n">
        <v>46.5</v>
      </c>
      <c r="J29" s="42" t="n">
        <v>33526.9</v>
      </c>
      <c r="K29" s="11" t="n">
        <f aca="false">IF(I29="","",I29*J29)</f>
        <v>1559000.85</v>
      </c>
      <c r="L29" s="34" t="str">
        <f aca="false">IF(H29="","",IFERROR(INDEX(I_Master!$B$6:$B$85,MATCH(H29,I_Master!$A$6:$A$85,0)),"?"))</f>
        <v>RPA</v>
      </c>
      <c r="M29" s="46" t="n">
        <f aca="false">IF(I29="","",IF(OR(A29&lt;I_Parameter!$C$5,A29&gt;I_Parameter!$C$6),0,IF(B29="Aktual",1,IF(AND(B29="Rencana",A29&gt;=I_Parameter!$C$4),1,0))))</f>
        <v>1</v>
      </c>
    </row>
    <row r="30" customFormat="false" ht="15" hidden="false" customHeight="false" outlineLevel="0" collapsed="false">
      <c r="A30" s="37" t="n">
        <v>46259</v>
      </c>
      <c r="B30" s="44" t="s">
        <v>128</v>
      </c>
      <c r="C30" s="44" t="s">
        <v>514</v>
      </c>
      <c r="D30" s="44" t="s">
        <v>515</v>
      </c>
      <c r="E30" s="44" t="s">
        <v>516</v>
      </c>
      <c r="F30" s="44" t="s">
        <v>526</v>
      </c>
      <c r="G30" s="44"/>
      <c r="H30" s="34" t="str">
        <f aca="false">IF(G30&lt;&gt;"",G30,IF(F30="","",IFERROR(INDEX(I_Item!$C$6:$C$255,MATCH(F30,I_Item!$A$6:$A$255,0)),"KODE BARU")))</f>
        <v>RPA|Karkas|Frozen</v>
      </c>
      <c r="I30" s="45" t="n">
        <v>3.5</v>
      </c>
      <c r="J30" s="42" t="n">
        <v>33526.91</v>
      </c>
      <c r="K30" s="11" t="n">
        <f aca="false">IF(I30="","",I30*J30)</f>
        <v>117344.185</v>
      </c>
      <c r="L30" s="34" t="str">
        <f aca="false">IF(H30="","",IFERROR(INDEX(I_Master!$B$6:$B$85,MATCH(H30,I_Master!$A$6:$A$85,0)),"?"))</f>
        <v>RPA</v>
      </c>
      <c r="M30" s="46" t="n">
        <f aca="false">IF(I30="","",IF(OR(A30&lt;I_Parameter!$C$5,A30&gt;I_Parameter!$C$6),0,IF(B30="Aktual",1,IF(AND(B30="Rencana",A30&gt;=I_Parameter!$C$4),1,0))))</f>
        <v>1</v>
      </c>
    </row>
    <row r="31" customFormat="false" ht="15" hidden="false" customHeight="false" outlineLevel="0" collapsed="false">
      <c r="A31" s="37" t="n">
        <v>46259</v>
      </c>
      <c r="B31" s="44" t="s">
        <v>128</v>
      </c>
      <c r="C31" s="44" t="s">
        <v>514</v>
      </c>
      <c r="D31" s="44" t="s">
        <v>515</v>
      </c>
      <c r="E31" s="44" t="s">
        <v>516</v>
      </c>
      <c r="F31" s="44" t="s">
        <v>527</v>
      </c>
      <c r="G31" s="44"/>
      <c r="H31" s="34" t="str">
        <f aca="false">IF(G31&lt;&gt;"",G31,IF(F31="","",IFERROR(INDEX(I_Item!$C$6:$C$255,MATCH(F31,I_Item!$A$6:$A$255,0)),"KODE BARU")))</f>
        <v>RPA|Karkas|Frozen</v>
      </c>
      <c r="I31" s="45" t="n">
        <v>110.6</v>
      </c>
      <c r="J31" s="42" t="n">
        <v>36879.59</v>
      </c>
      <c r="K31" s="11" t="n">
        <f aca="false">IF(I31="","",I31*J31)</f>
        <v>4078882.654</v>
      </c>
      <c r="L31" s="34" t="str">
        <f aca="false">IF(H31="","",IFERROR(INDEX(I_Master!$B$6:$B$85,MATCH(H31,I_Master!$A$6:$A$85,0)),"?"))</f>
        <v>RPA</v>
      </c>
      <c r="M31" s="46" t="n">
        <f aca="false">IF(I31="","",IF(OR(A31&lt;I_Parameter!$C$5,A31&gt;I_Parameter!$C$6),0,IF(B31="Aktual",1,IF(AND(B31="Rencana",A31&gt;=I_Parameter!$C$4),1,0))))</f>
        <v>1</v>
      </c>
    </row>
    <row r="32" customFormat="false" ht="15" hidden="false" customHeight="false" outlineLevel="0" collapsed="false">
      <c r="A32" s="37" t="n">
        <v>46259</v>
      </c>
      <c r="B32" s="44" t="s">
        <v>128</v>
      </c>
      <c r="C32" s="44" t="s">
        <v>514</v>
      </c>
      <c r="D32" s="44" t="s">
        <v>515</v>
      </c>
      <c r="E32" s="44" t="s">
        <v>516</v>
      </c>
      <c r="F32" s="44" t="s">
        <v>474</v>
      </c>
      <c r="G32" s="44"/>
      <c r="H32" s="34" t="str">
        <f aca="false">IF(G32&lt;&gt;"",G32,IF(F32="","",IFERROR(INDEX(I_Item!$C$6:$C$255,MATCH(F32,I_Item!$A$6:$A$255,0)),"KODE BARU")))</f>
        <v>RPA|Karkas|Frozen</v>
      </c>
      <c r="I32" s="45" t="n">
        <v>81.2</v>
      </c>
      <c r="J32" s="42" t="n">
        <v>36879.59</v>
      </c>
      <c r="K32" s="11" t="n">
        <f aca="false">IF(I32="","",I32*J32)</f>
        <v>2994622.708</v>
      </c>
      <c r="L32" s="34" t="str">
        <f aca="false">IF(H32="","",IFERROR(INDEX(I_Master!$B$6:$B$85,MATCH(H32,I_Master!$A$6:$A$85,0)),"?"))</f>
        <v>RPA</v>
      </c>
      <c r="M32" s="46" t="n">
        <f aca="false">IF(I32="","",IF(OR(A32&lt;I_Parameter!$C$5,A32&gt;I_Parameter!$C$6),0,IF(B32="Aktual",1,IF(AND(B32="Rencana",A32&gt;=I_Parameter!$C$4),1,0))))</f>
        <v>1</v>
      </c>
    </row>
    <row r="33" customFormat="false" ht="15" hidden="false" customHeight="false" outlineLevel="0" collapsed="false">
      <c r="A33" s="37" t="n">
        <v>46259</v>
      </c>
      <c r="B33" s="44" t="s">
        <v>128</v>
      </c>
      <c r="C33" s="44" t="s">
        <v>514</v>
      </c>
      <c r="D33" s="44" t="s">
        <v>515</v>
      </c>
      <c r="E33" s="44" t="s">
        <v>516</v>
      </c>
      <c r="F33" s="44" t="s">
        <v>467</v>
      </c>
      <c r="G33" s="44"/>
      <c r="H33" s="34" t="str">
        <f aca="false">IF(G33&lt;&gt;"",G33,IF(F33="","",IFERROR(INDEX(I_Item!$C$6:$C$255,MATCH(F33,I_Item!$A$6:$A$255,0)),"KODE BARU")))</f>
        <v>RPA|Karkas|Frozen</v>
      </c>
      <c r="I33" s="45" t="n">
        <v>8</v>
      </c>
      <c r="J33" s="42" t="n">
        <v>36879.59</v>
      </c>
      <c r="K33" s="11" t="n">
        <f aca="false">IF(I33="","",I33*J33)</f>
        <v>295036.72</v>
      </c>
      <c r="L33" s="34" t="str">
        <f aca="false">IF(H33="","",IFERROR(INDEX(I_Master!$B$6:$B$85,MATCH(H33,I_Master!$A$6:$A$85,0)),"?"))</f>
        <v>RPA</v>
      </c>
      <c r="M33" s="46" t="n">
        <f aca="false">IF(I33="","",IF(OR(A33&lt;I_Parameter!$C$5,A33&gt;I_Parameter!$C$6),0,IF(B33="Aktual",1,IF(AND(B33="Rencana",A33&gt;=I_Parameter!$C$4),1,0))))</f>
        <v>1</v>
      </c>
    </row>
    <row r="34" customFormat="false" ht="15" hidden="false" customHeight="false" outlineLevel="0" collapsed="false">
      <c r="A34" s="37" t="n">
        <v>46259</v>
      </c>
      <c r="B34" s="44" t="s">
        <v>128</v>
      </c>
      <c r="C34" s="44" t="s">
        <v>514</v>
      </c>
      <c r="D34" s="44" t="s">
        <v>515</v>
      </c>
      <c r="E34" s="44" t="s">
        <v>516</v>
      </c>
      <c r="F34" s="44" t="s">
        <v>433</v>
      </c>
      <c r="G34" s="44"/>
      <c r="H34" s="34" t="str">
        <f aca="false">IF(G34&lt;&gt;"",G34,IF(F34="","",IFERROR(INDEX(I_Item!$C$6:$C$255,MATCH(F34,I_Item!$A$6:$A$255,0)),"KODE BARU")))</f>
        <v>RPA|Karkas|Frozen</v>
      </c>
      <c r="I34" s="45" t="n">
        <v>2.3</v>
      </c>
      <c r="J34" s="42" t="n">
        <v>36879.59</v>
      </c>
      <c r="K34" s="11" t="n">
        <f aca="false">IF(I34="","",I34*J34)</f>
        <v>84823.057</v>
      </c>
      <c r="L34" s="34" t="str">
        <f aca="false">IF(H34="","",IFERROR(INDEX(I_Master!$B$6:$B$85,MATCH(H34,I_Master!$A$6:$A$85,0)),"?"))</f>
        <v>RPA</v>
      </c>
      <c r="M34" s="46" t="n">
        <f aca="false">IF(I34="","",IF(OR(A34&lt;I_Parameter!$C$5,A34&gt;I_Parameter!$C$6),0,IF(B34="Aktual",1,IF(AND(B34="Rencana",A34&gt;=I_Parameter!$C$4),1,0))))</f>
        <v>1</v>
      </c>
    </row>
    <row r="35" customFormat="false" ht="15" hidden="false" customHeight="false" outlineLevel="0" collapsed="false">
      <c r="A35" s="37" t="n">
        <v>46260</v>
      </c>
      <c r="B35" s="44" t="s">
        <v>128</v>
      </c>
      <c r="C35" s="44" t="s">
        <v>514</v>
      </c>
      <c r="D35" s="44" t="s">
        <v>528</v>
      </c>
      <c r="E35" s="44" t="s">
        <v>516</v>
      </c>
      <c r="F35" s="44" t="s">
        <v>441</v>
      </c>
      <c r="G35" s="44"/>
      <c r="H35" s="34" t="str">
        <f aca="false">IF(G35&lt;&gt;"",G35,IF(F35="","",IFERROR(INDEX(I_Item!$C$6:$C$255,MATCH(F35,I_Item!$A$6:$A$255,0)),"KODE BARU")))</f>
        <v>RPA|Ceker|Fresh</v>
      </c>
      <c r="I35" s="45" t="n">
        <v>325.6</v>
      </c>
      <c r="J35" s="42" t="n">
        <v>18263.95</v>
      </c>
      <c r="K35" s="11" t="n">
        <f aca="false">IF(I35="","",I35*J35)</f>
        <v>5946742.12</v>
      </c>
      <c r="L35" s="34" t="str">
        <f aca="false">IF(H35="","",IFERROR(INDEX(I_Master!$B$6:$B$85,MATCH(H35,I_Master!$A$6:$A$85,0)),"?"))</f>
        <v>RPA</v>
      </c>
      <c r="M35" s="46" t="n">
        <f aca="false">IF(I35="","",IF(OR(A35&lt;I_Parameter!$C$5,A35&gt;I_Parameter!$C$6),0,IF(B35="Aktual",1,IF(AND(B35="Rencana",A35&gt;=I_Parameter!$C$4),1,0))))</f>
        <v>1</v>
      </c>
    </row>
    <row r="36" customFormat="false" ht="15" hidden="false" customHeight="false" outlineLevel="0" collapsed="false">
      <c r="A36" s="37" t="n">
        <v>46260</v>
      </c>
      <c r="B36" s="44" t="s">
        <v>128</v>
      </c>
      <c r="C36" s="44" t="s">
        <v>514</v>
      </c>
      <c r="D36" s="44" t="s">
        <v>528</v>
      </c>
      <c r="E36" s="44" t="s">
        <v>516</v>
      </c>
      <c r="F36" s="44" t="s">
        <v>442</v>
      </c>
      <c r="G36" s="44"/>
      <c r="H36" s="34" t="str">
        <f aca="false">IF(G36&lt;&gt;"",G36,IF(F36="","",IFERROR(INDEX(I_Item!$C$6:$C$255,MATCH(F36,I_Item!$A$6:$A$255,0)),"KODE BARU")))</f>
        <v>RPA|HJA (Hati/Jantung/Ampela)|Fresh</v>
      </c>
      <c r="I36" s="45" t="n">
        <v>622.3</v>
      </c>
      <c r="J36" s="42" t="n">
        <v>5707.48</v>
      </c>
      <c r="K36" s="11" t="n">
        <f aca="false">IF(I36="","",I36*J36)</f>
        <v>3551764.804</v>
      </c>
      <c r="L36" s="34" t="str">
        <f aca="false">IF(H36="","",IFERROR(INDEX(I_Master!$B$6:$B$85,MATCH(H36,I_Master!$A$6:$A$85,0)),"?"))</f>
        <v>RPA</v>
      </c>
      <c r="M36" s="46" t="n">
        <f aca="false">IF(I36="","",IF(OR(A36&lt;I_Parameter!$C$5,A36&gt;I_Parameter!$C$6),0,IF(B36="Aktual",1,IF(AND(B36="Rencana",A36&gt;=I_Parameter!$C$4),1,0))))</f>
        <v>1</v>
      </c>
    </row>
    <row r="37" customFormat="false" ht="15" hidden="false" customHeight="false" outlineLevel="0" collapsed="false">
      <c r="A37" s="37" t="n">
        <v>46260</v>
      </c>
      <c r="B37" s="44" t="s">
        <v>128</v>
      </c>
      <c r="C37" s="44" t="s">
        <v>514</v>
      </c>
      <c r="D37" s="44" t="s">
        <v>528</v>
      </c>
      <c r="E37" s="44" t="s">
        <v>516</v>
      </c>
      <c r="F37" s="44" t="s">
        <v>443</v>
      </c>
      <c r="G37" s="44"/>
      <c r="H37" s="34" t="str">
        <f aca="false">IF(G37&lt;&gt;"",G37,IF(F37="","",IFERROR(INDEX(I_Item!$C$6:$C$255,MATCH(F37,I_Item!$A$6:$A$255,0)),"KODE BARU")))</f>
        <v>RPA|Kepala|Fresh</v>
      </c>
      <c r="I37" s="45" t="n">
        <v>518.4</v>
      </c>
      <c r="J37" s="42" t="n">
        <v>13697.96</v>
      </c>
      <c r="K37" s="11" t="n">
        <f aca="false">IF(I37="","",I37*J37)</f>
        <v>7101022.464</v>
      </c>
      <c r="L37" s="34" t="str">
        <f aca="false">IF(H37="","",IFERROR(INDEX(I_Master!$B$6:$B$85,MATCH(H37,I_Master!$A$6:$A$85,0)),"?"))</f>
        <v>RPA</v>
      </c>
      <c r="M37" s="46" t="n">
        <f aca="false">IF(I37="","",IF(OR(A37&lt;I_Parameter!$C$5,A37&gt;I_Parameter!$C$6),0,IF(B37="Aktual",1,IF(AND(B37="Rencana",A37&gt;=I_Parameter!$C$4),1,0))))</f>
        <v>1</v>
      </c>
    </row>
    <row r="38" customFormat="false" ht="15" hidden="false" customHeight="false" outlineLevel="0" collapsed="false">
      <c r="A38" s="37" t="n">
        <v>46260</v>
      </c>
      <c r="B38" s="44" t="s">
        <v>128</v>
      </c>
      <c r="C38" s="44" t="s">
        <v>514</v>
      </c>
      <c r="D38" s="44" t="s">
        <v>528</v>
      </c>
      <c r="E38" s="44" t="s">
        <v>516</v>
      </c>
      <c r="F38" s="44" t="s">
        <v>444</v>
      </c>
      <c r="G38" s="44"/>
      <c r="H38" s="34" t="str">
        <f aca="false">IF(G38&lt;&gt;"",G38,IF(F38="","",IFERROR(INDEX(I_Item!$C$6:$C$255,MATCH(F38,I_Item!$A$6:$A$255,0)),"KODE BARU")))</f>
        <v>RPA|Usus|Fresh</v>
      </c>
      <c r="I38" s="45" t="n">
        <v>514.9</v>
      </c>
      <c r="J38" s="42" t="n">
        <v>5707.48</v>
      </c>
      <c r="K38" s="11" t="n">
        <f aca="false">IF(I38="","",I38*J38)</f>
        <v>2938781.452</v>
      </c>
      <c r="L38" s="34" t="str">
        <f aca="false">IF(H38="","",IFERROR(INDEX(I_Master!$B$6:$B$85,MATCH(H38,I_Master!$A$6:$A$85,0)),"?"))</f>
        <v>RPA</v>
      </c>
      <c r="M38" s="46" t="n">
        <f aca="false">IF(I38="","",IF(OR(A38&lt;I_Parameter!$C$5,A38&gt;I_Parameter!$C$6),0,IF(B38="Aktual",1,IF(AND(B38="Rencana",A38&gt;=I_Parameter!$C$4),1,0))))</f>
        <v>1</v>
      </c>
    </row>
    <row r="39" customFormat="false" ht="15" hidden="false" customHeight="false" outlineLevel="0" collapsed="false">
      <c r="A39" s="37" t="n">
        <v>46260</v>
      </c>
      <c r="B39" s="44" t="s">
        <v>128</v>
      </c>
      <c r="C39" s="44" t="s">
        <v>514</v>
      </c>
      <c r="D39" s="44" t="s">
        <v>528</v>
      </c>
      <c r="E39" s="44" t="s">
        <v>516</v>
      </c>
      <c r="F39" s="44" t="s">
        <v>517</v>
      </c>
      <c r="G39" s="44"/>
      <c r="H39" s="34" t="str">
        <f aca="false">IF(G39&lt;&gt;"",G39,IF(F39="","",IFERROR(INDEX(I_Item!$C$6:$C$255,MATCH(F39,I_Item!$A$6:$A$255,0)),"KODE BARU")))</f>
        <v>RPA|Lemak|Frozen</v>
      </c>
      <c r="I39" s="45" t="n">
        <v>28.8</v>
      </c>
      <c r="J39" s="42" t="n">
        <v>27395.92</v>
      </c>
      <c r="K39" s="11" t="n">
        <f aca="false">IF(I39="","",I39*J39)</f>
        <v>789002.496</v>
      </c>
      <c r="L39" s="34" t="str">
        <f aca="false">IF(H39="","",IFERROR(INDEX(I_Master!$B$6:$B$85,MATCH(H39,I_Master!$A$6:$A$85,0)),"?"))</f>
        <v>RPA</v>
      </c>
      <c r="M39" s="46" t="n">
        <f aca="false">IF(I39="","",IF(OR(A39&lt;I_Parameter!$C$5,A39&gt;I_Parameter!$C$6),0,IF(B39="Aktual",1,IF(AND(B39="Rencana",A39&gt;=I_Parameter!$C$4),1,0))))</f>
        <v>1</v>
      </c>
    </row>
    <row r="40" customFormat="false" ht="15" hidden="false" customHeight="false" outlineLevel="0" collapsed="false">
      <c r="A40" s="37" t="n">
        <v>46260</v>
      </c>
      <c r="B40" s="44" t="s">
        <v>128</v>
      </c>
      <c r="C40" s="44" t="s">
        <v>514</v>
      </c>
      <c r="D40" s="44" t="s">
        <v>528</v>
      </c>
      <c r="E40" s="44" t="s">
        <v>516</v>
      </c>
      <c r="F40" s="44" t="s">
        <v>448</v>
      </c>
      <c r="G40" s="44"/>
      <c r="H40" s="34" t="str">
        <f aca="false">IF(G40&lt;&gt;"",G40,IF(F40="","",IFERROR(INDEX(I_Item!$C$6:$C$255,MATCH(F40,I_Item!$A$6:$A$255,0)),"KODE BARU")))</f>
        <v>RPA|Karkas|Frozen</v>
      </c>
      <c r="I40" s="45" t="n">
        <v>9.1</v>
      </c>
      <c r="J40" s="42" t="n">
        <v>34244.9</v>
      </c>
      <c r="K40" s="11" t="n">
        <f aca="false">IF(I40="","",I40*J40)</f>
        <v>311628.59</v>
      </c>
      <c r="L40" s="34" t="str">
        <f aca="false">IF(H40="","",IFERROR(INDEX(I_Master!$B$6:$B$85,MATCH(H40,I_Master!$A$6:$A$85,0)),"?"))</f>
        <v>RPA</v>
      </c>
      <c r="M40" s="46" t="n">
        <f aca="false">IF(I40="","",IF(OR(A40&lt;I_Parameter!$C$5,A40&gt;I_Parameter!$C$6),0,IF(B40="Aktual",1,IF(AND(B40="Rencana",A40&gt;=I_Parameter!$C$4),1,0))))</f>
        <v>1</v>
      </c>
    </row>
    <row r="41" customFormat="false" ht="15" hidden="false" customHeight="false" outlineLevel="0" collapsed="false">
      <c r="A41" s="37" t="n">
        <v>46260</v>
      </c>
      <c r="B41" s="44" t="s">
        <v>128</v>
      </c>
      <c r="C41" s="44" t="s">
        <v>514</v>
      </c>
      <c r="D41" s="44" t="s">
        <v>528</v>
      </c>
      <c r="E41" s="44" t="s">
        <v>516</v>
      </c>
      <c r="F41" s="44" t="s">
        <v>529</v>
      </c>
      <c r="G41" s="44"/>
      <c r="H41" s="34" t="str">
        <f aca="false">IF(G41&lt;&gt;"",G41,IF(F41="","",IFERROR(INDEX(I_Item!$C$6:$C$255,MATCH(F41,I_Item!$A$6:$A$255,0)),"KODE BARU")))</f>
        <v>RPA|Karkas|Frozen</v>
      </c>
      <c r="I41" s="45" t="n">
        <v>15.6</v>
      </c>
      <c r="J41" s="42" t="n">
        <v>34244.9</v>
      </c>
      <c r="K41" s="11" t="n">
        <f aca="false">IF(I41="","",I41*J41)</f>
        <v>534220.44</v>
      </c>
      <c r="L41" s="34" t="str">
        <f aca="false">IF(H41="","",IFERROR(INDEX(I_Master!$B$6:$B$85,MATCH(H41,I_Master!$A$6:$A$85,0)),"?"))</f>
        <v>RPA</v>
      </c>
      <c r="M41" s="46" t="n">
        <f aca="false">IF(I41="","",IF(OR(A41&lt;I_Parameter!$C$5,A41&gt;I_Parameter!$C$6),0,IF(B41="Aktual",1,IF(AND(B41="Rencana",A41&gt;=I_Parameter!$C$4),1,0))))</f>
        <v>1</v>
      </c>
    </row>
    <row r="42" customFormat="false" ht="15" hidden="false" customHeight="false" outlineLevel="0" collapsed="false">
      <c r="A42" s="37" t="n">
        <v>46260</v>
      </c>
      <c r="B42" s="44" t="s">
        <v>128</v>
      </c>
      <c r="C42" s="44" t="s">
        <v>514</v>
      </c>
      <c r="D42" s="44" t="s">
        <v>528</v>
      </c>
      <c r="E42" s="44" t="s">
        <v>516</v>
      </c>
      <c r="F42" s="44" t="s">
        <v>519</v>
      </c>
      <c r="G42" s="44"/>
      <c r="H42" s="34" t="str">
        <f aca="false">IF(G42&lt;&gt;"",G42,IF(F42="","",IFERROR(INDEX(I_Item!$C$6:$C$255,MATCH(F42,I_Item!$A$6:$A$255,0)),"KODE BARU")))</f>
        <v>RPA|Karkas|Frozen</v>
      </c>
      <c r="I42" s="45" t="n">
        <v>42.7</v>
      </c>
      <c r="J42" s="42" t="n">
        <v>34244.9</v>
      </c>
      <c r="K42" s="11" t="n">
        <f aca="false">IF(I42="","",I42*J42)</f>
        <v>1462257.23</v>
      </c>
      <c r="L42" s="34" t="str">
        <f aca="false">IF(H42="","",IFERROR(INDEX(I_Master!$B$6:$B$85,MATCH(H42,I_Master!$A$6:$A$85,0)),"?"))</f>
        <v>RPA</v>
      </c>
      <c r="M42" s="46" t="n">
        <f aca="false">IF(I42="","",IF(OR(A42&lt;I_Parameter!$C$5,A42&gt;I_Parameter!$C$6),0,IF(B42="Aktual",1,IF(AND(B42="Rencana",A42&gt;=I_Parameter!$C$4),1,0))))</f>
        <v>1</v>
      </c>
    </row>
    <row r="43" customFormat="false" ht="15" hidden="false" customHeight="false" outlineLevel="0" collapsed="false">
      <c r="A43" s="37" t="n">
        <v>46260</v>
      </c>
      <c r="B43" s="44" t="s">
        <v>128</v>
      </c>
      <c r="C43" s="44" t="s">
        <v>514</v>
      </c>
      <c r="D43" s="44" t="s">
        <v>528</v>
      </c>
      <c r="E43" s="44" t="s">
        <v>516</v>
      </c>
      <c r="F43" s="44" t="s">
        <v>449</v>
      </c>
      <c r="G43" s="44"/>
      <c r="H43" s="34" t="str">
        <f aca="false">IF(G43&lt;&gt;"",G43,IF(F43="","",IFERROR(INDEX(I_Item!$C$6:$C$255,MATCH(F43,I_Item!$A$6:$A$255,0)),"KODE BARU")))</f>
        <v>RPA|Karkas|Frozen</v>
      </c>
      <c r="I43" s="45" t="n">
        <v>77.3</v>
      </c>
      <c r="J43" s="42" t="n">
        <v>34244.9</v>
      </c>
      <c r="K43" s="11" t="n">
        <f aca="false">IF(I43="","",I43*J43)</f>
        <v>2647130.77</v>
      </c>
      <c r="L43" s="34" t="str">
        <f aca="false">IF(H43="","",IFERROR(INDEX(I_Master!$B$6:$B$85,MATCH(H43,I_Master!$A$6:$A$85,0)),"?"))</f>
        <v>RPA</v>
      </c>
      <c r="M43" s="46" t="n">
        <f aca="false">IF(I43="","",IF(OR(A43&lt;I_Parameter!$C$5,A43&gt;I_Parameter!$C$6),0,IF(B43="Aktual",1,IF(AND(B43="Rencana",A43&gt;=I_Parameter!$C$4),1,0))))</f>
        <v>1</v>
      </c>
    </row>
    <row r="44" customFormat="false" ht="15" hidden="false" customHeight="false" outlineLevel="0" collapsed="false">
      <c r="A44" s="37" t="n">
        <v>46260</v>
      </c>
      <c r="B44" s="44" t="s">
        <v>128</v>
      </c>
      <c r="C44" s="44" t="s">
        <v>514</v>
      </c>
      <c r="D44" s="44" t="s">
        <v>528</v>
      </c>
      <c r="E44" s="44" t="s">
        <v>516</v>
      </c>
      <c r="F44" s="44" t="s">
        <v>471</v>
      </c>
      <c r="G44" s="44"/>
      <c r="H44" s="34" t="str">
        <f aca="false">IF(G44&lt;&gt;"",G44,IF(F44="","",IFERROR(INDEX(I_Item!$C$6:$C$255,MATCH(F44,I_Item!$A$6:$A$255,0)),"KODE BARU")))</f>
        <v>RPA|Karkas|Frozen</v>
      </c>
      <c r="I44" s="45" t="n">
        <v>566.6</v>
      </c>
      <c r="J44" s="42" t="n">
        <v>37669.39</v>
      </c>
      <c r="K44" s="11" t="n">
        <f aca="false">IF(I44="","",I44*J44)</f>
        <v>21343476.374</v>
      </c>
      <c r="L44" s="34" t="str">
        <f aca="false">IF(H44="","",IFERROR(INDEX(I_Master!$B$6:$B$85,MATCH(H44,I_Master!$A$6:$A$85,0)),"?"))</f>
        <v>RPA</v>
      </c>
      <c r="M44" s="46" t="n">
        <f aca="false">IF(I44="","",IF(OR(A44&lt;I_Parameter!$C$5,A44&gt;I_Parameter!$C$6),0,IF(B44="Aktual",1,IF(AND(B44="Rencana",A44&gt;=I_Parameter!$C$4),1,0))))</f>
        <v>1</v>
      </c>
    </row>
    <row r="45" customFormat="false" ht="15" hidden="false" customHeight="false" outlineLevel="0" collapsed="false">
      <c r="A45" s="37" t="n">
        <v>46260</v>
      </c>
      <c r="B45" s="44" t="s">
        <v>128</v>
      </c>
      <c r="C45" s="44" t="s">
        <v>514</v>
      </c>
      <c r="D45" s="44" t="s">
        <v>528</v>
      </c>
      <c r="E45" s="44" t="s">
        <v>516</v>
      </c>
      <c r="F45" s="44" t="s">
        <v>520</v>
      </c>
      <c r="G45" s="44"/>
      <c r="H45" s="34" t="str">
        <f aca="false">IF(G45&lt;&gt;"",G45,IF(F45="","",IFERROR(INDEX(I_Item!$C$6:$C$255,MATCH(F45,I_Item!$A$6:$A$255,0)),"KODE BARU")))</f>
        <v>RPA|Karkas|Frozen</v>
      </c>
      <c r="I45" s="45" t="n">
        <v>131.8</v>
      </c>
      <c r="J45" s="42" t="n">
        <v>34244.9</v>
      </c>
      <c r="K45" s="11" t="n">
        <f aca="false">IF(I45="","",I45*J45)</f>
        <v>4513477.82</v>
      </c>
      <c r="L45" s="34" t="str">
        <f aca="false">IF(H45="","",IFERROR(INDEX(I_Master!$B$6:$B$85,MATCH(H45,I_Master!$A$6:$A$85,0)),"?"))</f>
        <v>RPA</v>
      </c>
      <c r="M45" s="46" t="n">
        <f aca="false">IF(I45="","",IF(OR(A45&lt;I_Parameter!$C$5,A45&gt;I_Parameter!$C$6),0,IF(B45="Aktual",1,IF(AND(B45="Rencana",A45&gt;=I_Parameter!$C$4),1,0))))</f>
        <v>1</v>
      </c>
    </row>
    <row r="46" customFormat="false" ht="15" hidden="false" customHeight="false" outlineLevel="0" collapsed="false">
      <c r="A46" s="37" t="n">
        <v>46260</v>
      </c>
      <c r="B46" s="44" t="s">
        <v>128</v>
      </c>
      <c r="C46" s="44" t="s">
        <v>514</v>
      </c>
      <c r="D46" s="44" t="s">
        <v>528</v>
      </c>
      <c r="E46" s="44" t="s">
        <v>516</v>
      </c>
      <c r="F46" s="44" t="s">
        <v>472</v>
      </c>
      <c r="G46" s="44"/>
      <c r="H46" s="34" t="str">
        <f aca="false">IF(G46&lt;&gt;"",G46,IF(F46="","",IFERROR(INDEX(I_Item!$C$6:$C$255,MATCH(F46,I_Item!$A$6:$A$255,0)),"KODE BARU")))</f>
        <v>RPA|Karkas|Frozen</v>
      </c>
      <c r="I46" s="45" t="n">
        <v>1106</v>
      </c>
      <c r="J46" s="42" t="n">
        <v>37669.39</v>
      </c>
      <c r="K46" s="11" t="n">
        <f aca="false">IF(I46="","",I46*J46)</f>
        <v>41662345.34</v>
      </c>
      <c r="L46" s="34" t="str">
        <f aca="false">IF(H46="","",IFERROR(INDEX(I_Master!$B$6:$B$85,MATCH(H46,I_Master!$A$6:$A$85,0)),"?"))</f>
        <v>RPA</v>
      </c>
      <c r="M46" s="46" t="n">
        <f aca="false">IF(I46="","",IF(OR(A46&lt;I_Parameter!$C$5,A46&gt;I_Parameter!$C$6),0,IF(B46="Aktual",1,IF(AND(B46="Rencana",A46&gt;=I_Parameter!$C$4),1,0))))</f>
        <v>1</v>
      </c>
    </row>
    <row r="47" customFormat="false" ht="15" hidden="false" customHeight="false" outlineLevel="0" collapsed="false">
      <c r="A47" s="37" t="n">
        <v>46260</v>
      </c>
      <c r="B47" s="44" t="s">
        <v>128</v>
      </c>
      <c r="C47" s="44" t="s">
        <v>514</v>
      </c>
      <c r="D47" s="44" t="s">
        <v>528</v>
      </c>
      <c r="E47" s="44" t="s">
        <v>516</v>
      </c>
      <c r="F47" s="44" t="s">
        <v>458</v>
      </c>
      <c r="G47" s="44"/>
      <c r="H47" s="34" t="str">
        <f aca="false">IF(G47&lt;&gt;"",G47,IF(F47="","",IFERROR(INDEX(I_Item!$C$6:$C$255,MATCH(F47,I_Item!$A$6:$A$255,0)),"KODE BARU")))</f>
        <v>RPA|Karkas|Fresh</v>
      </c>
      <c r="I47" s="45" t="n">
        <v>1572.1</v>
      </c>
      <c r="J47" s="42" t="n">
        <v>37669.39</v>
      </c>
      <c r="K47" s="11" t="n">
        <f aca="false">IF(I47="","",I47*J47)</f>
        <v>59220048.019</v>
      </c>
      <c r="L47" s="34" t="str">
        <f aca="false">IF(H47="","",IFERROR(INDEX(I_Master!$B$6:$B$85,MATCH(H47,I_Master!$A$6:$A$85,0)),"?"))</f>
        <v>RPA</v>
      </c>
      <c r="M47" s="46" t="n">
        <f aca="false">IF(I47="","",IF(OR(A47&lt;I_Parameter!$C$5,A47&gt;I_Parameter!$C$6),0,IF(B47="Aktual",1,IF(AND(B47="Rencana",A47&gt;=I_Parameter!$C$4),1,0))))</f>
        <v>1</v>
      </c>
    </row>
    <row r="48" customFormat="false" ht="15" hidden="false" customHeight="false" outlineLevel="0" collapsed="false">
      <c r="A48" s="37" t="n">
        <v>46260</v>
      </c>
      <c r="B48" s="44" t="s">
        <v>128</v>
      </c>
      <c r="C48" s="44" t="s">
        <v>514</v>
      </c>
      <c r="D48" s="44" t="s">
        <v>528</v>
      </c>
      <c r="E48" s="44" t="s">
        <v>516</v>
      </c>
      <c r="F48" s="44" t="s">
        <v>497</v>
      </c>
      <c r="G48" s="44"/>
      <c r="H48" s="34" t="str">
        <f aca="false">IF(G48&lt;&gt;"",G48,IF(F48="","",IFERROR(INDEX(I_Item!$C$6:$C$255,MATCH(F48,I_Item!$A$6:$A$255,0)),"KODE BARU")))</f>
        <v>RPA|Karkas|Frozen</v>
      </c>
      <c r="I48" s="45" t="n">
        <v>178.8</v>
      </c>
      <c r="J48" s="42" t="n">
        <v>34244.9</v>
      </c>
      <c r="K48" s="11" t="n">
        <f aca="false">IF(I48="","",I48*J48)</f>
        <v>6122988.12</v>
      </c>
      <c r="L48" s="34" t="str">
        <f aca="false">IF(H48="","",IFERROR(INDEX(I_Master!$B$6:$B$85,MATCH(H48,I_Master!$A$6:$A$85,0)),"?"))</f>
        <v>RPA</v>
      </c>
      <c r="M48" s="46" t="n">
        <f aca="false">IF(I48="","",IF(OR(A48&lt;I_Parameter!$C$5,A48&gt;I_Parameter!$C$6),0,IF(B48="Aktual",1,IF(AND(B48="Rencana",A48&gt;=I_Parameter!$C$4),1,0))))</f>
        <v>1</v>
      </c>
    </row>
    <row r="49" customFormat="false" ht="15" hidden="false" customHeight="false" outlineLevel="0" collapsed="false">
      <c r="A49" s="37" t="n">
        <v>46260</v>
      </c>
      <c r="B49" s="44" t="s">
        <v>128</v>
      </c>
      <c r="C49" s="44" t="s">
        <v>514</v>
      </c>
      <c r="D49" s="44" t="s">
        <v>528</v>
      </c>
      <c r="E49" s="44" t="s">
        <v>516</v>
      </c>
      <c r="F49" s="44" t="s">
        <v>459</v>
      </c>
      <c r="G49" s="44"/>
      <c r="H49" s="34" t="str">
        <f aca="false">IF(G49&lt;&gt;"",G49,IF(F49="","",IFERROR(INDEX(I_Item!$C$6:$C$255,MATCH(F49,I_Item!$A$6:$A$255,0)),"KODE BARU")))</f>
        <v>RPA|Karkas|Fresh</v>
      </c>
      <c r="I49" s="45" t="n">
        <v>1621.4</v>
      </c>
      <c r="J49" s="42" t="n">
        <v>37669.39</v>
      </c>
      <c r="K49" s="11" t="n">
        <f aca="false">IF(I49="","",I49*J49)</f>
        <v>61077148.946</v>
      </c>
      <c r="L49" s="34" t="str">
        <f aca="false">IF(H49="","",IFERROR(INDEX(I_Master!$B$6:$B$85,MATCH(H49,I_Master!$A$6:$A$85,0)),"?"))</f>
        <v>RPA</v>
      </c>
      <c r="M49" s="46" t="n">
        <f aca="false">IF(I49="","",IF(OR(A49&lt;I_Parameter!$C$5,A49&gt;I_Parameter!$C$6),0,IF(B49="Aktual",1,IF(AND(B49="Rencana",A49&gt;=I_Parameter!$C$4),1,0))))</f>
        <v>1</v>
      </c>
    </row>
    <row r="50" customFormat="false" ht="15" hidden="false" customHeight="false" outlineLevel="0" collapsed="false">
      <c r="A50" s="37" t="n">
        <v>46260</v>
      </c>
      <c r="B50" s="44" t="s">
        <v>128</v>
      </c>
      <c r="C50" s="44" t="s">
        <v>514</v>
      </c>
      <c r="D50" s="44" t="s">
        <v>528</v>
      </c>
      <c r="E50" s="44" t="s">
        <v>516</v>
      </c>
      <c r="F50" s="44" t="s">
        <v>521</v>
      </c>
      <c r="G50" s="44"/>
      <c r="H50" s="34" t="str">
        <f aca="false">IF(G50&lt;&gt;"",G50,IF(F50="","",IFERROR(INDEX(I_Item!$C$6:$C$255,MATCH(F50,I_Item!$A$6:$A$255,0)),"KODE BARU")))</f>
        <v>RPA|Karkas|Frozen</v>
      </c>
      <c r="I50" s="45" t="n">
        <v>148.1</v>
      </c>
      <c r="J50" s="42" t="n">
        <v>34244.9</v>
      </c>
      <c r="K50" s="11" t="n">
        <f aca="false">IF(I50="","",I50*J50)</f>
        <v>5071669.69</v>
      </c>
      <c r="L50" s="34" t="str">
        <f aca="false">IF(H50="","",IFERROR(INDEX(I_Master!$B$6:$B$85,MATCH(H50,I_Master!$A$6:$A$85,0)),"?"))</f>
        <v>RPA</v>
      </c>
      <c r="M50" s="46" t="n">
        <f aca="false">IF(I50="","",IF(OR(A50&lt;I_Parameter!$C$5,A50&gt;I_Parameter!$C$6),0,IF(B50="Aktual",1,IF(AND(B50="Rencana",A50&gt;=I_Parameter!$C$4),1,0))))</f>
        <v>1</v>
      </c>
    </row>
    <row r="51" customFormat="false" ht="15" hidden="false" customHeight="false" outlineLevel="0" collapsed="false">
      <c r="A51" s="37" t="n">
        <v>46260</v>
      </c>
      <c r="B51" s="44" t="s">
        <v>128</v>
      </c>
      <c r="C51" s="44" t="s">
        <v>514</v>
      </c>
      <c r="D51" s="44" t="s">
        <v>528</v>
      </c>
      <c r="E51" s="44" t="s">
        <v>516</v>
      </c>
      <c r="F51" s="44" t="s">
        <v>460</v>
      </c>
      <c r="G51" s="44"/>
      <c r="H51" s="34" t="str">
        <f aca="false">IF(G51&lt;&gt;"",G51,IF(F51="","",IFERROR(INDEX(I_Item!$C$6:$C$255,MATCH(F51,I_Item!$A$6:$A$255,0)),"KODE BARU")))</f>
        <v>RPA|Karkas|Fresh</v>
      </c>
      <c r="I51" s="45" t="n">
        <v>1182.4</v>
      </c>
      <c r="J51" s="42" t="n">
        <v>37669.39</v>
      </c>
      <c r="K51" s="11" t="n">
        <f aca="false">IF(I51="","",I51*J51)</f>
        <v>44540286.736</v>
      </c>
      <c r="L51" s="34" t="str">
        <f aca="false">IF(H51="","",IFERROR(INDEX(I_Master!$B$6:$B$85,MATCH(H51,I_Master!$A$6:$A$85,0)),"?"))</f>
        <v>RPA</v>
      </c>
      <c r="M51" s="46" t="n">
        <f aca="false">IF(I51="","",IF(OR(A51&lt;I_Parameter!$C$5,A51&gt;I_Parameter!$C$6),0,IF(B51="Aktual",1,IF(AND(B51="Rencana",A51&gt;=I_Parameter!$C$4),1,0))))</f>
        <v>1</v>
      </c>
    </row>
    <row r="52" customFormat="false" ht="15" hidden="false" customHeight="false" outlineLevel="0" collapsed="false">
      <c r="A52" s="37" t="n">
        <v>46260</v>
      </c>
      <c r="B52" s="44" t="s">
        <v>128</v>
      </c>
      <c r="C52" s="44" t="s">
        <v>514</v>
      </c>
      <c r="D52" s="44" t="s">
        <v>528</v>
      </c>
      <c r="E52" s="44" t="s">
        <v>516</v>
      </c>
      <c r="F52" s="44" t="s">
        <v>522</v>
      </c>
      <c r="G52" s="44"/>
      <c r="H52" s="34" t="str">
        <f aca="false">IF(G52&lt;&gt;"",G52,IF(F52="","",IFERROR(INDEX(I_Item!$C$6:$C$255,MATCH(F52,I_Item!$A$6:$A$255,0)),"KODE BARU")))</f>
        <v>RPA|Karkas|Frozen</v>
      </c>
      <c r="I52" s="45" t="n">
        <v>100.9</v>
      </c>
      <c r="J52" s="42" t="n">
        <v>34244.9</v>
      </c>
      <c r="K52" s="11" t="n">
        <f aca="false">IF(I52="","",I52*J52)</f>
        <v>3455310.41</v>
      </c>
      <c r="L52" s="34" t="str">
        <f aca="false">IF(H52="","",IFERROR(INDEX(I_Master!$B$6:$B$85,MATCH(H52,I_Master!$A$6:$A$85,0)),"?"))</f>
        <v>RPA</v>
      </c>
      <c r="M52" s="46" t="n">
        <f aca="false">IF(I52="","",IF(OR(A52&lt;I_Parameter!$C$5,A52&gt;I_Parameter!$C$6),0,IF(B52="Aktual",1,IF(AND(B52="Rencana",A52&gt;=I_Parameter!$C$4),1,0))))</f>
        <v>1</v>
      </c>
    </row>
    <row r="53" customFormat="false" ht="15" hidden="false" customHeight="false" outlineLevel="0" collapsed="false">
      <c r="A53" s="37" t="n">
        <v>46260</v>
      </c>
      <c r="B53" s="44" t="s">
        <v>128</v>
      </c>
      <c r="C53" s="44" t="s">
        <v>514</v>
      </c>
      <c r="D53" s="44" t="s">
        <v>528</v>
      </c>
      <c r="E53" s="44" t="s">
        <v>516</v>
      </c>
      <c r="F53" s="44" t="s">
        <v>461</v>
      </c>
      <c r="G53" s="44"/>
      <c r="H53" s="34" t="str">
        <f aca="false">IF(G53&lt;&gt;"",G53,IF(F53="","",IFERROR(INDEX(I_Item!$C$6:$C$255,MATCH(F53,I_Item!$A$6:$A$255,0)),"KODE BARU")))</f>
        <v>RPA|Karkas|Fresh</v>
      </c>
      <c r="I53" s="45" t="n">
        <v>628.8</v>
      </c>
      <c r="J53" s="42" t="n">
        <v>37669.39</v>
      </c>
      <c r="K53" s="11" t="n">
        <f aca="false">IF(I53="","",I53*J53)</f>
        <v>23686512.432</v>
      </c>
      <c r="L53" s="34" t="str">
        <f aca="false">IF(H53="","",IFERROR(INDEX(I_Master!$B$6:$B$85,MATCH(H53,I_Master!$A$6:$A$85,0)),"?"))</f>
        <v>RPA</v>
      </c>
      <c r="M53" s="46" t="n">
        <f aca="false">IF(I53="","",IF(OR(A53&lt;I_Parameter!$C$5,A53&gt;I_Parameter!$C$6),0,IF(B53="Aktual",1,IF(AND(B53="Rencana",A53&gt;=I_Parameter!$C$4),1,0))))</f>
        <v>1</v>
      </c>
    </row>
    <row r="54" customFormat="false" ht="15" hidden="false" customHeight="false" outlineLevel="0" collapsed="false">
      <c r="A54" s="37" t="n">
        <v>46260</v>
      </c>
      <c r="B54" s="44" t="s">
        <v>128</v>
      </c>
      <c r="C54" s="44" t="s">
        <v>514</v>
      </c>
      <c r="D54" s="44" t="s">
        <v>528</v>
      </c>
      <c r="E54" s="44" t="s">
        <v>516</v>
      </c>
      <c r="F54" s="44" t="s">
        <v>523</v>
      </c>
      <c r="G54" s="44"/>
      <c r="H54" s="34" t="str">
        <f aca="false">IF(G54&lt;&gt;"",G54,IF(F54="","",IFERROR(INDEX(I_Item!$C$6:$C$255,MATCH(F54,I_Item!$A$6:$A$255,0)),"KODE BARU")))</f>
        <v>RPA|Karkas|Frozen</v>
      </c>
      <c r="I54" s="45" t="n">
        <v>69.7</v>
      </c>
      <c r="J54" s="42" t="n">
        <v>34244.9</v>
      </c>
      <c r="K54" s="11" t="n">
        <f aca="false">IF(I54="","",I54*J54)</f>
        <v>2386869.53</v>
      </c>
      <c r="L54" s="34" t="str">
        <f aca="false">IF(H54="","",IFERROR(INDEX(I_Master!$B$6:$B$85,MATCH(H54,I_Master!$A$6:$A$85,0)),"?"))</f>
        <v>RPA</v>
      </c>
      <c r="M54" s="46" t="n">
        <f aca="false">IF(I54="","",IF(OR(A54&lt;I_Parameter!$C$5,A54&gt;I_Parameter!$C$6),0,IF(B54="Aktual",1,IF(AND(B54="Rencana",A54&gt;=I_Parameter!$C$4),1,0))))</f>
        <v>1</v>
      </c>
    </row>
    <row r="55" customFormat="false" ht="15" hidden="false" customHeight="false" outlineLevel="0" collapsed="false">
      <c r="A55" s="37" t="n">
        <v>46260</v>
      </c>
      <c r="B55" s="44" t="s">
        <v>128</v>
      </c>
      <c r="C55" s="44" t="s">
        <v>514</v>
      </c>
      <c r="D55" s="44" t="s">
        <v>528</v>
      </c>
      <c r="E55" s="44" t="s">
        <v>516</v>
      </c>
      <c r="F55" s="44" t="s">
        <v>525</v>
      </c>
      <c r="G55" s="44"/>
      <c r="H55" s="34" t="str">
        <f aca="false">IF(G55&lt;&gt;"",G55,IF(F55="","",IFERROR(INDEX(I_Item!$C$6:$C$255,MATCH(F55,I_Item!$A$6:$A$255,0)),"KODE BARU")))</f>
        <v>RPA|Karkas|Frozen</v>
      </c>
      <c r="I55" s="45" t="n">
        <v>21.5</v>
      </c>
      <c r="J55" s="42" t="n">
        <v>34244.9</v>
      </c>
      <c r="K55" s="11" t="n">
        <f aca="false">IF(I55="","",I55*J55)</f>
        <v>736265.35</v>
      </c>
      <c r="L55" s="34" t="str">
        <f aca="false">IF(H55="","",IFERROR(INDEX(I_Master!$B$6:$B$85,MATCH(H55,I_Master!$A$6:$A$85,0)),"?"))</f>
        <v>RPA</v>
      </c>
      <c r="M55" s="46" t="n">
        <f aca="false">IF(I55="","",IF(OR(A55&lt;I_Parameter!$C$5,A55&gt;I_Parameter!$C$6),0,IF(B55="Aktual",1,IF(AND(B55="Rencana",A55&gt;=I_Parameter!$C$4),1,0))))</f>
        <v>1</v>
      </c>
    </row>
    <row r="56" customFormat="false" ht="15" hidden="false" customHeight="false" outlineLevel="0" collapsed="false">
      <c r="A56" s="37" t="n">
        <v>46260</v>
      </c>
      <c r="B56" s="44" t="s">
        <v>128</v>
      </c>
      <c r="C56" s="44" t="s">
        <v>514</v>
      </c>
      <c r="D56" s="44" t="s">
        <v>528</v>
      </c>
      <c r="E56" s="44" t="s">
        <v>516</v>
      </c>
      <c r="F56" s="44" t="s">
        <v>530</v>
      </c>
      <c r="G56" s="44"/>
      <c r="H56" s="34" t="str">
        <f aca="false">IF(G56&lt;&gt;"",G56,IF(F56="","",IFERROR(INDEX(I_Item!$C$6:$C$255,MATCH(F56,I_Item!$A$6:$A$255,0)),"KODE BARU")))</f>
        <v>RPA|Karkas|Frozen</v>
      </c>
      <c r="I56" s="45" t="n">
        <v>267</v>
      </c>
      <c r="J56" s="42" t="n">
        <v>37669.39</v>
      </c>
      <c r="K56" s="11" t="n">
        <f aca="false">IF(I56="","",I56*J56)</f>
        <v>10057727.13</v>
      </c>
      <c r="L56" s="34" t="str">
        <f aca="false">IF(H56="","",IFERROR(INDEX(I_Master!$B$6:$B$85,MATCH(H56,I_Master!$A$6:$A$85,0)),"?"))</f>
        <v>RPA</v>
      </c>
      <c r="M56" s="46" t="n">
        <f aca="false">IF(I56="","",IF(OR(A56&lt;I_Parameter!$C$5,A56&gt;I_Parameter!$C$6),0,IF(B56="Aktual",1,IF(AND(B56="Rencana",A56&gt;=I_Parameter!$C$4),1,0))))</f>
        <v>1</v>
      </c>
    </row>
    <row r="57" customFormat="false" ht="15" hidden="false" customHeight="false" outlineLevel="0" collapsed="false">
      <c r="A57" s="37" t="n">
        <v>46260</v>
      </c>
      <c r="B57" s="44" t="s">
        <v>128</v>
      </c>
      <c r="C57" s="44" t="s">
        <v>514</v>
      </c>
      <c r="D57" s="44" t="s">
        <v>528</v>
      </c>
      <c r="E57" s="44" t="s">
        <v>516</v>
      </c>
      <c r="F57" s="44" t="s">
        <v>526</v>
      </c>
      <c r="G57" s="44"/>
      <c r="H57" s="34" t="str">
        <f aca="false">IF(G57&lt;&gt;"",G57,IF(F57="","",IFERROR(INDEX(I_Item!$C$6:$C$255,MATCH(F57,I_Item!$A$6:$A$255,0)),"KODE BARU")))</f>
        <v>RPA|Karkas|Frozen</v>
      </c>
      <c r="I57" s="45" t="n">
        <v>3.5</v>
      </c>
      <c r="J57" s="42" t="n">
        <v>34244.91</v>
      </c>
      <c r="K57" s="11" t="n">
        <f aca="false">IF(I57="","",I57*J57)</f>
        <v>119857.185</v>
      </c>
      <c r="L57" s="34" t="str">
        <f aca="false">IF(H57="","",IFERROR(INDEX(I_Master!$B$6:$B$85,MATCH(H57,I_Master!$A$6:$A$85,0)),"?"))</f>
        <v>RPA</v>
      </c>
      <c r="M57" s="46" t="n">
        <f aca="false">IF(I57="","",IF(OR(A57&lt;I_Parameter!$C$5,A57&gt;I_Parameter!$C$6),0,IF(B57="Aktual",1,IF(AND(B57="Rencana",A57&gt;=I_Parameter!$C$4),1,0))))</f>
        <v>1</v>
      </c>
    </row>
    <row r="58" customFormat="false" ht="15" hidden="false" customHeight="false" outlineLevel="0" collapsed="false">
      <c r="A58" s="37" t="n">
        <v>46260</v>
      </c>
      <c r="B58" s="44" t="s">
        <v>128</v>
      </c>
      <c r="C58" s="44" t="s">
        <v>514</v>
      </c>
      <c r="D58" s="44" t="s">
        <v>528</v>
      </c>
      <c r="E58" s="44" t="s">
        <v>516</v>
      </c>
      <c r="F58" s="44" t="s">
        <v>527</v>
      </c>
      <c r="G58" s="44"/>
      <c r="H58" s="34" t="str">
        <f aca="false">IF(G58&lt;&gt;"",G58,IF(F58="","",IFERROR(INDEX(I_Item!$C$6:$C$255,MATCH(F58,I_Item!$A$6:$A$255,0)),"KODE BARU")))</f>
        <v>RPA|Karkas|Frozen</v>
      </c>
      <c r="I58" s="45" t="n">
        <v>97.8</v>
      </c>
      <c r="J58" s="42" t="n">
        <v>37669.39</v>
      </c>
      <c r="K58" s="11" t="n">
        <f aca="false">IF(I58="","",I58*J58)</f>
        <v>3684066.342</v>
      </c>
      <c r="L58" s="34" t="str">
        <f aca="false">IF(H58="","",IFERROR(INDEX(I_Master!$B$6:$B$85,MATCH(H58,I_Master!$A$6:$A$85,0)),"?"))</f>
        <v>RPA</v>
      </c>
      <c r="M58" s="46" t="n">
        <f aca="false">IF(I58="","",IF(OR(A58&lt;I_Parameter!$C$5,A58&gt;I_Parameter!$C$6),0,IF(B58="Aktual",1,IF(AND(B58="Rencana",A58&gt;=I_Parameter!$C$4),1,0))))</f>
        <v>1</v>
      </c>
    </row>
    <row r="59" customFormat="false" ht="15" hidden="false" customHeight="false" outlineLevel="0" collapsed="false">
      <c r="A59" s="37" t="n">
        <v>46260</v>
      </c>
      <c r="B59" s="44" t="s">
        <v>128</v>
      </c>
      <c r="C59" s="44" t="s">
        <v>514</v>
      </c>
      <c r="D59" s="44" t="s">
        <v>528</v>
      </c>
      <c r="E59" s="44" t="s">
        <v>516</v>
      </c>
      <c r="F59" s="44" t="s">
        <v>531</v>
      </c>
      <c r="G59" s="44"/>
      <c r="H59" s="34" t="str">
        <f aca="false">IF(G59&lt;&gt;"",G59,IF(F59="","",IFERROR(INDEX(I_Item!$C$6:$C$255,MATCH(F59,I_Item!$A$6:$A$255,0)),"KODE BARU")))</f>
        <v>RPA|Karkas|Frozen</v>
      </c>
      <c r="I59" s="45" t="n">
        <v>22.4</v>
      </c>
      <c r="J59" s="42" t="n">
        <v>37669.39</v>
      </c>
      <c r="K59" s="11" t="n">
        <f aca="false">IF(I59="","",I59*J59)</f>
        <v>843794.336</v>
      </c>
      <c r="L59" s="34" t="str">
        <f aca="false">IF(H59="","",IFERROR(INDEX(I_Master!$B$6:$B$85,MATCH(H59,I_Master!$A$6:$A$85,0)),"?"))</f>
        <v>RPA</v>
      </c>
      <c r="M59" s="46" t="n">
        <f aca="false">IF(I59="","",IF(OR(A59&lt;I_Parameter!$C$5,A59&gt;I_Parameter!$C$6),0,IF(B59="Aktual",1,IF(AND(B59="Rencana",A59&gt;=I_Parameter!$C$4),1,0))))</f>
        <v>1</v>
      </c>
    </row>
    <row r="60" customFormat="false" ht="15" hidden="false" customHeight="false" outlineLevel="0" collapsed="false">
      <c r="A60" s="37" t="n">
        <v>46260</v>
      </c>
      <c r="B60" s="44" t="s">
        <v>128</v>
      </c>
      <c r="C60" s="44" t="s">
        <v>514</v>
      </c>
      <c r="D60" s="44" t="s">
        <v>528</v>
      </c>
      <c r="E60" s="44" t="s">
        <v>516</v>
      </c>
      <c r="F60" s="44" t="s">
        <v>474</v>
      </c>
      <c r="G60" s="44"/>
      <c r="H60" s="34" t="str">
        <f aca="false">IF(G60&lt;&gt;"",G60,IF(F60="","",IFERROR(INDEX(I_Item!$C$6:$C$255,MATCH(F60,I_Item!$A$6:$A$255,0)),"KODE BARU")))</f>
        <v>RPA|Karkas|Frozen</v>
      </c>
      <c r="I60" s="45" t="n">
        <v>230</v>
      </c>
      <c r="J60" s="42" t="n">
        <v>37669.39</v>
      </c>
      <c r="K60" s="11" t="n">
        <f aca="false">IF(I60="","",I60*J60)</f>
        <v>8663959.7</v>
      </c>
      <c r="L60" s="34" t="str">
        <f aca="false">IF(H60="","",IFERROR(INDEX(I_Master!$B$6:$B$85,MATCH(H60,I_Master!$A$6:$A$85,0)),"?"))</f>
        <v>RPA</v>
      </c>
      <c r="M60" s="46" t="n">
        <f aca="false">IF(I60="","",IF(OR(A60&lt;I_Parameter!$C$5,A60&gt;I_Parameter!$C$6),0,IF(B60="Aktual",1,IF(AND(B60="Rencana",A60&gt;=I_Parameter!$C$4),1,0))))</f>
        <v>1</v>
      </c>
    </row>
    <row r="61" customFormat="false" ht="15" hidden="false" customHeight="false" outlineLevel="0" collapsed="false">
      <c r="A61" s="37" t="n">
        <v>46260</v>
      </c>
      <c r="B61" s="44" t="s">
        <v>128</v>
      </c>
      <c r="C61" s="44" t="s">
        <v>514</v>
      </c>
      <c r="D61" s="44" t="s">
        <v>528</v>
      </c>
      <c r="E61" s="44" t="s">
        <v>516</v>
      </c>
      <c r="F61" s="44" t="s">
        <v>467</v>
      </c>
      <c r="G61" s="44"/>
      <c r="H61" s="34" t="str">
        <f aca="false">IF(G61&lt;&gt;"",G61,IF(F61="","",IFERROR(INDEX(I_Item!$C$6:$C$255,MATCH(F61,I_Item!$A$6:$A$255,0)),"KODE BARU")))</f>
        <v>RPA|Karkas|Frozen</v>
      </c>
      <c r="I61" s="45" t="n">
        <v>86.3</v>
      </c>
      <c r="J61" s="42" t="n">
        <v>37669.39</v>
      </c>
      <c r="K61" s="11" t="n">
        <f aca="false">IF(I61="","",I61*J61)</f>
        <v>3250868.357</v>
      </c>
      <c r="L61" s="34" t="str">
        <f aca="false">IF(H61="","",IFERROR(INDEX(I_Master!$B$6:$B$85,MATCH(H61,I_Master!$A$6:$A$85,0)),"?"))</f>
        <v>RPA</v>
      </c>
      <c r="M61" s="46" t="n">
        <f aca="false">IF(I61="","",IF(OR(A61&lt;I_Parameter!$C$5,A61&gt;I_Parameter!$C$6),0,IF(B61="Aktual",1,IF(AND(B61="Rencana",A61&gt;=I_Parameter!$C$4),1,0))))</f>
        <v>1</v>
      </c>
    </row>
    <row r="62" customFormat="false" ht="15" hidden="false" customHeight="false" outlineLevel="0" collapsed="false">
      <c r="A62" s="37" t="n">
        <v>46260</v>
      </c>
      <c r="B62" s="44" t="s">
        <v>128</v>
      </c>
      <c r="C62" s="44" t="s">
        <v>514</v>
      </c>
      <c r="D62" s="44" t="s">
        <v>528</v>
      </c>
      <c r="E62" s="44" t="s">
        <v>516</v>
      </c>
      <c r="F62" s="44" t="s">
        <v>490</v>
      </c>
      <c r="G62" s="44"/>
      <c r="H62" s="34" t="str">
        <f aca="false">IF(G62&lt;&gt;"",G62,IF(F62="","",IFERROR(INDEX(I_Item!$C$6:$C$255,MATCH(F62,I_Item!$A$6:$A$255,0)),"KODE BARU")))</f>
        <v>RPA|Karkas|Frozen</v>
      </c>
      <c r="I62" s="45" t="n">
        <v>4.7</v>
      </c>
      <c r="J62" s="42" t="n">
        <v>37669.4</v>
      </c>
      <c r="K62" s="11" t="n">
        <f aca="false">IF(I62="","",I62*J62)</f>
        <v>177046.18</v>
      </c>
      <c r="L62" s="34" t="str">
        <f aca="false">IF(H62="","",IFERROR(INDEX(I_Master!$B$6:$B$85,MATCH(H62,I_Master!$A$6:$A$85,0)),"?"))</f>
        <v>RPA</v>
      </c>
      <c r="M62" s="46" t="n">
        <f aca="false">IF(I62="","",IF(OR(A62&lt;I_Parameter!$C$5,A62&gt;I_Parameter!$C$6),0,IF(B62="Aktual",1,IF(AND(B62="Rencana",A62&gt;=I_Parameter!$C$4),1,0))))</f>
        <v>1</v>
      </c>
    </row>
    <row r="63" customFormat="false" ht="15" hidden="false" customHeight="false" outlineLevel="0" collapsed="false">
      <c r="A63" s="37" t="n">
        <v>46260</v>
      </c>
      <c r="B63" s="44" t="s">
        <v>128</v>
      </c>
      <c r="C63" s="44" t="s">
        <v>514</v>
      </c>
      <c r="D63" s="44" t="s">
        <v>528</v>
      </c>
      <c r="E63" s="44" t="s">
        <v>516</v>
      </c>
      <c r="F63" s="44" t="s">
        <v>433</v>
      </c>
      <c r="G63" s="44"/>
      <c r="H63" s="34" t="str">
        <f aca="false">IF(G63&lt;&gt;"",G63,IF(F63="","",IFERROR(INDEX(I_Item!$C$6:$C$255,MATCH(F63,I_Item!$A$6:$A$255,0)),"KODE BARU")))</f>
        <v>RPA|Karkas|Frozen</v>
      </c>
      <c r="I63" s="45" t="n">
        <v>34.7</v>
      </c>
      <c r="J63" s="42" t="n">
        <v>37669.39</v>
      </c>
      <c r="K63" s="11" t="n">
        <f aca="false">IF(I63="","",I63*J63)</f>
        <v>1307127.833</v>
      </c>
      <c r="L63" s="34" t="str">
        <f aca="false">IF(H63="","",IFERROR(INDEX(I_Master!$B$6:$B$85,MATCH(H63,I_Master!$A$6:$A$85,0)),"?"))</f>
        <v>RPA</v>
      </c>
      <c r="M63" s="46" t="n">
        <f aca="false">IF(I63="","",IF(OR(A63&lt;I_Parameter!$C$5,A63&gt;I_Parameter!$C$6),0,IF(B63="Aktual",1,IF(AND(B63="Rencana",A63&gt;=I_Parameter!$C$4),1,0))))</f>
        <v>1</v>
      </c>
    </row>
    <row r="64" customFormat="false" ht="15" hidden="false" customHeight="false" outlineLevel="0" collapsed="false">
      <c r="A64" s="37" t="n">
        <v>46261</v>
      </c>
      <c r="B64" s="44" t="s">
        <v>129</v>
      </c>
      <c r="C64" s="44" t="s">
        <v>512</v>
      </c>
      <c r="D64" s="44" t="s">
        <v>532</v>
      </c>
      <c r="E64" s="44"/>
      <c r="F64" s="44" t="s">
        <v>481</v>
      </c>
      <c r="G64" s="44"/>
      <c r="H64" s="34" t="str">
        <f aca="false">IF(G64&lt;&gt;"",G64,IF(F64="","",IFERROR(INDEX(I_Item!$C$6:$C$255,MATCH(F64,I_Item!$A$6:$A$255,0)),"KODE BARU")))</f>
        <v>Trading|Sayap|n/a</v>
      </c>
      <c r="I64" s="45" t="n">
        <v>6985</v>
      </c>
      <c r="J64" s="42" t="n">
        <v>28632.78</v>
      </c>
      <c r="K64" s="11" t="n">
        <f aca="false">IF(I64="","",I64*J64)</f>
        <v>199999968.3</v>
      </c>
      <c r="L64" s="34" t="str">
        <f aca="false">IF(H64="","",IFERROR(INDEX(I_Master!$B$6:$B$85,MATCH(H64,I_Master!$A$6:$A$85,0)),"?"))</f>
        <v>Trading</v>
      </c>
      <c r="M64" s="46" t="n">
        <f aca="false">IF(I64="","",IF(OR(A64&lt;I_Parameter!$C$5,A64&gt;I_Parameter!$C$6),0,IF(B64="Aktual",1,IF(AND(B64="Rencana",A64&gt;=I_Parameter!$C$4),1,0))))</f>
        <v>1</v>
      </c>
    </row>
    <row r="65" customFormat="false" ht="15" hidden="false" customHeight="false" outlineLevel="0" collapsed="false">
      <c r="A65" s="37" t="n">
        <v>46261</v>
      </c>
      <c r="B65" s="44" t="s">
        <v>129</v>
      </c>
      <c r="C65" s="44" t="s">
        <v>514</v>
      </c>
      <c r="D65" s="44" t="s">
        <v>533</v>
      </c>
      <c r="E65" s="44" t="s">
        <v>516</v>
      </c>
      <c r="F65" s="44" t="s">
        <v>441</v>
      </c>
      <c r="G65" s="44"/>
      <c r="H65" s="34" t="str">
        <f aca="false">IF(G65&lt;&gt;"",G65,IF(F65="","",IFERROR(INDEX(I_Item!$C$6:$C$255,MATCH(F65,I_Item!$A$6:$A$255,0)),"KODE BARU")))</f>
        <v>RPA|Ceker|Fresh</v>
      </c>
      <c r="I65" s="45" t="n">
        <v>316.1</v>
      </c>
      <c r="J65" s="42" t="n">
        <v>18028.77</v>
      </c>
      <c r="K65" s="11" t="n">
        <f aca="false">IF(I65="","",I65*J65)</f>
        <v>5698894.197</v>
      </c>
      <c r="L65" s="34" t="str">
        <f aca="false">IF(H65="","",IFERROR(INDEX(I_Master!$B$6:$B$85,MATCH(H65,I_Master!$A$6:$A$85,0)),"?"))</f>
        <v>RPA</v>
      </c>
      <c r="M65" s="46" t="n">
        <f aca="false">IF(I65="","",IF(OR(A65&lt;I_Parameter!$C$5,A65&gt;I_Parameter!$C$6),0,IF(B65="Aktual",1,IF(AND(B65="Rencana",A65&gt;=I_Parameter!$C$4),1,0))))</f>
        <v>1</v>
      </c>
    </row>
    <row r="66" customFormat="false" ht="15" hidden="false" customHeight="false" outlineLevel="0" collapsed="false">
      <c r="A66" s="37" t="n">
        <v>46261</v>
      </c>
      <c r="B66" s="44" t="s">
        <v>129</v>
      </c>
      <c r="C66" s="44" t="s">
        <v>514</v>
      </c>
      <c r="D66" s="44" t="s">
        <v>533</v>
      </c>
      <c r="E66" s="44" t="s">
        <v>516</v>
      </c>
      <c r="F66" s="44" t="s">
        <v>442</v>
      </c>
      <c r="G66" s="44"/>
      <c r="H66" s="34" t="str">
        <f aca="false">IF(G66&lt;&gt;"",G66,IF(F66="","",IFERROR(INDEX(I_Item!$C$6:$C$255,MATCH(F66,I_Item!$A$6:$A$255,0)),"KODE BARU")))</f>
        <v>RPA|HJA (Hati/Jantung/Ampela)|Fresh</v>
      </c>
      <c r="I66" s="45" t="n">
        <v>606.2</v>
      </c>
      <c r="J66" s="42" t="n">
        <v>5633.99</v>
      </c>
      <c r="K66" s="11" t="n">
        <f aca="false">IF(I66="","",I66*J66)</f>
        <v>3415324.738</v>
      </c>
      <c r="L66" s="34" t="str">
        <f aca="false">IF(H66="","",IFERROR(INDEX(I_Master!$B$6:$B$85,MATCH(H66,I_Master!$A$6:$A$85,0)),"?"))</f>
        <v>RPA</v>
      </c>
      <c r="M66" s="46" t="n">
        <f aca="false">IF(I66="","",IF(OR(A66&lt;I_Parameter!$C$5,A66&gt;I_Parameter!$C$6),0,IF(B66="Aktual",1,IF(AND(B66="Rencana",A66&gt;=I_Parameter!$C$4),1,0))))</f>
        <v>1</v>
      </c>
    </row>
    <row r="67" customFormat="false" ht="15" hidden="false" customHeight="false" outlineLevel="0" collapsed="false">
      <c r="A67" s="37" t="n">
        <v>46261</v>
      </c>
      <c r="B67" s="44" t="s">
        <v>129</v>
      </c>
      <c r="C67" s="44" t="s">
        <v>514</v>
      </c>
      <c r="D67" s="44" t="s">
        <v>533</v>
      </c>
      <c r="E67" s="44" t="s">
        <v>516</v>
      </c>
      <c r="F67" s="44" t="s">
        <v>443</v>
      </c>
      <c r="G67" s="44"/>
      <c r="H67" s="34" t="str">
        <f aca="false">IF(G67&lt;&gt;"",G67,IF(F67="","",IFERROR(INDEX(I_Item!$C$6:$C$255,MATCH(F67,I_Item!$A$6:$A$255,0)),"KODE BARU")))</f>
        <v>RPA|Kepala|Fresh</v>
      </c>
      <c r="I67" s="45" t="n">
        <v>489.9</v>
      </c>
      <c r="J67" s="42" t="n">
        <v>13521.58</v>
      </c>
      <c r="K67" s="11" t="n">
        <f aca="false">IF(I67="","",I67*J67)</f>
        <v>6624222.042</v>
      </c>
      <c r="L67" s="34" t="str">
        <f aca="false">IF(H67="","",IFERROR(INDEX(I_Master!$B$6:$B$85,MATCH(H67,I_Master!$A$6:$A$85,0)),"?"))</f>
        <v>RPA</v>
      </c>
      <c r="M67" s="46" t="n">
        <f aca="false">IF(I67="","",IF(OR(A67&lt;I_Parameter!$C$5,A67&gt;I_Parameter!$C$6),0,IF(B67="Aktual",1,IF(AND(B67="Rencana",A67&gt;=I_Parameter!$C$4),1,0))))</f>
        <v>1</v>
      </c>
    </row>
    <row r="68" customFormat="false" ht="15" hidden="false" customHeight="false" outlineLevel="0" collapsed="false">
      <c r="A68" s="37" t="n">
        <v>46261</v>
      </c>
      <c r="B68" s="44" t="s">
        <v>129</v>
      </c>
      <c r="C68" s="44" t="s">
        <v>514</v>
      </c>
      <c r="D68" s="44" t="s">
        <v>533</v>
      </c>
      <c r="E68" s="44" t="s">
        <v>516</v>
      </c>
      <c r="F68" s="44" t="s">
        <v>444</v>
      </c>
      <c r="G68" s="44"/>
      <c r="H68" s="34" t="str">
        <f aca="false">IF(G68&lt;&gt;"",G68,IF(F68="","",IFERROR(INDEX(I_Item!$C$6:$C$255,MATCH(F68,I_Item!$A$6:$A$255,0)),"KODE BARU")))</f>
        <v>RPA|Usus|Fresh</v>
      </c>
      <c r="I68" s="45" t="n">
        <v>517.4</v>
      </c>
      <c r="J68" s="42" t="n">
        <v>5633.99</v>
      </c>
      <c r="K68" s="11" t="n">
        <f aca="false">IF(I68="","",I68*J68)</f>
        <v>2915026.426</v>
      </c>
      <c r="L68" s="34" t="str">
        <f aca="false">IF(H68="","",IFERROR(INDEX(I_Master!$B$6:$B$85,MATCH(H68,I_Master!$A$6:$A$85,0)),"?"))</f>
        <v>RPA</v>
      </c>
      <c r="M68" s="46" t="n">
        <f aca="false">IF(I68="","",IF(OR(A68&lt;I_Parameter!$C$5,A68&gt;I_Parameter!$C$6),0,IF(B68="Aktual",1,IF(AND(B68="Rencana",A68&gt;=I_Parameter!$C$4),1,0))))</f>
        <v>1</v>
      </c>
    </row>
    <row r="69" customFormat="false" ht="15" hidden="false" customHeight="false" outlineLevel="0" collapsed="false">
      <c r="A69" s="37" t="n">
        <v>46261</v>
      </c>
      <c r="B69" s="44" t="s">
        <v>129</v>
      </c>
      <c r="C69" s="44" t="s">
        <v>514</v>
      </c>
      <c r="D69" s="44" t="s">
        <v>533</v>
      </c>
      <c r="E69" s="44" t="s">
        <v>516</v>
      </c>
      <c r="F69" s="44" t="s">
        <v>517</v>
      </c>
      <c r="G69" s="44"/>
      <c r="H69" s="34" t="str">
        <f aca="false">IF(G69&lt;&gt;"",G69,IF(F69="","",IFERROR(INDEX(I_Item!$C$6:$C$255,MATCH(F69,I_Item!$A$6:$A$255,0)),"KODE BARU")))</f>
        <v>RPA|Lemak|Frozen</v>
      </c>
      <c r="I69" s="45" t="n">
        <v>17.9</v>
      </c>
      <c r="J69" s="42" t="n">
        <v>27043.16</v>
      </c>
      <c r="K69" s="11" t="n">
        <f aca="false">IF(I69="","",I69*J69)</f>
        <v>484072.564</v>
      </c>
      <c r="L69" s="34" t="str">
        <f aca="false">IF(H69="","",IFERROR(INDEX(I_Master!$B$6:$B$85,MATCH(H69,I_Master!$A$6:$A$85,0)),"?"))</f>
        <v>RPA</v>
      </c>
      <c r="M69" s="46" t="n">
        <f aca="false">IF(I69="","",IF(OR(A69&lt;I_Parameter!$C$5,A69&gt;I_Parameter!$C$6),0,IF(B69="Aktual",1,IF(AND(B69="Rencana",A69&gt;=I_Parameter!$C$4),1,0))))</f>
        <v>1</v>
      </c>
    </row>
    <row r="70" customFormat="false" ht="15" hidden="false" customHeight="false" outlineLevel="0" collapsed="false">
      <c r="A70" s="37" t="n">
        <v>46261</v>
      </c>
      <c r="B70" s="44" t="s">
        <v>129</v>
      </c>
      <c r="C70" s="44" t="s">
        <v>514</v>
      </c>
      <c r="D70" s="44" t="s">
        <v>533</v>
      </c>
      <c r="E70" s="44" t="s">
        <v>516</v>
      </c>
      <c r="F70" s="44" t="s">
        <v>448</v>
      </c>
      <c r="G70" s="44"/>
      <c r="H70" s="34" t="str">
        <f aca="false">IF(G70&lt;&gt;"",G70,IF(F70="","",IFERROR(INDEX(I_Item!$C$6:$C$255,MATCH(F70,I_Item!$A$6:$A$255,0)),"KODE BARU")))</f>
        <v>RPA|Karkas|Frozen</v>
      </c>
      <c r="I70" s="45" t="n">
        <v>2.3</v>
      </c>
      <c r="J70" s="42" t="n">
        <v>33803.95</v>
      </c>
      <c r="K70" s="11" t="n">
        <f aca="false">IF(I70="","",I70*J70)</f>
        <v>77749.085</v>
      </c>
      <c r="L70" s="34" t="str">
        <f aca="false">IF(H70="","",IFERROR(INDEX(I_Master!$B$6:$B$85,MATCH(H70,I_Master!$A$6:$A$85,0)),"?"))</f>
        <v>RPA</v>
      </c>
      <c r="M70" s="46" t="n">
        <f aca="false">IF(I70="","",IF(OR(A70&lt;I_Parameter!$C$5,A70&gt;I_Parameter!$C$6),0,IF(B70="Aktual",1,IF(AND(B70="Rencana",A70&gt;=I_Parameter!$C$4),1,0))))</f>
        <v>1</v>
      </c>
    </row>
    <row r="71" customFormat="false" ht="15" hidden="false" customHeight="false" outlineLevel="0" collapsed="false">
      <c r="A71" s="37" t="n">
        <v>46261</v>
      </c>
      <c r="B71" s="44" t="s">
        <v>129</v>
      </c>
      <c r="C71" s="44" t="s">
        <v>514</v>
      </c>
      <c r="D71" s="44" t="s">
        <v>533</v>
      </c>
      <c r="E71" s="44" t="s">
        <v>516</v>
      </c>
      <c r="F71" s="44" t="s">
        <v>529</v>
      </c>
      <c r="G71" s="44"/>
      <c r="H71" s="34" t="str">
        <f aca="false">IF(G71&lt;&gt;"",G71,IF(F71="","",IFERROR(INDEX(I_Item!$C$6:$C$255,MATCH(F71,I_Item!$A$6:$A$255,0)),"KODE BARU")))</f>
        <v>RPA|Karkas|Frozen</v>
      </c>
      <c r="I71" s="45" t="n">
        <v>13.9</v>
      </c>
      <c r="J71" s="42" t="n">
        <v>33803.95</v>
      </c>
      <c r="K71" s="11" t="n">
        <f aca="false">IF(I71="","",I71*J71)</f>
        <v>469874.905</v>
      </c>
      <c r="L71" s="34" t="str">
        <f aca="false">IF(H71="","",IFERROR(INDEX(I_Master!$B$6:$B$85,MATCH(H71,I_Master!$A$6:$A$85,0)),"?"))</f>
        <v>RPA</v>
      </c>
      <c r="M71" s="46" t="n">
        <f aca="false">IF(I71="","",IF(OR(A71&lt;I_Parameter!$C$5,A71&gt;I_Parameter!$C$6),0,IF(B71="Aktual",1,IF(AND(B71="Rencana",A71&gt;=I_Parameter!$C$4),1,0))))</f>
        <v>1</v>
      </c>
    </row>
    <row r="72" customFormat="false" ht="15" hidden="false" customHeight="false" outlineLevel="0" collapsed="false">
      <c r="A72" s="37" t="n">
        <v>46261</v>
      </c>
      <c r="B72" s="44" t="s">
        <v>129</v>
      </c>
      <c r="C72" s="44" t="s">
        <v>514</v>
      </c>
      <c r="D72" s="44" t="s">
        <v>533</v>
      </c>
      <c r="E72" s="44" t="s">
        <v>516</v>
      </c>
      <c r="F72" s="44" t="s">
        <v>519</v>
      </c>
      <c r="G72" s="44"/>
      <c r="H72" s="34" t="str">
        <f aca="false">IF(G72&lt;&gt;"",G72,IF(F72="","",IFERROR(INDEX(I_Item!$C$6:$C$255,MATCH(F72,I_Item!$A$6:$A$255,0)),"KODE BARU")))</f>
        <v>RPA|Karkas|Frozen</v>
      </c>
      <c r="I72" s="45" t="n">
        <v>25.6</v>
      </c>
      <c r="J72" s="42" t="n">
        <v>33803.95</v>
      </c>
      <c r="K72" s="11" t="n">
        <f aca="false">IF(I72="","",I72*J72)</f>
        <v>865381.12</v>
      </c>
      <c r="L72" s="34" t="str">
        <f aca="false">IF(H72="","",IFERROR(INDEX(I_Master!$B$6:$B$85,MATCH(H72,I_Master!$A$6:$A$85,0)),"?"))</f>
        <v>RPA</v>
      </c>
      <c r="M72" s="46" t="n">
        <f aca="false">IF(I72="","",IF(OR(A72&lt;I_Parameter!$C$5,A72&gt;I_Parameter!$C$6),0,IF(B72="Aktual",1,IF(AND(B72="Rencana",A72&gt;=I_Parameter!$C$4),1,0))))</f>
        <v>1</v>
      </c>
    </row>
    <row r="73" customFormat="false" ht="15" hidden="false" customHeight="false" outlineLevel="0" collapsed="false">
      <c r="A73" s="37" t="n">
        <v>46261</v>
      </c>
      <c r="B73" s="44" t="s">
        <v>129</v>
      </c>
      <c r="C73" s="44" t="s">
        <v>514</v>
      </c>
      <c r="D73" s="44" t="s">
        <v>533</v>
      </c>
      <c r="E73" s="44" t="s">
        <v>516</v>
      </c>
      <c r="F73" s="44" t="s">
        <v>476</v>
      </c>
      <c r="G73" s="44"/>
      <c r="H73" s="34" t="str">
        <f aca="false">IF(G73&lt;&gt;"",G73,IF(F73="","",IFERROR(INDEX(I_Item!$C$6:$C$255,MATCH(F73,I_Item!$A$6:$A$255,0)),"KODE BARU")))</f>
        <v>RPA|Karkas|Fresh</v>
      </c>
      <c r="I73" s="45" t="n">
        <v>708.2</v>
      </c>
      <c r="J73" s="42" t="n">
        <v>37184.34</v>
      </c>
      <c r="K73" s="11" t="n">
        <f aca="false">IF(I73="","",I73*J73)</f>
        <v>26333949.588</v>
      </c>
      <c r="L73" s="34" t="str">
        <f aca="false">IF(H73="","",IFERROR(INDEX(I_Master!$B$6:$B$85,MATCH(H73,I_Master!$A$6:$A$85,0)),"?"))</f>
        <v>RPA</v>
      </c>
      <c r="M73" s="46" t="n">
        <f aca="false">IF(I73="","",IF(OR(A73&lt;I_Parameter!$C$5,A73&gt;I_Parameter!$C$6),0,IF(B73="Aktual",1,IF(AND(B73="Rencana",A73&gt;=I_Parameter!$C$4),1,0))))</f>
        <v>1</v>
      </c>
    </row>
    <row r="74" customFormat="false" ht="15" hidden="false" customHeight="false" outlineLevel="0" collapsed="false">
      <c r="A74" s="37" t="n">
        <v>46261</v>
      </c>
      <c r="B74" s="44" t="s">
        <v>129</v>
      </c>
      <c r="C74" s="44" t="s">
        <v>514</v>
      </c>
      <c r="D74" s="44" t="s">
        <v>533</v>
      </c>
      <c r="E74" s="44" t="s">
        <v>516</v>
      </c>
      <c r="F74" s="44" t="s">
        <v>449</v>
      </c>
      <c r="G74" s="44"/>
      <c r="H74" s="34" t="str">
        <f aca="false">IF(G74&lt;&gt;"",G74,IF(F74="","",IFERROR(INDEX(I_Item!$C$6:$C$255,MATCH(F74,I_Item!$A$6:$A$255,0)),"KODE BARU")))</f>
        <v>RPA|Karkas|Frozen</v>
      </c>
      <c r="I74" s="45" t="n">
        <v>46.2</v>
      </c>
      <c r="J74" s="42" t="n">
        <v>33803.95</v>
      </c>
      <c r="K74" s="11" t="n">
        <f aca="false">IF(I74="","",I74*J74)</f>
        <v>1561742.49</v>
      </c>
      <c r="L74" s="34" t="str">
        <f aca="false">IF(H74="","",IFERROR(INDEX(I_Master!$B$6:$B$85,MATCH(H74,I_Master!$A$6:$A$85,0)),"?"))</f>
        <v>RPA</v>
      </c>
      <c r="M74" s="46" t="n">
        <f aca="false">IF(I74="","",IF(OR(A74&lt;I_Parameter!$C$5,A74&gt;I_Parameter!$C$6),0,IF(B74="Aktual",1,IF(AND(B74="Rencana",A74&gt;=I_Parameter!$C$4),1,0))))</f>
        <v>1</v>
      </c>
    </row>
    <row r="75" customFormat="false" ht="15" hidden="false" customHeight="false" outlineLevel="0" collapsed="false">
      <c r="A75" s="37" t="n">
        <v>46261</v>
      </c>
      <c r="B75" s="44" t="s">
        <v>129</v>
      </c>
      <c r="C75" s="44" t="s">
        <v>514</v>
      </c>
      <c r="D75" s="44" t="s">
        <v>533</v>
      </c>
      <c r="E75" s="44" t="s">
        <v>516</v>
      </c>
      <c r="F75" s="44" t="s">
        <v>520</v>
      </c>
      <c r="G75" s="44"/>
      <c r="H75" s="34" t="str">
        <f aca="false">IF(G75&lt;&gt;"",G75,IF(F75="","",IFERROR(INDEX(I_Item!$C$6:$C$255,MATCH(F75,I_Item!$A$6:$A$255,0)),"KODE BARU")))</f>
        <v>RPA|Karkas|Frozen</v>
      </c>
      <c r="I75" s="45" t="n">
        <v>106.1</v>
      </c>
      <c r="J75" s="42" t="n">
        <v>33803.95</v>
      </c>
      <c r="K75" s="11" t="n">
        <f aca="false">IF(I75="","",I75*J75)</f>
        <v>3586599.095</v>
      </c>
      <c r="L75" s="34" t="str">
        <f aca="false">IF(H75="","",IFERROR(INDEX(I_Master!$B$6:$B$85,MATCH(H75,I_Master!$A$6:$A$85,0)),"?"))</f>
        <v>RPA</v>
      </c>
      <c r="M75" s="46" t="n">
        <f aca="false">IF(I75="","",IF(OR(A75&lt;I_Parameter!$C$5,A75&gt;I_Parameter!$C$6),0,IF(B75="Aktual",1,IF(AND(B75="Rencana",A75&gt;=I_Parameter!$C$4),1,0))))</f>
        <v>1</v>
      </c>
    </row>
    <row r="76" customFormat="false" ht="15" hidden="false" customHeight="false" outlineLevel="0" collapsed="false">
      <c r="A76" s="37" t="n">
        <v>46261</v>
      </c>
      <c r="B76" s="44" t="s">
        <v>129</v>
      </c>
      <c r="C76" s="44" t="s">
        <v>514</v>
      </c>
      <c r="D76" s="44" t="s">
        <v>533</v>
      </c>
      <c r="E76" s="44" t="s">
        <v>516</v>
      </c>
      <c r="F76" s="44" t="s">
        <v>472</v>
      </c>
      <c r="G76" s="44"/>
      <c r="H76" s="34" t="str">
        <f aca="false">IF(G76&lt;&gt;"",G76,IF(F76="","",IFERROR(INDEX(I_Item!$C$6:$C$255,MATCH(F76,I_Item!$A$6:$A$255,0)),"KODE BARU")))</f>
        <v>RPA|Karkas|Frozen</v>
      </c>
      <c r="I76" s="45" t="n">
        <v>1429.3</v>
      </c>
      <c r="J76" s="42" t="n">
        <v>37184.34</v>
      </c>
      <c r="K76" s="11" t="n">
        <f aca="false">IF(I76="","",I76*J76)</f>
        <v>53147577.162</v>
      </c>
      <c r="L76" s="34" t="str">
        <f aca="false">IF(H76="","",IFERROR(INDEX(I_Master!$B$6:$B$85,MATCH(H76,I_Master!$A$6:$A$85,0)),"?"))</f>
        <v>RPA</v>
      </c>
      <c r="M76" s="46" t="n">
        <f aca="false">IF(I76="","",IF(OR(A76&lt;I_Parameter!$C$5,A76&gt;I_Parameter!$C$6),0,IF(B76="Aktual",1,IF(AND(B76="Rencana",A76&gt;=I_Parameter!$C$4),1,0))))</f>
        <v>1</v>
      </c>
    </row>
    <row r="77" customFormat="false" ht="15" hidden="false" customHeight="false" outlineLevel="0" collapsed="false">
      <c r="A77" s="37" t="n">
        <v>46261</v>
      </c>
      <c r="B77" s="44" t="s">
        <v>129</v>
      </c>
      <c r="C77" s="44" t="s">
        <v>514</v>
      </c>
      <c r="D77" s="44" t="s">
        <v>533</v>
      </c>
      <c r="E77" s="44" t="s">
        <v>516</v>
      </c>
      <c r="F77" s="44" t="s">
        <v>458</v>
      </c>
      <c r="G77" s="44"/>
      <c r="H77" s="34" t="str">
        <f aca="false">IF(G77&lt;&gt;"",G77,IF(F77="","",IFERROR(INDEX(I_Item!$C$6:$C$255,MATCH(F77,I_Item!$A$6:$A$255,0)),"KODE BARU")))</f>
        <v>RPA|Karkas|Fresh</v>
      </c>
      <c r="I77" s="45" t="n">
        <v>1644.3</v>
      </c>
      <c r="J77" s="42" t="n">
        <v>37184.34</v>
      </c>
      <c r="K77" s="11" t="n">
        <f aca="false">IF(I77="","",I77*J77)</f>
        <v>61142210.262</v>
      </c>
      <c r="L77" s="34" t="str">
        <f aca="false">IF(H77="","",IFERROR(INDEX(I_Master!$B$6:$B$85,MATCH(H77,I_Master!$A$6:$A$85,0)),"?"))</f>
        <v>RPA</v>
      </c>
      <c r="M77" s="46" t="n">
        <f aca="false">IF(I77="","",IF(OR(A77&lt;I_Parameter!$C$5,A77&gt;I_Parameter!$C$6),0,IF(B77="Aktual",1,IF(AND(B77="Rencana",A77&gt;=I_Parameter!$C$4),1,0))))</f>
        <v>1</v>
      </c>
    </row>
    <row r="78" customFormat="false" ht="15" hidden="false" customHeight="false" outlineLevel="0" collapsed="false">
      <c r="A78" s="37" t="n">
        <v>46261</v>
      </c>
      <c r="B78" s="44" t="s">
        <v>129</v>
      </c>
      <c r="C78" s="44" t="s">
        <v>514</v>
      </c>
      <c r="D78" s="44" t="s">
        <v>533</v>
      </c>
      <c r="E78" s="44" t="s">
        <v>516</v>
      </c>
      <c r="F78" s="44" t="s">
        <v>497</v>
      </c>
      <c r="G78" s="44"/>
      <c r="H78" s="34" t="str">
        <f aca="false">IF(G78&lt;&gt;"",G78,IF(F78="","",IFERROR(INDEX(I_Item!$C$6:$C$255,MATCH(F78,I_Item!$A$6:$A$255,0)),"KODE BARU")))</f>
        <v>RPA|Karkas|Frozen</v>
      </c>
      <c r="I78" s="45" t="n">
        <v>137.3</v>
      </c>
      <c r="J78" s="42" t="n">
        <v>33803.95</v>
      </c>
      <c r="K78" s="11" t="n">
        <f aca="false">IF(I78="","",I78*J78)</f>
        <v>4641282.335</v>
      </c>
      <c r="L78" s="34" t="str">
        <f aca="false">IF(H78="","",IFERROR(INDEX(I_Master!$B$6:$B$85,MATCH(H78,I_Master!$A$6:$A$85,0)),"?"))</f>
        <v>RPA</v>
      </c>
      <c r="M78" s="46" t="n">
        <f aca="false">IF(I78="","",IF(OR(A78&lt;I_Parameter!$C$5,A78&gt;I_Parameter!$C$6),0,IF(B78="Aktual",1,IF(AND(B78="Rencana",A78&gt;=I_Parameter!$C$4),1,0))))</f>
        <v>1</v>
      </c>
    </row>
    <row r="79" customFormat="false" ht="15" hidden="false" customHeight="false" outlineLevel="0" collapsed="false">
      <c r="A79" s="37" t="n">
        <v>46261</v>
      </c>
      <c r="B79" s="44" t="s">
        <v>129</v>
      </c>
      <c r="C79" s="44" t="s">
        <v>514</v>
      </c>
      <c r="D79" s="44" t="s">
        <v>533</v>
      </c>
      <c r="E79" s="44" t="s">
        <v>516</v>
      </c>
      <c r="F79" s="44" t="s">
        <v>459</v>
      </c>
      <c r="G79" s="44"/>
      <c r="H79" s="34" t="str">
        <f aca="false">IF(G79&lt;&gt;"",G79,IF(F79="","",IFERROR(INDEX(I_Item!$C$6:$C$255,MATCH(F79,I_Item!$A$6:$A$255,0)),"KODE BARU")))</f>
        <v>RPA|Karkas|Fresh</v>
      </c>
      <c r="I79" s="45" t="n">
        <v>1681.7</v>
      </c>
      <c r="J79" s="42" t="n">
        <v>37184.34</v>
      </c>
      <c r="K79" s="11" t="n">
        <f aca="false">IF(I79="","",I79*J79)</f>
        <v>62532904.578</v>
      </c>
      <c r="L79" s="34" t="str">
        <f aca="false">IF(H79="","",IFERROR(INDEX(I_Master!$B$6:$B$85,MATCH(H79,I_Master!$A$6:$A$85,0)),"?"))</f>
        <v>RPA</v>
      </c>
      <c r="M79" s="46" t="n">
        <f aca="false">IF(I79="","",IF(OR(A79&lt;I_Parameter!$C$5,A79&gt;I_Parameter!$C$6),0,IF(B79="Aktual",1,IF(AND(B79="Rencana",A79&gt;=I_Parameter!$C$4),1,0))))</f>
        <v>1</v>
      </c>
    </row>
    <row r="80" customFormat="false" ht="15" hidden="false" customHeight="false" outlineLevel="0" collapsed="false">
      <c r="A80" s="37" t="n">
        <v>46261</v>
      </c>
      <c r="B80" s="44" t="s">
        <v>129</v>
      </c>
      <c r="C80" s="44" t="s">
        <v>514</v>
      </c>
      <c r="D80" s="44" t="s">
        <v>533</v>
      </c>
      <c r="E80" s="44" t="s">
        <v>516</v>
      </c>
      <c r="F80" s="44" t="s">
        <v>521</v>
      </c>
      <c r="G80" s="44"/>
      <c r="H80" s="34" t="str">
        <f aca="false">IF(G80&lt;&gt;"",G80,IF(F80="","",IFERROR(INDEX(I_Item!$C$6:$C$255,MATCH(F80,I_Item!$A$6:$A$255,0)),"KODE BARU")))</f>
        <v>RPA|Karkas|Frozen</v>
      </c>
      <c r="I80" s="45" t="n">
        <v>133.2</v>
      </c>
      <c r="J80" s="42" t="n">
        <v>33803.95</v>
      </c>
      <c r="K80" s="11" t="n">
        <f aca="false">IF(I80="","",I80*J80)</f>
        <v>4502686.14</v>
      </c>
      <c r="L80" s="34" t="str">
        <f aca="false">IF(H80="","",IFERROR(INDEX(I_Master!$B$6:$B$85,MATCH(H80,I_Master!$A$6:$A$85,0)),"?"))</f>
        <v>RPA</v>
      </c>
      <c r="M80" s="46" t="n">
        <f aca="false">IF(I80="","",IF(OR(A80&lt;I_Parameter!$C$5,A80&gt;I_Parameter!$C$6),0,IF(B80="Aktual",1,IF(AND(B80="Rencana",A80&gt;=I_Parameter!$C$4),1,0))))</f>
        <v>1</v>
      </c>
    </row>
    <row r="81" customFormat="false" ht="15" hidden="false" customHeight="false" outlineLevel="0" collapsed="false">
      <c r="A81" s="37" t="n">
        <v>46261</v>
      </c>
      <c r="B81" s="44" t="s">
        <v>129</v>
      </c>
      <c r="C81" s="44" t="s">
        <v>514</v>
      </c>
      <c r="D81" s="44" t="s">
        <v>533</v>
      </c>
      <c r="E81" s="44" t="s">
        <v>516</v>
      </c>
      <c r="F81" s="44" t="s">
        <v>460</v>
      </c>
      <c r="G81" s="44"/>
      <c r="H81" s="34" t="str">
        <f aca="false">IF(G81&lt;&gt;"",G81,IF(F81="","",IFERROR(INDEX(I_Item!$C$6:$C$255,MATCH(F81,I_Item!$A$6:$A$255,0)),"KODE BARU")))</f>
        <v>RPA|Karkas|Fresh</v>
      </c>
      <c r="I81" s="45" t="n">
        <v>985.2</v>
      </c>
      <c r="J81" s="42" t="n">
        <v>37184.34</v>
      </c>
      <c r="K81" s="11" t="n">
        <f aca="false">IF(I81="","",I81*J81)</f>
        <v>36634011.768</v>
      </c>
      <c r="L81" s="34" t="str">
        <f aca="false">IF(H81="","",IFERROR(INDEX(I_Master!$B$6:$B$85,MATCH(H81,I_Master!$A$6:$A$85,0)),"?"))</f>
        <v>RPA</v>
      </c>
      <c r="M81" s="46" t="n">
        <f aca="false">IF(I81="","",IF(OR(A81&lt;I_Parameter!$C$5,A81&gt;I_Parameter!$C$6),0,IF(B81="Aktual",1,IF(AND(B81="Rencana",A81&gt;=I_Parameter!$C$4),1,0))))</f>
        <v>1</v>
      </c>
    </row>
    <row r="82" customFormat="false" ht="15" hidden="false" customHeight="false" outlineLevel="0" collapsed="false">
      <c r="A82" s="37" t="n">
        <v>46261</v>
      </c>
      <c r="B82" s="44" t="s">
        <v>129</v>
      </c>
      <c r="C82" s="44" t="s">
        <v>514</v>
      </c>
      <c r="D82" s="44" t="s">
        <v>533</v>
      </c>
      <c r="E82" s="44" t="s">
        <v>516</v>
      </c>
      <c r="F82" s="44" t="s">
        <v>522</v>
      </c>
      <c r="G82" s="44"/>
      <c r="H82" s="34" t="str">
        <f aca="false">IF(G82&lt;&gt;"",G82,IF(F82="","",IFERROR(INDEX(I_Item!$C$6:$C$255,MATCH(F82,I_Item!$A$6:$A$255,0)),"KODE BARU")))</f>
        <v>RPA|Karkas|Frozen</v>
      </c>
      <c r="I82" s="45" t="n">
        <v>88.9</v>
      </c>
      <c r="J82" s="42" t="n">
        <v>33803.95</v>
      </c>
      <c r="K82" s="11" t="n">
        <f aca="false">IF(I82="","",I82*J82)</f>
        <v>3005171.155</v>
      </c>
      <c r="L82" s="34" t="str">
        <f aca="false">IF(H82="","",IFERROR(INDEX(I_Master!$B$6:$B$85,MATCH(H82,I_Master!$A$6:$A$85,0)),"?"))</f>
        <v>RPA</v>
      </c>
      <c r="M82" s="46" t="n">
        <f aca="false">IF(I82="","",IF(OR(A82&lt;I_Parameter!$C$5,A82&gt;I_Parameter!$C$6),0,IF(B82="Aktual",1,IF(AND(B82="Rencana",A82&gt;=I_Parameter!$C$4),1,0))))</f>
        <v>1</v>
      </c>
    </row>
    <row r="83" customFormat="false" ht="15" hidden="false" customHeight="false" outlineLevel="0" collapsed="false">
      <c r="A83" s="37" t="n">
        <v>46261</v>
      </c>
      <c r="B83" s="44" t="s">
        <v>129</v>
      </c>
      <c r="C83" s="44" t="s">
        <v>514</v>
      </c>
      <c r="D83" s="44" t="s">
        <v>533</v>
      </c>
      <c r="E83" s="44" t="s">
        <v>516</v>
      </c>
      <c r="F83" s="44" t="s">
        <v>461</v>
      </c>
      <c r="G83" s="44"/>
      <c r="H83" s="34" t="str">
        <f aca="false">IF(G83&lt;&gt;"",G83,IF(F83="","",IFERROR(INDEX(I_Item!$C$6:$C$255,MATCH(F83,I_Item!$A$6:$A$255,0)),"KODE BARU")))</f>
        <v>RPA|Karkas|Fresh</v>
      </c>
      <c r="I83" s="45" t="n">
        <v>471.7</v>
      </c>
      <c r="J83" s="42" t="n">
        <v>37184.34</v>
      </c>
      <c r="K83" s="11" t="n">
        <f aca="false">IF(I83="","",I83*J83)</f>
        <v>17539853.178</v>
      </c>
      <c r="L83" s="34" t="str">
        <f aca="false">IF(H83="","",IFERROR(INDEX(I_Master!$B$6:$B$85,MATCH(H83,I_Master!$A$6:$A$85,0)),"?"))</f>
        <v>RPA</v>
      </c>
      <c r="M83" s="46" t="n">
        <f aca="false">IF(I83="","",IF(OR(A83&lt;I_Parameter!$C$5,A83&gt;I_Parameter!$C$6),0,IF(B83="Aktual",1,IF(AND(B83="Rencana",A83&gt;=I_Parameter!$C$4),1,0))))</f>
        <v>1</v>
      </c>
    </row>
    <row r="84" customFormat="false" ht="15" hidden="false" customHeight="false" outlineLevel="0" collapsed="false">
      <c r="A84" s="37" t="n">
        <v>46261</v>
      </c>
      <c r="B84" s="44" t="s">
        <v>129</v>
      </c>
      <c r="C84" s="44" t="s">
        <v>514</v>
      </c>
      <c r="D84" s="44" t="s">
        <v>533</v>
      </c>
      <c r="E84" s="44" t="s">
        <v>516</v>
      </c>
      <c r="F84" s="44" t="s">
        <v>523</v>
      </c>
      <c r="G84" s="44"/>
      <c r="H84" s="34" t="str">
        <f aca="false">IF(G84&lt;&gt;"",G84,IF(F84="","",IFERROR(INDEX(I_Item!$C$6:$C$255,MATCH(F84,I_Item!$A$6:$A$255,0)),"KODE BARU")))</f>
        <v>RPA|Karkas|Frozen</v>
      </c>
      <c r="I84" s="45" t="n">
        <v>62.5</v>
      </c>
      <c r="J84" s="42" t="n">
        <v>33803.95</v>
      </c>
      <c r="K84" s="11" t="n">
        <f aca="false">IF(I84="","",I84*J84)</f>
        <v>2112746.875</v>
      </c>
      <c r="L84" s="34" t="str">
        <f aca="false">IF(H84="","",IFERROR(INDEX(I_Master!$B$6:$B$85,MATCH(H84,I_Master!$A$6:$A$85,0)),"?"))</f>
        <v>RPA</v>
      </c>
      <c r="M84" s="46" t="n">
        <f aca="false">IF(I84="","",IF(OR(A84&lt;I_Parameter!$C$5,A84&gt;I_Parameter!$C$6),0,IF(B84="Aktual",1,IF(AND(B84="Rencana",A84&gt;=I_Parameter!$C$4),1,0))))</f>
        <v>1</v>
      </c>
    </row>
    <row r="85" customFormat="false" ht="15" hidden="false" customHeight="false" outlineLevel="0" collapsed="false">
      <c r="A85" s="37" t="n">
        <v>46261</v>
      </c>
      <c r="B85" s="44" t="s">
        <v>129</v>
      </c>
      <c r="C85" s="44" t="s">
        <v>514</v>
      </c>
      <c r="D85" s="44" t="s">
        <v>533</v>
      </c>
      <c r="E85" s="44" t="s">
        <v>516</v>
      </c>
      <c r="F85" s="44" t="s">
        <v>525</v>
      </c>
      <c r="G85" s="44"/>
      <c r="H85" s="34" t="str">
        <f aca="false">IF(G85&lt;&gt;"",G85,IF(F85="","",IFERROR(INDEX(I_Item!$C$6:$C$255,MATCH(F85,I_Item!$A$6:$A$255,0)),"KODE BARU")))</f>
        <v>RPA|Karkas|Frozen</v>
      </c>
      <c r="I85" s="45" t="n">
        <v>13.3</v>
      </c>
      <c r="J85" s="42" t="n">
        <v>33803.95</v>
      </c>
      <c r="K85" s="11" t="n">
        <f aca="false">IF(I85="","",I85*J85)</f>
        <v>449592.535</v>
      </c>
      <c r="L85" s="34" t="str">
        <f aca="false">IF(H85="","",IFERROR(INDEX(I_Master!$B$6:$B$85,MATCH(H85,I_Master!$A$6:$A$85,0)),"?"))</f>
        <v>RPA</v>
      </c>
      <c r="M85" s="46" t="n">
        <f aca="false">IF(I85="","",IF(OR(A85&lt;I_Parameter!$C$5,A85&gt;I_Parameter!$C$6),0,IF(B85="Aktual",1,IF(AND(B85="Rencana",A85&gt;=I_Parameter!$C$4),1,0))))</f>
        <v>1</v>
      </c>
    </row>
    <row r="86" customFormat="false" ht="15" hidden="false" customHeight="false" outlineLevel="0" collapsed="false">
      <c r="A86" s="37" t="n">
        <v>46261</v>
      </c>
      <c r="B86" s="44" t="s">
        <v>129</v>
      </c>
      <c r="C86" s="44" t="s">
        <v>514</v>
      </c>
      <c r="D86" s="44" t="s">
        <v>533</v>
      </c>
      <c r="E86" s="44" t="s">
        <v>516</v>
      </c>
      <c r="F86" s="44" t="s">
        <v>530</v>
      </c>
      <c r="G86" s="44"/>
      <c r="H86" s="34" t="str">
        <f aca="false">IF(G86&lt;&gt;"",G86,IF(F86="","",IFERROR(INDEX(I_Item!$C$6:$C$255,MATCH(F86,I_Item!$A$6:$A$255,0)),"KODE BARU")))</f>
        <v>RPA|Karkas|Frozen</v>
      </c>
      <c r="I86" s="45" t="n">
        <v>138.4</v>
      </c>
      <c r="J86" s="42" t="n">
        <v>37184.34</v>
      </c>
      <c r="K86" s="11" t="n">
        <f aca="false">IF(I86="","",I86*J86)</f>
        <v>5146312.656</v>
      </c>
      <c r="L86" s="34" t="str">
        <f aca="false">IF(H86="","",IFERROR(INDEX(I_Master!$B$6:$B$85,MATCH(H86,I_Master!$A$6:$A$85,0)),"?"))</f>
        <v>RPA</v>
      </c>
      <c r="M86" s="46" t="n">
        <f aca="false">IF(I86="","",IF(OR(A86&lt;I_Parameter!$C$5,A86&gt;I_Parameter!$C$6),0,IF(B86="Aktual",1,IF(AND(B86="Rencana",A86&gt;=I_Parameter!$C$4),1,0))))</f>
        <v>1</v>
      </c>
    </row>
    <row r="87" customFormat="false" ht="15" hidden="false" customHeight="false" outlineLevel="0" collapsed="false">
      <c r="A87" s="37" t="n">
        <v>46261</v>
      </c>
      <c r="B87" s="44" t="s">
        <v>129</v>
      </c>
      <c r="C87" s="44" t="s">
        <v>514</v>
      </c>
      <c r="D87" s="44" t="s">
        <v>533</v>
      </c>
      <c r="E87" s="44" t="s">
        <v>516</v>
      </c>
      <c r="F87" s="44" t="s">
        <v>527</v>
      </c>
      <c r="G87" s="44"/>
      <c r="H87" s="34" t="str">
        <f aca="false">IF(G87&lt;&gt;"",G87,IF(F87="","",IFERROR(INDEX(I_Item!$C$6:$C$255,MATCH(F87,I_Item!$A$6:$A$255,0)),"KODE BARU")))</f>
        <v>RPA|Karkas|Frozen</v>
      </c>
      <c r="I87" s="45" t="n">
        <v>17.9</v>
      </c>
      <c r="J87" s="42" t="n">
        <v>37184.34</v>
      </c>
      <c r="K87" s="11" t="n">
        <f aca="false">IF(I87="","",I87*J87)</f>
        <v>665599.686</v>
      </c>
      <c r="L87" s="34" t="str">
        <f aca="false">IF(H87="","",IFERROR(INDEX(I_Master!$B$6:$B$85,MATCH(H87,I_Master!$A$6:$A$85,0)),"?"))</f>
        <v>RPA</v>
      </c>
      <c r="M87" s="46" t="n">
        <f aca="false">IF(I87="","",IF(OR(A87&lt;I_Parameter!$C$5,A87&gt;I_Parameter!$C$6),0,IF(B87="Aktual",1,IF(AND(B87="Rencana",A87&gt;=I_Parameter!$C$4),1,0))))</f>
        <v>1</v>
      </c>
    </row>
    <row r="88" customFormat="false" ht="15" hidden="false" customHeight="false" outlineLevel="0" collapsed="false">
      <c r="A88" s="37" t="n">
        <v>46261</v>
      </c>
      <c r="B88" s="44" t="s">
        <v>129</v>
      </c>
      <c r="C88" s="44" t="s">
        <v>514</v>
      </c>
      <c r="D88" s="44" t="s">
        <v>533</v>
      </c>
      <c r="E88" s="44" t="s">
        <v>516</v>
      </c>
      <c r="F88" s="44" t="s">
        <v>531</v>
      </c>
      <c r="G88" s="44"/>
      <c r="H88" s="34" t="str">
        <f aca="false">IF(G88&lt;&gt;"",G88,IF(F88="","",IFERROR(INDEX(I_Item!$C$6:$C$255,MATCH(F88,I_Item!$A$6:$A$255,0)),"KODE BARU")))</f>
        <v>RPA|Karkas|Frozen</v>
      </c>
      <c r="I88" s="45" t="n">
        <v>5.6</v>
      </c>
      <c r="J88" s="42" t="n">
        <v>37184.34</v>
      </c>
      <c r="K88" s="11" t="n">
        <f aca="false">IF(I88="","",I88*J88)</f>
        <v>208232.304</v>
      </c>
      <c r="L88" s="34" t="str">
        <f aca="false">IF(H88="","",IFERROR(INDEX(I_Master!$B$6:$B$85,MATCH(H88,I_Master!$A$6:$A$85,0)),"?"))</f>
        <v>RPA</v>
      </c>
      <c r="M88" s="46" t="n">
        <f aca="false">IF(I88="","",IF(OR(A88&lt;I_Parameter!$C$5,A88&gt;I_Parameter!$C$6),0,IF(B88="Aktual",1,IF(AND(B88="Rencana",A88&gt;=I_Parameter!$C$4),1,0))))</f>
        <v>1</v>
      </c>
    </row>
    <row r="89" customFormat="false" ht="15" hidden="false" customHeight="false" outlineLevel="0" collapsed="false">
      <c r="A89" s="37" t="n">
        <v>46261</v>
      </c>
      <c r="B89" s="44" t="s">
        <v>129</v>
      </c>
      <c r="C89" s="44" t="s">
        <v>514</v>
      </c>
      <c r="D89" s="44" t="s">
        <v>533</v>
      </c>
      <c r="E89" s="44" t="s">
        <v>516</v>
      </c>
      <c r="F89" s="44" t="s">
        <v>474</v>
      </c>
      <c r="G89" s="44"/>
      <c r="H89" s="34" t="str">
        <f aca="false">IF(G89&lt;&gt;"",G89,IF(F89="","",IFERROR(INDEX(I_Item!$C$6:$C$255,MATCH(F89,I_Item!$A$6:$A$255,0)),"KODE BARU")))</f>
        <v>RPA|Karkas|Frozen</v>
      </c>
      <c r="I89" s="45" t="n">
        <v>293.2</v>
      </c>
      <c r="J89" s="42" t="n">
        <v>37184.34</v>
      </c>
      <c r="K89" s="11" t="n">
        <f aca="false">IF(I89="","",I89*J89)</f>
        <v>10902448.488</v>
      </c>
      <c r="L89" s="34" t="str">
        <f aca="false">IF(H89="","",IFERROR(INDEX(I_Master!$B$6:$B$85,MATCH(H89,I_Master!$A$6:$A$85,0)),"?"))</f>
        <v>RPA</v>
      </c>
      <c r="M89" s="46" t="n">
        <f aca="false">IF(I89="","",IF(OR(A89&lt;I_Parameter!$C$5,A89&gt;I_Parameter!$C$6),0,IF(B89="Aktual",1,IF(AND(B89="Rencana",A89&gt;=I_Parameter!$C$4),1,0))))</f>
        <v>1</v>
      </c>
    </row>
    <row r="90" customFormat="false" ht="15" hidden="false" customHeight="false" outlineLevel="0" collapsed="false">
      <c r="A90" s="37" t="n">
        <v>46261</v>
      </c>
      <c r="B90" s="44" t="s">
        <v>129</v>
      </c>
      <c r="C90" s="44" t="s">
        <v>514</v>
      </c>
      <c r="D90" s="44" t="s">
        <v>533</v>
      </c>
      <c r="E90" s="44" t="s">
        <v>516</v>
      </c>
      <c r="F90" s="44" t="s">
        <v>467</v>
      </c>
      <c r="G90" s="44"/>
      <c r="H90" s="34" t="str">
        <f aca="false">IF(G90&lt;&gt;"",G90,IF(F90="","",IFERROR(INDEX(I_Item!$C$6:$C$255,MATCH(F90,I_Item!$A$6:$A$255,0)),"KODE BARU")))</f>
        <v>RPA|Karkas|Frozen</v>
      </c>
      <c r="I90" s="45" t="n">
        <v>100.1</v>
      </c>
      <c r="J90" s="42" t="n">
        <v>37184.34</v>
      </c>
      <c r="K90" s="11" t="n">
        <f aca="false">IF(I90="","",I90*J90)</f>
        <v>3722152.434</v>
      </c>
      <c r="L90" s="34" t="str">
        <f aca="false">IF(H90="","",IFERROR(INDEX(I_Master!$B$6:$B$85,MATCH(H90,I_Master!$A$6:$A$85,0)),"?"))</f>
        <v>RPA</v>
      </c>
      <c r="M90" s="46" t="n">
        <f aca="false">IF(I90="","",IF(OR(A90&lt;I_Parameter!$C$5,A90&gt;I_Parameter!$C$6),0,IF(B90="Aktual",1,IF(AND(B90="Rencana",A90&gt;=I_Parameter!$C$4),1,0))))</f>
        <v>1</v>
      </c>
    </row>
    <row r="91" customFormat="false" ht="15" hidden="false" customHeight="false" outlineLevel="0" collapsed="false">
      <c r="A91" s="37" t="n">
        <v>46261</v>
      </c>
      <c r="B91" s="44" t="s">
        <v>129</v>
      </c>
      <c r="C91" s="44" t="s">
        <v>514</v>
      </c>
      <c r="D91" s="44" t="s">
        <v>533</v>
      </c>
      <c r="E91" s="44" t="s">
        <v>516</v>
      </c>
      <c r="F91" s="44" t="s">
        <v>490</v>
      </c>
      <c r="G91" s="44"/>
      <c r="H91" s="34" t="str">
        <f aca="false">IF(G91&lt;&gt;"",G91,IF(F91="","",IFERROR(INDEX(I_Item!$C$6:$C$255,MATCH(F91,I_Item!$A$6:$A$255,0)),"KODE BARU")))</f>
        <v>RPA|Karkas|Frozen</v>
      </c>
      <c r="I91" s="45" t="n">
        <v>3.4</v>
      </c>
      <c r="J91" s="42" t="n">
        <v>37184.34</v>
      </c>
      <c r="K91" s="11" t="n">
        <f aca="false">IF(I91="","",I91*J91)</f>
        <v>126426.756</v>
      </c>
      <c r="L91" s="34" t="str">
        <f aca="false">IF(H91="","",IFERROR(INDEX(I_Master!$B$6:$B$85,MATCH(H91,I_Master!$A$6:$A$85,0)),"?"))</f>
        <v>RPA</v>
      </c>
      <c r="M91" s="46" t="n">
        <f aca="false">IF(I91="","",IF(OR(A91&lt;I_Parameter!$C$5,A91&gt;I_Parameter!$C$6),0,IF(B91="Aktual",1,IF(AND(B91="Rencana",A91&gt;=I_Parameter!$C$4),1,0))))</f>
        <v>1</v>
      </c>
    </row>
    <row r="92" customFormat="false" ht="15" hidden="false" customHeight="false" outlineLevel="0" collapsed="false">
      <c r="A92" s="37" t="n">
        <v>46261</v>
      </c>
      <c r="B92" s="44" t="s">
        <v>129</v>
      </c>
      <c r="C92" s="44" t="s">
        <v>514</v>
      </c>
      <c r="D92" s="44" t="s">
        <v>533</v>
      </c>
      <c r="E92" s="44" t="s">
        <v>516</v>
      </c>
      <c r="F92" s="44" t="s">
        <v>433</v>
      </c>
      <c r="G92" s="44"/>
      <c r="H92" s="34" t="str">
        <f aca="false">IF(G92&lt;&gt;"",G92,IF(F92="","",IFERROR(INDEX(I_Item!$C$6:$C$255,MATCH(F92,I_Item!$A$6:$A$255,0)),"KODE BARU")))</f>
        <v>RPA|Karkas|Frozen</v>
      </c>
      <c r="I92" s="45" t="n">
        <v>19.9</v>
      </c>
      <c r="J92" s="42" t="n">
        <v>37184.34</v>
      </c>
      <c r="K92" s="11" t="n">
        <f aca="false">IF(I92="","",I92*J92)</f>
        <v>739968.366</v>
      </c>
      <c r="L92" s="34" t="str">
        <f aca="false">IF(H92="","",IFERROR(INDEX(I_Master!$B$6:$B$85,MATCH(H92,I_Master!$A$6:$A$85,0)),"?"))</f>
        <v>RPA</v>
      </c>
      <c r="M92" s="46" t="n">
        <f aca="false">IF(I92="","",IF(OR(A92&lt;I_Parameter!$C$5,A92&gt;I_Parameter!$C$6),0,IF(B92="Aktual",1,IF(AND(B92="Rencana",A92&gt;=I_Parameter!$C$4),1,0))))</f>
        <v>1</v>
      </c>
    </row>
    <row r="93" customFormat="false" ht="15" hidden="false" customHeight="false" outlineLevel="0" collapsed="false">
      <c r="A93" s="37" t="n">
        <v>46262</v>
      </c>
      <c r="B93" s="44" t="s">
        <v>129</v>
      </c>
      <c r="C93" s="44" t="s">
        <v>514</v>
      </c>
      <c r="D93" s="44" t="s">
        <v>534</v>
      </c>
      <c r="E93" s="44" t="s">
        <v>516</v>
      </c>
      <c r="F93" s="44" t="s">
        <v>441</v>
      </c>
      <c r="G93" s="44"/>
      <c r="H93" s="34" t="str">
        <f aca="false">IF(G93&lt;&gt;"",G93,IF(F93="","",IFERROR(INDEX(I_Item!$C$6:$C$255,MATCH(F93,I_Item!$A$6:$A$255,0)),"KODE BARU")))</f>
        <v>RPA|Ceker|Fresh</v>
      </c>
      <c r="I93" s="45" t="n">
        <v>429.3</v>
      </c>
      <c r="J93" s="42" t="n">
        <v>18177.87</v>
      </c>
      <c r="K93" s="11" t="n">
        <f aca="false">IF(I93="","",I93*J93)</f>
        <v>7803759.591</v>
      </c>
      <c r="L93" s="34" t="str">
        <f aca="false">IF(H93="","",IFERROR(INDEX(I_Master!$B$6:$B$85,MATCH(H93,I_Master!$A$6:$A$85,0)),"?"))</f>
        <v>RPA</v>
      </c>
      <c r="M93" s="46" t="n">
        <f aca="false">IF(I93="","",IF(OR(A93&lt;I_Parameter!$C$5,A93&gt;I_Parameter!$C$6),0,IF(B93="Aktual",1,IF(AND(B93="Rencana",A93&gt;=I_Parameter!$C$4),1,0))))</f>
        <v>1</v>
      </c>
    </row>
    <row r="94" customFormat="false" ht="15" hidden="false" customHeight="false" outlineLevel="0" collapsed="false">
      <c r="A94" s="37" t="n">
        <v>46262</v>
      </c>
      <c r="B94" s="44" t="s">
        <v>129</v>
      </c>
      <c r="C94" s="44" t="s">
        <v>514</v>
      </c>
      <c r="D94" s="44" t="s">
        <v>534</v>
      </c>
      <c r="E94" s="44" t="s">
        <v>516</v>
      </c>
      <c r="F94" s="44" t="s">
        <v>442</v>
      </c>
      <c r="G94" s="44"/>
      <c r="H94" s="34" t="str">
        <f aca="false">IF(G94&lt;&gt;"",G94,IF(F94="","",IFERROR(INDEX(I_Item!$C$6:$C$255,MATCH(F94,I_Item!$A$6:$A$255,0)),"KODE BARU")))</f>
        <v>RPA|HJA (Hati/Jantung/Ampela)|Fresh</v>
      </c>
      <c r="I94" s="45" t="n">
        <v>804.9</v>
      </c>
      <c r="J94" s="42" t="n">
        <v>5680.58</v>
      </c>
      <c r="K94" s="11" t="n">
        <f aca="false">IF(I94="","",I94*J94)</f>
        <v>4572298.842</v>
      </c>
      <c r="L94" s="34" t="str">
        <f aca="false">IF(H94="","",IFERROR(INDEX(I_Master!$B$6:$B$85,MATCH(H94,I_Master!$A$6:$A$85,0)),"?"))</f>
        <v>RPA</v>
      </c>
      <c r="M94" s="46" t="n">
        <f aca="false">IF(I94="","",IF(OR(A94&lt;I_Parameter!$C$5,A94&gt;I_Parameter!$C$6),0,IF(B94="Aktual",1,IF(AND(B94="Rencana",A94&gt;=I_Parameter!$C$4),1,0))))</f>
        <v>1</v>
      </c>
    </row>
    <row r="95" customFormat="false" ht="15" hidden="false" customHeight="false" outlineLevel="0" collapsed="false">
      <c r="A95" s="37" t="n">
        <v>46262</v>
      </c>
      <c r="B95" s="44" t="s">
        <v>129</v>
      </c>
      <c r="C95" s="44" t="s">
        <v>514</v>
      </c>
      <c r="D95" s="44" t="s">
        <v>534</v>
      </c>
      <c r="E95" s="44" t="s">
        <v>516</v>
      </c>
      <c r="F95" s="44" t="s">
        <v>443</v>
      </c>
      <c r="G95" s="44"/>
      <c r="H95" s="34" t="str">
        <f aca="false">IF(G95&lt;&gt;"",G95,IF(F95="","",IFERROR(INDEX(I_Item!$C$6:$C$255,MATCH(F95,I_Item!$A$6:$A$255,0)),"KODE BARU")))</f>
        <v>RPA|Kepala|Fresh</v>
      </c>
      <c r="I95" s="45" t="n">
        <v>665.8</v>
      </c>
      <c r="J95" s="42" t="n">
        <v>13633.4</v>
      </c>
      <c r="K95" s="11" t="n">
        <f aca="false">IF(I95="","",I95*J95)</f>
        <v>9077117.72</v>
      </c>
      <c r="L95" s="34" t="str">
        <f aca="false">IF(H95="","",IFERROR(INDEX(I_Master!$B$6:$B$85,MATCH(H95,I_Master!$A$6:$A$85,0)),"?"))</f>
        <v>RPA</v>
      </c>
      <c r="M95" s="46" t="n">
        <f aca="false">IF(I95="","",IF(OR(A95&lt;I_Parameter!$C$5,A95&gt;I_Parameter!$C$6),0,IF(B95="Aktual",1,IF(AND(B95="Rencana",A95&gt;=I_Parameter!$C$4),1,0))))</f>
        <v>1</v>
      </c>
    </row>
    <row r="96" customFormat="false" ht="15" hidden="false" customHeight="false" outlineLevel="0" collapsed="false">
      <c r="A96" s="37" t="n">
        <v>46262</v>
      </c>
      <c r="B96" s="44" t="s">
        <v>129</v>
      </c>
      <c r="C96" s="44" t="s">
        <v>514</v>
      </c>
      <c r="D96" s="44" t="s">
        <v>534</v>
      </c>
      <c r="E96" s="44" t="s">
        <v>516</v>
      </c>
      <c r="F96" s="44" t="s">
        <v>444</v>
      </c>
      <c r="G96" s="44"/>
      <c r="H96" s="34" t="str">
        <f aca="false">IF(G96&lt;&gt;"",G96,IF(F96="","",IFERROR(INDEX(I_Item!$C$6:$C$255,MATCH(F96,I_Item!$A$6:$A$255,0)),"KODE BARU")))</f>
        <v>RPA|Usus|Fresh</v>
      </c>
      <c r="I96" s="45" t="n">
        <v>640.6</v>
      </c>
      <c r="J96" s="42" t="n">
        <v>5680.58</v>
      </c>
      <c r="K96" s="11" t="n">
        <f aca="false">IF(I96="","",I96*J96)</f>
        <v>3638979.548</v>
      </c>
      <c r="L96" s="34" t="str">
        <f aca="false">IF(H96="","",IFERROR(INDEX(I_Master!$B$6:$B$85,MATCH(H96,I_Master!$A$6:$A$85,0)),"?"))</f>
        <v>RPA</v>
      </c>
      <c r="M96" s="46" t="n">
        <f aca="false">IF(I96="","",IF(OR(A96&lt;I_Parameter!$C$5,A96&gt;I_Parameter!$C$6),0,IF(B96="Aktual",1,IF(AND(B96="Rencana",A96&gt;=I_Parameter!$C$4),1,0))))</f>
        <v>1</v>
      </c>
    </row>
    <row r="97" customFormat="false" ht="15" hidden="false" customHeight="false" outlineLevel="0" collapsed="false">
      <c r="A97" s="37" t="n">
        <v>46262</v>
      </c>
      <c r="B97" s="44" t="s">
        <v>129</v>
      </c>
      <c r="C97" s="44" t="s">
        <v>514</v>
      </c>
      <c r="D97" s="44" t="s">
        <v>534</v>
      </c>
      <c r="E97" s="44" t="s">
        <v>516</v>
      </c>
      <c r="F97" s="44" t="s">
        <v>517</v>
      </c>
      <c r="G97" s="44"/>
      <c r="H97" s="34" t="str">
        <f aca="false">IF(G97&lt;&gt;"",G97,IF(F97="","",IFERROR(INDEX(I_Item!$C$6:$C$255,MATCH(F97,I_Item!$A$6:$A$255,0)),"KODE BARU")))</f>
        <v>RPA|Lemak|Frozen</v>
      </c>
      <c r="I97" s="45" t="n">
        <v>66.6</v>
      </c>
      <c r="J97" s="42" t="n">
        <v>27266.8</v>
      </c>
      <c r="K97" s="11" t="n">
        <f aca="false">IF(I97="","",I97*J97)</f>
        <v>1815968.88</v>
      </c>
      <c r="L97" s="34" t="str">
        <f aca="false">IF(H97="","",IFERROR(INDEX(I_Master!$B$6:$B$85,MATCH(H97,I_Master!$A$6:$A$85,0)),"?"))</f>
        <v>RPA</v>
      </c>
      <c r="M97" s="46" t="n">
        <f aca="false">IF(I97="","",IF(OR(A97&lt;I_Parameter!$C$5,A97&gt;I_Parameter!$C$6),0,IF(B97="Aktual",1,IF(AND(B97="Rencana",A97&gt;=I_Parameter!$C$4),1,0))))</f>
        <v>1</v>
      </c>
    </row>
    <row r="98" customFormat="false" ht="15" hidden="false" customHeight="false" outlineLevel="0" collapsed="false">
      <c r="A98" s="37" t="n">
        <v>46262</v>
      </c>
      <c r="B98" s="44" t="s">
        <v>129</v>
      </c>
      <c r="C98" s="44" t="s">
        <v>514</v>
      </c>
      <c r="D98" s="44" t="s">
        <v>534</v>
      </c>
      <c r="E98" s="44" t="s">
        <v>516</v>
      </c>
      <c r="F98" s="44" t="s">
        <v>518</v>
      </c>
      <c r="G98" s="44"/>
      <c r="H98" s="34" t="str">
        <f aca="false">IF(G98&lt;&gt;"",G98,IF(F98="","",IFERROR(INDEX(I_Item!$C$6:$C$255,MATCH(F98,I_Item!$A$6:$A$255,0)),"KODE BARU")))</f>
        <v>RPA|Karkas|Frozen</v>
      </c>
      <c r="I98" s="45" t="n">
        <v>2.7</v>
      </c>
      <c r="J98" s="42" t="n">
        <v>34083.5</v>
      </c>
      <c r="K98" s="11" t="n">
        <f aca="false">IF(I98="","",I98*J98)</f>
        <v>92025.45</v>
      </c>
      <c r="L98" s="34" t="str">
        <f aca="false">IF(H98="","",IFERROR(INDEX(I_Master!$B$6:$B$85,MATCH(H98,I_Master!$A$6:$A$85,0)),"?"))</f>
        <v>RPA</v>
      </c>
      <c r="M98" s="46" t="n">
        <f aca="false">IF(I98="","",IF(OR(A98&lt;I_Parameter!$C$5,A98&gt;I_Parameter!$C$6),0,IF(B98="Aktual",1,IF(AND(B98="Rencana",A98&gt;=I_Parameter!$C$4),1,0))))</f>
        <v>1</v>
      </c>
    </row>
    <row r="99" customFormat="false" ht="15" hidden="false" customHeight="false" outlineLevel="0" collapsed="false">
      <c r="A99" s="37" t="n">
        <v>46262</v>
      </c>
      <c r="B99" s="44" t="s">
        <v>129</v>
      </c>
      <c r="C99" s="44" t="s">
        <v>514</v>
      </c>
      <c r="D99" s="44" t="s">
        <v>534</v>
      </c>
      <c r="E99" s="44" t="s">
        <v>516</v>
      </c>
      <c r="F99" s="44" t="s">
        <v>448</v>
      </c>
      <c r="G99" s="44"/>
      <c r="H99" s="34" t="str">
        <f aca="false">IF(G99&lt;&gt;"",G99,IF(F99="","",IFERROR(INDEX(I_Item!$C$6:$C$255,MATCH(F99,I_Item!$A$6:$A$255,0)),"KODE BARU")))</f>
        <v>RPA|Karkas|Frozen</v>
      </c>
      <c r="I99" s="45" t="n">
        <v>23.4</v>
      </c>
      <c r="J99" s="42" t="n">
        <v>34083.5</v>
      </c>
      <c r="K99" s="11" t="n">
        <f aca="false">IF(I99="","",I99*J99)</f>
        <v>797553.9</v>
      </c>
      <c r="L99" s="34" t="str">
        <f aca="false">IF(H99="","",IFERROR(INDEX(I_Master!$B$6:$B$85,MATCH(H99,I_Master!$A$6:$A$85,0)),"?"))</f>
        <v>RPA</v>
      </c>
      <c r="M99" s="46" t="n">
        <f aca="false">IF(I99="","",IF(OR(A99&lt;I_Parameter!$C$5,A99&gt;I_Parameter!$C$6),0,IF(B99="Aktual",1,IF(AND(B99="Rencana",A99&gt;=I_Parameter!$C$4),1,0))))</f>
        <v>1</v>
      </c>
    </row>
    <row r="100" customFormat="false" ht="15" hidden="false" customHeight="false" outlineLevel="0" collapsed="false">
      <c r="A100" s="37" t="n">
        <v>46262</v>
      </c>
      <c r="B100" s="44" t="s">
        <v>129</v>
      </c>
      <c r="C100" s="44" t="s">
        <v>514</v>
      </c>
      <c r="D100" s="44" t="s">
        <v>534</v>
      </c>
      <c r="E100" s="44" t="s">
        <v>516</v>
      </c>
      <c r="F100" s="44" t="s">
        <v>529</v>
      </c>
      <c r="G100" s="44"/>
      <c r="H100" s="34" t="str">
        <f aca="false">IF(G100&lt;&gt;"",G100,IF(F100="","",IFERROR(INDEX(I_Item!$C$6:$C$255,MATCH(F100,I_Item!$A$6:$A$255,0)),"KODE BARU")))</f>
        <v>RPA|Karkas|Frozen</v>
      </c>
      <c r="I100" s="45" t="n">
        <v>26.5</v>
      </c>
      <c r="J100" s="42" t="n">
        <v>34083.5</v>
      </c>
      <c r="K100" s="11" t="n">
        <f aca="false">IF(I100="","",I100*J100)</f>
        <v>903212.75</v>
      </c>
      <c r="L100" s="34" t="str">
        <f aca="false">IF(H100="","",IFERROR(INDEX(I_Master!$B$6:$B$85,MATCH(H100,I_Master!$A$6:$A$85,0)),"?"))</f>
        <v>RPA</v>
      </c>
      <c r="M100" s="46" t="n">
        <f aca="false">IF(I100="","",IF(OR(A100&lt;I_Parameter!$C$5,A100&gt;I_Parameter!$C$6),0,IF(B100="Aktual",1,IF(AND(B100="Rencana",A100&gt;=I_Parameter!$C$4),1,0))))</f>
        <v>1</v>
      </c>
    </row>
    <row r="101" customFormat="false" ht="15" hidden="false" customHeight="false" outlineLevel="0" collapsed="false">
      <c r="A101" s="37" t="n">
        <v>46262</v>
      </c>
      <c r="B101" s="44" t="s">
        <v>129</v>
      </c>
      <c r="C101" s="44" t="s">
        <v>514</v>
      </c>
      <c r="D101" s="44" t="s">
        <v>534</v>
      </c>
      <c r="E101" s="44" t="s">
        <v>516</v>
      </c>
      <c r="F101" s="44" t="s">
        <v>519</v>
      </c>
      <c r="G101" s="44"/>
      <c r="H101" s="34" t="str">
        <f aca="false">IF(G101&lt;&gt;"",G101,IF(F101="","",IFERROR(INDEX(I_Item!$C$6:$C$255,MATCH(F101,I_Item!$A$6:$A$255,0)),"KODE BARU")))</f>
        <v>RPA|Karkas|Frozen</v>
      </c>
      <c r="I101" s="45" t="n">
        <v>73.7</v>
      </c>
      <c r="J101" s="42" t="n">
        <v>34083.5</v>
      </c>
      <c r="K101" s="11" t="n">
        <f aca="false">IF(I101="","",I101*J101)</f>
        <v>2511953.95</v>
      </c>
      <c r="L101" s="34" t="str">
        <f aca="false">IF(H101="","",IFERROR(INDEX(I_Master!$B$6:$B$85,MATCH(H101,I_Master!$A$6:$A$85,0)),"?"))</f>
        <v>RPA</v>
      </c>
      <c r="M101" s="46" t="n">
        <f aca="false">IF(I101="","",IF(OR(A101&lt;I_Parameter!$C$5,A101&gt;I_Parameter!$C$6),0,IF(B101="Aktual",1,IF(AND(B101="Rencana",A101&gt;=I_Parameter!$C$4),1,0))))</f>
        <v>1</v>
      </c>
    </row>
    <row r="102" customFormat="false" ht="15" hidden="false" customHeight="false" outlineLevel="0" collapsed="false">
      <c r="A102" s="37" t="n">
        <v>46262</v>
      </c>
      <c r="B102" s="44" t="s">
        <v>129</v>
      </c>
      <c r="C102" s="44" t="s">
        <v>514</v>
      </c>
      <c r="D102" s="44" t="s">
        <v>534</v>
      </c>
      <c r="E102" s="44" t="s">
        <v>516</v>
      </c>
      <c r="F102" s="44" t="s">
        <v>476</v>
      </c>
      <c r="G102" s="44"/>
      <c r="H102" s="34" t="str">
        <f aca="false">IF(G102&lt;&gt;"",G102,IF(F102="","",IFERROR(INDEX(I_Item!$C$6:$C$255,MATCH(F102,I_Item!$A$6:$A$255,0)),"KODE BARU")))</f>
        <v>RPA|Karkas|Fresh</v>
      </c>
      <c r="I102" s="45" t="n">
        <v>1161.5</v>
      </c>
      <c r="J102" s="42" t="n">
        <v>37491.85</v>
      </c>
      <c r="K102" s="11" t="n">
        <f aca="false">IF(I102="","",I102*J102)</f>
        <v>43546783.775</v>
      </c>
      <c r="L102" s="34" t="str">
        <f aca="false">IF(H102="","",IFERROR(INDEX(I_Master!$B$6:$B$85,MATCH(H102,I_Master!$A$6:$A$85,0)),"?"))</f>
        <v>RPA</v>
      </c>
      <c r="M102" s="46" t="n">
        <f aca="false">IF(I102="","",IF(OR(A102&lt;I_Parameter!$C$5,A102&gt;I_Parameter!$C$6),0,IF(B102="Aktual",1,IF(AND(B102="Rencana",A102&gt;=I_Parameter!$C$4),1,0))))</f>
        <v>1</v>
      </c>
    </row>
    <row r="103" customFormat="false" ht="15" hidden="false" customHeight="false" outlineLevel="0" collapsed="false">
      <c r="A103" s="37" t="n">
        <v>46262</v>
      </c>
      <c r="B103" s="44" t="s">
        <v>129</v>
      </c>
      <c r="C103" s="44" t="s">
        <v>514</v>
      </c>
      <c r="D103" s="44" t="s">
        <v>534</v>
      </c>
      <c r="E103" s="44" t="s">
        <v>516</v>
      </c>
      <c r="F103" s="44" t="s">
        <v>449</v>
      </c>
      <c r="G103" s="44"/>
      <c r="H103" s="34" t="str">
        <f aca="false">IF(G103&lt;&gt;"",G103,IF(F103="","",IFERROR(INDEX(I_Item!$C$6:$C$255,MATCH(F103,I_Item!$A$6:$A$255,0)),"KODE BARU")))</f>
        <v>RPA|Karkas|Frozen</v>
      </c>
      <c r="I103" s="45" t="n">
        <v>113.6</v>
      </c>
      <c r="J103" s="42" t="n">
        <v>34083.5</v>
      </c>
      <c r="K103" s="11" t="n">
        <f aca="false">IF(I103="","",I103*J103)</f>
        <v>3871885.6</v>
      </c>
      <c r="L103" s="34" t="str">
        <f aca="false">IF(H103="","",IFERROR(INDEX(I_Master!$B$6:$B$85,MATCH(H103,I_Master!$A$6:$A$85,0)),"?"))</f>
        <v>RPA</v>
      </c>
      <c r="M103" s="46" t="n">
        <f aca="false">IF(I103="","",IF(OR(A103&lt;I_Parameter!$C$5,A103&gt;I_Parameter!$C$6),0,IF(B103="Aktual",1,IF(AND(B103="Rencana",A103&gt;=I_Parameter!$C$4),1,0))))</f>
        <v>1</v>
      </c>
    </row>
    <row r="104" customFormat="false" ht="15" hidden="false" customHeight="false" outlineLevel="0" collapsed="false">
      <c r="A104" s="37" t="n">
        <v>46262</v>
      </c>
      <c r="B104" s="44" t="s">
        <v>129</v>
      </c>
      <c r="C104" s="44" t="s">
        <v>514</v>
      </c>
      <c r="D104" s="44" t="s">
        <v>534</v>
      </c>
      <c r="E104" s="44" t="s">
        <v>516</v>
      </c>
      <c r="F104" s="44" t="s">
        <v>520</v>
      </c>
      <c r="G104" s="44"/>
      <c r="H104" s="34" t="str">
        <f aca="false">IF(G104&lt;&gt;"",G104,IF(F104="","",IFERROR(INDEX(I_Item!$C$6:$C$255,MATCH(F104,I_Item!$A$6:$A$255,0)),"KODE BARU")))</f>
        <v>RPA|Karkas|Frozen</v>
      </c>
      <c r="I104" s="45" t="n">
        <v>144.7</v>
      </c>
      <c r="J104" s="42" t="n">
        <v>34083.5</v>
      </c>
      <c r="K104" s="11" t="n">
        <f aca="false">IF(I104="","",I104*J104)</f>
        <v>4931882.45</v>
      </c>
      <c r="L104" s="34" t="str">
        <f aca="false">IF(H104="","",IFERROR(INDEX(I_Master!$B$6:$B$85,MATCH(H104,I_Master!$A$6:$A$85,0)),"?"))</f>
        <v>RPA</v>
      </c>
      <c r="M104" s="46" t="n">
        <f aca="false">IF(I104="","",IF(OR(A104&lt;I_Parameter!$C$5,A104&gt;I_Parameter!$C$6),0,IF(B104="Aktual",1,IF(AND(B104="Rencana",A104&gt;=I_Parameter!$C$4),1,0))))</f>
        <v>1</v>
      </c>
    </row>
    <row r="105" customFormat="false" ht="15" hidden="false" customHeight="false" outlineLevel="0" collapsed="false">
      <c r="A105" s="37" t="n">
        <v>46262</v>
      </c>
      <c r="B105" s="44" t="s">
        <v>129</v>
      </c>
      <c r="C105" s="44" t="s">
        <v>514</v>
      </c>
      <c r="D105" s="44" t="s">
        <v>534</v>
      </c>
      <c r="E105" s="44" t="s">
        <v>516</v>
      </c>
      <c r="F105" s="44" t="s">
        <v>472</v>
      </c>
      <c r="G105" s="44"/>
      <c r="H105" s="34" t="str">
        <f aca="false">IF(G105&lt;&gt;"",G105,IF(F105="","",IFERROR(INDEX(I_Item!$C$6:$C$255,MATCH(F105,I_Item!$A$6:$A$255,0)),"KODE BARU")))</f>
        <v>RPA|Karkas|Frozen</v>
      </c>
      <c r="I105" s="45" t="n">
        <v>1526.8</v>
      </c>
      <c r="J105" s="42" t="n">
        <v>37491.85</v>
      </c>
      <c r="K105" s="11" t="n">
        <f aca="false">IF(I105="","",I105*J105)</f>
        <v>57242556.58</v>
      </c>
      <c r="L105" s="34" t="str">
        <f aca="false">IF(H105="","",IFERROR(INDEX(I_Master!$B$6:$B$85,MATCH(H105,I_Master!$A$6:$A$85,0)),"?"))</f>
        <v>RPA</v>
      </c>
      <c r="M105" s="46" t="n">
        <f aca="false">IF(I105="","",IF(OR(A105&lt;I_Parameter!$C$5,A105&gt;I_Parameter!$C$6),0,IF(B105="Aktual",1,IF(AND(B105="Rencana",A105&gt;=I_Parameter!$C$4),1,0))))</f>
        <v>1</v>
      </c>
    </row>
    <row r="106" customFormat="false" ht="15" hidden="false" customHeight="false" outlineLevel="0" collapsed="false">
      <c r="A106" s="37" t="n">
        <v>46262</v>
      </c>
      <c r="B106" s="44" t="s">
        <v>129</v>
      </c>
      <c r="C106" s="44" t="s">
        <v>514</v>
      </c>
      <c r="D106" s="44" t="s">
        <v>534</v>
      </c>
      <c r="E106" s="44" t="s">
        <v>516</v>
      </c>
      <c r="F106" s="44" t="s">
        <v>497</v>
      </c>
      <c r="G106" s="44"/>
      <c r="H106" s="34" t="str">
        <f aca="false">IF(G106&lt;&gt;"",G106,IF(F106="","",IFERROR(INDEX(I_Item!$C$6:$C$255,MATCH(F106,I_Item!$A$6:$A$255,0)),"KODE BARU")))</f>
        <v>RPA|Karkas|Frozen</v>
      </c>
      <c r="I106" s="45" t="n">
        <v>170.7</v>
      </c>
      <c r="J106" s="42" t="n">
        <v>34083.5</v>
      </c>
      <c r="K106" s="11" t="n">
        <f aca="false">IF(I106="","",I106*J106)</f>
        <v>5818053.45</v>
      </c>
      <c r="L106" s="34" t="str">
        <f aca="false">IF(H106="","",IFERROR(INDEX(I_Master!$B$6:$B$85,MATCH(H106,I_Master!$A$6:$A$85,0)),"?"))</f>
        <v>RPA</v>
      </c>
      <c r="M106" s="46" t="n">
        <f aca="false">IF(I106="","",IF(OR(A106&lt;I_Parameter!$C$5,A106&gt;I_Parameter!$C$6),0,IF(B106="Aktual",1,IF(AND(B106="Rencana",A106&gt;=I_Parameter!$C$4),1,0))))</f>
        <v>1</v>
      </c>
    </row>
    <row r="107" customFormat="false" ht="15" hidden="false" customHeight="false" outlineLevel="0" collapsed="false">
      <c r="A107" s="37" t="n">
        <v>46262</v>
      </c>
      <c r="B107" s="44" t="s">
        <v>129</v>
      </c>
      <c r="C107" s="44" t="s">
        <v>514</v>
      </c>
      <c r="D107" s="44" t="s">
        <v>534</v>
      </c>
      <c r="E107" s="44" t="s">
        <v>516</v>
      </c>
      <c r="F107" s="44" t="s">
        <v>473</v>
      </c>
      <c r="G107" s="44"/>
      <c r="H107" s="34" t="str">
        <f aca="false">IF(G107&lt;&gt;"",G107,IF(F107="","",IFERROR(INDEX(I_Item!$C$6:$C$255,MATCH(F107,I_Item!$A$6:$A$255,0)),"KODE BARU")))</f>
        <v>RPA|Karkas|Frozen</v>
      </c>
      <c r="I107" s="45" t="n">
        <v>1687.6</v>
      </c>
      <c r="J107" s="42" t="n">
        <v>37491.85</v>
      </c>
      <c r="K107" s="11" t="n">
        <f aca="false">IF(I107="","",I107*J107)</f>
        <v>63271246.06</v>
      </c>
      <c r="L107" s="34" t="str">
        <f aca="false">IF(H107="","",IFERROR(INDEX(I_Master!$B$6:$B$85,MATCH(H107,I_Master!$A$6:$A$85,0)),"?"))</f>
        <v>RPA</v>
      </c>
      <c r="M107" s="46" t="n">
        <f aca="false">IF(I107="","",IF(OR(A107&lt;I_Parameter!$C$5,A107&gt;I_Parameter!$C$6),0,IF(B107="Aktual",1,IF(AND(B107="Rencana",A107&gt;=I_Parameter!$C$4),1,0))))</f>
        <v>1</v>
      </c>
    </row>
    <row r="108" customFormat="false" ht="15" hidden="false" customHeight="false" outlineLevel="0" collapsed="false">
      <c r="A108" s="37" t="n">
        <v>46262</v>
      </c>
      <c r="B108" s="44" t="s">
        <v>129</v>
      </c>
      <c r="C108" s="44" t="s">
        <v>514</v>
      </c>
      <c r="D108" s="44" t="s">
        <v>534</v>
      </c>
      <c r="E108" s="44" t="s">
        <v>516</v>
      </c>
      <c r="F108" s="44" t="s">
        <v>459</v>
      </c>
      <c r="G108" s="44"/>
      <c r="H108" s="34" t="str">
        <f aca="false">IF(G108&lt;&gt;"",G108,IF(F108="","",IFERROR(INDEX(I_Item!$C$6:$C$255,MATCH(F108,I_Item!$A$6:$A$255,0)),"KODE BARU")))</f>
        <v>RPA|Karkas|Fresh</v>
      </c>
      <c r="I108" s="45" t="n">
        <v>1953.7</v>
      </c>
      <c r="J108" s="42" t="n">
        <v>37491.85</v>
      </c>
      <c r="K108" s="11" t="n">
        <f aca="false">IF(I108="","",I108*J108)</f>
        <v>73247827.345</v>
      </c>
      <c r="L108" s="34" t="str">
        <f aca="false">IF(H108="","",IFERROR(INDEX(I_Master!$B$6:$B$85,MATCH(H108,I_Master!$A$6:$A$85,0)),"?"))</f>
        <v>RPA</v>
      </c>
      <c r="M108" s="46" t="n">
        <f aca="false">IF(I108="","",IF(OR(A108&lt;I_Parameter!$C$5,A108&gt;I_Parameter!$C$6),0,IF(B108="Aktual",1,IF(AND(B108="Rencana",A108&gt;=I_Parameter!$C$4),1,0))))</f>
        <v>1</v>
      </c>
    </row>
    <row r="109" customFormat="false" ht="15" hidden="false" customHeight="false" outlineLevel="0" collapsed="false">
      <c r="A109" s="37" t="n">
        <v>46262</v>
      </c>
      <c r="B109" s="44" t="s">
        <v>129</v>
      </c>
      <c r="C109" s="44" t="s">
        <v>514</v>
      </c>
      <c r="D109" s="44" t="s">
        <v>534</v>
      </c>
      <c r="E109" s="44" t="s">
        <v>516</v>
      </c>
      <c r="F109" s="44" t="s">
        <v>521</v>
      </c>
      <c r="G109" s="44"/>
      <c r="H109" s="34" t="str">
        <f aca="false">IF(G109&lt;&gt;"",G109,IF(F109="","",IFERROR(INDEX(I_Item!$C$6:$C$255,MATCH(F109,I_Item!$A$6:$A$255,0)),"KODE BARU")))</f>
        <v>RPA|Karkas|Frozen</v>
      </c>
      <c r="I109" s="45" t="n">
        <v>193.5</v>
      </c>
      <c r="J109" s="42" t="n">
        <v>34083.5</v>
      </c>
      <c r="K109" s="11" t="n">
        <f aca="false">IF(I109="","",I109*J109)</f>
        <v>6595157.25</v>
      </c>
      <c r="L109" s="34" t="str">
        <f aca="false">IF(H109="","",IFERROR(INDEX(I_Master!$B$6:$B$85,MATCH(H109,I_Master!$A$6:$A$85,0)),"?"))</f>
        <v>RPA</v>
      </c>
      <c r="M109" s="46" t="n">
        <f aca="false">IF(I109="","",IF(OR(A109&lt;I_Parameter!$C$5,A109&gt;I_Parameter!$C$6),0,IF(B109="Aktual",1,IF(AND(B109="Rencana",A109&gt;=I_Parameter!$C$4),1,0))))</f>
        <v>1</v>
      </c>
    </row>
    <row r="110" customFormat="false" ht="15" hidden="false" customHeight="false" outlineLevel="0" collapsed="false">
      <c r="A110" s="37" t="n">
        <v>46262</v>
      </c>
      <c r="B110" s="44" t="s">
        <v>129</v>
      </c>
      <c r="C110" s="44" t="s">
        <v>514</v>
      </c>
      <c r="D110" s="44" t="s">
        <v>534</v>
      </c>
      <c r="E110" s="44" t="s">
        <v>516</v>
      </c>
      <c r="F110" s="44" t="s">
        <v>460</v>
      </c>
      <c r="G110" s="44"/>
      <c r="H110" s="34" t="str">
        <f aca="false">IF(G110&lt;&gt;"",G110,IF(F110="","",IFERROR(INDEX(I_Item!$C$6:$C$255,MATCH(F110,I_Item!$A$6:$A$255,0)),"KODE BARU")))</f>
        <v>RPA|Karkas|Fresh</v>
      </c>
      <c r="I110" s="45" t="n">
        <v>1496.6</v>
      </c>
      <c r="J110" s="42" t="n">
        <v>37491.85</v>
      </c>
      <c r="K110" s="11" t="n">
        <f aca="false">IF(I110="","",I110*J110)</f>
        <v>56110302.71</v>
      </c>
      <c r="L110" s="34" t="str">
        <f aca="false">IF(H110="","",IFERROR(INDEX(I_Master!$B$6:$B$85,MATCH(H110,I_Master!$A$6:$A$85,0)),"?"))</f>
        <v>RPA</v>
      </c>
      <c r="M110" s="46" t="n">
        <f aca="false">IF(I110="","",IF(OR(A110&lt;I_Parameter!$C$5,A110&gt;I_Parameter!$C$6),0,IF(B110="Aktual",1,IF(AND(B110="Rencana",A110&gt;=I_Parameter!$C$4),1,0))))</f>
        <v>1</v>
      </c>
    </row>
    <row r="111" customFormat="false" ht="15" hidden="false" customHeight="false" outlineLevel="0" collapsed="false">
      <c r="A111" s="37" t="n">
        <v>46262</v>
      </c>
      <c r="B111" s="44" t="s">
        <v>129</v>
      </c>
      <c r="C111" s="44" t="s">
        <v>514</v>
      </c>
      <c r="D111" s="44" t="s">
        <v>534</v>
      </c>
      <c r="E111" s="44" t="s">
        <v>516</v>
      </c>
      <c r="F111" s="44" t="s">
        <v>522</v>
      </c>
      <c r="G111" s="44"/>
      <c r="H111" s="34" t="str">
        <f aca="false">IF(G111&lt;&gt;"",G111,IF(F111="","",IFERROR(INDEX(I_Item!$C$6:$C$255,MATCH(F111,I_Item!$A$6:$A$255,0)),"KODE BARU")))</f>
        <v>RPA|Karkas|Frozen</v>
      </c>
      <c r="I111" s="45" t="n">
        <v>171.1</v>
      </c>
      <c r="J111" s="42" t="n">
        <v>34083.5</v>
      </c>
      <c r="K111" s="11" t="n">
        <f aca="false">IF(I111="","",I111*J111)</f>
        <v>5831686.85</v>
      </c>
      <c r="L111" s="34" t="str">
        <f aca="false">IF(H111="","",IFERROR(INDEX(I_Master!$B$6:$B$85,MATCH(H111,I_Master!$A$6:$A$85,0)),"?"))</f>
        <v>RPA</v>
      </c>
      <c r="M111" s="46" t="n">
        <f aca="false">IF(I111="","",IF(OR(A111&lt;I_Parameter!$C$5,A111&gt;I_Parameter!$C$6),0,IF(B111="Aktual",1,IF(AND(B111="Rencana",A111&gt;=I_Parameter!$C$4),1,0))))</f>
        <v>1</v>
      </c>
    </row>
    <row r="112" customFormat="false" ht="15" hidden="false" customHeight="false" outlineLevel="0" collapsed="false">
      <c r="A112" s="37" t="n">
        <v>46262</v>
      </c>
      <c r="B112" s="44" t="s">
        <v>129</v>
      </c>
      <c r="C112" s="44" t="s">
        <v>514</v>
      </c>
      <c r="D112" s="44" t="s">
        <v>534</v>
      </c>
      <c r="E112" s="44" t="s">
        <v>516</v>
      </c>
      <c r="F112" s="44" t="s">
        <v>486</v>
      </c>
      <c r="G112" s="44"/>
      <c r="H112" s="34" t="str">
        <f aca="false">IF(G112&lt;&gt;"",G112,IF(F112="","",IFERROR(INDEX(I_Item!$C$6:$C$255,MATCH(F112,I_Item!$A$6:$A$255,0)),"KODE BARU")))</f>
        <v>RPA|Karkas|Frozen</v>
      </c>
      <c r="I112" s="45" t="n">
        <v>980.7</v>
      </c>
      <c r="J112" s="42" t="n">
        <v>37491.85</v>
      </c>
      <c r="K112" s="11" t="n">
        <f aca="false">IF(I112="","",I112*J112)</f>
        <v>36768257.295</v>
      </c>
      <c r="L112" s="34" t="str">
        <f aca="false">IF(H112="","",IFERROR(INDEX(I_Master!$B$6:$B$85,MATCH(H112,I_Master!$A$6:$A$85,0)),"?"))</f>
        <v>RPA</v>
      </c>
      <c r="M112" s="46" t="n">
        <f aca="false">IF(I112="","",IF(OR(A112&lt;I_Parameter!$C$5,A112&gt;I_Parameter!$C$6),0,IF(B112="Aktual",1,IF(AND(B112="Rencana",A112&gt;=I_Parameter!$C$4),1,0))))</f>
        <v>1</v>
      </c>
    </row>
    <row r="113" customFormat="false" ht="15" hidden="false" customHeight="false" outlineLevel="0" collapsed="false">
      <c r="A113" s="37" t="n">
        <v>46262</v>
      </c>
      <c r="B113" s="44" t="s">
        <v>129</v>
      </c>
      <c r="C113" s="44" t="s">
        <v>514</v>
      </c>
      <c r="D113" s="44" t="s">
        <v>534</v>
      </c>
      <c r="E113" s="44" t="s">
        <v>516</v>
      </c>
      <c r="F113" s="44" t="s">
        <v>525</v>
      </c>
      <c r="G113" s="44"/>
      <c r="H113" s="34" t="str">
        <f aca="false">IF(G113&lt;&gt;"",G113,IF(F113="","",IFERROR(INDEX(I_Item!$C$6:$C$255,MATCH(F113,I_Item!$A$6:$A$255,0)),"KODE BARU")))</f>
        <v>RPA|Karkas|Frozen</v>
      </c>
      <c r="I113" s="45" t="n">
        <v>31.7</v>
      </c>
      <c r="J113" s="42" t="n">
        <v>34083.5</v>
      </c>
      <c r="K113" s="11" t="n">
        <f aca="false">IF(I113="","",I113*J113)</f>
        <v>1080446.95</v>
      </c>
      <c r="L113" s="34" t="str">
        <f aca="false">IF(H113="","",IFERROR(INDEX(I_Master!$B$6:$B$85,MATCH(H113,I_Master!$A$6:$A$85,0)),"?"))</f>
        <v>RPA</v>
      </c>
      <c r="M113" s="46" t="n">
        <f aca="false">IF(I113="","",IF(OR(A113&lt;I_Parameter!$C$5,A113&gt;I_Parameter!$C$6),0,IF(B113="Aktual",1,IF(AND(B113="Rencana",A113&gt;=I_Parameter!$C$4),1,0))))</f>
        <v>1</v>
      </c>
    </row>
    <row r="114" customFormat="false" ht="15" hidden="false" customHeight="false" outlineLevel="0" collapsed="false">
      <c r="A114" s="37" t="n">
        <v>46262</v>
      </c>
      <c r="B114" s="44" t="s">
        <v>129</v>
      </c>
      <c r="C114" s="44" t="s">
        <v>514</v>
      </c>
      <c r="D114" s="44" t="s">
        <v>534</v>
      </c>
      <c r="E114" s="44" t="s">
        <v>516</v>
      </c>
      <c r="F114" s="44" t="s">
        <v>530</v>
      </c>
      <c r="G114" s="44"/>
      <c r="H114" s="34" t="str">
        <f aca="false">IF(G114&lt;&gt;"",G114,IF(F114="","",IFERROR(INDEX(I_Item!$C$6:$C$255,MATCH(F114,I_Item!$A$6:$A$255,0)),"KODE BARU")))</f>
        <v>RPA|Karkas|Frozen</v>
      </c>
      <c r="I114" s="45" t="n">
        <v>263.3</v>
      </c>
      <c r="J114" s="42" t="n">
        <v>37491.85</v>
      </c>
      <c r="K114" s="11" t="n">
        <f aca="false">IF(I114="","",I114*J114)</f>
        <v>9871604.105</v>
      </c>
      <c r="L114" s="34" t="str">
        <f aca="false">IF(H114="","",IFERROR(INDEX(I_Master!$B$6:$B$85,MATCH(H114,I_Master!$A$6:$A$85,0)),"?"))</f>
        <v>RPA</v>
      </c>
      <c r="M114" s="46" t="n">
        <f aca="false">IF(I114="","",IF(OR(A114&lt;I_Parameter!$C$5,A114&gt;I_Parameter!$C$6),0,IF(B114="Aktual",1,IF(AND(B114="Rencana",A114&gt;=I_Parameter!$C$4),1,0))))</f>
        <v>1</v>
      </c>
    </row>
    <row r="115" customFormat="false" ht="15" hidden="false" customHeight="false" outlineLevel="0" collapsed="false">
      <c r="A115" s="37" t="n">
        <v>46262</v>
      </c>
      <c r="B115" s="44" t="s">
        <v>129</v>
      </c>
      <c r="C115" s="44" t="s">
        <v>514</v>
      </c>
      <c r="D115" s="44" t="s">
        <v>534</v>
      </c>
      <c r="E115" s="44" t="s">
        <v>516</v>
      </c>
      <c r="F115" s="44" t="s">
        <v>527</v>
      </c>
      <c r="G115" s="44"/>
      <c r="H115" s="34" t="str">
        <f aca="false">IF(G115&lt;&gt;"",G115,IF(F115="","",IFERROR(INDEX(I_Item!$C$6:$C$255,MATCH(F115,I_Item!$A$6:$A$255,0)),"KODE BARU")))</f>
        <v>RPA|Karkas|Frozen</v>
      </c>
      <c r="I115" s="45" t="n">
        <v>56.4</v>
      </c>
      <c r="J115" s="42" t="n">
        <v>37491.85</v>
      </c>
      <c r="K115" s="11" t="n">
        <f aca="false">IF(I115="","",I115*J115)</f>
        <v>2114540.34</v>
      </c>
      <c r="L115" s="34" t="str">
        <f aca="false">IF(H115="","",IFERROR(INDEX(I_Master!$B$6:$B$85,MATCH(H115,I_Master!$A$6:$A$85,0)),"?"))</f>
        <v>RPA</v>
      </c>
      <c r="M115" s="46" t="n">
        <f aca="false">IF(I115="","",IF(OR(A115&lt;I_Parameter!$C$5,A115&gt;I_Parameter!$C$6),0,IF(B115="Aktual",1,IF(AND(B115="Rencana",A115&gt;=I_Parameter!$C$4),1,0))))</f>
        <v>1</v>
      </c>
    </row>
    <row r="116" customFormat="false" ht="15" hidden="false" customHeight="false" outlineLevel="0" collapsed="false">
      <c r="A116" s="37" t="n">
        <v>46262</v>
      </c>
      <c r="B116" s="44" t="s">
        <v>129</v>
      </c>
      <c r="C116" s="44" t="s">
        <v>514</v>
      </c>
      <c r="D116" s="44" t="s">
        <v>534</v>
      </c>
      <c r="E116" s="44" t="s">
        <v>516</v>
      </c>
      <c r="F116" s="44" t="s">
        <v>531</v>
      </c>
      <c r="G116" s="44"/>
      <c r="H116" s="34" t="str">
        <f aca="false">IF(G116&lt;&gt;"",G116,IF(F116="","",IFERROR(INDEX(I_Item!$C$6:$C$255,MATCH(F116,I_Item!$A$6:$A$255,0)),"KODE BARU")))</f>
        <v>RPA|Karkas|Frozen</v>
      </c>
      <c r="I116" s="45" t="n">
        <v>22.5</v>
      </c>
      <c r="J116" s="42" t="n">
        <v>37491.85</v>
      </c>
      <c r="K116" s="11" t="n">
        <f aca="false">IF(I116="","",I116*J116)</f>
        <v>843566.625</v>
      </c>
      <c r="L116" s="34" t="str">
        <f aca="false">IF(H116="","",IFERROR(INDEX(I_Master!$B$6:$B$85,MATCH(H116,I_Master!$A$6:$A$85,0)),"?"))</f>
        <v>RPA</v>
      </c>
      <c r="M116" s="46" t="n">
        <f aca="false">IF(I116="","",IF(OR(A116&lt;I_Parameter!$C$5,A116&gt;I_Parameter!$C$6),0,IF(B116="Aktual",1,IF(AND(B116="Rencana",A116&gt;=I_Parameter!$C$4),1,0))))</f>
        <v>1</v>
      </c>
    </row>
    <row r="117" customFormat="false" ht="15" hidden="false" customHeight="false" outlineLevel="0" collapsed="false">
      <c r="A117" s="37" t="n">
        <v>46262</v>
      </c>
      <c r="B117" s="44" t="s">
        <v>129</v>
      </c>
      <c r="C117" s="44" t="s">
        <v>514</v>
      </c>
      <c r="D117" s="44" t="s">
        <v>534</v>
      </c>
      <c r="E117" s="44" t="s">
        <v>516</v>
      </c>
      <c r="F117" s="44" t="s">
        <v>474</v>
      </c>
      <c r="G117" s="44"/>
      <c r="H117" s="34" t="str">
        <f aca="false">IF(G117&lt;&gt;"",G117,IF(F117="","",IFERROR(INDEX(I_Item!$C$6:$C$255,MATCH(F117,I_Item!$A$6:$A$255,0)),"KODE BARU")))</f>
        <v>RPA|Karkas|Frozen</v>
      </c>
      <c r="I117" s="45" t="n">
        <v>578.7</v>
      </c>
      <c r="J117" s="42" t="n">
        <v>37491.85</v>
      </c>
      <c r="K117" s="11" t="n">
        <f aca="false">IF(I117="","",I117*J117)</f>
        <v>21696533.595</v>
      </c>
      <c r="L117" s="34" t="str">
        <f aca="false">IF(H117="","",IFERROR(INDEX(I_Master!$B$6:$B$85,MATCH(H117,I_Master!$A$6:$A$85,0)),"?"))</f>
        <v>RPA</v>
      </c>
      <c r="M117" s="46" t="n">
        <f aca="false">IF(I117="","",IF(OR(A117&lt;I_Parameter!$C$5,A117&gt;I_Parameter!$C$6),0,IF(B117="Aktual",1,IF(AND(B117="Rencana",A117&gt;=I_Parameter!$C$4),1,0))))</f>
        <v>1</v>
      </c>
    </row>
    <row r="118" customFormat="false" ht="15" hidden="false" customHeight="false" outlineLevel="0" collapsed="false">
      <c r="A118" s="37" t="n">
        <v>46262</v>
      </c>
      <c r="B118" s="44" t="s">
        <v>129</v>
      </c>
      <c r="C118" s="44" t="s">
        <v>514</v>
      </c>
      <c r="D118" s="44" t="s">
        <v>534</v>
      </c>
      <c r="E118" s="44" t="s">
        <v>516</v>
      </c>
      <c r="F118" s="44" t="s">
        <v>467</v>
      </c>
      <c r="G118" s="44"/>
      <c r="H118" s="34" t="str">
        <f aca="false">IF(G118&lt;&gt;"",G118,IF(F118="","",IFERROR(INDEX(I_Item!$C$6:$C$255,MATCH(F118,I_Item!$A$6:$A$255,0)),"KODE BARU")))</f>
        <v>RPA|Karkas|Frozen</v>
      </c>
      <c r="I118" s="45" t="n">
        <v>194.4</v>
      </c>
      <c r="J118" s="42" t="n">
        <v>37491.85</v>
      </c>
      <c r="K118" s="11" t="n">
        <f aca="false">IF(I118="","",I118*J118)</f>
        <v>7288415.64</v>
      </c>
      <c r="L118" s="34" t="str">
        <f aca="false">IF(H118="","",IFERROR(INDEX(I_Master!$B$6:$B$85,MATCH(H118,I_Master!$A$6:$A$85,0)),"?"))</f>
        <v>RPA</v>
      </c>
      <c r="M118" s="46" t="n">
        <f aca="false">IF(I118="","",IF(OR(A118&lt;I_Parameter!$C$5,A118&gt;I_Parameter!$C$6),0,IF(B118="Aktual",1,IF(AND(B118="Rencana",A118&gt;=I_Parameter!$C$4),1,0))))</f>
        <v>1</v>
      </c>
    </row>
    <row r="119" customFormat="false" ht="15" hidden="false" customHeight="false" outlineLevel="0" collapsed="false">
      <c r="A119" s="37" t="n">
        <v>46262</v>
      </c>
      <c r="B119" s="44" t="s">
        <v>129</v>
      </c>
      <c r="C119" s="44" t="s">
        <v>514</v>
      </c>
      <c r="D119" s="44" t="s">
        <v>534</v>
      </c>
      <c r="E119" s="44" t="s">
        <v>516</v>
      </c>
      <c r="F119" s="44" t="s">
        <v>490</v>
      </c>
      <c r="G119" s="44"/>
      <c r="H119" s="34" t="str">
        <f aca="false">IF(G119&lt;&gt;"",G119,IF(F119="","",IFERROR(INDEX(I_Item!$C$6:$C$255,MATCH(F119,I_Item!$A$6:$A$255,0)),"KODE BARU")))</f>
        <v>RPA|Karkas|Frozen</v>
      </c>
      <c r="I119" s="45" t="n">
        <v>12.6</v>
      </c>
      <c r="J119" s="42" t="n">
        <v>37491.85</v>
      </c>
      <c r="K119" s="11" t="n">
        <f aca="false">IF(I119="","",I119*J119)</f>
        <v>472397.31</v>
      </c>
      <c r="L119" s="34" t="str">
        <f aca="false">IF(H119="","",IFERROR(INDEX(I_Master!$B$6:$B$85,MATCH(H119,I_Master!$A$6:$A$85,0)),"?"))</f>
        <v>RPA</v>
      </c>
      <c r="M119" s="46" t="n">
        <f aca="false">IF(I119="","",IF(OR(A119&lt;I_Parameter!$C$5,A119&gt;I_Parameter!$C$6),0,IF(B119="Aktual",1,IF(AND(B119="Rencana",A119&gt;=I_Parameter!$C$4),1,0))))</f>
        <v>1</v>
      </c>
    </row>
    <row r="120" customFormat="false" ht="15" hidden="false" customHeight="false" outlineLevel="0" collapsed="false">
      <c r="A120" s="37" t="n">
        <v>46262</v>
      </c>
      <c r="B120" s="44" t="s">
        <v>129</v>
      </c>
      <c r="C120" s="44" t="s">
        <v>514</v>
      </c>
      <c r="D120" s="44" t="s">
        <v>534</v>
      </c>
      <c r="E120" s="44" t="s">
        <v>516</v>
      </c>
      <c r="F120" s="44" t="s">
        <v>433</v>
      </c>
      <c r="G120" s="44"/>
      <c r="H120" s="34" t="str">
        <f aca="false">IF(G120&lt;&gt;"",G120,IF(F120="","",IFERROR(INDEX(I_Item!$C$6:$C$255,MATCH(F120,I_Item!$A$6:$A$255,0)),"KODE BARU")))</f>
        <v>RPA|Karkas|Frozen</v>
      </c>
      <c r="I120" s="45" t="n">
        <v>39.7</v>
      </c>
      <c r="J120" s="42" t="n">
        <v>37491.85</v>
      </c>
      <c r="K120" s="11" t="n">
        <f aca="false">IF(I120="","",I120*J120)</f>
        <v>1488426.445</v>
      </c>
      <c r="L120" s="34" t="str">
        <f aca="false">IF(H120="","",IFERROR(INDEX(I_Master!$B$6:$B$85,MATCH(H120,I_Master!$A$6:$A$85,0)),"?"))</f>
        <v>RPA</v>
      </c>
      <c r="M120" s="46" t="n">
        <f aca="false">IF(I120="","",IF(OR(A120&lt;I_Parameter!$C$5,A120&gt;I_Parameter!$C$6),0,IF(B120="Aktual",1,IF(AND(B120="Rencana",A120&gt;=I_Parameter!$C$4),1,0))))</f>
        <v>1</v>
      </c>
    </row>
    <row r="121" customFormat="false" ht="15" hidden="false" customHeight="false" outlineLevel="0" collapsed="false">
      <c r="A121" s="37"/>
      <c r="B121" s="44"/>
      <c r="C121" s="44"/>
      <c r="D121" s="44"/>
      <c r="E121" s="44"/>
      <c r="F121" s="44"/>
      <c r="G121" s="44"/>
      <c r="H121" s="34" t="str">
        <f aca="false">IF(G121&lt;&gt;"",G121,IF(F121="","",IFERROR(INDEX(I_Item!$C$6:$C$255,MATCH(F121,I_Item!$A$6:$A$255,0)),"KODE BARU")))</f>
        <v/>
      </c>
      <c r="I121" s="45"/>
      <c r="J121" s="42"/>
      <c r="K121" s="11" t="str">
        <f aca="false">IF(I121="","",I121*J121)</f>
        <v/>
      </c>
      <c r="L121" s="34" t="str">
        <f aca="false">IF(H121="","",IFERROR(INDEX(I_Master!$B$6:$B$85,MATCH(H121,I_Master!$A$6:$A$85,0)),"?"))</f>
        <v/>
      </c>
      <c r="M121" s="46" t="str">
        <f aca="false">IF(I121="","",IF(OR(A121&lt;I_Parameter!$C$5,A121&gt;I_Parameter!$C$6),0,IF(B121="Aktual",1,IF(AND(B121="Rencana",A121&gt;=I_Parameter!$C$4),1,0))))</f>
        <v/>
      </c>
    </row>
    <row r="122" customFormat="false" ht="15" hidden="false" customHeight="false" outlineLevel="0" collapsed="false">
      <c r="A122" s="37"/>
      <c r="B122" s="44"/>
      <c r="C122" s="44"/>
      <c r="D122" s="44"/>
      <c r="E122" s="44"/>
      <c r="F122" s="44"/>
      <c r="G122" s="44"/>
      <c r="H122" s="34" t="str">
        <f aca="false">IF(G122&lt;&gt;"",G122,IF(F122="","",IFERROR(INDEX(I_Item!$C$6:$C$255,MATCH(F122,I_Item!$A$6:$A$255,0)),"KODE BARU")))</f>
        <v/>
      </c>
      <c r="I122" s="45"/>
      <c r="J122" s="42"/>
      <c r="K122" s="11" t="str">
        <f aca="false">IF(I122="","",I122*J122)</f>
        <v/>
      </c>
      <c r="L122" s="34" t="str">
        <f aca="false">IF(H122="","",IFERROR(INDEX(I_Master!$B$6:$B$85,MATCH(H122,I_Master!$A$6:$A$85,0)),"?"))</f>
        <v/>
      </c>
      <c r="M122" s="46" t="str">
        <f aca="false">IF(I122="","",IF(OR(A122&lt;I_Parameter!$C$5,A122&gt;I_Parameter!$C$6),0,IF(B122="Aktual",1,IF(AND(B122="Rencana",A122&gt;=I_Parameter!$C$4),1,0))))</f>
        <v/>
      </c>
    </row>
    <row r="123" customFormat="false" ht="15" hidden="false" customHeight="false" outlineLevel="0" collapsed="false">
      <c r="A123" s="37"/>
      <c r="B123" s="44"/>
      <c r="C123" s="44"/>
      <c r="D123" s="44"/>
      <c r="E123" s="44"/>
      <c r="F123" s="44"/>
      <c r="G123" s="44"/>
      <c r="H123" s="34" t="str">
        <f aca="false">IF(G123&lt;&gt;"",G123,IF(F123="","",IFERROR(INDEX(I_Item!$C$6:$C$255,MATCH(F123,I_Item!$A$6:$A$255,0)),"KODE BARU")))</f>
        <v/>
      </c>
      <c r="I123" s="45"/>
      <c r="J123" s="42"/>
      <c r="K123" s="11" t="str">
        <f aca="false">IF(I123="","",I123*J123)</f>
        <v/>
      </c>
      <c r="L123" s="34" t="str">
        <f aca="false">IF(H123="","",IFERROR(INDEX(I_Master!$B$6:$B$85,MATCH(H123,I_Master!$A$6:$A$85,0)),"?"))</f>
        <v/>
      </c>
      <c r="M123" s="46" t="str">
        <f aca="false">IF(I123="","",IF(OR(A123&lt;I_Parameter!$C$5,A123&gt;I_Parameter!$C$6),0,IF(B123="Aktual",1,IF(AND(B123="Rencana",A123&gt;=I_Parameter!$C$4),1,0))))</f>
        <v/>
      </c>
    </row>
    <row r="124" customFormat="false" ht="15" hidden="false" customHeight="false" outlineLevel="0" collapsed="false">
      <c r="A124" s="37"/>
      <c r="B124" s="44"/>
      <c r="C124" s="44"/>
      <c r="D124" s="44"/>
      <c r="E124" s="44"/>
      <c r="F124" s="44"/>
      <c r="G124" s="44"/>
      <c r="H124" s="34" t="str">
        <f aca="false">IF(G124&lt;&gt;"",G124,IF(F124="","",IFERROR(INDEX(I_Item!$C$6:$C$255,MATCH(F124,I_Item!$A$6:$A$255,0)),"KODE BARU")))</f>
        <v/>
      </c>
      <c r="I124" s="45"/>
      <c r="J124" s="42"/>
      <c r="K124" s="11" t="str">
        <f aca="false">IF(I124="","",I124*J124)</f>
        <v/>
      </c>
      <c r="L124" s="34" t="str">
        <f aca="false">IF(H124="","",IFERROR(INDEX(I_Master!$B$6:$B$85,MATCH(H124,I_Master!$A$6:$A$85,0)),"?"))</f>
        <v/>
      </c>
      <c r="M124" s="46" t="str">
        <f aca="false">IF(I124="","",IF(OR(A124&lt;I_Parameter!$C$5,A124&gt;I_Parameter!$C$6),0,IF(B124="Aktual",1,IF(AND(B124="Rencana",A124&gt;=I_Parameter!$C$4),1,0))))</f>
        <v/>
      </c>
    </row>
    <row r="125" customFormat="false" ht="15" hidden="false" customHeight="false" outlineLevel="0" collapsed="false">
      <c r="A125" s="37"/>
      <c r="B125" s="44"/>
      <c r="C125" s="44"/>
      <c r="D125" s="44"/>
      <c r="E125" s="44"/>
      <c r="F125" s="44"/>
      <c r="G125" s="44"/>
      <c r="H125" s="34" t="str">
        <f aca="false">IF(G125&lt;&gt;"",G125,IF(F125="","",IFERROR(INDEX(I_Item!$C$6:$C$255,MATCH(F125,I_Item!$A$6:$A$255,0)),"KODE BARU")))</f>
        <v/>
      </c>
      <c r="I125" s="45"/>
      <c r="J125" s="42"/>
      <c r="K125" s="11" t="str">
        <f aca="false">IF(I125="","",I125*J125)</f>
        <v/>
      </c>
      <c r="L125" s="34" t="str">
        <f aca="false">IF(H125="","",IFERROR(INDEX(I_Master!$B$6:$B$85,MATCH(H125,I_Master!$A$6:$A$85,0)),"?"))</f>
        <v/>
      </c>
      <c r="M125" s="46" t="str">
        <f aca="false">IF(I125="","",IF(OR(A125&lt;I_Parameter!$C$5,A125&gt;I_Parameter!$C$6),0,IF(B125="Aktual",1,IF(AND(B125="Rencana",A125&gt;=I_Parameter!$C$4),1,0))))</f>
        <v/>
      </c>
    </row>
    <row r="126" customFormat="false" ht="15" hidden="false" customHeight="false" outlineLevel="0" collapsed="false">
      <c r="A126" s="37"/>
      <c r="B126" s="44"/>
      <c r="C126" s="44"/>
      <c r="D126" s="44"/>
      <c r="E126" s="44"/>
      <c r="F126" s="44"/>
      <c r="G126" s="44"/>
      <c r="H126" s="34" t="str">
        <f aca="false">IF(G126&lt;&gt;"",G126,IF(F126="","",IFERROR(INDEX(I_Item!$C$6:$C$255,MATCH(F126,I_Item!$A$6:$A$255,0)),"KODE BARU")))</f>
        <v/>
      </c>
      <c r="I126" s="45"/>
      <c r="J126" s="42"/>
      <c r="K126" s="11" t="str">
        <f aca="false">IF(I126="","",I126*J126)</f>
        <v/>
      </c>
      <c r="L126" s="34" t="str">
        <f aca="false">IF(H126="","",IFERROR(INDEX(I_Master!$B$6:$B$85,MATCH(H126,I_Master!$A$6:$A$85,0)),"?"))</f>
        <v/>
      </c>
      <c r="M126" s="46" t="str">
        <f aca="false">IF(I126="","",IF(OR(A126&lt;I_Parameter!$C$5,A126&gt;I_Parameter!$C$6),0,IF(B126="Aktual",1,IF(AND(B126="Rencana",A126&gt;=I_Parameter!$C$4),1,0))))</f>
        <v/>
      </c>
    </row>
    <row r="127" customFormat="false" ht="15" hidden="false" customHeight="false" outlineLevel="0" collapsed="false">
      <c r="A127" s="37"/>
      <c r="B127" s="44"/>
      <c r="C127" s="44"/>
      <c r="D127" s="44"/>
      <c r="E127" s="44"/>
      <c r="F127" s="44"/>
      <c r="G127" s="44"/>
      <c r="H127" s="34" t="str">
        <f aca="false">IF(G127&lt;&gt;"",G127,IF(F127="","",IFERROR(INDEX(I_Item!$C$6:$C$255,MATCH(F127,I_Item!$A$6:$A$255,0)),"KODE BARU")))</f>
        <v/>
      </c>
      <c r="I127" s="45"/>
      <c r="J127" s="42"/>
      <c r="K127" s="11" t="str">
        <f aca="false">IF(I127="","",I127*J127)</f>
        <v/>
      </c>
      <c r="L127" s="34" t="str">
        <f aca="false">IF(H127="","",IFERROR(INDEX(I_Master!$B$6:$B$85,MATCH(H127,I_Master!$A$6:$A$85,0)),"?"))</f>
        <v/>
      </c>
      <c r="M127" s="46" t="str">
        <f aca="false">IF(I127="","",IF(OR(A127&lt;I_Parameter!$C$5,A127&gt;I_Parameter!$C$6),0,IF(B127="Aktual",1,IF(AND(B127="Rencana",A127&gt;=I_Parameter!$C$4),1,0))))</f>
        <v/>
      </c>
    </row>
    <row r="128" customFormat="false" ht="15" hidden="false" customHeight="false" outlineLevel="0" collapsed="false">
      <c r="A128" s="37"/>
      <c r="B128" s="44"/>
      <c r="C128" s="44"/>
      <c r="D128" s="44"/>
      <c r="E128" s="44"/>
      <c r="F128" s="44"/>
      <c r="G128" s="44"/>
      <c r="H128" s="34" t="str">
        <f aca="false">IF(G128&lt;&gt;"",G128,IF(F128="","",IFERROR(INDEX(I_Item!$C$6:$C$255,MATCH(F128,I_Item!$A$6:$A$255,0)),"KODE BARU")))</f>
        <v/>
      </c>
      <c r="I128" s="45"/>
      <c r="J128" s="42"/>
      <c r="K128" s="11" t="str">
        <f aca="false">IF(I128="","",I128*J128)</f>
        <v/>
      </c>
      <c r="L128" s="34" t="str">
        <f aca="false">IF(H128="","",IFERROR(INDEX(I_Master!$B$6:$B$85,MATCH(H128,I_Master!$A$6:$A$85,0)),"?"))</f>
        <v/>
      </c>
      <c r="M128" s="46" t="str">
        <f aca="false">IF(I128="","",IF(OR(A128&lt;I_Parameter!$C$5,A128&gt;I_Parameter!$C$6),0,IF(B128="Aktual",1,IF(AND(B128="Rencana",A128&gt;=I_Parameter!$C$4),1,0))))</f>
        <v/>
      </c>
    </row>
    <row r="129" customFormat="false" ht="15" hidden="false" customHeight="false" outlineLevel="0" collapsed="false">
      <c r="A129" s="37"/>
      <c r="B129" s="44"/>
      <c r="C129" s="44"/>
      <c r="D129" s="44"/>
      <c r="E129" s="44"/>
      <c r="F129" s="44"/>
      <c r="G129" s="44"/>
      <c r="H129" s="34" t="str">
        <f aca="false">IF(G129&lt;&gt;"",G129,IF(F129="","",IFERROR(INDEX(I_Item!$C$6:$C$255,MATCH(F129,I_Item!$A$6:$A$255,0)),"KODE BARU")))</f>
        <v/>
      </c>
      <c r="I129" s="45"/>
      <c r="J129" s="42"/>
      <c r="K129" s="11" t="str">
        <f aca="false">IF(I129="","",I129*J129)</f>
        <v/>
      </c>
      <c r="L129" s="34" t="str">
        <f aca="false">IF(H129="","",IFERROR(INDEX(I_Master!$B$6:$B$85,MATCH(H129,I_Master!$A$6:$A$85,0)),"?"))</f>
        <v/>
      </c>
      <c r="M129" s="46" t="str">
        <f aca="false">IF(I129="","",IF(OR(A129&lt;I_Parameter!$C$5,A129&gt;I_Parameter!$C$6),0,IF(B129="Aktual",1,IF(AND(B129="Rencana",A129&gt;=I_Parameter!$C$4),1,0))))</f>
        <v/>
      </c>
    </row>
    <row r="130" customFormat="false" ht="15" hidden="false" customHeight="false" outlineLevel="0" collapsed="false">
      <c r="A130" s="37"/>
      <c r="B130" s="44"/>
      <c r="C130" s="44"/>
      <c r="D130" s="44"/>
      <c r="E130" s="44"/>
      <c r="F130" s="44"/>
      <c r="G130" s="44"/>
      <c r="H130" s="34" t="str">
        <f aca="false">IF(G130&lt;&gt;"",G130,IF(F130="","",IFERROR(INDEX(I_Item!$C$6:$C$255,MATCH(F130,I_Item!$A$6:$A$255,0)),"KODE BARU")))</f>
        <v/>
      </c>
      <c r="I130" s="45"/>
      <c r="J130" s="42"/>
      <c r="K130" s="11" t="str">
        <f aca="false">IF(I130="","",I130*J130)</f>
        <v/>
      </c>
      <c r="L130" s="34" t="str">
        <f aca="false">IF(H130="","",IFERROR(INDEX(I_Master!$B$6:$B$85,MATCH(H130,I_Master!$A$6:$A$85,0)),"?"))</f>
        <v/>
      </c>
      <c r="M130" s="46" t="str">
        <f aca="false">IF(I130="","",IF(OR(A130&lt;I_Parameter!$C$5,A130&gt;I_Parameter!$C$6),0,IF(B130="Aktual",1,IF(AND(B130="Rencana",A130&gt;=I_Parameter!$C$4),1,0))))</f>
        <v/>
      </c>
    </row>
    <row r="131" customFormat="false" ht="15" hidden="false" customHeight="false" outlineLevel="0" collapsed="false">
      <c r="A131" s="37"/>
      <c r="B131" s="44"/>
      <c r="C131" s="44"/>
      <c r="D131" s="44"/>
      <c r="E131" s="44"/>
      <c r="F131" s="44"/>
      <c r="G131" s="44"/>
      <c r="H131" s="34" t="str">
        <f aca="false">IF(G131&lt;&gt;"",G131,IF(F131="","",IFERROR(INDEX(I_Item!$C$6:$C$255,MATCH(F131,I_Item!$A$6:$A$255,0)),"KODE BARU")))</f>
        <v/>
      </c>
      <c r="I131" s="45"/>
      <c r="J131" s="42"/>
      <c r="K131" s="11" t="str">
        <f aca="false">IF(I131="","",I131*J131)</f>
        <v/>
      </c>
      <c r="L131" s="34" t="str">
        <f aca="false">IF(H131="","",IFERROR(INDEX(I_Master!$B$6:$B$85,MATCH(H131,I_Master!$A$6:$A$85,0)),"?"))</f>
        <v/>
      </c>
      <c r="M131" s="46" t="str">
        <f aca="false">IF(I131="","",IF(OR(A131&lt;I_Parameter!$C$5,A131&gt;I_Parameter!$C$6),0,IF(B131="Aktual",1,IF(AND(B131="Rencana",A131&gt;=I_Parameter!$C$4),1,0))))</f>
        <v/>
      </c>
    </row>
    <row r="132" customFormat="false" ht="15" hidden="false" customHeight="false" outlineLevel="0" collapsed="false">
      <c r="A132" s="37"/>
      <c r="B132" s="44"/>
      <c r="C132" s="44"/>
      <c r="D132" s="44"/>
      <c r="E132" s="44"/>
      <c r="F132" s="44"/>
      <c r="G132" s="44"/>
      <c r="H132" s="34" t="str">
        <f aca="false">IF(G132&lt;&gt;"",G132,IF(F132="","",IFERROR(INDEX(I_Item!$C$6:$C$255,MATCH(F132,I_Item!$A$6:$A$255,0)),"KODE BARU")))</f>
        <v/>
      </c>
      <c r="I132" s="45"/>
      <c r="J132" s="42"/>
      <c r="K132" s="11" t="str">
        <f aca="false">IF(I132="","",I132*J132)</f>
        <v/>
      </c>
      <c r="L132" s="34" t="str">
        <f aca="false">IF(H132="","",IFERROR(INDEX(I_Master!$B$6:$B$85,MATCH(H132,I_Master!$A$6:$A$85,0)),"?"))</f>
        <v/>
      </c>
      <c r="M132" s="46" t="str">
        <f aca="false">IF(I132="","",IF(OR(A132&lt;I_Parameter!$C$5,A132&gt;I_Parameter!$C$6),0,IF(B132="Aktual",1,IF(AND(B132="Rencana",A132&gt;=I_Parameter!$C$4),1,0))))</f>
        <v/>
      </c>
    </row>
    <row r="133" customFormat="false" ht="15" hidden="false" customHeight="false" outlineLevel="0" collapsed="false">
      <c r="A133" s="37"/>
      <c r="B133" s="44"/>
      <c r="C133" s="44"/>
      <c r="D133" s="44"/>
      <c r="E133" s="44"/>
      <c r="F133" s="44"/>
      <c r="G133" s="44"/>
      <c r="H133" s="34" t="str">
        <f aca="false">IF(G133&lt;&gt;"",G133,IF(F133="","",IFERROR(INDEX(I_Item!$C$6:$C$255,MATCH(F133,I_Item!$A$6:$A$255,0)),"KODE BARU")))</f>
        <v/>
      </c>
      <c r="I133" s="45"/>
      <c r="J133" s="42"/>
      <c r="K133" s="11" t="str">
        <f aca="false">IF(I133="","",I133*J133)</f>
        <v/>
      </c>
      <c r="L133" s="34" t="str">
        <f aca="false">IF(H133="","",IFERROR(INDEX(I_Master!$B$6:$B$85,MATCH(H133,I_Master!$A$6:$A$85,0)),"?"))</f>
        <v/>
      </c>
      <c r="M133" s="46" t="str">
        <f aca="false">IF(I133="","",IF(OR(A133&lt;I_Parameter!$C$5,A133&gt;I_Parameter!$C$6),0,IF(B133="Aktual",1,IF(AND(B133="Rencana",A133&gt;=I_Parameter!$C$4),1,0))))</f>
        <v/>
      </c>
    </row>
    <row r="134" customFormat="false" ht="15" hidden="false" customHeight="false" outlineLevel="0" collapsed="false">
      <c r="A134" s="37"/>
      <c r="B134" s="44"/>
      <c r="C134" s="44"/>
      <c r="D134" s="44"/>
      <c r="E134" s="44"/>
      <c r="F134" s="44"/>
      <c r="G134" s="44"/>
      <c r="H134" s="34" t="str">
        <f aca="false">IF(G134&lt;&gt;"",G134,IF(F134="","",IFERROR(INDEX(I_Item!$C$6:$C$255,MATCH(F134,I_Item!$A$6:$A$255,0)),"KODE BARU")))</f>
        <v/>
      </c>
      <c r="I134" s="45"/>
      <c r="J134" s="42"/>
      <c r="K134" s="11" t="str">
        <f aca="false">IF(I134="","",I134*J134)</f>
        <v/>
      </c>
      <c r="L134" s="34" t="str">
        <f aca="false">IF(H134="","",IFERROR(INDEX(I_Master!$B$6:$B$85,MATCH(H134,I_Master!$A$6:$A$85,0)),"?"))</f>
        <v/>
      </c>
      <c r="M134" s="46" t="str">
        <f aca="false">IF(I134="","",IF(OR(A134&lt;I_Parameter!$C$5,A134&gt;I_Parameter!$C$6),0,IF(B134="Aktual",1,IF(AND(B134="Rencana",A134&gt;=I_Parameter!$C$4),1,0))))</f>
        <v/>
      </c>
    </row>
    <row r="135" customFormat="false" ht="15" hidden="false" customHeight="false" outlineLevel="0" collapsed="false">
      <c r="A135" s="37"/>
      <c r="B135" s="44"/>
      <c r="C135" s="44"/>
      <c r="D135" s="44"/>
      <c r="E135" s="44"/>
      <c r="F135" s="44"/>
      <c r="G135" s="44"/>
      <c r="H135" s="34" t="str">
        <f aca="false">IF(G135&lt;&gt;"",G135,IF(F135="","",IFERROR(INDEX(I_Item!$C$6:$C$255,MATCH(F135,I_Item!$A$6:$A$255,0)),"KODE BARU")))</f>
        <v/>
      </c>
      <c r="I135" s="45"/>
      <c r="J135" s="42"/>
      <c r="K135" s="11" t="str">
        <f aca="false">IF(I135="","",I135*J135)</f>
        <v/>
      </c>
      <c r="L135" s="34" t="str">
        <f aca="false">IF(H135="","",IFERROR(INDEX(I_Master!$B$6:$B$85,MATCH(H135,I_Master!$A$6:$A$85,0)),"?"))</f>
        <v/>
      </c>
      <c r="M135" s="46" t="str">
        <f aca="false">IF(I135="","",IF(OR(A135&lt;I_Parameter!$C$5,A135&gt;I_Parameter!$C$6),0,IF(B135="Aktual",1,IF(AND(B135="Rencana",A135&gt;=I_Parameter!$C$4),1,0))))</f>
        <v/>
      </c>
    </row>
    <row r="136" customFormat="false" ht="15" hidden="false" customHeight="false" outlineLevel="0" collapsed="false">
      <c r="A136" s="37"/>
      <c r="B136" s="44"/>
      <c r="C136" s="44"/>
      <c r="D136" s="44"/>
      <c r="E136" s="44"/>
      <c r="F136" s="44"/>
      <c r="G136" s="44"/>
      <c r="H136" s="34" t="str">
        <f aca="false">IF(G136&lt;&gt;"",G136,IF(F136="","",IFERROR(INDEX(I_Item!$C$6:$C$255,MATCH(F136,I_Item!$A$6:$A$255,0)),"KODE BARU")))</f>
        <v/>
      </c>
      <c r="I136" s="45"/>
      <c r="J136" s="42"/>
      <c r="K136" s="11" t="str">
        <f aca="false">IF(I136="","",I136*J136)</f>
        <v/>
      </c>
      <c r="L136" s="34" t="str">
        <f aca="false">IF(H136="","",IFERROR(INDEX(I_Master!$B$6:$B$85,MATCH(H136,I_Master!$A$6:$A$85,0)),"?"))</f>
        <v/>
      </c>
      <c r="M136" s="46" t="str">
        <f aca="false">IF(I136="","",IF(OR(A136&lt;I_Parameter!$C$5,A136&gt;I_Parameter!$C$6),0,IF(B136="Aktual",1,IF(AND(B136="Rencana",A136&gt;=I_Parameter!$C$4),1,0))))</f>
        <v/>
      </c>
    </row>
    <row r="137" customFormat="false" ht="15" hidden="false" customHeight="false" outlineLevel="0" collapsed="false">
      <c r="A137" s="37"/>
      <c r="B137" s="44"/>
      <c r="C137" s="44"/>
      <c r="D137" s="44"/>
      <c r="E137" s="44"/>
      <c r="F137" s="44"/>
      <c r="G137" s="44"/>
      <c r="H137" s="34" t="str">
        <f aca="false">IF(G137&lt;&gt;"",G137,IF(F137="","",IFERROR(INDEX(I_Item!$C$6:$C$255,MATCH(F137,I_Item!$A$6:$A$255,0)),"KODE BARU")))</f>
        <v/>
      </c>
      <c r="I137" s="45"/>
      <c r="J137" s="42"/>
      <c r="K137" s="11" t="str">
        <f aca="false">IF(I137="","",I137*J137)</f>
        <v/>
      </c>
      <c r="L137" s="34" t="str">
        <f aca="false">IF(H137="","",IFERROR(INDEX(I_Master!$B$6:$B$85,MATCH(H137,I_Master!$A$6:$A$85,0)),"?"))</f>
        <v/>
      </c>
      <c r="M137" s="46" t="str">
        <f aca="false">IF(I137="","",IF(OR(A137&lt;I_Parameter!$C$5,A137&gt;I_Parameter!$C$6),0,IF(B137="Aktual",1,IF(AND(B137="Rencana",A137&gt;=I_Parameter!$C$4),1,0))))</f>
        <v/>
      </c>
    </row>
    <row r="138" customFormat="false" ht="15" hidden="false" customHeight="false" outlineLevel="0" collapsed="false">
      <c r="A138" s="37"/>
      <c r="B138" s="44"/>
      <c r="C138" s="44"/>
      <c r="D138" s="44"/>
      <c r="E138" s="44"/>
      <c r="F138" s="44"/>
      <c r="G138" s="44"/>
      <c r="H138" s="34" t="str">
        <f aca="false">IF(G138&lt;&gt;"",G138,IF(F138="","",IFERROR(INDEX(I_Item!$C$6:$C$255,MATCH(F138,I_Item!$A$6:$A$255,0)),"KODE BARU")))</f>
        <v/>
      </c>
      <c r="I138" s="45"/>
      <c r="J138" s="42"/>
      <c r="K138" s="11" t="str">
        <f aca="false">IF(I138="","",I138*J138)</f>
        <v/>
      </c>
      <c r="L138" s="34" t="str">
        <f aca="false">IF(H138="","",IFERROR(INDEX(I_Master!$B$6:$B$85,MATCH(H138,I_Master!$A$6:$A$85,0)),"?"))</f>
        <v/>
      </c>
      <c r="M138" s="46" t="str">
        <f aca="false">IF(I138="","",IF(OR(A138&lt;I_Parameter!$C$5,A138&gt;I_Parameter!$C$6),0,IF(B138="Aktual",1,IF(AND(B138="Rencana",A138&gt;=I_Parameter!$C$4),1,0))))</f>
        <v/>
      </c>
    </row>
    <row r="139" customFormat="false" ht="15" hidden="false" customHeight="false" outlineLevel="0" collapsed="false">
      <c r="A139" s="37"/>
      <c r="B139" s="44"/>
      <c r="C139" s="44"/>
      <c r="D139" s="44"/>
      <c r="E139" s="44"/>
      <c r="F139" s="44"/>
      <c r="G139" s="44"/>
      <c r="H139" s="34" t="str">
        <f aca="false">IF(G139&lt;&gt;"",G139,IF(F139="","",IFERROR(INDEX(I_Item!$C$6:$C$255,MATCH(F139,I_Item!$A$6:$A$255,0)),"KODE BARU")))</f>
        <v/>
      </c>
      <c r="I139" s="45"/>
      <c r="J139" s="42"/>
      <c r="K139" s="11" t="str">
        <f aca="false">IF(I139="","",I139*J139)</f>
        <v/>
      </c>
      <c r="L139" s="34" t="str">
        <f aca="false">IF(H139="","",IFERROR(INDEX(I_Master!$B$6:$B$85,MATCH(H139,I_Master!$A$6:$A$85,0)),"?"))</f>
        <v/>
      </c>
      <c r="M139" s="46" t="str">
        <f aca="false">IF(I139="","",IF(OR(A139&lt;I_Parameter!$C$5,A139&gt;I_Parameter!$C$6),0,IF(B139="Aktual",1,IF(AND(B139="Rencana",A139&gt;=I_Parameter!$C$4),1,0))))</f>
        <v/>
      </c>
    </row>
    <row r="140" customFormat="false" ht="15" hidden="false" customHeight="false" outlineLevel="0" collapsed="false">
      <c r="A140" s="37"/>
      <c r="B140" s="44"/>
      <c r="C140" s="44"/>
      <c r="D140" s="44"/>
      <c r="E140" s="44"/>
      <c r="F140" s="44"/>
      <c r="G140" s="44"/>
      <c r="H140" s="34" t="str">
        <f aca="false">IF(G140&lt;&gt;"",G140,IF(F140="","",IFERROR(INDEX(I_Item!$C$6:$C$255,MATCH(F140,I_Item!$A$6:$A$255,0)),"KODE BARU")))</f>
        <v/>
      </c>
      <c r="I140" s="45"/>
      <c r="J140" s="42"/>
      <c r="K140" s="11" t="str">
        <f aca="false">IF(I140="","",I140*J140)</f>
        <v/>
      </c>
      <c r="L140" s="34" t="str">
        <f aca="false">IF(H140="","",IFERROR(INDEX(I_Master!$B$6:$B$85,MATCH(H140,I_Master!$A$6:$A$85,0)),"?"))</f>
        <v/>
      </c>
      <c r="M140" s="46" t="str">
        <f aca="false">IF(I140="","",IF(OR(A140&lt;I_Parameter!$C$5,A140&gt;I_Parameter!$C$6),0,IF(B140="Aktual",1,IF(AND(B140="Rencana",A140&gt;=I_Parameter!$C$4),1,0))))</f>
        <v/>
      </c>
    </row>
    <row r="141" customFormat="false" ht="15" hidden="false" customHeight="false" outlineLevel="0" collapsed="false">
      <c r="A141" s="37"/>
      <c r="B141" s="44"/>
      <c r="C141" s="44"/>
      <c r="D141" s="44"/>
      <c r="E141" s="44"/>
      <c r="F141" s="44"/>
      <c r="G141" s="44"/>
      <c r="H141" s="34" t="str">
        <f aca="false">IF(G141&lt;&gt;"",G141,IF(F141="","",IFERROR(INDEX(I_Item!$C$6:$C$255,MATCH(F141,I_Item!$A$6:$A$255,0)),"KODE BARU")))</f>
        <v/>
      </c>
      <c r="I141" s="45"/>
      <c r="J141" s="42"/>
      <c r="K141" s="11" t="str">
        <f aca="false">IF(I141="","",I141*J141)</f>
        <v/>
      </c>
      <c r="L141" s="34" t="str">
        <f aca="false">IF(H141="","",IFERROR(INDEX(I_Master!$B$6:$B$85,MATCH(H141,I_Master!$A$6:$A$85,0)),"?"))</f>
        <v/>
      </c>
      <c r="M141" s="46" t="str">
        <f aca="false">IF(I141="","",IF(OR(A141&lt;I_Parameter!$C$5,A141&gt;I_Parameter!$C$6),0,IF(B141="Aktual",1,IF(AND(B141="Rencana",A141&gt;=I_Parameter!$C$4),1,0))))</f>
        <v/>
      </c>
    </row>
    <row r="142" customFormat="false" ht="15" hidden="false" customHeight="false" outlineLevel="0" collapsed="false">
      <c r="A142" s="37"/>
      <c r="B142" s="44"/>
      <c r="C142" s="44"/>
      <c r="D142" s="44"/>
      <c r="E142" s="44"/>
      <c r="F142" s="44"/>
      <c r="G142" s="44"/>
      <c r="H142" s="34" t="str">
        <f aca="false">IF(G142&lt;&gt;"",G142,IF(F142="","",IFERROR(INDEX(I_Item!$C$6:$C$255,MATCH(F142,I_Item!$A$6:$A$255,0)),"KODE BARU")))</f>
        <v/>
      </c>
      <c r="I142" s="45"/>
      <c r="J142" s="42"/>
      <c r="K142" s="11" t="str">
        <f aca="false">IF(I142="","",I142*J142)</f>
        <v/>
      </c>
      <c r="L142" s="34" t="str">
        <f aca="false">IF(H142="","",IFERROR(INDEX(I_Master!$B$6:$B$85,MATCH(H142,I_Master!$A$6:$A$85,0)),"?"))</f>
        <v/>
      </c>
      <c r="M142" s="46" t="str">
        <f aca="false">IF(I142="","",IF(OR(A142&lt;I_Parameter!$C$5,A142&gt;I_Parameter!$C$6),0,IF(B142="Aktual",1,IF(AND(B142="Rencana",A142&gt;=I_Parameter!$C$4),1,0))))</f>
        <v/>
      </c>
    </row>
    <row r="143" customFormat="false" ht="15" hidden="false" customHeight="false" outlineLevel="0" collapsed="false">
      <c r="A143" s="37"/>
      <c r="B143" s="44"/>
      <c r="C143" s="44"/>
      <c r="D143" s="44"/>
      <c r="E143" s="44"/>
      <c r="F143" s="44"/>
      <c r="G143" s="44"/>
      <c r="H143" s="34" t="str">
        <f aca="false">IF(G143&lt;&gt;"",G143,IF(F143="","",IFERROR(INDEX(I_Item!$C$6:$C$255,MATCH(F143,I_Item!$A$6:$A$255,0)),"KODE BARU")))</f>
        <v/>
      </c>
      <c r="I143" s="45"/>
      <c r="J143" s="42"/>
      <c r="K143" s="11" t="str">
        <f aca="false">IF(I143="","",I143*J143)</f>
        <v/>
      </c>
      <c r="L143" s="34" t="str">
        <f aca="false">IF(H143="","",IFERROR(INDEX(I_Master!$B$6:$B$85,MATCH(H143,I_Master!$A$6:$A$85,0)),"?"))</f>
        <v/>
      </c>
      <c r="M143" s="46" t="str">
        <f aca="false">IF(I143="","",IF(OR(A143&lt;I_Parameter!$C$5,A143&gt;I_Parameter!$C$6),0,IF(B143="Aktual",1,IF(AND(B143="Rencana",A143&gt;=I_Parameter!$C$4),1,0))))</f>
        <v/>
      </c>
    </row>
    <row r="144" customFormat="false" ht="15" hidden="false" customHeight="false" outlineLevel="0" collapsed="false">
      <c r="A144" s="37"/>
      <c r="B144" s="44"/>
      <c r="C144" s="44"/>
      <c r="D144" s="44"/>
      <c r="E144" s="44"/>
      <c r="F144" s="44"/>
      <c r="G144" s="44"/>
      <c r="H144" s="34" t="str">
        <f aca="false">IF(G144&lt;&gt;"",G144,IF(F144="","",IFERROR(INDEX(I_Item!$C$6:$C$255,MATCH(F144,I_Item!$A$6:$A$255,0)),"KODE BARU")))</f>
        <v/>
      </c>
      <c r="I144" s="45"/>
      <c r="J144" s="42"/>
      <c r="K144" s="11" t="str">
        <f aca="false">IF(I144="","",I144*J144)</f>
        <v/>
      </c>
      <c r="L144" s="34" t="str">
        <f aca="false">IF(H144="","",IFERROR(INDEX(I_Master!$B$6:$B$85,MATCH(H144,I_Master!$A$6:$A$85,0)),"?"))</f>
        <v/>
      </c>
      <c r="M144" s="46" t="str">
        <f aca="false">IF(I144="","",IF(OR(A144&lt;I_Parameter!$C$5,A144&gt;I_Parameter!$C$6),0,IF(B144="Aktual",1,IF(AND(B144="Rencana",A144&gt;=I_Parameter!$C$4),1,0))))</f>
        <v/>
      </c>
    </row>
    <row r="145" customFormat="false" ht="15" hidden="false" customHeight="false" outlineLevel="0" collapsed="false">
      <c r="A145" s="37"/>
      <c r="B145" s="44"/>
      <c r="C145" s="44"/>
      <c r="D145" s="44"/>
      <c r="E145" s="44"/>
      <c r="F145" s="44"/>
      <c r="G145" s="44"/>
      <c r="H145" s="34" t="str">
        <f aca="false">IF(G145&lt;&gt;"",G145,IF(F145="","",IFERROR(INDEX(I_Item!$C$6:$C$255,MATCH(F145,I_Item!$A$6:$A$255,0)),"KODE BARU")))</f>
        <v/>
      </c>
      <c r="I145" s="45"/>
      <c r="J145" s="42"/>
      <c r="K145" s="11" t="str">
        <f aca="false">IF(I145="","",I145*J145)</f>
        <v/>
      </c>
      <c r="L145" s="34" t="str">
        <f aca="false">IF(H145="","",IFERROR(INDEX(I_Master!$B$6:$B$85,MATCH(H145,I_Master!$A$6:$A$85,0)),"?"))</f>
        <v/>
      </c>
      <c r="M145" s="46" t="str">
        <f aca="false">IF(I145="","",IF(OR(A145&lt;I_Parameter!$C$5,A145&gt;I_Parameter!$C$6),0,IF(B145="Aktual",1,IF(AND(B145="Rencana",A145&gt;=I_Parameter!$C$4),1,0))))</f>
        <v/>
      </c>
    </row>
    <row r="146" customFormat="false" ht="15" hidden="false" customHeight="false" outlineLevel="0" collapsed="false">
      <c r="A146" s="37"/>
      <c r="B146" s="44"/>
      <c r="C146" s="44"/>
      <c r="D146" s="44"/>
      <c r="E146" s="44"/>
      <c r="F146" s="44"/>
      <c r="G146" s="44"/>
      <c r="H146" s="34" t="str">
        <f aca="false">IF(G146&lt;&gt;"",G146,IF(F146="","",IFERROR(INDEX(I_Item!$C$6:$C$255,MATCH(F146,I_Item!$A$6:$A$255,0)),"KODE BARU")))</f>
        <v/>
      </c>
      <c r="I146" s="45"/>
      <c r="J146" s="42"/>
      <c r="K146" s="11" t="str">
        <f aca="false">IF(I146="","",I146*J146)</f>
        <v/>
      </c>
      <c r="L146" s="34" t="str">
        <f aca="false">IF(H146="","",IFERROR(INDEX(I_Master!$B$6:$B$85,MATCH(H146,I_Master!$A$6:$A$85,0)),"?"))</f>
        <v/>
      </c>
      <c r="M146" s="46" t="str">
        <f aca="false">IF(I146="","",IF(OR(A146&lt;I_Parameter!$C$5,A146&gt;I_Parameter!$C$6),0,IF(B146="Aktual",1,IF(AND(B146="Rencana",A146&gt;=I_Parameter!$C$4),1,0))))</f>
        <v/>
      </c>
    </row>
    <row r="147" customFormat="false" ht="15" hidden="false" customHeight="false" outlineLevel="0" collapsed="false">
      <c r="A147" s="37"/>
      <c r="B147" s="44"/>
      <c r="C147" s="44"/>
      <c r="D147" s="44"/>
      <c r="E147" s="44"/>
      <c r="F147" s="44"/>
      <c r="G147" s="44"/>
      <c r="H147" s="34" t="str">
        <f aca="false">IF(G147&lt;&gt;"",G147,IF(F147="","",IFERROR(INDEX(I_Item!$C$6:$C$255,MATCH(F147,I_Item!$A$6:$A$255,0)),"KODE BARU")))</f>
        <v/>
      </c>
      <c r="I147" s="45"/>
      <c r="J147" s="42"/>
      <c r="K147" s="11" t="str">
        <f aca="false">IF(I147="","",I147*J147)</f>
        <v/>
      </c>
      <c r="L147" s="34" t="str">
        <f aca="false">IF(H147="","",IFERROR(INDEX(I_Master!$B$6:$B$85,MATCH(H147,I_Master!$A$6:$A$85,0)),"?"))</f>
        <v/>
      </c>
      <c r="M147" s="46" t="str">
        <f aca="false">IF(I147="","",IF(OR(A147&lt;I_Parameter!$C$5,A147&gt;I_Parameter!$C$6),0,IF(B147="Aktual",1,IF(AND(B147="Rencana",A147&gt;=I_Parameter!$C$4),1,0))))</f>
        <v/>
      </c>
    </row>
    <row r="148" customFormat="false" ht="15" hidden="false" customHeight="false" outlineLevel="0" collapsed="false">
      <c r="A148" s="37"/>
      <c r="B148" s="44"/>
      <c r="C148" s="44"/>
      <c r="D148" s="44"/>
      <c r="E148" s="44"/>
      <c r="F148" s="44"/>
      <c r="G148" s="44"/>
      <c r="H148" s="34" t="str">
        <f aca="false">IF(G148&lt;&gt;"",G148,IF(F148="","",IFERROR(INDEX(I_Item!$C$6:$C$255,MATCH(F148,I_Item!$A$6:$A$255,0)),"KODE BARU")))</f>
        <v/>
      </c>
      <c r="I148" s="45"/>
      <c r="J148" s="42"/>
      <c r="K148" s="11" t="str">
        <f aca="false">IF(I148="","",I148*J148)</f>
        <v/>
      </c>
      <c r="L148" s="34" t="str">
        <f aca="false">IF(H148="","",IFERROR(INDEX(I_Master!$B$6:$B$85,MATCH(H148,I_Master!$A$6:$A$85,0)),"?"))</f>
        <v/>
      </c>
      <c r="M148" s="46" t="str">
        <f aca="false">IF(I148="","",IF(OR(A148&lt;I_Parameter!$C$5,A148&gt;I_Parameter!$C$6),0,IF(B148="Aktual",1,IF(AND(B148="Rencana",A148&gt;=I_Parameter!$C$4),1,0))))</f>
        <v/>
      </c>
    </row>
    <row r="149" customFormat="false" ht="15" hidden="false" customHeight="false" outlineLevel="0" collapsed="false">
      <c r="A149" s="37"/>
      <c r="B149" s="44"/>
      <c r="C149" s="44"/>
      <c r="D149" s="44"/>
      <c r="E149" s="44"/>
      <c r="F149" s="44"/>
      <c r="G149" s="44"/>
      <c r="H149" s="34" t="str">
        <f aca="false">IF(G149&lt;&gt;"",G149,IF(F149="","",IFERROR(INDEX(I_Item!$C$6:$C$255,MATCH(F149,I_Item!$A$6:$A$255,0)),"KODE BARU")))</f>
        <v/>
      </c>
      <c r="I149" s="45"/>
      <c r="J149" s="42"/>
      <c r="K149" s="11" t="str">
        <f aca="false">IF(I149="","",I149*J149)</f>
        <v/>
      </c>
      <c r="L149" s="34" t="str">
        <f aca="false">IF(H149="","",IFERROR(INDEX(I_Master!$B$6:$B$85,MATCH(H149,I_Master!$A$6:$A$85,0)),"?"))</f>
        <v/>
      </c>
      <c r="M149" s="46" t="str">
        <f aca="false">IF(I149="","",IF(OR(A149&lt;I_Parameter!$C$5,A149&gt;I_Parameter!$C$6),0,IF(B149="Aktual",1,IF(AND(B149="Rencana",A149&gt;=I_Parameter!$C$4),1,0))))</f>
        <v/>
      </c>
    </row>
    <row r="150" customFormat="false" ht="15" hidden="false" customHeight="false" outlineLevel="0" collapsed="false">
      <c r="A150" s="37"/>
      <c r="B150" s="44"/>
      <c r="C150" s="44"/>
      <c r="D150" s="44"/>
      <c r="E150" s="44"/>
      <c r="F150" s="44"/>
      <c r="G150" s="44"/>
      <c r="H150" s="34" t="str">
        <f aca="false">IF(G150&lt;&gt;"",G150,IF(F150="","",IFERROR(INDEX(I_Item!$C$6:$C$255,MATCH(F150,I_Item!$A$6:$A$255,0)),"KODE BARU")))</f>
        <v/>
      </c>
      <c r="I150" s="45"/>
      <c r="J150" s="42"/>
      <c r="K150" s="11" t="str">
        <f aca="false">IF(I150="","",I150*J150)</f>
        <v/>
      </c>
      <c r="L150" s="34" t="str">
        <f aca="false">IF(H150="","",IFERROR(INDEX(I_Master!$B$6:$B$85,MATCH(H150,I_Master!$A$6:$A$85,0)),"?"))</f>
        <v/>
      </c>
      <c r="M150" s="46" t="str">
        <f aca="false">IF(I150="","",IF(OR(A150&lt;I_Parameter!$C$5,A150&gt;I_Parameter!$C$6),0,IF(B150="Aktual",1,IF(AND(B150="Rencana",A150&gt;=I_Parameter!$C$4),1,0))))</f>
        <v/>
      </c>
    </row>
    <row r="151" customFormat="false" ht="15" hidden="false" customHeight="false" outlineLevel="0" collapsed="false">
      <c r="A151" s="37"/>
      <c r="B151" s="44"/>
      <c r="C151" s="44"/>
      <c r="D151" s="44"/>
      <c r="E151" s="44"/>
      <c r="F151" s="44"/>
      <c r="G151" s="44"/>
      <c r="H151" s="34" t="str">
        <f aca="false">IF(G151&lt;&gt;"",G151,IF(F151="","",IFERROR(INDEX(I_Item!$C$6:$C$255,MATCH(F151,I_Item!$A$6:$A$255,0)),"KODE BARU")))</f>
        <v/>
      </c>
      <c r="I151" s="45"/>
      <c r="J151" s="42"/>
      <c r="K151" s="11" t="str">
        <f aca="false">IF(I151="","",I151*J151)</f>
        <v/>
      </c>
      <c r="L151" s="34" t="str">
        <f aca="false">IF(H151="","",IFERROR(INDEX(I_Master!$B$6:$B$85,MATCH(H151,I_Master!$A$6:$A$85,0)),"?"))</f>
        <v/>
      </c>
      <c r="M151" s="46" t="str">
        <f aca="false">IF(I151="","",IF(OR(A151&lt;I_Parameter!$C$5,A151&gt;I_Parameter!$C$6),0,IF(B151="Aktual",1,IF(AND(B151="Rencana",A151&gt;=I_Parameter!$C$4),1,0))))</f>
        <v/>
      </c>
    </row>
    <row r="152" customFormat="false" ht="15" hidden="false" customHeight="false" outlineLevel="0" collapsed="false">
      <c r="A152" s="37"/>
      <c r="B152" s="44"/>
      <c r="C152" s="44"/>
      <c r="D152" s="44"/>
      <c r="E152" s="44"/>
      <c r="F152" s="44"/>
      <c r="G152" s="44"/>
      <c r="H152" s="34" t="str">
        <f aca="false">IF(G152&lt;&gt;"",G152,IF(F152="","",IFERROR(INDEX(I_Item!$C$6:$C$255,MATCH(F152,I_Item!$A$6:$A$255,0)),"KODE BARU")))</f>
        <v/>
      </c>
      <c r="I152" s="45"/>
      <c r="J152" s="42"/>
      <c r="K152" s="11" t="str">
        <f aca="false">IF(I152="","",I152*J152)</f>
        <v/>
      </c>
      <c r="L152" s="34" t="str">
        <f aca="false">IF(H152="","",IFERROR(INDEX(I_Master!$B$6:$B$85,MATCH(H152,I_Master!$A$6:$A$85,0)),"?"))</f>
        <v/>
      </c>
      <c r="M152" s="46" t="str">
        <f aca="false">IF(I152="","",IF(OR(A152&lt;I_Parameter!$C$5,A152&gt;I_Parameter!$C$6),0,IF(B152="Aktual",1,IF(AND(B152="Rencana",A152&gt;=I_Parameter!$C$4),1,0))))</f>
        <v/>
      </c>
    </row>
    <row r="153" customFormat="false" ht="15" hidden="false" customHeight="false" outlineLevel="0" collapsed="false">
      <c r="A153" s="37"/>
      <c r="B153" s="44"/>
      <c r="C153" s="44"/>
      <c r="D153" s="44"/>
      <c r="E153" s="44"/>
      <c r="F153" s="44"/>
      <c r="G153" s="44"/>
      <c r="H153" s="34" t="str">
        <f aca="false">IF(G153&lt;&gt;"",G153,IF(F153="","",IFERROR(INDEX(I_Item!$C$6:$C$255,MATCH(F153,I_Item!$A$6:$A$255,0)),"KODE BARU")))</f>
        <v/>
      </c>
      <c r="I153" s="45"/>
      <c r="J153" s="42"/>
      <c r="K153" s="11" t="str">
        <f aca="false">IF(I153="","",I153*J153)</f>
        <v/>
      </c>
      <c r="L153" s="34" t="str">
        <f aca="false">IF(H153="","",IFERROR(INDEX(I_Master!$B$6:$B$85,MATCH(H153,I_Master!$A$6:$A$85,0)),"?"))</f>
        <v/>
      </c>
      <c r="M153" s="46" t="str">
        <f aca="false">IF(I153="","",IF(OR(A153&lt;I_Parameter!$C$5,A153&gt;I_Parameter!$C$6),0,IF(B153="Aktual",1,IF(AND(B153="Rencana",A153&gt;=I_Parameter!$C$4),1,0))))</f>
        <v/>
      </c>
    </row>
    <row r="154" customFormat="false" ht="15" hidden="false" customHeight="false" outlineLevel="0" collapsed="false">
      <c r="A154" s="37"/>
      <c r="B154" s="44"/>
      <c r="C154" s="44"/>
      <c r="D154" s="44"/>
      <c r="E154" s="44"/>
      <c r="F154" s="44"/>
      <c r="G154" s="44"/>
      <c r="H154" s="34" t="str">
        <f aca="false">IF(G154&lt;&gt;"",G154,IF(F154="","",IFERROR(INDEX(I_Item!$C$6:$C$255,MATCH(F154,I_Item!$A$6:$A$255,0)),"KODE BARU")))</f>
        <v/>
      </c>
      <c r="I154" s="45"/>
      <c r="J154" s="42"/>
      <c r="K154" s="11" t="str">
        <f aca="false">IF(I154="","",I154*J154)</f>
        <v/>
      </c>
      <c r="L154" s="34" t="str">
        <f aca="false">IF(H154="","",IFERROR(INDEX(I_Master!$B$6:$B$85,MATCH(H154,I_Master!$A$6:$A$85,0)),"?"))</f>
        <v/>
      </c>
      <c r="M154" s="46" t="str">
        <f aca="false">IF(I154="","",IF(OR(A154&lt;I_Parameter!$C$5,A154&gt;I_Parameter!$C$6),0,IF(B154="Aktual",1,IF(AND(B154="Rencana",A154&gt;=I_Parameter!$C$4),1,0))))</f>
        <v/>
      </c>
    </row>
    <row r="155" customFormat="false" ht="15" hidden="false" customHeight="false" outlineLevel="0" collapsed="false">
      <c r="A155" s="37"/>
      <c r="B155" s="44"/>
      <c r="C155" s="44"/>
      <c r="D155" s="44"/>
      <c r="E155" s="44"/>
      <c r="F155" s="44"/>
      <c r="G155" s="44"/>
      <c r="H155" s="34" t="str">
        <f aca="false">IF(G155&lt;&gt;"",G155,IF(F155="","",IFERROR(INDEX(I_Item!$C$6:$C$255,MATCH(F155,I_Item!$A$6:$A$255,0)),"KODE BARU")))</f>
        <v/>
      </c>
      <c r="I155" s="45"/>
      <c r="J155" s="42"/>
      <c r="K155" s="11" t="str">
        <f aca="false">IF(I155="","",I155*J155)</f>
        <v/>
      </c>
      <c r="L155" s="34" t="str">
        <f aca="false">IF(H155="","",IFERROR(INDEX(I_Master!$B$6:$B$85,MATCH(H155,I_Master!$A$6:$A$85,0)),"?"))</f>
        <v/>
      </c>
      <c r="M155" s="46" t="str">
        <f aca="false">IF(I155="","",IF(OR(A155&lt;I_Parameter!$C$5,A155&gt;I_Parameter!$C$6),0,IF(B155="Aktual",1,IF(AND(B155="Rencana",A155&gt;=I_Parameter!$C$4),1,0))))</f>
        <v/>
      </c>
    </row>
    <row r="156" customFormat="false" ht="15" hidden="false" customHeight="false" outlineLevel="0" collapsed="false">
      <c r="A156" s="37"/>
      <c r="B156" s="44"/>
      <c r="C156" s="44"/>
      <c r="D156" s="44"/>
      <c r="E156" s="44"/>
      <c r="F156" s="44"/>
      <c r="G156" s="44"/>
      <c r="H156" s="34" t="str">
        <f aca="false">IF(G156&lt;&gt;"",G156,IF(F156="","",IFERROR(INDEX(I_Item!$C$6:$C$255,MATCH(F156,I_Item!$A$6:$A$255,0)),"KODE BARU")))</f>
        <v/>
      </c>
      <c r="I156" s="45"/>
      <c r="J156" s="42"/>
      <c r="K156" s="11" t="str">
        <f aca="false">IF(I156="","",I156*J156)</f>
        <v/>
      </c>
      <c r="L156" s="34" t="str">
        <f aca="false">IF(H156="","",IFERROR(INDEX(I_Master!$B$6:$B$85,MATCH(H156,I_Master!$A$6:$A$85,0)),"?"))</f>
        <v/>
      </c>
      <c r="M156" s="46" t="str">
        <f aca="false">IF(I156="","",IF(OR(A156&lt;I_Parameter!$C$5,A156&gt;I_Parameter!$C$6),0,IF(B156="Aktual",1,IF(AND(B156="Rencana",A156&gt;=I_Parameter!$C$4),1,0))))</f>
        <v/>
      </c>
    </row>
    <row r="157" customFormat="false" ht="15" hidden="false" customHeight="false" outlineLevel="0" collapsed="false">
      <c r="A157" s="37"/>
      <c r="B157" s="44"/>
      <c r="C157" s="44"/>
      <c r="D157" s="44"/>
      <c r="E157" s="44"/>
      <c r="F157" s="44"/>
      <c r="G157" s="44"/>
      <c r="H157" s="34" t="str">
        <f aca="false">IF(G157&lt;&gt;"",G157,IF(F157="","",IFERROR(INDEX(I_Item!$C$6:$C$255,MATCH(F157,I_Item!$A$6:$A$255,0)),"KODE BARU")))</f>
        <v/>
      </c>
      <c r="I157" s="45"/>
      <c r="J157" s="42"/>
      <c r="K157" s="11" t="str">
        <f aca="false">IF(I157="","",I157*J157)</f>
        <v/>
      </c>
      <c r="L157" s="34" t="str">
        <f aca="false">IF(H157="","",IFERROR(INDEX(I_Master!$B$6:$B$85,MATCH(H157,I_Master!$A$6:$A$85,0)),"?"))</f>
        <v/>
      </c>
      <c r="M157" s="46" t="str">
        <f aca="false">IF(I157="","",IF(OR(A157&lt;I_Parameter!$C$5,A157&gt;I_Parameter!$C$6),0,IF(B157="Aktual",1,IF(AND(B157="Rencana",A157&gt;=I_Parameter!$C$4),1,0))))</f>
        <v/>
      </c>
    </row>
    <row r="158" customFormat="false" ht="15" hidden="false" customHeight="false" outlineLevel="0" collapsed="false">
      <c r="A158" s="37"/>
      <c r="B158" s="44"/>
      <c r="C158" s="44"/>
      <c r="D158" s="44"/>
      <c r="E158" s="44"/>
      <c r="F158" s="44"/>
      <c r="G158" s="44"/>
      <c r="H158" s="34" t="str">
        <f aca="false">IF(G158&lt;&gt;"",G158,IF(F158="","",IFERROR(INDEX(I_Item!$C$6:$C$255,MATCH(F158,I_Item!$A$6:$A$255,0)),"KODE BARU")))</f>
        <v/>
      </c>
      <c r="I158" s="45"/>
      <c r="J158" s="42"/>
      <c r="K158" s="11" t="str">
        <f aca="false">IF(I158="","",I158*J158)</f>
        <v/>
      </c>
      <c r="L158" s="34" t="str">
        <f aca="false">IF(H158="","",IFERROR(INDEX(I_Master!$B$6:$B$85,MATCH(H158,I_Master!$A$6:$A$85,0)),"?"))</f>
        <v/>
      </c>
      <c r="M158" s="46" t="str">
        <f aca="false">IF(I158="","",IF(OR(A158&lt;I_Parameter!$C$5,A158&gt;I_Parameter!$C$6),0,IF(B158="Aktual",1,IF(AND(B158="Rencana",A158&gt;=I_Parameter!$C$4),1,0))))</f>
        <v/>
      </c>
    </row>
    <row r="159" customFormat="false" ht="15" hidden="false" customHeight="false" outlineLevel="0" collapsed="false">
      <c r="A159" s="37"/>
      <c r="B159" s="44"/>
      <c r="C159" s="44"/>
      <c r="D159" s="44"/>
      <c r="E159" s="44"/>
      <c r="F159" s="44"/>
      <c r="G159" s="44"/>
      <c r="H159" s="34" t="str">
        <f aca="false">IF(G159&lt;&gt;"",G159,IF(F159="","",IFERROR(INDEX(I_Item!$C$6:$C$255,MATCH(F159,I_Item!$A$6:$A$255,0)),"KODE BARU")))</f>
        <v/>
      </c>
      <c r="I159" s="45"/>
      <c r="J159" s="42"/>
      <c r="K159" s="11" t="str">
        <f aca="false">IF(I159="","",I159*J159)</f>
        <v/>
      </c>
      <c r="L159" s="34" t="str">
        <f aca="false">IF(H159="","",IFERROR(INDEX(I_Master!$B$6:$B$85,MATCH(H159,I_Master!$A$6:$A$85,0)),"?"))</f>
        <v/>
      </c>
      <c r="M159" s="46" t="str">
        <f aca="false">IF(I159="","",IF(OR(A159&lt;I_Parameter!$C$5,A159&gt;I_Parameter!$C$6),0,IF(B159="Aktual",1,IF(AND(B159="Rencana",A159&gt;=I_Parameter!$C$4),1,0))))</f>
        <v/>
      </c>
    </row>
    <row r="160" customFormat="false" ht="15" hidden="false" customHeight="false" outlineLevel="0" collapsed="false">
      <c r="A160" s="37"/>
      <c r="B160" s="44"/>
      <c r="C160" s="44"/>
      <c r="D160" s="44"/>
      <c r="E160" s="44"/>
      <c r="F160" s="44"/>
      <c r="G160" s="44"/>
      <c r="H160" s="34" t="str">
        <f aca="false">IF(G160&lt;&gt;"",G160,IF(F160="","",IFERROR(INDEX(I_Item!$C$6:$C$255,MATCH(F160,I_Item!$A$6:$A$255,0)),"KODE BARU")))</f>
        <v/>
      </c>
      <c r="I160" s="45"/>
      <c r="J160" s="42"/>
      <c r="K160" s="11" t="str">
        <f aca="false">IF(I160="","",I160*J160)</f>
        <v/>
      </c>
      <c r="L160" s="34" t="str">
        <f aca="false">IF(H160="","",IFERROR(INDEX(I_Master!$B$6:$B$85,MATCH(H160,I_Master!$A$6:$A$85,0)),"?"))</f>
        <v/>
      </c>
      <c r="M160" s="46" t="str">
        <f aca="false">IF(I160="","",IF(OR(A160&lt;I_Parameter!$C$5,A160&gt;I_Parameter!$C$6),0,IF(B160="Aktual",1,IF(AND(B160="Rencana",A160&gt;=I_Parameter!$C$4),1,0))))</f>
        <v/>
      </c>
    </row>
    <row r="161" customFormat="false" ht="15" hidden="false" customHeight="false" outlineLevel="0" collapsed="false">
      <c r="A161" s="37"/>
      <c r="B161" s="44"/>
      <c r="C161" s="44"/>
      <c r="D161" s="44"/>
      <c r="E161" s="44"/>
      <c r="F161" s="44"/>
      <c r="G161" s="44"/>
      <c r="H161" s="34" t="str">
        <f aca="false">IF(G161&lt;&gt;"",G161,IF(F161="","",IFERROR(INDEX(I_Item!$C$6:$C$255,MATCH(F161,I_Item!$A$6:$A$255,0)),"KODE BARU")))</f>
        <v/>
      </c>
      <c r="I161" s="45"/>
      <c r="J161" s="42"/>
      <c r="K161" s="11" t="str">
        <f aca="false">IF(I161="","",I161*J161)</f>
        <v/>
      </c>
      <c r="L161" s="34" t="str">
        <f aca="false">IF(H161="","",IFERROR(INDEX(I_Master!$B$6:$B$85,MATCH(H161,I_Master!$A$6:$A$85,0)),"?"))</f>
        <v/>
      </c>
      <c r="M161" s="46" t="str">
        <f aca="false">IF(I161="","",IF(OR(A161&lt;I_Parameter!$C$5,A161&gt;I_Parameter!$C$6),0,IF(B161="Aktual",1,IF(AND(B161="Rencana",A161&gt;=I_Parameter!$C$4),1,0))))</f>
        <v/>
      </c>
    </row>
    <row r="162" customFormat="false" ht="15" hidden="false" customHeight="false" outlineLevel="0" collapsed="false">
      <c r="A162" s="37"/>
      <c r="B162" s="44"/>
      <c r="C162" s="44"/>
      <c r="D162" s="44"/>
      <c r="E162" s="44"/>
      <c r="F162" s="44"/>
      <c r="G162" s="44"/>
      <c r="H162" s="34" t="str">
        <f aca="false">IF(G162&lt;&gt;"",G162,IF(F162="","",IFERROR(INDEX(I_Item!$C$6:$C$255,MATCH(F162,I_Item!$A$6:$A$255,0)),"KODE BARU")))</f>
        <v/>
      </c>
      <c r="I162" s="45"/>
      <c r="J162" s="42"/>
      <c r="K162" s="11" t="str">
        <f aca="false">IF(I162="","",I162*J162)</f>
        <v/>
      </c>
      <c r="L162" s="34" t="str">
        <f aca="false">IF(H162="","",IFERROR(INDEX(I_Master!$B$6:$B$85,MATCH(H162,I_Master!$A$6:$A$85,0)),"?"))</f>
        <v/>
      </c>
      <c r="M162" s="46" t="str">
        <f aca="false">IF(I162="","",IF(OR(A162&lt;I_Parameter!$C$5,A162&gt;I_Parameter!$C$6),0,IF(B162="Aktual",1,IF(AND(B162="Rencana",A162&gt;=I_Parameter!$C$4),1,0))))</f>
        <v/>
      </c>
    </row>
    <row r="163" customFormat="false" ht="15" hidden="false" customHeight="false" outlineLevel="0" collapsed="false">
      <c r="A163" s="37"/>
      <c r="B163" s="44"/>
      <c r="C163" s="44"/>
      <c r="D163" s="44"/>
      <c r="E163" s="44"/>
      <c r="F163" s="44"/>
      <c r="G163" s="44"/>
      <c r="H163" s="34" t="str">
        <f aca="false">IF(G163&lt;&gt;"",G163,IF(F163="","",IFERROR(INDEX(I_Item!$C$6:$C$255,MATCH(F163,I_Item!$A$6:$A$255,0)),"KODE BARU")))</f>
        <v/>
      </c>
      <c r="I163" s="45"/>
      <c r="J163" s="42"/>
      <c r="K163" s="11" t="str">
        <f aca="false">IF(I163="","",I163*J163)</f>
        <v/>
      </c>
      <c r="L163" s="34" t="str">
        <f aca="false">IF(H163="","",IFERROR(INDEX(I_Master!$B$6:$B$85,MATCH(H163,I_Master!$A$6:$A$85,0)),"?"))</f>
        <v/>
      </c>
      <c r="M163" s="46" t="str">
        <f aca="false">IF(I163="","",IF(OR(A163&lt;I_Parameter!$C$5,A163&gt;I_Parameter!$C$6),0,IF(B163="Aktual",1,IF(AND(B163="Rencana",A163&gt;=I_Parameter!$C$4),1,0))))</f>
        <v/>
      </c>
    </row>
    <row r="164" customFormat="false" ht="15" hidden="false" customHeight="false" outlineLevel="0" collapsed="false">
      <c r="A164" s="37"/>
      <c r="B164" s="44"/>
      <c r="C164" s="44"/>
      <c r="D164" s="44"/>
      <c r="E164" s="44"/>
      <c r="F164" s="44"/>
      <c r="G164" s="44"/>
      <c r="H164" s="34" t="str">
        <f aca="false">IF(G164&lt;&gt;"",G164,IF(F164="","",IFERROR(INDEX(I_Item!$C$6:$C$255,MATCH(F164,I_Item!$A$6:$A$255,0)),"KODE BARU")))</f>
        <v/>
      </c>
      <c r="I164" s="45"/>
      <c r="J164" s="42"/>
      <c r="K164" s="11" t="str">
        <f aca="false">IF(I164="","",I164*J164)</f>
        <v/>
      </c>
      <c r="L164" s="34" t="str">
        <f aca="false">IF(H164="","",IFERROR(INDEX(I_Master!$B$6:$B$85,MATCH(H164,I_Master!$A$6:$A$85,0)),"?"))</f>
        <v/>
      </c>
      <c r="M164" s="46" t="str">
        <f aca="false">IF(I164="","",IF(OR(A164&lt;I_Parameter!$C$5,A164&gt;I_Parameter!$C$6),0,IF(B164="Aktual",1,IF(AND(B164="Rencana",A164&gt;=I_Parameter!$C$4),1,0))))</f>
        <v/>
      </c>
    </row>
    <row r="165" customFormat="false" ht="15" hidden="false" customHeight="false" outlineLevel="0" collapsed="false">
      <c r="A165" s="37"/>
      <c r="B165" s="44"/>
      <c r="C165" s="44"/>
      <c r="D165" s="44"/>
      <c r="E165" s="44"/>
      <c r="F165" s="44"/>
      <c r="G165" s="44"/>
      <c r="H165" s="34" t="str">
        <f aca="false">IF(G165&lt;&gt;"",G165,IF(F165="","",IFERROR(INDEX(I_Item!$C$6:$C$255,MATCH(F165,I_Item!$A$6:$A$255,0)),"KODE BARU")))</f>
        <v/>
      </c>
      <c r="I165" s="45"/>
      <c r="J165" s="42"/>
      <c r="K165" s="11" t="str">
        <f aca="false">IF(I165="","",I165*J165)</f>
        <v/>
      </c>
      <c r="L165" s="34" t="str">
        <f aca="false">IF(H165="","",IFERROR(INDEX(I_Master!$B$6:$B$85,MATCH(H165,I_Master!$A$6:$A$85,0)),"?"))</f>
        <v/>
      </c>
      <c r="M165" s="46" t="str">
        <f aca="false">IF(I165="","",IF(OR(A165&lt;I_Parameter!$C$5,A165&gt;I_Parameter!$C$6),0,IF(B165="Aktual",1,IF(AND(B165="Rencana",A165&gt;=I_Parameter!$C$4),1,0))))</f>
        <v/>
      </c>
    </row>
    <row r="166" customFormat="false" ht="15" hidden="false" customHeight="false" outlineLevel="0" collapsed="false">
      <c r="A166" s="37"/>
      <c r="B166" s="44"/>
      <c r="C166" s="44"/>
      <c r="D166" s="44"/>
      <c r="E166" s="44"/>
      <c r="F166" s="44"/>
      <c r="G166" s="44"/>
      <c r="H166" s="34" t="str">
        <f aca="false">IF(G166&lt;&gt;"",G166,IF(F166="","",IFERROR(INDEX(I_Item!$C$6:$C$255,MATCH(F166,I_Item!$A$6:$A$255,0)),"KODE BARU")))</f>
        <v/>
      </c>
      <c r="I166" s="45"/>
      <c r="J166" s="42"/>
      <c r="K166" s="11" t="str">
        <f aca="false">IF(I166="","",I166*J166)</f>
        <v/>
      </c>
      <c r="L166" s="34" t="str">
        <f aca="false">IF(H166="","",IFERROR(INDEX(I_Master!$B$6:$B$85,MATCH(H166,I_Master!$A$6:$A$85,0)),"?"))</f>
        <v/>
      </c>
      <c r="M166" s="46" t="str">
        <f aca="false">IF(I166="","",IF(OR(A166&lt;I_Parameter!$C$5,A166&gt;I_Parameter!$C$6),0,IF(B166="Aktual",1,IF(AND(B166="Rencana",A166&gt;=I_Parameter!$C$4),1,0))))</f>
        <v/>
      </c>
    </row>
    <row r="167" customFormat="false" ht="15" hidden="false" customHeight="false" outlineLevel="0" collapsed="false">
      <c r="A167" s="37"/>
      <c r="B167" s="44"/>
      <c r="C167" s="44"/>
      <c r="D167" s="44"/>
      <c r="E167" s="44"/>
      <c r="F167" s="44"/>
      <c r="G167" s="44"/>
      <c r="H167" s="34" t="str">
        <f aca="false">IF(G167&lt;&gt;"",G167,IF(F167="","",IFERROR(INDEX(I_Item!$C$6:$C$255,MATCH(F167,I_Item!$A$6:$A$255,0)),"KODE BARU")))</f>
        <v/>
      </c>
      <c r="I167" s="45"/>
      <c r="J167" s="42"/>
      <c r="K167" s="11" t="str">
        <f aca="false">IF(I167="","",I167*J167)</f>
        <v/>
      </c>
      <c r="L167" s="34" t="str">
        <f aca="false">IF(H167="","",IFERROR(INDEX(I_Master!$B$6:$B$85,MATCH(H167,I_Master!$A$6:$A$85,0)),"?"))</f>
        <v/>
      </c>
      <c r="M167" s="46" t="str">
        <f aca="false">IF(I167="","",IF(OR(A167&lt;I_Parameter!$C$5,A167&gt;I_Parameter!$C$6),0,IF(B167="Aktual",1,IF(AND(B167="Rencana",A167&gt;=I_Parameter!$C$4),1,0))))</f>
        <v/>
      </c>
    </row>
    <row r="168" customFormat="false" ht="15" hidden="false" customHeight="false" outlineLevel="0" collapsed="false">
      <c r="A168" s="37"/>
      <c r="B168" s="44"/>
      <c r="C168" s="44"/>
      <c r="D168" s="44"/>
      <c r="E168" s="44"/>
      <c r="F168" s="44"/>
      <c r="G168" s="44"/>
      <c r="H168" s="34" t="str">
        <f aca="false">IF(G168&lt;&gt;"",G168,IF(F168="","",IFERROR(INDEX(I_Item!$C$6:$C$255,MATCH(F168,I_Item!$A$6:$A$255,0)),"KODE BARU")))</f>
        <v/>
      </c>
      <c r="I168" s="45"/>
      <c r="J168" s="42"/>
      <c r="K168" s="11" t="str">
        <f aca="false">IF(I168="","",I168*J168)</f>
        <v/>
      </c>
      <c r="L168" s="34" t="str">
        <f aca="false">IF(H168="","",IFERROR(INDEX(I_Master!$B$6:$B$85,MATCH(H168,I_Master!$A$6:$A$85,0)),"?"))</f>
        <v/>
      </c>
      <c r="M168" s="46" t="str">
        <f aca="false">IF(I168="","",IF(OR(A168&lt;I_Parameter!$C$5,A168&gt;I_Parameter!$C$6),0,IF(B168="Aktual",1,IF(AND(B168="Rencana",A168&gt;=I_Parameter!$C$4),1,0))))</f>
        <v/>
      </c>
    </row>
    <row r="169" customFormat="false" ht="15" hidden="false" customHeight="false" outlineLevel="0" collapsed="false">
      <c r="A169" s="37"/>
      <c r="B169" s="44"/>
      <c r="C169" s="44"/>
      <c r="D169" s="44"/>
      <c r="E169" s="44"/>
      <c r="F169" s="44"/>
      <c r="G169" s="44"/>
      <c r="H169" s="34" t="str">
        <f aca="false">IF(G169&lt;&gt;"",G169,IF(F169="","",IFERROR(INDEX(I_Item!$C$6:$C$255,MATCH(F169,I_Item!$A$6:$A$255,0)),"KODE BARU")))</f>
        <v/>
      </c>
      <c r="I169" s="45"/>
      <c r="J169" s="42"/>
      <c r="K169" s="11" t="str">
        <f aca="false">IF(I169="","",I169*J169)</f>
        <v/>
      </c>
      <c r="L169" s="34" t="str">
        <f aca="false">IF(H169="","",IFERROR(INDEX(I_Master!$B$6:$B$85,MATCH(H169,I_Master!$A$6:$A$85,0)),"?"))</f>
        <v/>
      </c>
      <c r="M169" s="46" t="str">
        <f aca="false">IF(I169="","",IF(OR(A169&lt;I_Parameter!$C$5,A169&gt;I_Parameter!$C$6),0,IF(B169="Aktual",1,IF(AND(B169="Rencana",A169&gt;=I_Parameter!$C$4),1,0))))</f>
        <v/>
      </c>
    </row>
    <row r="170" customFormat="false" ht="15" hidden="false" customHeight="false" outlineLevel="0" collapsed="false">
      <c r="A170" s="37"/>
      <c r="B170" s="44"/>
      <c r="C170" s="44"/>
      <c r="D170" s="44"/>
      <c r="E170" s="44"/>
      <c r="F170" s="44"/>
      <c r="G170" s="44"/>
      <c r="H170" s="34" t="str">
        <f aca="false">IF(G170&lt;&gt;"",G170,IF(F170="","",IFERROR(INDEX(I_Item!$C$6:$C$255,MATCH(F170,I_Item!$A$6:$A$255,0)),"KODE BARU")))</f>
        <v/>
      </c>
      <c r="I170" s="45"/>
      <c r="J170" s="42"/>
      <c r="K170" s="11" t="str">
        <f aca="false">IF(I170="","",I170*J170)</f>
        <v/>
      </c>
      <c r="L170" s="34" t="str">
        <f aca="false">IF(H170="","",IFERROR(INDEX(I_Master!$B$6:$B$85,MATCH(H170,I_Master!$A$6:$A$85,0)),"?"))</f>
        <v/>
      </c>
      <c r="M170" s="46" t="str">
        <f aca="false">IF(I170="","",IF(OR(A170&lt;I_Parameter!$C$5,A170&gt;I_Parameter!$C$6),0,IF(B170="Aktual",1,IF(AND(B170="Rencana",A170&gt;=I_Parameter!$C$4),1,0))))</f>
        <v/>
      </c>
    </row>
    <row r="171" customFormat="false" ht="15" hidden="false" customHeight="false" outlineLevel="0" collapsed="false">
      <c r="A171" s="37"/>
      <c r="B171" s="44"/>
      <c r="C171" s="44"/>
      <c r="D171" s="44"/>
      <c r="E171" s="44"/>
      <c r="F171" s="44"/>
      <c r="G171" s="44"/>
      <c r="H171" s="34" t="str">
        <f aca="false">IF(G171&lt;&gt;"",G171,IF(F171="","",IFERROR(INDEX(I_Item!$C$6:$C$255,MATCH(F171,I_Item!$A$6:$A$255,0)),"KODE BARU")))</f>
        <v/>
      </c>
      <c r="I171" s="45"/>
      <c r="J171" s="42"/>
      <c r="K171" s="11" t="str">
        <f aca="false">IF(I171="","",I171*J171)</f>
        <v/>
      </c>
      <c r="L171" s="34" t="str">
        <f aca="false">IF(H171="","",IFERROR(INDEX(I_Master!$B$6:$B$85,MATCH(H171,I_Master!$A$6:$A$85,0)),"?"))</f>
        <v/>
      </c>
      <c r="M171" s="46" t="str">
        <f aca="false">IF(I171="","",IF(OR(A171&lt;I_Parameter!$C$5,A171&gt;I_Parameter!$C$6),0,IF(B171="Aktual",1,IF(AND(B171="Rencana",A171&gt;=I_Parameter!$C$4),1,0))))</f>
        <v/>
      </c>
    </row>
    <row r="172" customFormat="false" ht="15" hidden="false" customHeight="false" outlineLevel="0" collapsed="false">
      <c r="A172" s="37"/>
      <c r="B172" s="44"/>
      <c r="C172" s="44"/>
      <c r="D172" s="44"/>
      <c r="E172" s="44"/>
      <c r="F172" s="44"/>
      <c r="G172" s="44"/>
      <c r="H172" s="34" t="str">
        <f aca="false">IF(G172&lt;&gt;"",G172,IF(F172="","",IFERROR(INDEX(I_Item!$C$6:$C$255,MATCH(F172,I_Item!$A$6:$A$255,0)),"KODE BARU")))</f>
        <v/>
      </c>
      <c r="I172" s="45"/>
      <c r="J172" s="42"/>
      <c r="K172" s="11" t="str">
        <f aca="false">IF(I172="","",I172*J172)</f>
        <v/>
      </c>
      <c r="L172" s="34" t="str">
        <f aca="false">IF(H172="","",IFERROR(INDEX(I_Master!$B$6:$B$85,MATCH(H172,I_Master!$A$6:$A$85,0)),"?"))</f>
        <v/>
      </c>
      <c r="M172" s="46" t="str">
        <f aca="false">IF(I172="","",IF(OR(A172&lt;I_Parameter!$C$5,A172&gt;I_Parameter!$C$6),0,IF(B172="Aktual",1,IF(AND(B172="Rencana",A172&gt;=I_Parameter!$C$4),1,0))))</f>
        <v/>
      </c>
    </row>
    <row r="173" customFormat="false" ht="15" hidden="false" customHeight="false" outlineLevel="0" collapsed="false">
      <c r="A173" s="37"/>
      <c r="B173" s="44"/>
      <c r="C173" s="44"/>
      <c r="D173" s="44"/>
      <c r="E173" s="44"/>
      <c r="F173" s="44"/>
      <c r="G173" s="44"/>
      <c r="H173" s="34" t="str">
        <f aca="false">IF(G173&lt;&gt;"",G173,IF(F173="","",IFERROR(INDEX(I_Item!$C$6:$C$255,MATCH(F173,I_Item!$A$6:$A$255,0)),"KODE BARU")))</f>
        <v/>
      </c>
      <c r="I173" s="45"/>
      <c r="J173" s="42"/>
      <c r="K173" s="11" t="str">
        <f aca="false">IF(I173="","",I173*J173)</f>
        <v/>
      </c>
      <c r="L173" s="34" t="str">
        <f aca="false">IF(H173="","",IFERROR(INDEX(I_Master!$B$6:$B$85,MATCH(H173,I_Master!$A$6:$A$85,0)),"?"))</f>
        <v/>
      </c>
      <c r="M173" s="46" t="str">
        <f aca="false">IF(I173="","",IF(OR(A173&lt;I_Parameter!$C$5,A173&gt;I_Parameter!$C$6),0,IF(B173="Aktual",1,IF(AND(B173="Rencana",A173&gt;=I_Parameter!$C$4),1,0))))</f>
        <v/>
      </c>
    </row>
    <row r="174" customFormat="false" ht="15" hidden="false" customHeight="false" outlineLevel="0" collapsed="false">
      <c r="A174" s="37"/>
      <c r="B174" s="44"/>
      <c r="C174" s="44"/>
      <c r="D174" s="44"/>
      <c r="E174" s="44"/>
      <c r="F174" s="44"/>
      <c r="G174" s="44"/>
      <c r="H174" s="34" t="str">
        <f aca="false">IF(G174&lt;&gt;"",G174,IF(F174="","",IFERROR(INDEX(I_Item!$C$6:$C$255,MATCH(F174,I_Item!$A$6:$A$255,0)),"KODE BARU")))</f>
        <v/>
      </c>
      <c r="I174" s="45"/>
      <c r="J174" s="42"/>
      <c r="K174" s="11" t="str">
        <f aca="false">IF(I174="","",I174*J174)</f>
        <v/>
      </c>
      <c r="L174" s="34" t="str">
        <f aca="false">IF(H174="","",IFERROR(INDEX(I_Master!$B$6:$B$85,MATCH(H174,I_Master!$A$6:$A$85,0)),"?"))</f>
        <v/>
      </c>
      <c r="M174" s="46" t="str">
        <f aca="false">IF(I174="","",IF(OR(A174&lt;I_Parameter!$C$5,A174&gt;I_Parameter!$C$6),0,IF(B174="Aktual",1,IF(AND(B174="Rencana",A174&gt;=I_Parameter!$C$4),1,0))))</f>
        <v/>
      </c>
    </row>
    <row r="175" customFormat="false" ht="15" hidden="false" customHeight="false" outlineLevel="0" collapsed="false">
      <c r="A175" s="37"/>
      <c r="B175" s="44"/>
      <c r="C175" s="44"/>
      <c r="D175" s="44"/>
      <c r="E175" s="44"/>
      <c r="F175" s="44"/>
      <c r="G175" s="44"/>
      <c r="H175" s="34" t="str">
        <f aca="false">IF(G175&lt;&gt;"",G175,IF(F175="","",IFERROR(INDEX(I_Item!$C$6:$C$255,MATCH(F175,I_Item!$A$6:$A$255,0)),"KODE BARU")))</f>
        <v/>
      </c>
      <c r="I175" s="45"/>
      <c r="J175" s="42"/>
      <c r="K175" s="11" t="str">
        <f aca="false">IF(I175="","",I175*J175)</f>
        <v/>
      </c>
      <c r="L175" s="34" t="str">
        <f aca="false">IF(H175="","",IFERROR(INDEX(I_Master!$B$6:$B$85,MATCH(H175,I_Master!$A$6:$A$85,0)),"?"))</f>
        <v/>
      </c>
      <c r="M175" s="46" t="str">
        <f aca="false">IF(I175="","",IF(OR(A175&lt;I_Parameter!$C$5,A175&gt;I_Parameter!$C$6),0,IF(B175="Aktual",1,IF(AND(B175="Rencana",A175&gt;=I_Parameter!$C$4),1,0))))</f>
        <v/>
      </c>
    </row>
    <row r="176" customFormat="false" ht="15" hidden="false" customHeight="false" outlineLevel="0" collapsed="false">
      <c r="A176" s="37"/>
      <c r="B176" s="44"/>
      <c r="C176" s="44"/>
      <c r="D176" s="44"/>
      <c r="E176" s="44"/>
      <c r="F176" s="44"/>
      <c r="G176" s="44"/>
      <c r="H176" s="34" t="str">
        <f aca="false">IF(G176&lt;&gt;"",G176,IF(F176="","",IFERROR(INDEX(I_Item!$C$6:$C$255,MATCH(F176,I_Item!$A$6:$A$255,0)),"KODE BARU")))</f>
        <v/>
      </c>
      <c r="I176" s="45"/>
      <c r="J176" s="42"/>
      <c r="K176" s="11" t="str">
        <f aca="false">IF(I176="","",I176*J176)</f>
        <v/>
      </c>
      <c r="L176" s="34" t="str">
        <f aca="false">IF(H176="","",IFERROR(INDEX(I_Master!$B$6:$B$85,MATCH(H176,I_Master!$A$6:$A$85,0)),"?"))</f>
        <v/>
      </c>
      <c r="M176" s="46" t="str">
        <f aca="false">IF(I176="","",IF(OR(A176&lt;I_Parameter!$C$5,A176&gt;I_Parameter!$C$6),0,IF(B176="Aktual",1,IF(AND(B176="Rencana",A176&gt;=I_Parameter!$C$4),1,0))))</f>
        <v/>
      </c>
    </row>
    <row r="177" customFormat="false" ht="15" hidden="false" customHeight="false" outlineLevel="0" collapsed="false">
      <c r="A177" s="37"/>
      <c r="B177" s="44"/>
      <c r="C177" s="44"/>
      <c r="D177" s="44"/>
      <c r="E177" s="44"/>
      <c r="F177" s="44"/>
      <c r="G177" s="44"/>
      <c r="H177" s="34" t="str">
        <f aca="false">IF(G177&lt;&gt;"",G177,IF(F177="","",IFERROR(INDEX(I_Item!$C$6:$C$255,MATCH(F177,I_Item!$A$6:$A$255,0)),"KODE BARU")))</f>
        <v/>
      </c>
      <c r="I177" s="45"/>
      <c r="J177" s="42"/>
      <c r="K177" s="11" t="str">
        <f aca="false">IF(I177="","",I177*J177)</f>
        <v/>
      </c>
      <c r="L177" s="34" t="str">
        <f aca="false">IF(H177="","",IFERROR(INDEX(I_Master!$B$6:$B$85,MATCH(H177,I_Master!$A$6:$A$85,0)),"?"))</f>
        <v/>
      </c>
      <c r="M177" s="46" t="str">
        <f aca="false">IF(I177="","",IF(OR(A177&lt;I_Parameter!$C$5,A177&gt;I_Parameter!$C$6),0,IF(B177="Aktual",1,IF(AND(B177="Rencana",A177&gt;=I_Parameter!$C$4),1,0))))</f>
        <v/>
      </c>
    </row>
    <row r="178" customFormat="false" ht="15" hidden="false" customHeight="false" outlineLevel="0" collapsed="false">
      <c r="A178" s="37"/>
      <c r="B178" s="44"/>
      <c r="C178" s="44"/>
      <c r="D178" s="44"/>
      <c r="E178" s="44"/>
      <c r="F178" s="44"/>
      <c r="G178" s="44"/>
      <c r="H178" s="34" t="str">
        <f aca="false">IF(G178&lt;&gt;"",G178,IF(F178="","",IFERROR(INDEX(I_Item!$C$6:$C$255,MATCH(F178,I_Item!$A$6:$A$255,0)),"KODE BARU")))</f>
        <v/>
      </c>
      <c r="I178" s="45"/>
      <c r="J178" s="42"/>
      <c r="K178" s="11" t="str">
        <f aca="false">IF(I178="","",I178*J178)</f>
        <v/>
      </c>
      <c r="L178" s="34" t="str">
        <f aca="false">IF(H178="","",IFERROR(INDEX(I_Master!$B$6:$B$85,MATCH(H178,I_Master!$A$6:$A$85,0)),"?"))</f>
        <v/>
      </c>
      <c r="M178" s="46" t="str">
        <f aca="false">IF(I178="","",IF(OR(A178&lt;I_Parameter!$C$5,A178&gt;I_Parameter!$C$6),0,IF(B178="Aktual",1,IF(AND(B178="Rencana",A178&gt;=I_Parameter!$C$4),1,0))))</f>
        <v/>
      </c>
    </row>
    <row r="179" customFormat="false" ht="15" hidden="false" customHeight="false" outlineLevel="0" collapsed="false">
      <c r="A179" s="37"/>
      <c r="B179" s="44"/>
      <c r="C179" s="44"/>
      <c r="D179" s="44"/>
      <c r="E179" s="44"/>
      <c r="F179" s="44"/>
      <c r="G179" s="44"/>
      <c r="H179" s="34" t="str">
        <f aca="false">IF(G179&lt;&gt;"",G179,IF(F179="","",IFERROR(INDEX(I_Item!$C$6:$C$255,MATCH(F179,I_Item!$A$6:$A$255,0)),"KODE BARU")))</f>
        <v/>
      </c>
      <c r="I179" s="45"/>
      <c r="J179" s="42"/>
      <c r="K179" s="11" t="str">
        <f aca="false">IF(I179="","",I179*J179)</f>
        <v/>
      </c>
      <c r="L179" s="34" t="str">
        <f aca="false">IF(H179="","",IFERROR(INDEX(I_Master!$B$6:$B$85,MATCH(H179,I_Master!$A$6:$A$85,0)),"?"))</f>
        <v/>
      </c>
      <c r="M179" s="46" t="str">
        <f aca="false">IF(I179="","",IF(OR(A179&lt;I_Parameter!$C$5,A179&gt;I_Parameter!$C$6),0,IF(B179="Aktual",1,IF(AND(B179="Rencana",A179&gt;=I_Parameter!$C$4),1,0))))</f>
        <v/>
      </c>
    </row>
    <row r="180" customFormat="false" ht="15" hidden="false" customHeight="false" outlineLevel="0" collapsed="false">
      <c r="A180" s="37"/>
      <c r="B180" s="44"/>
      <c r="C180" s="44"/>
      <c r="D180" s="44"/>
      <c r="E180" s="44"/>
      <c r="F180" s="44"/>
      <c r="G180" s="44"/>
      <c r="H180" s="34" t="str">
        <f aca="false">IF(G180&lt;&gt;"",G180,IF(F180="","",IFERROR(INDEX(I_Item!$C$6:$C$255,MATCH(F180,I_Item!$A$6:$A$255,0)),"KODE BARU")))</f>
        <v/>
      </c>
      <c r="I180" s="45"/>
      <c r="J180" s="42"/>
      <c r="K180" s="11" t="str">
        <f aca="false">IF(I180="","",I180*J180)</f>
        <v/>
      </c>
      <c r="L180" s="34" t="str">
        <f aca="false">IF(H180="","",IFERROR(INDEX(I_Master!$B$6:$B$85,MATCH(H180,I_Master!$A$6:$A$85,0)),"?"))</f>
        <v/>
      </c>
      <c r="M180" s="46" t="str">
        <f aca="false">IF(I180="","",IF(OR(A180&lt;I_Parameter!$C$5,A180&gt;I_Parameter!$C$6),0,IF(B180="Aktual",1,IF(AND(B180="Rencana",A180&gt;=I_Parameter!$C$4),1,0))))</f>
        <v/>
      </c>
    </row>
    <row r="181" customFormat="false" ht="15" hidden="false" customHeight="false" outlineLevel="0" collapsed="false">
      <c r="A181" s="37"/>
      <c r="B181" s="44"/>
      <c r="C181" s="44"/>
      <c r="D181" s="44"/>
      <c r="E181" s="44"/>
      <c r="F181" s="44"/>
      <c r="G181" s="44"/>
      <c r="H181" s="34" t="str">
        <f aca="false">IF(G181&lt;&gt;"",G181,IF(F181="","",IFERROR(INDEX(I_Item!$C$6:$C$255,MATCH(F181,I_Item!$A$6:$A$255,0)),"KODE BARU")))</f>
        <v/>
      </c>
      <c r="I181" s="45"/>
      <c r="J181" s="42"/>
      <c r="K181" s="11" t="str">
        <f aca="false">IF(I181="","",I181*J181)</f>
        <v/>
      </c>
      <c r="L181" s="34" t="str">
        <f aca="false">IF(H181="","",IFERROR(INDEX(I_Master!$B$6:$B$85,MATCH(H181,I_Master!$A$6:$A$85,0)),"?"))</f>
        <v/>
      </c>
      <c r="M181" s="46" t="str">
        <f aca="false">IF(I181="","",IF(OR(A181&lt;I_Parameter!$C$5,A181&gt;I_Parameter!$C$6),0,IF(B181="Aktual",1,IF(AND(B181="Rencana",A181&gt;=I_Parameter!$C$4),1,0))))</f>
        <v/>
      </c>
    </row>
    <row r="182" customFormat="false" ht="15" hidden="false" customHeight="false" outlineLevel="0" collapsed="false">
      <c r="A182" s="37"/>
      <c r="B182" s="44"/>
      <c r="C182" s="44"/>
      <c r="D182" s="44"/>
      <c r="E182" s="44"/>
      <c r="F182" s="44"/>
      <c r="G182" s="44"/>
      <c r="H182" s="34" t="str">
        <f aca="false">IF(G182&lt;&gt;"",G182,IF(F182="","",IFERROR(INDEX(I_Item!$C$6:$C$255,MATCH(F182,I_Item!$A$6:$A$255,0)),"KODE BARU")))</f>
        <v/>
      </c>
      <c r="I182" s="45"/>
      <c r="J182" s="42"/>
      <c r="K182" s="11" t="str">
        <f aca="false">IF(I182="","",I182*J182)</f>
        <v/>
      </c>
      <c r="L182" s="34" t="str">
        <f aca="false">IF(H182="","",IFERROR(INDEX(I_Master!$B$6:$B$85,MATCH(H182,I_Master!$A$6:$A$85,0)),"?"))</f>
        <v/>
      </c>
      <c r="M182" s="46" t="str">
        <f aca="false">IF(I182="","",IF(OR(A182&lt;I_Parameter!$C$5,A182&gt;I_Parameter!$C$6),0,IF(B182="Aktual",1,IF(AND(B182="Rencana",A182&gt;=I_Parameter!$C$4),1,0))))</f>
        <v/>
      </c>
    </row>
    <row r="183" customFormat="false" ht="15" hidden="false" customHeight="false" outlineLevel="0" collapsed="false">
      <c r="A183" s="37"/>
      <c r="B183" s="44"/>
      <c r="C183" s="44"/>
      <c r="D183" s="44"/>
      <c r="E183" s="44"/>
      <c r="F183" s="44"/>
      <c r="G183" s="44"/>
      <c r="H183" s="34" t="str">
        <f aca="false">IF(G183&lt;&gt;"",G183,IF(F183="","",IFERROR(INDEX(I_Item!$C$6:$C$255,MATCH(F183,I_Item!$A$6:$A$255,0)),"KODE BARU")))</f>
        <v/>
      </c>
      <c r="I183" s="45"/>
      <c r="J183" s="42"/>
      <c r="K183" s="11" t="str">
        <f aca="false">IF(I183="","",I183*J183)</f>
        <v/>
      </c>
      <c r="L183" s="34" t="str">
        <f aca="false">IF(H183="","",IFERROR(INDEX(I_Master!$B$6:$B$85,MATCH(H183,I_Master!$A$6:$A$85,0)),"?"))</f>
        <v/>
      </c>
      <c r="M183" s="46" t="str">
        <f aca="false">IF(I183="","",IF(OR(A183&lt;I_Parameter!$C$5,A183&gt;I_Parameter!$C$6),0,IF(B183="Aktual",1,IF(AND(B183="Rencana",A183&gt;=I_Parameter!$C$4),1,0))))</f>
        <v/>
      </c>
    </row>
    <row r="184" customFormat="false" ht="15" hidden="false" customHeight="false" outlineLevel="0" collapsed="false">
      <c r="A184" s="37"/>
      <c r="B184" s="44"/>
      <c r="C184" s="44"/>
      <c r="D184" s="44"/>
      <c r="E184" s="44"/>
      <c r="F184" s="44"/>
      <c r="G184" s="44"/>
      <c r="H184" s="34" t="str">
        <f aca="false">IF(G184&lt;&gt;"",G184,IF(F184="","",IFERROR(INDEX(I_Item!$C$6:$C$255,MATCH(F184,I_Item!$A$6:$A$255,0)),"KODE BARU")))</f>
        <v/>
      </c>
      <c r="I184" s="45"/>
      <c r="J184" s="42"/>
      <c r="K184" s="11" t="str">
        <f aca="false">IF(I184="","",I184*J184)</f>
        <v/>
      </c>
      <c r="L184" s="34" t="str">
        <f aca="false">IF(H184="","",IFERROR(INDEX(I_Master!$B$6:$B$85,MATCH(H184,I_Master!$A$6:$A$85,0)),"?"))</f>
        <v/>
      </c>
      <c r="M184" s="46" t="str">
        <f aca="false">IF(I184="","",IF(OR(A184&lt;I_Parameter!$C$5,A184&gt;I_Parameter!$C$6),0,IF(B184="Aktual",1,IF(AND(B184="Rencana",A184&gt;=I_Parameter!$C$4),1,0))))</f>
        <v/>
      </c>
    </row>
    <row r="185" customFormat="false" ht="15" hidden="false" customHeight="false" outlineLevel="0" collapsed="false">
      <c r="A185" s="37"/>
      <c r="B185" s="44"/>
      <c r="C185" s="44"/>
      <c r="D185" s="44"/>
      <c r="E185" s="44"/>
      <c r="F185" s="44"/>
      <c r="G185" s="44"/>
      <c r="H185" s="34" t="str">
        <f aca="false">IF(G185&lt;&gt;"",G185,IF(F185="","",IFERROR(INDEX(I_Item!$C$6:$C$255,MATCH(F185,I_Item!$A$6:$A$255,0)),"KODE BARU")))</f>
        <v/>
      </c>
      <c r="I185" s="45"/>
      <c r="J185" s="42"/>
      <c r="K185" s="11" t="str">
        <f aca="false">IF(I185="","",I185*J185)</f>
        <v/>
      </c>
      <c r="L185" s="34" t="str">
        <f aca="false">IF(H185="","",IFERROR(INDEX(I_Master!$B$6:$B$85,MATCH(H185,I_Master!$A$6:$A$85,0)),"?"))</f>
        <v/>
      </c>
      <c r="M185" s="46" t="str">
        <f aca="false">IF(I185="","",IF(OR(A185&lt;I_Parameter!$C$5,A185&gt;I_Parameter!$C$6),0,IF(B185="Aktual",1,IF(AND(B185="Rencana",A185&gt;=I_Parameter!$C$4),1,0))))</f>
        <v/>
      </c>
    </row>
    <row r="186" customFormat="false" ht="15" hidden="false" customHeight="false" outlineLevel="0" collapsed="false">
      <c r="A186" s="37"/>
      <c r="B186" s="44"/>
      <c r="C186" s="44"/>
      <c r="D186" s="44"/>
      <c r="E186" s="44"/>
      <c r="F186" s="44"/>
      <c r="G186" s="44"/>
      <c r="H186" s="34" t="str">
        <f aca="false">IF(G186&lt;&gt;"",G186,IF(F186="","",IFERROR(INDEX(I_Item!$C$6:$C$255,MATCH(F186,I_Item!$A$6:$A$255,0)),"KODE BARU")))</f>
        <v/>
      </c>
      <c r="I186" s="45"/>
      <c r="J186" s="42"/>
      <c r="K186" s="11" t="str">
        <f aca="false">IF(I186="","",I186*J186)</f>
        <v/>
      </c>
      <c r="L186" s="34" t="str">
        <f aca="false">IF(H186="","",IFERROR(INDEX(I_Master!$B$6:$B$85,MATCH(H186,I_Master!$A$6:$A$85,0)),"?"))</f>
        <v/>
      </c>
      <c r="M186" s="46" t="str">
        <f aca="false">IF(I186="","",IF(OR(A186&lt;I_Parameter!$C$5,A186&gt;I_Parameter!$C$6),0,IF(B186="Aktual",1,IF(AND(B186="Rencana",A186&gt;=I_Parameter!$C$4),1,0))))</f>
        <v/>
      </c>
    </row>
    <row r="187" customFormat="false" ht="15" hidden="false" customHeight="false" outlineLevel="0" collapsed="false">
      <c r="A187" s="37"/>
      <c r="B187" s="44"/>
      <c r="C187" s="44"/>
      <c r="D187" s="44"/>
      <c r="E187" s="44"/>
      <c r="F187" s="44"/>
      <c r="G187" s="44"/>
      <c r="H187" s="34" t="str">
        <f aca="false">IF(G187&lt;&gt;"",G187,IF(F187="","",IFERROR(INDEX(I_Item!$C$6:$C$255,MATCH(F187,I_Item!$A$6:$A$255,0)),"KODE BARU")))</f>
        <v/>
      </c>
      <c r="I187" s="45"/>
      <c r="J187" s="42"/>
      <c r="K187" s="11" t="str">
        <f aca="false">IF(I187="","",I187*J187)</f>
        <v/>
      </c>
      <c r="L187" s="34" t="str">
        <f aca="false">IF(H187="","",IFERROR(INDEX(I_Master!$B$6:$B$85,MATCH(H187,I_Master!$A$6:$A$85,0)),"?"))</f>
        <v/>
      </c>
      <c r="M187" s="46" t="str">
        <f aca="false">IF(I187="","",IF(OR(A187&lt;I_Parameter!$C$5,A187&gt;I_Parameter!$C$6),0,IF(B187="Aktual",1,IF(AND(B187="Rencana",A187&gt;=I_Parameter!$C$4),1,0))))</f>
        <v/>
      </c>
    </row>
    <row r="188" customFormat="false" ht="15" hidden="false" customHeight="false" outlineLevel="0" collapsed="false">
      <c r="A188" s="37"/>
      <c r="B188" s="44"/>
      <c r="C188" s="44"/>
      <c r="D188" s="44"/>
      <c r="E188" s="44"/>
      <c r="F188" s="44"/>
      <c r="G188" s="44"/>
      <c r="H188" s="34" t="str">
        <f aca="false">IF(G188&lt;&gt;"",G188,IF(F188="","",IFERROR(INDEX(I_Item!$C$6:$C$255,MATCH(F188,I_Item!$A$6:$A$255,0)),"KODE BARU")))</f>
        <v/>
      </c>
      <c r="I188" s="45"/>
      <c r="J188" s="42"/>
      <c r="K188" s="11" t="str">
        <f aca="false">IF(I188="","",I188*J188)</f>
        <v/>
      </c>
      <c r="L188" s="34" t="str">
        <f aca="false">IF(H188="","",IFERROR(INDEX(I_Master!$B$6:$B$85,MATCH(H188,I_Master!$A$6:$A$85,0)),"?"))</f>
        <v/>
      </c>
      <c r="M188" s="46" t="str">
        <f aca="false">IF(I188="","",IF(OR(A188&lt;I_Parameter!$C$5,A188&gt;I_Parameter!$C$6),0,IF(B188="Aktual",1,IF(AND(B188="Rencana",A188&gt;=I_Parameter!$C$4),1,0))))</f>
        <v/>
      </c>
    </row>
    <row r="189" customFormat="false" ht="15" hidden="false" customHeight="false" outlineLevel="0" collapsed="false">
      <c r="A189" s="37"/>
      <c r="B189" s="44"/>
      <c r="C189" s="44"/>
      <c r="D189" s="44"/>
      <c r="E189" s="44"/>
      <c r="F189" s="44"/>
      <c r="G189" s="44"/>
      <c r="H189" s="34" t="str">
        <f aca="false">IF(G189&lt;&gt;"",G189,IF(F189="","",IFERROR(INDEX(I_Item!$C$6:$C$255,MATCH(F189,I_Item!$A$6:$A$255,0)),"KODE BARU")))</f>
        <v/>
      </c>
      <c r="I189" s="45"/>
      <c r="J189" s="42"/>
      <c r="K189" s="11" t="str">
        <f aca="false">IF(I189="","",I189*J189)</f>
        <v/>
      </c>
      <c r="L189" s="34" t="str">
        <f aca="false">IF(H189="","",IFERROR(INDEX(I_Master!$B$6:$B$85,MATCH(H189,I_Master!$A$6:$A$85,0)),"?"))</f>
        <v/>
      </c>
      <c r="M189" s="46" t="str">
        <f aca="false">IF(I189="","",IF(OR(A189&lt;I_Parameter!$C$5,A189&gt;I_Parameter!$C$6),0,IF(B189="Aktual",1,IF(AND(B189="Rencana",A189&gt;=I_Parameter!$C$4),1,0))))</f>
        <v/>
      </c>
    </row>
    <row r="190" customFormat="false" ht="15" hidden="false" customHeight="false" outlineLevel="0" collapsed="false">
      <c r="A190" s="37"/>
      <c r="B190" s="44"/>
      <c r="C190" s="44"/>
      <c r="D190" s="44"/>
      <c r="E190" s="44"/>
      <c r="F190" s="44"/>
      <c r="G190" s="44"/>
      <c r="H190" s="34" t="str">
        <f aca="false">IF(G190&lt;&gt;"",G190,IF(F190="","",IFERROR(INDEX(I_Item!$C$6:$C$255,MATCH(F190,I_Item!$A$6:$A$255,0)),"KODE BARU")))</f>
        <v/>
      </c>
      <c r="I190" s="45"/>
      <c r="J190" s="42"/>
      <c r="K190" s="11" t="str">
        <f aca="false">IF(I190="","",I190*J190)</f>
        <v/>
      </c>
      <c r="L190" s="34" t="str">
        <f aca="false">IF(H190="","",IFERROR(INDEX(I_Master!$B$6:$B$85,MATCH(H190,I_Master!$A$6:$A$85,0)),"?"))</f>
        <v/>
      </c>
      <c r="M190" s="46" t="str">
        <f aca="false">IF(I190="","",IF(OR(A190&lt;I_Parameter!$C$5,A190&gt;I_Parameter!$C$6),0,IF(B190="Aktual",1,IF(AND(B190="Rencana",A190&gt;=I_Parameter!$C$4),1,0))))</f>
        <v/>
      </c>
    </row>
    <row r="191" customFormat="false" ht="15" hidden="false" customHeight="false" outlineLevel="0" collapsed="false">
      <c r="A191" s="37"/>
      <c r="B191" s="44"/>
      <c r="C191" s="44"/>
      <c r="D191" s="44"/>
      <c r="E191" s="44"/>
      <c r="F191" s="44"/>
      <c r="G191" s="44"/>
      <c r="H191" s="34" t="str">
        <f aca="false">IF(G191&lt;&gt;"",G191,IF(F191="","",IFERROR(INDEX(I_Item!$C$6:$C$255,MATCH(F191,I_Item!$A$6:$A$255,0)),"KODE BARU")))</f>
        <v/>
      </c>
      <c r="I191" s="45"/>
      <c r="J191" s="42"/>
      <c r="K191" s="11" t="str">
        <f aca="false">IF(I191="","",I191*J191)</f>
        <v/>
      </c>
      <c r="L191" s="34" t="str">
        <f aca="false">IF(H191="","",IFERROR(INDEX(I_Master!$B$6:$B$85,MATCH(H191,I_Master!$A$6:$A$85,0)),"?"))</f>
        <v/>
      </c>
      <c r="M191" s="46" t="str">
        <f aca="false">IF(I191="","",IF(OR(A191&lt;I_Parameter!$C$5,A191&gt;I_Parameter!$C$6),0,IF(B191="Aktual",1,IF(AND(B191="Rencana",A191&gt;=I_Parameter!$C$4),1,0))))</f>
        <v/>
      </c>
    </row>
    <row r="192" customFormat="false" ht="15" hidden="false" customHeight="false" outlineLevel="0" collapsed="false">
      <c r="A192" s="37"/>
      <c r="B192" s="44"/>
      <c r="C192" s="44"/>
      <c r="D192" s="44"/>
      <c r="E192" s="44"/>
      <c r="F192" s="44"/>
      <c r="G192" s="44"/>
      <c r="H192" s="34" t="str">
        <f aca="false">IF(G192&lt;&gt;"",G192,IF(F192="","",IFERROR(INDEX(I_Item!$C$6:$C$255,MATCH(F192,I_Item!$A$6:$A$255,0)),"KODE BARU")))</f>
        <v/>
      </c>
      <c r="I192" s="45"/>
      <c r="J192" s="42"/>
      <c r="K192" s="11" t="str">
        <f aca="false">IF(I192="","",I192*J192)</f>
        <v/>
      </c>
      <c r="L192" s="34" t="str">
        <f aca="false">IF(H192="","",IFERROR(INDEX(I_Master!$B$6:$B$85,MATCH(H192,I_Master!$A$6:$A$85,0)),"?"))</f>
        <v/>
      </c>
      <c r="M192" s="46" t="str">
        <f aca="false">IF(I192="","",IF(OR(A192&lt;I_Parameter!$C$5,A192&gt;I_Parameter!$C$6),0,IF(B192="Aktual",1,IF(AND(B192="Rencana",A192&gt;=I_Parameter!$C$4),1,0))))</f>
        <v/>
      </c>
    </row>
    <row r="193" customFormat="false" ht="15" hidden="false" customHeight="false" outlineLevel="0" collapsed="false">
      <c r="A193" s="37"/>
      <c r="B193" s="44"/>
      <c r="C193" s="44"/>
      <c r="D193" s="44"/>
      <c r="E193" s="44"/>
      <c r="F193" s="44"/>
      <c r="G193" s="44"/>
      <c r="H193" s="34" t="str">
        <f aca="false">IF(G193&lt;&gt;"",G193,IF(F193="","",IFERROR(INDEX(I_Item!$C$6:$C$255,MATCH(F193,I_Item!$A$6:$A$255,0)),"KODE BARU")))</f>
        <v/>
      </c>
      <c r="I193" s="45"/>
      <c r="J193" s="42"/>
      <c r="K193" s="11" t="str">
        <f aca="false">IF(I193="","",I193*J193)</f>
        <v/>
      </c>
      <c r="L193" s="34" t="str">
        <f aca="false">IF(H193="","",IFERROR(INDEX(I_Master!$B$6:$B$85,MATCH(H193,I_Master!$A$6:$A$85,0)),"?"))</f>
        <v/>
      </c>
      <c r="M193" s="46" t="str">
        <f aca="false">IF(I193="","",IF(OR(A193&lt;I_Parameter!$C$5,A193&gt;I_Parameter!$C$6),0,IF(B193="Aktual",1,IF(AND(B193="Rencana",A193&gt;=I_Parameter!$C$4),1,0))))</f>
        <v/>
      </c>
    </row>
    <row r="194" customFormat="false" ht="15" hidden="false" customHeight="false" outlineLevel="0" collapsed="false">
      <c r="A194" s="37"/>
      <c r="B194" s="44"/>
      <c r="C194" s="44"/>
      <c r="D194" s="44"/>
      <c r="E194" s="44"/>
      <c r="F194" s="44"/>
      <c r="G194" s="44"/>
      <c r="H194" s="34" t="str">
        <f aca="false">IF(G194&lt;&gt;"",G194,IF(F194="","",IFERROR(INDEX(I_Item!$C$6:$C$255,MATCH(F194,I_Item!$A$6:$A$255,0)),"KODE BARU")))</f>
        <v/>
      </c>
      <c r="I194" s="45"/>
      <c r="J194" s="42"/>
      <c r="K194" s="11" t="str">
        <f aca="false">IF(I194="","",I194*J194)</f>
        <v/>
      </c>
      <c r="L194" s="34" t="str">
        <f aca="false">IF(H194="","",IFERROR(INDEX(I_Master!$B$6:$B$85,MATCH(H194,I_Master!$A$6:$A$85,0)),"?"))</f>
        <v/>
      </c>
      <c r="M194" s="46" t="str">
        <f aca="false">IF(I194="","",IF(OR(A194&lt;I_Parameter!$C$5,A194&gt;I_Parameter!$C$6),0,IF(B194="Aktual",1,IF(AND(B194="Rencana",A194&gt;=I_Parameter!$C$4),1,0))))</f>
        <v/>
      </c>
    </row>
    <row r="195" customFormat="false" ht="15" hidden="false" customHeight="false" outlineLevel="0" collapsed="false">
      <c r="A195" s="37"/>
      <c r="B195" s="44"/>
      <c r="C195" s="44"/>
      <c r="D195" s="44"/>
      <c r="E195" s="44"/>
      <c r="F195" s="44"/>
      <c r="G195" s="44"/>
      <c r="H195" s="34" t="str">
        <f aca="false">IF(G195&lt;&gt;"",G195,IF(F195="","",IFERROR(INDEX(I_Item!$C$6:$C$255,MATCH(F195,I_Item!$A$6:$A$255,0)),"KODE BARU")))</f>
        <v/>
      </c>
      <c r="I195" s="45"/>
      <c r="J195" s="42"/>
      <c r="K195" s="11" t="str">
        <f aca="false">IF(I195="","",I195*J195)</f>
        <v/>
      </c>
      <c r="L195" s="34" t="str">
        <f aca="false">IF(H195="","",IFERROR(INDEX(I_Master!$B$6:$B$85,MATCH(H195,I_Master!$A$6:$A$85,0)),"?"))</f>
        <v/>
      </c>
      <c r="M195" s="46" t="str">
        <f aca="false">IF(I195="","",IF(OR(A195&lt;I_Parameter!$C$5,A195&gt;I_Parameter!$C$6),0,IF(B195="Aktual",1,IF(AND(B195="Rencana",A195&gt;=I_Parameter!$C$4),1,0))))</f>
        <v/>
      </c>
    </row>
    <row r="196" customFormat="false" ht="15" hidden="false" customHeight="false" outlineLevel="0" collapsed="false">
      <c r="A196" s="37"/>
      <c r="B196" s="44"/>
      <c r="C196" s="44"/>
      <c r="D196" s="44"/>
      <c r="E196" s="44"/>
      <c r="F196" s="44"/>
      <c r="G196" s="44"/>
      <c r="H196" s="34" t="str">
        <f aca="false">IF(G196&lt;&gt;"",G196,IF(F196="","",IFERROR(INDEX(I_Item!$C$6:$C$255,MATCH(F196,I_Item!$A$6:$A$255,0)),"KODE BARU")))</f>
        <v/>
      </c>
      <c r="I196" s="45"/>
      <c r="J196" s="42"/>
      <c r="K196" s="11" t="str">
        <f aca="false">IF(I196="","",I196*J196)</f>
        <v/>
      </c>
      <c r="L196" s="34" t="str">
        <f aca="false">IF(H196="","",IFERROR(INDEX(I_Master!$B$6:$B$85,MATCH(H196,I_Master!$A$6:$A$85,0)),"?"))</f>
        <v/>
      </c>
      <c r="M196" s="46" t="str">
        <f aca="false">IF(I196="","",IF(OR(A196&lt;I_Parameter!$C$5,A196&gt;I_Parameter!$C$6),0,IF(B196="Aktual",1,IF(AND(B196="Rencana",A196&gt;=I_Parameter!$C$4),1,0))))</f>
        <v/>
      </c>
    </row>
    <row r="197" customFormat="false" ht="15" hidden="false" customHeight="false" outlineLevel="0" collapsed="false">
      <c r="A197" s="37"/>
      <c r="B197" s="44"/>
      <c r="C197" s="44"/>
      <c r="D197" s="44"/>
      <c r="E197" s="44"/>
      <c r="F197" s="44"/>
      <c r="G197" s="44"/>
      <c r="H197" s="34" t="str">
        <f aca="false">IF(G197&lt;&gt;"",G197,IF(F197="","",IFERROR(INDEX(I_Item!$C$6:$C$255,MATCH(F197,I_Item!$A$6:$A$255,0)),"KODE BARU")))</f>
        <v/>
      </c>
      <c r="I197" s="45"/>
      <c r="J197" s="42"/>
      <c r="K197" s="11" t="str">
        <f aca="false">IF(I197="","",I197*J197)</f>
        <v/>
      </c>
      <c r="L197" s="34" t="str">
        <f aca="false">IF(H197="","",IFERROR(INDEX(I_Master!$B$6:$B$85,MATCH(H197,I_Master!$A$6:$A$85,0)),"?"))</f>
        <v/>
      </c>
      <c r="M197" s="46" t="str">
        <f aca="false">IF(I197="","",IF(OR(A197&lt;I_Parameter!$C$5,A197&gt;I_Parameter!$C$6),0,IF(B197="Aktual",1,IF(AND(B197="Rencana",A197&gt;=I_Parameter!$C$4),1,0))))</f>
        <v/>
      </c>
    </row>
    <row r="198" customFormat="false" ht="15" hidden="false" customHeight="false" outlineLevel="0" collapsed="false">
      <c r="A198" s="37"/>
      <c r="B198" s="44"/>
      <c r="C198" s="44"/>
      <c r="D198" s="44"/>
      <c r="E198" s="44"/>
      <c r="F198" s="44"/>
      <c r="G198" s="44"/>
      <c r="H198" s="34" t="str">
        <f aca="false">IF(G198&lt;&gt;"",G198,IF(F198="","",IFERROR(INDEX(I_Item!$C$6:$C$255,MATCH(F198,I_Item!$A$6:$A$255,0)),"KODE BARU")))</f>
        <v/>
      </c>
      <c r="I198" s="45"/>
      <c r="J198" s="42"/>
      <c r="K198" s="11" t="str">
        <f aca="false">IF(I198="","",I198*J198)</f>
        <v/>
      </c>
      <c r="L198" s="34" t="str">
        <f aca="false">IF(H198="","",IFERROR(INDEX(I_Master!$B$6:$B$85,MATCH(H198,I_Master!$A$6:$A$85,0)),"?"))</f>
        <v/>
      </c>
      <c r="M198" s="46" t="str">
        <f aca="false">IF(I198="","",IF(OR(A198&lt;I_Parameter!$C$5,A198&gt;I_Parameter!$C$6),0,IF(B198="Aktual",1,IF(AND(B198="Rencana",A198&gt;=I_Parameter!$C$4),1,0))))</f>
        <v/>
      </c>
    </row>
    <row r="199" customFormat="false" ht="15" hidden="false" customHeight="false" outlineLevel="0" collapsed="false">
      <c r="A199" s="37"/>
      <c r="B199" s="44"/>
      <c r="C199" s="44"/>
      <c r="D199" s="44"/>
      <c r="E199" s="44"/>
      <c r="F199" s="44"/>
      <c r="G199" s="44"/>
      <c r="H199" s="34" t="str">
        <f aca="false">IF(G199&lt;&gt;"",G199,IF(F199="","",IFERROR(INDEX(I_Item!$C$6:$C$255,MATCH(F199,I_Item!$A$6:$A$255,0)),"KODE BARU")))</f>
        <v/>
      </c>
      <c r="I199" s="45"/>
      <c r="J199" s="42"/>
      <c r="K199" s="11" t="str">
        <f aca="false">IF(I199="","",I199*J199)</f>
        <v/>
      </c>
      <c r="L199" s="34" t="str">
        <f aca="false">IF(H199="","",IFERROR(INDEX(I_Master!$B$6:$B$85,MATCH(H199,I_Master!$A$6:$A$85,0)),"?"))</f>
        <v/>
      </c>
      <c r="M199" s="46" t="str">
        <f aca="false">IF(I199="","",IF(OR(A199&lt;I_Parameter!$C$5,A199&gt;I_Parameter!$C$6),0,IF(B199="Aktual",1,IF(AND(B199="Rencana",A199&gt;=I_Parameter!$C$4),1,0))))</f>
        <v/>
      </c>
    </row>
    <row r="200" customFormat="false" ht="15" hidden="false" customHeight="false" outlineLevel="0" collapsed="false">
      <c r="A200" s="37"/>
      <c r="B200" s="44"/>
      <c r="C200" s="44"/>
      <c r="D200" s="44"/>
      <c r="E200" s="44"/>
      <c r="F200" s="44"/>
      <c r="G200" s="44"/>
      <c r="H200" s="34" t="str">
        <f aca="false">IF(G200&lt;&gt;"",G200,IF(F200="","",IFERROR(INDEX(I_Item!$C$6:$C$255,MATCH(F200,I_Item!$A$6:$A$255,0)),"KODE BARU")))</f>
        <v/>
      </c>
      <c r="I200" s="45"/>
      <c r="J200" s="42"/>
      <c r="K200" s="11" t="str">
        <f aca="false">IF(I200="","",I200*J200)</f>
        <v/>
      </c>
      <c r="L200" s="34" t="str">
        <f aca="false">IF(H200="","",IFERROR(INDEX(I_Master!$B$6:$B$85,MATCH(H200,I_Master!$A$6:$A$85,0)),"?"))</f>
        <v/>
      </c>
      <c r="M200" s="46" t="str">
        <f aca="false">IF(I200="","",IF(OR(A200&lt;I_Parameter!$C$5,A200&gt;I_Parameter!$C$6),0,IF(B200="Aktual",1,IF(AND(B200="Rencana",A200&gt;=I_Parameter!$C$4),1,0))))</f>
        <v/>
      </c>
    </row>
    <row r="201" customFormat="false" ht="15" hidden="false" customHeight="false" outlineLevel="0" collapsed="false">
      <c r="A201" s="37"/>
      <c r="B201" s="44"/>
      <c r="C201" s="44"/>
      <c r="D201" s="44"/>
      <c r="E201" s="44"/>
      <c r="F201" s="44"/>
      <c r="G201" s="44"/>
      <c r="H201" s="34" t="str">
        <f aca="false">IF(G201&lt;&gt;"",G201,IF(F201="","",IFERROR(INDEX(I_Item!$C$6:$C$255,MATCH(F201,I_Item!$A$6:$A$255,0)),"KODE BARU")))</f>
        <v/>
      </c>
      <c r="I201" s="45"/>
      <c r="J201" s="42"/>
      <c r="K201" s="11" t="str">
        <f aca="false">IF(I201="","",I201*J201)</f>
        <v/>
      </c>
      <c r="L201" s="34" t="str">
        <f aca="false">IF(H201="","",IFERROR(INDEX(I_Master!$B$6:$B$85,MATCH(H201,I_Master!$A$6:$A$85,0)),"?"))</f>
        <v/>
      </c>
      <c r="M201" s="46" t="str">
        <f aca="false">IF(I201="","",IF(OR(A201&lt;I_Parameter!$C$5,A201&gt;I_Parameter!$C$6),0,IF(B201="Aktual",1,IF(AND(B201="Rencana",A201&gt;=I_Parameter!$C$4),1,0))))</f>
        <v/>
      </c>
    </row>
    <row r="202" customFormat="false" ht="15" hidden="false" customHeight="false" outlineLevel="0" collapsed="false">
      <c r="A202" s="37"/>
      <c r="B202" s="44"/>
      <c r="C202" s="44"/>
      <c r="D202" s="44"/>
      <c r="E202" s="44"/>
      <c r="F202" s="44"/>
      <c r="G202" s="44"/>
      <c r="H202" s="34" t="str">
        <f aca="false">IF(G202&lt;&gt;"",G202,IF(F202="","",IFERROR(INDEX(I_Item!$C$6:$C$255,MATCH(F202,I_Item!$A$6:$A$255,0)),"KODE BARU")))</f>
        <v/>
      </c>
      <c r="I202" s="45"/>
      <c r="J202" s="42"/>
      <c r="K202" s="11" t="str">
        <f aca="false">IF(I202="","",I202*J202)</f>
        <v/>
      </c>
      <c r="L202" s="34" t="str">
        <f aca="false">IF(H202="","",IFERROR(INDEX(I_Master!$B$6:$B$85,MATCH(H202,I_Master!$A$6:$A$85,0)),"?"))</f>
        <v/>
      </c>
      <c r="M202" s="46" t="str">
        <f aca="false">IF(I202="","",IF(OR(A202&lt;I_Parameter!$C$5,A202&gt;I_Parameter!$C$6),0,IF(B202="Aktual",1,IF(AND(B202="Rencana",A202&gt;=I_Parameter!$C$4),1,0))))</f>
        <v/>
      </c>
    </row>
    <row r="203" customFormat="false" ht="15" hidden="false" customHeight="false" outlineLevel="0" collapsed="false">
      <c r="A203" s="37"/>
      <c r="B203" s="44"/>
      <c r="C203" s="44"/>
      <c r="D203" s="44"/>
      <c r="E203" s="44"/>
      <c r="F203" s="44"/>
      <c r="G203" s="44"/>
      <c r="H203" s="34" t="str">
        <f aca="false">IF(G203&lt;&gt;"",G203,IF(F203="","",IFERROR(INDEX(I_Item!$C$6:$C$255,MATCH(F203,I_Item!$A$6:$A$255,0)),"KODE BARU")))</f>
        <v/>
      </c>
      <c r="I203" s="45"/>
      <c r="J203" s="42"/>
      <c r="K203" s="11" t="str">
        <f aca="false">IF(I203="","",I203*J203)</f>
        <v/>
      </c>
      <c r="L203" s="34" t="str">
        <f aca="false">IF(H203="","",IFERROR(INDEX(I_Master!$B$6:$B$85,MATCH(H203,I_Master!$A$6:$A$85,0)),"?"))</f>
        <v/>
      </c>
      <c r="M203" s="46" t="str">
        <f aca="false">IF(I203="","",IF(OR(A203&lt;I_Parameter!$C$5,A203&gt;I_Parameter!$C$6),0,IF(B203="Aktual",1,IF(AND(B203="Rencana",A203&gt;=I_Parameter!$C$4),1,0))))</f>
        <v/>
      </c>
    </row>
    <row r="204" customFormat="false" ht="15" hidden="false" customHeight="false" outlineLevel="0" collapsed="false">
      <c r="A204" s="37"/>
      <c r="B204" s="44"/>
      <c r="C204" s="44"/>
      <c r="D204" s="44"/>
      <c r="E204" s="44"/>
      <c r="F204" s="44"/>
      <c r="G204" s="44"/>
      <c r="H204" s="34" t="str">
        <f aca="false">IF(G204&lt;&gt;"",G204,IF(F204="","",IFERROR(INDEX(I_Item!$C$6:$C$255,MATCH(F204,I_Item!$A$6:$A$255,0)),"KODE BARU")))</f>
        <v/>
      </c>
      <c r="I204" s="45"/>
      <c r="J204" s="42"/>
      <c r="K204" s="11" t="str">
        <f aca="false">IF(I204="","",I204*J204)</f>
        <v/>
      </c>
      <c r="L204" s="34" t="str">
        <f aca="false">IF(H204="","",IFERROR(INDEX(I_Master!$B$6:$B$85,MATCH(H204,I_Master!$A$6:$A$85,0)),"?"))</f>
        <v/>
      </c>
      <c r="M204" s="46" t="str">
        <f aca="false">IF(I204="","",IF(OR(A204&lt;I_Parameter!$C$5,A204&gt;I_Parameter!$C$6),0,IF(B204="Aktual",1,IF(AND(B204="Rencana",A204&gt;=I_Parameter!$C$4),1,0))))</f>
        <v/>
      </c>
    </row>
    <row r="205" customFormat="false" ht="15" hidden="false" customHeight="false" outlineLevel="0" collapsed="false">
      <c r="A205" s="37"/>
      <c r="B205" s="44"/>
      <c r="C205" s="44"/>
      <c r="D205" s="44"/>
      <c r="E205" s="44"/>
      <c r="F205" s="44"/>
      <c r="G205" s="44"/>
      <c r="H205" s="34" t="str">
        <f aca="false">IF(G205&lt;&gt;"",G205,IF(F205="","",IFERROR(INDEX(I_Item!$C$6:$C$255,MATCH(F205,I_Item!$A$6:$A$255,0)),"KODE BARU")))</f>
        <v/>
      </c>
      <c r="I205" s="45"/>
      <c r="J205" s="42"/>
      <c r="K205" s="11" t="str">
        <f aca="false">IF(I205="","",I205*J205)</f>
        <v/>
      </c>
      <c r="L205" s="34" t="str">
        <f aca="false">IF(H205="","",IFERROR(INDEX(I_Master!$B$6:$B$85,MATCH(H205,I_Master!$A$6:$A$85,0)),"?"))</f>
        <v/>
      </c>
      <c r="M205" s="46" t="str">
        <f aca="false">IF(I205="","",IF(OR(A205&lt;I_Parameter!$C$5,A205&gt;I_Parameter!$C$6),0,IF(B205="Aktual",1,IF(AND(B205="Rencana",A205&gt;=I_Parameter!$C$4),1,0))))</f>
        <v/>
      </c>
    </row>
    <row r="206" customFormat="false" ht="15" hidden="false" customHeight="false" outlineLevel="0" collapsed="false">
      <c r="A206" s="37"/>
      <c r="B206" s="44"/>
      <c r="C206" s="44"/>
      <c r="D206" s="44"/>
      <c r="E206" s="44"/>
      <c r="F206" s="44"/>
      <c r="G206" s="44"/>
      <c r="H206" s="34" t="str">
        <f aca="false">IF(G206&lt;&gt;"",G206,IF(F206="","",IFERROR(INDEX(I_Item!$C$6:$C$255,MATCH(F206,I_Item!$A$6:$A$255,0)),"KODE BARU")))</f>
        <v/>
      </c>
      <c r="I206" s="45"/>
      <c r="J206" s="42"/>
      <c r="K206" s="11" t="str">
        <f aca="false">IF(I206="","",I206*J206)</f>
        <v/>
      </c>
      <c r="L206" s="34" t="str">
        <f aca="false">IF(H206="","",IFERROR(INDEX(I_Master!$B$6:$B$85,MATCH(H206,I_Master!$A$6:$A$85,0)),"?"))</f>
        <v/>
      </c>
      <c r="M206" s="46" t="str">
        <f aca="false">IF(I206="","",IF(OR(A206&lt;I_Parameter!$C$5,A206&gt;I_Parameter!$C$6),0,IF(B206="Aktual",1,IF(AND(B206="Rencana",A206&gt;=I_Parameter!$C$4),1,0))))</f>
        <v/>
      </c>
    </row>
    <row r="207" customFormat="false" ht="15" hidden="false" customHeight="false" outlineLevel="0" collapsed="false">
      <c r="A207" s="37"/>
      <c r="B207" s="44"/>
      <c r="C207" s="44"/>
      <c r="D207" s="44"/>
      <c r="E207" s="44"/>
      <c r="F207" s="44"/>
      <c r="G207" s="44"/>
      <c r="H207" s="34" t="str">
        <f aca="false">IF(G207&lt;&gt;"",G207,IF(F207="","",IFERROR(INDEX(I_Item!$C$6:$C$255,MATCH(F207,I_Item!$A$6:$A$255,0)),"KODE BARU")))</f>
        <v/>
      </c>
      <c r="I207" s="45"/>
      <c r="J207" s="42"/>
      <c r="K207" s="11" t="str">
        <f aca="false">IF(I207="","",I207*J207)</f>
        <v/>
      </c>
      <c r="L207" s="34" t="str">
        <f aca="false">IF(H207="","",IFERROR(INDEX(I_Master!$B$6:$B$85,MATCH(H207,I_Master!$A$6:$A$85,0)),"?"))</f>
        <v/>
      </c>
      <c r="M207" s="46" t="str">
        <f aca="false">IF(I207="","",IF(OR(A207&lt;I_Parameter!$C$5,A207&gt;I_Parameter!$C$6),0,IF(B207="Aktual",1,IF(AND(B207="Rencana",A207&gt;=I_Parameter!$C$4),1,0))))</f>
        <v/>
      </c>
    </row>
    <row r="208" customFormat="false" ht="15" hidden="false" customHeight="false" outlineLevel="0" collapsed="false">
      <c r="A208" s="37"/>
      <c r="B208" s="44"/>
      <c r="C208" s="44"/>
      <c r="D208" s="44"/>
      <c r="E208" s="44"/>
      <c r="F208" s="44"/>
      <c r="G208" s="44"/>
      <c r="H208" s="34" t="str">
        <f aca="false">IF(G208&lt;&gt;"",G208,IF(F208="","",IFERROR(INDEX(I_Item!$C$6:$C$255,MATCH(F208,I_Item!$A$6:$A$255,0)),"KODE BARU")))</f>
        <v/>
      </c>
      <c r="I208" s="45"/>
      <c r="J208" s="42"/>
      <c r="K208" s="11" t="str">
        <f aca="false">IF(I208="","",I208*J208)</f>
        <v/>
      </c>
      <c r="L208" s="34" t="str">
        <f aca="false">IF(H208="","",IFERROR(INDEX(I_Master!$B$6:$B$85,MATCH(H208,I_Master!$A$6:$A$85,0)),"?"))</f>
        <v/>
      </c>
      <c r="M208" s="46" t="str">
        <f aca="false">IF(I208="","",IF(OR(A208&lt;I_Parameter!$C$5,A208&gt;I_Parameter!$C$6),0,IF(B208="Aktual",1,IF(AND(B208="Rencana",A208&gt;=I_Parameter!$C$4),1,0))))</f>
        <v/>
      </c>
    </row>
    <row r="209" customFormat="false" ht="15" hidden="false" customHeight="false" outlineLevel="0" collapsed="false">
      <c r="A209" s="37"/>
      <c r="B209" s="44"/>
      <c r="C209" s="44"/>
      <c r="D209" s="44"/>
      <c r="E209" s="44"/>
      <c r="F209" s="44"/>
      <c r="G209" s="44"/>
      <c r="H209" s="34" t="str">
        <f aca="false">IF(G209&lt;&gt;"",G209,IF(F209="","",IFERROR(INDEX(I_Item!$C$6:$C$255,MATCH(F209,I_Item!$A$6:$A$255,0)),"KODE BARU")))</f>
        <v/>
      </c>
      <c r="I209" s="45"/>
      <c r="J209" s="42"/>
      <c r="K209" s="11" t="str">
        <f aca="false">IF(I209="","",I209*J209)</f>
        <v/>
      </c>
      <c r="L209" s="34" t="str">
        <f aca="false">IF(H209="","",IFERROR(INDEX(I_Master!$B$6:$B$85,MATCH(H209,I_Master!$A$6:$A$85,0)),"?"))</f>
        <v/>
      </c>
      <c r="M209" s="46" t="str">
        <f aca="false">IF(I209="","",IF(OR(A209&lt;I_Parameter!$C$5,A209&gt;I_Parameter!$C$6),0,IF(B209="Aktual",1,IF(AND(B209="Rencana",A209&gt;=I_Parameter!$C$4),1,0))))</f>
        <v/>
      </c>
    </row>
    <row r="210" customFormat="false" ht="15" hidden="false" customHeight="false" outlineLevel="0" collapsed="false">
      <c r="A210" s="37"/>
      <c r="B210" s="44"/>
      <c r="C210" s="44"/>
      <c r="D210" s="44"/>
      <c r="E210" s="44"/>
      <c r="F210" s="44"/>
      <c r="G210" s="44"/>
      <c r="H210" s="34" t="str">
        <f aca="false">IF(G210&lt;&gt;"",G210,IF(F210="","",IFERROR(INDEX(I_Item!$C$6:$C$255,MATCH(F210,I_Item!$A$6:$A$255,0)),"KODE BARU")))</f>
        <v/>
      </c>
      <c r="I210" s="45"/>
      <c r="J210" s="42"/>
      <c r="K210" s="11" t="str">
        <f aca="false">IF(I210="","",I210*J210)</f>
        <v/>
      </c>
      <c r="L210" s="34" t="str">
        <f aca="false">IF(H210="","",IFERROR(INDEX(I_Master!$B$6:$B$85,MATCH(H210,I_Master!$A$6:$A$85,0)),"?"))</f>
        <v/>
      </c>
      <c r="M210" s="46" t="str">
        <f aca="false">IF(I210="","",IF(OR(A210&lt;I_Parameter!$C$5,A210&gt;I_Parameter!$C$6),0,IF(B210="Aktual",1,IF(AND(B210="Rencana",A210&gt;=I_Parameter!$C$4),1,0))))</f>
        <v/>
      </c>
    </row>
    <row r="211" customFormat="false" ht="15" hidden="false" customHeight="false" outlineLevel="0" collapsed="false">
      <c r="A211" s="37"/>
      <c r="B211" s="44"/>
      <c r="C211" s="44"/>
      <c r="D211" s="44"/>
      <c r="E211" s="44"/>
      <c r="F211" s="44"/>
      <c r="G211" s="44"/>
      <c r="H211" s="34" t="str">
        <f aca="false">IF(G211&lt;&gt;"",G211,IF(F211="","",IFERROR(INDEX(I_Item!$C$6:$C$255,MATCH(F211,I_Item!$A$6:$A$255,0)),"KODE BARU")))</f>
        <v/>
      </c>
      <c r="I211" s="45"/>
      <c r="J211" s="42"/>
      <c r="K211" s="11" t="str">
        <f aca="false">IF(I211="","",I211*J211)</f>
        <v/>
      </c>
      <c r="L211" s="34" t="str">
        <f aca="false">IF(H211="","",IFERROR(INDEX(I_Master!$B$6:$B$85,MATCH(H211,I_Master!$A$6:$A$85,0)),"?"))</f>
        <v/>
      </c>
      <c r="M211" s="46" t="str">
        <f aca="false">IF(I211="","",IF(OR(A211&lt;I_Parameter!$C$5,A211&gt;I_Parameter!$C$6),0,IF(B211="Aktual",1,IF(AND(B211="Rencana",A211&gt;=I_Parameter!$C$4),1,0))))</f>
        <v/>
      </c>
    </row>
    <row r="212" customFormat="false" ht="15" hidden="false" customHeight="false" outlineLevel="0" collapsed="false">
      <c r="A212" s="37"/>
      <c r="B212" s="44"/>
      <c r="C212" s="44"/>
      <c r="D212" s="44"/>
      <c r="E212" s="44"/>
      <c r="F212" s="44"/>
      <c r="G212" s="44"/>
      <c r="H212" s="34" t="str">
        <f aca="false">IF(G212&lt;&gt;"",G212,IF(F212="","",IFERROR(INDEX(I_Item!$C$6:$C$255,MATCH(F212,I_Item!$A$6:$A$255,0)),"KODE BARU")))</f>
        <v/>
      </c>
      <c r="I212" s="45"/>
      <c r="J212" s="42"/>
      <c r="K212" s="11" t="str">
        <f aca="false">IF(I212="","",I212*J212)</f>
        <v/>
      </c>
      <c r="L212" s="34" t="str">
        <f aca="false">IF(H212="","",IFERROR(INDEX(I_Master!$B$6:$B$85,MATCH(H212,I_Master!$A$6:$A$85,0)),"?"))</f>
        <v/>
      </c>
      <c r="M212" s="46" t="str">
        <f aca="false">IF(I212="","",IF(OR(A212&lt;I_Parameter!$C$5,A212&gt;I_Parameter!$C$6),0,IF(B212="Aktual",1,IF(AND(B212="Rencana",A212&gt;=I_Parameter!$C$4),1,0))))</f>
        <v/>
      </c>
    </row>
    <row r="213" customFormat="false" ht="15" hidden="false" customHeight="false" outlineLevel="0" collapsed="false">
      <c r="A213" s="37"/>
      <c r="B213" s="44"/>
      <c r="C213" s="44"/>
      <c r="D213" s="44"/>
      <c r="E213" s="44"/>
      <c r="F213" s="44"/>
      <c r="G213" s="44"/>
      <c r="H213" s="34" t="str">
        <f aca="false">IF(G213&lt;&gt;"",G213,IF(F213="","",IFERROR(INDEX(I_Item!$C$6:$C$255,MATCH(F213,I_Item!$A$6:$A$255,0)),"KODE BARU")))</f>
        <v/>
      </c>
      <c r="I213" s="45"/>
      <c r="J213" s="42"/>
      <c r="K213" s="11" t="str">
        <f aca="false">IF(I213="","",I213*J213)</f>
        <v/>
      </c>
      <c r="L213" s="34" t="str">
        <f aca="false">IF(H213="","",IFERROR(INDEX(I_Master!$B$6:$B$85,MATCH(H213,I_Master!$A$6:$A$85,0)),"?"))</f>
        <v/>
      </c>
      <c r="M213" s="46" t="str">
        <f aca="false">IF(I213="","",IF(OR(A213&lt;I_Parameter!$C$5,A213&gt;I_Parameter!$C$6),0,IF(B213="Aktual",1,IF(AND(B213="Rencana",A213&gt;=I_Parameter!$C$4),1,0))))</f>
        <v/>
      </c>
    </row>
    <row r="214" customFormat="false" ht="15" hidden="false" customHeight="false" outlineLevel="0" collapsed="false">
      <c r="A214" s="37"/>
      <c r="B214" s="44"/>
      <c r="C214" s="44"/>
      <c r="D214" s="44"/>
      <c r="E214" s="44"/>
      <c r="F214" s="44"/>
      <c r="G214" s="44"/>
      <c r="H214" s="34" t="str">
        <f aca="false">IF(G214&lt;&gt;"",G214,IF(F214="","",IFERROR(INDEX(I_Item!$C$6:$C$255,MATCH(F214,I_Item!$A$6:$A$255,0)),"KODE BARU")))</f>
        <v/>
      </c>
      <c r="I214" s="45"/>
      <c r="J214" s="42"/>
      <c r="K214" s="11" t="str">
        <f aca="false">IF(I214="","",I214*J214)</f>
        <v/>
      </c>
      <c r="L214" s="34" t="str">
        <f aca="false">IF(H214="","",IFERROR(INDEX(I_Master!$B$6:$B$85,MATCH(H214,I_Master!$A$6:$A$85,0)),"?"))</f>
        <v/>
      </c>
      <c r="M214" s="46" t="str">
        <f aca="false">IF(I214="","",IF(OR(A214&lt;I_Parameter!$C$5,A214&gt;I_Parameter!$C$6),0,IF(B214="Aktual",1,IF(AND(B214="Rencana",A214&gt;=I_Parameter!$C$4),1,0))))</f>
        <v/>
      </c>
    </row>
    <row r="215" customFormat="false" ht="15" hidden="false" customHeight="false" outlineLevel="0" collapsed="false">
      <c r="A215" s="37"/>
      <c r="B215" s="44"/>
      <c r="C215" s="44"/>
      <c r="D215" s="44"/>
      <c r="E215" s="44"/>
      <c r="F215" s="44"/>
      <c r="G215" s="44"/>
      <c r="H215" s="34" t="str">
        <f aca="false">IF(G215&lt;&gt;"",G215,IF(F215="","",IFERROR(INDEX(I_Item!$C$6:$C$255,MATCH(F215,I_Item!$A$6:$A$255,0)),"KODE BARU")))</f>
        <v/>
      </c>
      <c r="I215" s="45"/>
      <c r="J215" s="42"/>
      <c r="K215" s="11" t="str">
        <f aca="false">IF(I215="","",I215*J215)</f>
        <v/>
      </c>
      <c r="L215" s="34" t="str">
        <f aca="false">IF(H215="","",IFERROR(INDEX(I_Master!$B$6:$B$85,MATCH(H215,I_Master!$A$6:$A$85,0)),"?"))</f>
        <v/>
      </c>
      <c r="M215" s="46" t="str">
        <f aca="false">IF(I215="","",IF(OR(A215&lt;I_Parameter!$C$5,A215&gt;I_Parameter!$C$6),0,IF(B215="Aktual",1,IF(AND(B215="Rencana",A215&gt;=I_Parameter!$C$4),1,0))))</f>
        <v/>
      </c>
    </row>
    <row r="216" customFormat="false" ht="15" hidden="false" customHeight="false" outlineLevel="0" collapsed="false">
      <c r="A216" s="37"/>
      <c r="B216" s="44"/>
      <c r="C216" s="44"/>
      <c r="D216" s="44"/>
      <c r="E216" s="44"/>
      <c r="F216" s="44"/>
      <c r="G216" s="44"/>
      <c r="H216" s="34" t="str">
        <f aca="false">IF(G216&lt;&gt;"",G216,IF(F216="","",IFERROR(INDEX(I_Item!$C$6:$C$255,MATCH(F216,I_Item!$A$6:$A$255,0)),"KODE BARU")))</f>
        <v/>
      </c>
      <c r="I216" s="45"/>
      <c r="J216" s="42"/>
      <c r="K216" s="11" t="str">
        <f aca="false">IF(I216="","",I216*J216)</f>
        <v/>
      </c>
      <c r="L216" s="34" t="str">
        <f aca="false">IF(H216="","",IFERROR(INDEX(I_Master!$B$6:$B$85,MATCH(H216,I_Master!$A$6:$A$85,0)),"?"))</f>
        <v/>
      </c>
      <c r="M216" s="46" t="str">
        <f aca="false">IF(I216="","",IF(OR(A216&lt;I_Parameter!$C$5,A216&gt;I_Parameter!$C$6),0,IF(B216="Aktual",1,IF(AND(B216="Rencana",A216&gt;=I_Parameter!$C$4),1,0))))</f>
        <v/>
      </c>
    </row>
    <row r="217" customFormat="false" ht="15" hidden="false" customHeight="false" outlineLevel="0" collapsed="false">
      <c r="A217" s="37"/>
      <c r="B217" s="44"/>
      <c r="C217" s="44"/>
      <c r="D217" s="44"/>
      <c r="E217" s="44"/>
      <c r="F217" s="44"/>
      <c r="G217" s="44"/>
      <c r="H217" s="34" t="str">
        <f aca="false">IF(G217&lt;&gt;"",G217,IF(F217="","",IFERROR(INDEX(I_Item!$C$6:$C$255,MATCH(F217,I_Item!$A$6:$A$255,0)),"KODE BARU")))</f>
        <v/>
      </c>
      <c r="I217" s="45"/>
      <c r="J217" s="42"/>
      <c r="K217" s="11" t="str">
        <f aca="false">IF(I217="","",I217*J217)</f>
        <v/>
      </c>
      <c r="L217" s="34" t="str">
        <f aca="false">IF(H217="","",IFERROR(INDEX(I_Master!$B$6:$B$85,MATCH(H217,I_Master!$A$6:$A$85,0)),"?"))</f>
        <v/>
      </c>
      <c r="M217" s="46" t="str">
        <f aca="false">IF(I217="","",IF(OR(A217&lt;I_Parameter!$C$5,A217&gt;I_Parameter!$C$6),0,IF(B217="Aktual",1,IF(AND(B217="Rencana",A217&gt;=I_Parameter!$C$4),1,0))))</f>
        <v/>
      </c>
    </row>
    <row r="218" customFormat="false" ht="15" hidden="false" customHeight="false" outlineLevel="0" collapsed="false">
      <c r="A218" s="37"/>
      <c r="B218" s="44"/>
      <c r="C218" s="44"/>
      <c r="D218" s="44"/>
      <c r="E218" s="44"/>
      <c r="F218" s="44"/>
      <c r="G218" s="44"/>
      <c r="H218" s="34" t="str">
        <f aca="false">IF(G218&lt;&gt;"",G218,IF(F218="","",IFERROR(INDEX(I_Item!$C$6:$C$255,MATCH(F218,I_Item!$A$6:$A$255,0)),"KODE BARU")))</f>
        <v/>
      </c>
      <c r="I218" s="45"/>
      <c r="J218" s="42"/>
      <c r="K218" s="11" t="str">
        <f aca="false">IF(I218="","",I218*J218)</f>
        <v/>
      </c>
      <c r="L218" s="34" t="str">
        <f aca="false">IF(H218="","",IFERROR(INDEX(I_Master!$B$6:$B$85,MATCH(H218,I_Master!$A$6:$A$85,0)),"?"))</f>
        <v/>
      </c>
      <c r="M218" s="46" t="str">
        <f aca="false">IF(I218="","",IF(OR(A218&lt;I_Parameter!$C$5,A218&gt;I_Parameter!$C$6),0,IF(B218="Aktual",1,IF(AND(B218="Rencana",A218&gt;=I_Parameter!$C$4),1,0))))</f>
        <v/>
      </c>
    </row>
    <row r="219" customFormat="false" ht="15" hidden="false" customHeight="false" outlineLevel="0" collapsed="false">
      <c r="A219" s="37"/>
      <c r="B219" s="44"/>
      <c r="C219" s="44"/>
      <c r="D219" s="44"/>
      <c r="E219" s="44"/>
      <c r="F219" s="44"/>
      <c r="G219" s="44"/>
      <c r="H219" s="34" t="str">
        <f aca="false">IF(G219&lt;&gt;"",G219,IF(F219="","",IFERROR(INDEX(I_Item!$C$6:$C$255,MATCH(F219,I_Item!$A$6:$A$255,0)),"KODE BARU")))</f>
        <v/>
      </c>
      <c r="I219" s="45"/>
      <c r="J219" s="42"/>
      <c r="K219" s="11" t="str">
        <f aca="false">IF(I219="","",I219*J219)</f>
        <v/>
      </c>
      <c r="L219" s="34" t="str">
        <f aca="false">IF(H219="","",IFERROR(INDEX(I_Master!$B$6:$B$85,MATCH(H219,I_Master!$A$6:$A$85,0)),"?"))</f>
        <v/>
      </c>
      <c r="M219" s="46" t="str">
        <f aca="false">IF(I219="","",IF(OR(A219&lt;I_Parameter!$C$5,A219&gt;I_Parameter!$C$6),0,IF(B219="Aktual",1,IF(AND(B219="Rencana",A219&gt;=I_Parameter!$C$4),1,0))))</f>
        <v/>
      </c>
    </row>
    <row r="220" customFormat="false" ht="15" hidden="false" customHeight="false" outlineLevel="0" collapsed="false">
      <c r="A220" s="37"/>
      <c r="B220" s="44"/>
      <c r="C220" s="44"/>
      <c r="D220" s="44"/>
      <c r="E220" s="44"/>
      <c r="F220" s="44"/>
      <c r="G220" s="44"/>
      <c r="H220" s="34" t="str">
        <f aca="false">IF(G220&lt;&gt;"",G220,IF(F220="","",IFERROR(INDEX(I_Item!$C$6:$C$255,MATCH(F220,I_Item!$A$6:$A$255,0)),"KODE BARU")))</f>
        <v/>
      </c>
      <c r="I220" s="45"/>
      <c r="J220" s="42"/>
      <c r="K220" s="11" t="str">
        <f aca="false">IF(I220="","",I220*J220)</f>
        <v/>
      </c>
      <c r="L220" s="34" t="str">
        <f aca="false">IF(H220="","",IFERROR(INDEX(I_Master!$B$6:$B$85,MATCH(H220,I_Master!$A$6:$A$85,0)),"?"))</f>
        <v/>
      </c>
      <c r="M220" s="46" t="str">
        <f aca="false">IF(I220="","",IF(OR(A220&lt;I_Parameter!$C$5,A220&gt;I_Parameter!$C$6),0,IF(B220="Aktual",1,IF(AND(B220="Rencana",A220&gt;=I_Parameter!$C$4),1,0))))</f>
        <v/>
      </c>
    </row>
    <row r="221" customFormat="false" ht="15" hidden="false" customHeight="false" outlineLevel="0" collapsed="false">
      <c r="A221" s="37"/>
      <c r="B221" s="44"/>
      <c r="C221" s="44"/>
      <c r="D221" s="44"/>
      <c r="E221" s="44"/>
      <c r="F221" s="44"/>
      <c r="G221" s="44"/>
      <c r="H221" s="34" t="str">
        <f aca="false">IF(G221&lt;&gt;"",G221,IF(F221="","",IFERROR(INDEX(I_Item!$C$6:$C$255,MATCH(F221,I_Item!$A$6:$A$255,0)),"KODE BARU")))</f>
        <v/>
      </c>
      <c r="I221" s="45"/>
      <c r="J221" s="42"/>
      <c r="K221" s="11" t="str">
        <f aca="false">IF(I221="","",I221*J221)</f>
        <v/>
      </c>
      <c r="L221" s="34" t="str">
        <f aca="false">IF(H221="","",IFERROR(INDEX(I_Master!$B$6:$B$85,MATCH(H221,I_Master!$A$6:$A$85,0)),"?"))</f>
        <v/>
      </c>
      <c r="M221" s="46" t="str">
        <f aca="false">IF(I221="","",IF(OR(A221&lt;I_Parameter!$C$5,A221&gt;I_Parameter!$C$6),0,IF(B221="Aktual",1,IF(AND(B221="Rencana",A221&gt;=I_Parameter!$C$4),1,0))))</f>
        <v/>
      </c>
    </row>
    <row r="222" customFormat="false" ht="15" hidden="false" customHeight="false" outlineLevel="0" collapsed="false">
      <c r="A222" s="37"/>
      <c r="B222" s="44"/>
      <c r="C222" s="44"/>
      <c r="D222" s="44"/>
      <c r="E222" s="44"/>
      <c r="F222" s="44"/>
      <c r="G222" s="44"/>
      <c r="H222" s="34" t="str">
        <f aca="false">IF(G222&lt;&gt;"",G222,IF(F222="","",IFERROR(INDEX(I_Item!$C$6:$C$255,MATCH(F222,I_Item!$A$6:$A$255,0)),"KODE BARU")))</f>
        <v/>
      </c>
      <c r="I222" s="45"/>
      <c r="J222" s="42"/>
      <c r="K222" s="11" t="str">
        <f aca="false">IF(I222="","",I222*J222)</f>
        <v/>
      </c>
      <c r="L222" s="34" t="str">
        <f aca="false">IF(H222="","",IFERROR(INDEX(I_Master!$B$6:$B$85,MATCH(H222,I_Master!$A$6:$A$85,0)),"?"))</f>
        <v/>
      </c>
      <c r="M222" s="46" t="str">
        <f aca="false">IF(I222="","",IF(OR(A222&lt;I_Parameter!$C$5,A222&gt;I_Parameter!$C$6),0,IF(B222="Aktual",1,IF(AND(B222="Rencana",A222&gt;=I_Parameter!$C$4),1,0))))</f>
        <v/>
      </c>
    </row>
    <row r="223" customFormat="false" ht="15" hidden="false" customHeight="false" outlineLevel="0" collapsed="false">
      <c r="A223" s="37"/>
      <c r="B223" s="44"/>
      <c r="C223" s="44"/>
      <c r="D223" s="44"/>
      <c r="E223" s="44"/>
      <c r="F223" s="44"/>
      <c r="G223" s="44"/>
      <c r="H223" s="34" t="str">
        <f aca="false">IF(G223&lt;&gt;"",G223,IF(F223="","",IFERROR(INDEX(I_Item!$C$6:$C$255,MATCH(F223,I_Item!$A$6:$A$255,0)),"KODE BARU")))</f>
        <v/>
      </c>
      <c r="I223" s="45"/>
      <c r="J223" s="42"/>
      <c r="K223" s="11" t="str">
        <f aca="false">IF(I223="","",I223*J223)</f>
        <v/>
      </c>
      <c r="L223" s="34" t="str">
        <f aca="false">IF(H223="","",IFERROR(INDEX(I_Master!$B$6:$B$85,MATCH(H223,I_Master!$A$6:$A$85,0)),"?"))</f>
        <v/>
      </c>
      <c r="M223" s="46" t="str">
        <f aca="false">IF(I223="","",IF(OR(A223&lt;I_Parameter!$C$5,A223&gt;I_Parameter!$C$6),0,IF(B223="Aktual",1,IF(AND(B223="Rencana",A223&gt;=I_Parameter!$C$4),1,0))))</f>
        <v/>
      </c>
    </row>
    <row r="224" customFormat="false" ht="15" hidden="false" customHeight="false" outlineLevel="0" collapsed="false">
      <c r="A224" s="37"/>
      <c r="B224" s="44"/>
      <c r="C224" s="44"/>
      <c r="D224" s="44"/>
      <c r="E224" s="44"/>
      <c r="F224" s="44"/>
      <c r="G224" s="44"/>
      <c r="H224" s="34" t="str">
        <f aca="false">IF(G224&lt;&gt;"",G224,IF(F224="","",IFERROR(INDEX(I_Item!$C$6:$C$255,MATCH(F224,I_Item!$A$6:$A$255,0)),"KODE BARU")))</f>
        <v/>
      </c>
      <c r="I224" s="45"/>
      <c r="J224" s="42"/>
      <c r="K224" s="11" t="str">
        <f aca="false">IF(I224="","",I224*J224)</f>
        <v/>
      </c>
      <c r="L224" s="34" t="str">
        <f aca="false">IF(H224="","",IFERROR(INDEX(I_Master!$B$6:$B$85,MATCH(H224,I_Master!$A$6:$A$85,0)),"?"))</f>
        <v/>
      </c>
      <c r="M224" s="46" t="str">
        <f aca="false">IF(I224="","",IF(OR(A224&lt;I_Parameter!$C$5,A224&gt;I_Parameter!$C$6),0,IF(B224="Aktual",1,IF(AND(B224="Rencana",A224&gt;=I_Parameter!$C$4),1,0))))</f>
        <v/>
      </c>
    </row>
    <row r="225" customFormat="false" ht="15" hidden="false" customHeight="false" outlineLevel="0" collapsed="false">
      <c r="A225" s="37"/>
      <c r="B225" s="44"/>
      <c r="C225" s="44"/>
      <c r="D225" s="44"/>
      <c r="E225" s="44"/>
      <c r="F225" s="44"/>
      <c r="G225" s="44"/>
      <c r="H225" s="34" t="str">
        <f aca="false">IF(G225&lt;&gt;"",G225,IF(F225="","",IFERROR(INDEX(I_Item!$C$6:$C$255,MATCH(F225,I_Item!$A$6:$A$255,0)),"KODE BARU")))</f>
        <v/>
      </c>
      <c r="I225" s="45"/>
      <c r="J225" s="42"/>
      <c r="K225" s="11" t="str">
        <f aca="false">IF(I225="","",I225*J225)</f>
        <v/>
      </c>
      <c r="L225" s="34" t="str">
        <f aca="false">IF(H225="","",IFERROR(INDEX(I_Master!$B$6:$B$85,MATCH(H225,I_Master!$A$6:$A$85,0)),"?"))</f>
        <v/>
      </c>
      <c r="M225" s="46" t="str">
        <f aca="false">IF(I225="","",IF(OR(A225&lt;I_Parameter!$C$5,A225&gt;I_Parameter!$C$6),0,IF(B225="Aktual",1,IF(AND(B225="Rencana",A225&gt;=I_Parameter!$C$4),1,0))))</f>
        <v/>
      </c>
    </row>
    <row r="226" customFormat="false" ht="15" hidden="false" customHeight="false" outlineLevel="0" collapsed="false">
      <c r="A226" s="37"/>
      <c r="B226" s="44"/>
      <c r="C226" s="44"/>
      <c r="D226" s="44"/>
      <c r="E226" s="44"/>
      <c r="F226" s="44"/>
      <c r="G226" s="44"/>
      <c r="H226" s="34" t="str">
        <f aca="false">IF(G226&lt;&gt;"",G226,IF(F226="","",IFERROR(INDEX(I_Item!$C$6:$C$255,MATCH(F226,I_Item!$A$6:$A$255,0)),"KODE BARU")))</f>
        <v/>
      </c>
      <c r="I226" s="45"/>
      <c r="J226" s="42"/>
      <c r="K226" s="11" t="str">
        <f aca="false">IF(I226="","",I226*J226)</f>
        <v/>
      </c>
      <c r="L226" s="34" t="str">
        <f aca="false">IF(H226="","",IFERROR(INDEX(I_Master!$B$6:$B$85,MATCH(H226,I_Master!$A$6:$A$85,0)),"?"))</f>
        <v/>
      </c>
      <c r="M226" s="46" t="str">
        <f aca="false">IF(I226="","",IF(OR(A226&lt;I_Parameter!$C$5,A226&gt;I_Parameter!$C$6),0,IF(B226="Aktual",1,IF(AND(B226="Rencana",A226&gt;=I_Parameter!$C$4),1,0))))</f>
        <v/>
      </c>
    </row>
    <row r="227" customFormat="false" ht="15" hidden="false" customHeight="false" outlineLevel="0" collapsed="false">
      <c r="A227" s="37"/>
      <c r="B227" s="44"/>
      <c r="C227" s="44"/>
      <c r="D227" s="44"/>
      <c r="E227" s="44"/>
      <c r="F227" s="44"/>
      <c r="G227" s="44"/>
      <c r="H227" s="34" t="str">
        <f aca="false">IF(G227&lt;&gt;"",G227,IF(F227="","",IFERROR(INDEX(I_Item!$C$6:$C$255,MATCH(F227,I_Item!$A$6:$A$255,0)),"KODE BARU")))</f>
        <v/>
      </c>
      <c r="I227" s="45"/>
      <c r="J227" s="42"/>
      <c r="K227" s="11" t="str">
        <f aca="false">IF(I227="","",I227*J227)</f>
        <v/>
      </c>
      <c r="L227" s="34" t="str">
        <f aca="false">IF(H227="","",IFERROR(INDEX(I_Master!$B$6:$B$85,MATCH(H227,I_Master!$A$6:$A$85,0)),"?"))</f>
        <v/>
      </c>
      <c r="M227" s="46" t="str">
        <f aca="false">IF(I227="","",IF(OR(A227&lt;I_Parameter!$C$5,A227&gt;I_Parameter!$C$6),0,IF(B227="Aktual",1,IF(AND(B227="Rencana",A227&gt;=I_Parameter!$C$4),1,0))))</f>
        <v/>
      </c>
    </row>
    <row r="228" customFormat="false" ht="15" hidden="false" customHeight="false" outlineLevel="0" collapsed="false">
      <c r="A228" s="37"/>
      <c r="B228" s="44"/>
      <c r="C228" s="44"/>
      <c r="D228" s="44"/>
      <c r="E228" s="44"/>
      <c r="F228" s="44"/>
      <c r="G228" s="44"/>
      <c r="H228" s="34" t="str">
        <f aca="false">IF(G228&lt;&gt;"",G228,IF(F228="","",IFERROR(INDEX(I_Item!$C$6:$C$255,MATCH(F228,I_Item!$A$6:$A$255,0)),"KODE BARU")))</f>
        <v/>
      </c>
      <c r="I228" s="45"/>
      <c r="J228" s="42"/>
      <c r="K228" s="11" t="str">
        <f aca="false">IF(I228="","",I228*J228)</f>
        <v/>
      </c>
      <c r="L228" s="34" t="str">
        <f aca="false">IF(H228="","",IFERROR(INDEX(I_Master!$B$6:$B$85,MATCH(H228,I_Master!$A$6:$A$85,0)),"?"))</f>
        <v/>
      </c>
      <c r="M228" s="46" t="str">
        <f aca="false">IF(I228="","",IF(OR(A228&lt;I_Parameter!$C$5,A228&gt;I_Parameter!$C$6),0,IF(B228="Aktual",1,IF(AND(B228="Rencana",A228&gt;=I_Parameter!$C$4),1,0))))</f>
        <v/>
      </c>
    </row>
    <row r="229" customFormat="false" ht="15" hidden="false" customHeight="false" outlineLevel="0" collapsed="false">
      <c r="A229" s="37"/>
      <c r="B229" s="44"/>
      <c r="C229" s="44"/>
      <c r="D229" s="44"/>
      <c r="E229" s="44"/>
      <c r="F229" s="44"/>
      <c r="G229" s="44"/>
      <c r="H229" s="34" t="str">
        <f aca="false">IF(G229&lt;&gt;"",G229,IF(F229="","",IFERROR(INDEX(I_Item!$C$6:$C$255,MATCH(F229,I_Item!$A$6:$A$255,0)),"KODE BARU")))</f>
        <v/>
      </c>
      <c r="I229" s="45"/>
      <c r="J229" s="42"/>
      <c r="K229" s="11" t="str">
        <f aca="false">IF(I229="","",I229*J229)</f>
        <v/>
      </c>
      <c r="L229" s="34" t="str">
        <f aca="false">IF(H229="","",IFERROR(INDEX(I_Master!$B$6:$B$85,MATCH(H229,I_Master!$A$6:$A$85,0)),"?"))</f>
        <v/>
      </c>
      <c r="M229" s="46" t="str">
        <f aca="false">IF(I229="","",IF(OR(A229&lt;I_Parameter!$C$5,A229&gt;I_Parameter!$C$6),0,IF(B229="Aktual",1,IF(AND(B229="Rencana",A229&gt;=I_Parameter!$C$4),1,0))))</f>
        <v/>
      </c>
    </row>
    <row r="230" customFormat="false" ht="15" hidden="false" customHeight="false" outlineLevel="0" collapsed="false">
      <c r="A230" s="37"/>
      <c r="B230" s="44"/>
      <c r="C230" s="44"/>
      <c r="D230" s="44"/>
      <c r="E230" s="44"/>
      <c r="F230" s="44"/>
      <c r="G230" s="44"/>
      <c r="H230" s="34" t="str">
        <f aca="false">IF(G230&lt;&gt;"",G230,IF(F230="","",IFERROR(INDEX(I_Item!$C$6:$C$255,MATCH(F230,I_Item!$A$6:$A$255,0)),"KODE BARU")))</f>
        <v/>
      </c>
      <c r="I230" s="45"/>
      <c r="J230" s="42"/>
      <c r="K230" s="11" t="str">
        <f aca="false">IF(I230="","",I230*J230)</f>
        <v/>
      </c>
      <c r="L230" s="34" t="str">
        <f aca="false">IF(H230="","",IFERROR(INDEX(I_Master!$B$6:$B$85,MATCH(H230,I_Master!$A$6:$A$85,0)),"?"))</f>
        <v/>
      </c>
      <c r="M230" s="46" t="str">
        <f aca="false">IF(I230="","",IF(OR(A230&lt;I_Parameter!$C$5,A230&gt;I_Parameter!$C$6),0,IF(B230="Aktual",1,IF(AND(B230="Rencana",A230&gt;=I_Parameter!$C$4),1,0))))</f>
        <v/>
      </c>
    </row>
    <row r="231" customFormat="false" ht="15" hidden="false" customHeight="false" outlineLevel="0" collapsed="false">
      <c r="A231" s="37"/>
      <c r="B231" s="44"/>
      <c r="C231" s="44"/>
      <c r="D231" s="44"/>
      <c r="E231" s="44"/>
      <c r="F231" s="44"/>
      <c r="G231" s="44"/>
      <c r="H231" s="34" t="str">
        <f aca="false">IF(G231&lt;&gt;"",G231,IF(F231="","",IFERROR(INDEX(I_Item!$C$6:$C$255,MATCH(F231,I_Item!$A$6:$A$255,0)),"KODE BARU")))</f>
        <v/>
      </c>
      <c r="I231" s="45"/>
      <c r="J231" s="42"/>
      <c r="K231" s="11" t="str">
        <f aca="false">IF(I231="","",I231*J231)</f>
        <v/>
      </c>
      <c r="L231" s="34" t="str">
        <f aca="false">IF(H231="","",IFERROR(INDEX(I_Master!$B$6:$B$85,MATCH(H231,I_Master!$A$6:$A$85,0)),"?"))</f>
        <v/>
      </c>
      <c r="M231" s="46" t="str">
        <f aca="false">IF(I231="","",IF(OR(A231&lt;I_Parameter!$C$5,A231&gt;I_Parameter!$C$6),0,IF(B231="Aktual",1,IF(AND(B231="Rencana",A231&gt;=I_Parameter!$C$4),1,0))))</f>
        <v/>
      </c>
    </row>
    <row r="232" customFormat="false" ht="15" hidden="false" customHeight="false" outlineLevel="0" collapsed="false">
      <c r="A232" s="37"/>
      <c r="B232" s="44"/>
      <c r="C232" s="44"/>
      <c r="D232" s="44"/>
      <c r="E232" s="44"/>
      <c r="F232" s="44"/>
      <c r="G232" s="44"/>
      <c r="H232" s="34" t="str">
        <f aca="false">IF(G232&lt;&gt;"",G232,IF(F232="","",IFERROR(INDEX(I_Item!$C$6:$C$255,MATCH(F232,I_Item!$A$6:$A$255,0)),"KODE BARU")))</f>
        <v/>
      </c>
      <c r="I232" s="45"/>
      <c r="J232" s="42"/>
      <c r="K232" s="11" t="str">
        <f aca="false">IF(I232="","",I232*J232)</f>
        <v/>
      </c>
      <c r="L232" s="34" t="str">
        <f aca="false">IF(H232="","",IFERROR(INDEX(I_Master!$B$6:$B$85,MATCH(H232,I_Master!$A$6:$A$85,0)),"?"))</f>
        <v/>
      </c>
      <c r="M232" s="46" t="str">
        <f aca="false">IF(I232="","",IF(OR(A232&lt;I_Parameter!$C$5,A232&gt;I_Parameter!$C$6),0,IF(B232="Aktual",1,IF(AND(B232="Rencana",A232&gt;=I_Parameter!$C$4),1,0))))</f>
        <v/>
      </c>
    </row>
    <row r="233" customFormat="false" ht="15" hidden="false" customHeight="false" outlineLevel="0" collapsed="false">
      <c r="A233" s="37"/>
      <c r="B233" s="44"/>
      <c r="C233" s="44"/>
      <c r="D233" s="44"/>
      <c r="E233" s="44"/>
      <c r="F233" s="44"/>
      <c r="G233" s="44"/>
      <c r="H233" s="34" t="str">
        <f aca="false">IF(G233&lt;&gt;"",G233,IF(F233="","",IFERROR(INDEX(I_Item!$C$6:$C$255,MATCH(F233,I_Item!$A$6:$A$255,0)),"KODE BARU")))</f>
        <v/>
      </c>
      <c r="I233" s="45"/>
      <c r="J233" s="42"/>
      <c r="K233" s="11" t="str">
        <f aca="false">IF(I233="","",I233*J233)</f>
        <v/>
      </c>
      <c r="L233" s="34" t="str">
        <f aca="false">IF(H233="","",IFERROR(INDEX(I_Master!$B$6:$B$85,MATCH(H233,I_Master!$A$6:$A$85,0)),"?"))</f>
        <v/>
      </c>
      <c r="M233" s="46" t="str">
        <f aca="false">IF(I233="","",IF(OR(A233&lt;I_Parameter!$C$5,A233&gt;I_Parameter!$C$6),0,IF(B233="Aktual",1,IF(AND(B233="Rencana",A233&gt;=I_Parameter!$C$4),1,0))))</f>
        <v/>
      </c>
    </row>
    <row r="234" customFormat="false" ht="15" hidden="false" customHeight="false" outlineLevel="0" collapsed="false">
      <c r="A234" s="37"/>
      <c r="B234" s="44"/>
      <c r="C234" s="44"/>
      <c r="D234" s="44"/>
      <c r="E234" s="44"/>
      <c r="F234" s="44"/>
      <c r="G234" s="44"/>
      <c r="H234" s="34" t="str">
        <f aca="false">IF(G234&lt;&gt;"",G234,IF(F234="","",IFERROR(INDEX(I_Item!$C$6:$C$255,MATCH(F234,I_Item!$A$6:$A$255,0)),"KODE BARU")))</f>
        <v/>
      </c>
      <c r="I234" s="45"/>
      <c r="J234" s="42"/>
      <c r="K234" s="11" t="str">
        <f aca="false">IF(I234="","",I234*J234)</f>
        <v/>
      </c>
      <c r="L234" s="34" t="str">
        <f aca="false">IF(H234="","",IFERROR(INDEX(I_Master!$B$6:$B$85,MATCH(H234,I_Master!$A$6:$A$85,0)),"?"))</f>
        <v/>
      </c>
      <c r="M234" s="46" t="str">
        <f aca="false">IF(I234="","",IF(OR(A234&lt;I_Parameter!$C$5,A234&gt;I_Parameter!$C$6),0,IF(B234="Aktual",1,IF(AND(B234="Rencana",A234&gt;=I_Parameter!$C$4),1,0))))</f>
        <v/>
      </c>
    </row>
    <row r="235" customFormat="false" ht="15" hidden="false" customHeight="false" outlineLevel="0" collapsed="false">
      <c r="A235" s="37"/>
      <c r="B235" s="44"/>
      <c r="C235" s="44"/>
      <c r="D235" s="44"/>
      <c r="E235" s="44"/>
      <c r="F235" s="44"/>
      <c r="G235" s="44"/>
      <c r="H235" s="34" t="str">
        <f aca="false">IF(G235&lt;&gt;"",G235,IF(F235="","",IFERROR(INDEX(I_Item!$C$6:$C$255,MATCH(F235,I_Item!$A$6:$A$255,0)),"KODE BARU")))</f>
        <v/>
      </c>
      <c r="I235" s="45"/>
      <c r="J235" s="42"/>
      <c r="K235" s="11" t="str">
        <f aca="false">IF(I235="","",I235*J235)</f>
        <v/>
      </c>
      <c r="L235" s="34" t="str">
        <f aca="false">IF(H235="","",IFERROR(INDEX(I_Master!$B$6:$B$85,MATCH(H235,I_Master!$A$6:$A$85,0)),"?"))</f>
        <v/>
      </c>
      <c r="M235" s="46" t="str">
        <f aca="false">IF(I235="","",IF(OR(A235&lt;I_Parameter!$C$5,A235&gt;I_Parameter!$C$6),0,IF(B235="Aktual",1,IF(AND(B235="Rencana",A235&gt;=I_Parameter!$C$4),1,0))))</f>
        <v/>
      </c>
    </row>
    <row r="236" customFormat="false" ht="15" hidden="false" customHeight="false" outlineLevel="0" collapsed="false">
      <c r="A236" s="37"/>
      <c r="B236" s="44"/>
      <c r="C236" s="44"/>
      <c r="D236" s="44"/>
      <c r="E236" s="44"/>
      <c r="F236" s="44"/>
      <c r="G236" s="44"/>
      <c r="H236" s="34" t="str">
        <f aca="false">IF(G236&lt;&gt;"",G236,IF(F236="","",IFERROR(INDEX(I_Item!$C$6:$C$255,MATCH(F236,I_Item!$A$6:$A$255,0)),"KODE BARU")))</f>
        <v/>
      </c>
      <c r="I236" s="45"/>
      <c r="J236" s="42"/>
      <c r="K236" s="11" t="str">
        <f aca="false">IF(I236="","",I236*J236)</f>
        <v/>
      </c>
      <c r="L236" s="34" t="str">
        <f aca="false">IF(H236="","",IFERROR(INDEX(I_Master!$B$6:$B$85,MATCH(H236,I_Master!$A$6:$A$85,0)),"?"))</f>
        <v/>
      </c>
      <c r="M236" s="46" t="str">
        <f aca="false">IF(I236="","",IF(OR(A236&lt;I_Parameter!$C$5,A236&gt;I_Parameter!$C$6),0,IF(B236="Aktual",1,IF(AND(B236="Rencana",A236&gt;=I_Parameter!$C$4),1,0))))</f>
        <v/>
      </c>
    </row>
    <row r="237" customFormat="false" ht="15" hidden="false" customHeight="false" outlineLevel="0" collapsed="false">
      <c r="A237" s="37"/>
      <c r="B237" s="44"/>
      <c r="C237" s="44"/>
      <c r="D237" s="44"/>
      <c r="E237" s="44"/>
      <c r="F237" s="44"/>
      <c r="G237" s="44"/>
      <c r="H237" s="34" t="str">
        <f aca="false">IF(G237&lt;&gt;"",G237,IF(F237="","",IFERROR(INDEX(I_Item!$C$6:$C$255,MATCH(F237,I_Item!$A$6:$A$255,0)),"KODE BARU")))</f>
        <v/>
      </c>
      <c r="I237" s="45"/>
      <c r="J237" s="42"/>
      <c r="K237" s="11" t="str">
        <f aca="false">IF(I237="","",I237*J237)</f>
        <v/>
      </c>
      <c r="L237" s="34" t="str">
        <f aca="false">IF(H237="","",IFERROR(INDEX(I_Master!$B$6:$B$85,MATCH(H237,I_Master!$A$6:$A$85,0)),"?"))</f>
        <v/>
      </c>
      <c r="M237" s="46" t="str">
        <f aca="false">IF(I237="","",IF(OR(A237&lt;I_Parameter!$C$5,A237&gt;I_Parameter!$C$6),0,IF(B237="Aktual",1,IF(AND(B237="Rencana",A237&gt;=I_Parameter!$C$4),1,0))))</f>
        <v/>
      </c>
    </row>
    <row r="238" customFormat="false" ht="15" hidden="false" customHeight="false" outlineLevel="0" collapsed="false">
      <c r="A238" s="37"/>
      <c r="B238" s="44"/>
      <c r="C238" s="44"/>
      <c r="D238" s="44"/>
      <c r="E238" s="44"/>
      <c r="F238" s="44"/>
      <c r="G238" s="44"/>
      <c r="H238" s="34" t="str">
        <f aca="false">IF(G238&lt;&gt;"",G238,IF(F238="","",IFERROR(INDEX(I_Item!$C$6:$C$255,MATCH(F238,I_Item!$A$6:$A$255,0)),"KODE BARU")))</f>
        <v/>
      </c>
      <c r="I238" s="45"/>
      <c r="J238" s="42"/>
      <c r="K238" s="11" t="str">
        <f aca="false">IF(I238="","",I238*J238)</f>
        <v/>
      </c>
      <c r="L238" s="34" t="str">
        <f aca="false">IF(H238="","",IFERROR(INDEX(I_Master!$B$6:$B$85,MATCH(H238,I_Master!$A$6:$A$85,0)),"?"))</f>
        <v/>
      </c>
      <c r="M238" s="46" t="str">
        <f aca="false">IF(I238="","",IF(OR(A238&lt;I_Parameter!$C$5,A238&gt;I_Parameter!$C$6),0,IF(B238="Aktual",1,IF(AND(B238="Rencana",A238&gt;=I_Parameter!$C$4),1,0))))</f>
        <v/>
      </c>
    </row>
    <row r="239" customFormat="false" ht="15" hidden="false" customHeight="false" outlineLevel="0" collapsed="false">
      <c r="A239" s="37"/>
      <c r="B239" s="44"/>
      <c r="C239" s="44"/>
      <c r="D239" s="44"/>
      <c r="E239" s="44"/>
      <c r="F239" s="44"/>
      <c r="G239" s="44"/>
      <c r="H239" s="34" t="str">
        <f aca="false">IF(G239&lt;&gt;"",G239,IF(F239="","",IFERROR(INDEX(I_Item!$C$6:$C$255,MATCH(F239,I_Item!$A$6:$A$255,0)),"KODE BARU")))</f>
        <v/>
      </c>
      <c r="I239" s="45"/>
      <c r="J239" s="42"/>
      <c r="K239" s="11" t="str">
        <f aca="false">IF(I239="","",I239*J239)</f>
        <v/>
      </c>
      <c r="L239" s="34" t="str">
        <f aca="false">IF(H239="","",IFERROR(INDEX(I_Master!$B$6:$B$85,MATCH(H239,I_Master!$A$6:$A$85,0)),"?"))</f>
        <v/>
      </c>
      <c r="M239" s="46" t="str">
        <f aca="false">IF(I239="","",IF(OR(A239&lt;I_Parameter!$C$5,A239&gt;I_Parameter!$C$6),0,IF(B239="Aktual",1,IF(AND(B239="Rencana",A239&gt;=I_Parameter!$C$4),1,0))))</f>
        <v/>
      </c>
    </row>
    <row r="240" customFormat="false" ht="15" hidden="false" customHeight="false" outlineLevel="0" collapsed="false">
      <c r="A240" s="37"/>
      <c r="B240" s="44"/>
      <c r="C240" s="44"/>
      <c r="D240" s="44"/>
      <c r="E240" s="44"/>
      <c r="F240" s="44"/>
      <c r="G240" s="44"/>
      <c r="H240" s="34" t="str">
        <f aca="false">IF(G240&lt;&gt;"",G240,IF(F240="","",IFERROR(INDEX(I_Item!$C$6:$C$255,MATCH(F240,I_Item!$A$6:$A$255,0)),"KODE BARU")))</f>
        <v/>
      </c>
      <c r="I240" s="45"/>
      <c r="J240" s="42"/>
      <c r="K240" s="11" t="str">
        <f aca="false">IF(I240="","",I240*J240)</f>
        <v/>
      </c>
      <c r="L240" s="34" t="str">
        <f aca="false">IF(H240="","",IFERROR(INDEX(I_Master!$B$6:$B$85,MATCH(H240,I_Master!$A$6:$A$85,0)),"?"))</f>
        <v/>
      </c>
      <c r="M240" s="46" t="str">
        <f aca="false">IF(I240="","",IF(OR(A240&lt;I_Parameter!$C$5,A240&gt;I_Parameter!$C$6),0,IF(B240="Aktual",1,IF(AND(B240="Rencana",A240&gt;=I_Parameter!$C$4),1,0))))</f>
        <v/>
      </c>
    </row>
    <row r="241" customFormat="false" ht="15" hidden="false" customHeight="false" outlineLevel="0" collapsed="false">
      <c r="A241" s="37"/>
      <c r="B241" s="44"/>
      <c r="C241" s="44"/>
      <c r="D241" s="44"/>
      <c r="E241" s="44"/>
      <c r="F241" s="44"/>
      <c r="G241" s="44"/>
      <c r="H241" s="34" t="str">
        <f aca="false">IF(G241&lt;&gt;"",G241,IF(F241="","",IFERROR(INDEX(I_Item!$C$6:$C$255,MATCH(F241,I_Item!$A$6:$A$255,0)),"KODE BARU")))</f>
        <v/>
      </c>
      <c r="I241" s="45"/>
      <c r="J241" s="42"/>
      <c r="K241" s="11" t="str">
        <f aca="false">IF(I241="","",I241*J241)</f>
        <v/>
      </c>
      <c r="L241" s="34" t="str">
        <f aca="false">IF(H241="","",IFERROR(INDEX(I_Master!$B$6:$B$85,MATCH(H241,I_Master!$A$6:$A$85,0)),"?"))</f>
        <v/>
      </c>
      <c r="M241" s="46" t="str">
        <f aca="false">IF(I241="","",IF(OR(A241&lt;I_Parameter!$C$5,A241&gt;I_Parameter!$C$6),0,IF(B241="Aktual",1,IF(AND(B241="Rencana",A241&gt;=I_Parameter!$C$4),1,0))))</f>
        <v/>
      </c>
    </row>
    <row r="242" customFormat="false" ht="15" hidden="false" customHeight="false" outlineLevel="0" collapsed="false">
      <c r="A242" s="37"/>
      <c r="B242" s="44"/>
      <c r="C242" s="44"/>
      <c r="D242" s="44"/>
      <c r="E242" s="44"/>
      <c r="F242" s="44"/>
      <c r="G242" s="44"/>
      <c r="H242" s="34" t="str">
        <f aca="false">IF(G242&lt;&gt;"",G242,IF(F242="","",IFERROR(INDEX(I_Item!$C$6:$C$255,MATCH(F242,I_Item!$A$6:$A$255,0)),"KODE BARU")))</f>
        <v/>
      </c>
      <c r="I242" s="45"/>
      <c r="J242" s="42"/>
      <c r="K242" s="11" t="str">
        <f aca="false">IF(I242="","",I242*J242)</f>
        <v/>
      </c>
      <c r="L242" s="34" t="str">
        <f aca="false">IF(H242="","",IFERROR(INDEX(I_Master!$B$6:$B$85,MATCH(H242,I_Master!$A$6:$A$85,0)),"?"))</f>
        <v/>
      </c>
      <c r="M242" s="46" t="str">
        <f aca="false">IF(I242="","",IF(OR(A242&lt;I_Parameter!$C$5,A242&gt;I_Parameter!$C$6),0,IF(B242="Aktual",1,IF(AND(B242="Rencana",A242&gt;=I_Parameter!$C$4),1,0))))</f>
        <v/>
      </c>
    </row>
    <row r="243" customFormat="false" ht="15" hidden="false" customHeight="false" outlineLevel="0" collapsed="false">
      <c r="A243" s="37"/>
      <c r="B243" s="44"/>
      <c r="C243" s="44"/>
      <c r="D243" s="44"/>
      <c r="E243" s="44"/>
      <c r="F243" s="44"/>
      <c r="G243" s="44"/>
      <c r="H243" s="34" t="str">
        <f aca="false">IF(G243&lt;&gt;"",G243,IF(F243="","",IFERROR(INDEX(I_Item!$C$6:$C$255,MATCH(F243,I_Item!$A$6:$A$255,0)),"KODE BARU")))</f>
        <v/>
      </c>
      <c r="I243" s="45"/>
      <c r="J243" s="42"/>
      <c r="K243" s="11" t="str">
        <f aca="false">IF(I243="","",I243*J243)</f>
        <v/>
      </c>
      <c r="L243" s="34" t="str">
        <f aca="false">IF(H243="","",IFERROR(INDEX(I_Master!$B$6:$B$85,MATCH(H243,I_Master!$A$6:$A$85,0)),"?"))</f>
        <v/>
      </c>
      <c r="M243" s="46" t="str">
        <f aca="false">IF(I243="","",IF(OR(A243&lt;I_Parameter!$C$5,A243&gt;I_Parameter!$C$6),0,IF(B243="Aktual",1,IF(AND(B243="Rencana",A243&gt;=I_Parameter!$C$4),1,0))))</f>
        <v/>
      </c>
    </row>
    <row r="244" customFormat="false" ht="15" hidden="false" customHeight="false" outlineLevel="0" collapsed="false">
      <c r="A244" s="37"/>
      <c r="B244" s="44"/>
      <c r="C244" s="44"/>
      <c r="D244" s="44"/>
      <c r="E244" s="44"/>
      <c r="F244" s="44"/>
      <c r="G244" s="44"/>
      <c r="H244" s="34" t="str">
        <f aca="false">IF(G244&lt;&gt;"",G244,IF(F244="","",IFERROR(INDEX(I_Item!$C$6:$C$255,MATCH(F244,I_Item!$A$6:$A$255,0)),"KODE BARU")))</f>
        <v/>
      </c>
      <c r="I244" s="45"/>
      <c r="J244" s="42"/>
      <c r="K244" s="11" t="str">
        <f aca="false">IF(I244="","",I244*J244)</f>
        <v/>
      </c>
      <c r="L244" s="34" t="str">
        <f aca="false">IF(H244="","",IFERROR(INDEX(I_Master!$B$6:$B$85,MATCH(H244,I_Master!$A$6:$A$85,0)),"?"))</f>
        <v/>
      </c>
      <c r="M244" s="46" t="str">
        <f aca="false">IF(I244="","",IF(OR(A244&lt;I_Parameter!$C$5,A244&gt;I_Parameter!$C$6),0,IF(B244="Aktual",1,IF(AND(B244="Rencana",A244&gt;=I_Parameter!$C$4),1,0))))</f>
        <v/>
      </c>
    </row>
    <row r="245" customFormat="false" ht="15" hidden="false" customHeight="false" outlineLevel="0" collapsed="false">
      <c r="A245" s="37"/>
      <c r="B245" s="44"/>
      <c r="C245" s="44"/>
      <c r="D245" s="44"/>
      <c r="E245" s="44"/>
      <c r="F245" s="44"/>
      <c r="G245" s="44"/>
      <c r="H245" s="34" t="str">
        <f aca="false">IF(G245&lt;&gt;"",G245,IF(F245="","",IFERROR(INDEX(I_Item!$C$6:$C$255,MATCH(F245,I_Item!$A$6:$A$255,0)),"KODE BARU")))</f>
        <v/>
      </c>
      <c r="I245" s="45"/>
      <c r="J245" s="42"/>
      <c r="K245" s="11" t="str">
        <f aca="false">IF(I245="","",I245*J245)</f>
        <v/>
      </c>
      <c r="L245" s="34" t="str">
        <f aca="false">IF(H245="","",IFERROR(INDEX(I_Master!$B$6:$B$85,MATCH(H245,I_Master!$A$6:$A$85,0)),"?"))</f>
        <v/>
      </c>
      <c r="M245" s="46" t="str">
        <f aca="false">IF(I245="","",IF(OR(A245&lt;I_Parameter!$C$5,A245&gt;I_Parameter!$C$6),0,IF(B245="Aktual",1,IF(AND(B245="Rencana",A245&gt;=I_Parameter!$C$4),1,0))))</f>
        <v/>
      </c>
    </row>
    <row r="246" customFormat="false" ht="15" hidden="false" customHeight="false" outlineLevel="0" collapsed="false">
      <c r="A246" s="37"/>
      <c r="B246" s="44"/>
      <c r="C246" s="44"/>
      <c r="D246" s="44"/>
      <c r="E246" s="44"/>
      <c r="F246" s="44"/>
      <c r="G246" s="44"/>
      <c r="H246" s="34" t="str">
        <f aca="false">IF(G246&lt;&gt;"",G246,IF(F246="","",IFERROR(INDEX(I_Item!$C$6:$C$255,MATCH(F246,I_Item!$A$6:$A$255,0)),"KODE BARU")))</f>
        <v/>
      </c>
      <c r="I246" s="45"/>
      <c r="J246" s="42"/>
      <c r="K246" s="11" t="str">
        <f aca="false">IF(I246="","",I246*J246)</f>
        <v/>
      </c>
      <c r="L246" s="34" t="str">
        <f aca="false">IF(H246="","",IFERROR(INDEX(I_Master!$B$6:$B$85,MATCH(H246,I_Master!$A$6:$A$85,0)),"?"))</f>
        <v/>
      </c>
      <c r="M246" s="46" t="str">
        <f aca="false">IF(I246="","",IF(OR(A246&lt;I_Parameter!$C$5,A246&gt;I_Parameter!$C$6),0,IF(B246="Aktual",1,IF(AND(B246="Rencana",A246&gt;=I_Parameter!$C$4),1,0))))</f>
        <v/>
      </c>
    </row>
    <row r="247" customFormat="false" ht="15" hidden="false" customHeight="false" outlineLevel="0" collapsed="false">
      <c r="A247" s="37"/>
      <c r="B247" s="44"/>
      <c r="C247" s="44"/>
      <c r="D247" s="44"/>
      <c r="E247" s="44"/>
      <c r="F247" s="44"/>
      <c r="G247" s="44"/>
      <c r="H247" s="34" t="str">
        <f aca="false">IF(G247&lt;&gt;"",G247,IF(F247="","",IFERROR(INDEX(I_Item!$C$6:$C$255,MATCH(F247,I_Item!$A$6:$A$255,0)),"KODE BARU")))</f>
        <v/>
      </c>
      <c r="I247" s="45"/>
      <c r="J247" s="42"/>
      <c r="K247" s="11" t="str">
        <f aca="false">IF(I247="","",I247*J247)</f>
        <v/>
      </c>
      <c r="L247" s="34" t="str">
        <f aca="false">IF(H247="","",IFERROR(INDEX(I_Master!$B$6:$B$85,MATCH(H247,I_Master!$A$6:$A$85,0)),"?"))</f>
        <v/>
      </c>
      <c r="M247" s="46" t="str">
        <f aca="false">IF(I247="","",IF(OR(A247&lt;I_Parameter!$C$5,A247&gt;I_Parameter!$C$6),0,IF(B247="Aktual",1,IF(AND(B247="Rencana",A247&gt;=I_Parameter!$C$4),1,0))))</f>
        <v/>
      </c>
    </row>
    <row r="248" customFormat="false" ht="15" hidden="false" customHeight="false" outlineLevel="0" collapsed="false">
      <c r="A248" s="37"/>
      <c r="B248" s="44"/>
      <c r="C248" s="44"/>
      <c r="D248" s="44"/>
      <c r="E248" s="44"/>
      <c r="F248" s="44"/>
      <c r="G248" s="44"/>
      <c r="H248" s="34" t="str">
        <f aca="false">IF(G248&lt;&gt;"",G248,IF(F248="","",IFERROR(INDEX(I_Item!$C$6:$C$255,MATCH(F248,I_Item!$A$6:$A$255,0)),"KODE BARU")))</f>
        <v/>
      </c>
      <c r="I248" s="45"/>
      <c r="J248" s="42"/>
      <c r="K248" s="11" t="str">
        <f aca="false">IF(I248="","",I248*J248)</f>
        <v/>
      </c>
      <c r="L248" s="34" t="str">
        <f aca="false">IF(H248="","",IFERROR(INDEX(I_Master!$B$6:$B$85,MATCH(H248,I_Master!$A$6:$A$85,0)),"?"))</f>
        <v/>
      </c>
      <c r="M248" s="46" t="str">
        <f aca="false">IF(I248="","",IF(OR(A248&lt;I_Parameter!$C$5,A248&gt;I_Parameter!$C$6),0,IF(B248="Aktual",1,IF(AND(B248="Rencana",A248&gt;=I_Parameter!$C$4),1,0))))</f>
        <v/>
      </c>
    </row>
    <row r="249" customFormat="false" ht="15" hidden="false" customHeight="false" outlineLevel="0" collapsed="false">
      <c r="A249" s="37"/>
      <c r="B249" s="44"/>
      <c r="C249" s="44"/>
      <c r="D249" s="44"/>
      <c r="E249" s="44"/>
      <c r="F249" s="44"/>
      <c r="G249" s="44"/>
      <c r="H249" s="34" t="str">
        <f aca="false">IF(G249&lt;&gt;"",G249,IF(F249="","",IFERROR(INDEX(I_Item!$C$6:$C$255,MATCH(F249,I_Item!$A$6:$A$255,0)),"KODE BARU")))</f>
        <v/>
      </c>
      <c r="I249" s="45"/>
      <c r="J249" s="42"/>
      <c r="K249" s="11" t="str">
        <f aca="false">IF(I249="","",I249*J249)</f>
        <v/>
      </c>
      <c r="L249" s="34" t="str">
        <f aca="false">IF(H249="","",IFERROR(INDEX(I_Master!$B$6:$B$85,MATCH(H249,I_Master!$A$6:$A$85,0)),"?"))</f>
        <v/>
      </c>
      <c r="M249" s="46" t="str">
        <f aca="false">IF(I249="","",IF(OR(A249&lt;I_Parameter!$C$5,A249&gt;I_Parameter!$C$6),0,IF(B249="Aktual",1,IF(AND(B249="Rencana",A249&gt;=I_Parameter!$C$4),1,0))))</f>
        <v/>
      </c>
    </row>
    <row r="250" customFormat="false" ht="15" hidden="false" customHeight="false" outlineLevel="0" collapsed="false">
      <c r="A250" s="37"/>
      <c r="B250" s="44"/>
      <c r="C250" s="44"/>
      <c r="D250" s="44"/>
      <c r="E250" s="44"/>
      <c r="F250" s="44"/>
      <c r="G250" s="44"/>
      <c r="H250" s="34" t="str">
        <f aca="false">IF(G250&lt;&gt;"",G250,IF(F250="","",IFERROR(INDEX(I_Item!$C$6:$C$255,MATCH(F250,I_Item!$A$6:$A$255,0)),"KODE BARU")))</f>
        <v/>
      </c>
      <c r="I250" s="45"/>
      <c r="J250" s="42"/>
      <c r="K250" s="11" t="str">
        <f aca="false">IF(I250="","",I250*J250)</f>
        <v/>
      </c>
      <c r="L250" s="34" t="str">
        <f aca="false">IF(H250="","",IFERROR(INDEX(I_Master!$B$6:$B$85,MATCH(H250,I_Master!$A$6:$A$85,0)),"?"))</f>
        <v/>
      </c>
      <c r="M250" s="46" t="str">
        <f aca="false">IF(I250="","",IF(OR(A250&lt;I_Parameter!$C$5,A250&gt;I_Parameter!$C$6),0,IF(B250="Aktual",1,IF(AND(B250="Rencana",A250&gt;=I_Parameter!$C$4),1,0))))</f>
        <v/>
      </c>
    </row>
    <row r="251" customFormat="false" ht="15" hidden="false" customHeight="false" outlineLevel="0" collapsed="false">
      <c r="A251" s="37"/>
      <c r="B251" s="44"/>
      <c r="C251" s="44"/>
      <c r="D251" s="44"/>
      <c r="E251" s="44"/>
      <c r="F251" s="44"/>
      <c r="G251" s="44"/>
      <c r="H251" s="34" t="str">
        <f aca="false">IF(G251&lt;&gt;"",G251,IF(F251="","",IFERROR(INDEX(I_Item!$C$6:$C$255,MATCH(F251,I_Item!$A$6:$A$255,0)),"KODE BARU")))</f>
        <v/>
      </c>
      <c r="I251" s="45"/>
      <c r="J251" s="42"/>
      <c r="K251" s="11" t="str">
        <f aca="false">IF(I251="","",I251*J251)</f>
        <v/>
      </c>
      <c r="L251" s="34" t="str">
        <f aca="false">IF(H251="","",IFERROR(INDEX(I_Master!$B$6:$B$85,MATCH(H251,I_Master!$A$6:$A$85,0)),"?"))</f>
        <v/>
      </c>
      <c r="M251" s="46" t="str">
        <f aca="false">IF(I251="","",IF(OR(A251&lt;I_Parameter!$C$5,A251&gt;I_Parameter!$C$6),0,IF(B251="Aktual",1,IF(AND(B251="Rencana",A251&gt;=I_Parameter!$C$4),1,0))))</f>
        <v/>
      </c>
    </row>
    <row r="252" customFormat="false" ht="15" hidden="false" customHeight="false" outlineLevel="0" collapsed="false">
      <c r="A252" s="37"/>
      <c r="B252" s="44"/>
      <c r="C252" s="44"/>
      <c r="D252" s="44"/>
      <c r="E252" s="44"/>
      <c r="F252" s="44"/>
      <c r="G252" s="44"/>
      <c r="H252" s="34" t="str">
        <f aca="false">IF(G252&lt;&gt;"",G252,IF(F252="","",IFERROR(INDEX(I_Item!$C$6:$C$255,MATCH(F252,I_Item!$A$6:$A$255,0)),"KODE BARU")))</f>
        <v/>
      </c>
      <c r="I252" s="45"/>
      <c r="J252" s="42"/>
      <c r="K252" s="11" t="str">
        <f aca="false">IF(I252="","",I252*J252)</f>
        <v/>
      </c>
      <c r="L252" s="34" t="str">
        <f aca="false">IF(H252="","",IFERROR(INDEX(I_Master!$B$6:$B$85,MATCH(H252,I_Master!$A$6:$A$85,0)),"?"))</f>
        <v/>
      </c>
      <c r="M252" s="46" t="str">
        <f aca="false">IF(I252="","",IF(OR(A252&lt;I_Parameter!$C$5,A252&gt;I_Parameter!$C$6),0,IF(B252="Aktual",1,IF(AND(B252="Rencana",A252&gt;=I_Parameter!$C$4),1,0))))</f>
        <v/>
      </c>
    </row>
    <row r="253" customFormat="false" ht="15" hidden="false" customHeight="false" outlineLevel="0" collapsed="false">
      <c r="A253" s="37"/>
      <c r="B253" s="44"/>
      <c r="C253" s="44"/>
      <c r="D253" s="44"/>
      <c r="E253" s="44"/>
      <c r="F253" s="44"/>
      <c r="G253" s="44"/>
      <c r="H253" s="34" t="str">
        <f aca="false">IF(G253&lt;&gt;"",G253,IF(F253="","",IFERROR(INDEX(I_Item!$C$6:$C$255,MATCH(F253,I_Item!$A$6:$A$255,0)),"KODE BARU")))</f>
        <v/>
      </c>
      <c r="I253" s="45"/>
      <c r="J253" s="42"/>
      <c r="K253" s="11" t="str">
        <f aca="false">IF(I253="","",I253*J253)</f>
        <v/>
      </c>
      <c r="L253" s="34" t="str">
        <f aca="false">IF(H253="","",IFERROR(INDEX(I_Master!$B$6:$B$85,MATCH(H253,I_Master!$A$6:$A$85,0)),"?"))</f>
        <v/>
      </c>
      <c r="M253" s="46" t="str">
        <f aca="false">IF(I253="","",IF(OR(A253&lt;I_Parameter!$C$5,A253&gt;I_Parameter!$C$6),0,IF(B253="Aktual",1,IF(AND(B253="Rencana",A253&gt;=I_Parameter!$C$4),1,0))))</f>
        <v/>
      </c>
    </row>
    <row r="254" customFormat="false" ht="15" hidden="false" customHeight="false" outlineLevel="0" collapsed="false">
      <c r="A254" s="37"/>
      <c r="B254" s="44"/>
      <c r="C254" s="44"/>
      <c r="D254" s="44"/>
      <c r="E254" s="44"/>
      <c r="F254" s="44"/>
      <c r="G254" s="44"/>
      <c r="H254" s="34" t="str">
        <f aca="false">IF(G254&lt;&gt;"",G254,IF(F254="","",IFERROR(INDEX(I_Item!$C$6:$C$255,MATCH(F254,I_Item!$A$6:$A$255,0)),"KODE BARU")))</f>
        <v/>
      </c>
      <c r="I254" s="45"/>
      <c r="J254" s="42"/>
      <c r="K254" s="11" t="str">
        <f aca="false">IF(I254="","",I254*J254)</f>
        <v/>
      </c>
      <c r="L254" s="34" t="str">
        <f aca="false">IF(H254="","",IFERROR(INDEX(I_Master!$B$6:$B$85,MATCH(H254,I_Master!$A$6:$A$85,0)),"?"))</f>
        <v/>
      </c>
      <c r="M254" s="46" t="str">
        <f aca="false">IF(I254="","",IF(OR(A254&lt;I_Parameter!$C$5,A254&gt;I_Parameter!$C$6),0,IF(B254="Aktual",1,IF(AND(B254="Rencana",A254&gt;=I_Parameter!$C$4),1,0))))</f>
        <v/>
      </c>
    </row>
    <row r="255" customFormat="false" ht="15" hidden="false" customHeight="false" outlineLevel="0" collapsed="false">
      <c r="A255" s="37"/>
      <c r="B255" s="44"/>
      <c r="C255" s="44"/>
      <c r="D255" s="44"/>
      <c r="E255" s="44"/>
      <c r="F255" s="44"/>
      <c r="G255" s="44"/>
      <c r="H255" s="34" t="str">
        <f aca="false">IF(G255&lt;&gt;"",G255,IF(F255="","",IFERROR(INDEX(I_Item!$C$6:$C$255,MATCH(F255,I_Item!$A$6:$A$255,0)),"KODE BARU")))</f>
        <v/>
      </c>
      <c r="I255" s="45"/>
      <c r="J255" s="42"/>
      <c r="K255" s="11" t="str">
        <f aca="false">IF(I255="","",I255*J255)</f>
        <v/>
      </c>
      <c r="L255" s="34" t="str">
        <f aca="false">IF(H255="","",IFERROR(INDEX(I_Master!$B$6:$B$85,MATCH(H255,I_Master!$A$6:$A$85,0)),"?"))</f>
        <v/>
      </c>
      <c r="M255" s="46" t="str">
        <f aca="false">IF(I255="","",IF(OR(A255&lt;I_Parameter!$C$5,A255&gt;I_Parameter!$C$6),0,IF(B255="Aktual",1,IF(AND(B255="Rencana",A255&gt;=I_Parameter!$C$4),1,0))))</f>
        <v/>
      </c>
    </row>
    <row r="256" customFormat="false" ht="15" hidden="false" customHeight="false" outlineLevel="0" collapsed="false">
      <c r="A256" s="37"/>
      <c r="B256" s="44"/>
      <c r="C256" s="44"/>
      <c r="D256" s="44"/>
      <c r="E256" s="44"/>
      <c r="F256" s="44"/>
      <c r="G256" s="44"/>
      <c r="H256" s="34" t="str">
        <f aca="false">IF(G256&lt;&gt;"",G256,IF(F256="","",IFERROR(INDEX(I_Item!$C$6:$C$255,MATCH(F256,I_Item!$A$6:$A$255,0)),"KODE BARU")))</f>
        <v/>
      </c>
      <c r="I256" s="45"/>
      <c r="J256" s="42"/>
      <c r="K256" s="11" t="str">
        <f aca="false">IF(I256="","",I256*J256)</f>
        <v/>
      </c>
      <c r="L256" s="34" t="str">
        <f aca="false">IF(H256="","",IFERROR(INDEX(I_Master!$B$6:$B$85,MATCH(H256,I_Master!$A$6:$A$85,0)),"?"))</f>
        <v/>
      </c>
      <c r="M256" s="46" t="str">
        <f aca="false">IF(I256="","",IF(OR(A256&lt;I_Parameter!$C$5,A256&gt;I_Parameter!$C$6),0,IF(B256="Aktual",1,IF(AND(B256="Rencana",A256&gt;=I_Parameter!$C$4),1,0))))</f>
        <v/>
      </c>
    </row>
    <row r="257" customFormat="false" ht="15" hidden="false" customHeight="false" outlineLevel="0" collapsed="false">
      <c r="A257" s="37"/>
      <c r="B257" s="44"/>
      <c r="C257" s="44"/>
      <c r="D257" s="44"/>
      <c r="E257" s="44"/>
      <c r="F257" s="44"/>
      <c r="G257" s="44"/>
      <c r="H257" s="34" t="str">
        <f aca="false">IF(G257&lt;&gt;"",G257,IF(F257="","",IFERROR(INDEX(I_Item!$C$6:$C$255,MATCH(F257,I_Item!$A$6:$A$255,0)),"KODE BARU")))</f>
        <v/>
      </c>
      <c r="I257" s="45"/>
      <c r="J257" s="42"/>
      <c r="K257" s="11" t="str">
        <f aca="false">IF(I257="","",I257*J257)</f>
        <v/>
      </c>
      <c r="L257" s="34" t="str">
        <f aca="false">IF(H257="","",IFERROR(INDEX(I_Master!$B$6:$B$85,MATCH(H257,I_Master!$A$6:$A$85,0)),"?"))</f>
        <v/>
      </c>
      <c r="M257" s="46" t="str">
        <f aca="false">IF(I257="","",IF(OR(A257&lt;I_Parameter!$C$5,A257&gt;I_Parameter!$C$6),0,IF(B257="Aktual",1,IF(AND(B257="Rencana",A257&gt;=I_Parameter!$C$4),1,0))))</f>
        <v/>
      </c>
    </row>
    <row r="258" customFormat="false" ht="15" hidden="false" customHeight="false" outlineLevel="0" collapsed="false">
      <c r="A258" s="37"/>
      <c r="B258" s="44"/>
      <c r="C258" s="44"/>
      <c r="D258" s="44"/>
      <c r="E258" s="44"/>
      <c r="F258" s="44"/>
      <c r="G258" s="44"/>
      <c r="H258" s="34" t="str">
        <f aca="false">IF(G258&lt;&gt;"",G258,IF(F258="","",IFERROR(INDEX(I_Item!$C$6:$C$255,MATCH(F258,I_Item!$A$6:$A$255,0)),"KODE BARU")))</f>
        <v/>
      </c>
      <c r="I258" s="45"/>
      <c r="J258" s="42"/>
      <c r="K258" s="11" t="str">
        <f aca="false">IF(I258="","",I258*J258)</f>
        <v/>
      </c>
      <c r="L258" s="34" t="str">
        <f aca="false">IF(H258="","",IFERROR(INDEX(I_Master!$B$6:$B$85,MATCH(H258,I_Master!$A$6:$A$85,0)),"?"))</f>
        <v/>
      </c>
      <c r="M258" s="46" t="str">
        <f aca="false">IF(I258="","",IF(OR(A258&lt;I_Parameter!$C$5,A258&gt;I_Parameter!$C$6),0,IF(B258="Aktual",1,IF(AND(B258="Rencana",A258&gt;=I_Parameter!$C$4),1,0))))</f>
        <v/>
      </c>
    </row>
    <row r="259" customFormat="false" ht="15" hidden="false" customHeight="false" outlineLevel="0" collapsed="false">
      <c r="A259" s="37"/>
      <c r="B259" s="44"/>
      <c r="C259" s="44"/>
      <c r="D259" s="44"/>
      <c r="E259" s="44"/>
      <c r="F259" s="44"/>
      <c r="G259" s="44"/>
      <c r="H259" s="34" t="str">
        <f aca="false">IF(G259&lt;&gt;"",G259,IF(F259="","",IFERROR(INDEX(I_Item!$C$6:$C$255,MATCH(F259,I_Item!$A$6:$A$255,0)),"KODE BARU")))</f>
        <v/>
      </c>
      <c r="I259" s="45"/>
      <c r="J259" s="42"/>
      <c r="K259" s="11" t="str">
        <f aca="false">IF(I259="","",I259*J259)</f>
        <v/>
      </c>
      <c r="L259" s="34" t="str">
        <f aca="false">IF(H259="","",IFERROR(INDEX(I_Master!$B$6:$B$85,MATCH(H259,I_Master!$A$6:$A$85,0)),"?"))</f>
        <v/>
      </c>
      <c r="M259" s="46" t="str">
        <f aca="false">IF(I259="","",IF(OR(A259&lt;I_Parameter!$C$5,A259&gt;I_Parameter!$C$6),0,IF(B259="Aktual",1,IF(AND(B259="Rencana",A259&gt;=I_Parameter!$C$4),1,0))))</f>
        <v/>
      </c>
    </row>
    <row r="260" customFormat="false" ht="15" hidden="false" customHeight="false" outlineLevel="0" collapsed="false">
      <c r="A260" s="37"/>
      <c r="B260" s="44"/>
      <c r="C260" s="44"/>
      <c r="D260" s="44"/>
      <c r="E260" s="44"/>
      <c r="F260" s="44"/>
      <c r="G260" s="44"/>
      <c r="H260" s="34" t="str">
        <f aca="false">IF(G260&lt;&gt;"",G260,IF(F260="","",IFERROR(INDEX(I_Item!$C$6:$C$255,MATCH(F260,I_Item!$A$6:$A$255,0)),"KODE BARU")))</f>
        <v/>
      </c>
      <c r="I260" s="45"/>
      <c r="J260" s="42"/>
      <c r="K260" s="11" t="str">
        <f aca="false">IF(I260="","",I260*J260)</f>
        <v/>
      </c>
      <c r="L260" s="34" t="str">
        <f aca="false">IF(H260="","",IFERROR(INDEX(I_Master!$B$6:$B$85,MATCH(H260,I_Master!$A$6:$A$85,0)),"?"))</f>
        <v/>
      </c>
      <c r="M260" s="46" t="str">
        <f aca="false">IF(I260="","",IF(OR(A260&lt;I_Parameter!$C$5,A260&gt;I_Parameter!$C$6),0,IF(B260="Aktual",1,IF(AND(B260="Rencana",A260&gt;=I_Parameter!$C$4),1,0))))</f>
        <v/>
      </c>
    </row>
    <row r="261" customFormat="false" ht="15" hidden="false" customHeight="false" outlineLevel="0" collapsed="false">
      <c r="A261" s="37"/>
      <c r="B261" s="44"/>
      <c r="C261" s="44"/>
      <c r="D261" s="44"/>
      <c r="E261" s="44"/>
      <c r="F261" s="44"/>
      <c r="G261" s="44"/>
      <c r="H261" s="34" t="str">
        <f aca="false">IF(G261&lt;&gt;"",G261,IF(F261="","",IFERROR(INDEX(I_Item!$C$6:$C$255,MATCH(F261,I_Item!$A$6:$A$255,0)),"KODE BARU")))</f>
        <v/>
      </c>
      <c r="I261" s="45"/>
      <c r="J261" s="42"/>
      <c r="K261" s="11" t="str">
        <f aca="false">IF(I261="","",I261*J261)</f>
        <v/>
      </c>
      <c r="L261" s="34" t="str">
        <f aca="false">IF(H261="","",IFERROR(INDEX(I_Master!$B$6:$B$85,MATCH(H261,I_Master!$A$6:$A$85,0)),"?"))</f>
        <v/>
      </c>
      <c r="M261" s="46" t="str">
        <f aca="false">IF(I261="","",IF(OR(A261&lt;I_Parameter!$C$5,A261&gt;I_Parameter!$C$6),0,IF(B261="Aktual",1,IF(AND(B261="Rencana",A261&gt;=I_Parameter!$C$4),1,0))))</f>
        <v/>
      </c>
    </row>
    <row r="262" customFormat="false" ht="15" hidden="false" customHeight="false" outlineLevel="0" collapsed="false">
      <c r="A262" s="37"/>
      <c r="B262" s="44"/>
      <c r="C262" s="44"/>
      <c r="D262" s="44"/>
      <c r="E262" s="44"/>
      <c r="F262" s="44"/>
      <c r="G262" s="44"/>
      <c r="H262" s="34" t="str">
        <f aca="false">IF(G262&lt;&gt;"",G262,IF(F262="","",IFERROR(INDEX(I_Item!$C$6:$C$255,MATCH(F262,I_Item!$A$6:$A$255,0)),"KODE BARU")))</f>
        <v/>
      </c>
      <c r="I262" s="45"/>
      <c r="J262" s="42"/>
      <c r="K262" s="11" t="str">
        <f aca="false">IF(I262="","",I262*J262)</f>
        <v/>
      </c>
      <c r="L262" s="34" t="str">
        <f aca="false">IF(H262="","",IFERROR(INDEX(I_Master!$B$6:$B$85,MATCH(H262,I_Master!$A$6:$A$85,0)),"?"))</f>
        <v/>
      </c>
      <c r="M262" s="46" t="str">
        <f aca="false">IF(I262="","",IF(OR(A262&lt;I_Parameter!$C$5,A262&gt;I_Parameter!$C$6),0,IF(B262="Aktual",1,IF(AND(B262="Rencana",A262&gt;=I_Parameter!$C$4),1,0))))</f>
        <v/>
      </c>
    </row>
    <row r="263" customFormat="false" ht="15" hidden="false" customHeight="false" outlineLevel="0" collapsed="false">
      <c r="A263" s="37"/>
      <c r="B263" s="44"/>
      <c r="C263" s="44"/>
      <c r="D263" s="44"/>
      <c r="E263" s="44"/>
      <c r="F263" s="44"/>
      <c r="G263" s="44"/>
      <c r="H263" s="34" t="str">
        <f aca="false">IF(G263&lt;&gt;"",G263,IF(F263="","",IFERROR(INDEX(I_Item!$C$6:$C$255,MATCH(F263,I_Item!$A$6:$A$255,0)),"KODE BARU")))</f>
        <v/>
      </c>
      <c r="I263" s="45"/>
      <c r="J263" s="42"/>
      <c r="K263" s="11" t="str">
        <f aca="false">IF(I263="","",I263*J263)</f>
        <v/>
      </c>
      <c r="L263" s="34" t="str">
        <f aca="false">IF(H263="","",IFERROR(INDEX(I_Master!$B$6:$B$85,MATCH(H263,I_Master!$A$6:$A$85,0)),"?"))</f>
        <v/>
      </c>
      <c r="M263" s="46" t="str">
        <f aca="false">IF(I263="","",IF(OR(A263&lt;I_Parameter!$C$5,A263&gt;I_Parameter!$C$6),0,IF(B263="Aktual",1,IF(AND(B263="Rencana",A263&gt;=I_Parameter!$C$4),1,0))))</f>
        <v/>
      </c>
    </row>
    <row r="264" customFormat="false" ht="15" hidden="false" customHeight="false" outlineLevel="0" collapsed="false">
      <c r="A264" s="37"/>
      <c r="B264" s="44"/>
      <c r="C264" s="44"/>
      <c r="D264" s="44"/>
      <c r="E264" s="44"/>
      <c r="F264" s="44"/>
      <c r="G264" s="44"/>
      <c r="H264" s="34" t="str">
        <f aca="false">IF(G264&lt;&gt;"",G264,IF(F264="","",IFERROR(INDEX(I_Item!$C$6:$C$255,MATCH(F264,I_Item!$A$6:$A$255,0)),"KODE BARU")))</f>
        <v/>
      </c>
      <c r="I264" s="45"/>
      <c r="J264" s="42"/>
      <c r="K264" s="11" t="str">
        <f aca="false">IF(I264="","",I264*J264)</f>
        <v/>
      </c>
      <c r="L264" s="34" t="str">
        <f aca="false">IF(H264="","",IFERROR(INDEX(I_Master!$B$6:$B$85,MATCH(H264,I_Master!$A$6:$A$85,0)),"?"))</f>
        <v/>
      </c>
      <c r="M264" s="46" t="str">
        <f aca="false">IF(I264="","",IF(OR(A264&lt;I_Parameter!$C$5,A264&gt;I_Parameter!$C$6),0,IF(B264="Aktual",1,IF(AND(B264="Rencana",A264&gt;=I_Parameter!$C$4),1,0))))</f>
        <v/>
      </c>
    </row>
    <row r="265" customFormat="false" ht="15" hidden="false" customHeight="false" outlineLevel="0" collapsed="false">
      <c r="A265" s="37"/>
      <c r="B265" s="44"/>
      <c r="C265" s="44"/>
      <c r="D265" s="44"/>
      <c r="E265" s="44"/>
      <c r="F265" s="44"/>
      <c r="G265" s="44"/>
      <c r="H265" s="34" t="str">
        <f aca="false">IF(G265&lt;&gt;"",G265,IF(F265="","",IFERROR(INDEX(I_Item!$C$6:$C$255,MATCH(F265,I_Item!$A$6:$A$255,0)),"KODE BARU")))</f>
        <v/>
      </c>
      <c r="I265" s="45"/>
      <c r="J265" s="42"/>
      <c r="K265" s="11" t="str">
        <f aca="false">IF(I265="","",I265*J265)</f>
        <v/>
      </c>
      <c r="L265" s="34" t="str">
        <f aca="false">IF(H265="","",IFERROR(INDEX(I_Master!$B$6:$B$85,MATCH(H265,I_Master!$A$6:$A$85,0)),"?"))</f>
        <v/>
      </c>
      <c r="M265" s="46" t="str">
        <f aca="false">IF(I265="","",IF(OR(A265&lt;I_Parameter!$C$5,A265&gt;I_Parameter!$C$6),0,IF(B265="Aktual",1,IF(AND(B265="Rencana",A265&gt;=I_Parameter!$C$4),1,0))))</f>
        <v/>
      </c>
    </row>
    <row r="266" customFormat="false" ht="15" hidden="false" customHeight="false" outlineLevel="0" collapsed="false">
      <c r="A266" s="37"/>
      <c r="B266" s="44"/>
      <c r="C266" s="44"/>
      <c r="D266" s="44"/>
      <c r="E266" s="44"/>
      <c r="F266" s="44"/>
      <c r="G266" s="44"/>
      <c r="H266" s="34" t="str">
        <f aca="false">IF(G266&lt;&gt;"",G266,IF(F266="","",IFERROR(INDEX(I_Item!$C$6:$C$255,MATCH(F266,I_Item!$A$6:$A$255,0)),"KODE BARU")))</f>
        <v/>
      </c>
      <c r="I266" s="45"/>
      <c r="J266" s="42"/>
      <c r="K266" s="11" t="str">
        <f aca="false">IF(I266="","",I266*J266)</f>
        <v/>
      </c>
      <c r="L266" s="34" t="str">
        <f aca="false">IF(H266="","",IFERROR(INDEX(I_Master!$B$6:$B$85,MATCH(H266,I_Master!$A$6:$A$85,0)),"?"))</f>
        <v/>
      </c>
      <c r="M266" s="46" t="str">
        <f aca="false">IF(I266="","",IF(OR(A266&lt;I_Parameter!$C$5,A266&gt;I_Parameter!$C$6),0,IF(B266="Aktual",1,IF(AND(B266="Rencana",A266&gt;=I_Parameter!$C$4),1,0))))</f>
        <v/>
      </c>
    </row>
    <row r="267" customFormat="false" ht="15" hidden="false" customHeight="false" outlineLevel="0" collapsed="false">
      <c r="A267" s="37"/>
      <c r="B267" s="44"/>
      <c r="C267" s="44"/>
      <c r="D267" s="44"/>
      <c r="E267" s="44"/>
      <c r="F267" s="44"/>
      <c r="G267" s="44"/>
      <c r="H267" s="34" t="str">
        <f aca="false">IF(G267&lt;&gt;"",G267,IF(F267="","",IFERROR(INDEX(I_Item!$C$6:$C$255,MATCH(F267,I_Item!$A$6:$A$255,0)),"KODE BARU")))</f>
        <v/>
      </c>
      <c r="I267" s="45"/>
      <c r="J267" s="42"/>
      <c r="K267" s="11" t="str">
        <f aca="false">IF(I267="","",I267*J267)</f>
        <v/>
      </c>
      <c r="L267" s="34" t="str">
        <f aca="false">IF(H267="","",IFERROR(INDEX(I_Master!$B$6:$B$85,MATCH(H267,I_Master!$A$6:$A$85,0)),"?"))</f>
        <v/>
      </c>
      <c r="M267" s="46" t="str">
        <f aca="false">IF(I267="","",IF(OR(A267&lt;I_Parameter!$C$5,A267&gt;I_Parameter!$C$6),0,IF(B267="Aktual",1,IF(AND(B267="Rencana",A267&gt;=I_Parameter!$C$4),1,0))))</f>
        <v/>
      </c>
    </row>
    <row r="268" customFormat="false" ht="15" hidden="false" customHeight="false" outlineLevel="0" collapsed="false">
      <c r="A268" s="37"/>
      <c r="B268" s="44"/>
      <c r="C268" s="44"/>
      <c r="D268" s="44"/>
      <c r="E268" s="44"/>
      <c r="F268" s="44"/>
      <c r="G268" s="44"/>
      <c r="H268" s="34" t="str">
        <f aca="false">IF(G268&lt;&gt;"",G268,IF(F268="","",IFERROR(INDEX(I_Item!$C$6:$C$255,MATCH(F268,I_Item!$A$6:$A$255,0)),"KODE BARU")))</f>
        <v/>
      </c>
      <c r="I268" s="45"/>
      <c r="J268" s="42"/>
      <c r="K268" s="11" t="str">
        <f aca="false">IF(I268="","",I268*J268)</f>
        <v/>
      </c>
      <c r="L268" s="34" t="str">
        <f aca="false">IF(H268="","",IFERROR(INDEX(I_Master!$B$6:$B$85,MATCH(H268,I_Master!$A$6:$A$85,0)),"?"))</f>
        <v/>
      </c>
      <c r="M268" s="46" t="str">
        <f aca="false">IF(I268="","",IF(OR(A268&lt;I_Parameter!$C$5,A268&gt;I_Parameter!$C$6),0,IF(B268="Aktual",1,IF(AND(B268="Rencana",A268&gt;=I_Parameter!$C$4),1,0))))</f>
        <v/>
      </c>
    </row>
    <row r="269" customFormat="false" ht="15" hidden="false" customHeight="false" outlineLevel="0" collapsed="false">
      <c r="A269" s="37"/>
      <c r="B269" s="44"/>
      <c r="C269" s="44"/>
      <c r="D269" s="44"/>
      <c r="E269" s="44"/>
      <c r="F269" s="44"/>
      <c r="G269" s="44"/>
      <c r="H269" s="34" t="str">
        <f aca="false">IF(G269&lt;&gt;"",G269,IF(F269="","",IFERROR(INDEX(I_Item!$C$6:$C$255,MATCH(F269,I_Item!$A$6:$A$255,0)),"KODE BARU")))</f>
        <v/>
      </c>
      <c r="I269" s="45"/>
      <c r="J269" s="42"/>
      <c r="K269" s="11" t="str">
        <f aca="false">IF(I269="","",I269*J269)</f>
        <v/>
      </c>
      <c r="L269" s="34" t="str">
        <f aca="false">IF(H269="","",IFERROR(INDEX(I_Master!$B$6:$B$85,MATCH(H269,I_Master!$A$6:$A$85,0)),"?"))</f>
        <v/>
      </c>
      <c r="M269" s="46" t="str">
        <f aca="false">IF(I269="","",IF(OR(A269&lt;I_Parameter!$C$5,A269&gt;I_Parameter!$C$6),0,IF(B269="Aktual",1,IF(AND(B269="Rencana",A269&gt;=I_Parameter!$C$4),1,0))))</f>
        <v/>
      </c>
    </row>
    <row r="270" customFormat="false" ht="15" hidden="false" customHeight="false" outlineLevel="0" collapsed="false">
      <c r="A270" s="37"/>
      <c r="B270" s="44"/>
      <c r="C270" s="44"/>
      <c r="D270" s="44"/>
      <c r="E270" s="44"/>
      <c r="F270" s="44"/>
      <c r="G270" s="44"/>
      <c r="H270" s="34" t="str">
        <f aca="false">IF(G270&lt;&gt;"",G270,IF(F270="","",IFERROR(INDEX(I_Item!$C$6:$C$255,MATCH(F270,I_Item!$A$6:$A$255,0)),"KODE BARU")))</f>
        <v/>
      </c>
      <c r="I270" s="45"/>
      <c r="J270" s="42"/>
      <c r="K270" s="11" t="str">
        <f aca="false">IF(I270="","",I270*J270)</f>
        <v/>
      </c>
      <c r="L270" s="34" t="str">
        <f aca="false">IF(H270="","",IFERROR(INDEX(I_Master!$B$6:$B$85,MATCH(H270,I_Master!$A$6:$A$85,0)),"?"))</f>
        <v/>
      </c>
      <c r="M270" s="46" t="str">
        <f aca="false">IF(I270="","",IF(OR(A270&lt;I_Parameter!$C$5,A270&gt;I_Parameter!$C$6),0,IF(B270="Aktual",1,IF(AND(B270="Rencana",A270&gt;=I_Parameter!$C$4),1,0))))</f>
        <v/>
      </c>
    </row>
    <row r="271" customFormat="false" ht="15" hidden="false" customHeight="false" outlineLevel="0" collapsed="false">
      <c r="A271" s="37"/>
      <c r="B271" s="44"/>
      <c r="C271" s="44"/>
      <c r="D271" s="44"/>
      <c r="E271" s="44"/>
      <c r="F271" s="44"/>
      <c r="G271" s="44"/>
      <c r="H271" s="34" t="str">
        <f aca="false">IF(G271&lt;&gt;"",G271,IF(F271="","",IFERROR(INDEX(I_Item!$C$6:$C$255,MATCH(F271,I_Item!$A$6:$A$255,0)),"KODE BARU")))</f>
        <v/>
      </c>
      <c r="I271" s="45"/>
      <c r="J271" s="42"/>
      <c r="K271" s="11" t="str">
        <f aca="false">IF(I271="","",I271*J271)</f>
        <v/>
      </c>
      <c r="L271" s="34" t="str">
        <f aca="false">IF(H271="","",IFERROR(INDEX(I_Master!$B$6:$B$85,MATCH(H271,I_Master!$A$6:$A$85,0)),"?"))</f>
        <v/>
      </c>
      <c r="M271" s="46" t="str">
        <f aca="false">IF(I271="","",IF(OR(A271&lt;I_Parameter!$C$5,A271&gt;I_Parameter!$C$6),0,IF(B271="Aktual",1,IF(AND(B271="Rencana",A271&gt;=I_Parameter!$C$4),1,0))))</f>
        <v/>
      </c>
    </row>
    <row r="272" customFormat="false" ht="15" hidden="false" customHeight="false" outlineLevel="0" collapsed="false">
      <c r="A272" s="37"/>
      <c r="B272" s="44"/>
      <c r="C272" s="44"/>
      <c r="D272" s="44"/>
      <c r="E272" s="44"/>
      <c r="F272" s="44"/>
      <c r="G272" s="44"/>
      <c r="H272" s="34" t="str">
        <f aca="false">IF(G272&lt;&gt;"",G272,IF(F272="","",IFERROR(INDEX(I_Item!$C$6:$C$255,MATCH(F272,I_Item!$A$6:$A$255,0)),"KODE BARU")))</f>
        <v/>
      </c>
      <c r="I272" s="45"/>
      <c r="J272" s="42"/>
      <c r="K272" s="11" t="str">
        <f aca="false">IF(I272="","",I272*J272)</f>
        <v/>
      </c>
      <c r="L272" s="34" t="str">
        <f aca="false">IF(H272="","",IFERROR(INDEX(I_Master!$B$6:$B$85,MATCH(H272,I_Master!$A$6:$A$85,0)),"?"))</f>
        <v/>
      </c>
      <c r="M272" s="46" t="str">
        <f aca="false">IF(I272="","",IF(OR(A272&lt;I_Parameter!$C$5,A272&gt;I_Parameter!$C$6),0,IF(B272="Aktual",1,IF(AND(B272="Rencana",A272&gt;=I_Parameter!$C$4),1,0))))</f>
        <v/>
      </c>
    </row>
    <row r="273" customFormat="false" ht="15" hidden="false" customHeight="false" outlineLevel="0" collapsed="false">
      <c r="A273" s="37"/>
      <c r="B273" s="44"/>
      <c r="C273" s="44"/>
      <c r="D273" s="44"/>
      <c r="E273" s="44"/>
      <c r="F273" s="44"/>
      <c r="G273" s="44"/>
      <c r="H273" s="34" t="str">
        <f aca="false">IF(G273&lt;&gt;"",G273,IF(F273="","",IFERROR(INDEX(I_Item!$C$6:$C$255,MATCH(F273,I_Item!$A$6:$A$255,0)),"KODE BARU")))</f>
        <v/>
      </c>
      <c r="I273" s="45"/>
      <c r="J273" s="42"/>
      <c r="K273" s="11" t="str">
        <f aca="false">IF(I273="","",I273*J273)</f>
        <v/>
      </c>
      <c r="L273" s="34" t="str">
        <f aca="false">IF(H273="","",IFERROR(INDEX(I_Master!$B$6:$B$85,MATCH(H273,I_Master!$A$6:$A$85,0)),"?"))</f>
        <v/>
      </c>
      <c r="M273" s="46" t="str">
        <f aca="false">IF(I273="","",IF(OR(A273&lt;I_Parameter!$C$5,A273&gt;I_Parameter!$C$6),0,IF(B273="Aktual",1,IF(AND(B273="Rencana",A273&gt;=I_Parameter!$C$4),1,0))))</f>
        <v/>
      </c>
    </row>
    <row r="274" customFormat="false" ht="15" hidden="false" customHeight="false" outlineLevel="0" collapsed="false">
      <c r="A274" s="37"/>
      <c r="B274" s="44"/>
      <c r="C274" s="44"/>
      <c r="D274" s="44"/>
      <c r="E274" s="44"/>
      <c r="F274" s="44"/>
      <c r="G274" s="44"/>
      <c r="H274" s="34" t="str">
        <f aca="false">IF(G274&lt;&gt;"",G274,IF(F274="","",IFERROR(INDEX(I_Item!$C$6:$C$255,MATCH(F274,I_Item!$A$6:$A$255,0)),"KODE BARU")))</f>
        <v/>
      </c>
      <c r="I274" s="45"/>
      <c r="J274" s="42"/>
      <c r="K274" s="11" t="str">
        <f aca="false">IF(I274="","",I274*J274)</f>
        <v/>
      </c>
      <c r="L274" s="34" t="str">
        <f aca="false">IF(H274="","",IFERROR(INDEX(I_Master!$B$6:$B$85,MATCH(H274,I_Master!$A$6:$A$85,0)),"?"))</f>
        <v/>
      </c>
      <c r="M274" s="46" t="str">
        <f aca="false">IF(I274="","",IF(OR(A274&lt;I_Parameter!$C$5,A274&gt;I_Parameter!$C$6),0,IF(B274="Aktual",1,IF(AND(B274="Rencana",A274&gt;=I_Parameter!$C$4),1,0))))</f>
        <v/>
      </c>
    </row>
    <row r="275" customFormat="false" ht="15" hidden="false" customHeight="false" outlineLevel="0" collapsed="false">
      <c r="A275" s="37"/>
      <c r="B275" s="44"/>
      <c r="C275" s="44"/>
      <c r="D275" s="44"/>
      <c r="E275" s="44"/>
      <c r="F275" s="44"/>
      <c r="G275" s="44"/>
      <c r="H275" s="34" t="str">
        <f aca="false">IF(G275&lt;&gt;"",G275,IF(F275="","",IFERROR(INDEX(I_Item!$C$6:$C$255,MATCH(F275,I_Item!$A$6:$A$255,0)),"KODE BARU")))</f>
        <v/>
      </c>
      <c r="I275" s="45"/>
      <c r="J275" s="42"/>
      <c r="K275" s="11" t="str">
        <f aca="false">IF(I275="","",I275*J275)</f>
        <v/>
      </c>
      <c r="L275" s="34" t="str">
        <f aca="false">IF(H275="","",IFERROR(INDEX(I_Master!$B$6:$B$85,MATCH(H275,I_Master!$A$6:$A$85,0)),"?"))</f>
        <v/>
      </c>
      <c r="M275" s="46" t="str">
        <f aca="false">IF(I275="","",IF(OR(A275&lt;I_Parameter!$C$5,A275&gt;I_Parameter!$C$6),0,IF(B275="Aktual",1,IF(AND(B275="Rencana",A275&gt;=I_Parameter!$C$4),1,0))))</f>
        <v/>
      </c>
    </row>
    <row r="276" customFormat="false" ht="15" hidden="false" customHeight="false" outlineLevel="0" collapsed="false">
      <c r="A276" s="37"/>
      <c r="B276" s="44"/>
      <c r="C276" s="44"/>
      <c r="D276" s="44"/>
      <c r="E276" s="44"/>
      <c r="F276" s="44"/>
      <c r="G276" s="44"/>
      <c r="H276" s="34" t="str">
        <f aca="false">IF(G276&lt;&gt;"",G276,IF(F276="","",IFERROR(INDEX(I_Item!$C$6:$C$255,MATCH(F276,I_Item!$A$6:$A$255,0)),"KODE BARU")))</f>
        <v/>
      </c>
      <c r="I276" s="45"/>
      <c r="J276" s="42"/>
      <c r="K276" s="11" t="str">
        <f aca="false">IF(I276="","",I276*J276)</f>
        <v/>
      </c>
      <c r="L276" s="34" t="str">
        <f aca="false">IF(H276="","",IFERROR(INDEX(I_Master!$B$6:$B$85,MATCH(H276,I_Master!$A$6:$A$85,0)),"?"))</f>
        <v/>
      </c>
      <c r="M276" s="46" t="str">
        <f aca="false">IF(I276="","",IF(OR(A276&lt;I_Parameter!$C$5,A276&gt;I_Parameter!$C$6),0,IF(B276="Aktual",1,IF(AND(B276="Rencana",A276&gt;=I_Parameter!$C$4),1,0))))</f>
        <v/>
      </c>
    </row>
    <row r="277" customFormat="false" ht="15" hidden="false" customHeight="false" outlineLevel="0" collapsed="false">
      <c r="A277" s="37"/>
      <c r="B277" s="44"/>
      <c r="C277" s="44"/>
      <c r="D277" s="44"/>
      <c r="E277" s="44"/>
      <c r="F277" s="44"/>
      <c r="G277" s="44"/>
      <c r="H277" s="34" t="str">
        <f aca="false">IF(G277&lt;&gt;"",G277,IF(F277="","",IFERROR(INDEX(I_Item!$C$6:$C$255,MATCH(F277,I_Item!$A$6:$A$255,0)),"KODE BARU")))</f>
        <v/>
      </c>
      <c r="I277" s="45"/>
      <c r="J277" s="42"/>
      <c r="K277" s="11" t="str">
        <f aca="false">IF(I277="","",I277*J277)</f>
        <v/>
      </c>
      <c r="L277" s="34" t="str">
        <f aca="false">IF(H277="","",IFERROR(INDEX(I_Master!$B$6:$B$85,MATCH(H277,I_Master!$A$6:$A$85,0)),"?"))</f>
        <v/>
      </c>
      <c r="M277" s="46" t="str">
        <f aca="false">IF(I277="","",IF(OR(A277&lt;I_Parameter!$C$5,A277&gt;I_Parameter!$C$6),0,IF(B277="Aktual",1,IF(AND(B277="Rencana",A277&gt;=I_Parameter!$C$4),1,0))))</f>
        <v/>
      </c>
    </row>
    <row r="278" customFormat="false" ht="15" hidden="false" customHeight="false" outlineLevel="0" collapsed="false">
      <c r="A278" s="37"/>
      <c r="B278" s="44"/>
      <c r="C278" s="44"/>
      <c r="D278" s="44"/>
      <c r="E278" s="44"/>
      <c r="F278" s="44"/>
      <c r="G278" s="44"/>
      <c r="H278" s="34" t="str">
        <f aca="false">IF(G278&lt;&gt;"",G278,IF(F278="","",IFERROR(INDEX(I_Item!$C$6:$C$255,MATCH(F278,I_Item!$A$6:$A$255,0)),"KODE BARU")))</f>
        <v/>
      </c>
      <c r="I278" s="45"/>
      <c r="J278" s="42"/>
      <c r="K278" s="11" t="str">
        <f aca="false">IF(I278="","",I278*J278)</f>
        <v/>
      </c>
      <c r="L278" s="34" t="str">
        <f aca="false">IF(H278="","",IFERROR(INDEX(I_Master!$B$6:$B$85,MATCH(H278,I_Master!$A$6:$A$85,0)),"?"))</f>
        <v/>
      </c>
      <c r="M278" s="46" t="str">
        <f aca="false">IF(I278="","",IF(OR(A278&lt;I_Parameter!$C$5,A278&gt;I_Parameter!$C$6),0,IF(B278="Aktual",1,IF(AND(B278="Rencana",A278&gt;=I_Parameter!$C$4),1,0))))</f>
        <v/>
      </c>
    </row>
    <row r="279" customFormat="false" ht="15" hidden="false" customHeight="false" outlineLevel="0" collapsed="false">
      <c r="A279" s="37"/>
      <c r="B279" s="44"/>
      <c r="C279" s="44"/>
      <c r="D279" s="44"/>
      <c r="E279" s="44"/>
      <c r="F279" s="44"/>
      <c r="G279" s="44"/>
      <c r="H279" s="34" t="str">
        <f aca="false">IF(G279&lt;&gt;"",G279,IF(F279="","",IFERROR(INDEX(I_Item!$C$6:$C$255,MATCH(F279,I_Item!$A$6:$A$255,0)),"KODE BARU")))</f>
        <v/>
      </c>
      <c r="I279" s="45"/>
      <c r="J279" s="42"/>
      <c r="K279" s="11" t="str">
        <f aca="false">IF(I279="","",I279*J279)</f>
        <v/>
      </c>
      <c r="L279" s="34" t="str">
        <f aca="false">IF(H279="","",IFERROR(INDEX(I_Master!$B$6:$B$85,MATCH(H279,I_Master!$A$6:$A$85,0)),"?"))</f>
        <v/>
      </c>
      <c r="M279" s="46" t="str">
        <f aca="false">IF(I279="","",IF(OR(A279&lt;I_Parameter!$C$5,A279&gt;I_Parameter!$C$6),0,IF(B279="Aktual",1,IF(AND(B279="Rencana",A279&gt;=I_Parameter!$C$4),1,0))))</f>
        <v/>
      </c>
    </row>
    <row r="280" customFormat="false" ht="15" hidden="false" customHeight="false" outlineLevel="0" collapsed="false">
      <c r="A280" s="37"/>
      <c r="B280" s="44"/>
      <c r="C280" s="44"/>
      <c r="D280" s="44"/>
      <c r="E280" s="44"/>
      <c r="F280" s="44"/>
      <c r="G280" s="44"/>
      <c r="H280" s="34" t="str">
        <f aca="false">IF(G280&lt;&gt;"",G280,IF(F280="","",IFERROR(INDEX(I_Item!$C$6:$C$255,MATCH(F280,I_Item!$A$6:$A$255,0)),"KODE BARU")))</f>
        <v/>
      </c>
      <c r="I280" s="45"/>
      <c r="J280" s="42"/>
      <c r="K280" s="11" t="str">
        <f aca="false">IF(I280="","",I280*J280)</f>
        <v/>
      </c>
      <c r="L280" s="34" t="str">
        <f aca="false">IF(H280="","",IFERROR(INDEX(I_Master!$B$6:$B$85,MATCH(H280,I_Master!$A$6:$A$85,0)),"?"))</f>
        <v/>
      </c>
      <c r="M280" s="46" t="str">
        <f aca="false">IF(I280="","",IF(OR(A280&lt;I_Parameter!$C$5,A280&gt;I_Parameter!$C$6),0,IF(B280="Aktual",1,IF(AND(B280="Rencana",A280&gt;=I_Parameter!$C$4),1,0))))</f>
        <v/>
      </c>
    </row>
    <row r="281" customFormat="false" ht="15" hidden="false" customHeight="false" outlineLevel="0" collapsed="false">
      <c r="A281" s="37"/>
      <c r="B281" s="44"/>
      <c r="C281" s="44"/>
      <c r="D281" s="44"/>
      <c r="E281" s="44"/>
      <c r="F281" s="44"/>
      <c r="G281" s="44"/>
      <c r="H281" s="34" t="str">
        <f aca="false">IF(G281&lt;&gt;"",G281,IF(F281="","",IFERROR(INDEX(I_Item!$C$6:$C$255,MATCH(F281,I_Item!$A$6:$A$255,0)),"KODE BARU")))</f>
        <v/>
      </c>
      <c r="I281" s="45"/>
      <c r="J281" s="42"/>
      <c r="K281" s="11" t="str">
        <f aca="false">IF(I281="","",I281*J281)</f>
        <v/>
      </c>
      <c r="L281" s="34" t="str">
        <f aca="false">IF(H281="","",IFERROR(INDEX(I_Master!$B$6:$B$85,MATCH(H281,I_Master!$A$6:$A$85,0)),"?"))</f>
        <v/>
      </c>
      <c r="M281" s="46" t="str">
        <f aca="false">IF(I281="","",IF(OR(A281&lt;I_Parameter!$C$5,A281&gt;I_Parameter!$C$6),0,IF(B281="Aktual",1,IF(AND(B281="Rencana",A281&gt;=I_Parameter!$C$4),1,0))))</f>
        <v/>
      </c>
    </row>
    <row r="282" customFormat="false" ht="15" hidden="false" customHeight="false" outlineLevel="0" collapsed="false">
      <c r="A282" s="37"/>
      <c r="B282" s="44"/>
      <c r="C282" s="44"/>
      <c r="D282" s="44"/>
      <c r="E282" s="44"/>
      <c r="F282" s="44"/>
      <c r="G282" s="44"/>
      <c r="H282" s="34" t="str">
        <f aca="false">IF(G282&lt;&gt;"",G282,IF(F282="","",IFERROR(INDEX(I_Item!$C$6:$C$255,MATCH(F282,I_Item!$A$6:$A$255,0)),"KODE BARU")))</f>
        <v/>
      </c>
      <c r="I282" s="45"/>
      <c r="J282" s="42"/>
      <c r="K282" s="11" t="str">
        <f aca="false">IF(I282="","",I282*J282)</f>
        <v/>
      </c>
      <c r="L282" s="34" t="str">
        <f aca="false">IF(H282="","",IFERROR(INDEX(I_Master!$B$6:$B$85,MATCH(H282,I_Master!$A$6:$A$85,0)),"?"))</f>
        <v/>
      </c>
      <c r="M282" s="46" t="str">
        <f aca="false">IF(I282="","",IF(OR(A282&lt;I_Parameter!$C$5,A282&gt;I_Parameter!$C$6),0,IF(B282="Aktual",1,IF(AND(B282="Rencana",A282&gt;=I_Parameter!$C$4),1,0))))</f>
        <v/>
      </c>
    </row>
    <row r="283" customFormat="false" ht="15" hidden="false" customHeight="false" outlineLevel="0" collapsed="false">
      <c r="A283" s="37"/>
      <c r="B283" s="44"/>
      <c r="C283" s="44"/>
      <c r="D283" s="44"/>
      <c r="E283" s="44"/>
      <c r="F283" s="44"/>
      <c r="G283" s="44"/>
      <c r="H283" s="34" t="str">
        <f aca="false">IF(G283&lt;&gt;"",G283,IF(F283="","",IFERROR(INDEX(I_Item!$C$6:$C$255,MATCH(F283,I_Item!$A$6:$A$255,0)),"KODE BARU")))</f>
        <v/>
      </c>
      <c r="I283" s="45"/>
      <c r="J283" s="42"/>
      <c r="K283" s="11" t="str">
        <f aca="false">IF(I283="","",I283*J283)</f>
        <v/>
      </c>
      <c r="L283" s="34" t="str">
        <f aca="false">IF(H283="","",IFERROR(INDEX(I_Master!$B$6:$B$85,MATCH(H283,I_Master!$A$6:$A$85,0)),"?"))</f>
        <v/>
      </c>
      <c r="M283" s="46" t="str">
        <f aca="false">IF(I283="","",IF(OR(A283&lt;I_Parameter!$C$5,A283&gt;I_Parameter!$C$6),0,IF(B283="Aktual",1,IF(AND(B283="Rencana",A283&gt;=I_Parameter!$C$4),1,0))))</f>
        <v/>
      </c>
    </row>
    <row r="284" customFormat="false" ht="15" hidden="false" customHeight="false" outlineLevel="0" collapsed="false">
      <c r="A284" s="37"/>
      <c r="B284" s="44"/>
      <c r="C284" s="44"/>
      <c r="D284" s="44"/>
      <c r="E284" s="44"/>
      <c r="F284" s="44"/>
      <c r="G284" s="44"/>
      <c r="H284" s="34" t="str">
        <f aca="false">IF(G284&lt;&gt;"",G284,IF(F284="","",IFERROR(INDEX(I_Item!$C$6:$C$255,MATCH(F284,I_Item!$A$6:$A$255,0)),"KODE BARU")))</f>
        <v/>
      </c>
      <c r="I284" s="45"/>
      <c r="J284" s="42"/>
      <c r="K284" s="11" t="str">
        <f aca="false">IF(I284="","",I284*J284)</f>
        <v/>
      </c>
      <c r="L284" s="34" t="str">
        <f aca="false">IF(H284="","",IFERROR(INDEX(I_Master!$B$6:$B$85,MATCH(H284,I_Master!$A$6:$A$85,0)),"?"))</f>
        <v/>
      </c>
      <c r="M284" s="46" t="str">
        <f aca="false">IF(I284="","",IF(OR(A284&lt;I_Parameter!$C$5,A284&gt;I_Parameter!$C$6),0,IF(B284="Aktual",1,IF(AND(B284="Rencana",A284&gt;=I_Parameter!$C$4),1,0))))</f>
        <v/>
      </c>
    </row>
    <row r="285" customFormat="false" ht="15" hidden="false" customHeight="false" outlineLevel="0" collapsed="false">
      <c r="A285" s="37"/>
      <c r="B285" s="44"/>
      <c r="C285" s="44"/>
      <c r="D285" s="44"/>
      <c r="E285" s="44"/>
      <c r="F285" s="44"/>
      <c r="G285" s="44"/>
      <c r="H285" s="34" t="str">
        <f aca="false">IF(G285&lt;&gt;"",G285,IF(F285="","",IFERROR(INDEX(I_Item!$C$6:$C$255,MATCH(F285,I_Item!$A$6:$A$255,0)),"KODE BARU")))</f>
        <v/>
      </c>
      <c r="I285" s="45"/>
      <c r="J285" s="42"/>
      <c r="K285" s="11" t="str">
        <f aca="false">IF(I285="","",I285*J285)</f>
        <v/>
      </c>
      <c r="L285" s="34" t="str">
        <f aca="false">IF(H285="","",IFERROR(INDEX(I_Master!$B$6:$B$85,MATCH(H285,I_Master!$A$6:$A$85,0)),"?"))</f>
        <v/>
      </c>
      <c r="M285" s="46" t="str">
        <f aca="false">IF(I285="","",IF(OR(A285&lt;I_Parameter!$C$5,A285&gt;I_Parameter!$C$6),0,IF(B285="Aktual",1,IF(AND(B285="Rencana",A285&gt;=I_Parameter!$C$4),1,0))))</f>
        <v/>
      </c>
    </row>
    <row r="286" customFormat="false" ht="15" hidden="false" customHeight="false" outlineLevel="0" collapsed="false">
      <c r="A286" s="37"/>
      <c r="B286" s="44"/>
      <c r="C286" s="44"/>
      <c r="D286" s="44"/>
      <c r="E286" s="44"/>
      <c r="F286" s="44"/>
      <c r="G286" s="44"/>
      <c r="H286" s="34" t="str">
        <f aca="false">IF(G286&lt;&gt;"",G286,IF(F286="","",IFERROR(INDEX(I_Item!$C$6:$C$255,MATCH(F286,I_Item!$A$6:$A$255,0)),"KODE BARU")))</f>
        <v/>
      </c>
      <c r="I286" s="45"/>
      <c r="J286" s="42"/>
      <c r="K286" s="11" t="str">
        <f aca="false">IF(I286="","",I286*J286)</f>
        <v/>
      </c>
      <c r="L286" s="34" t="str">
        <f aca="false">IF(H286="","",IFERROR(INDEX(I_Master!$B$6:$B$85,MATCH(H286,I_Master!$A$6:$A$85,0)),"?"))</f>
        <v/>
      </c>
      <c r="M286" s="46" t="str">
        <f aca="false">IF(I286="","",IF(OR(A286&lt;I_Parameter!$C$5,A286&gt;I_Parameter!$C$6),0,IF(B286="Aktual",1,IF(AND(B286="Rencana",A286&gt;=I_Parameter!$C$4),1,0))))</f>
        <v/>
      </c>
    </row>
    <row r="287" customFormat="false" ht="15" hidden="false" customHeight="false" outlineLevel="0" collapsed="false">
      <c r="A287" s="37"/>
      <c r="B287" s="44"/>
      <c r="C287" s="44"/>
      <c r="D287" s="44"/>
      <c r="E287" s="44"/>
      <c r="F287" s="44"/>
      <c r="G287" s="44"/>
      <c r="H287" s="34" t="str">
        <f aca="false">IF(G287&lt;&gt;"",G287,IF(F287="","",IFERROR(INDEX(I_Item!$C$6:$C$255,MATCH(F287,I_Item!$A$6:$A$255,0)),"KODE BARU")))</f>
        <v/>
      </c>
      <c r="I287" s="45"/>
      <c r="J287" s="42"/>
      <c r="K287" s="11" t="str">
        <f aca="false">IF(I287="","",I287*J287)</f>
        <v/>
      </c>
      <c r="L287" s="34" t="str">
        <f aca="false">IF(H287="","",IFERROR(INDEX(I_Master!$B$6:$B$85,MATCH(H287,I_Master!$A$6:$A$85,0)),"?"))</f>
        <v/>
      </c>
      <c r="M287" s="46" t="str">
        <f aca="false">IF(I287="","",IF(OR(A287&lt;I_Parameter!$C$5,A287&gt;I_Parameter!$C$6),0,IF(B287="Aktual",1,IF(AND(B287="Rencana",A287&gt;=I_Parameter!$C$4),1,0))))</f>
        <v/>
      </c>
    </row>
    <row r="288" customFormat="false" ht="15" hidden="false" customHeight="false" outlineLevel="0" collapsed="false">
      <c r="A288" s="37"/>
      <c r="B288" s="44"/>
      <c r="C288" s="44"/>
      <c r="D288" s="44"/>
      <c r="E288" s="44"/>
      <c r="F288" s="44"/>
      <c r="G288" s="44"/>
      <c r="H288" s="34" t="str">
        <f aca="false">IF(G288&lt;&gt;"",G288,IF(F288="","",IFERROR(INDEX(I_Item!$C$6:$C$255,MATCH(F288,I_Item!$A$6:$A$255,0)),"KODE BARU")))</f>
        <v/>
      </c>
      <c r="I288" s="45"/>
      <c r="J288" s="42"/>
      <c r="K288" s="11" t="str">
        <f aca="false">IF(I288="","",I288*J288)</f>
        <v/>
      </c>
      <c r="L288" s="34" t="str">
        <f aca="false">IF(H288="","",IFERROR(INDEX(I_Master!$B$6:$B$85,MATCH(H288,I_Master!$A$6:$A$85,0)),"?"))</f>
        <v/>
      </c>
      <c r="M288" s="46" t="str">
        <f aca="false">IF(I288="","",IF(OR(A288&lt;I_Parameter!$C$5,A288&gt;I_Parameter!$C$6),0,IF(B288="Aktual",1,IF(AND(B288="Rencana",A288&gt;=I_Parameter!$C$4),1,0))))</f>
        <v/>
      </c>
    </row>
    <row r="289" customFormat="false" ht="15" hidden="false" customHeight="false" outlineLevel="0" collapsed="false">
      <c r="A289" s="37"/>
      <c r="B289" s="44"/>
      <c r="C289" s="44"/>
      <c r="D289" s="44"/>
      <c r="E289" s="44"/>
      <c r="F289" s="44"/>
      <c r="G289" s="44"/>
      <c r="H289" s="34" t="str">
        <f aca="false">IF(G289&lt;&gt;"",G289,IF(F289="","",IFERROR(INDEX(I_Item!$C$6:$C$255,MATCH(F289,I_Item!$A$6:$A$255,0)),"KODE BARU")))</f>
        <v/>
      </c>
      <c r="I289" s="45"/>
      <c r="J289" s="42"/>
      <c r="K289" s="11" t="str">
        <f aca="false">IF(I289="","",I289*J289)</f>
        <v/>
      </c>
      <c r="L289" s="34" t="str">
        <f aca="false">IF(H289="","",IFERROR(INDEX(I_Master!$B$6:$B$85,MATCH(H289,I_Master!$A$6:$A$85,0)),"?"))</f>
        <v/>
      </c>
      <c r="M289" s="46" t="str">
        <f aca="false">IF(I289="","",IF(OR(A289&lt;I_Parameter!$C$5,A289&gt;I_Parameter!$C$6),0,IF(B289="Aktual",1,IF(AND(B289="Rencana",A289&gt;=I_Parameter!$C$4),1,0))))</f>
        <v/>
      </c>
    </row>
    <row r="290" customFormat="false" ht="15" hidden="false" customHeight="false" outlineLevel="0" collapsed="false">
      <c r="A290" s="37"/>
      <c r="B290" s="44"/>
      <c r="C290" s="44"/>
      <c r="D290" s="44"/>
      <c r="E290" s="44"/>
      <c r="F290" s="44"/>
      <c r="G290" s="44"/>
      <c r="H290" s="34" t="str">
        <f aca="false">IF(G290&lt;&gt;"",G290,IF(F290="","",IFERROR(INDEX(I_Item!$C$6:$C$255,MATCH(F290,I_Item!$A$6:$A$255,0)),"KODE BARU")))</f>
        <v/>
      </c>
      <c r="I290" s="45"/>
      <c r="J290" s="42"/>
      <c r="K290" s="11" t="str">
        <f aca="false">IF(I290="","",I290*J290)</f>
        <v/>
      </c>
      <c r="L290" s="34" t="str">
        <f aca="false">IF(H290="","",IFERROR(INDEX(I_Master!$B$6:$B$85,MATCH(H290,I_Master!$A$6:$A$85,0)),"?"))</f>
        <v/>
      </c>
      <c r="M290" s="46" t="str">
        <f aca="false">IF(I290="","",IF(OR(A290&lt;I_Parameter!$C$5,A290&gt;I_Parameter!$C$6),0,IF(B290="Aktual",1,IF(AND(B290="Rencana",A290&gt;=I_Parameter!$C$4),1,0))))</f>
        <v/>
      </c>
    </row>
    <row r="291" customFormat="false" ht="15" hidden="false" customHeight="false" outlineLevel="0" collapsed="false">
      <c r="A291" s="37"/>
      <c r="B291" s="44"/>
      <c r="C291" s="44"/>
      <c r="D291" s="44"/>
      <c r="E291" s="44"/>
      <c r="F291" s="44"/>
      <c r="G291" s="44"/>
      <c r="H291" s="34" t="str">
        <f aca="false">IF(G291&lt;&gt;"",G291,IF(F291="","",IFERROR(INDEX(I_Item!$C$6:$C$255,MATCH(F291,I_Item!$A$6:$A$255,0)),"KODE BARU")))</f>
        <v/>
      </c>
      <c r="I291" s="45"/>
      <c r="J291" s="42"/>
      <c r="K291" s="11" t="str">
        <f aca="false">IF(I291="","",I291*J291)</f>
        <v/>
      </c>
      <c r="L291" s="34" t="str">
        <f aca="false">IF(H291="","",IFERROR(INDEX(I_Master!$B$6:$B$85,MATCH(H291,I_Master!$A$6:$A$85,0)),"?"))</f>
        <v/>
      </c>
      <c r="M291" s="46" t="str">
        <f aca="false">IF(I291="","",IF(OR(A291&lt;I_Parameter!$C$5,A291&gt;I_Parameter!$C$6),0,IF(B291="Aktual",1,IF(AND(B291="Rencana",A291&gt;=I_Parameter!$C$4),1,0))))</f>
        <v/>
      </c>
    </row>
    <row r="292" customFormat="false" ht="15" hidden="false" customHeight="false" outlineLevel="0" collapsed="false">
      <c r="A292" s="37"/>
      <c r="B292" s="44"/>
      <c r="C292" s="44"/>
      <c r="D292" s="44"/>
      <c r="E292" s="44"/>
      <c r="F292" s="44"/>
      <c r="G292" s="44"/>
      <c r="H292" s="34" t="str">
        <f aca="false">IF(G292&lt;&gt;"",G292,IF(F292="","",IFERROR(INDEX(I_Item!$C$6:$C$255,MATCH(F292,I_Item!$A$6:$A$255,0)),"KODE BARU")))</f>
        <v/>
      </c>
      <c r="I292" s="45"/>
      <c r="J292" s="42"/>
      <c r="K292" s="11" t="str">
        <f aca="false">IF(I292="","",I292*J292)</f>
        <v/>
      </c>
      <c r="L292" s="34" t="str">
        <f aca="false">IF(H292="","",IFERROR(INDEX(I_Master!$B$6:$B$85,MATCH(H292,I_Master!$A$6:$A$85,0)),"?"))</f>
        <v/>
      </c>
      <c r="M292" s="46" t="str">
        <f aca="false">IF(I292="","",IF(OR(A292&lt;I_Parameter!$C$5,A292&gt;I_Parameter!$C$6),0,IF(B292="Aktual",1,IF(AND(B292="Rencana",A292&gt;=I_Parameter!$C$4),1,0))))</f>
        <v/>
      </c>
    </row>
    <row r="293" customFormat="false" ht="15" hidden="false" customHeight="false" outlineLevel="0" collapsed="false">
      <c r="A293" s="37"/>
      <c r="B293" s="44"/>
      <c r="C293" s="44"/>
      <c r="D293" s="44"/>
      <c r="E293" s="44"/>
      <c r="F293" s="44"/>
      <c r="G293" s="44"/>
      <c r="H293" s="34" t="str">
        <f aca="false">IF(G293&lt;&gt;"",G293,IF(F293="","",IFERROR(INDEX(I_Item!$C$6:$C$255,MATCH(F293,I_Item!$A$6:$A$255,0)),"KODE BARU")))</f>
        <v/>
      </c>
      <c r="I293" s="45"/>
      <c r="J293" s="42"/>
      <c r="K293" s="11" t="str">
        <f aca="false">IF(I293="","",I293*J293)</f>
        <v/>
      </c>
      <c r="L293" s="34" t="str">
        <f aca="false">IF(H293="","",IFERROR(INDEX(I_Master!$B$6:$B$85,MATCH(H293,I_Master!$A$6:$A$85,0)),"?"))</f>
        <v/>
      </c>
      <c r="M293" s="46" t="str">
        <f aca="false">IF(I293="","",IF(OR(A293&lt;I_Parameter!$C$5,A293&gt;I_Parameter!$C$6),0,IF(B293="Aktual",1,IF(AND(B293="Rencana",A293&gt;=I_Parameter!$C$4),1,0))))</f>
        <v/>
      </c>
    </row>
    <row r="294" customFormat="false" ht="15" hidden="false" customHeight="false" outlineLevel="0" collapsed="false">
      <c r="A294" s="37"/>
      <c r="B294" s="44"/>
      <c r="C294" s="44"/>
      <c r="D294" s="44"/>
      <c r="E294" s="44"/>
      <c r="F294" s="44"/>
      <c r="G294" s="44"/>
      <c r="H294" s="34" t="str">
        <f aca="false">IF(G294&lt;&gt;"",G294,IF(F294="","",IFERROR(INDEX(I_Item!$C$6:$C$255,MATCH(F294,I_Item!$A$6:$A$255,0)),"KODE BARU")))</f>
        <v/>
      </c>
      <c r="I294" s="45"/>
      <c r="J294" s="42"/>
      <c r="K294" s="11" t="str">
        <f aca="false">IF(I294="","",I294*J294)</f>
        <v/>
      </c>
      <c r="L294" s="34" t="str">
        <f aca="false">IF(H294="","",IFERROR(INDEX(I_Master!$B$6:$B$85,MATCH(H294,I_Master!$A$6:$A$85,0)),"?"))</f>
        <v/>
      </c>
      <c r="M294" s="46" t="str">
        <f aca="false">IF(I294="","",IF(OR(A294&lt;I_Parameter!$C$5,A294&gt;I_Parameter!$C$6),0,IF(B294="Aktual",1,IF(AND(B294="Rencana",A294&gt;=I_Parameter!$C$4),1,0))))</f>
        <v/>
      </c>
    </row>
    <row r="295" customFormat="false" ht="15" hidden="false" customHeight="false" outlineLevel="0" collapsed="false">
      <c r="A295" s="37"/>
      <c r="B295" s="44"/>
      <c r="C295" s="44"/>
      <c r="D295" s="44"/>
      <c r="E295" s="44"/>
      <c r="F295" s="44"/>
      <c r="G295" s="44"/>
      <c r="H295" s="34" t="str">
        <f aca="false">IF(G295&lt;&gt;"",G295,IF(F295="","",IFERROR(INDEX(I_Item!$C$6:$C$255,MATCH(F295,I_Item!$A$6:$A$255,0)),"KODE BARU")))</f>
        <v/>
      </c>
      <c r="I295" s="45"/>
      <c r="J295" s="42"/>
      <c r="K295" s="11" t="str">
        <f aca="false">IF(I295="","",I295*J295)</f>
        <v/>
      </c>
      <c r="L295" s="34" t="str">
        <f aca="false">IF(H295="","",IFERROR(INDEX(I_Master!$B$6:$B$85,MATCH(H295,I_Master!$A$6:$A$85,0)),"?"))</f>
        <v/>
      </c>
      <c r="M295" s="46" t="str">
        <f aca="false">IF(I295="","",IF(OR(A295&lt;I_Parameter!$C$5,A295&gt;I_Parameter!$C$6),0,IF(B295="Aktual",1,IF(AND(B295="Rencana",A295&gt;=I_Parameter!$C$4),1,0))))</f>
        <v/>
      </c>
    </row>
    <row r="296" customFormat="false" ht="15" hidden="false" customHeight="false" outlineLevel="0" collapsed="false">
      <c r="A296" s="37"/>
      <c r="B296" s="44"/>
      <c r="C296" s="44"/>
      <c r="D296" s="44"/>
      <c r="E296" s="44"/>
      <c r="F296" s="44"/>
      <c r="G296" s="44"/>
      <c r="H296" s="34" t="str">
        <f aca="false">IF(G296&lt;&gt;"",G296,IF(F296="","",IFERROR(INDEX(I_Item!$C$6:$C$255,MATCH(F296,I_Item!$A$6:$A$255,0)),"KODE BARU")))</f>
        <v/>
      </c>
      <c r="I296" s="45"/>
      <c r="J296" s="42"/>
      <c r="K296" s="11" t="str">
        <f aca="false">IF(I296="","",I296*J296)</f>
        <v/>
      </c>
      <c r="L296" s="34" t="str">
        <f aca="false">IF(H296="","",IFERROR(INDEX(I_Master!$B$6:$B$85,MATCH(H296,I_Master!$A$6:$A$85,0)),"?"))</f>
        <v/>
      </c>
      <c r="M296" s="46" t="str">
        <f aca="false">IF(I296="","",IF(OR(A296&lt;I_Parameter!$C$5,A296&gt;I_Parameter!$C$6),0,IF(B296="Aktual",1,IF(AND(B296="Rencana",A296&gt;=I_Parameter!$C$4),1,0))))</f>
        <v/>
      </c>
    </row>
    <row r="297" customFormat="false" ht="15" hidden="false" customHeight="false" outlineLevel="0" collapsed="false">
      <c r="A297" s="37"/>
      <c r="B297" s="44"/>
      <c r="C297" s="44"/>
      <c r="D297" s="44"/>
      <c r="E297" s="44"/>
      <c r="F297" s="44"/>
      <c r="G297" s="44"/>
      <c r="H297" s="34" t="str">
        <f aca="false">IF(G297&lt;&gt;"",G297,IF(F297="","",IFERROR(INDEX(I_Item!$C$6:$C$255,MATCH(F297,I_Item!$A$6:$A$255,0)),"KODE BARU")))</f>
        <v/>
      </c>
      <c r="I297" s="45"/>
      <c r="J297" s="42"/>
      <c r="K297" s="11" t="str">
        <f aca="false">IF(I297="","",I297*J297)</f>
        <v/>
      </c>
      <c r="L297" s="34" t="str">
        <f aca="false">IF(H297="","",IFERROR(INDEX(I_Master!$B$6:$B$85,MATCH(H297,I_Master!$A$6:$A$85,0)),"?"))</f>
        <v/>
      </c>
      <c r="M297" s="46" t="str">
        <f aca="false">IF(I297="","",IF(OR(A297&lt;I_Parameter!$C$5,A297&gt;I_Parameter!$C$6),0,IF(B297="Aktual",1,IF(AND(B297="Rencana",A297&gt;=I_Parameter!$C$4),1,0))))</f>
        <v/>
      </c>
    </row>
    <row r="298" customFormat="false" ht="15" hidden="false" customHeight="false" outlineLevel="0" collapsed="false">
      <c r="A298" s="37"/>
      <c r="B298" s="44"/>
      <c r="C298" s="44"/>
      <c r="D298" s="44"/>
      <c r="E298" s="44"/>
      <c r="F298" s="44"/>
      <c r="G298" s="44"/>
      <c r="H298" s="34" t="str">
        <f aca="false">IF(G298&lt;&gt;"",G298,IF(F298="","",IFERROR(INDEX(I_Item!$C$6:$C$255,MATCH(F298,I_Item!$A$6:$A$255,0)),"KODE BARU")))</f>
        <v/>
      </c>
      <c r="I298" s="45"/>
      <c r="J298" s="42"/>
      <c r="K298" s="11" t="str">
        <f aca="false">IF(I298="","",I298*J298)</f>
        <v/>
      </c>
      <c r="L298" s="34" t="str">
        <f aca="false">IF(H298="","",IFERROR(INDEX(I_Master!$B$6:$B$85,MATCH(H298,I_Master!$A$6:$A$85,0)),"?"))</f>
        <v/>
      </c>
      <c r="M298" s="46" t="str">
        <f aca="false">IF(I298="","",IF(OR(A298&lt;I_Parameter!$C$5,A298&gt;I_Parameter!$C$6),0,IF(B298="Aktual",1,IF(AND(B298="Rencana",A298&gt;=I_Parameter!$C$4),1,0))))</f>
        <v/>
      </c>
    </row>
    <row r="299" customFormat="false" ht="15" hidden="false" customHeight="false" outlineLevel="0" collapsed="false">
      <c r="A299" s="37"/>
      <c r="B299" s="44"/>
      <c r="C299" s="44"/>
      <c r="D299" s="44"/>
      <c r="E299" s="44"/>
      <c r="F299" s="44"/>
      <c r="G299" s="44"/>
      <c r="H299" s="34" t="str">
        <f aca="false">IF(G299&lt;&gt;"",G299,IF(F299="","",IFERROR(INDEX(I_Item!$C$6:$C$255,MATCH(F299,I_Item!$A$6:$A$255,0)),"KODE BARU")))</f>
        <v/>
      </c>
      <c r="I299" s="45"/>
      <c r="J299" s="42"/>
      <c r="K299" s="11" t="str">
        <f aca="false">IF(I299="","",I299*J299)</f>
        <v/>
      </c>
      <c r="L299" s="34" t="str">
        <f aca="false">IF(H299="","",IFERROR(INDEX(I_Master!$B$6:$B$85,MATCH(H299,I_Master!$A$6:$A$85,0)),"?"))</f>
        <v/>
      </c>
      <c r="M299" s="46" t="str">
        <f aca="false">IF(I299="","",IF(OR(A299&lt;I_Parameter!$C$5,A299&gt;I_Parameter!$C$6),0,IF(B299="Aktual",1,IF(AND(B299="Rencana",A299&gt;=I_Parameter!$C$4),1,0))))</f>
        <v/>
      </c>
    </row>
    <row r="300" customFormat="false" ht="15" hidden="false" customHeight="false" outlineLevel="0" collapsed="false">
      <c r="A300" s="37"/>
      <c r="B300" s="44"/>
      <c r="C300" s="44"/>
      <c r="D300" s="44"/>
      <c r="E300" s="44"/>
      <c r="F300" s="44"/>
      <c r="G300" s="44"/>
      <c r="H300" s="34" t="str">
        <f aca="false">IF(G300&lt;&gt;"",G300,IF(F300="","",IFERROR(INDEX(I_Item!$C$6:$C$255,MATCH(F300,I_Item!$A$6:$A$255,0)),"KODE BARU")))</f>
        <v/>
      </c>
      <c r="I300" s="45"/>
      <c r="J300" s="42"/>
      <c r="K300" s="11" t="str">
        <f aca="false">IF(I300="","",I300*J300)</f>
        <v/>
      </c>
      <c r="L300" s="34" t="str">
        <f aca="false">IF(H300="","",IFERROR(INDEX(I_Master!$B$6:$B$85,MATCH(H300,I_Master!$A$6:$A$85,0)),"?"))</f>
        <v/>
      </c>
      <c r="M300" s="46" t="str">
        <f aca="false">IF(I300="","",IF(OR(A300&lt;I_Parameter!$C$5,A300&gt;I_Parameter!$C$6),0,IF(B300="Aktual",1,IF(AND(B300="Rencana",A300&gt;=I_Parameter!$C$4),1,0))))</f>
        <v/>
      </c>
    </row>
    <row r="301" customFormat="false" ht="15" hidden="false" customHeight="false" outlineLevel="0" collapsed="false">
      <c r="A301" s="37"/>
      <c r="B301" s="44"/>
      <c r="C301" s="44"/>
      <c r="D301" s="44"/>
      <c r="E301" s="44"/>
      <c r="F301" s="44"/>
      <c r="G301" s="44"/>
      <c r="H301" s="34" t="str">
        <f aca="false">IF(G301&lt;&gt;"",G301,IF(F301="","",IFERROR(INDEX(I_Item!$C$6:$C$255,MATCH(F301,I_Item!$A$6:$A$255,0)),"KODE BARU")))</f>
        <v/>
      </c>
      <c r="I301" s="45"/>
      <c r="J301" s="42"/>
      <c r="K301" s="11" t="str">
        <f aca="false">IF(I301="","",I301*J301)</f>
        <v/>
      </c>
      <c r="L301" s="34" t="str">
        <f aca="false">IF(H301="","",IFERROR(INDEX(I_Master!$B$6:$B$85,MATCH(H301,I_Master!$A$6:$A$85,0)),"?"))</f>
        <v/>
      </c>
      <c r="M301" s="46" t="str">
        <f aca="false">IF(I301="","",IF(OR(A301&lt;I_Parameter!$C$5,A301&gt;I_Parameter!$C$6),0,IF(B301="Aktual",1,IF(AND(B301="Rencana",A301&gt;=I_Parameter!$C$4),1,0))))</f>
        <v/>
      </c>
    </row>
    <row r="302" customFormat="false" ht="15" hidden="false" customHeight="false" outlineLevel="0" collapsed="false">
      <c r="A302" s="37"/>
      <c r="B302" s="44"/>
      <c r="C302" s="44"/>
      <c r="D302" s="44"/>
      <c r="E302" s="44"/>
      <c r="F302" s="44"/>
      <c r="G302" s="44"/>
      <c r="H302" s="34" t="str">
        <f aca="false">IF(G302&lt;&gt;"",G302,IF(F302="","",IFERROR(INDEX(I_Item!$C$6:$C$255,MATCH(F302,I_Item!$A$6:$A$255,0)),"KODE BARU")))</f>
        <v/>
      </c>
      <c r="I302" s="45"/>
      <c r="J302" s="42"/>
      <c r="K302" s="11" t="str">
        <f aca="false">IF(I302="","",I302*J302)</f>
        <v/>
      </c>
      <c r="L302" s="34" t="str">
        <f aca="false">IF(H302="","",IFERROR(INDEX(I_Master!$B$6:$B$85,MATCH(H302,I_Master!$A$6:$A$85,0)),"?"))</f>
        <v/>
      </c>
      <c r="M302" s="46" t="str">
        <f aca="false">IF(I302="","",IF(OR(A302&lt;I_Parameter!$C$5,A302&gt;I_Parameter!$C$6),0,IF(B302="Aktual",1,IF(AND(B302="Rencana",A302&gt;=I_Parameter!$C$4),1,0))))</f>
        <v/>
      </c>
    </row>
    <row r="303" customFormat="false" ht="15" hidden="false" customHeight="false" outlineLevel="0" collapsed="false">
      <c r="A303" s="37"/>
      <c r="B303" s="44"/>
      <c r="C303" s="44"/>
      <c r="D303" s="44"/>
      <c r="E303" s="44"/>
      <c r="F303" s="44"/>
      <c r="G303" s="44"/>
      <c r="H303" s="34" t="str">
        <f aca="false">IF(G303&lt;&gt;"",G303,IF(F303="","",IFERROR(INDEX(I_Item!$C$6:$C$255,MATCH(F303,I_Item!$A$6:$A$255,0)),"KODE BARU")))</f>
        <v/>
      </c>
      <c r="I303" s="45"/>
      <c r="J303" s="42"/>
      <c r="K303" s="11" t="str">
        <f aca="false">IF(I303="","",I303*J303)</f>
        <v/>
      </c>
      <c r="L303" s="34" t="str">
        <f aca="false">IF(H303="","",IFERROR(INDEX(I_Master!$B$6:$B$85,MATCH(H303,I_Master!$A$6:$A$85,0)),"?"))</f>
        <v/>
      </c>
      <c r="M303" s="46" t="str">
        <f aca="false">IF(I303="","",IF(OR(A303&lt;I_Parameter!$C$5,A303&gt;I_Parameter!$C$6),0,IF(B303="Aktual",1,IF(AND(B303="Rencana",A303&gt;=I_Parameter!$C$4),1,0))))</f>
        <v/>
      </c>
    </row>
    <row r="304" customFormat="false" ht="15" hidden="false" customHeight="false" outlineLevel="0" collapsed="false">
      <c r="A304" s="37"/>
      <c r="B304" s="44"/>
      <c r="C304" s="44"/>
      <c r="D304" s="44"/>
      <c r="E304" s="44"/>
      <c r="F304" s="44"/>
      <c r="G304" s="44"/>
      <c r="H304" s="34" t="str">
        <f aca="false">IF(G304&lt;&gt;"",G304,IF(F304="","",IFERROR(INDEX(I_Item!$C$6:$C$255,MATCH(F304,I_Item!$A$6:$A$255,0)),"KODE BARU")))</f>
        <v/>
      </c>
      <c r="I304" s="45"/>
      <c r="J304" s="42"/>
      <c r="K304" s="11" t="str">
        <f aca="false">IF(I304="","",I304*J304)</f>
        <v/>
      </c>
      <c r="L304" s="34" t="str">
        <f aca="false">IF(H304="","",IFERROR(INDEX(I_Master!$B$6:$B$85,MATCH(H304,I_Master!$A$6:$A$85,0)),"?"))</f>
        <v/>
      </c>
      <c r="M304" s="46" t="str">
        <f aca="false">IF(I304="","",IF(OR(A304&lt;I_Parameter!$C$5,A304&gt;I_Parameter!$C$6),0,IF(B304="Aktual",1,IF(AND(B304="Rencana",A304&gt;=I_Parameter!$C$4),1,0))))</f>
        <v/>
      </c>
    </row>
    <row r="305" customFormat="false" ht="15" hidden="false" customHeight="false" outlineLevel="0" collapsed="false">
      <c r="A305" s="37"/>
      <c r="B305" s="44"/>
      <c r="C305" s="44"/>
      <c r="D305" s="44"/>
      <c r="E305" s="44"/>
      <c r="F305" s="44"/>
      <c r="G305" s="44"/>
      <c r="H305" s="34" t="str">
        <f aca="false">IF(G305&lt;&gt;"",G305,IF(F305="","",IFERROR(INDEX(I_Item!$C$6:$C$255,MATCH(F305,I_Item!$A$6:$A$255,0)),"KODE BARU")))</f>
        <v/>
      </c>
      <c r="I305" s="45"/>
      <c r="J305" s="42"/>
      <c r="K305" s="11" t="str">
        <f aca="false">IF(I305="","",I305*J305)</f>
        <v/>
      </c>
      <c r="L305" s="34" t="str">
        <f aca="false">IF(H305="","",IFERROR(INDEX(I_Master!$B$6:$B$85,MATCH(H305,I_Master!$A$6:$A$85,0)),"?"))</f>
        <v/>
      </c>
      <c r="M305" s="46" t="str">
        <f aca="false">IF(I305="","",IF(OR(A305&lt;I_Parameter!$C$5,A305&gt;I_Parameter!$C$6),0,IF(B305="Aktual",1,IF(AND(B305="Rencana",A305&gt;=I_Parameter!$C$4),1,0))))</f>
        <v/>
      </c>
    </row>
    <row r="306" customFormat="false" ht="15" hidden="false" customHeight="false" outlineLevel="0" collapsed="false">
      <c r="A306" s="37"/>
      <c r="B306" s="44"/>
      <c r="C306" s="44"/>
      <c r="D306" s="44"/>
      <c r="E306" s="44"/>
      <c r="F306" s="44"/>
      <c r="G306" s="44"/>
      <c r="H306" s="34" t="str">
        <f aca="false">IF(G306&lt;&gt;"",G306,IF(F306="","",IFERROR(INDEX(I_Item!$C$6:$C$255,MATCH(F306,I_Item!$A$6:$A$255,0)),"KODE BARU")))</f>
        <v/>
      </c>
      <c r="I306" s="45"/>
      <c r="J306" s="42"/>
      <c r="K306" s="11" t="str">
        <f aca="false">IF(I306="","",I306*J306)</f>
        <v/>
      </c>
      <c r="L306" s="34" t="str">
        <f aca="false">IF(H306="","",IFERROR(INDEX(I_Master!$B$6:$B$85,MATCH(H306,I_Master!$A$6:$A$85,0)),"?"))</f>
        <v/>
      </c>
      <c r="M306" s="46" t="str">
        <f aca="false">IF(I306="","",IF(OR(A306&lt;I_Parameter!$C$5,A306&gt;I_Parameter!$C$6),0,IF(B306="Aktual",1,IF(AND(B306="Rencana",A306&gt;=I_Parameter!$C$4),1,0))))</f>
        <v/>
      </c>
    </row>
    <row r="307" customFormat="false" ht="15" hidden="false" customHeight="false" outlineLevel="0" collapsed="false">
      <c r="A307" s="37"/>
      <c r="B307" s="44"/>
      <c r="C307" s="44"/>
      <c r="D307" s="44"/>
      <c r="E307" s="44"/>
      <c r="F307" s="44"/>
      <c r="G307" s="44"/>
      <c r="H307" s="34" t="str">
        <f aca="false">IF(G307&lt;&gt;"",G307,IF(F307="","",IFERROR(INDEX(I_Item!$C$6:$C$255,MATCH(F307,I_Item!$A$6:$A$255,0)),"KODE BARU")))</f>
        <v/>
      </c>
      <c r="I307" s="45"/>
      <c r="J307" s="42"/>
      <c r="K307" s="11" t="str">
        <f aca="false">IF(I307="","",I307*J307)</f>
        <v/>
      </c>
      <c r="L307" s="34" t="str">
        <f aca="false">IF(H307="","",IFERROR(INDEX(I_Master!$B$6:$B$85,MATCH(H307,I_Master!$A$6:$A$85,0)),"?"))</f>
        <v/>
      </c>
      <c r="M307" s="46" t="str">
        <f aca="false">IF(I307="","",IF(OR(A307&lt;I_Parameter!$C$5,A307&gt;I_Parameter!$C$6),0,IF(B307="Aktual",1,IF(AND(B307="Rencana",A307&gt;=I_Parameter!$C$4),1,0))))</f>
        <v/>
      </c>
    </row>
    <row r="308" customFormat="false" ht="15" hidden="false" customHeight="false" outlineLevel="0" collapsed="false">
      <c r="A308" s="37"/>
      <c r="B308" s="44"/>
      <c r="C308" s="44"/>
      <c r="D308" s="44"/>
      <c r="E308" s="44"/>
      <c r="F308" s="44"/>
      <c r="G308" s="44"/>
      <c r="H308" s="34" t="str">
        <f aca="false">IF(G308&lt;&gt;"",G308,IF(F308="","",IFERROR(INDEX(I_Item!$C$6:$C$255,MATCH(F308,I_Item!$A$6:$A$255,0)),"KODE BARU")))</f>
        <v/>
      </c>
      <c r="I308" s="45"/>
      <c r="J308" s="42"/>
      <c r="K308" s="11" t="str">
        <f aca="false">IF(I308="","",I308*J308)</f>
        <v/>
      </c>
      <c r="L308" s="34" t="str">
        <f aca="false">IF(H308="","",IFERROR(INDEX(I_Master!$B$6:$B$85,MATCH(H308,I_Master!$A$6:$A$85,0)),"?"))</f>
        <v/>
      </c>
      <c r="M308" s="46" t="str">
        <f aca="false">IF(I308="","",IF(OR(A308&lt;I_Parameter!$C$5,A308&gt;I_Parameter!$C$6),0,IF(B308="Aktual",1,IF(AND(B308="Rencana",A308&gt;=I_Parameter!$C$4),1,0))))</f>
        <v/>
      </c>
    </row>
    <row r="309" customFormat="false" ht="15" hidden="false" customHeight="false" outlineLevel="0" collapsed="false">
      <c r="A309" s="37"/>
      <c r="B309" s="44"/>
      <c r="C309" s="44"/>
      <c r="D309" s="44"/>
      <c r="E309" s="44"/>
      <c r="F309" s="44"/>
      <c r="G309" s="44"/>
      <c r="H309" s="34" t="str">
        <f aca="false">IF(G309&lt;&gt;"",G309,IF(F309="","",IFERROR(INDEX(I_Item!$C$6:$C$255,MATCH(F309,I_Item!$A$6:$A$255,0)),"KODE BARU")))</f>
        <v/>
      </c>
      <c r="I309" s="45"/>
      <c r="J309" s="42"/>
      <c r="K309" s="11" t="str">
        <f aca="false">IF(I309="","",I309*J309)</f>
        <v/>
      </c>
      <c r="L309" s="34" t="str">
        <f aca="false">IF(H309="","",IFERROR(INDEX(I_Master!$B$6:$B$85,MATCH(H309,I_Master!$A$6:$A$85,0)),"?"))</f>
        <v/>
      </c>
      <c r="M309" s="46" t="str">
        <f aca="false">IF(I309="","",IF(OR(A309&lt;I_Parameter!$C$5,A309&gt;I_Parameter!$C$6),0,IF(B309="Aktual",1,IF(AND(B309="Rencana",A309&gt;=I_Parameter!$C$4),1,0))))</f>
        <v/>
      </c>
    </row>
    <row r="310" customFormat="false" ht="15" hidden="false" customHeight="false" outlineLevel="0" collapsed="false">
      <c r="A310" s="37"/>
      <c r="B310" s="44"/>
      <c r="C310" s="44"/>
      <c r="D310" s="44"/>
      <c r="E310" s="44"/>
      <c r="F310" s="44"/>
      <c r="G310" s="44"/>
      <c r="H310" s="34" t="str">
        <f aca="false">IF(G310&lt;&gt;"",G310,IF(F310="","",IFERROR(INDEX(I_Item!$C$6:$C$255,MATCH(F310,I_Item!$A$6:$A$255,0)),"KODE BARU")))</f>
        <v/>
      </c>
      <c r="I310" s="45"/>
      <c r="J310" s="42"/>
      <c r="K310" s="11" t="str">
        <f aca="false">IF(I310="","",I310*J310)</f>
        <v/>
      </c>
      <c r="L310" s="34" t="str">
        <f aca="false">IF(H310="","",IFERROR(INDEX(I_Master!$B$6:$B$85,MATCH(H310,I_Master!$A$6:$A$85,0)),"?"))</f>
        <v/>
      </c>
      <c r="M310" s="46" t="str">
        <f aca="false">IF(I310="","",IF(OR(A310&lt;I_Parameter!$C$5,A310&gt;I_Parameter!$C$6),0,IF(B310="Aktual",1,IF(AND(B310="Rencana",A310&gt;=I_Parameter!$C$4),1,0))))</f>
        <v/>
      </c>
    </row>
    <row r="311" customFormat="false" ht="15" hidden="false" customHeight="false" outlineLevel="0" collapsed="false">
      <c r="A311" s="37"/>
      <c r="B311" s="44"/>
      <c r="C311" s="44"/>
      <c r="D311" s="44"/>
      <c r="E311" s="44"/>
      <c r="F311" s="44"/>
      <c r="G311" s="44"/>
      <c r="H311" s="34" t="str">
        <f aca="false">IF(G311&lt;&gt;"",G311,IF(F311="","",IFERROR(INDEX(I_Item!$C$6:$C$255,MATCH(F311,I_Item!$A$6:$A$255,0)),"KODE BARU")))</f>
        <v/>
      </c>
      <c r="I311" s="45"/>
      <c r="J311" s="42"/>
      <c r="K311" s="11" t="str">
        <f aca="false">IF(I311="","",I311*J311)</f>
        <v/>
      </c>
      <c r="L311" s="34" t="str">
        <f aca="false">IF(H311="","",IFERROR(INDEX(I_Master!$B$6:$B$85,MATCH(H311,I_Master!$A$6:$A$85,0)),"?"))</f>
        <v/>
      </c>
      <c r="M311" s="46" t="str">
        <f aca="false">IF(I311="","",IF(OR(A311&lt;I_Parameter!$C$5,A311&gt;I_Parameter!$C$6),0,IF(B311="Aktual",1,IF(AND(B311="Rencana",A311&gt;=I_Parameter!$C$4),1,0))))</f>
        <v/>
      </c>
    </row>
    <row r="312" customFormat="false" ht="15" hidden="false" customHeight="false" outlineLevel="0" collapsed="false">
      <c r="A312" s="37"/>
      <c r="B312" s="44"/>
      <c r="C312" s="44"/>
      <c r="D312" s="44"/>
      <c r="E312" s="44"/>
      <c r="F312" s="44"/>
      <c r="G312" s="44"/>
      <c r="H312" s="34" t="str">
        <f aca="false">IF(G312&lt;&gt;"",G312,IF(F312="","",IFERROR(INDEX(I_Item!$C$6:$C$255,MATCH(F312,I_Item!$A$6:$A$255,0)),"KODE BARU")))</f>
        <v/>
      </c>
      <c r="I312" s="45"/>
      <c r="J312" s="42"/>
      <c r="K312" s="11" t="str">
        <f aca="false">IF(I312="","",I312*J312)</f>
        <v/>
      </c>
      <c r="L312" s="34" t="str">
        <f aca="false">IF(H312="","",IFERROR(INDEX(I_Master!$B$6:$B$85,MATCH(H312,I_Master!$A$6:$A$85,0)),"?"))</f>
        <v/>
      </c>
      <c r="M312" s="46" t="str">
        <f aca="false">IF(I312="","",IF(OR(A312&lt;I_Parameter!$C$5,A312&gt;I_Parameter!$C$6),0,IF(B312="Aktual",1,IF(AND(B312="Rencana",A312&gt;=I_Parameter!$C$4),1,0))))</f>
        <v/>
      </c>
    </row>
    <row r="313" customFormat="false" ht="15" hidden="false" customHeight="false" outlineLevel="0" collapsed="false">
      <c r="A313" s="37"/>
      <c r="B313" s="44"/>
      <c r="C313" s="44"/>
      <c r="D313" s="44"/>
      <c r="E313" s="44"/>
      <c r="F313" s="44"/>
      <c r="G313" s="44"/>
      <c r="H313" s="34" t="str">
        <f aca="false">IF(G313&lt;&gt;"",G313,IF(F313="","",IFERROR(INDEX(I_Item!$C$6:$C$255,MATCH(F313,I_Item!$A$6:$A$255,0)),"KODE BARU")))</f>
        <v/>
      </c>
      <c r="I313" s="45"/>
      <c r="J313" s="42"/>
      <c r="K313" s="11" t="str">
        <f aca="false">IF(I313="","",I313*J313)</f>
        <v/>
      </c>
      <c r="L313" s="34" t="str">
        <f aca="false">IF(H313="","",IFERROR(INDEX(I_Master!$B$6:$B$85,MATCH(H313,I_Master!$A$6:$A$85,0)),"?"))</f>
        <v/>
      </c>
      <c r="M313" s="46" t="str">
        <f aca="false">IF(I313="","",IF(OR(A313&lt;I_Parameter!$C$5,A313&gt;I_Parameter!$C$6),0,IF(B313="Aktual",1,IF(AND(B313="Rencana",A313&gt;=I_Parameter!$C$4),1,0))))</f>
        <v/>
      </c>
    </row>
    <row r="314" customFormat="false" ht="15" hidden="false" customHeight="false" outlineLevel="0" collapsed="false">
      <c r="A314" s="37"/>
      <c r="B314" s="44"/>
      <c r="C314" s="44"/>
      <c r="D314" s="44"/>
      <c r="E314" s="44"/>
      <c r="F314" s="44"/>
      <c r="G314" s="44"/>
      <c r="H314" s="34" t="str">
        <f aca="false">IF(G314&lt;&gt;"",G314,IF(F314="","",IFERROR(INDEX(I_Item!$C$6:$C$255,MATCH(F314,I_Item!$A$6:$A$255,0)),"KODE BARU")))</f>
        <v/>
      </c>
      <c r="I314" s="45"/>
      <c r="J314" s="42"/>
      <c r="K314" s="11" t="str">
        <f aca="false">IF(I314="","",I314*J314)</f>
        <v/>
      </c>
      <c r="L314" s="34" t="str">
        <f aca="false">IF(H314="","",IFERROR(INDEX(I_Master!$B$6:$B$85,MATCH(H314,I_Master!$A$6:$A$85,0)),"?"))</f>
        <v/>
      </c>
      <c r="M314" s="46" t="str">
        <f aca="false">IF(I314="","",IF(OR(A314&lt;I_Parameter!$C$5,A314&gt;I_Parameter!$C$6),0,IF(B314="Aktual",1,IF(AND(B314="Rencana",A314&gt;=I_Parameter!$C$4),1,0))))</f>
        <v/>
      </c>
    </row>
    <row r="315" customFormat="false" ht="15" hidden="false" customHeight="false" outlineLevel="0" collapsed="false">
      <c r="A315" s="37"/>
      <c r="B315" s="44"/>
      <c r="C315" s="44"/>
      <c r="D315" s="44"/>
      <c r="E315" s="44"/>
      <c r="F315" s="44"/>
      <c r="G315" s="44"/>
      <c r="H315" s="34" t="str">
        <f aca="false">IF(G315&lt;&gt;"",G315,IF(F315="","",IFERROR(INDEX(I_Item!$C$6:$C$255,MATCH(F315,I_Item!$A$6:$A$255,0)),"KODE BARU")))</f>
        <v/>
      </c>
      <c r="I315" s="45"/>
      <c r="J315" s="42"/>
      <c r="K315" s="11" t="str">
        <f aca="false">IF(I315="","",I315*J315)</f>
        <v/>
      </c>
      <c r="L315" s="34" t="str">
        <f aca="false">IF(H315="","",IFERROR(INDEX(I_Master!$B$6:$B$85,MATCH(H315,I_Master!$A$6:$A$85,0)),"?"))</f>
        <v/>
      </c>
      <c r="M315" s="46" t="str">
        <f aca="false">IF(I315="","",IF(OR(A315&lt;I_Parameter!$C$5,A315&gt;I_Parameter!$C$6),0,IF(B315="Aktual",1,IF(AND(B315="Rencana",A315&gt;=I_Parameter!$C$4),1,0))))</f>
        <v/>
      </c>
    </row>
    <row r="316" customFormat="false" ht="15" hidden="false" customHeight="false" outlineLevel="0" collapsed="false">
      <c r="A316" s="37"/>
      <c r="B316" s="44"/>
      <c r="C316" s="44"/>
      <c r="D316" s="44"/>
      <c r="E316" s="44"/>
      <c r="F316" s="44"/>
      <c r="G316" s="44"/>
      <c r="H316" s="34" t="str">
        <f aca="false">IF(G316&lt;&gt;"",G316,IF(F316="","",IFERROR(INDEX(I_Item!$C$6:$C$255,MATCH(F316,I_Item!$A$6:$A$255,0)),"KODE BARU")))</f>
        <v/>
      </c>
      <c r="I316" s="45"/>
      <c r="J316" s="42"/>
      <c r="K316" s="11" t="str">
        <f aca="false">IF(I316="","",I316*J316)</f>
        <v/>
      </c>
      <c r="L316" s="34" t="str">
        <f aca="false">IF(H316="","",IFERROR(INDEX(I_Master!$B$6:$B$85,MATCH(H316,I_Master!$A$6:$A$85,0)),"?"))</f>
        <v/>
      </c>
      <c r="M316" s="46" t="str">
        <f aca="false">IF(I316="","",IF(OR(A316&lt;I_Parameter!$C$5,A316&gt;I_Parameter!$C$6),0,IF(B316="Aktual",1,IF(AND(B316="Rencana",A316&gt;=I_Parameter!$C$4),1,0))))</f>
        <v/>
      </c>
    </row>
    <row r="317" customFormat="false" ht="15" hidden="false" customHeight="false" outlineLevel="0" collapsed="false">
      <c r="A317" s="37"/>
      <c r="B317" s="44"/>
      <c r="C317" s="44"/>
      <c r="D317" s="44"/>
      <c r="E317" s="44"/>
      <c r="F317" s="44"/>
      <c r="G317" s="44"/>
      <c r="H317" s="34" t="str">
        <f aca="false">IF(G317&lt;&gt;"",G317,IF(F317="","",IFERROR(INDEX(I_Item!$C$6:$C$255,MATCH(F317,I_Item!$A$6:$A$255,0)),"KODE BARU")))</f>
        <v/>
      </c>
      <c r="I317" s="45"/>
      <c r="J317" s="42"/>
      <c r="K317" s="11" t="str">
        <f aca="false">IF(I317="","",I317*J317)</f>
        <v/>
      </c>
      <c r="L317" s="34" t="str">
        <f aca="false">IF(H317="","",IFERROR(INDEX(I_Master!$B$6:$B$85,MATCH(H317,I_Master!$A$6:$A$85,0)),"?"))</f>
        <v/>
      </c>
      <c r="M317" s="46" t="str">
        <f aca="false">IF(I317="","",IF(OR(A317&lt;I_Parameter!$C$5,A317&gt;I_Parameter!$C$6),0,IF(B317="Aktual",1,IF(AND(B317="Rencana",A317&gt;=I_Parameter!$C$4),1,0))))</f>
        <v/>
      </c>
    </row>
    <row r="318" customFormat="false" ht="15" hidden="false" customHeight="false" outlineLevel="0" collapsed="false">
      <c r="A318" s="37"/>
      <c r="B318" s="44"/>
      <c r="C318" s="44"/>
      <c r="D318" s="44"/>
      <c r="E318" s="44"/>
      <c r="F318" s="44"/>
      <c r="G318" s="44"/>
      <c r="H318" s="34" t="str">
        <f aca="false">IF(G318&lt;&gt;"",G318,IF(F318="","",IFERROR(INDEX(I_Item!$C$6:$C$255,MATCH(F318,I_Item!$A$6:$A$255,0)),"KODE BARU")))</f>
        <v/>
      </c>
      <c r="I318" s="45"/>
      <c r="J318" s="42"/>
      <c r="K318" s="11" t="str">
        <f aca="false">IF(I318="","",I318*J318)</f>
        <v/>
      </c>
      <c r="L318" s="34" t="str">
        <f aca="false">IF(H318="","",IFERROR(INDEX(I_Master!$B$6:$B$85,MATCH(H318,I_Master!$A$6:$A$85,0)),"?"))</f>
        <v/>
      </c>
      <c r="M318" s="46" t="str">
        <f aca="false">IF(I318="","",IF(OR(A318&lt;I_Parameter!$C$5,A318&gt;I_Parameter!$C$6),0,IF(B318="Aktual",1,IF(AND(B318="Rencana",A318&gt;=I_Parameter!$C$4),1,0))))</f>
        <v/>
      </c>
    </row>
    <row r="319" customFormat="false" ht="15" hidden="false" customHeight="false" outlineLevel="0" collapsed="false">
      <c r="A319" s="37"/>
      <c r="B319" s="44"/>
      <c r="C319" s="44"/>
      <c r="D319" s="44"/>
      <c r="E319" s="44"/>
      <c r="F319" s="44"/>
      <c r="G319" s="44"/>
      <c r="H319" s="34" t="str">
        <f aca="false">IF(G319&lt;&gt;"",G319,IF(F319="","",IFERROR(INDEX(I_Item!$C$6:$C$255,MATCH(F319,I_Item!$A$6:$A$255,0)),"KODE BARU")))</f>
        <v/>
      </c>
      <c r="I319" s="45"/>
      <c r="J319" s="42"/>
      <c r="K319" s="11" t="str">
        <f aca="false">IF(I319="","",I319*J319)</f>
        <v/>
      </c>
      <c r="L319" s="34" t="str">
        <f aca="false">IF(H319="","",IFERROR(INDEX(I_Master!$B$6:$B$85,MATCH(H319,I_Master!$A$6:$A$85,0)),"?"))</f>
        <v/>
      </c>
      <c r="M319" s="46" t="str">
        <f aca="false">IF(I319="","",IF(OR(A319&lt;I_Parameter!$C$5,A319&gt;I_Parameter!$C$6),0,IF(B319="Aktual",1,IF(AND(B319="Rencana",A319&gt;=I_Parameter!$C$4),1,0))))</f>
        <v/>
      </c>
    </row>
    <row r="320" customFormat="false" ht="15" hidden="false" customHeight="false" outlineLevel="0" collapsed="false">
      <c r="A320" s="37"/>
      <c r="B320" s="44"/>
      <c r="C320" s="44"/>
      <c r="D320" s="44"/>
      <c r="E320" s="44"/>
      <c r="F320" s="44"/>
      <c r="G320" s="44"/>
      <c r="H320" s="34" t="str">
        <f aca="false">IF(G320&lt;&gt;"",G320,IF(F320="","",IFERROR(INDEX(I_Item!$C$6:$C$255,MATCH(F320,I_Item!$A$6:$A$255,0)),"KODE BARU")))</f>
        <v/>
      </c>
      <c r="I320" s="45"/>
      <c r="J320" s="42"/>
      <c r="K320" s="11" t="str">
        <f aca="false">IF(I320="","",I320*J320)</f>
        <v/>
      </c>
      <c r="L320" s="34" t="str">
        <f aca="false">IF(H320="","",IFERROR(INDEX(I_Master!$B$6:$B$85,MATCH(H320,I_Master!$A$6:$A$85,0)),"?"))</f>
        <v/>
      </c>
      <c r="M320" s="46" t="str">
        <f aca="false">IF(I320="","",IF(OR(A320&lt;I_Parameter!$C$5,A320&gt;I_Parameter!$C$6),0,IF(B320="Aktual",1,IF(AND(B320="Rencana",A320&gt;=I_Parameter!$C$4),1,0))))</f>
        <v/>
      </c>
    </row>
    <row r="321" customFormat="false" ht="15" hidden="false" customHeight="false" outlineLevel="0" collapsed="false">
      <c r="A321" s="37"/>
      <c r="B321" s="44"/>
      <c r="C321" s="44"/>
      <c r="D321" s="44"/>
      <c r="E321" s="44"/>
      <c r="F321" s="44"/>
      <c r="G321" s="44"/>
      <c r="H321" s="34" t="str">
        <f aca="false">IF(G321&lt;&gt;"",G321,IF(F321="","",IFERROR(INDEX(I_Item!$C$6:$C$255,MATCH(F321,I_Item!$A$6:$A$255,0)),"KODE BARU")))</f>
        <v/>
      </c>
      <c r="I321" s="45"/>
      <c r="J321" s="42"/>
      <c r="K321" s="11" t="str">
        <f aca="false">IF(I321="","",I321*J321)</f>
        <v/>
      </c>
      <c r="L321" s="34" t="str">
        <f aca="false">IF(H321="","",IFERROR(INDEX(I_Master!$B$6:$B$85,MATCH(H321,I_Master!$A$6:$A$85,0)),"?"))</f>
        <v/>
      </c>
      <c r="M321" s="46" t="str">
        <f aca="false">IF(I321="","",IF(OR(A321&lt;I_Parameter!$C$5,A321&gt;I_Parameter!$C$6),0,IF(B321="Aktual",1,IF(AND(B321="Rencana",A321&gt;=I_Parameter!$C$4),1,0))))</f>
        <v/>
      </c>
    </row>
    <row r="322" customFormat="false" ht="15" hidden="false" customHeight="false" outlineLevel="0" collapsed="false">
      <c r="A322" s="37"/>
      <c r="B322" s="44"/>
      <c r="C322" s="44"/>
      <c r="D322" s="44"/>
      <c r="E322" s="44"/>
      <c r="F322" s="44"/>
      <c r="G322" s="44"/>
      <c r="H322" s="34" t="str">
        <f aca="false">IF(G322&lt;&gt;"",G322,IF(F322="","",IFERROR(INDEX(I_Item!$C$6:$C$255,MATCH(F322,I_Item!$A$6:$A$255,0)),"KODE BARU")))</f>
        <v/>
      </c>
      <c r="I322" s="45"/>
      <c r="J322" s="42"/>
      <c r="K322" s="11" t="str">
        <f aca="false">IF(I322="","",I322*J322)</f>
        <v/>
      </c>
      <c r="L322" s="34" t="str">
        <f aca="false">IF(H322="","",IFERROR(INDEX(I_Master!$B$6:$B$85,MATCH(H322,I_Master!$A$6:$A$85,0)),"?"))</f>
        <v/>
      </c>
      <c r="M322" s="46" t="str">
        <f aca="false">IF(I322="","",IF(OR(A322&lt;I_Parameter!$C$5,A322&gt;I_Parameter!$C$6),0,IF(B322="Aktual",1,IF(AND(B322="Rencana",A322&gt;=I_Parameter!$C$4),1,0))))</f>
        <v/>
      </c>
    </row>
    <row r="323" customFormat="false" ht="15" hidden="false" customHeight="false" outlineLevel="0" collapsed="false">
      <c r="A323" s="37"/>
      <c r="B323" s="44"/>
      <c r="C323" s="44"/>
      <c r="D323" s="44"/>
      <c r="E323" s="44"/>
      <c r="F323" s="44"/>
      <c r="G323" s="44"/>
      <c r="H323" s="34" t="str">
        <f aca="false">IF(G323&lt;&gt;"",G323,IF(F323="","",IFERROR(INDEX(I_Item!$C$6:$C$255,MATCH(F323,I_Item!$A$6:$A$255,0)),"KODE BARU")))</f>
        <v/>
      </c>
      <c r="I323" s="45"/>
      <c r="J323" s="42"/>
      <c r="K323" s="11" t="str">
        <f aca="false">IF(I323="","",I323*J323)</f>
        <v/>
      </c>
      <c r="L323" s="34" t="str">
        <f aca="false">IF(H323="","",IFERROR(INDEX(I_Master!$B$6:$B$85,MATCH(H323,I_Master!$A$6:$A$85,0)),"?"))</f>
        <v/>
      </c>
      <c r="M323" s="46" t="str">
        <f aca="false">IF(I323="","",IF(OR(A323&lt;I_Parameter!$C$5,A323&gt;I_Parameter!$C$6),0,IF(B323="Aktual",1,IF(AND(B323="Rencana",A323&gt;=I_Parameter!$C$4),1,0))))</f>
        <v/>
      </c>
    </row>
    <row r="324" customFormat="false" ht="15" hidden="false" customHeight="false" outlineLevel="0" collapsed="false">
      <c r="A324" s="37"/>
      <c r="B324" s="44"/>
      <c r="C324" s="44"/>
      <c r="D324" s="44"/>
      <c r="E324" s="44"/>
      <c r="F324" s="44"/>
      <c r="G324" s="44"/>
      <c r="H324" s="34" t="str">
        <f aca="false">IF(G324&lt;&gt;"",G324,IF(F324="","",IFERROR(INDEX(I_Item!$C$6:$C$255,MATCH(F324,I_Item!$A$6:$A$255,0)),"KODE BARU")))</f>
        <v/>
      </c>
      <c r="I324" s="45"/>
      <c r="J324" s="42"/>
      <c r="K324" s="11" t="str">
        <f aca="false">IF(I324="","",I324*J324)</f>
        <v/>
      </c>
      <c r="L324" s="34" t="str">
        <f aca="false">IF(H324="","",IFERROR(INDEX(I_Master!$B$6:$B$85,MATCH(H324,I_Master!$A$6:$A$85,0)),"?"))</f>
        <v/>
      </c>
      <c r="M324" s="46" t="str">
        <f aca="false">IF(I324="","",IF(OR(A324&lt;I_Parameter!$C$5,A324&gt;I_Parameter!$C$6),0,IF(B324="Aktual",1,IF(AND(B324="Rencana",A324&gt;=I_Parameter!$C$4),1,0))))</f>
        <v/>
      </c>
    </row>
    <row r="325" customFormat="false" ht="15" hidden="false" customHeight="false" outlineLevel="0" collapsed="false">
      <c r="A325" s="37"/>
      <c r="B325" s="44"/>
      <c r="C325" s="44"/>
      <c r="D325" s="44"/>
      <c r="E325" s="44"/>
      <c r="F325" s="44"/>
      <c r="G325" s="44"/>
      <c r="H325" s="34" t="str">
        <f aca="false">IF(G325&lt;&gt;"",G325,IF(F325="","",IFERROR(INDEX(I_Item!$C$6:$C$255,MATCH(F325,I_Item!$A$6:$A$255,0)),"KODE BARU")))</f>
        <v/>
      </c>
      <c r="I325" s="45"/>
      <c r="J325" s="42"/>
      <c r="K325" s="11" t="str">
        <f aca="false">IF(I325="","",I325*J325)</f>
        <v/>
      </c>
      <c r="L325" s="34" t="str">
        <f aca="false">IF(H325="","",IFERROR(INDEX(I_Master!$B$6:$B$85,MATCH(H325,I_Master!$A$6:$A$85,0)),"?"))</f>
        <v/>
      </c>
      <c r="M325" s="46" t="str">
        <f aca="false">IF(I325="","",IF(OR(A325&lt;I_Parameter!$C$5,A325&gt;I_Parameter!$C$6),0,IF(B325="Aktual",1,IF(AND(B325="Rencana",A325&gt;=I_Parameter!$C$4),1,0))))</f>
        <v/>
      </c>
    </row>
    <row r="326" customFormat="false" ht="15" hidden="false" customHeight="false" outlineLevel="0" collapsed="false">
      <c r="A326" s="37"/>
      <c r="B326" s="44"/>
      <c r="C326" s="44"/>
      <c r="D326" s="44"/>
      <c r="E326" s="44"/>
      <c r="F326" s="44"/>
      <c r="G326" s="44"/>
      <c r="H326" s="34" t="str">
        <f aca="false">IF(G326&lt;&gt;"",G326,IF(F326="","",IFERROR(INDEX(I_Item!$C$6:$C$255,MATCH(F326,I_Item!$A$6:$A$255,0)),"KODE BARU")))</f>
        <v/>
      </c>
      <c r="I326" s="45"/>
      <c r="J326" s="42"/>
      <c r="K326" s="11" t="str">
        <f aca="false">IF(I326="","",I326*J326)</f>
        <v/>
      </c>
      <c r="L326" s="34" t="str">
        <f aca="false">IF(H326="","",IFERROR(INDEX(I_Master!$B$6:$B$85,MATCH(H326,I_Master!$A$6:$A$85,0)),"?"))</f>
        <v/>
      </c>
      <c r="M326" s="46" t="str">
        <f aca="false">IF(I326="","",IF(OR(A326&lt;I_Parameter!$C$5,A326&gt;I_Parameter!$C$6),0,IF(B326="Aktual",1,IF(AND(B326="Rencana",A326&gt;=I_Parameter!$C$4),1,0))))</f>
        <v/>
      </c>
    </row>
    <row r="327" customFormat="false" ht="15" hidden="false" customHeight="false" outlineLevel="0" collapsed="false">
      <c r="A327" s="37"/>
      <c r="B327" s="44"/>
      <c r="C327" s="44"/>
      <c r="D327" s="44"/>
      <c r="E327" s="44"/>
      <c r="F327" s="44"/>
      <c r="G327" s="44"/>
      <c r="H327" s="34" t="str">
        <f aca="false">IF(G327&lt;&gt;"",G327,IF(F327="","",IFERROR(INDEX(I_Item!$C$6:$C$255,MATCH(F327,I_Item!$A$6:$A$255,0)),"KODE BARU")))</f>
        <v/>
      </c>
      <c r="I327" s="45"/>
      <c r="J327" s="42"/>
      <c r="K327" s="11" t="str">
        <f aca="false">IF(I327="","",I327*J327)</f>
        <v/>
      </c>
      <c r="L327" s="34" t="str">
        <f aca="false">IF(H327="","",IFERROR(INDEX(I_Master!$B$6:$B$85,MATCH(H327,I_Master!$A$6:$A$85,0)),"?"))</f>
        <v/>
      </c>
      <c r="M327" s="46" t="str">
        <f aca="false">IF(I327="","",IF(OR(A327&lt;I_Parameter!$C$5,A327&gt;I_Parameter!$C$6),0,IF(B327="Aktual",1,IF(AND(B327="Rencana",A327&gt;=I_Parameter!$C$4),1,0))))</f>
        <v/>
      </c>
    </row>
    <row r="328" customFormat="false" ht="15" hidden="false" customHeight="false" outlineLevel="0" collapsed="false">
      <c r="A328" s="37"/>
      <c r="B328" s="44"/>
      <c r="C328" s="44"/>
      <c r="D328" s="44"/>
      <c r="E328" s="44"/>
      <c r="F328" s="44"/>
      <c r="G328" s="44"/>
      <c r="H328" s="34" t="str">
        <f aca="false">IF(G328&lt;&gt;"",G328,IF(F328="","",IFERROR(INDEX(I_Item!$C$6:$C$255,MATCH(F328,I_Item!$A$6:$A$255,0)),"KODE BARU")))</f>
        <v/>
      </c>
      <c r="I328" s="45"/>
      <c r="J328" s="42"/>
      <c r="K328" s="11" t="str">
        <f aca="false">IF(I328="","",I328*J328)</f>
        <v/>
      </c>
      <c r="L328" s="34" t="str">
        <f aca="false">IF(H328="","",IFERROR(INDEX(I_Master!$B$6:$B$85,MATCH(H328,I_Master!$A$6:$A$85,0)),"?"))</f>
        <v/>
      </c>
      <c r="M328" s="46" t="str">
        <f aca="false">IF(I328="","",IF(OR(A328&lt;I_Parameter!$C$5,A328&gt;I_Parameter!$C$6),0,IF(B328="Aktual",1,IF(AND(B328="Rencana",A328&gt;=I_Parameter!$C$4),1,0))))</f>
        <v/>
      </c>
    </row>
    <row r="329" customFormat="false" ht="15" hidden="false" customHeight="false" outlineLevel="0" collapsed="false">
      <c r="A329" s="37"/>
      <c r="B329" s="44"/>
      <c r="C329" s="44"/>
      <c r="D329" s="44"/>
      <c r="E329" s="44"/>
      <c r="F329" s="44"/>
      <c r="G329" s="44"/>
      <c r="H329" s="34" t="str">
        <f aca="false">IF(G329&lt;&gt;"",G329,IF(F329="","",IFERROR(INDEX(I_Item!$C$6:$C$255,MATCH(F329,I_Item!$A$6:$A$255,0)),"KODE BARU")))</f>
        <v/>
      </c>
      <c r="I329" s="45"/>
      <c r="J329" s="42"/>
      <c r="K329" s="11" t="str">
        <f aca="false">IF(I329="","",I329*J329)</f>
        <v/>
      </c>
      <c r="L329" s="34" t="str">
        <f aca="false">IF(H329="","",IFERROR(INDEX(I_Master!$B$6:$B$85,MATCH(H329,I_Master!$A$6:$A$85,0)),"?"))</f>
        <v/>
      </c>
      <c r="M329" s="46" t="str">
        <f aca="false">IF(I329="","",IF(OR(A329&lt;I_Parameter!$C$5,A329&gt;I_Parameter!$C$6),0,IF(B329="Aktual",1,IF(AND(B329="Rencana",A329&gt;=I_Parameter!$C$4),1,0))))</f>
        <v/>
      </c>
    </row>
    <row r="330" customFormat="false" ht="15" hidden="false" customHeight="false" outlineLevel="0" collapsed="false">
      <c r="A330" s="37"/>
      <c r="B330" s="44"/>
      <c r="C330" s="44"/>
      <c r="D330" s="44"/>
      <c r="E330" s="44"/>
      <c r="F330" s="44"/>
      <c r="G330" s="44"/>
      <c r="H330" s="34" t="str">
        <f aca="false">IF(G330&lt;&gt;"",G330,IF(F330="","",IFERROR(INDEX(I_Item!$C$6:$C$255,MATCH(F330,I_Item!$A$6:$A$255,0)),"KODE BARU")))</f>
        <v/>
      </c>
      <c r="I330" s="45"/>
      <c r="J330" s="42"/>
      <c r="K330" s="11" t="str">
        <f aca="false">IF(I330="","",I330*J330)</f>
        <v/>
      </c>
      <c r="L330" s="34" t="str">
        <f aca="false">IF(H330="","",IFERROR(INDEX(I_Master!$B$6:$B$85,MATCH(H330,I_Master!$A$6:$A$85,0)),"?"))</f>
        <v/>
      </c>
      <c r="M330" s="46" t="str">
        <f aca="false">IF(I330="","",IF(OR(A330&lt;I_Parameter!$C$5,A330&gt;I_Parameter!$C$6),0,IF(B330="Aktual",1,IF(AND(B330="Rencana",A330&gt;=I_Parameter!$C$4),1,0))))</f>
        <v/>
      </c>
    </row>
    <row r="331" customFormat="false" ht="15" hidden="false" customHeight="false" outlineLevel="0" collapsed="false">
      <c r="A331" s="37"/>
      <c r="B331" s="44"/>
      <c r="C331" s="44"/>
      <c r="D331" s="44"/>
      <c r="E331" s="44"/>
      <c r="F331" s="44"/>
      <c r="G331" s="44"/>
      <c r="H331" s="34" t="str">
        <f aca="false">IF(G331&lt;&gt;"",G331,IF(F331="","",IFERROR(INDEX(I_Item!$C$6:$C$255,MATCH(F331,I_Item!$A$6:$A$255,0)),"KODE BARU")))</f>
        <v/>
      </c>
      <c r="I331" s="45"/>
      <c r="J331" s="42"/>
      <c r="K331" s="11" t="str">
        <f aca="false">IF(I331="","",I331*J331)</f>
        <v/>
      </c>
      <c r="L331" s="34" t="str">
        <f aca="false">IF(H331="","",IFERROR(INDEX(I_Master!$B$6:$B$85,MATCH(H331,I_Master!$A$6:$A$85,0)),"?"))</f>
        <v/>
      </c>
      <c r="M331" s="46" t="str">
        <f aca="false">IF(I331="","",IF(OR(A331&lt;I_Parameter!$C$5,A331&gt;I_Parameter!$C$6),0,IF(B331="Aktual",1,IF(AND(B331="Rencana",A331&gt;=I_Parameter!$C$4),1,0))))</f>
        <v/>
      </c>
    </row>
    <row r="332" customFormat="false" ht="15" hidden="false" customHeight="false" outlineLevel="0" collapsed="false">
      <c r="A332" s="37"/>
      <c r="B332" s="44"/>
      <c r="C332" s="44"/>
      <c r="D332" s="44"/>
      <c r="E332" s="44"/>
      <c r="F332" s="44"/>
      <c r="G332" s="44"/>
      <c r="H332" s="34" t="str">
        <f aca="false">IF(G332&lt;&gt;"",G332,IF(F332="","",IFERROR(INDEX(I_Item!$C$6:$C$255,MATCH(F332,I_Item!$A$6:$A$255,0)),"KODE BARU")))</f>
        <v/>
      </c>
      <c r="I332" s="45"/>
      <c r="J332" s="42"/>
      <c r="K332" s="11" t="str">
        <f aca="false">IF(I332="","",I332*J332)</f>
        <v/>
      </c>
      <c r="L332" s="34" t="str">
        <f aca="false">IF(H332="","",IFERROR(INDEX(I_Master!$B$6:$B$85,MATCH(H332,I_Master!$A$6:$A$85,0)),"?"))</f>
        <v/>
      </c>
      <c r="M332" s="46" t="str">
        <f aca="false">IF(I332="","",IF(OR(A332&lt;I_Parameter!$C$5,A332&gt;I_Parameter!$C$6),0,IF(B332="Aktual",1,IF(AND(B332="Rencana",A332&gt;=I_Parameter!$C$4),1,0))))</f>
        <v/>
      </c>
    </row>
    <row r="333" customFormat="false" ht="15" hidden="false" customHeight="false" outlineLevel="0" collapsed="false">
      <c r="A333" s="37"/>
      <c r="B333" s="44"/>
      <c r="C333" s="44"/>
      <c r="D333" s="44"/>
      <c r="E333" s="44"/>
      <c r="F333" s="44"/>
      <c r="G333" s="44"/>
      <c r="H333" s="34" t="str">
        <f aca="false">IF(G333&lt;&gt;"",G333,IF(F333="","",IFERROR(INDEX(I_Item!$C$6:$C$255,MATCH(F333,I_Item!$A$6:$A$255,0)),"KODE BARU")))</f>
        <v/>
      </c>
      <c r="I333" s="45"/>
      <c r="J333" s="42"/>
      <c r="K333" s="11" t="str">
        <f aca="false">IF(I333="","",I333*J333)</f>
        <v/>
      </c>
      <c r="L333" s="34" t="str">
        <f aca="false">IF(H333="","",IFERROR(INDEX(I_Master!$B$6:$B$85,MATCH(H333,I_Master!$A$6:$A$85,0)),"?"))</f>
        <v/>
      </c>
      <c r="M333" s="46" t="str">
        <f aca="false">IF(I333="","",IF(OR(A333&lt;I_Parameter!$C$5,A333&gt;I_Parameter!$C$6),0,IF(B333="Aktual",1,IF(AND(B333="Rencana",A333&gt;=I_Parameter!$C$4),1,0))))</f>
        <v/>
      </c>
    </row>
    <row r="334" customFormat="false" ht="15" hidden="false" customHeight="false" outlineLevel="0" collapsed="false">
      <c r="A334" s="37"/>
      <c r="B334" s="44"/>
      <c r="C334" s="44"/>
      <c r="D334" s="44"/>
      <c r="E334" s="44"/>
      <c r="F334" s="44"/>
      <c r="G334" s="44"/>
      <c r="H334" s="34" t="str">
        <f aca="false">IF(G334&lt;&gt;"",G334,IF(F334="","",IFERROR(INDEX(I_Item!$C$6:$C$255,MATCH(F334,I_Item!$A$6:$A$255,0)),"KODE BARU")))</f>
        <v/>
      </c>
      <c r="I334" s="45"/>
      <c r="J334" s="42"/>
      <c r="K334" s="11" t="str">
        <f aca="false">IF(I334="","",I334*J334)</f>
        <v/>
      </c>
      <c r="L334" s="34" t="str">
        <f aca="false">IF(H334="","",IFERROR(INDEX(I_Master!$B$6:$B$85,MATCH(H334,I_Master!$A$6:$A$85,0)),"?"))</f>
        <v/>
      </c>
      <c r="M334" s="46" t="str">
        <f aca="false">IF(I334="","",IF(OR(A334&lt;I_Parameter!$C$5,A334&gt;I_Parameter!$C$6),0,IF(B334="Aktual",1,IF(AND(B334="Rencana",A334&gt;=I_Parameter!$C$4),1,0))))</f>
        <v/>
      </c>
    </row>
    <row r="335" customFormat="false" ht="15" hidden="false" customHeight="false" outlineLevel="0" collapsed="false">
      <c r="A335" s="37"/>
      <c r="B335" s="44"/>
      <c r="C335" s="44"/>
      <c r="D335" s="44"/>
      <c r="E335" s="44"/>
      <c r="F335" s="44"/>
      <c r="G335" s="44"/>
      <c r="H335" s="34" t="str">
        <f aca="false">IF(G335&lt;&gt;"",G335,IF(F335="","",IFERROR(INDEX(I_Item!$C$6:$C$255,MATCH(F335,I_Item!$A$6:$A$255,0)),"KODE BARU")))</f>
        <v/>
      </c>
      <c r="I335" s="45"/>
      <c r="J335" s="42"/>
      <c r="K335" s="11" t="str">
        <f aca="false">IF(I335="","",I335*J335)</f>
        <v/>
      </c>
      <c r="L335" s="34" t="str">
        <f aca="false">IF(H335="","",IFERROR(INDEX(I_Master!$B$6:$B$85,MATCH(H335,I_Master!$A$6:$A$85,0)),"?"))</f>
        <v/>
      </c>
      <c r="M335" s="46" t="str">
        <f aca="false">IF(I335="","",IF(OR(A335&lt;I_Parameter!$C$5,A335&gt;I_Parameter!$C$6),0,IF(B335="Aktual",1,IF(AND(B335="Rencana",A335&gt;=I_Parameter!$C$4),1,0))))</f>
        <v/>
      </c>
    </row>
    <row r="336" customFormat="false" ht="15" hidden="false" customHeight="false" outlineLevel="0" collapsed="false">
      <c r="A336" s="37"/>
      <c r="B336" s="44"/>
      <c r="C336" s="44"/>
      <c r="D336" s="44"/>
      <c r="E336" s="44"/>
      <c r="F336" s="44"/>
      <c r="G336" s="44"/>
      <c r="H336" s="34" t="str">
        <f aca="false">IF(G336&lt;&gt;"",G336,IF(F336="","",IFERROR(INDEX(I_Item!$C$6:$C$255,MATCH(F336,I_Item!$A$6:$A$255,0)),"KODE BARU")))</f>
        <v/>
      </c>
      <c r="I336" s="45"/>
      <c r="J336" s="42"/>
      <c r="K336" s="11" t="str">
        <f aca="false">IF(I336="","",I336*J336)</f>
        <v/>
      </c>
      <c r="L336" s="34" t="str">
        <f aca="false">IF(H336="","",IFERROR(INDEX(I_Master!$B$6:$B$85,MATCH(H336,I_Master!$A$6:$A$85,0)),"?"))</f>
        <v/>
      </c>
      <c r="M336" s="46" t="str">
        <f aca="false">IF(I336="","",IF(OR(A336&lt;I_Parameter!$C$5,A336&gt;I_Parameter!$C$6),0,IF(B336="Aktual",1,IF(AND(B336="Rencana",A336&gt;=I_Parameter!$C$4),1,0))))</f>
        <v/>
      </c>
    </row>
    <row r="337" customFormat="false" ht="15" hidden="false" customHeight="false" outlineLevel="0" collapsed="false">
      <c r="A337" s="37"/>
      <c r="B337" s="44"/>
      <c r="C337" s="44"/>
      <c r="D337" s="44"/>
      <c r="E337" s="44"/>
      <c r="F337" s="44"/>
      <c r="G337" s="44"/>
      <c r="H337" s="34" t="str">
        <f aca="false">IF(G337&lt;&gt;"",G337,IF(F337="","",IFERROR(INDEX(I_Item!$C$6:$C$255,MATCH(F337,I_Item!$A$6:$A$255,0)),"KODE BARU")))</f>
        <v/>
      </c>
      <c r="I337" s="45"/>
      <c r="J337" s="42"/>
      <c r="K337" s="11" t="str">
        <f aca="false">IF(I337="","",I337*J337)</f>
        <v/>
      </c>
      <c r="L337" s="34" t="str">
        <f aca="false">IF(H337="","",IFERROR(INDEX(I_Master!$B$6:$B$85,MATCH(H337,I_Master!$A$6:$A$85,0)),"?"))</f>
        <v/>
      </c>
      <c r="M337" s="46" t="str">
        <f aca="false">IF(I337="","",IF(OR(A337&lt;I_Parameter!$C$5,A337&gt;I_Parameter!$C$6),0,IF(B337="Aktual",1,IF(AND(B337="Rencana",A337&gt;=I_Parameter!$C$4),1,0))))</f>
        <v/>
      </c>
    </row>
    <row r="338" customFormat="false" ht="15" hidden="false" customHeight="false" outlineLevel="0" collapsed="false">
      <c r="A338" s="37"/>
      <c r="B338" s="44"/>
      <c r="C338" s="44"/>
      <c r="D338" s="44"/>
      <c r="E338" s="44"/>
      <c r="F338" s="44"/>
      <c r="G338" s="44"/>
      <c r="H338" s="34" t="str">
        <f aca="false">IF(G338&lt;&gt;"",G338,IF(F338="","",IFERROR(INDEX(I_Item!$C$6:$C$255,MATCH(F338,I_Item!$A$6:$A$255,0)),"KODE BARU")))</f>
        <v/>
      </c>
      <c r="I338" s="45"/>
      <c r="J338" s="42"/>
      <c r="K338" s="11" t="str">
        <f aca="false">IF(I338="","",I338*J338)</f>
        <v/>
      </c>
      <c r="L338" s="34" t="str">
        <f aca="false">IF(H338="","",IFERROR(INDEX(I_Master!$B$6:$B$85,MATCH(H338,I_Master!$A$6:$A$85,0)),"?"))</f>
        <v/>
      </c>
      <c r="M338" s="46" t="str">
        <f aca="false">IF(I338="","",IF(OR(A338&lt;I_Parameter!$C$5,A338&gt;I_Parameter!$C$6),0,IF(B338="Aktual",1,IF(AND(B338="Rencana",A338&gt;=I_Parameter!$C$4),1,0))))</f>
        <v/>
      </c>
    </row>
    <row r="339" customFormat="false" ht="15" hidden="false" customHeight="false" outlineLevel="0" collapsed="false">
      <c r="A339" s="37"/>
      <c r="B339" s="44"/>
      <c r="C339" s="44"/>
      <c r="D339" s="44"/>
      <c r="E339" s="44"/>
      <c r="F339" s="44"/>
      <c r="G339" s="44"/>
      <c r="H339" s="34" t="str">
        <f aca="false">IF(G339&lt;&gt;"",G339,IF(F339="","",IFERROR(INDEX(I_Item!$C$6:$C$255,MATCH(F339,I_Item!$A$6:$A$255,0)),"KODE BARU")))</f>
        <v/>
      </c>
      <c r="I339" s="45"/>
      <c r="J339" s="42"/>
      <c r="K339" s="11" t="str">
        <f aca="false">IF(I339="","",I339*J339)</f>
        <v/>
      </c>
      <c r="L339" s="34" t="str">
        <f aca="false">IF(H339="","",IFERROR(INDEX(I_Master!$B$6:$B$85,MATCH(H339,I_Master!$A$6:$A$85,0)),"?"))</f>
        <v/>
      </c>
      <c r="M339" s="46" t="str">
        <f aca="false">IF(I339="","",IF(OR(A339&lt;I_Parameter!$C$5,A339&gt;I_Parameter!$C$6),0,IF(B339="Aktual",1,IF(AND(B339="Rencana",A339&gt;=I_Parameter!$C$4),1,0))))</f>
        <v/>
      </c>
    </row>
    <row r="340" customFormat="false" ht="15" hidden="false" customHeight="false" outlineLevel="0" collapsed="false">
      <c r="A340" s="37"/>
      <c r="B340" s="44"/>
      <c r="C340" s="44"/>
      <c r="D340" s="44"/>
      <c r="E340" s="44"/>
      <c r="F340" s="44"/>
      <c r="G340" s="44"/>
      <c r="H340" s="34" t="str">
        <f aca="false">IF(G340&lt;&gt;"",G340,IF(F340="","",IFERROR(INDEX(I_Item!$C$6:$C$255,MATCH(F340,I_Item!$A$6:$A$255,0)),"KODE BARU")))</f>
        <v/>
      </c>
      <c r="I340" s="45"/>
      <c r="J340" s="42"/>
      <c r="K340" s="11" t="str">
        <f aca="false">IF(I340="","",I340*J340)</f>
        <v/>
      </c>
      <c r="L340" s="34" t="str">
        <f aca="false">IF(H340="","",IFERROR(INDEX(I_Master!$B$6:$B$85,MATCH(H340,I_Master!$A$6:$A$85,0)),"?"))</f>
        <v/>
      </c>
      <c r="M340" s="46" t="str">
        <f aca="false">IF(I340="","",IF(OR(A340&lt;I_Parameter!$C$5,A340&gt;I_Parameter!$C$6),0,IF(B340="Aktual",1,IF(AND(B340="Rencana",A340&gt;=I_Parameter!$C$4),1,0))))</f>
        <v/>
      </c>
    </row>
    <row r="341" customFormat="false" ht="15" hidden="false" customHeight="false" outlineLevel="0" collapsed="false">
      <c r="A341" s="37"/>
      <c r="B341" s="44"/>
      <c r="C341" s="44"/>
      <c r="D341" s="44"/>
      <c r="E341" s="44"/>
      <c r="F341" s="44"/>
      <c r="G341" s="44"/>
      <c r="H341" s="34" t="str">
        <f aca="false">IF(G341&lt;&gt;"",G341,IF(F341="","",IFERROR(INDEX(I_Item!$C$6:$C$255,MATCH(F341,I_Item!$A$6:$A$255,0)),"KODE BARU")))</f>
        <v/>
      </c>
      <c r="I341" s="45"/>
      <c r="J341" s="42"/>
      <c r="K341" s="11" t="str">
        <f aca="false">IF(I341="","",I341*J341)</f>
        <v/>
      </c>
      <c r="L341" s="34" t="str">
        <f aca="false">IF(H341="","",IFERROR(INDEX(I_Master!$B$6:$B$85,MATCH(H341,I_Master!$A$6:$A$85,0)),"?"))</f>
        <v/>
      </c>
      <c r="M341" s="46" t="str">
        <f aca="false">IF(I341="","",IF(OR(A341&lt;I_Parameter!$C$5,A341&gt;I_Parameter!$C$6),0,IF(B341="Aktual",1,IF(AND(B341="Rencana",A341&gt;=I_Parameter!$C$4),1,0))))</f>
        <v/>
      </c>
    </row>
    <row r="342" customFormat="false" ht="15" hidden="false" customHeight="false" outlineLevel="0" collapsed="false">
      <c r="A342" s="37"/>
      <c r="B342" s="44"/>
      <c r="C342" s="44"/>
      <c r="D342" s="44"/>
      <c r="E342" s="44"/>
      <c r="F342" s="44"/>
      <c r="G342" s="44"/>
      <c r="H342" s="34" t="str">
        <f aca="false">IF(G342&lt;&gt;"",G342,IF(F342="","",IFERROR(INDEX(I_Item!$C$6:$C$255,MATCH(F342,I_Item!$A$6:$A$255,0)),"KODE BARU")))</f>
        <v/>
      </c>
      <c r="I342" s="45"/>
      <c r="J342" s="42"/>
      <c r="K342" s="11" t="str">
        <f aca="false">IF(I342="","",I342*J342)</f>
        <v/>
      </c>
      <c r="L342" s="34" t="str">
        <f aca="false">IF(H342="","",IFERROR(INDEX(I_Master!$B$6:$B$85,MATCH(H342,I_Master!$A$6:$A$85,0)),"?"))</f>
        <v/>
      </c>
      <c r="M342" s="46" t="str">
        <f aca="false">IF(I342="","",IF(OR(A342&lt;I_Parameter!$C$5,A342&gt;I_Parameter!$C$6),0,IF(B342="Aktual",1,IF(AND(B342="Rencana",A342&gt;=I_Parameter!$C$4),1,0))))</f>
        <v/>
      </c>
    </row>
    <row r="343" customFormat="false" ht="15" hidden="false" customHeight="false" outlineLevel="0" collapsed="false">
      <c r="A343" s="37"/>
      <c r="B343" s="44"/>
      <c r="C343" s="44"/>
      <c r="D343" s="44"/>
      <c r="E343" s="44"/>
      <c r="F343" s="44"/>
      <c r="G343" s="44"/>
      <c r="H343" s="34" t="str">
        <f aca="false">IF(G343&lt;&gt;"",G343,IF(F343="","",IFERROR(INDEX(I_Item!$C$6:$C$255,MATCH(F343,I_Item!$A$6:$A$255,0)),"KODE BARU")))</f>
        <v/>
      </c>
      <c r="I343" s="45"/>
      <c r="J343" s="42"/>
      <c r="K343" s="11" t="str">
        <f aca="false">IF(I343="","",I343*J343)</f>
        <v/>
      </c>
      <c r="L343" s="34" t="str">
        <f aca="false">IF(H343="","",IFERROR(INDEX(I_Master!$B$6:$B$85,MATCH(H343,I_Master!$A$6:$A$85,0)),"?"))</f>
        <v/>
      </c>
      <c r="M343" s="46" t="str">
        <f aca="false">IF(I343="","",IF(OR(A343&lt;I_Parameter!$C$5,A343&gt;I_Parameter!$C$6),0,IF(B343="Aktual",1,IF(AND(B343="Rencana",A343&gt;=I_Parameter!$C$4),1,0))))</f>
        <v/>
      </c>
    </row>
    <row r="344" customFormat="false" ht="15" hidden="false" customHeight="false" outlineLevel="0" collapsed="false">
      <c r="A344" s="37"/>
      <c r="B344" s="44"/>
      <c r="C344" s="44"/>
      <c r="D344" s="44"/>
      <c r="E344" s="44"/>
      <c r="F344" s="44"/>
      <c r="G344" s="44"/>
      <c r="H344" s="34" t="str">
        <f aca="false">IF(G344&lt;&gt;"",G344,IF(F344="","",IFERROR(INDEX(I_Item!$C$6:$C$255,MATCH(F344,I_Item!$A$6:$A$255,0)),"KODE BARU")))</f>
        <v/>
      </c>
      <c r="I344" s="45"/>
      <c r="J344" s="42"/>
      <c r="K344" s="11" t="str">
        <f aca="false">IF(I344="","",I344*J344)</f>
        <v/>
      </c>
      <c r="L344" s="34" t="str">
        <f aca="false">IF(H344="","",IFERROR(INDEX(I_Master!$B$6:$B$85,MATCH(H344,I_Master!$A$6:$A$85,0)),"?"))</f>
        <v/>
      </c>
      <c r="M344" s="46" t="str">
        <f aca="false">IF(I344="","",IF(OR(A344&lt;I_Parameter!$C$5,A344&gt;I_Parameter!$C$6),0,IF(B344="Aktual",1,IF(AND(B344="Rencana",A344&gt;=I_Parameter!$C$4),1,0))))</f>
        <v/>
      </c>
    </row>
    <row r="345" customFormat="false" ht="15" hidden="false" customHeight="false" outlineLevel="0" collapsed="false">
      <c r="A345" s="37"/>
      <c r="B345" s="44"/>
      <c r="C345" s="44"/>
      <c r="D345" s="44"/>
      <c r="E345" s="44"/>
      <c r="F345" s="44"/>
      <c r="G345" s="44"/>
      <c r="H345" s="34" t="str">
        <f aca="false">IF(G345&lt;&gt;"",G345,IF(F345="","",IFERROR(INDEX(I_Item!$C$6:$C$255,MATCH(F345,I_Item!$A$6:$A$255,0)),"KODE BARU")))</f>
        <v/>
      </c>
      <c r="I345" s="45"/>
      <c r="J345" s="42"/>
      <c r="K345" s="11" t="str">
        <f aca="false">IF(I345="","",I345*J345)</f>
        <v/>
      </c>
      <c r="L345" s="34" t="str">
        <f aca="false">IF(H345="","",IFERROR(INDEX(I_Master!$B$6:$B$85,MATCH(H345,I_Master!$A$6:$A$85,0)),"?"))</f>
        <v/>
      </c>
      <c r="M345" s="46" t="str">
        <f aca="false">IF(I345="","",IF(OR(A345&lt;I_Parameter!$C$5,A345&gt;I_Parameter!$C$6),0,IF(B345="Aktual",1,IF(AND(B345="Rencana",A345&gt;=I_Parameter!$C$4),1,0))))</f>
        <v/>
      </c>
    </row>
    <row r="346" customFormat="false" ht="15" hidden="false" customHeight="false" outlineLevel="0" collapsed="false">
      <c r="A346" s="37"/>
      <c r="B346" s="44"/>
      <c r="C346" s="44"/>
      <c r="D346" s="44"/>
      <c r="E346" s="44"/>
      <c r="F346" s="44"/>
      <c r="G346" s="44"/>
      <c r="H346" s="34" t="str">
        <f aca="false">IF(G346&lt;&gt;"",G346,IF(F346="","",IFERROR(INDEX(I_Item!$C$6:$C$255,MATCH(F346,I_Item!$A$6:$A$255,0)),"KODE BARU")))</f>
        <v/>
      </c>
      <c r="I346" s="45"/>
      <c r="J346" s="42"/>
      <c r="K346" s="11" t="str">
        <f aca="false">IF(I346="","",I346*J346)</f>
        <v/>
      </c>
      <c r="L346" s="34" t="str">
        <f aca="false">IF(H346="","",IFERROR(INDEX(I_Master!$B$6:$B$85,MATCH(H346,I_Master!$A$6:$A$85,0)),"?"))</f>
        <v/>
      </c>
      <c r="M346" s="46" t="str">
        <f aca="false">IF(I346="","",IF(OR(A346&lt;I_Parameter!$C$5,A346&gt;I_Parameter!$C$6),0,IF(B346="Aktual",1,IF(AND(B346="Rencana",A346&gt;=I_Parameter!$C$4),1,0))))</f>
        <v/>
      </c>
    </row>
    <row r="347" customFormat="false" ht="15" hidden="false" customHeight="false" outlineLevel="0" collapsed="false">
      <c r="A347" s="37"/>
      <c r="B347" s="44"/>
      <c r="C347" s="44"/>
      <c r="D347" s="44"/>
      <c r="E347" s="44"/>
      <c r="F347" s="44"/>
      <c r="G347" s="44"/>
      <c r="H347" s="34" t="str">
        <f aca="false">IF(G347&lt;&gt;"",G347,IF(F347="","",IFERROR(INDEX(I_Item!$C$6:$C$255,MATCH(F347,I_Item!$A$6:$A$255,0)),"KODE BARU")))</f>
        <v/>
      </c>
      <c r="I347" s="45"/>
      <c r="J347" s="42"/>
      <c r="K347" s="11" t="str">
        <f aca="false">IF(I347="","",I347*J347)</f>
        <v/>
      </c>
      <c r="L347" s="34" t="str">
        <f aca="false">IF(H347="","",IFERROR(INDEX(I_Master!$B$6:$B$85,MATCH(H347,I_Master!$A$6:$A$85,0)),"?"))</f>
        <v/>
      </c>
      <c r="M347" s="46" t="str">
        <f aca="false">IF(I347="","",IF(OR(A347&lt;I_Parameter!$C$5,A347&gt;I_Parameter!$C$6),0,IF(B347="Aktual",1,IF(AND(B347="Rencana",A347&gt;=I_Parameter!$C$4),1,0))))</f>
        <v/>
      </c>
    </row>
    <row r="348" customFormat="false" ht="15" hidden="false" customHeight="false" outlineLevel="0" collapsed="false">
      <c r="A348" s="37"/>
      <c r="B348" s="44"/>
      <c r="C348" s="44"/>
      <c r="D348" s="44"/>
      <c r="E348" s="44"/>
      <c r="F348" s="44"/>
      <c r="G348" s="44"/>
      <c r="H348" s="34" t="str">
        <f aca="false">IF(G348&lt;&gt;"",G348,IF(F348="","",IFERROR(INDEX(I_Item!$C$6:$C$255,MATCH(F348,I_Item!$A$6:$A$255,0)),"KODE BARU")))</f>
        <v/>
      </c>
      <c r="I348" s="45"/>
      <c r="J348" s="42"/>
      <c r="K348" s="11" t="str">
        <f aca="false">IF(I348="","",I348*J348)</f>
        <v/>
      </c>
      <c r="L348" s="34" t="str">
        <f aca="false">IF(H348="","",IFERROR(INDEX(I_Master!$B$6:$B$85,MATCH(H348,I_Master!$A$6:$A$85,0)),"?"))</f>
        <v/>
      </c>
      <c r="M348" s="46" t="str">
        <f aca="false">IF(I348="","",IF(OR(A348&lt;I_Parameter!$C$5,A348&gt;I_Parameter!$C$6),0,IF(B348="Aktual",1,IF(AND(B348="Rencana",A348&gt;=I_Parameter!$C$4),1,0))))</f>
        <v/>
      </c>
    </row>
    <row r="349" customFormat="false" ht="15" hidden="false" customHeight="false" outlineLevel="0" collapsed="false">
      <c r="A349" s="37"/>
      <c r="B349" s="44"/>
      <c r="C349" s="44"/>
      <c r="D349" s="44"/>
      <c r="E349" s="44"/>
      <c r="F349" s="44"/>
      <c r="G349" s="44"/>
      <c r="H349" s="34" t="str">
        <f aca="false">IF(G349&lt;&gt;"",G349,IF(F349="","",IFERROR(INDEX(I_Item!$C$6:$C$255,MATCH(F349,I_Item!$A$6:$A$255,0)),"KODE BARU")))</f>
        <v/>
      </c>
      <c r="I349" s="45"/>
      <c r="J349" s="42"/>
      <c r="K349" s="11" t="str">
        <f aca="false">IF(I349="","",I349*J349)</f>
        <v/>
      </c>
      <c r="L349" s="34" t="str">
        <f aca="false">IF(H349="","",IFERROR(INDEX(I_Master!$B$6:$B$85,MATCH(H349,I_Master!$A$6:$A$85,0)),"?"))</f>
        <v/>
      </c>
      <c r="M349" s="46" t="str">
        <f aca="false">IF(I349="","",IF(OR(A349&lt;I_Parameter!$C$5,A349&gt;I_Parameter!$C$6),0,IF(B349="Aktual",1,IF(AND(B349="Rencana",A349&gt;=I_Parameter!$C$4),1,0))))</f>
        <v/>
      </c>
    </row>
    <row r="350" customFormat="false" ht="15" hidden="false" customHeight="false" outlineLevel="0" collapsed="false">
      <c r="A350" s="37"/>
      <c r="B350" s="44"/>
      <c r="C350" s="44"/>
      <c r="D350" s="44"/>
      <c r="E350" s="44"/>
      <c r="F350" s="44"/>
      <c r="G350" s="44"/>
      <c r="H350" s="34" t="str">
        <f aca="false">IF(G350&lt;&gt;"",G350,IF(F350="","",IFERROR(INDEX(I_Item!$C$6:$C$255,MATCH(F350,I_Item!$A$6:$A$255,0)),"KODE BARU")))</f>
        <v/>
      </c>
      <c r="I350" s="45"/>
      <c r="J350" s="42"/>
      <c r="K350" s="11" t="str">
        <f aca="false">IF(I350="","",I350*J350)</f>
        <v/>
      </c>
      <c r="L350" s="34" t="str">
        <f aca="false">IF(H350="","",IFERROR(INDEX(I_Master!$B$6:$B$85,MATCH(H350,I_Master!$A$6:$A$85,0)),"?"))</f>
        <v/>
      </c>
      <c r="M350" s="46" t="str">
        <f aca="false">IF(I350="","",IF(OR(A350&lt;I_Parameter!$C$5,A350&gt;I_Parameter!$C$6),0,IF(B350="Aktual",1,IF(AND(B350="Rencana",A350&gt;=I_Parameter!$C$4),1,0))))</f>
        <v/>
      </c>
    </row>
    <row r="351" customFormat="false" ht="15" hidden="false" customHeight="false" outlineLevel="0" collapsed="false">
      <c r="A351" s="37"/>
      <c r="B351" s="44"/>
      <c r="C351" s="44"/>
      <c r="D351" s="44"/>
      <c r="E351" s="44"/>
      <c r="F351" s="44"/>
      <c r="G351" s="44"/>
      <c r="H351" s="34" t="str">
        <f aca="false">IF(G351&lt;&gt;"",G351,IF(F351="","",IFERROR(INDEX(I_Item!$C$6:$C$255,MATCH(F351,I_Item!$A$6:$A$255,0)),"KODE BARU")))</f>
        <v/>
      </c>
      <c r="I351" s="45"/>
      <c r="J351" s="42"/>
      <c r="K351" s="11" t="str">
        <f aca="false">IF(I351="","",I351*J351)</f>
        <v/>
      </c>
      <c r="L351" s="34" t="str">
        <f aca="false">IF(H351="","",IFERROR(INDEX(I_Master!$B$6:$B$85,MATCH(H351,I_Master!$A$6:$A$85,0)),"?"))</f>
        <v/>
      </c>
      <c r="M351" s="46" t="str">
        <f aca="false">IF(I351="","",IF(OR(A351&lt;I_Parameter!$C$5,A351&gt;I_Parameter!$C$6),0,IF(B351="Aktual",1,IF(AND(B351="Rencana",A351&gt;=I_Parameter!$C$4),1,0))))</f>
        <v/>
      </c>
    </row>
    <row r="352" customFormat="false" ht="15" hidden="false" customHeight="false" outlineLevel="0" collapsed="false">
      <c r="A352" s="37"/>
      <c r="B352" s="44"/>
      <c r="C352" s="44"/>
      <c r="D352" s="44"/>
      <c r="E352" s="44"/>
      <c r="F352" s="44"/>
      <c r="G352" s="44"/>
      <c r="H352" s="34" t="str">
        <f aca="false">IF(G352&lt;&gt;"",G352,IF(F352="","",IFERROR(INDEX(I_Item!$C$6:$C$255,MATCH(F352,I_Item!$A$6:$A$255,0)),"KODE BARU")))</f>
        <v/>
      </c>
      <c r="I352" s="45"/>
      <c r="J352" s="42"/>
      <c r="K352" s="11" t="str">
        <f aca="false">IF(I352="","",I352*J352)</f>
        <v/>
      </c>
      <c r="L352" s="34" t="str">
        <f aca="false">IF(H352="","",IFERROR(INDEX(I_Master!$B$6:$B$85,MATCH(H352,I_Master!$A$6:$A$85,0)),"?"))</f>
        <v/>
      </c>
      <c r="M352" s="46" t="str">
        <f aca="false">IF(I352="","",IF(OR(A352&lt;I_Parameter!$C$5,A352&gt;I_Parameter!$C$6),0,IF(B352="Aktual",1,IF(AND(B352="Rencana",A352&gt;=I_Parameter!$C$4),1,0))))</f>
        <v/>
      </c>
    </row>
    <row r="353" customFormat="false" ht="15" hidden="false" customHeight="false" outlineLevel="0" collapsed="false">
      <c r="A353" s="37"/>
      <c r="B353" s="44"/>
      <c r="C353" s="44"/>
      <c r="D353" s="44"/>
      <c r="E353" s="44"/>
      <c r="F353" s="44"/>
      <c r="G353" s="44"/>
      <c r="H353" s="34" t="str">
        <f aca="false">IF(G353&lt;&gt;"",G353,IF(F353="","",IFERROR(INDEX(I_Item!$C$6:$C$255,MATCH(F353,I_Item!$A$6:$A$255,0)),"KODE BARU")))</f>
        <v/>
      </c>
      <c r="I353" s="45"/>
      <c r="J353" s="42"/>
      <c r="K353" s="11" t="str">
        <f aca="false">IF(I353="","",I353*J353)</f>
        <v/>
      </c>
      <c r="L353" s="34" t="str">
        <f aca="false">IF(H353="","",IFERROR(INDEX(I_Master!$B$6:$B$85,MATCH(H353,I_Master!$A$6:$A$85,0)),"?"))</f>
        <v/>
      </c>
      <c r="M353" s="46" t="str">
        <f aca="false">IF(I353="","",IF(OR(A353&lt;I_Parameter!$C$5,A353&gt;I_Parameter!$C$6),0,IF(B353="Aktual",1,IF(AND(B353="Rencana",A353&gt;=I_Parameter!$C$4),1,0))))</f>
        <v/>
      </c>
    </row>
    <row r="354" customFormat="false" ht="15" hidden="false" customHeight="false" outlineLevel="0" collapsed="false">
      <c r="A354" s="37"/>
      <c r="B354" s="44"/>
      <c r="C354" s="44"/>
      <c r="D354" s="44"/>
      <c r="E354" s="44"/>
      <c r="F354" s="44"/>
      <c r="G354" s="44"/>
      <c r="H354" s="34" t="str">
        <f aca="false">IF(G354&lt;&gt;"",G354,IF(F354="","",IFERROR(INDEX(I_Item!$C$6:$C$255,MATCH(F354,I_Item!$A$6:$A$255,0)),"KODE BARU")))</f>
        <v/>
      </c>
      <c r="I354" s="45"/>
      <c r="J354" s="42"/>
      <c r="K354" s="11" t="str">
        <f aca="false">IF(I354="","",I354*J354)</f>
        <v/>
      </c>
      <c r="L354" s="34" t="str">
        <f aca="false">IF(H354="","",IFERROR(INDEX(I_Master!$B$6:$B$85,MATCH(H354,I_Master!$A$6:$A$85,0)),"?"))</f>
        <v/>
      </c>
      <c r="M354" s="46" t="str">
        <f aca="false">IF(I354="","",IF(OR(A354&lt;I_Parameter!$C$5,A354&gt;I_Parameter!$C$6),0,IF(B354="Aktual",1,IF(AND(B354="Rencana",A354&gt;=I_Parameter!$C$4),1,0))))</f>
        <v/>
      </c>
    </row>
    <row r="355" customFormat="false" ht="15" hidden="false" customHeight="false" outlineLevel="0" collapsed="false">
      <c r="A355" s="37"/>
      <c r="B355" s="44"/>
      <c r="C355" s="44"/>
      <c r="D355" s="44"/>
      <c r="E355" s="44"/>
      <c r="F355" s="44"/>
      <c r="G355" s="44"/>
      <c r="H355" s="34" t="str">
        <f aca="false">IF(G355&lt;&gt;"",G355,IF(F355="","",IFERROR(INDEX(I_Item!$C$6:$C$255,MATCH(F355,I_Item!$A$6:$A$255,0)),"KODE BARU")))</f>
        <v/>
      </c>
      <c r="I355" s="45"/>
      <c r="J355" s="42"/>
      <c r="K355" s="11" t="str">
        <f aca="false">IF(I355="","",I355*J355)</f>
        <v/>
      </c>
      <c r="L355" s="34" t="str">
        <f aca="false">IF(H355="","",IFERROR(INDEX(I_Master!$B$6:$B$85,MATCH(H355,I_Master!$A$6:$A$85,0)),"?"))</f>
        <v/>
      </c>
      <c r="M355" s="46" t="str">
        <f aca="false">IF(I355="","",IF(OR(A355&lt;I_Parameter!$C$5,A355&gt;I_Parameter!$C$6),0,IF(B355="Aktual",1,IF(AND(B355="Rencana",A355&gt;=I_Parameter!$C$4),1,0))))</f>
        <v/>
      </c>
    </row>
    <row r="356" customFormat="false" ht="15" hidden="false" customHeight="false" outlineLevel="0" collapsed="false">
      <c r="A356" s="37"/>
      <c r="B356" s="44"/>
      <c r="C356" s="44"/>
      <c r="D356" s="44"/>
      <c r="E356" s="44"/>
      <c r="F356" s="44"/>
      <c r="G356" s="44"/>
      <c r="H356" s="34" t="str">
        <f aca="false">IF(G356&lt;&gt;"",G356,IF(F356="","",IFERROR(INDEX(I_Item!$C$6:$C$255,MATCH(F356,I_Item!$A$6:$A$255,0)),"KODE BARU")))</f>
        <v/>
      </c>
      <c r="I356" s="45"/>
      <c r="J356" s="42"/>
      <c r="K356" s="11" t="str">
        <f aca="false">IF(I356="","",I356*J356)</f>
        <v/>
      </c>
      <c r="L356" s="34" t="str">
        <f aca="false">IF(H356="","",IFERROR(INDEX(I_Master!$B$6:$B$85,MATCH(H356,I_Master!$A$6:$A$85,0)),"?"))</f>
        <v/>
      </c>
      <c r="M356" s="46" t="str">
        <f aca="false">IF(I356="","",IF(OR(A356&lt;I_Parameter!$C$5,A356&gt;I_Parameter!$C$6),0,IF(B356="Aktual",1,IF(AND(B356="Rencana",A356&gt;=I_Parameter!$C$4),1,0))))</f>
        <v/>
      </c>
    </row>
    <row r="357" customFormat="false" ht="15" hidden="false" customHeight="false" outlineLevel="0" collapsed="false">
      <c r="A357" s="37"/>
      <c r="B357" s="44"/>
      <c r="C357" s="44"/>
      <c r="D357" s="44"/>
      <c r="E357" s="44"/>
      <c r="F357" s="44"/>
      <c r="G357" s="44"/>
      <c r="H357" s="34" t="str">
        <f aca="false">IF(G357&lt;&gt;"",G357,IF(F357="","",IFERROR(INDEX(I_Item!$C$6:$C$255,MATCH(F357,I_Item!$A$6:$A$255,0)),"KODE BARU")))</f>
        <v/>
      </c>
      <c r="I357" s="45"/>
      <c r="J357" s="42"/>
      <c r="K357" s="11" t="str">
        <f aca="false">IF(I357="","",I357*J357)</f>
        <v/>
      </c>
      <c r="L357" s="34" t="str">
        <f aca="false">IF(H357="","",IFERROR(INDEX(I_Master!$B$6:$B$85,MATCH(H357,I_Master!$A$6:$A$85,0)),"?"))</f>
        <v/>
      </c>
      <c r="M357" s="46" t="str">
        <f aca="false">IF(I357="","",IF(OR(A357&lt;I_Parameter!$C$5,A357&gt;I_Parameter!$C$6),0,IF(B357="Aktual",1,IF(AND(B357="Rencana",A357&gt;=I_Parameter!$C$4),1,0))))</f>
        <v/>
      </c>
    </row>
    <row r="358" customFormat="false" ht="15" hidden="false" customHeight="false" outlineLevel="0" collapsed="false">
      <c r="A358" s="37"/>
      <c r="B358" s="44"/>
      <c r="C358" s="44"/>
      <c r="D358" s="44"/>
      <c r="E358" s="44"/>
      <c r="F358" s="44"/>
      <c r="G358" s="44"/>
      <c r="H358" s="34" t="str">
        <f aca="false">IF(G358&lt;&gt;"",G358,IF(F358="","",IFERROR(INDEX(I_Item!$C$6:$C$255,MATCH(F358,I_Item!$A$6:$A$255,0)),"KODE BARU")))</f>
        <v/>
      </c>
      <c r="I358" s="45"/>
      <c r="J358" s="42"/>
      <c r="K358" s="11" t="str">
        <f aca="false">IF(I358="","",I358*J358)</f>
        <v/>
      </c>
      <c r="L358" s="34" t="str">
        <f aca="false">IF(H358="","",IFERROR(INDEX(I_Master!$B$6:$B$85,MATCH(H358,I_Master!$A$6:$A$85,0)),"?"))</f>
        <v/>
      </c>
      <c r="M358" s="46" t="str">
        <f aca="false">IF(I358="","",IF(OR(A358&lt;I_Parameter!$C$5,A358&gt;I_Parameter!$C$6),0,IF(B358="Aktual",1,IF(AND(B358="Rencana",A358&gt;=I_Parameter!$C$4),1,0))))</f>
        <v/>
      </c>
    </row>
    <row r="359" customFormat="false" ht="15" hidden="false" customHeight="false" outlineLevel="0" collapsed="false">
      <c r="A359" s="37"/>
      <c r="B359" s="44"/>
      <c r="C359" s="44"/>
      <c r="D359" s="44"/>
      <c r="E359" s="44"/>
      <c r="F359" s="44"/>
      <c r="G359" s="44"/>
      <c r="H359" s="34" t="str">
        <f aca="false">IF(G359&lt;&gt;"",G359,IF(F359="","",IFERROR(INDEX(I_Item!$C$6:$C$255,MATCH(F359,I_Item!$A$6:$A$255,0)),"KODE BARU")))</f>
        <v/>
      </c>
      <c r="I359" s="45"/>
      <c r="J359" s="42"/>
      <c r="K359" s="11" t="str">
        <f aca="false">IF(I359="","",I359*J359)</f>
        <v/>
      </c>
      <c r="L359" s="34" t="str">
        <f aca="false">IF(H359="","",IFERROR(INDEX(I_Master!$B$6:$B$85,MATCH(H359,I_Master!$A$6:$A$85,0)),"?"))</f>
        <v/>
      </c>
      <c r="M359" s="46" t="str">
        <f aca="false">IF(I359="","",IF(OR(A359&lt;I_Parameter!$C$5,A359&gt;I_Parameter!$C$6),0,IF(B359="Aktual",1,IF(AND(B359="Rencana",A359&gt;=I_Parameter!$C$4),1,0))))</f>
        <v/>
      </c>
    </row>
    <row r="360" customFormat="false" ht="15" hidden="false" customHeight="false" outlineLevel="0" collapsed="false">
      <c r="A360" s="37"/>
      <c r="B360" s="44"/>
      <c r="C360" s="44"/>
      <c r="D360" s="44"/>
      <c r="E360" s="44"/>
      <c r="F360" s="44"/>
      <c r="G360" s="44"/>
      <c r="H360" s="34" t="str">
        <f aca="false">IF(G360&lt;&gt;"",G360,IF(F360="","",IFERROR(INDEX(I_Item!$C$6:$C$255,MATCH(F360,I_Item!$A$6:$A$255,0)),"KODE BARU")))</f>
        <v/>
      </c>
      <c r="I360" s="45"/>
      <c r="J360" s="42"/>
      <c r="K360" s="11" t="str">
        <f aca="false">IF(I360="","",I360*J360)</f>
        <v/>
      </c>
      <c r="L360" s="34" t="str">
        <f aca="false">IF(H360="","",IFERROR(INDEX(I_Master!$B$6:$B$85,MATCH(H360,I_Master!$A$6:$A$85,0)),"?"))</f>
        <v/>
      </c>
      <c r="M360" s="46" t="str">
        <f aca="false">IF(I360="","",IF(OR(A360&lt;I_Parameter!$C$5,A360&gt;I_Parameter!$C$6),0,IF(B360="Aktual",1,IF(AND(B360="Rencana",A360&gt;=I_Parameter!$C$4),1,0))))</f>
        <v/>
      </c>
    </row>
    <row r="361" customFormat="false" ht="15" hidden="false" customHeight="false" outlineLevel="0" collapsed="false">
      <c r="A361" s="37"/>
      <c r="B361" s="44"/>
      <c r="C361" s="44"/>
      <c r="D361" s="44"/>
      <c r="E361" s="44"/>
      <c r="F361" s="44"/>
      <c r="G361" s="44"/>
      <c r="H361" s="34" t="str">
        <f aca="false">IF(G361&lt;&gt;"",G361,IF(F361="","",IFERROR(INDEX(I_Item!$C$6:$C$255,MATCH(F361,I_Item!$A$6:$A$255,0)),"KODE BARU")))</f>
        <v/>
      </c>
      <c r="I361" s="45"/>
      <c r="J361" s="42"/>
      <c r="K361" s="11" t="str">
        <f aca="false">IF(I361="","",I361*J361)</f>
        <v/>
      </c>
      <c r="L361" s="34" t="str">
        <f aca="false">IF(H361="","",IFERROR(INDEX(I_Master!$B$6:$B$85,MATCH(H361,I_Master!$A$6:$A$85,0)),"?"))</f>
        <v/>
      </c>
      <c r="M361" s="46" t="str">
        <f aca="false">IF(I361="","",IF(OR(A361&lt;I_Parameter!$C$5,A361&gt;I_Parameter!$C$6),0,IF(B361="Aktual",1,IF(AND(B361="Rencana",A361&gt;=I_Parameter!$C$4),1,0))))</f>
        <v/>
      </c>
    </row>
    <row r="362" customFormat="false" ht="15" hidden="false" customHeight="false" outlineLevel="0" collapsed="false">
      <c r="A362" s="37"/>
      <c r="B362" s="44"/>
      <c r="C362" s="44"/>
      <c r="D362" s="44"/>
      <c r="E362" s="44"/>
      <c r="F362" s="44"/>
      <c r="G362" s="44"/>
      <c r="H362" s="34" t="str">
        <f aca="false">IF(G362&lt;&gt;"",G362,IF(F362="","",IFERROR(INDEX(I_Item!$C$6:$C$255,MATCH(F362,I_Item!$A$6:$A$255,0)),"KODE BARU")))</f>
        <v/>
      </c>
      <c r="I362" s="45"/>
      <c r="J362" s="42"/>
      <c r="K362" s="11" t="str">
        <f aca="false">IF(I362="","",I362*J362)</f>
        <v/>
      </c>
      <c r="L362" s="34" t="str">
        <f aca="false">IF(H362="","",IFERROR(INDEX(I_Master!$B$6:$B$85,MATCH(H362,I_Master!$A$6:$A$85,0)),"?"))</f>
        <v/>
      </c>
      <c r="M362" s="46" t="str">
        <f aca="false">IF(I362="","",IF(OR(A362&lt;I_Parameter!$C$5,A362&gt;I_Parameter!$C$6),0,IF(B362="Aktual",1,IF(AND(B362="Rencana",A362&gt;=I_Parameter!$C$4),1,0))))</f>
        <v/>
      </c>
    </row>
    <row r="363" customFormat="false" ht="15" hidden="false" customHeight="false" outlineLevel="0" collapsed="false">
      <c r="A363" s="37"/>
      <c r="B363" s="44"/>
      <c r="C363" s="44"/>
      <c r="D363" s="44"/>
      <c r="E363" s="44"/>
      <c r="F363" s="44"/>
      <c r="G363" s="44"/>
      <c r="H363" s="34" t="str">
        <f aca="false">IF(G363&lt;&gt;"",G363,IF(F363="","",IFERROR(INDEX(I_Item!$C$6:$C$255,MATCH(F363,I_Item!$A$6:$A$255,0)),"KODE BARU")))</f>
        <v/>
      </c>
      <c r="I363" s="45"/>
      <c r="J363" s="42"/>
      <c r="K363" s="11" t="str">
        <f aca="false">IF(I363="","",I363*J363)</f>
        <v/>
      </c>
      <c r="L363" s="34" t="str">
        <f aca="false">IF(H363="","",IFERROR(INDEX(I_Master!$B$6:$B$85,MATCH(H363,I_Master!$A$6:$A$85,0)),"?"))</f>
        <v/>
      </c>
      <c r="M363" s="46" t="str">
        <f aca="false">IF(I363="","",IF(OR(A363&lt;I_Parameter!$C$5,A363&gt;I_Parameter!$C$6),0,IF(B363="Aktual",1,IF(AND(B363="Rencana",A363&gt;=I_Parameter!$C$4),1,0))))</f>
        <v/>
      </c>
    </row>
    <row r="364" customFormat="false" ht="15" hidden="false" customHeight="false" outlineLevel="0" collapsed="false">
      <c r="A364" s="37"/>
      <c r="B364" s="44"/>
      <c r="C364" s="44"/>
      <c r="D364" s="44"/>
      <c r="E364" s="44"/>
      <c r="F364" s="44"/>
      <c r="G364" s="44"/>
      <c r="H364" s="34" t="str">
        <f aca="false">IF(G364&lt;&gt;"",G364,IF(F364="","",IFERROR(INDEX(I_Item!$C$6:$C$255,MATCH(F364,I_Item!$A$6:$A$255,0)),"KODE BARU")))</f>
        <v/>
      </c>
      <c r="I364" s="45"/>
      <c r="J364" s="42"/>
      <c r="K364" s="11" t="str">
        <f aca="false">IF(I364="","",I364*J364)</f>
        <v/>
      </c>
      <c r="L364" s="34" t="str">
        <f aca="false">IF(H364="","",IFERROR(INDEX(I_Master!$B$6:$B$85,MATCH(H364,I_Master!$A$6:$A$85,0)),"?"))</f>
        <v/>
      </c>
      <c r="M364" s="46" t="str">
        <f aca="false">IF(I364="","",IF(OR(A364&lt;I_Parameter!$C$5,A364&gt;I_Parameter!$C$6),0,IF(B364="Aktual",1,IF(AND(B364="Rencana",A364&gt;=I_Parameter!$C$4),1,0))))</f>
        <v/>
      </c>
    </row>
    <row r="365" customFormat="false" ht="15" hidden="false" customHeight="false" outlineLevel="0" collapsed="false">
      <c r="A365" s="37"/>
      <c r="B365" s="44"/>
      <c r="C365" s="44"/>
      <c r="D365" s="44"/>
      <c r="E365" s="44"/>
      <c r="F365" s="44"/>
      <c r="G365" s="44"/>
      <c r="H365" s="34" t="str">
        <f aca="false">IF(G365&lt;&gt;"",G365,IF(F365="","",IFERROR(INDEX(I_Item!$C$6:$C$255,MATCH(F365,I_Item!$A$6:$A$255,0)),"KODE BARU")))</f>
        <v/>
      </c>
      <c r="I365" s="45"/>
      <c r="J365" s="42"/>
      <c r="K365" s="11" t="str">
        <f aca="false">IF(I365="","",I365*J365)</f>
        <v/>
      </c>
      <c r="L365" s="34" t="str">
        <f aca="false">IF(H365="","",IFERROR(INDEX(I_Master!$B$6:$B$85,MATCH(H365,I_Master!$A$6:$A$85,0)),"?"))</f>
        <v/>
      </c>
      <c r="M365" s="46" t="str">
        <f aca="false">IF(I365="","",IF(OR(A365&lt;I_Parameter!$C$5,A365&gt;I_Parameter!$C$6),0,IF(B365="Aktual",1,IF(AND(B365="Rencana",A365&gt;=I_Parameter!$C$4),1,0))))</f>
        <v/>
      </c>
    </row>
    <row r="366" customFormat="false" ht="15" hidden="false" customHeight="false" outlineLevel="0" collapsed="false">
      <c r="A366" s="37"/>
      <c r="B366" s="44"/>
      <c r="C366" s="44"/>
      <c r="D366" s="44"/>
      <c r="E366" s="44"/>
      <c r="F366" s="44"/>
      <c r="G366" s="44"/>
      <c r="H366" s="34" t="str">
        <f aca="false">IF(G366&lt;&gt;"",G366,IF(F366="","",IFERROR(INDEX(I_Item!$C$6:$C$255,MATCH(F366,I_Item!$A$6:$A$255,0)),"KODE BARU")))</f>
        <v/>
      </c>
      <c r="I366" s="45"/>
      <c r="J366" s="42"/>
      <c r="K366" s="11" t="str">
        <f aca="false">IF(I366="","",I366*J366)</f>
        <v/>
      </c>
      <c r="L366" s="34" t="str">
        <f aca="false">IF(H366="","",IFERROR(INDEX(I_Master!$B$6:$B$85,MATCH(H366,I_Master!$A$6:$A$85,0)),"?"))</f>
        <v/>
      </c>
      <c r="M366" s="46" t="str">
        <f aca="false">IF(I366="","",IF(OR(A366&lt;I_Parameter!$C$5,A366&gt;I_Parameter!$C$6),0,IF(B366="Aktual",1,IF(AND(B366="Rencana",A366&gt;=I_Parameter!$C$4),1,0))))</f>
        <v/>
      </c>
    </row>
    <row r="367" customFormat="false" ht="15" hidden="false" customHeight="false" outlineLevel="0" collapsed="false">
      <c r="A367" s="37"/>
      <c r="B367" s="44"/>
      <c r="C367" s="44"/>
      <c r="D367" s="44"/>
      <c r="E367" s="44"/>
      <c r="F367" s="44"/>
      <c r="G367" s="44"/>
      <c r="H367" s="34" t="str">
        <f aca="false">IF(G367&lt;&gt;"",G367,IF(F367="","",IFERROR(INDEX(I_Item!$C$6:$C$255,MATCH(F367,I_Item!$A$6:$A$255,0)),"KODE BARU")))</f>
        <v/>
      </c>
      <c r="I367" s="45"/>
      <c r="J367" s="42"/>
      <c r="K367" s="11" t="str">
        <f aca="false">IF(I367="","",I367*J367)</f>
        <v/>
      </c>
      <c r="L367" s="34" t="str">
        <f aca="false">IF(H367="","",IFERROR(INDEX(I_Master!$B$6:$B$85,MATCH(H367,I_Master!$A$6:$A$85,0)),"?"))</f>
        <v/>
      </c>
      <c r="M367" s="46" t="str">
        <f aca="false">IF(I367="","",IF(OR(A367&lt;I_Parameter!$C$5,A367&gt;I_Parameter!$C$6),0,IF(B367="Aktual",1,IF(AND(B367="Rencana",A367&gt;=I_Parameter!$C$4),1,0))))</f>
        <v/>
      </c>
    </row>
    <row r="368" customFormat="false" ht="15" hidden="false" customHeight="false" outlineLevel="0" collapsed="false">
      <c r="A368" s="37"/>
      <c r="B368" s="44"/>
      <c r="C368" s="44"/>
      <c r="D368" s="44"/>
      <c r="E368" s="44"/>
      <c r="F368" s="44"/>
      <c r="G368" s="44"/>
      <c r="H368" s="34" t="str">
        <f aca="false">IF(G368&lt;&gt;"",G368,IF(F368="","",IFERROR(INDEX(I_Item!$C$6:$C$255,MATCH(F368,I_Item!$A$6:$A$255,0)),"KODE BARU")))</f>
        <v/>
      </c>
      <c r="I368" s="45"/>
      <c r="J368" s="42"/>
      <c r="K368" s="11" t="str">
        <f aca="false">IF(I368="","",I368*J368)</f>
        <v/>
      </c>
      <c r="L368" s="34" t="str">
        <f aca="false">IF(H368="","",IFERROR(INDEX(I_Master!$B$6:$B$85,MATCH(H368,I_Master!$A$6:$A$85,0)),"?"))</f>
        <v/>
      </c>
      <c r="M368" s="46" t="str">
        <f aca="false">IF(I368="","",IF(OR(A368&lt;I_Parameter!$C$5,A368&gt;I_Parameter!$C$6),0,IF(B368="Aktual",1,IF(AND(B368="Rencana",A368&gt;=I_Parameter!$C$4),1,0))))</f>
        <v/>
      </c>
    </row>
    <row r="369" customFormat="false" ht="15" hidden="false" customHeight="false" outlineLevel="0" collapsed="false">
      <c r="A369" s="37"/>
      <c r="B369" s="44"/>
      <c r="C369" s="44"/>
      <c r="D369" s="44"/>
      <c r="E369" s="44"/>
      <c r="F369" s="44"/>
      <c r="G369" s="44"/>
      <c r="H369" s="34" t="str">
        <f aca="false">IF(G369&lt;&gt;"",G369,IF(F369="","",IFERROR(INDEX(I_Item!$C$6:$C$255,MATCH(F369,I_Item!$A$6:$A$255,0)),"KODE BARU")))</f>
        <v/>
      </c>
      <c r="I369" s="45"/>
      <c r="J369" s="42"/>
      <c r="K369" s="11" t="str">
        <f aca="false">IF(I369="","",I369*J369)</f>
        <v/>
      </c>
      <c r="L369" s="34" t="str">
        <f aca="false">IF(H369="","",IFERROR(INDEX(I_Master!$B$6:$B$85,MATCH(H369,I_Master!$A$6:$A$85,0)),"?"))</f>
        <v/>
      </c>
      <c r="M369" s="46" t="str">
        <f aca="false">IF(I369="","",IF(OR(A369&lt;I_Parameter!$C$5,A369&gt;I_Parameter!$C$6),0,IF(B369="Aktual",1,IF(AND(B369="Rencana",A369&gt;=I_Parameter!$C$4),1,0))))</f>
        <v/>
      </c>
    </row>
    <row r="370" customFormat="false" ht="15" hidden="false" customHeight="false" outlineLevel="0" collapsed="false">
      <c r="A370" s="37"/>
      <c r="B370" s="44"/>
      <c r="C370" s="44"/>
      <c r="D370" s="44"/>
      <c r="E370" s="44"/>
      <c r="F370" s="44"/>
      <c r="G370" s="44"/>
      <c r="H370" s="34" t="str">
        <f aca="false">IF(G370&lt;&gt;"",G370,IF(F370="","",IFERROR(INDEX(I_Item!$C$6:$C$255,MATCH(F370,I_Item!$A$6:$A$255,0)),"KODE BARU")))</f>
        <v/>
      </c>
      <c r="I370" s="45"/>
      <c r="J370" s="42"/>
      <c r="K370" s="11" t="str">
        <f aca="false">IF(I370="","",I370*J370)</f>
        <v/>
      </c>
      <c r="L370" s="34" t="str">
        <f aca="false">IF(H370="","",IFERROR(INDEX(I_Master!$B$6:$B$85,MATCH(H370,I_Master!$A$6:$A$85,0)),"?"))</f>
        <v/>
      </c>
      <c r="M370" s="46" t="str">
        <f aca="false">IF(I370="","",IF(OR(A370&lt;I_Parameter!$C$5,A370&gt;I_Parameter!$C$6),0,IF(B370="Aktual",1,IF(AND(B370="Rencana",A370&gt;=I_Parameter!$C$4),1,0))))</f>
        <v/>
      </c>
    </row>
    <row r="371" customFormat="false" ht="15" hidden="false" customHeight="false" outlineLevel="0" collapsed="false">
      <c r="A371" s="37"/>
      <c r="B371" s="44"/>
      <c r="C371" s="44"/>
      <c r="D371" s="44"/>
      <c r="E371" s="44"/>
      <c r="F371" s="44"/>
      <c r="G371" s="44"/>
      <c r="H371" s="34" t="str">
        <f aca="false">IF(G371&lt;&gt;"",G371,IF(F371="","",IFERROR(INDEX(I_Item!$C$6:$C$255,MATCH(F371,I_Item!$A$6:$A$255,0)),"KODE BARU")))</f>
        <v/>
      </c>
      <c r="I371" s="45"/>
      <c r="J371" s="42"/>
      <c r="K371" s="11" t="str">
        <f aca="false">IF(I371="","",I371*J371)</f>
        <v/>
      </c>
      <c r="L371" s="34" t="str">
        <f aca="false">IF(H371="","",IFERROR(INDEX(I_Master!$B$6:$B$85,MATCH(H371,I_Master!$A$6:$A$85,0)),"?"))</f>
        <v/>
      </c>
      <c r="M371" s="46" t="str">
        <f aca="false">IF(I371="","",IF(OR(A371&lt;I_Parameter!$C$5,A371&gt;I_Parameter!$C$6),0,IF(B371="Aktual",1,IF(AND(B371="Rencana",A371&gt;=I_Parameter!$C$4),1,0))))</f>
        <v/>
      </c>
    </row>
    <row r="372" customFormat="false" ht="15" hidden="false" customHeight="false" outlineLevel="0" collapsed="false">
      <c r="A372" s="37"/>
      <c r="B372" s="44"/>
      <c r="C372" s="44"/>
      <c r="D372" s="44"/>
      <c r="E372" s="44"/>
      <c r="F372" s="44"/>
      <c r="G372" s="44"/>
      <c r="H372" s="34" t="str">
        <f aca="false">IF(G372&lt;&gt;"",G372,IF(F372="","",IFERROR(INDEX(I_Item!$C$6:$C$255,MATCH(F372,I_Item!$A$6:$A$255,0)),"KODE BARU")))</f>
        <v/>
      </c>
      <c r="I372" s="45"/>
      <c r="J372" s="42"/>
      <c r="K372" s="11" t="str">
        <f aca="false">IF(I372="","",I372*J372)</f>
        <v/>
      </c>
      <c r="L372" s="34" t="str">
        <f aca="false">IF(H372="","",IFERROR(INDEX(I_Master!$B$6:$B$85,MATCH(H372,I_Master!$A$6:$A$85,0)),"?"))</f>
        <v/>
      </c>
      <c r="M372" s="46" t="str">
        <f aca="false">IF(I372="","",IF(OR(A372&lt;I_Parameter!$C$5,A372&gt;I_Parameter!$C$6),0,IF(B372="Aktual",1,IF(AND(B372="Rencana",A372&gt;=I_Parameter!$C$4),1,0))))</f>
        <v/>
      </c>
    </row>
    <row r="373" customFormat="false" ht="15" hidden="false" customHeight="false" outlineLevel="0" collapsed="false">
      <c r="A373" s="37"/>
      <c r="B373" s="44"/>
      <c r="C373" s="44"/>
      <c r="D373" s="44"/>
      <c r="E373" s="44"/>
      <c r="F373" s="44"/>
      <c r="G373" s="44"/>
      <c r="H373" s="34" t="str">
        <f aca="false">IF(G373&lt;&gt;"",G373,IF(F373="","",IFERROR(INDEX(I_Item!$C$6:$C$255,MATCH(F373,I_Item!$A$6:$A$255,0)),"KODE BARU")))</f>
        <v/>
      </c>
      <c r="I373" s="45"/>
      <c r="J373" s="42"/>
      <c r="K373" s="11" t="str">
        <f aca="false">IF(I373="","",I373*J373)</f>
        <v/>
      </c>
      <c r="L373" s="34" t="str">
        <f aca="false">IF(H373="","",IFERROR(INDEX(I_Master!$B$6:$B$85,MATCH(H373,I_Master!$A$6:$A$85,0)),"?"))</f>
        <v/>
      </c>
      <c r="M373" s="46" t="str">
        <f aca="false">IF(I373="","",IF(OR(A373&lt;I_Parameter!$C$5,A373&gt;I_Parameter!$C$6),0,IF(B373="Aktual",1,IF(AND(B373="Rencana",A373&gt;=I_Parameter!$C$4),1,0))))</f>
        <v/>
      </c>
    </row>
    <row r="374" customFormat="false" ht="15" hidden="false" customHeight="false" outlineLevel="0" collapsed="false">
      <c r="A374" s="37"/>
      <c r="B374" s="44"/>
      <c r="C374" s="44"/>
      <c r="D374" s="44"/>
      <c r="E374" s="44"/>
      <c r="F374" s="44"/>
      <c r="G374" s="44"/>
      <c r="H374" s="34" t="str">
        <f aca="false">IF(G374&lt;&gt;"",G374,IF(F374="","",IFERROR(INDEX(I_Item!$C$6:$C$255,MATCH(F374,I_Item!$A$6:$A$255,0)),"KODE BARU")))</f>
        <v/>
      </c>
      <c r="I374" s="45"/>
      <c r="J374" s="42"/>
      <c r="K374" s="11" t="str">
        <f aca="false">IF(I374="","",I374*J374)</f>
        <v/>
      </c>
      <c r="L374" s="34" t="str">
        <f aca="false">IF(H374="","",IFERROR(INDEX(I_Master!$B$6:$B$85,MATCH(H374,I_Master!$A$6:$A$85,0)),"?"))</f>
        <v/>
      </c>
      <c r="M374" s="46" t="str">
        <f aca="false">IF(I374="","",IF(OR(A374&lt;I_Parameter!$C$5,A374&gt;I_Parameter!$C$6),0,IF(B374="Aktual",1,IF(AND(B374="Rencana",A374&gt;=I_Parameter!$C$4),1,0))))</f>
        <v/>
      </c>
    </row>
    <row r="375" customFormat="false" ht="15" hidden="false" customHeight="false" outlineLevel="0" collapsed="false">
      <c r="A375" s="37"/>
      <c r="B375" s="44"/>
      <c r="C375" s="44"/>
      <c r="D375" s="44"/>
      <c r="E375" s="44"/>
      <c r="F375" s="44"/>
      <c r="G375" s="44"/>
      <c r="H375" s="34" t="str">
        <f aca="false">IF(G375&lt;&gt;"",G375,IF(F375="","",IFERROR(INDEX(I_Item!$C$6:$C$255,MATCH(F375,I_Item!$A$6:$A$255,0)),"KODE BARU")))</f>
        <v/>
      </c>
      <c r="I375" s="45"/>
      <c r="J375" s="42"/>
      <c r="K375" s="11" t="str">
        <f aca="false">IF(I375="","",I375*J375)</f>
        <v/>
      </c>
      <c r="L375" s="34" t="str">
        <f aca="false">IF(H375="","",IFERROR(INDEX(I_Master!$B$6:$B$85,MATCH(H375,I_Master!$A$6:$A$85,0)),"?"))</f>
        <v/>
      </c>
      <c r="M375" s="46" t="str">
        <f aca="false">IF(I375="","",IF(OR(A375&lt;I_Parameter!$C$5,A375&gt;I_Parameter!$C$6),0,IF(B375="Aktual",1,IF(AND(B375="Rencana",A375&gt;=I_Parameter!$C$4),1,0))))</f>
        <v/>
      </c>
    </row>
    <row r="376" customFormat="false" ht="15" hidden="false" customHeight="false" outlineLevel="0" collapsed="false">
      <c r="A376" s="37"/>
      <c r="B376" s="44"/>
      <c r="C376" s="44"/>
      <c r="D376" s="44"/>
      <c r="E376" s="44"/>
      <c r="F376" s="44"/>
      <c r="G376" s="44"/>
      <c r="H376" s="34" t="str">
        <f aca="false">IF(G376&lt;&gt;"",G376,IF(F376="","",IFERROR(INDEX(I_Item!$C$6:$C$255,MATCH(F376,I_Item!$A$6:$A$255,0)),"KODE BARU")))</f>
        <v/>
      </c>
      <c r="I376" s="45"/>
      <c r="J376" s="42"/>
      <c r="K376" s="11" t="str">
        <f aca="false">IF(I376="","",I376*J376)</f>
        <v/>
      </c>
      <c r="L376" s="34" t="str">
        <f aca="false">IF(H376="","",IFERROR(INDEX(I_Master!$B$6:$B$85,MATCH(H376,I_Master!$A$6:$A$85,0)),"?"))</f>
        <v/>
      </c>
      <c r="M376" s="46" t="str">
        <f aca="false">IF(I376="","",IF(OR(A376&lt;I_Parameter!$C$5,A376&gt;I_Parameter!$C$6),0,IF(B376="Aktual",1,IF(AND(B376="Rencana",A376&gt;=I_Parameter!$C$4),1,0))))</f>
        <v/>
      </c>
    </row>
    <row r="377" customFormat="false" ht="15" hidden="false" customHeight="false" outlineLevel="0" collapsed="false">
      <c r="A377" s="37"/>
      <c r="B377" s="44"/>
      <c r="C377" s="44"/>
      <c r="D377" s="44"/>
      <c r="E377" s="44"/>
      <c r="F377" s="44"/>
      <c r="G377" s="44"/>
      <c r="H377" s="34" t="str">
        <f aca="false">IF(G377&lt;&gt;"",G377,IF(F377="","",IFERROR(INDEX(I_Item!$C$6:$C$255,MATCH(F377,I_Item!$A$6:$A$255,0)),"KODE BARU")))</f>
        <v/>
      </c>
      <c r="I377" s="45"/>
      <c r="J377" s="42"/>
      <c r="K377" s="11" t="str">
        <f aca="false">IF(I377="","",I377*J377)</f>
        <v/>
      </c>
      <c r="L377" s="34" t="str">
        <f aca="false">IF(H377="","",IFERROR(INDEX(I_Master!$B$6:$B$85,MATCH(H377,I_Master!$A$6:$A$85,0)),"?"))</f>
        <v/>
      </c>
      <c r="M377" s="46" t="str">
        <f aca="false">IF(I377="","",IF(OR(A377&lt;I_Parameter!$C$5,A377&gt;I_Parameter!$C$6),0,IF(B377="Aktual",1,IF(AND(B377="Rencana",A377&gt;=I_Parameter!$C$4),1,0))))</f>
        <v/>
      </c>
    </row>
    <row r="378" customFormat="false" ht="15" hidden="false" customHeight="false" outlineLevel="0" collapsed="false">
      <c r="A378" s="37"/>
      <c r="B378" s="44"/>
      <c r="C378" s="44"/>
      <c r="D378" s="44"/>
      <c r="E378" s="44"/>
      <c r="F378" s="44"/>
      <c r="G378" s="44"/>
      <c r="H378" s="34" t="str">
        <f aca="false">IF(G378&lt;&gt;"",G378,IF(F378="","",IFERROR(INDEX(I_Item!$C$6:$C$255,MATCH(F378,I_Item!$A$6:$A$255,0)),"KODE BARU")))</f>
        <v/>
      </c>
      <c r="I378" s="45"/>
      <c r="J378" s="42"/>
      <c r="K378" s="11" t="str">
        <f aca="false">IF(I378="","",I378*J378)</f>
        <v/>
      </c>
      <c r="L378" s="34" t="str">
        <f aca="false">IF(H378="","",IFERROR(INDEX(I_Master!$B$6:$B$85,MATCH(H378,I_Master!$A$6:$A$85,0)),"?"))</f>
        <v/>
      </c>
      <c r="M378" s="46" t="str">
        <f aca="false">IF(I378="","",IF(OR(A378&lt;I_Parameter!$C$5,A378&gt;I_Parameter!$C$6),0,IF(B378="Aktual",1,IF(AND(B378="Rencana",A378&gt;=I_Parameter!$C$4),1,0))))</f>
        <v/>
      </c>
    </row>
    <row r="379" customFormat="false" ht="15" hidden="false" customHeight="false" outlineLevel="0" collapsed="false">
      <c r="A379" s="37"/>
      <c r="B379" s="44"/>
      <c r="C379" s="44"/>
      <c r="D379" s="44"/>
      <c r="E379" s="44"/>
      <c r="F379" s="44"/>
      <c r="G379" s="44"/>
      <c r="H379" s="34" t="str">
        <f aca="false">IF(G379&lt;&gt;"",G379,IF(F379="","",IFERROR(INDEX(I_Item!$C$6:$C$255,MATCH(F379,I_Item!$A$6:$A$255,0)),"KODE BARU")))</f>
        <v/>
      </c>
      <c r="I379" s="45"/>
      <c r="J379" s="42"/>
      <c r="K379" s="11" t="str">
        <f aca="false">IF(I379="","",I379*J379)</f>
        <v/>
      </c>
      <c r="L379" s="34" t="str">
        <f aca="false">IF(H379="","",IFERROR(INDEX(I_Master!$B$6:$B$85,MATCH(H379,I_Master!$A$6:$A$85,0)),"?"))</f>
        <v/>
      </c>
      <c r="M379" s="46" t="str">
        <f aca="false">IF(I379="","",IF(OR(A379&lt;I_Parameter!$C$5,A379&gt;I_Parameter!$C$6),0,IF(B379="Aktual",1,IF(AND(B379="Rencana",A379&gt;=I_Parameter!$C$4),1,0))))</f>
        <v/>
      </c>
    </row>
    <row r="380" customFormat="false" ht="15" hidden="false" customHeight="false" outlineLevel="0" collapsed="false">
      <c r="A380" s="37"/>
      <c r="B380" s="44"/>
      <c r="C380" s="44"/>
      <c r="D380" s="44"/>
      <c r="E380" s="44"/>
      <c r="F380" s="44"/>
      <c r="G380" s="44"/>
      <c r="H380" s="34" t="str">
        <f aca="false">IF(G380&lt;&gt;"",G380,IF(F380="","",IFERROR(INDEX(I_Item!$C$6:$C$255,MATCH(F380,I_Item!$A$6:$A$255,0)),"KODE BARU")))</f>
        <v/>
      </c>
      <c r="I380" s="45"/>
      <c r="J380" s="42"/>
      <c r="K380" s="11" t="str">
        <f aca="false">IF(I380="","",I380*J380)</f>
        <v/>
      </c>
      <c r="L380" s="34" t="str">
        <f aca="false">IF(H380="","",IFERROR(INDEX(I_Master!$B$6:$B$85,MATCH(H380,I_Master!$A$6:$A$85,0)),"?"))</f>
        <v/>
      </c>
      <c r="M380" s="46" t="str">
        <f aca="false">IF(I380="","",IF(OR(A380&lt;I_Parameter!$C$5,A380&gt;I_Parameter!$C$6),0,IF(B380="Aktual",1,IF(AND(B380="Rencana",A380&gt;=I_Parameter!$C$4),1,0))))</f>
        <v/>
      </c>
    </row>
    <row r="381" customFormat="false" ht="15" hidden="false" customHeight="false" outlineLevel="0" collapsed="false">
      <c r="A381" s="37"/>
      <c r="B381" s="44"/>
      <c r="C381" s="44"/>
      <c r="D381" s="44"/>
      <c r="E381" s="44"/>
      <c r="F381" s="44"/>
      <c r="G381" s="44"/>
      <c r="H381" s="34" t="str">
        <f aca="false">IF(G381&lt;&gt;"",G381,IF(F381="","",IFERROR(INDEX(I_Item!$C$6:$C$255,MATCH(F381,I_Item!$A$6:$A$255,0)),"KODE BARU")))</f>
        <v/>
      </c>
      <c r="I381" s="45"/>
      <c r="J381" s="42"/>
      <c r="K381" s="11" t="str">
        <f aca="false">IF(I381="","",I381*J381)</f>
        <v/>
      </c>
      <c r="L381" s="34" t="str">
        <f aca="false">IF(H381="","",IFERROR(INDEX(I_Master!$B$6:$B$85,MATCH(H381,I_Master!$A$6:$A$85,0)),"?"))</f>
        <v/>
      </c>
      <c r="M381" s="46" t="str">
        <f aca="false">IF(I381="","",IF(OR(A381&lt;I_Parameter!$C$5,A381&gt;I_Parameter!$C$6),0,IF(B381="Aktual",1,IF(AND(B381="Rencana",A381&gt;=I_Parameter!$C$4),1,0))))</f>
        <v/>
      </c>
    </row>
    <row r="382" customFormat="false" ht="15" hidden="false" customHeight="false" outlineLevel="0" collapsed="false">
      <c r="A382" s="37"/>
      <c r="B382" s="44"/>
      <c r="C382" s="44"/>
      <c r="D382" s="44"/>
      <c r="E382" s="44"/>
      <c r="F382" s="44"/>
      <c r="G382" s="44"/>
      <c r="H382" s="34" t="str">
        <f aca="false">IF(G382&lt;&gt;"",G382,IF(F382="","",IFERROR(INDEX(I_Item!$C$6:$C$255,MATCH(F382,I_Item!$A$6:$A$255,0)),"KODE BARU")))</f>
        <v/>
      </c>
      <c r="I382" s="45"/>
      <c r="J382" s="42"/>
      <c r="K382" s="11" t="str">
        <f aca="false">IF(I382="","",I382*J382)</f>
        <v/>
      </c>
      <c r="L382" s="34" t="str">
        <f aca="false">IF(H382="","",IFERROR(INDEX(I_Master!$B$6:$B$85,MATCH(H382,I_Master!$A$6:$A$85,0)),"?"))</f>
        <v/>
      </c>
      <c r="M382" s="46" t="str">
        <f aca="false">IF(I382="","",IF(OR(A382&lt;I_Parameter!$C$5,A382&gt;I_Parameter!$C$6),0,IF(B382="Aktual",1,IF(AND(B382="Rencana",A382&gt;=I_Parameter!$C$4),1,0))))</f>
        <v/>
      </c>
    </row>
    <row r="383" customFormat="false" ht="15" hidden="false" customHeight="false" outlineLevel="0" collapsed="false">
      <c r="A383" s="37"/>
      <c r="B383" s="44"/>
      <c r="C383" s="44"/>
      <c r="D383" s="44"/>
      <c r="E383" s="44"/>
      <c r="F383" s="44"/>
      <c r="G383" s="44"/>
      <c r="H383" s="34" t="str">
        <f aca="false">IF(G383&lt;&gt;"",G383,IF(F383="","",IFERROR(INDEX(I_Item!$C$6:$C$255,MATCH(F383,I_Item!$A$6:$A$255,0)),"KODE BARU")))</f>
        <v/>
      </c>
      <c r="I383" s="45"/>
      <c r="J383" s="42"/>
      <c r="K383" s="11" t="str">
        <f aca="false">IF(I383="","",I383*J383)</f>
        <v/>
      </c>
      <c r="L383" s="34" t="str">
        <f aca="false">IF(H383="","",IFERROR(INDEX(I_Master!$B$6:$B$85,MATCH(H383,I_Master!$A$6:$A$85,0)),"?"))</f>
        <v/>
      </c>
      <c r="M383" s="46" t="str">
        <f aca="false">IF(I383="","",IF(OR(A383&lt;I_Parameter!$C$5,A383&gt;I_Parameter!$C$6),0,IF(B383="Aktual",1,IF(AND(B383="Rencana",A383&gt;=I_Parameter!$C$4),1,0))))</f>
        <v/>
      </c>
    </row>
    <row r="384" customFormat="false" ht="15" hidden="false" customHeight="false" outlineLevel="0" collapsed="false">
      <c r="A384" s="37"/>
      <c r="B384" s="44"/>
      <c r="C384" s="44"/>
      <c r="D384" s="44"/>
      <c r="E384" s="44"/>
      <c r="F384" s="44"/>
      <c r="G384" s="44"/>
      <c r="H384" s="34" t="str">
        <f aca="false">IF(G384&lt;&gt;"",G384,IF(F384="","",IFERROR(INDEX(I_Item!$C$6:$C$255,MATCH(F384,I_Item!$A$6:$A$255,0)),"KODE BARU")))</f>
        <v/>
      </c>
      <c r="I384" s="45"/>
      <c r="J384" s="42"/>
      <c r="K384" s="11" t="str">
        <f aca="false">IF(I384="","",I384*J384)</f>
        <v/>
      </c>
      <c r="L384" s="34" t="str">
        <f aca="false">IF(H384="","",IFERROR(INDEX(I_Master!$B$6:$B$85,MATCH(H384,I_Master!$A$6:$A$85,0)),"?"))</f>
        <v/>
      </c>
      <c r="M384" s="46" t="str">
        <f aca="false">IF(I384="","",IF(OR(A384&lt;I_Parameter!$C$5,A384&gt;I_Parameter!$C$6),0,IF(B384="Aktual",1,IF(AND(B384="Rencana",A384&gt;=I_Parameter!$C$4),1,0))))</f>
        <v/>
      </c>
    </row>
    <row r="385" customFormat="false" ht="15" hidden="false" customHeight="false" outlineLevel="0" collapsed="false">
      <c r="A385" s="37"/>
      <c r="B385" s="44"/>
      <c r="C385" s="44"/>
      <c r="D385" s="44"/>
      <c r="E385" s="44"/>
      <c r="F385" s="44"/>
      <c r="G385" s="44"/>
      <c r="H385" s="34" t="str">
        <f aca="false">IF(G385&lt;&gt;"",G385,IF(F385="","",IFERROR(INDEX(I_Item!$C$6:$C$255,MATCH(F385,I_Item!$A$6:$A$255,0)),"KODE BARU")))</f>
        <v/>
      </c>
      <c r="I385" s="45"/>
      <c r="J385" s="42"/>
      <c r="K385" s="11" t="str">
        <f aca="false">IF(I385="","",I385*J385)</f>
        <v/>
      </c>
      <c r="L385" s="34" t="str">
        <f aca="false">IF(H385="","",IFERROR(INDEX(I_Master!$B$6:$B$85,MATCH(H385,I_Master!$A$6:$A$85,0)),"?"))</f>
        <v/>
      </c>
      <c r="M385" s="46" t="str">
        <f aca="false">IF(I385="","",IF(OR(A385&lt;I_Parameter!$C$5,A385&gt;I_Parameter!$C$6),0,IF(B385="Aktual",1,IF(AND(B385="Rencana",A385&gt;=I_Parameter!$C$4),1,0))))</f>
        <v/>
      </c>
    </row>
    <row r="386" customFormat="false" ht="15" hidden="false" customHeight="false" outlineLevel="0" collapsed="false">
      <c r="A386" s="37"/>
      <c r="B386" s="44"/>
      <c r="C386" s="44"/>
      <c r="D386" s="44"/>
      <c r="E386" s="44"/>
      <c r="F386" s="44"/>
      <c r="G386" s="44"/>
      <c r="H386" s="34" t="str">
        <f aca="false">IF(G386&lt;&gt;"",G386,IF(F386="","",IFERROR(INDEX(I_Item!$C$6:$C$255,MATCH(F386,I_Item!$A$6:$A$255,0)),"KODE BARU")))</f>
        <v/>
      </c>
      <c r="I386" s="45"/>
      <c r="J386" s="42"/>
      <c r="K386" s="11" t="str">
        <f aca="false">IF(I386="","",I386*J386)</f>
        <v/>
      </c>
      <c r="L386" s="34" t="str">
        <f aca="false">IF(H386="","",IFERROR(INDEX(I_Master!$B$6:$B$85,MATCH(H386,I_Master!$A$6:$A$85,0)),"?"))</f>
        <v/>
      </c>
      <c r="M386" s="46" t="str">
        <f aca="false">IF(I386="","",IF(OR(A386&lt;I_Parameter!$C$5,A386&gt;I_Parameter!$C$6),0,IF(B386="Aktual",1,IF(AND(B386="Rencana",A386&gt;=I_Parameter!$C$4),1,0))))</f>
        <v/>
      </c>
    </row>
    <row r="387" customFormat="false" ht="15" hidden="false" customHeight="false" outlineLevel="0" collapsed="false">
      <c r="A387" s="37"/>
      <c r="B387" s="44"/>
      <c r="C387" s="44"/>
      <c r="D387" s="44"/>
      <c r="E387" s="44"/>
      <c r="F387" s="44"/>
      <c r="G387" s="44"/>
      <c r="H387" s="34" t="str">
        <f aca="false">IF(G387&lt;&gt;"",G387,IF(F387="","",IFERROR(INDEX(I_Item!$C$6:$C$255,MATCH(F387,I_Item!$A$6:$A$255,0)),"KODE BARU")))</f>
        <v/>
      </c>
      <c r="I387" s="45"/>
      <c r="J387" s="42"/>
      <c r="K387" s="11" t="str">
        <f aca="false">IF(I387="","",I387*J387)</f>
        <v/>
      </c>
      <c r="L387" s="34" t="str">
        <f aca="false">IF(H387="","",IFERROR(INDEX(I_Master!$B$6:$B$85,MATCH(H387,I_Master!$A$6:$A$85,0)),"?"))</f>
        <v/>
      </c>
      <c r="M387" s="46" t="str">
        <f aca="false">IF(I387="","",IF(OR(A387&lt;I_Parameter!$C$5,A387&gt;I_Parameter!$C$6),0,IF(B387="Aktual",1,IF(AND(B387="Rencana",A387&gt;=I_Parameter!$C$4),1,0))))</f>
        <v/>
      </c>
    </row>
    <row r="388" customFormat="false" ht="15" hidden="false" customHeight="false" outlineLevel="0" collapsed="false">
      <c r="A388" s="37"/>
      <c r="B388" s="44"/>
      <c r="C388" s="44"/>
      <c r="D388" s="44"/>
      <c r="E388" s="44"/>
      <c r="F388" s="44"/>
      <c r="G388" s="44"/>
      <c r="H388" s="34" t="str">
        <f aca="false">IF(G388&lt;&gt;"",G388,IF(F388="","",IFERROR(INDEX(I_Item!$C$6:$C$255,MATCH(F388,I_Item!$A$6:$A$255,0)),"KODE BARU")))</f>
        <v/>
      </c>
      <c r="I388" s="45"/>
      <c r="J388" s="42"/>
      <c r="K388" s="11" t="str">
        <f aca="false">IF(I388="","",I388*J388)</f>
        <v/>
      </c>
      <c r="L388" s="34" t="str">
        <f aca="false">IF(H388="","",IFERROR(INDEX(I_Master!$B$6:$B$85,MATCH(H388,I_Master!$A$6:$A$85,0)),"?"))</f>
        <v/>
      </c>
      <c r="M388" s="46" t="str">
        <f aca="false">IF(I388="","",IF(OR(A388&lt;I_Parameter!$C$5,A388&gt;I_Parameter!$C$6),0,IF(B388="Aktual",1,IF(AND(B388="Rencana",A388&gt;=I_Parameter!$C$4),1,0))))</f>
        <v/>
      </c>
    </row>
    <row r="389" customFormat="false" ht="15" hidden="false" customHeight="false" outlineLevel="0" collapsed="false">
      <c r="A389" s="37"/>
      <c r="B389" s="44"/>
      <c r="C389" s="44"/>
      <c r="D389" s="44"/>
      <c r="E389" s="44"/>
      <c r="F389" s="44"/>
      <c r="G389" s="44"/>
      <c r="H389" s="34" t="str">
        <f aca="false">IF(G389&lt;&gt;"",G389,IF(F389="","",IFERROR(INDEX(I_Item!$C$6:$C$255,MATCH(F389,I_Item!$A$6:$A$255,0)),"KODE BARU")))</f>
        <v/>
      </c>
      <c r="I389" s="45"/>
      <c r="J389" s="42"/>
      <c r="K389" s="11" t="str">
        <f aca="false">IF(I389="","",I389*J389)</f>
        <v/>
      </c>
      <c r="L389" s="34" t="str">
        <f aca="false">IF(H389="","",IFERROR(INDEX(I_Master!$B$6:$B$85,MATCH(H389,I_Master!$A$6:$A$85,0)),"?"))</f>
        <v/>
      </c>
      <c r="M389" s="46" t="str">
        <f aca="false">IF(I389="","",IF(OR(A389&lt;I_Parameter!$C$5,A389&gt;I_Parameter!$C$6),0,IF(B389="Aktual",1,IF(AND(B389="Rencana",A389&gt;=I_Parameter!$C$4),1,0))))</f>
        <v/>
      </c>
    </row>
    <row r="390" customFormat="false" ht="15" hidden="false" customHeight="false" outlineLevel="0" collapsed="false">
      <c r="A390" s="37"/>
      <c r="B390" s="44"/>
      <c r="C390" s="44"/>
      <c r="D390" s="44"/>
      <c r="E390" s="44"/>
      <c r="F390" s="44"/>
      <c r="G390" s="44"/>
      <c r="H390" s="34" t="str">
        <f aca="false">IF(G390&lt;&gt;"",G390,IF(F390="","",IFERROR(INDEX(I_Item!$C$6:$C$255,MATCH(F390,I_Item!$A$6:$A$255,0)),"KODE BARU")))</f>
        <v/>
      </c>
      <c r="I390" s="45"/>
      <c r="J390" s="42"/>
      <c r="K390" s="11" t="str">
        <f aca="false">IF(I390="","",I390*J390)</f>
        <v/>
      </c>
      <c r="L390" s="34" t="str">
        <f aca="false">IF(H390="","",IFERROR(INDEX(I_Master!$B$6:$B$85,MATCH(H390,I_Master!$A$6:$A$85,0)),"?"))</f>
        <v/>
      </c>
      <c r="M390" s="46" t="str">
        <f aca="false">IF(I390="","",IF(OR(A390&lt;I_Parameter!$C$5,A390&gt;I_Parameter!$C$6),0,IF(B390="Aktual",1,IF(AND(B390="Rencana",A390&gt;=I_Parameter!$C$4),1,0))))</f>
        <v/>
      </c>
    </row>
    <row r="391" customFormat="false" ht="15" hidden="false" customHeight="false" outlineLevel="0" collapsed="false">
      <c r="A391" s="37"/>
      <c r="B391" s="44"/>
      <c r="C391" s="44"/>
      <c r="D391" s="44"/>
      <c r="E391" s="44"/>
      <c r="F391" s="44"/>
      <c r="G391" s="44"/>
      <c r="H391" s="34" t="str">
        <f aca="false">IF(G391&lt;&gt;"",G391,IF(F391="","",IFERROR(INDEX(I_Item!$C$6:$C$255,MATCH(F391,I_Item!$A$6:$A$255,0)),"KODE BARU")))</f>
        <v/>
      </c>
      <c r="I391" s="45"/>
      <c r="J391" s="42"/>
      <c r="K391" s="11" t="str">
        <f aca="false">IF(I391="","",I391*J391)</f>
        <v/>
      </c>
      <c r="L391" s="34" t="str">
        <f aca="false">IF(H391="","",IFERROR(INDEX(I_Master!$B$6:$B$85,MATCH(H391,I_Master!$A$6:$A$85,0)),"?"))</f>
        <v/>
      </c>
      <c r="M391" s="46" t="str">
        <f aca="false">IF(I391="","",IF(OR(A391&lt;I_Parameter!$C$5,A391&gt;I_Parameter!$C$6),0,IF(B391="Aktual",1,IF(AND(B391="Rencana",A391&gt;=I_Parameter!$C$4),1,0))))</f>
        <v/>
      </c>
    </row>
    <row r="392" customFormat="false" ht="15" hidden="false" customHeight="false" outlineLevel="0" collapsed="false">
      <c r="A392" s="37"/>
      <c r="B392" s="44"/>
      <c r="C392" s="44"/>
      <c r="D392" s="44"/>
      <c r="E392" s="44"/>
      <c r="F392" s="44"/>
      <c r="G392" s="44"/>
      <c r="H392" s="34" t="str">
        <f aca="false">IF(G392&lt;&gt;"",G392,IF(F392="","",IFERROR(INDEX(I_Item!$C$6:$C$255,MATCH(F392,I_Item!$A$6:$A$255,0)),"KODE BARU")))</f>
        <v/>
      </c>
      <c r="I392" s="45"/>
      <c r="J392" s="42"/>
      <c r="K392" s="11" t="str">
        <f aca="false">IF(I392="","",I392*J392)</f>
        <v/>
      </c>
      <c r="L392" s="34" t="str">
        <f aca="false">IF(H392="","",IFERROR(INDEX(I_Master!$B$6:$B$85,MATCH(H392,I_Master!$A$6:$A$85,0)),"?"))</f>
        <v/>
      </c>
      <c r="M392" s="46" t="str">
        <f aca="false">IF(I392="","",IF(OR(A392&lt;I_Parameter!$C$5,A392&gt;I_Parameter!$C$6),0,IF(B392="Aktual",1,IF(AND(B392="Rencana",A392&gt;=I_Parameter!$C$4),1,0))))</f>
        <v/>
      </c>
    </row>
    <row r="393" customFormat="false" ht="15" hidden="false" customHeight="false" outlineLevel="0" collapsed="false">
      <c r="A393" s="37"/>
      <c r="B393" s="44"/>
      <c r="C393" s="44"/>
      <c r="D393" s="44"/>
      <c r="E393" s="44"/>
      <c r="F393" s="44"/>
      <c r="G393" s="44"/>
      <c r="H393" s="34" t="str">
        <f aca="false">IF(G393&lt;&gt;"",G393,IF(F393="","",IFERROR(INDEX(I_Item!$C$6:$C$255,MATCH(F393,I_Item!$A$6:$A$255,0)),"KODE BARU")))</f>
        <v/>
      </c>
      <c r="I393" s="45"/>
      <c r="J393" s="42"/>
      <c r="K393" s="11" t="str">
        <f aca="false">IF(I393="","",I393*J393)</f>
        <v/>
      </c>
      <c r="L393" s="34" t="str">
        <f aca="false">IF(H393="","",IFERROR(INDEX(I_Master!$B$6:$B$85,MATCH(H393,I_Master!$A$6:$A$85,0)),"?"))</f>
        <v/>
      </c>
      <c r="M393" s="46" t="str">
        <f aca="false">IF(I393="","",IF(OR(A393&lt;I_Parameter!$C$5,A393&gt;I_Parameter!$C$6),0,IF(B393="Aktual",1,IF(AND(B393="Rencana",A393&gt;=I_Parameter!$C$4),1,0))))</f>
        <v/>
      </c>
    </row>
    <row r="394" customFormat="false" ht="15" hidden="false" customHeight="false" outlineLevel="0" collapsed="false">
      <c r="A394" s="37"/>
      <c r="B394" s="44"/>
      <c r="C394" s="44"/>
      <c r="D394" s="44"/>
      <c r="E394" s="44"/>
      <c r="F394" s="44"/>
      <c r="G394" s="44"/>
      <c r="H394" s="34" t="str">
        <f aca="false">IF(G394&lt;&gt;"",G394,IF(F394="","",IFERROR(INDEX(I_Item!$C$6:$C$255,MATCH(F394,I_Item!$A$6:$A$255,0)),"KODE BARU")))</f>
        <v/>
      </c>
      <c r="I394" s="45"/>
      <c r="J394" s="42"/>
      <c r="K394" s="11" t="str">
        <f aca="false">IF(I394="","",I394*J394)</f>
        <v/>
      </c>
      <c r="L394" s="34" t="str">
        <f aca="false">IF(H394="","",IFERROR(INDEX(I_Master!$B$6:$B$85,MATCH(H394,I_Master!$A$6:$A$85,0)),"?"))</f>
        <v/>
      </c>
      <c r="M394" s="46" t="str">
        <f aca="false">IF(I394="","",IF(OR(A394&lt;I_Parameter!$C$5,A394&gt;I_Parameter!$C$6),0,IF(B394="Aktual",1,IF(AND(B394="Rencana",A394&gt;=I_Parameter!$C$4),1,0))))</f>
        <v/>
      </c>
    </row>
    <row r="395" customFormat="false" ht="15" hidden="false" customHeight="false" outlineLevel="0" collapsed="false">
      <c r="A395" s="37"/>
      <c r="B395" s="44"/>
      <c r="C395" s="44"/>
      <c r="D395" s="44"/>
      <c r="E395" s="44"/>
      <c r="F395" s="44"/>
      <c r="G395" s="44"/>
      <c r="H395" s="34" t="str">
        <f aca="false">IF(G395&lt;&gt;"",G395,IF(F395="","",IFERROR(INDEX(I_Item!$C$6:$C$255,MATCH(F395,I_Item!$A$6:$A$255,0)),"KODE BARU")))</f>
        <v/>
      </c>
      <c r="I395" s="45"/>
      <c r="J395" s="42"/>
      <c r="K395" s="11" t="str">
        <f aca="false">IF(I395="","",I395*J395)</f>
        <v/>
      </c>
      <c r="L395" s="34" t="str">
        <f aca="false">IF(H395="","",IFERROR(INDEX(I_Master!$B$6:$B$85,MATCH(H395,I_Master!$A$6:$A$85,0)),"?"))</f>
        <v/>
      </c>
      <c r="M395" s="46" t="str">
        <f aca="false">IF(I395="","",IF(OR(A395&lt;I_Parameter!$C$5,A395&gt;I_Parameter!$C$6),0,IF(B395="Aktual",1,IF(AND(B395="Rencana",A395&gt;=I_Parameter!$C$4),1,0))))</f>
        <v/>
      </c>
    </row>
    <row r="396" customFormat="false" ht="15" hidden="false" customHeight="false" outlineLevel="0" collapsed="false">
      <c r="A396" s="37"/>
      <c r="B396" s="44"/>
      <c r="C396" s="44"/>
      <c r="D396" s="44"/>
      <c r="E396" s="44"/>
      <c r="F396" s="44"/>
      <c r="G396" s="44"/>
      <c r="H396" s="34" t="str">
        <f aca="false">IF(G396&lt;&gt;"",G396,IF(F396="","",IFERROR(INDEX(I_Item!$C$6:$C$255,MATCH(F396,I_Item!$A$6:$A$255,0)),"KODE BARU")))</f>
        <v/>
      </c>
      <c r="I396" s="45"/>
      <c r="J396" s="42"/>
      <c r="K396" s="11" t="str">
        <f aca="false">IF(I396="","",I396*J396)</f>
        <v/>
      </c>
      <c r="L396" s="34" t="str">
        <f aca="false">IF(H396="","",IFERROR(INDEX(I_Master!$B$6:$B$85,MATCH(H396,I_Master!$A$6:$A$85,0)),"?"))</f>
        <v/>
      </c>
      <c r="M396" s="46" t="str">
        <f aca="false">IF(I396="","",IF(OR(A396&lt;I_Parameter!$C$5,A396&gt;I_Parameter!$C$6),0,IF(B396="Aktual",1,IF(AND(B396="Rencana",A396&gt;=I_Parameter!$C$4),1,0))))</f>
        <v/>
      </c>
    </row>
    <row r="397" customFormat="false" ht="15" hidden="false" customHeight="false" outlineLevel="0" collapsed="false">
      <c r="A397" s="37"/>
      <c r="B397" s="44"/>
      <c r="C397" s="44"/>
      <c r="D397" s="44"/>
      <c r="E397" s="44"/>
      <c r="F397" s="44"/>
      <c r="G397" s="44"/>
      <c r="H397" s="34" t="str">
        <f aca="false">IF(G397&lt;&gt;"",G397,IF(F397="","",IFERROR(INDEX(I_Item!$C$6:$C$255,MATCH(F397,I_Item!$A$6:$A$255,0)),"KODE BARU")))</f>
        <v/>
      </c>
      <c r="I397" s="45"/>
      <c r="J397" s="42"/>
      <c r="K397" s="11" t="str">
        <f aca="false">IF(I397="","",I397*J397)</f>
        <v/>
      </c>
      <c r="L397" s="34" t="str">
        <f aca="false">IF(H397="","",IFERROR(INDEX(I_Master!$B$6:$B$85,MATCH(H397,I_Master!$A$6:$A$85,0)),"?"))</f>
        <v/>
      </c>
      <c r="M397" s="46" t="str">
        <f aca="false">IF(I397="","",IF(OR(A397&lt;I_Parameter!$C$5,A397&gt;I_Parameter!$C$6),0,IF(B397="Aktual",1,IF(AND(B397="Rencana",A397&gt;=I_Parameter!$C$4),1,0))))</f>
        <v/>
      </c>
    </row>
    <row r="398" customFormat="false" ht="15" hidden="false" customHeight="false" outlineLevel="0" collapsed="false">
      <c r="A398" s="37"/>
      <c r="B398" s="44"/>
      <c r="C398" s="44"/>
      <c r="D398" s="44"/>
      <c r="E398" s="44"/>
      <c r="F398" s="44"/>
      <c r="G398" s="44"/>
      <c r="H398" s="34" t="str">
        <f aca="false">IF(G398&lt;&gt;"",G398,IF(F398="","",IFERROR(INDEX(I_Item!$C$6:$C$255,MATCH(F398,I_Item!$A$6:$A$255,0)),"KODE BARU")))</f>
        <v/>
      </c>
      <c r="I398" s="45"/>
      <c r="J398" s="42"/>
      <c r="K398" s="11" t="str">
        <f aca="false">IF(I398="","",I398*J398)</f>
        <v/>
      </c>
      <c r="L398" s="34" t="str">
        <f aca="false">IF(H398="","",IFERROR(INDEX(I_Master!$B$6:$B$85,MATCH(H398,I_Master!$A$6:$A$85,0)),"?"))</f>
        <v/>
      </c>
      <c r="M398" s="46" t="str">
        <f aca="false">IF(I398="","",IF(OR(A398&lt;I_Parameter!$C$5,A398&gt;I_Parameter!$C$6),0,IF(B398="Aktual",1,IF(AND(B398="Rencana",A398&gt;=I_Parameter!$C$4),1,0))))</f>
        <v/>
      </c>
    </row>
    <row r="399" customFormat="false" ht="15" hidden="false" customHeight="false" outlineLevel="0" collapsed="false">
      <c r="A399" s="37"/>
      <c r="B399" s="44"/>
      <c r="C399" s="44"/>
      <c r="D399" s="44"/>
      <c r="E399" s="44"/>
      <c r="F399" s="44"/>
      <c r="G399" s="44"/>
      <c r="H399" s="34" t="str">
        <f aca="false">IF(G399&lt;&gt;"",G399,IF(F399="","",IFERROR(INDEX(I_Item!$C$6:$C$255,MATCH(F399,I_Item!$A$6:$A$255,0)),"KODE BARU")))</f>
        <v/>
      </c>
      <c r="I399" s="45"/>
      <c r="J399" s="42"/>
      <c r="K399" s="11" t="str">
        <f aca="false">IF(I399="","",I399*J399)</f>
        <v/>
      </c>
      <c r="L399" s="34" t="str">
        <f aca="false">IF(H399="","",IFERROR(INDEX(I_Master!$B$6:$B$85,MATCH(H399,I_Master!$A$6:$A$85,0)),"?"))</f>
        <v/>
      </c>
      <c r="M399" s="46" t="str">
        <f aca="false">IF(I399="","",IF(OR(A399&lt;I_Parameter!$C$5,A399&gt;I_Parameter!$C$6),0,IF(B399="Aktual",1,IF(AND(B399="Rencana",A399&gt;=I_Parameter!$C$4),1,0))))</f>
        <v/>
      </c>
    </row>
    <row r="400" customFormat="false" ht="15" hidden="false" customHeight="false" outlineLevel="0" collapsed="false">
      <c r="A400" s="37"/>
      <c r="B400" s="44"/>
      <c r="C400" s="44"/>
      <c r="D400" s="44"/>
      <c r="E400" s="44"/>
      <c r="F400" s="44"/>
      <c r="G400" s="44"/>
      <c r="H400" s="34" t="str">
        <f aca="false">IF(G400&lt;&gt;"",G400,IF(F400="","",IFERROR(INDEX(I_Item!$C$6:$C$255,MATCH(F400,I_Item!$A$6:$A$255,0)),"KODE BARU")))</f>
        <v/>
      </c>
      <c r="I400" s="45"/>
      <c r="J400" s="42"/>
      <c r="K400" s="11" t="str">
        <f aca="false">IF(I400="","",I400*J400)</f>
        <v/>
      </c>
      <c r="L400" s="34" t="str">
        <f aca="false">IF(H400="","",IFERROR(INDEX(I_Master!$B$6:$B$85,MATCH(H400,I_Master!$A$6:$A$85,0)),"?"))</f>
        <v/>
      </c>
      <c r="M400" s="46" t="str">
        <f aca="false">IF(I400="","",IF(OR(A400&lt;I_Parameter!$C$5,A400&gt;I_Parameter!$C$6),0,IF(B400="Aktual",1,IF(AND(B400="Rencana",A400&gt;=I_Parameter!$C$4),1,0))))</f>
        <v/>
      </c>
    </row>
    <row r="401" customFormat="false" ht="15" hidden="false" customHeight="false" outlineLevel="0" collapsed="false">
      <c r="A401" s="37"/>
      <c r="B401" s="44"/>
      <c r="C401" s="44"/>
      <c r="D401" s="44"/>
      <c r="E401" s="44"/>
      <c r="F401" s="44"/>
      <c r="G401" s="44"/>
      <c r="H401" s="34" t="str">
        <f aca="false">IF(G401&lt;&gt;"",G401,IF(F401="","",IFERROR(INDEX(I_Item!$C$6:$C$255,MATCH(F401,I_Item!$A$6:$A$255,0)),"KODE BARU")))</f>
        <v/>
      </c>
      <c r="I401" s="45"/>
      <c r="J401" s="42"/>
      <c r="K401" s="11" t="str">
        <f aca="false">IF(I401="","",I401*J401)</f>
        <v/>
      </c>
      <c r="L401" s="34" t="str">
        <f aca="false">IF(H401="","",IFERROR(INDEX(I_Master!$B$6:$B$85,MATCH(H401,I_Master!$A$6:$A$85,0)),"?"))</f>
        <v/>
      </c>
      <c r="M401" s="46" t="str">
        <f aca="false">IF(I401="","",IF(OR(A401&lt;I_Parameter!$C$5,A401&gt;I_Parameter!$C$6),0,IF(B401="Aktual",1,IF(AND(B401="Rencana",A401&gt;=I_Parameter!$C$4),1,0))))</f>
        <v/>
      </c>
    </row>
    <row r="402" customFormat="false" ht="15" hidden="false" customHeight="false" outlineLevel="0" collapsed="false">
      <c r="A402" s="37"/>
      <c r="B402" s="44"/>
      <c r="C402" s="44"/>
      <c r="D402" s="44"/>
      <c r="E402" s="44"/>
      <c r="F402" s="44"/>
      <c r="G402" s="44"/>
      <c r="H402" s="34" t="str">
        <f aca="false">IF(G402&lt;&gt;"",G402,IF(F402="","",IFERROR(INDEX(I_Item!$C$6:$C$255,MATCH(F402,I_Item!$A$6:$A$255,0)),"KODE BARU")))</f>
        <v/>
      </c>
      <c r="I402" s="45"/>
      <c r="J402" s="42"/>
      <c r="K402" s="11" t="str">
        <f aca="false">IF(I402="","",I402*J402)</f>
        <v/>
      </c>
      <c r="L402" s="34" t="str">
        <f aca="false">IF(H402="","",IFERROR(INDEX(I_Master!$B$6:$B$85,MATCH(H402,I_Master!$A$6:$A$85,0)),"?"))</f>
        <v/>
      </c>
      <c r="M402" s="46" t="str">
        <f aca="false">IF(I402="","",IF(OR(A402&lt;I_Parameter!$C$5,A402&gt;I_Parameter!$C$6),0,IF(B402="Aktual",1,IF(AND(B402="Rencana",A402&gt;=I_Parameter!$C$4),1,0))))</f>
        <v/>
      </c>
    </row>
    <row r="403" customFormat="false" ht="15" hidden="false" customHeight="false" outlineLevel="0" collapsed="false">
      <c r="A403" s="37"/>
      <c r="B403" s="44"/>
      <c r="C403" s="44"/>
      <c r="D403" s="44"/>
      <c r="E403" s="44"/>
      <c r="F403" s="44"/>
      <c r="G403" s="44"/>
      <c r="H403" s="34" t="str">
        <f aca="false">IF(G403&lt;&gt;"",G403,IF(F403="","",IFERROR(INDEX(I_Item!$C$6:$C$255,MATCH(F403,I_Item!$A$6:$A$255,0)),"KODE BARU")))</f>
        <v/>
      </c>
      <c r="I403" s="45"/>
      <c r="J403" s="42"/>
      <c r="K403" s="11" t="str">
        <f aca="false">IF(I403="","",I403*J403)</f>
        <v/>
      </c>
      <c r="L403" s="34" t="str">
        <f aca="false">IF(H403="","",IFERROR(INDEX(I_Master!$B$6:$B$85,MATCH(H403,I_Master!$A$6:$A$85,0)),"?"))</f>
        <v/>
      </c>
      <c r="M403" s="46" t="str">
        <f aca="false">IF(I403="","",IF(OR(A403&lt;I_Parameter!$C$5,A403&gt;I_Parameter!$C$6),0,IF(B403="Aktual",1,IF(AND(B403="Rencana",A403&gt;=I_Parameter!$C$4),1,0))))</f>
        <v/>
      </c>
    </row>
    <row r="404" customFormat="false" ht="15" hidden="false" customHeight="false" outlineLevel="0" collapsed="false">
      <c r="A404" s="37"/>
      <c r="B404" s="44"/>
      <c r="C404" s="44"/>
      <c r="D404" s="44"/>
      <c r="E404" s="44"/>
      <c r="F404" s="44"/>
      <c r="G404" s="44"/>
      <c r="H404" s="34" t="str">
        <f aca="false">IF(G404&lt;&gt;"",G404,IF(F404="","",IFERROR(INDEX(I_Item!$C$6:$C$255,MATCH(F404,I_Item!$A$6:$A$255,0)),"KODE BARU")))</f>
        <v/>
      </c>
      <c r="I404" s="45"/>
      <c r="J404" s="42"/>
      <c r="K404" s="11" t="str">
        <f aca="false">IF(I404="","",I404*J404)</f>
        <v/>
      </c>
      <c r="L404" s="34" t="str">
        <f aca="false">IF(H404="","",IFERROR(INDEX(I_Master!$B$6:$B$85,MATCH(H404,I_Master!$A$6:$A$85,0)),"?"))</f>
        <v/>
      </c>
      <c r="M404" s="46" t="str">
        <f aca="false">IF(I404="","",IF(OR(A404&lt;I_Parameter!$C$5,A404&gt;I_Parameter!$C$6),0,IF(B404="Aktual",1,IF(AND(B404="Rencana",A404&gt;=I_Parameter!$C$4),1,0))))</f>
        <v/>
      </c>
    </row>
    <row r="405" customFormat="false" ht="15" hidden="false" customHeight="false" outlineLevel="0" collapsed="false">
      <c r="A405" s="37"/>
      <c r="B405" s="44"/>
      <c r="C405" s="44"/>
      <c r="D405" s="44"/>
      <c r="E405" s="44"/>
      <c r="F405" s="44"/>
      <c r="G405" s="44"/>
      <c r="H405" s="34" t="str">
        <f aca="false">IF(G405&lt;&gt;"",G405,IF(F405="","",IFERROR(INDEX(I_Item!$C$6:$C$255,MATCH(F405,I_Item!$A$6:$A$255,0)),"KODE BARU")))</f>
        <v/>
      </c>
      <c r="I405" s="45"/>
      <c r="J405" s="42"/>
      <c r="K405" s="11" t="str">
        <f aca="false">IF(I405="","",I405*J405)</f>
        <v/>
      </c>
      <c r="L405" s="34" t="str">
        <f aca="false">IF(H405="","",IFERROR(INDEX(I_Master!$B$6:$B$85,MATCH(H405,I_Master!$A$6:$A$85,0)),"?"))</f>
        <v/>
      </c>
      <c r="M405" s="46" t="str">
        <f aca="false">IF(I405="","",IF(OR(A405&lt;I_Parameter!$C$5,A405&gt;I_Parameter!$C$6),0,IF(B405="Aktual",1,IF(AND(B405="Rencana",A405&gt;=I_Parameter!$C$4),1,0))))</f>
        <v/>
      </c>
    </row>
    <row r="406" customFormat="false" ht="15" hidden="false" customHeight="false" outlineLevel="0" collapsed="false">
      <c r="A406" s="37"/>
      <c r="B406" s="44"/>
      <c r="C406" s="44"/>
      <c r="D406" s="44"/>
      <c r="E406" s="44"/>
      <c r="F406" s="44"/>
      <c r="G406" s="44"/>
      <c r="H406" s="34" t="str">
        <f aca="false">IF(G406&lt;&gt;"",G406,IF(F406="","",IFERROR(INDEX(I_Item!$C$6:$C$255,MATCH(F406,I_Item!$A$6:$A$255,0)),"KODE BARU")))</f>
        <v/>
      </c>
      <c r="I406" s="45"/>
      <c r="J406" s="42"/>
      <c r="K406" s="11" t="str">
        <f aca="false">IF(I406="","",I406*J406)</f>
        <v/>
      </c>
      <c r="L406" s="34" t="str">
        <f aca="false">IF(H406="","",IFERROR(INDEX(I_Master!$B$6:$B$85,MATCH(H406,I_Master!$A$6:$A$85,0)),"?"))</f>
        <v/>
      </c>
      <c r="M406" s="46" t="str">
        <f aca="false">IF(I406="","",IF(OR(A406&lt;I_Parameter!$C$5,A406&gt;I_Parameter!$C$6),0,IF(B406="Aktual",1,IF(AND(B406="Rencana",A406&gt;=I_Parameter!$C$4),1,0))))</f>
        <v/>
      </c>
    </row>
    <row r="407" customFormat="false" ht="15" hidden="false" customHeight="false" outlineLevel="0" collapsed="false">
      <c r="A407" s="37"/>
      <c r="B407" s="44"/>
      <c r="C407" s="44"/>
      <c r="D407" s="44"/>
      <c r="E407" s="44"/>
      <c r="F407" s="44"/>
      <c r="G407" s="44"/>
      <c r="H407" s="34" t="str">
        <f aca="false">IF(G407&lt;&gt;"",G407,IF(F407="","",IFERROR(INDEX(I_Item!$C$6:$C$255,MATCH(F407,I_Item!$A$6:$A$255,0)),"KODE BARU")))</f>
        <v/>
      </c>
      <c r="I407" s="45"/>
      <c r="J407" s="42"/>
      <c r="K407" s="11" t="str">
        <f aca="false">IF(I407="","",I407*J407)</f>
        <v/>
      </c>
      <c r="L407" s="34" t="str">
        <f aca="false">IF(H407="","",IFERROR(INDEX(I_Master!$B$6:$B$85,MATCH(H407,I_Master!$A$6:$A$85,0)),"?"))</f>
        <v/>
      </c>
      <c r="M407" s="46" t="str">
        <f aca="false">IF(I407="","",IF(OR(A407&lt;I_Parameter!$C$5,A407&gt;I_Parameter!$C$6),0,IF(B407="Aktual",1,IF(AND(B407="Rencana",A407&gt;=I_Parameter!$C$4),1,0))))</f>
        <v/>
      </c>
    </row>
    <row r="408" customFormat="false" ht="15" hidden="false" customHeight="false" outlineLevel="0" collapsed="false">
      <c r="A408" s="37"/>
      <c r="B408" s="44"/>
      <c r="C408" s="44"/>
      <c r="D408" s="44"/>
      <c r="E408" s="44"/>
      <c r="F408" s="44"/>
      <c r="G408" s="44"/>
      <c r="H408" s="34" t="str">
        <f aca="false">IF(G408&lt;&gt;"",G408,IF(F408="","",IFERROR(INDEX(I_Item!$C$6:$C$255,MATCH(F408,I_Item!$A$6:$A$255,0)),"KODE BARU")))</f>
        <v/>
      </c>
      <c r="I408" s="45"/>
      <c r="J408" s="42"/>
      <c r="K408" s="11" t="str">
        <f aca="false">IF(I408="","",I408*J408)</f>
        <v/>
      </c>
      <c r="L408" s="34" t="str">
        <f aca="false">IF(H408="","",IFERROR(INDEX(I_Master!$B$6:$B$85,MATCH(H408,I_Master!$A$6:$A$85,0)),"?"))</f>
        <v/>
      </c>
      <c r="M408" s="46" t="str">
        <f aca="false">IF(I408="","",IF(OR(A408&lt;I_Parameter!$C$5,A408&gt;I_Parameter!$C$6),0,IF(B408="Aktual",1,IF(AND(B408="Rencana",A408&gt;=I_Parameter!$C$4),1,0))))</f>
        <v/>
      </c>
    </row>
    <row r="409" customFormat="false" ht="15" hidden="false" customHeight="false" outlineLevel="0" collapsed="false">
      <c r="A409" s="37"/>
      <c r="B409" s="44"/>
      <c r="C409" s="44"/>
      <c r="D409" s="44"/>
      <c r="E409" s="44"/>
      <c r="F409" s="44"/>
      <c r="G409" s="44"/>
      <c r="H409" s="34" t="str">
        <f aca="false">IF(G409&lt;&gt;"",G409,IF(F409="","",IFERROR(INDEX(I_Item!$C$6:$C$255,MATCH(F409,I_Item!$A$6:$A$255,0)),"KODE BARU")))</f>
        <v/>
      </c>
      <c r="I409" s="45"/>
      <c r="J409" s="42"/>
      <c r="K409" s="11" t="str">
        <f aca="false">IF(I409="","",I409*J409)</f>
        <v/>
      </c>
      <c r="L409" s="34" t="str">
        <f aca="false">IF(H409="","",IFERROR(INDEX(I_Master!$B$6:$B$85,MATCH(H409,I_Master!$A$6:$A$85,0)),"?"))</f>
        <v/>
      </c>
      <c r="M409" s="46" t="str">
        <f aca="false">IF(I409="","",IF(OR(A409&lt;I_Parameter!$C$5,A409&gt;I_Parameter!$C$6),0,IF(B409="Aktual",1,IF(AND(B409="Rencana",A409&gt;=I_Parameter!$C$4),1,0))))</f>
        <v/>
      </c>
    </row>
    <row r="410" customFormat="false" ht="15" hidden="false" customHeight="false" outlineLevel="0" collapsed="false">
      <c r="A410" s="37"/>
      <c r="B410" s="44"/>
      <c r="C410" s="44"/>
      <c r="D410" s="44"/>
      <c r="E410" s="44"/>
      <c r="F410" s="44"/>
      <c r="G410" s="44"/>
      <c r="H410" s="34" t="str">
        <f aca="false">IF(G410&lt;&gt;"",G410,IF(F410="","",IFERROR(INDEX(I_Item!$C$6:$C$255,MATCH(F410,I_Item!$A$6:$A$255,0)),"KODE BARU")))</f>
        <v/>
      </c>
      <c r="I410" s="45"/>
      <c r="J410" s="42"/>
      <c r="K410" s="11" t="str">
        <f aca="false">IF(I410="","",I410*J410)</f>
        <v/>
      </c>
      <c r="L410" s="34" t="str">
        <f aca="false">IF(H410="","",IFERROR(INDEX(I_Master!$B$6:$B$85,MATCH(H410,I_Master!$A$6:$A$85,0)),"?"))</f>
        <v/>
      </c>
      <c r="M410" s="46" t="str">
        <f aca="false">IF(I410="","",IF(OR(A410&lt;I_Parameter!$C$5,A410&gt;I_Parameter!$C$6),0,IF(B410="Aktual",1,IF(AND(B410="Rencana",A410&gt;=I_Parameter!$C$4),1,0))))</f>
        <v/>
      </c>
    </row>
    <row r="411" customFormat="false" ht="15" hidden="false" customHeight="false" outlineLevel="0" collapsed="false">
      <c r="A411" s="37"/>
      <c r="B411" s="44"/>
      <c r="C411" s="44"/>
      <c r="D411" s="44"/>
      <c r="E411" s="44"/>
      <c r="F411" s="44"/>
      <c r="G411" s="44"/>
      <c r="H411" s="34" t="str">
        <f aca="false">IF(G411&lt;&gt;"",G411,IF(F411="","",IFERROR(INDEX(I_Item!$C$6:$C$255,MATCH(F411,I_Item!$A$6:$A$255,0)),"KODE BARU")))</f>
        <v/>
      </c>
      <c r="I411" s="45"/>
      <c r="J411" s="42"/>
      <c r="K411" s="11" t="str">
        <f aca="false">IF(I411="","",I411*J411)</f>
        <v/>
      </c>
      <c r="L411" s="34" t="str">
        <f aca="false">IF(H411="","",IFERROR(INDEX(I_Master!$B$6:$B$85,MATCH(H411,I_Master!$A$6:$A$85,0)),"?"))</f>
        <v/>
      </c>
      <c r="M411" s="46" t="str">
        <f aca="false">IF(I411="","",IF(OR(A411&lt;I_Parameter!$C$5,A411&gt;I_Parameter!$C$6),0,IF(B411="Aktual",1,IF(AND(B411="Rencana",A411&gt;=I_Parameter!$C$4),1,0))))</f>
        <v/>
      </c>
    </row>
    <row r="412" customFormat="false" ht="15" hidden="false" customHeight="false" outlineLevel="0" collapsed="false">
      <c r="A412" s="37"/>
      <c r="B412" s="44"/>
      <c r="C412" s="44"/>
      <c r="D412" s="44"/>
      <c r="E412" s="44"/>
      <c r="F412" s="44"/>
      <c r="G412" s="44"/>
      <c r="H412" s="34" t="str">
        <f aca="false">IF(G412&lt;&gt;"",G412,IF(F412="","",IFERROR(INDEX(I_Item!$C$6:$C$255,MATCH(F412,I_Item!$A$6:$A$255,0)),"KODE BARU")))</f>
        <v/>
      </c>
      <c r="I412" s="45"/>
      <c r="J412" s="42"/>
      <c r="K412" s="11" t="str">
        <f aca="false">IF(I412="","",I412*J412)</f>
        <v/>
      </c>
      <c r="L412" s="34" t="str">
        <f aca="false">IF(H412="","",IFERROR(INDEX(I_Master!$B$6:$B$85,MATCH(H412,I_Master!$A$6:$A$85,0)),"?"))</f>
        <v/>
      </c>
      <c r="M412" s="46" t="str">
        <f aca="false">IF(I412="","",IF(OR(A412&lt;I_Parameter!$C$5,A412&gt;I_Parameter!$C$6),0,IF(B412="Aktual",1,IF(AND(B412="Rencana",A412&gt;=I_Parameter!$C$4),1,0))))</f>
        <v/>
      </c>
    </row>
    <row r="413" customFormat="false" ht="15" hidden="false" customHeight="false" outlineLevel="0" collapsed="false">
      <c r="A413" s="37"/>
      <c r="B413" s="44"/>
      <c r="C413" s="44"/>
      <c r="D413" s="44"/>
      <c r="E413" s="44"/>
      <c r="F413" s="44"/>
      <c r="G413" s="44"/>
      <c r="H413" s="34" t="str">
        <f aca="false">IF(G413&lt;&gt;"",G413,IF(F413="","",IFERROR(INDEX(I_Item!$C$6:$C$255,MATCH(F413,I_Item!$A$6:$A$255,0)),"KODE BARU")))</f>
        <v/>
      </c>
      <c r="I413" s="45"/>
      <c r="J413" s="42"/>
      <c r="K413" s="11" t="str">
        <f aca="false">IF(I413="","",I413*J413)</f>
        <v/>
      </c>
      <c r="L413" s="34" t="str">
        <f aca="false">IF(H413="","",IFERROR(INDEX(I_Master!$B$6:$B$85,MATCH(H413,I_Master!$A$6:$A$85,0)),"?"))</f>
        <v/>
      </c>
      <c r="M413" s="46" t="str">
        <f aca="false">IF(I413="","",IF(OR(A413&lt;I_Parameter!$C$5,A413&gt;I_Parameter!$C$6),0,IF(B413="Aktual",1,IF(AND(B413="Rencana",A413&gt;=I_Parameter!$C$4),1,0))))</f>
        <v/>
      </c>
    </row>
    <row r="414" customFormat="false" ht="15" hidden="false" customHeight="false" outlineLevel="0" collapsed="false">
      <c r="A414" s="37"/>
      <c r="B414" s="44"/>
      <c r="C414" s="44"/>
      <c r="D414" s="44"/>
      <c r="E414" s="44"/>
      <c r="F414" s="44"/>
      <c r="G414" s="44"/>
      <c r="H414" s="34" t="str">
        <f aca="false">IF(G414&lt;&gt;"",G414,IF(F414="","",IFERROR(INDEX(I_Item!$C$6:$C$255,MATCH(F414,I_Item!$A$6:$A$255,0)),"KODE BARU")))</f>
        <v/>
      </c>
      <c r="I414" s="45"/>
      <c r="J414" s="42"/>
      <c r="K414" s="11" t="str">
        <f aca="false">IF(I414="","",I414*J414)</f>
        <v/>
      </c>
      <c r="L414" s="34" t="str">
        <f aca="false">IF(H414="","",IFERROR(INDEX(I_Master!$B$6:$B$85,MATCH(H414,I_Master!$A$6:$A$85,0)),"?"))</f>
        <v/>
      </c>
      <c r="M414" s="46" t="str">
        <f aca="false">IF(I414="","",IF(OR(A414&lt;I_Parameter!$C$5,A414&gt;I_Parameter!$C$6),0,IF(B414="Aktual",1,IF(AND(B414="Rencana",A414&gt;=I_Parameter!$C$4),1,0))))</f>
        <v/>
      </c>
    </row>
    <row r="415" customFormat="false" ht="15" hidden="false" customHeight="false" outlineLevel="0" collapsed="false">
      <c r="A415" s="37"/>
      <c r="B415" s="44"/>
      <c r="C415" s="44"/>
      <c r="D415" s="44"/>
      <c r="E415" s="44"/>
      <c r="F415" s="44"/>
      <c r="G415" s="44"/>
      <c r="H415" s="34" t="str">
        <f aca="false">IF(G415&lt;&gt;"",G415,IF(F415="","",IFERROR(INDEX(I_Item!$C$6:$C$255,MATCH(F415,I_Item!$A$6:$A$255,0)),"KODE BARU")))</f>
        <v/>
      </c>
      <c r="I415" s="45"/>
      <c r="J415" s="42"/>
      <c r="K415" s="11" t="str">
        <f aca="false">IF(I415="","",I415*J415)</f>
        <v/>
      </c>
      <c r="L415" s="34" t="str">
        <f aca="false">IF(H415="","",IFERROR(INDEX(I_Master!$B$6:$B$85,MATCH(H415,I_Master!$A$6:$A$85,0)),"?"))</f>
        <v/>
      </c>
      <c r="M415" s="46" t="str">
        <f aca="false">IF(I415="","",IF(OR(A415&lt;I_Parameter!$C$5,A415&gt;I_Parameter!$C$6),0,IF(B415="Aktual",1,IF(AND(B415="Rencana",A415&gt;=I_Parameter!$C$4),1,0))))</f>
        <v/>
      </c>
    </row>
    <row r="416" customFormat="false" ht="15" hidden="false" customHeight="false" outlineLevel="0" collapsed="false">
      <c r="A416" s="37"/>
      <c r="B416" s="44"/>
      <c r="C416" s="44"/>
      <c r="D416" s="44"/>
      <c r="E416" s="44"/>
      <c r="F416" s="44"/>
      <c r="G416" s="44"/>
      <c r="H416" s="34" t="str">
        <f aca="false">IF(G416&lt;&gt;"",G416,IF(F416="","",IFERROR(INDEX(I_Item!$C$6:$C$255,MATCH(F416,I_Item!$A$6:$A$255,0)),"KODE BARU")))</f>
        <v/>
      </c>
      <c r="I416" s="45"/>
      <c r="J416" s="42"/>
      <c r="K416" s="11" t="str">
        <f aca="false">IF(I416="","",I416*J416)</f>
        <v/>
      </c>
      <c r="L416" s="34" t="str">
        <f aca="false">IF(H416="","",IFERROR(INDEX(I_Master!$B$6:$B$85,MATCH(H416,I_Master!$A$6:$A$85,0)),"?"))</f>
        <v/>
      </c>
      <c r="M416" s="46" t="str">
        <f aca="false">IF(I416="","",IF(OR(A416&lt;I_Parameter!$C$5,A416&gt;I_Parameter!$C$6),0,IF(B416="Aktual",1,IF(AND(B416="Rencana",A416&gt;=I_Parameter!$C$4),1,0))))</f>
        <v/>
      </c>
    </row>
    <row r="417" customFormat="false" ht="15" hidden="false" customHeight="false" outlineLevel="0" collapsed="false">
      <c r="A417" s="37"/>
      <c r="B417" s="44"/>
      <c r="C417" s="44"/>
      <c r="D417" s="44"/>
      <c r="E417" s="44"/>
      <c r="F417" s="44"/>
      <c r="G417" s="44"/>
      <c r="H417" s="34" t="str">
        <f aca="false">IF(G417&lt;&gt;"",G417,IF(F417="","",IFERROR(INDEX(I_Item!$C$6:$C$255,MATCH(F417,I_Item!$A$6:$A$255,0)),"KODE BARU")))</f>
        <v/>
      </c>
      <c r="I417" s="45"/>
      <c r="J417" s="42"/>
      <c r="K417" s="11" t="str">
        <f aca="false">IF(I417="","",I417*J417)</f>
        <v/>
      </c>
      <c r="L417" s="34" t="str">
        <f aca="false">IF(H417="","",IFERROR(INDEX(I_Master!$B$6:$B$85,MATCH(H417,I_Master!$A$6:$A$85,0)),"?"))</f>
        <v/>
      </c>
      <c r="M417" s="46" t="str">
        <f aca="false">IF(I417="","",IF(OR(A417&lt;I_Parameter!$C$5,A417&gt;I_Parameter!$C$6),0,IF(B417="Aktual",1,IF(AND(B417="Rencana",A417&gt;=I_Parameter!$C$4),1,0))))</f>
        <v/>
      </c>
    </row>
    <row r="418" customFormat="false" ht="15" hidden="false" customHeight="false" outlineLevel="0" collapsed="false">
      <c r="A418" s="37"/>
      <c r="B418" s="44"/>
      <c r="C418" s="44"/>
      <c r="D418" s="44"/>
      <c r="E418" s="44"/>
      <c r="F418" s="44"/>
      <c r="G418" s="44"/>
      <c r="H418" s="34" t="str">
        <f aca="false">IF(G418&lt;&gt;"",G418,IF(F418="","",IFERROR(INDEX(I_Item!$C$6:$C$255,MATCH(F418,I_Item!$A$6:$A$255,0)),"KODE BARU")))</f>
        <v/>
      </c>
      <c r="I418" s="45"/>
      <c r="J418" s="42"/>
      <c r="K418" s="11" t="str">
        <f aca="false">IF(I418="","",I418*J418)</f>
        <v/>
      </c>
      <c r="L418" s="34" t="str">
        <f aca="false">IF(H418="","",IFERROR(INDEX(I_Master!$B$6:$B$85,MATCH(H418,I_Master!$A$6:$A$85,0)),"?"))</f>
        <v/>
      </c>
      <c r="M418" s="46" t="str">
        <f aca="false">IF(I418="","",IF(OR(A418&lt;I_Parameter!$C$5,A418&gt;I_Parameter!$C$6),0,IF(B418="Aktual",1,IF(AND(B418="Rencana",A418&gt;=I_Parameter!$C$4),1,0))))</f>
        <v/>
      </c>
    </row>
    <row r="419" customFormat="false" ht="15" hidden="false" customHeight="false" outlineLevel="0" collapsed="false">
      <c r="A419" s="37"/>
      <c r="B419" s="44"/>
      <c r="C419" s="44"/>
      <c r="D419" s="44"/>
      <c r="E419" s="44"/>
      <c r="F419" s="44"/>
      <c r="G419" s="44"/>
      <c r="H419" s="34" t="str">
        <f aca="false">IF(G419&lt;&gt;"",G419,IF(F419="","",IFERROR(INDEX(I_Item!$C$6:$C$255,MATCH(F419,I_Item!$A$6:$A$255,0)),"KODE BARU")))</f>
        <v/>
      </c>
      <c r="I419" s="45"/>
      <c r="J419" s="42"/>
      <c r="K419" s="11" t="str">
        <f aca="false">IF(I419="","",I419*J419)</f>
        <v/>
      </c>
      <c r="L419" s="34" t="str">
        <f aca="false">IF(H419="","",IFERROR(INDEX(I_Master!$B$6:$B$85,MATCH(H419,I_Master!$A$6:$A$85,0)),"?"))</f>
        <v/>
      </c>
      <c r="M419" s="46" t="str">
        <f aca="false">IF(I419="","",IF(OR(A419&lt;I_Parameter!$C$5,A419&gt;I_Parameter!$C$6),0,IF(B419="Aktual",1,IF(AND(B419="Rencana",A419&gt;=I_Parameter!$C$4),1,0))))</f>
        <v/>
      </c>
    </row>
    <row r="420" customFormat="false" ht="15" hidden="false" customHeight="false" outlineLevel="0" collapsed="false">
      <c r="A420" s="37"/>
      <c r="B420" s="44"/>
      <c r="C420" s="44"/>
      <c r="D420" s="44"/>
      <c r="E420" s="44"/>
      <c r="F420" s="44"/>
      <c r="G420" s="44"/>
      <c r="H420" s="34" t="str">
        <f aca="false">IF(G420&lt;&gt;"",G420,IF(F420="","",IFERROR(INDEX(I_Item!$C$6:$C$255,MATCH(F420,I_Item!$A$6:$A$255,0)),"KODE BARU")))</f>
        <v/>
      </c>
      <c r="I420" s="45"/>
      <c r="J420" s="42"/>
      <c r="K420" s="11" t="str">
        <f aca="false">IF(I420="","",I420*J420)</f>
        <v/>
      </c>
      <c r="L420" s="34" t="str">
        <f aca="false">IF(H420="","",IFERROR(INDEX(I_Master!$B$6:$B$85,MATCH(H420,I_Master!$A$6:$A$85,0)),"?"))</f>
        <v/>
      </c>
      <c r="M420" s="46" t="str">
        <f aca="false">IF(I420="","",IF(OR(A420&lt;I_Parameter!$C$5,A420&gt;I_Parameter!$C$6),0,IF(B420="Aktual",1,IF(AND(B420="Rencana",A420&gt;=I_Parameter!$C$4),1,0))))</f>
        <v/>
      </c>
    </row>
    <row r="421" customFormat="false" ht="15" hidden="false" customHeight="false" outlineLevel="0" collapsed="false">
      <c r="A421" s="37"/>
      <c r="B421" s="44"/>
      <c r="C421" s="44"/>
      <c r="D421" s="44"/>
      <c r="E421" s="44"/>
      <c r="F421" s="44"/>
      <c r="G421" s="44"/>
      <c r="H421" s="34" t="str">
        <f aca="false">IF(G421&lt;&gt;"",G421,IF(F421="","",IFERROR(INDEX(I_Item!$C$6:$C$255,MATCH(F421,I_Item!$A$6:$A$255,0)),"KODE BARU")))</f>
        <v/>
      </c>
      <c r="I421" s="45"/>
      <c r="J421" s="42"/>
      <c r="K421" s="11" t="str">
        <f aca="false">IF(I421="","",I421*J421)</f>
        <v/>
      </c>
      <c r="L421" s="34" t="str">
        <f aca="false">IF(H421="","",IFERROR(INDEX(I_Master!$B$6:$B$85,MATCH(H421,I_Master!$A$6:$A$85,0)),"?"))</f>
        <v/>
      </c>
      <c r="M421" s="46" t="str">
        <f aca="false">IF(I421="","",IF(OR(A421&lt;I_Parameter!$C$5,A421&gt;I_Parameter!$C$6),0,IF(B421="Aktual",1,IF(AND(B421="Rencana",A421&gt;=I_Parameter!$C$4),1,0))))</f>
        <v/>
      </c>
    </row>
    <row r="422" customFormat="false" ht="15" hidden="false" customHeight="false" outlineLevel="0" collapsed="false">
      <c r="A422" s="37"/>
      <c r="B422" s="44"/>
      <c r="C422" s="44"/>
      <c r="D422" s="44"/>
      <c r="E422" s="44"/>
      <c r="F422" s="44"/>
      <c r="G422" s="44"/>
      <c r="H422" s="34" t="str">
        <f aca="false">IF(G422&lt;&gt;"",G422,IF(F422="","",IFERROR(INDEX(I_Item!$C$6:$C$255,MATCH(F422,I_Item!$A$6:$A$255,0)),"KODE BARU")))</f>
        <v/>
      </c>
      <c r="I422" s="45"/>
      <c r="J422" s="42"/>
      <c r="K422" s="11" t="str">
        <f aca="false">IF(I422="","",I422*J422)</f>
        <v/>
      </c>
      <c r="L422" s="34" t="str">
        <f aca="false">IF(H422="","",IFERROR(INDEX(I_Master!$B$6:$B$85,MATCH(H422,I_Master!$A$6:$A$85,0)),"?"))</f>
        <v/>
      </c>
      <c r="M422" s="46" t="str">
        <f aca="false">IF(I422="","",IF(OR(A422&lt;I_Parameter!$C$5,A422&gt;I_Parameter!$C$6),0,IF(B422="Aktual",1,IF(AND(B422="Rencana",A422&gt;=I_Parameter!$C$4),1,0))))</f>
        <v/>
      </c>
    </row>
    <row r="423" customFormat="false" ht="15" hidden="false" customHeight="false" outlineLevel="0" collapsed="false">
      <c r="A423" s="37"/>
      <c r="B423" s="44"/>
      <c r="C423" s="44"/>
      <c r="D423" s="44"/>
      <c r="E423" s="44"/>
      <c r="F423" s="44"/>
      <c r="G423" s="44"/>
      <c r="H423" s="34" t="str">
        <f aca="false">IF(G423&lt;&gt;"",G423,IF(F423="","",IFERROR(INDEX(I_Item!$C$6:$C$255,MATCH(F423,I_Item!$A$6:$A$255,0)),"KODE BARU")))</f>
        <v/>
      </c>
      <c r="I423" s="45"/>
      <c r="J423" s="42"/>
      <c r="K423" s="11" t="str">
        <f aca="false">IF(I423="","",I423*J423)</f>
        <v/>
      </c>
      <c r="L423" s="34" t="str">
        <f aca="false">IF(H423="","",IFERROR(INDEX(I_Master!$B$6:$B$85,MATCH(H423,I_Master!$A$6:$A$85,0)),"?"))</f>
        <v/>
      </c>
      <c r="M423" s="46" t="str">
        <f aca="false">IF(I423="","",IF(OR(A423&lt;I_Parameter!$C$5,A423&gt;I_Parameter!$C$6),0,IF(B423="Aktual",1,IF(AND(B423="Rencana",A423&gt;=I_Parameter!$C$4),1,0))))</f>
        <v/>
      </c>
    </row>
    <row r="424" customFormat="false" ht="15" hidden="false" customHeight="false" outlineLevel="0" collapsed="false">
      <c r="A424" s="37"/>
      <c r="B424" s="44"/>
      <c r="C424" s="44"/>
      <c r="D424" s="44"/>
      <c r="E424" s="44"/>
      <c r="F424" s="44"/>
      <c r="G424" s="44"/>
      <c r="H424" s="34" t="str">
        <f aca="false">IF(G424&lt;&gt;"",G424,IF(F424="","",IFERROR(INDEX(I_Item!$C$6:$C$255,MATCH(F424,I_Item!$A$6:$A$255,0)),"KODE BARU")))</f>
        <v/>
      </c>
      <c r="I424" s="45"/>
      <c r="J424" s="42"/>
      <c r="K424" s="11" t="str">
        <f aca="false">IF(I424="","",I424*J424)</f>
        <v/>
      </c>
      <c r="L424" s="34" t="str">
        <f aca="false">IF(H424="","",IFERROR(INDEX(I_Master!$B$6:$B$85,MATCH(H424,I_Master!$A$6:$A$85,0)),"?"))</f>
        <v/>
      </c>
      <c r="M424" s="46" t="str">
        <f aca="false">IF(I424="","",IF(OR(A424&lt;I_Parameter!$C$5,A424&gt;I_Parameter!$C$6),0,IF(B424="Aktual",1,IF(AND(B424="Rencana",A424&gt;=I_Parameter!$C$4),1,0))))</f>
        <v/>
      </c>
    </row>
    <row r="425" customFormat="false" ht="15" hidden="false" customHeight="false" outlineLevel="0" collapsed="false">
      <c r="A425" s="37"/>
      <c r="B425" s="44"/>
      <c r="C425" s="44"/>
      <c r="D425" s="44"/>
      <c r="E425" s="44"/>
      <c r="F425" s="44"/>
      <c r="G425" s="44"/>
      <c r="H425" s="34" t="str">
        <f aca="false">IF(G425&lt;&gt;"",G425,IF(F425="","",IFERROR(INDEX(I_Item!$C$6:$C$255,MATCH(F425,I_Item!$A$6:$A$255,0)),"KODE BARU")))</f>
        <v/>
      </c>
      <c r="I425" s="45"/>
      <c r="J425" s="42"/>
      <c r="K425" s="11" t="str">
        <f aca="false">IF(I425="","",I425*J425)</f>
        <v/>
      </c>
      <c r="L425" s="34" t="str">
        <f aca="false">IF(H425="","",IFERROR(INDEX(I_Master!$B$6:$B$85,MATCH(H425,I_Master!$A$6:$A$85,0)),"?"))</f>
        <v/>
      </c>
      <c r="M425" s="46" t="str">
        <f aca="false">IF(I425="","",IF(OR(A425&lt;I_Parameter!$C$5,A425&gt;I_Parameter!$C$6),0,IF(B425="Aktual",1,IF(AND(B425="Rencana",A425&gt;=I_Parameter!$C$4),1,0))))</f>
        <v/>
      </c>
    </row>
    <row r="426" customFormat="false" ht="15" hidden="false" customHeight="false" outlineLevel="0" collapsed="false">
      <c r="A426" s="37"/>
      <c r="B426" s="44"/>
      <c r="C426" s="44"/>
      <c r="D426" s="44"/>
      <c r="E426" s="44"/>
      <c r="F426" s="44"/>
      <c r="G426" s="44"/>
      <c r="H426" s="34" t="str">
        <f aca="false">IF(G426&lt;&gt;"",G426,IF(F426="","",IFERROR(INDEX(I_Item!$C$6:$C$255,MATCH(F426,I_Item!$A$6:$A$255,0)),"KODE BARU")))</f>
        <v/>
      </c>
      <c r="I426" s="45"/>
      <c r="J426" s="42"/>
      <c r="K426" s="11" t="str">
        <f aca="false">IF(I426="","",I426*J426)</f>
        <v/>
      </c>
      <c r="L426" s="34" t="str">
        <f aca="false">IF(H426="","",IFERROR(INDEX(I_Master!$B$6:$B$85,MATCH(H426,I_Master!$A$6:$A$85,0)),"?"))</f>
        <v/>
      </c>
      <c r="M426" s="46" t="str">
        <f aca="false">IF(I426="","",IF(OR(A426&lt;I_Parameter!$C$5,A426&gt;I_Parameter!$C$6),0,IF(B426="Aktual",1,IF(AND(B426="Rencana",A426&gt;=I_Parameter!$C$4),1,0))))</f>
        <v/>
      </c>
    </row>
    <row r="427" customFormat="false" ht="15" hidden="false" customHeight="false" outlineLevel="0" collapsed="false">
      <c r="A427" s="37"/>
      <c r="B427" s="44"/>
      <c r="C427" s="44"/>
      <c r="D427" s="44"/>
      <c r="E427" s="44"/>
      <c r="F427" s="44"/>
      <c r="G427" s="44"/>
      <c r="H427" s="34" t="str">
        <f aca="false">IF(G427&lt;&gt;"",G427,IF(F427="","",IFERROR(INDEX(I_Item!$C$6:$C$255,MATCH(F427,I_Item!$A$6:$A$255,0)),"KODE BARU")))</f>
        <v/>
      </c>
      <c r="I427" s="45"/>
      <c r="J427" s="42"/>
      <c r="K427" s="11" t="str">
        <f aca="false">IF(I427="","",I427*J427)</f>
        <v/>
      </c>
      <c r="L427" s="34" t="str">
        <f aca="false">IF(H427="","",IFERROR(INDEX(I_Master!$B$6:$B$85,MATCH(H427,I_Master!$A$6:$A$85,0)),"?"))</f>
        <v/>
      </c>
      <c r="M427" s="46" t="str">
        <f aca="false">IF(I427="","",IF(OR(A427&lt;I_Parameter!$C$5,A427&gt;I_Parameter!$C$6),0,IF(B427="Aktual",1,IF(AND(B427="Rencana",A427&gt;=I_Parameter!$C$4),1,0))))</f>
        <v/>
      </c>
    </row>
    <row r="428" customFormat="false" ht="15" hidden="false" customHeight="false" outlineLevel="0" collapsed="false">
      <c r="A428" s="37"/>
      <c r="B428" s="44"/>
      <c r="C428" s="44"/>
      <c r="D428" s="44"/>
      <c r="E428" s="44"/>
      <c r="F428" s="44"/>
      <c r="G428" s="44"/>
      <c r="H428" s="34" t="str">
        <f aca="false">IF(G428&lt;&gt;"",G428,IF(F428="","",IFERROR(INDEX(I_Item!$C$6:$C$255,MATCH(F428,I_Item!$A$6:$A$255,0)),"KODE BARU")))</f>
        <v/>
      </c>
      <c r="I428" s="45"/>
      <c r="J428" s="42"/>
      <c r="K428" s="11" t="str">
        <f aca="false">IF(I428="","",I428*J428)</f>
        <v/>
      </c>
      <c r="L428" s="34" t="str">
        <f aca="false">IF(H428="","",IFERROR(INDEX(I_Master!$B$6:$B$85,MATCH(H428,I_Master!$A$6:$A$85,0)),"?"))</f>
        <v/>
      </c>
      <c r="M428" s="46" t="str">
        <f aca="false">IF(I428="","",IF(OR(A428&lt;I_Parameter!$C$5,A428&gt;I_Parameter!$C$6),0,IF(B428="Aktual",1,IF(AND(B428="Rencana",A428&gt;=I_Parameter!$C$4),1,0))))</f>
        <v/>
      </c>
    </row>
    <row r="429" customFormat="false" ht="15" hidden="false" customHeight="false" outlineLevel="0" collapsed="false">
      <c r="A429" s="37"/>
      <c r="B429" s="44"/>
      <c r="C429" s="44"/>
      <c r="D429" s="44"/>
      <c r="E429" s="44"/>
      <c r="F429" s="44"/>
      <c r="G429" s="44"/>
      <c r="H429" s="34" t="str">
        <f aca="false">IF(G429&lt;&gt;"",G429,IF(F429="","",IFERROR(INDEX(I_Item!$C$6:$C$255,MATCH(F429,I_Item!$A$6:$A$255,0)),"KODE BARU")))</f>
        <v/>
      </c>
      <c r="I429" s="45"/>
      <c r="J429" s="42"/>
      <c r="K429" s="11" t="str">
        <f aca="false">IF(I429="","",I429*J429)</f>
        <v/>
      </c>
      <c r="L429" s="34" t="str">
        <f aca="false">IF(H429="","",IFERROR(INDEX(I_Master!$B$6:$B$85,MATCH(H429,I_Master!$A$6:$A$85,0)),"?"))</f>
        <v/>
      </c>
      <c r="M429" s="46" t="str">
        <f aca="false">IF(I429="","",IF(OR(A429&lt;I_Parameter!$C$5,A429&gt;I_Parameter!$C$6),0,IF(B429="Aktual",1,IF(AND(B429="Rencana",A429&gt;=I_Parameter!$C$4),1,0))))</f>
        <v/>
      </c>
    </row>
    <row r="430" customFormat="false" ht="15" hidden="false" customHeight="false" outlineLevel="0" collapsed="false">
      <c r="A430" s="37"/>
      <c r="B430" s="44"/>
      <c r="C430" s="44"/>
      <c r="D430" s="44"/>
      <c r="E430" s="44"/>
      <c r="F430" s="44"/>
      <c r="G430" s="44"/>
      <c r="H430" s="34" t="str">
        <f aca="false">IF(G430&lt;&gt;"",G430,IF(F430="","",IFERROR(INDEX(I_Item!$C$6:$C$255,MATCH(F430,I_Item!$A$6:$A$255,0)),"KODE BARU")))</f>
        <v/>
      </c>
      <c r="I430" s="45"/>
      <c r="J430" s="42"/>
      <c r="K430" s="11" t="str">
        <f aca="false">IF(I430="","",I430*J430)</f>
        <v/>
      </c>
      <c r="L430" s="34" t="str">
        <f aca="false">IF(H430="","",IFERROR(INDEX(I_Master!$B$6:$B$85,MATCH(H430,I_Master!$A$6:$A$85,0)),"?"))</f>
        <v/>
      </c>
      <c r="M430" s="46" t="str">
        <f aca="false">IF(I430="","",IF(OR(A430&lt;I_Parameter!$C$5,A430&gt;I_Parameter!$C$6),0,IF(B430="Aktual",1,IF(AND(B430="Rencana",A430&gt;=I_Parameter!$C$4),1,0))))</f>
        <v/>
      </c>
    </row>
    <row r="431" customFormat="false" ht="15" hidden="false" customHeight="false" outlineLevel="0" collapsed="false">
      <c r="A431" s="37"/>
      <c r="B431" s="44"/>
      <c r="C431" s="44"/>
      <c r="D431" s="44"/>
      <c r="E431" s="44"/>
      <c r="F431" s="44"/>
      <c r="G431" s="44"/>
      <c r="H431" s="34" t="str">
        <f aca="false">IF(G431&lt;&gt;"",G431,IF(F431="","",IFERROR(INDEX(I_Item!$C$6:$C$255,MATCH(F431,I_Item!$A$6:$A$255,0)),"KODE BARU")))</f>
        <v/>
      </c>
      <c r="I431" s="45"/>
      <c r="J431" s="42"/>
      <c r="K431" s="11" t="str">
        <f aca="false">IF(I431="","",I431*J431)</f>
        <v/>
      </c>
      <c r="L431" s="34" t="str">
        <f aca="false">IF(H431="","",IFERROR(INDEX(I_Master!$B$6:$B$85,MATCH(H431,I_Master!$A$6:$A$85,0)),"?"))</f>
        <v/>
      </c>
      <c r="M431" s="46" t="str">
        <f aca="false">IF(I431="","",IF(OR(A431&lt;I_Parameter!$C$5,A431&gt;I_Parameter!$C$6),0,IF(B431="Aktual",1,IF(AND(B431="Rencana",A431&gt;=I_Parameter!$C$4),1,0))))</f>
        <v/>
      </c>
    </row>
    <row r="432" customFormat="false" ht="15" hidden="false" customHeight="false" outlineLevel="0" collapsed="false">
      <c r="A432" s="37"/>
      <c r="B432" s="44"/>
      <c r="C432" s="44"/>
      <c r="D432" s="44"/>
      <c r="E432" s="44"/>
      <c r="F432" s="44"/>
      <c r="G432" s="44"/>
      <c r="H432" s="34" t="str">
        <f aca="false">IF(G432&lt;&gt;"",G432,IF(F432="","",IFERROR(INDEX(I_Item!$C$6:$C$255,MATCH(F432,I_Item!$A$6:$A$255,0)),"KODE BARU")))</f>
        <v/>
      </c>
      <c r="I432" s="45"/>
      <c r="J432" s="42"/>
      <c r="K432" s="11" t="str">
        <f aca="false">IF(I432="","",I432*J432)</f>
        <v/>
      </c>
      <c r="L432" s="34" t="str">
        <f aca="false">IF(H432="","",IFERROR(INDEX(I_Master!$B$6:$B$85,MATCH(H432,I_Master!$A$6:$A$85,0)),"?"))</f>
        <v/>
      </c>
      <c r="M432" s="46" t="str">
        <f aca="false">IF(I432="","",IF(OR(A432&lt;I_Parameter!$C$5,A432&gt;I_Parameter!$C$6),0,IF(B432="Aktual",1,IF(AND(B432="Rencana",A432&gt;=I_Parameter!$C$4),1,0))))</f>
        <v/>
      </c>
    </row>
    <row r="433" customFormat="false" ht="15" hidden="false" customHeight="false" outlineLevel="0" collapsed="false">
      <c r="A433" s="37"/>
      <c r="B433" s="44"/>
      <c r="C433" s="44"/>
      <c r="D433" s="44"/>
      <c r="E433" s="44"/>
      <c r="F433" s="44"/>
      <c r="G433" s="44"/>
      <c r="H433" s="34" t="str">
        <f aca="false">IF(G433&lt;&gt;"",G433,IF(F433="","",IFERROR(INDEX(I_Item!$C$6:$C$255,MATCH(F433,I_Item!$A$6:$A$255,0)),"KODE BARU")))</f>
        <v/>
      </c>
      <c r="I433" s="45"/>
      <c r="J433" s="42"/>
      <c r="K433" s="11" t="str">
        <f aca="false">IF(I433="","",I433*J433)</f>
        <v/>
      </c>
      <c r="L433" s="34" t="str">
        <f aca="false">IF(H433="","",IFERROR(INDEX(I_Master!$B$6:$B$85,MATCH(H433,I_Master!$A$6:$A$85,0)),"?"))</f>
        <v/>
      </c>
      <c r="M433" s="46" t="str">
        <f aca="false">IF(I433="","",IF(OR(A433&lt;I_Parameter!$C$5,A433&gt;I_Parameter!$C$6),0,IF(B433="Aktual",1,IF(AND(B433="Rencana",A433&gt;=I_Parameter!$C$4),1,0))))</f>
        <v/>
      </c>
    </row>
    <row r="434" customFormat="false" ht="15" hidden="false" customHeight="false" outlineLevel="0" collapsed="false">
      <c r="A434" s="37"/>
      <c r="B434" s="44"/>
      <c r="C434" s="44"/>
      <c r="D434" s="44"/>
      <c r="E434" s="44"/>
      <c r="F434" s="44"/>
      <c r="G434" s="44"/>
      <c r="H434" s="34" t="str">
        <f aca="false">IF(G434&lt;&gt;"",G434,IF(F434="","",IFERROR(INDEX(I_Item!$C$6:$C$255,MATCH(F434,I_Item!$A$6:$A$255,0)),"KODE BARU")))</f>
        <v/>
      </c>
      <c r="I434" s="45"/>
      <c r="J434" s="42"/>
      <c r="K434" s="11" t="str">
        <f aca="false">IF(I434="","",I434*J434)</f>
        <v/>
      </c>
      <c r="L434" s="34" t="str">
        <f aca="false">IF(H434="","",IFERROR(INDEX(I_Master!$B$6:$B$85,MATCH(H434,I_Master!$A$6:$A$85,0)),"?"))</f>
        <v/>
      </c>
      <c r="M434" s="46" t="str">
        <f aca="false">IF(I434="","",IF(OR(A434&lt;I_Parameter!$C$5,A434&gt;I_Parameter!$C$6),0,IF(B434="Aktual",1,IF(AND(B434="Rencana",A434&gt;=I_Parameter!$C$4),1,0))))</f>
        <v/>
      </c>
    </row>
    <row r="435" customFormat="false" ht="15" hidden="false" customHeight="false" outlineLevel="0" collapsed="false">
      <c r="A435" s="37"/>
      <c r="B435" s="44"/>
      <c r="C435" s="44"/>
      <c r="D435" s="44"/>
      <c r="E435" s="44"/>
      <c r="F435" s="44"/>
      <c r="G435" s="44"/>
      <c r="H435" s="34" t="str">
        <f aca="false">IF(G435&lt;&gt;"",G435,IF(F435="","",IFERROR(INDEX(I_Item!$C$6:$C$255,MATCH(F435,I_Item!$A$6:$A$255,0)),"KODE BARU")))</f>
        <v/>
      </c>
      <c r="I435" s="45"/>
      <c r="J435" s="42"/>
      <c r="K435" s="11" t="str">
        <f aca="false">IF(I435="","",I435*J435)</f>
        <v/>
      </c>
      <c r="L435" s="34" t="str">
        <f aca="false">IF(H435="","",IFERROR(INDEX(I_Master!$B$6:$B$85,MATCH(H435,I_Master!$A$6:$A$85,0)),"?"))</f>
        <v/>
      </c>
      <c r="M435" s="46" t="str">
        <f aca="false">IF(I435="","",IF(OR(A435&lt;I_Parameter!$C$5,A435&gt;I_Parameter!$C$6),0,IF(B435="Aktual",1,IF(AND(B435="Rencana",A435&gt;=I_Parameter!$C$4),1,0))))</f>
        <v/>
      </c>
    </row>
    <row r="436" customFormat="false" ht="15" hidden="false" customHeight="false" outlineLevel="0" collapsed="false">
      <c r="A436" s="37"/>
      <c r="B436" s="44"/>
      <c r="C436" s="44"/>
      <c r="D436" s="44"/>
      <c r="E436" s="44"/>
      <c r="F436" s="44"/>
      <c r="G436" s="44"/>
      <c r="H436" s="34" t="str">
        <f aca="false">IF(G436&lt;&gt;"",G436,IF(F436="","",IFERROR(INDEX(I_Item!$C$6:$C$255,MATCH(F436,I_Item!$A$6:$A$255,0)),"KODE BARU")))</f>
        <v/>
      </c>
      <c r="I436" s="45"/>
      <c r="J436" s="42"/>
      <c r="K436" s="11" t="str">
        <f aca="false">IF(I436="","",I436*J436)</f>
        <v/>
      </c>
      <c r="L436" s="34" t="str">
        <f aca="false">IF(H436="","",IFERROR(INDEX(I_Master!$B$6:$B$85,MATCH(H436,I_Master!$A$6:$A$85,0)),"?"))</f>
        <v/>
      </c>
      <c r="M436" s="46" t="str">
        <f aca="false">IF(I436="","",IF(OR(A436&lt;I_Parameter!$C$5,A436&gt;I_Parameter!$C$6),0,IF(B436="Aktual",1,IF(AND(B436="Rencana",A436&gt;=I_Parameter!$C$4),1,0))))</f>
        <v/>
      </c>
    </row>
    <row r="437" customFormat="false" ht="15" hidden="false" customHeight="false" outlineLevel="0" collapsed="false">
      <c r="A437" s="37"/>
      <c r="B437" s="44"/>
      <c r="C437" s="44"/>
      <c r="D437" s="44"/>
      <c r="E437" s="44"/>
      <c r="F437" s="44"/>
      <c r="G437" s="44"/>
      <c r="H437" s="34" t="str">
        <f aca="false">IF(G437&lt;&gt;"",G437,IF(F437="","",IFERROR(INDEX(I_Item!$C$6:$C$255,MATCH(F437,I_Item!$A$6:$A$255,0)),"KODE BARU")))</f>
        <v/>
      </c>
      <c r="I437" s="45"/>
      <c r="J437" s="42"/>
      <c r="K437" s="11" t="str">
        <f aca="false">IF(I437="","",I437*J437)</f>
        <v/>
      </c>
      <c r="L437" s="34" t="str">
        <f aca="false">IF(H437="","",IFERROR(INDEX(I_Master!$B$6:$B$85,MATCH(H437,I_Master!$A$6:$A$85,0)),"?"))</f>
        <v/>
      </c>
      <c r="M437" s="46" t="str">
        <f aca="false">IF(I437="","",IF(OR(A437&lt;I_Parameter!$C$5,A437&gt;I_Parameter!$C$6),0,IF(B437="Aktual",1,IF(AND(B437="Rencana",A437&gt;=I_Parameter!$C$4),1,0))))</f>
        <v/>
      </c>
    </row>
    <row r="438" customFormat="false" ht="15" hidden="false" customHeight="false" outlineLevel="0" collapsed="false">
      <c r="A438" s="37"/>
      <c r="B438" s="44"/>
      <c r="C438" s="44"/>
      <c r="D438" s="44"/>
      <c r="E438" s="44"/>
      <c r="F438" s="44"/>
      <c r="G438" s="44"/>
      <c r="H438" s="34" t="str">
        <f aca="false">IF(G438&lt;&gt;"",G438,IF(F438="","",IFERROR(INDEX(I_Item!$C$6:$C$255,MATCH(F438,I_Item!$A$6:$A$255,0)),"KODE BARU")))</f>
        <v/>
      </c>
      <c r="I438" s="45"/>
      <c r="J438" s="42"/>
      <c r="K438" s="11" t="str">
        <f aca="false">IF(I438="","",I438*J438)</f>
        <v/>
      </c>
      <c r="L438" s="34" t="str">
        <f aca="false">IF(H438="","",IFERROR(INDEX(I_Master!$B$6:$B$85,MATCH(H438,I_Master!$A$6:$A$85,0)),"?"))</f>
        <v/>
      </c>
      <c r="M438" s="46" t="str">
        <f aca="false">IF(I438="","",IF(OR(A438&lt;I_Parameter!$C$5,A438&gt;I_Parameter!$C$6),0,IF(B438="Aktual",1,IF(AND(B438="Rencana",A438&gt;=I_Parameter!$C$4),1,0))))</f>
        <v/>
      </c>
    </row>
    <row r="439" customFormat="false" ht="15" hidden="false" customHeight="false" outlineLevel="0" collapsed="false">
      <c r="A439" s="37"/>
      <c r="B439" s="44"/>
      <c r="C439" s="44"/>
      <c r="D439" s="44"/>
      <c r="E439" s="44"/>
      <c r="F439" s="44"/>
      <c r="G439" s="44"/>
      <c r="H439" s="34" t="str">
        <f aca="false">IF(G439&lt;&gt;"",G439,IF(F439="","",IFERROR(INDEX(I_Item!$C$6:$C$255,MATCH(F439,I_Item!$A$6:$A$255,0)),"KODE BARU")))</f>
        <v/>
      </c>
      <c r="I439" s="45"/>
      <c r="J439" s="42"/>
      <c r="K439" s="11" t="str">
        <f aca="false">IF(I439="","",I439*J439)</f>
        <v/>
      </c>
      <c r="L439" s="34" t="str">
        <f aca="false">IF(H439="","",IFERROR(INDEX(I_Master!$B$6:$B$85,MATCH(H439,I_Master!$A$6:$A$85,0)),"?"))</f>
        <v/>
      </c>
      <c r="M439" s="46" t="str">
        <f aca="false">IF(I439="","",IF(OR(A439&lt;I_Parameter!$C$5,A439&gt;I_Parameter!$C$6),0,IF(B439="Aktual",1,IF(AND(B439="Rencana",A439&gt;=I_Parameter!$C$4),1,0))))</f>
        <v/>
      </c>
    </row>
    <row r="440" customFormat="false" ht="15" hidden="false" customHeight="false" outlineLevel="0" collapsed="false">
      <c r="A440" s="37"/>
      <c r="B440" s="44"/>
      <c r="C440" s="44"/>
      <c r="D440" s="44"/>
      <c r="E440" s="44"/>
      <c r="F440" s="44"/>
      <c r="G440" s="44"/>
      <c r="H440" s="34" t="str">
        <f aca="false">IF(G440&lt;&gt;"",G440,IF(F440="","",IFERROR(INDEX(I_Item!$C$6:$C$255,MATCH(F440,I_Item!$A$6:$A$255,0)),"KODE BARU")))</f>
        <v/>
      </c>
      <c r="I440" s="45"/>
      <c r="J440" s="42"/>
      <c r="K440" s="11" t="str">
        <f aca="false">IF(I440="","",I440*J440)</f>
        <v/>
      </c>
      <c r="L440" s="34" t="str">
        <f aca="false">IF(H440="","",IFERROR(INDEX(I_Master!$B$6:$B$85,MATCH(H440,I_Master!$A$6:$A$85,0)),"?"))</f>
        <v/>
      </c>
      <c r="M440" s="46" t="str">
        <f aca="false">IF(I440="","",IF(OR(A440&lt;I_Parameter!$C$5,A440&gt;I_Parameter!$C$6),0,IF(B440="Aktual",1,IF(AND(B440="Rencana",A440&gt;=I_Parameter!$C$4),1,0))))</f>
        <v/>
      </c>
    </row>
    <row r="441" customFormat="false" ht="15" hidden="false" customHeight="false" outlineLevel="0" collapsed="false">
      <c r="A441" s="37"/>
      <c r="B441" s="44"/>
      <c r="C441" s="44"/>
      <c r="D441" s="44"/>
      <c r="E441" s="44"/>
      <c r="F441" s="44"/>
      <c r="G441" s="44"/>
      <c r="H441" s="34" t="str">
        <f aca="false">IF(G441&lt;&gt;"",G441,IF(F441="","",IFERROR(INDEX(I_Item!$C$6:$C$255,MATCH(F441,I_Item!$A$6:$A$255,0)),"KODE BARU")))</f>
        <v/>
      </c>
      <c r="I441" s="45"/>
      <c r="J441" s="42"/>
      <c r="K441" s="11" t="str">
        <f aca="false">IF(I441="","",I441*J441)</f>
        <v/>
      </c>
      <c r="L441" s="34" t="str">
        <f aca="false">IF(H441="","",IFERROR(INDEX(I_Master!$B$6:$B$85,MATCH(H441,I_Master!$A$6:$A$85,0)),"?"))</f>
        <v/>
      </c>
      <c r="M441" s="46" t="str">
        <f aca="false">IF(I441="","",IF(OR(A441&lt;I_Parameter!$C$5,A441&gt;I_Parameter!$C$6),0,IF(B441="Aktual",1,IF(AND(B441="Rencana",A441&gt;=I_Parameter!$C$4),1,0))))</f>
        <v/>
      </c>
    </row>
    <row r="442" customFormat="false" ht="15" hidden="false" customHeight="false" outlineLevel="0" collapsed="false">
      <c r="A442" s="37"/>
      <c r="B442" s="44"/>
      <c r="C442" s="44"/>
      <c r="D442" s="44"/>
      <c r="E442" s="44"/>
      <c r="F442" s="44"/>
      <c r="G442" s="44"/>
      <c r="H442" s="34" t="str">
        <f aca="false">IF(G442&lt;&gt;"",G442,IF(F442="","",IFERROR(INDEX(I_Item!$C$6:$C$255,MATCH(F442,I_Item!$A$6:$A$255,0)),"KODE BARU")))</f>
        <v/>
      </c>
      <c r="I442" s="45"/>
      <c r="J442" s="42"/>
      <c r="K442" s="11" t="str">
        <f aca="false">IF(I442="","",I442*J442)</f>
        <v/>
      </c>
      <c r="L442" s="34" t="str">
        <f aca="false">IF(H442="","",IFERROR(INDEX(I_Master!$B$6:$B$85,MATCH(H442,I_Master!$A$6:$A$85,0)),"?"))</f>
        <v/>
      </c>
      <c r="M442" s="46" t="str">
        <f aca="false">IF(I442="","",IF(OR(A442&lt;I_Parameter!$C$5,A442&gt;I_Parameter!$C$6),0,IF(B442="Aktual",1,IF(AND(B442="Rencana",A442&gt;=I_Parameter!$C$4),1,0))))</f>
        <v/>
      </c>
    </row>
    <row r="443" customFormat="false" ht="15" hidden="false" customHeight="false" outlineLevel="0" collapsed="false">
      <c r="A443" s="37"/>
      <c r="B443" s="44"/>
      <c r="C443" s="44"/>
      <c r="D443" s="44"/>
      <c r="E443" s="44"/>
      <c r="F443" s="44"/>
      <c r="G443" s="44"/>
      <c r="H443" s="34" t="str">
        <f aca="false">IF(G443&lt;&gt;"",G443,IF(F443="","",IFERROR(INDEX(I_Item!$C$6:$C$255,MATCH(F443,I_Item!$A$6:$A$255,0)),"KODE BARU")))</f>
        <v/>
      </c>
      <c r="I443" s="45"/>
      <c r="J443" s="42"/>
      <c r="K443" s="11" t="str">
        <f aca="false">IF(I443="","",I443*J443)</f>
        <v/>
      </c>
      <c r="L443" s="34" t="str">
        <f aca="false">IF(H443="","",IFERROR(INDEX(I_Master!$B$6:$B$85,MATCH(H443,I_Master!$A$6:$A$85,0)),"?"))</f>
        <v/>
      </c>
      <c r="M443" s="46" t="str">
        <f aca="false">IF(I443="","",IF(OR(A443&lt;I_Parameter!$C$5,A443&gt;I_Parameter!$C$6),0,IF(B443="Aktual",1,IF(AND(B443="Rencana",A443&gt;=I_Parameter!$C$4),1,0))))</f>
        <v/>
      </c>
    </row>
    <row r="444" customFormat="false" ht="15" hidden="false" customHeight="false" outlineLevel="0" collapsed="false">
      <c r="A444" s="37"/>
      <c r="B444" s="44"/>
      <c r="C444" s="44"/>
      <c r="D444" s="44"/>
      <c r="E444" s="44"/>
      <c r="F444" s="44"/>
      <c r="G444" s="44"/>
      <c r="H444" s="34" t="str">
        <f aca="false">IF(G444&lt;&gt;"",G444,IF(F444="","",IFERROR(INDEX(I_Item!$C$6:$C$255,MATCH(F444,I_Item!$A$6:$A$255,0)),"KODE BARU")))</f>
        <v/>
      </c>
      <c r="I444" s="45"/>
      <c r="J444" s="42"/>
      <c r="K444" s="11" t="str">
        <f aca="false">IF(I444="","",I444*J444)</f>
        <v/>
      </c>
      <c r="L444" s="34" t="str">
        <f aca="false">IF(H444="","",IFERROR(INDEX(I_Master!$B$6:$B$85,MATCH(H444,I_Master!$A$6:$A$85,0)),"?"))</f>
        <v/>
      </c>
      <c r="M444" s="46" t="str">
        <f aca="false">IF(I444="","",IF(OR(A444&lt;I_Parameter!$C$5,A444&gt;I_Parameter!$C$6),0,IF(B444="Aktual",1,IF(AND(B444="Rencana",A444&gt;=I_Parameter!$C$4),1,0))))</f>
        <v/>
      </c>
    </row>
    <row r="445" customFormat="false" ht="15" hidden="false" customHeight="false" outlineLevel="0" collapsed="false">
      <c r="A445" s="37"/>
      <c r="B445" s="44"/>
      <c r="C445" s="44"/>
      <c r="D445" s="44"/>
      <c r="E445" s="44"/>
      <c r="F445" s="44"/>
      <c r="G445" s="44"/>
      <c r="H445" s="34" t="str">
        <f aca="false">IF(G445&lt;&gt;"",G445,IF(F445="","",IFERROR(INDEX(I_Item!$C$6:$C$255,MATCH(F445,I_Item!$A$6:$A$255,0)),"KODE BARU")))</f>
        <v/>
      </c>
      <c r="I445" s="45"/>
      <c r="J445" s="42"/>
      <c r="K445" s="11" t="str">
        <f aca="false">IF(I445="","",I445*J445)</f>
        <v/>
      </c>
      <c r="L445" s="34" t="str">
        <f aca="false">IF(H445="","",IFERROR(INDEX(I_Master!$B$6:$B$85,MATCH(H445,I_Master!$A$6:$A$85,0)),"?"))</f>
        <v/>
      </c>
      <c r="M445" s="46" t="str">
        <f aca="false">IF(I445="","",IF(OR(A445&lt;I_Parameter!$C$5,A445&gt;I_Parameter!$C$6),0,IF(B445="Aktual",1,IF(AND(B445="Rencana",A445&gt;=I_Parameter!$C$4),1,0))))</f>
        <v/>
      </c>
    </row>
    <row r="446" customFormat="false" ht="15" hidden="false" customHeight="false" outlineLevel="0" collapsed="false">
      <c r="A446" s="37"/>
      <c r="B446" s="44"/>
      <c r="C446" s="44"/>
      <c r="D446" s="44"/>
      <c r="E446" s="44"/>
      <c r="F446" s="44"/>
      <c r="G446" s="44"/>
      <c r="H446" s="34" t="str">
        <f aca="false">IF(G446&lt;&gt;"",G446,IF(F446="","",IFERROR(INDEX(I_Item!$C$6:$C$255,MATCH(F446,I_Item!$A$6:$A$255,0)),"KODE BARU")))</f>
        <v/>
      </c>
      <c r="I446" s="45"/>
      <c r="J446" s="42"/>
      <c r="K446" s="11" t="str">
        <f aca="false">IF(I446="","",I446*J446)</f>
        <v/>
      </c>
      <c r="L446" s="34" t="str">
        <f aca="false">IF(H446="","",IFERROR(INDEX(I_Master!$B$6:$B$85,MATCH(H446,I_Master!$A$6:$A$85,0)),"?"))</f>
        <v/>
      </c>
      <c r="M446" s="46" t="str">
        <f aca="false">IF(I446="","",IF(OR(A446&lt;I_Parameter!$C$5,A446&gt;I_Parameter!$C$6),0,IF(B446="Aktual",1,IF(AND(B446="Rencana",A446&gt;=I_Parameter!$C$4),1,0))))</f>
        <v/>
      </c>
    </row>
    <row r="447" customFormat="false" ht="15" hidden="false" customHeight="false" outlineLevel="0" collapsed="false">
      <c r="A447" s="37"/>
      <c r="B447" s="44"/>
      <c r="C447" s="44"/>
      <c r="D447" s="44"/>
      <c r="E447" s="44"/>
      <c r="F447" s="44"/>
      <c r="G447" s="44"/>
      <c r="H447" s="34" t="str">
        <f aca="false">IF(G447&lt;&gt;"",G447,IF(F447="","",IFERROR(INDEX(I_Item!$C$6:$C$255,MATCH(F447,I_Item!$A$6:$A$255,0)),"KODE BARU")))</f>
        <v/>
      </c>
      <c r="I447" s="45"/>
      <c r="J447" s="42"/>
      <c r="K447" s="11" t="str">
        <f aca="false">IF(I447="","",I447*J447)</f>
        <v/>
      </c>
      <c r="L447" s="34" t="str">
        <f aca="false">IF(H447="","",IFERROR(INDEX(I_Master!$B$6:$B$85,MATCH(H447,I_Master!$A$6:$A$85,0)),"?"))</f>
        <v/>
      </c>
      <c r="M447" s="46" t="str">
        <f aca="false">IF(I447="","",IF(OR(A447&lt;I_Parameter!$C$5,A447&gt;I_Parameter!$C$6),0,IF(B447="Aktual",1,IF(AND(B447="Rencana",A447&gt;=I_Parameter!$C$4),1,0))))</f>
        <v/>
      </c>
    </row>
    <row r="448" customFormat="false" ht="15" hidden="false" customHeight="false" outlineLevel="0" collapsed="false">
      <c r="A448" s="37"/>
      <c r="B448" s="44"/>
      <c r="C448" s="44"/>
      <c r="D448" s="44"/>
      <c r="E448" s="44"/>
      <c r="F448" s="44"/>
      <c r="G448" s="44"/>
      <c r="H448" s="34" t="str">
        <f aca="false">IF(G448&lt;&gt;"",G448,IF(F448="","",IFERROR(INDEX(I_Item!$C$6:$C$255,MATCH(F448,I_Item!$A$6:$A$255,0)),"KODE BARU")))</f>
        <v/>
      </c>
      <c r="I448" s="45"/>
      <c r="J448" s="42"/>
      <c r="K448" s="11" t="str">
        <f aca="false">IF(I448="","",I448*J448)</f>
        <v/>
      </c>
      <c r="L448" s="34" t="str">
        <f aca="false">IF(H448="","",IFERROR(INDEX(I_Master!$B$6:$B$85,MATCH(H448,I_Master!$A$6:$A$85,0)),"?"))</f>
        <v/>
      </c>
      <c r="M448" s="46" t="str">
        <f aca="false">IF(I448="","",IF(OR(A448&lt;I_Parameter!$C$5,A448&gt;I_Parameter!$C$6),0,IF(B448="Aktual",1,IF(AND(B448="Rencana",A448&gt;=I_Parameter!$C$4),1,0))))</f>
        <v/>
      </c>
    </row>
    <row r="449" customFormat="false" ht="15" hidden="false" customHeight="false" outlineLevel="0" collapsed="false">
      <c r="A449" s="37"/>
      <c r="B449" s="44"/>
      <c r="C449" s="44"/>
      <c r="D449" s="44"/>
      <c r="E449" s="44"/>
      <c r="F449" s="44"/>
      <c r="G449" s="44"/>
      <c r="H449" s="34" t="str">
        <f aca="false">IF(G449&lt;&gt;"",G449,IF(F449="","",IFERROR(INDEX(I_Item!$C$6:$C$255,MATCH(F449,I_Item!$A$6:$A$255,0)),"KODE BARU")))</f>
        <v/>
      </c>
      <c r="I449" s="45"/>
      <c r="J449" s="42"/>
      <c r="K449" s="11" t="str">
        <f aca="false">IF(I449="","",I449*J449)</f>
        <v/>
      </c>
      <c r="L449" s="34" t="str">
        <f aca="false">IF(H449="","",IFERROR(INDEX(I_Master!$B$6:$B$85,MATCH(H449,I_Master!$A$6:$A$85,0)),"?"))</f>
        <v/>
      </c>
      <c r="M449" s="46" t="str">
        <f aca="false">IF(I449="","",IF(OR(A449&lt;I_Parameter!$C$5,A449&gt;I_Parameter!$C$6),0,IF(B449="Aktual",1,IF(AND(B449="Rencana",A449&gt;=I_Parameter!$C$4),1,0))))</f>
        <v/>
      </c>
    </row>
    <row r="450" customFormat="false" ht="15" hidden="false" customHeight="false" outlineLevel="0" collapsed="false">
      <c r="A450" s="37"/>
      <c r="B450" s="44"/>
      <c r="C450" s="44"/>
      <c r="D450" s="44"/>
      <c r="E450" s="44"/>
      <c r="F450" s="44"/>
      <c r="G450" s="44"/>
      <c r="H450" s="34" t="str">
        <f aca="false">IF(G450&lt;&gt;"",G450,IF(F450="","",IFERROR(INDEX(I_Item!$C$6:$C$255,MATCH(F450,I_Item!$A$6:$A$255,0)),"KODE BARU")))</f>
        <v/>
      </c>
      <c r="I450" s="45"/>
      <c r="J450" s="42"/>
      <c r="K450" s="11" t="str">
        <f aca="false">IF(I450="","",I450*J450)</f>
        <v/>
      </c>
      <c r="L450" s="34" t="str">
        <f aca="false">IF(H450="","",IFERROR(INDEX(I_Master!$B$6:$B$85,MATCH(H450,I_Master!$A$6:$A$85,0)),"?"))</f>
        <v/>
      </c>
      <c r="M450" s="46" t="str">
        <f aca="false">IF(I450="","",IF(OR(A450&lt;I_Parameter!$C$5,A450&gt;I_Parameter!$C$6),0,IF(B450="Aktual",1,IF(AND(B450="Rencana",A450&gt;=I_Parameter!$C$4),1,0))))</f>
        <v/>
      </c>
    </row>
    <row r="451" customFormat="false" ht="15" hidden="false" customHeight="false" outlineLevel="0" collapsed="false">
      <c r="A451" s="37"/>
      <c r="B451" s="44"/>
      <c r="C451" s="44"/>
      <c r="D451" s="44"/>
      <c r="E451" s="44"/>
      <c r="F451" s="44"/>
      <c r="G451" s="44"/>
      <c r="H451" s="34" t="str">
        <f aca="false">IF(G451&lt;&gt;"",G451,IF(F451="","",IFERROR(INDEX(I_Item!$C$6:$C$255,MATCH(F451,I_Item!$A$6:$A$255,0)),"KODE BARU")))</f>
        <v/>
      </c>
      <c r="I451" s="45"/>
      <c r="J451" s="42"/>
      <c r="K451" s="11" t="str">
        <f aca="false">IF(I451="","",I451*J451)</f>
        <v/>
      </c>
      <c r="L451" s="34" t="str">
        <f aca="false">IF(H451="","",IFERROR(INDEX(I_Master!$B$6:$B$85,MATCH(H451,I_Master!$A$6:$A$85,0)),"?"))</f>
        <v/>
      </c>
      <c r="M451" s="46" t="str">
        <f aca="false">IF(I451="","",IF(OR(A451&lt;I_Parameter!$C$5,A451&gt;I_Parameter!$C$6),0,IF(B451="Aktual",1,IF(AND(B451="Rencana",A451&gt;=I_Parameter!$C$4),1,0))))</f>
        <v/>
      </c>
    </row>
    <row r="452" customFormat="false" ht="15" hidden="false" customHeight="false" outlineLevel="0" collapsed="false">
      <c r="A452" s="37"/>
      <c r="B452" s="44"/>
      <c r="C452" s="44"/>
      <c r="D452" s="44"/>
      <c r="E452" s="44"/>
      <c r="F452" s="44"/>
      <c r="G452" s="44"/>
      <c r="H452" s="34" t="str">
        <f aca="false">IF(G452&lt;&gt;"",G452,IF(F452="","",IFERROR(INDEX(I_Item!$C$6:$C$255,MATCH(F452,I_Item!$A$6:$A$255,0)),"KODE BARU")))</f>
        <v/>
      </c>
      <c r="I452" s="45"/>
      <c r="J452" s="42"/>
      <c r="K452" s="11" t="str">
        <f aca="false">IF(I452="","",I452*J452)</f>
        <v/>
      </c>
      <c r="L452" s="34" t="str">
        <f aca="false">IF(H452="","",IFERROR(INDEX(I_Master!$B$6:$B$85,MATCH(H452,I_Master!$A$6:$A$85,0)),"?"))</f>
        <v/>
      </c>
      <c r="M452" s="46" t="str">
        <f aca="false">IF(I452="","",IF(OR(A452&lt;I_Parameter!$C$5,A452&gt;I_Parameter!$C$6),0,IF(B452="Aktual",1,IF(AND(B452="Rencana",A452&gt;=I_Parameter!$C$4),1,0))))</f>
        <v/>
      </c>
    </row>
    <row r="453" customFormat="false" ht="15" hidden="false" customHeight="false" outlineLevel="0" collapsed="false">
      <c r="A453" s="37"/>
      <c r="B453" s="44"/>
      <c r="C453" s="44"/>
      <c r="D453" s="44"/>
      <c r="E453" s="44"/>
      <c r="F453" s="44"/>
      <c r="G453" s="44"/>
      <c r="H453" s="34" t="str">
        <f aca="false">IF(G453&lt;&gt;"",G453,IF(F453="","",IFERROR(INDEX(I_Item!$C$6:$C$255,MATCH(F453,I_Item!$A$6:$A$255,0)),"KODE BARU")))</f>
        <v/>
      </c>
      <c r="I453" s="45"/>
      <c r="J453" s="42"/>
      <c r="K453" s="11" t="str">
        <f aca="false">IF(I453="","",I453*J453)</f>
        <v/>
      </c>
      <c r="L453" s="34" t="str">
        <f aca="false">IF(H453="","",IFERROR(INDEX(I_Master!$B$6:$B$85,MATCH(H453,I_Master!$A$6:$A$85,0)),"?"))</f>
        <v/>
      </c>
      <c r="M453" s="46" t="str">
        <f aca="false">IF(I453="","",IF(OR(A453&lt;I_Parameter!$C$5,A453&gt;I_Parameter!$C$6),0,IF(B453="Aktual",1,IF(AND(B453="Rencana",A453&gt;=I_Parameter!$C$4),1,0))))</f>
        <v/>
      </c>
    </row>
    <row r="454" customFormat="false" ht="15" hidden="false" customHeight="false" outlineLevel="0" collapsed="false">
      <c r="A454" s="37"/>
      <c r="B454" s="44"/>
      <c r="C454" s="44"/>
      <c r="D454" s="44"/>
      <c r="E454" s="44"/>
      <c r="F454" s="44"/>
      <c r="G454" s="44"/>
      <c r="H454" s="34" t="str">
        <f aca="false">IF(G454&lt;&gt;"",G454,IF(F454="","",IFERROR(INDEX(I_Item!$C$6:$C$255,MATCH(F454,I_Item!$A$6:$A$255,0)),"KODE BARU")))</f>
        <v/>
      </c>
      <c r="I454" s="45"/>
      <c r="J454" s="42"/>
      <c r="K454" s="11" t="str">
        <f aca="false">IF(I454="","",I454*J454)</f>
        <v/>
      </c>
      <c r="L454" s="34" t="str">
        <f aca="false">IF(H454="","",IFERROR(INDEX(I_Master!$B$6:$B$85,MATCH(H454,I_Master!$A$6:$A$85,0)),"?"))</f>
        <v/>
      </c>
      <c r="M454" s="46" t="str">
        <f aca="false">IF(I454="","",IF(OR(A454&lt;I_Parameter!$C$5,A454&gt;I_Parameter!$C$6),0,IF(B454="Aktual",1,IF(AND(B454="Rencana",A454&gt;=I_Parameter!$C$4),1,0))))</f>
        <v/>
      </c>
    </row>
    <row r="455" customFormat="false" ht="15" hidden="false" customHeight="false" outlineLevel="0" collapsed="false">
      <c r="A455" s="37"/>
      <c r="B455" s="44"/>
      <c r="C455" s="44"/>
      <c r="D455" s="44"/>
      <c r="E455" s="44"/>
      <c r="F455" s="44"/>
      <c r="G455" s="44"/>
      <c r="H455" s="34" t="str">
        <f aca="false">IF(G455&lt;&gt;"",G455,IF(F455="","",IFERROR(INDEX(I_Item!$C$6:$C$255,MATCH(F455,I_Item!$A$6:$A$255,0)),"KODE BARU")))</f>
        <v/>
      </c>
      <c r="I455" s="45"/>
      <c r="J455" s="42"/>
      <c r="K455" s="11" t="str">
        <f aca="false">IF(I455="","",I455*J455)</f>
        <v/>
      </c>
      <c r="L455" s="34" t="str">
        <f aca="false">IF(H455="","",IFERROR(INDEX(I_Master!$B$6:$B$85,MATCH(H455,I_Master!$A$6:$A$85,0)),"?"))</f>
        <v/>
      </c>
      <c r="M455" s="46" t="str">
        <f aca="false">IF(I455="","",IF(OR(A455&lt;I_Parameter!$C$5,A455&gt;I_Parameter!$C$6),0,IF(B455="Aktual",1,IF(AND(B455="Rencana",A455&gt;=I_Parameter!$C$4),1,0))))</f>
        <v/>
      </c>
    </row>
    <row r="456" customFormat="false" ht="15" hidden="false" customHeight="false" outlineLevel="0" collapsed="false">
      <c r="A456" s="37"/>
      <c r="B456" s="44"/>
      <c r="C456" s="44"/>
      <c r="D456" s="44"/>
      <c r="E456" s="44"/>
      <c r="F456" s="44"/>
      <c r="G456" s="44"/>
      <c r="H456" s="34" t="str">
        <f aca="false">IF(G456&lt;&gt;"",G456,IF(F456="","",IFERROR(INDEX(I_Item!$C$6:$C$255,MATCH(F456,I_Item!$A$6:$A$255,0)),"KODE BARU")))</f>
        <v/>
      </c>
      <c r="I456" s="45"/>
      <c r="J456" s="42"/>
      <c r="K456" s="11" t="str">
        <f aca="false">IF(I456="","",I456*J456)</f>
        <v/>
      </c>
      <c r="L456" s="34" t="str">
        <f aca="false">IF(H456="","",IFERROR(INDEX(I_Master!$B$6:$B$85,MATCH(H456,I_Master!$A$6:$A$85,0)),"?"))</f>
        <v/>
      </c>
      <c r="M456" s="46" t="str">
        <f aca="false">IF(I456="","",IF(OR(A456&lt;I_Parameter!$C$5,A456&gt;I_Parameter!$C$6),0,IF(B456="Aktual",1,IF(AND(B456="Rencana",A456&gt;=I_Parameter!$C$4),1,0))))</f>
        <v/>
      </c>
    </row>
    <row r="457" customFormat="false" ht="15" hidden="false" customHeight="false" outlineLevel="0" collapsed="false">
      <c r="A457" s="37"/>
      <c r="B457" s="44"/>
      <c r="C457" s="44"/>
      <c r="D457" s="44"/>
      <c r="E457" s="44"/>
      <c r="F457" s="44"/>
      <c r="G457" s="44"/>
      <c r="H457" s="34" t="str">
        <f aca="false">IF(G457&lt;&gt;"",G457,IF(F457="","",IFERROR(INDEX(I_Item!$C$6:$C$255,MATCH(F457,I_Item!$A$6:$A$255,0)),"KODE BARU")))</f>
        <v/>
      </c>
      <c r="I457" s="45"/>
      <c r="J457" s="42"/>
      <c r="K457" s="11" t="str">
        <f aca="false">IF(I457="","",I457*J457)</f>
        <v/>
      </c>
      <c r="L457" s="34" t="str">
        <f aca="false">IF(H457="","",IFERROR(INDEX(I_Master!$B$6:$B$85,MATCH(H457,I_Master!$A$6:$A$85,0)),"?"))</f>
        <v/>
      </c>
      <c r="M457" s="46" t="str">
        <f aca="false">IF(I457="","",IF(OR(A457&lt;I_Parameter!$C$5,A457&gt;I_Parameter!$C$6),0,IF(B457="Aktual",1,IF(AND(B457="Rencana",A457&gt;=I_Parameter!$C$4),1,0))))</f>
        <v/>
      </c>
    </row>
    <row r="458" customFormat="false" ht="15" hidden="false" customHeight="false" outlineLevel="0" collapsed="false">
      <c r="A458" s="37"/>
      <c r="B458" s="44"/>
      <c r="C458" s="44"/>
      <c r="D458" s="44"/>
      <c r="E458" s="44"/>
      <c r="F458" s="44"/>
      <c r="G458" s="44"/>
      <c r="H458" s="34" t="str">
        <f aca="false">IF(G458&lt;&gt;"",G458,IF(F458="","",IFERROR(INDEX(I_Item!$C$6:$C$255,MATCH(F458,I_Item!$A$6:$A$255,0)),"KODE BARU")))</f>
        <v/>
      </c>
      <c r="I458" s="45"/>
      <c r="J458" s="42"/>
      <c r="K458" s="11" t="str">
        <f aca="false">IF(I458="","",I458*J458)</f>
        <v/>
      </c>
      <c r="L458" s="34" t="str">
        <f aca="false">IF(H458="","",IFERROR(INDEX(I_Master!$B$6:$B$85,MATCH(H458,I_Master!$A$6:$A$85,0)),"?"))</f>
        <v/>
      </c>
      <c r="M458" s="46" t="str">
        <f aca="false">IF(I458="","",IF(OR(A458&lt;I_Parameter!$C$5,A458&gt;I_Parameter!$C$6),0,IF(B458="Aktual",1,IF(AND(B458="Rencana",A458&gt;=I_Parameter!$C$4),1,0))))</f>
        <v/>
      </c>
    </row>
    <row r="459" customFormat="false" ht="15" hidden="false" customHeight="false" outlineLevel="0" collapsed="false">
      <c r="A459" s="37"/>
      <c r="B459" s="44"/>
      <c r="C459" s="44"/>
      <c r="D459" s="44"/>
      <c r="E459" s="44"/>
      <c r="F459" s="44"/>
      <c r="G459" s="44"/>
      <c r="H459" s="34" t="str">
        <f aca="false">IF(G459&lt;&gt;"",G459,IF(F459="","",IFERROR(INDEX(I_Item!$C$6:$C$255,MATCH(F459,I_Item!$A$6:$A$255,0)),"KODE BARU")))</f>
        <v/>
      </c>
      <c r="I459" s="45"/>
      <c r="J459" s="42"/>
      <c r="K459" s="11" t="str">
        <f aca="false">IF(I459="","",I459*J459)</f>
        <v/>
      </c>
      <c r="L459" s="34" t="str">
        <f aca="false">IF(H459="","",IFERROR(INDEX(I_Master!$B$6:$B$85,MATCH(H459,I_Master!$A$6:$A$85,0)),"?"))</f>
        <v/>
      </c>
      <c r="M459" s="46" t="str">
        <f aca="false">IF(I459="","",IF(OR(A459&lt;I_Parameter!$C$5,A459&gt;I_Parameter!$C$6),0,IF(B459="Aktual",1,IF(AND(B459="Rencana",A459&gt;=I_Parameter!$C$4),1,0))))</f>
        <v/>
      </c>
    </row>
    <row r="460" customFormat="false" ht="15" hidden="false" customHeight="false" outlineLevel="0" collapsed="false">
      <c r="A460" s="37"/>
      <c r="B460" s="44"/>
      <c r="C460" s="44"/>
      <c r="D460" s="44"/>
      <c r="E460" s="44"/>
      <c r="F460" s="44"/>
      <c r="G460" s="44"/>
      <c r="H460" s="34" t="str">
        <f aca="false">IF(G460&lt;&gt;"",G460,IF(F460="","",IFERROR(INDEX(I_Item!$C$6:$C$255,MATCH(F460,I_Item!$A$6:$A$255,0)),"KODE BARU")))</f>
        <v/>
      </c>
      <c r="I460" s="45"/>
      <c r="J460" s="42"/>
      <c r="K460" s="11" t="str">
        <f aca="false">IF(I460="","",I460*J460)</f>
        <v/>
      </c>
      <c r="L460" s="34" t="str">
        <f aca="false">IF(H460="","",IFERROR(INDEX(I_Master!$B$6:$B$85,MATCH(H460,I_Master!$A$6:$A$85,0)),"?"))</f>
        <v/>
      </c>
      <c r="M460" s="46" t="str">
        <f aca="false">IF(I460="","",IF(OR(A460&lt;I_Parameter!$C$5,A460&gt;I_Parameter!$C$6),0,IF(B460="Aktual",1,IF(AND(B460="Rencana",A460&gt;=I_Parameter!$C$4),1,0))))</f>
        <v/>
      </c>
    </row>
    <row r="461" customFormat="false" ht="15" hidden="false" customHeight="false" outlineLevel="0" collapsed="false">
      <c r="A461" s="37"/>
      <c r="B461" s="44"/>
      <c r="C461" s="44"/>
      <c r="D461" s="44"/>
      <c r="E461" s="44"/>
      <c r="F461" s="44"/>
      <c r="G461" s="44"/>
      <c r="H461" s="34" t="str">
        <f aca="false">IF(G461&lt;&gt;"",G461,IF(F461="","",IFERROR(INDEX(I_Item!$C$6:$C$255,MATCH(F461,I_Item!$A$6:$A$255,0)),"KODE BARU")))</f>
        <v/>
      </c>
      <c r="I461" s="45"/>
      <c r="J461" s="42"/>
      <c r="K461" s="11" t="str">
        <f aca="false">IF(I461="","",I461*J461)</f>
        <v/>
      </c>
      <c r="L461" s="34" t="str">
        <f aca="false">IF(H461="","",IFERROR(INDEX(I_Master!$B$6:$B$85,MATCH(H461,I_Master!$A$6:$A$85,0)),"?"))</f>
        <v/>
      </c>
      <c r="M461" s="46" t="str">
        <f aca="false">IF(I461="","",IF(OR(A461&lt;I_Parameter!$C$5,A461&gt;I_Parameter!$C$6),0,IF(B461="Aktual",1,IF(AND(B461="Rencana",A461&gt;=I_Parameter!$C$4),1,0))))</f>
        <v/>
      </c>
    </row>
    <row r="462" customFormat="false" ht="15" hidden="false" customHeight="false" outlineLevel="0" collapsed="false">
      <c r="A462" s="37"/>
      <c r="B462" s="44"/>
      <c r="C462" s="44"/>
      <c r="D462" s="44"/>
      <c r="E462" s="44"/>
      <c r="F462" s="44"/>
      <c r="G462" s="44"/>
      <c r="H462" s="34" t="str">
        <f aca="false">IF(G462&lt;&gt;"",G462,IF(F462="","",IFERROR(INDEX(I_Item!$C$6:$C$255,MATCH(F462,I_Item!$A$6:$A$255,0)),"KODE BARU")))</f>
        <v/>
      </c>
      <c r="I462" s="45"/>
      <c r="J462" s="42"/>
      <c r="K462" s="11" t="str">
        <f aca="false">IF(I462="","",I462*J462)</f>
        <v/>
      </c>
      <c r="L462" s="34" t="str">
        <f aca="false">IF(H462="","",IFERROR(INDEX(I_Master!$B$6:$B$85,MATCH(H462,I_Master!$A$6:$A$85,0)),"?"))</f>
        <v/>
      </c>
      <c r="M462" s="46" t="str">
        <f aca="false">IF(I462="","",IF(OR(A462&lt;I_Parameter!$C$5,A462&gt;I_Parameter!$C$6),0,IF(B462="Aktual",1,IF(AND(B462="Rencana",A462&gt;=I_Parameter!$C$4),1,0))))</f>
        <v/>
      </c>
    </row>
    <row r="463" customFormat="false" ht="15" hidden="false" customHeight="false" outlineLevel="0" collapsed="false">
      <c r="A463" s="37"/>
      <c r="B463" s="44"/>
      <c r="C463" s="44"/>
      <c r="D463" s="44"/>
      <c r="E463" s="44"/>
      <c r="F463" s="44"/>
      <c r="G463" s="44"/>
      <c r="H463" s="34" t="str">
        <f aca="false">IF(G463&lt;&gt;"",G463,IF(F463="","",IFERROR(INDEX(I_Item!$C$6:$C$255,MATCH(F463,I_Item!$A$6:$A$255,0)),"KODE BARU")))</f>
        <v/>
      </c>
      <c r="I463" s="45"/>
      <c r="J463" s="42"/>
      <c r="K463" s="11" t="str">
        <f aca="false">IF(I463="","",I463*J463)</f>
        <v/>
      </c>
      <c r="L463" s="34" t="str">
        <f aca="false">IF(H463="","",IFERROR(INDEX(I_Master!$B$6:$B$85,MATCH(H463,I_Master!$A$6:$A$85,0)),"?"))</f>
        <v/>
      </c>
      <c r="M463" s="46" t="str">
        <f aca="false">IF(I463="","",IF(OR(A463&lt;I_Parameter!$C$5,A463&gt;I_Parameter!$C$6),0,IF(B463="Aktual",1,IF(AND(B463="Rencana",A463&gt;=I_Parameter!$C$4),1,0))))</f>
        <v/>
      </c>
    </row>
    <row r="464" customFormat="false" ht="15" hidden="false" customHeight="false" outlineLevel="0" collapsed="false">
      <c r="A464" s="37"/>
      <c r="B464" s="44"/>
      <c r="C464" s="44"/>
      <c r="D464" s="44"/>
      <c r="E464" s="44"/>
      <c r="F464" s="44"/>
      <c r="G464" s="44"/>
      <c r="H464" s="34" t="str">
        <f aca="false">IF(G464&lt;&gt;"",G464,IF(F464="","",IFERROR(INDEX(I_Item!$C$6:$C$255,MATCH(F464,I_Item!$A$6:$A$255,0)),"KODE BARU")))</f>
        <v/>
      </c>
      <c r="I464" s="45"/>
      <c r="J464" s="42"/>
      <c r="K464" s="11" t="str">
        <f aca="false">IF(I464="","",I464*J464)</f>
        <v/>
      </c>
      <c r="L464" s="34" t="str">
        <f aca="false">IF(H464="","",IFERROR(INDEX(I_Master!$B$6:$B$85,MATCH(H464,I_Master!$A$6:$A$85,0)),"?"))</f>
        <v/>
      </c>
      <c r="M464" s="46" t="str">
        <f aca="false">IF(I464="","",IF(OR(A464&lt;I_Parameter!$C$5,A464&gt;I_Parameter!$C$6),0,IF(B464="Aktual",1,IF(AND(B464="Rencana",A464&gt;=I_Parameter!$C$4),1,0))))</f>
        <v/>
      </c>
    </row>
    <row r="465" customFormat="false" ht="15" hidden="false" customHeight="false" outlineLevel="0" collapsed="false">
      <c r="A465" s="37"/>
      <c r="B465" s="44"/>
      <c r="C465" s="44"/>
      <c r="D465" s="44"/>
      <c r="E465" s="44"/>
      <c r="F465" s="44"/>
      <c r="G465" s="44"/>
      <c r="H465" s="34" t="str">
        <f aca="false">IF(G465&lt;&gt;"",G465,IF(F465="","",IFERROR(INDEX(I_Item!$C$6:$C$255,MATCH(F465,I_Item!$A$6:$A$255,0)),"KODE BARU")))</f>
        <v/>
      </c>
      <c r="I465" s="45"/>
      <c r="J465" s="42"/>
      <c r="K465" s="11" t="str">
        <f aca="false">IF(I465="","",I465*J465)</f>
        <v/>
      </c>
      <c r="L465" s="34" t="str">
        <f aca="false">IF(H465="","",IFERROR(INDEX(I_Master!$B$6:$B$85,MATCH(H465,I_Master!$A$6:$A$85,0)),"?"))</f>
        <v/>
      </c>
      <c r="M465" s="46" t="str">
        <f aca="false">IF(I465="","",IF(OR(A465&lt;I_Parameter!$C$5,A465&gt;I_Parameter!$C$6),0,IF(B465="Aktual",1,IF(AND(B465="Rencana",A465&gt;=I_Parameter!$C$4),1,0))))</f>
        <v/>
      </c>
    </row>
    <row r="466" customFormat="false" ht="15" hidden="false" customHeight="false" outlineLevel="0" collapsed="false">
      <c r="A466" s="37"/>
      <c r="B466" s="44"/>
      <c r="C466" s="44"/>
      <c r="D466" s="44"/>
      <c r="E466" s="44"/>
      <c r="F466" s="44"/>
      <c r="G466" s="44"/>
      <c r="H466" s="34" t="str">
        <f aca="false">IF(G466&lt;&gt;"",G466,IF(F466="","",IFERROR(INDEX(I_Item!$C$6:$C$255,MATCH(F466,I_Item!$A$6:$A$255,0)),"KODE BARU")))</f>
        <v/>
      </c>
      <c r="I466" s="45"/>
      <c r="J466" s="42"/>
      <c r="K466" s="11" t="str">
        <f aca="false">IF(I466="","",I466*J466)</f>
        <v/>
      </c>
      <c r="L466" s="34" t="str">
        <f aca="false">IF(H466="","",IFERROR(INDEX(I_Master!$B$6:$B$85,MATCH(H466,I_Master!$A$6:$A$85,0)),"?"))</f>
        <v/>
      </c>
      <c r="M466" s="46" t="str">
        <f aca="false">IF(I466="","",IF(OR(A466&lt;I_Parameter!$C$5,A466&gt;I_Parameter!$C$6),0,IF(B466="Aktual",1,IF(AND(B466="Rencana",A466&gt;=I_Parameter!$C$4),1,0))))</f>
        <v/>
      </c>
    </row>
    <row r="467" customFormat="false" ht="15" hidden="false" customHeight="false" outlineLevel="0" collapsed="false">
      <c r="A467" s="37"/>
      <c r="B467" s="44"/>
      <c r="C467" s="44"/>
      <c r="D467" s="44"/>
      <c r="E467" s="44"/>
      <c r="F467" s="44"/>
      <c r="G467" s="44"/>
      <c r="H467" s="34" t="str">
        <f aca="false">IF(G467&lt;&gt;"",G467,IF(F467="","",IFERROR(INDEX(I_Item!$C$6:$C$255,MATCH(F467,I_Item!$A$6:$A$255,0)),"KODE BARU")))</f>
        <v/>
      </c>
      <c r="I467" s="45"/>
      <c r="J467" s="42"/>
      <c r="K467" s="11" t="str">
        <f aca="false">IF(I467="","",I467*J467)</f>
        <v/>
      </c>
      <c r="L467" s="34" t="str">
        <f aca="false">IF(H467="","",IFERROR(INDEX(I_Master!$B$6:$B$85,MATCH(H467,I_Master!$A$6:$A$85,0)),"?"))</f>
        <v/>
      </c>
      <c r="M467" s="46" t="str">
        <f aca="false">IF(I467="","",IF(OR(A467&lt;I_Parameter!$C$5,A467&gt;I_Parameter!$C$6),0,IF(B467="Aktual",1,IF(AND(B467="Rencana",A467&gt;=I_Parameter!$C$4),1,0))))</f>
        <v/>
      </c>
    </row>
    <row r="468" customFormat="false" ht="15" hidden="false" customHeight="false" outlineLevel="0" collapsed="false">
      <c r="A468" s="37"/>
      <c r="B468" s="44"/>
      <c r="C468" s="44"/>
      <c r="D468" s="44"/>
      <c r="E468" s="44"/>
      <c r="F468" s="44"/>
      <c r="G468" s="44"/>
      <c r="H468" s="34" t="str">
        <f aca="false">IF(G468&lt;&gt;"",G468,IF(F468="","",IFERROR(INDEX(I_Item!$C$6:$C$255,MATCH(F468,I_Item!$A$6:$A$255,0)),"KODE BARU")))</f>
        <v/>
      </c>
      <c r="I468" s="45"/>
      <c r="J468" s="42"/>
      <c r="K468" s="11" t="str">
        <f aca="false">IF(I468="","",I468*J468)</f>
        <v/>
      </c>
      <c r="L468" s="34" t="str">
        <f aca="false">IF(H468="","",IFERROR(INDEX(I_Master!$B$6:$B$85,MATCH(H468,I_Master!$A$6:$A$85,0)),"?"))</f>
        <v/>
      </c>
      <c r="M468" s="46" t="str">
        <f aca="false">IF(I468="","",IF(OR(A468&lt;I_Parameter!$C$5,A468&gt;I_Parameter!$C$6),0,IF(B468="Aktual",1,IF(AND(B468="Rencana",A468&gt;=I_Parameter!$C$4),1,0))))</f>
        <v/>
      </c>
    </row>
    <row r="469" customFormat="false" ht="15" hidden="false" customHeight="false" outlineLevel="0" collapsed="false">
      <c r="A469" s="37"/>
      <c r="B469" s="44"/>
      <c r="C469" s="44"/>
      <c r="D469" s="44"/>
      <c r="E469" s="44"/>
      <c r="F469" s="44"/>
      <c r="G469" s="44"/>
      <c r="H469" s="34" t="str">
        <f aca="false">IF(G469&lt;&gt;"",G469,IF(F469="","",IFERROR(INDEX(I_Item!$C$6:$C$255,MATCH(F469,I_Item!$A$6:$A$255,0)),"KODE BARU")))</f>
        <v/>
      </c>
      <c r="I469" s="45"/>
      <c r="J469" s="42"/>
      <c r="K469" s="11" t="str">
        <f aca="false">IF(I469="","",I469*J469)</f>
        <v/>
      </c>
      <c r="L469" s="34" t="str">
        <f aca="false">IF(H469="","",IFERROR(INDEX(I_Master!$B$6:$B$85,MATCH(H469,I_Master!$A$6:$A$85,0)),"?"))</f>
        <v/>
      </c>
      <c r="M469" s="46" t="str">
        <f aca="false">IF(I469="","",IF(OR(A469&lt;I_Parameter!$C$5,A469&gt;I_Parameter!$C$6),0,IF(B469="Aktual",1,IF(AND(B469="Rencana",A469&gt;=I_Parameter!$C$4),1,0))))</f>
        <v/>
      </c>
    </row>
    <row r="470" customFormat="false" ht="15" hidden="false" customHeight="false" outlineLevel="0" collapsed="false">
      <c r="A470" s="37"/>
      <c r="B470" s="44"/>
      <c r="C470" s="44"/>
      <c r="D470" s="44"/>
      <c r="E470" s="44"/>
      <c r="F470" s="44"/>
      <c r="G470" s="44"/>
      <c r="H470" s="34" t="str">
        <f aca="false">IF(G470&lt;&gt;"",G470,IF(F470="","",IFERROR(INDEX(I_Item!$C$6:$C$255,MATCH(F470,I_Item!$A$6:$A$255,0)),"KODE BARU")))</f>
        <v/>
      </c>
      <c r="I470" s="45"/>
      <c r="J470" s="42"/>
      <c r="K470" s="11" t="str">
        <f aca="false">IF(I470="","",I470*J470)</f>
        <v/>
      </c>
      <c r="L470" s="34" t="str">
        <f aca="false">IF(H470="","",IFERROR(INDEX(I_Master!$B$6:$B$85,MATCH(H470,I_Master!$A$6:$A$85,0)),"?"))</f>
        <v/>
      </c>
      <c r="M470" s="46" t="str">
        <f aca="false">IF(I470="","",IF(OR(A470&lt;I_Parameter!$C$5,A470&gt;I_Parameter!$C$6),0,IF(B470="Aktual",1,IF(AND(B470="Rencana",A470&gt;=I_Parameter!$C$4),1,0))))</f>
        <v/>
      </c>
    </row>
    <row r="471" customFormat="false" ht="15" hidden="false" customHeight="false" outlineLevel="0" collapsed="false">
      <c r="A471" s="37"/>
      <c r="B471" s="44"/>
      <c r="C471" s="44"/>
      <c r="D471" s="44"/>
      <c r="E471" s="44"/>
      <c r="F471" s="44"/>
      <c r="G471" s="44"/>
      <c r="H471" s="34" t="str">
        <f aca="false">IF(G471&lt;&gt;"",G471,IF(F471="","",IFERROR(INDEX(I_Item!$C$6:$C$255,MATCH(F471,I_Item!$A$6:$A$255,0)),"KODE BARU")))</f>
        <v/>
      </c>
      <c r="I471" s="45"/>
      <c r="J471" s="42"/>
      <c r="K471" s="11" t="str">
        <f aca="false">IF(I471="","",I471*J471)</f>
        <v/>
      </c>
      <c r="L471" s="34" t="str">
        <f aca="false">IF(H471="","",IFERROR(INDEX(I_Master!$B$6:$B$85,MATCH(H471,I_Master!$A$6:$A$85,0)),"?"))</f>
        <v/>
      </c>
      <c r="M471" s="46" t="str">
        <f aca="false">IF(I471="","",IF(OR(A471&lt;I_Parameter!$C$5,A471&gt;I_Parameter!$C$6),0,IF(B471="Aktual",1,IF(AND(B471="Rencana",A471&gt;=I_Parameter!$C$4),1,0))))</f>
        <v/>
      </c>
    </row>
    <row r="472" customFormat="false" ht="15" hidden="false" customHeight="false" outlineLevel="0" collapsed="false">
      <c r="A472" s="37"/>
      <c r="B472" s="44"/>
      <c r="C472" s="44"/>
      <c r="D472" s="44"/>
      <c r="E472" s="44"/>
      <c r="F472" s="44"/>
      <c r="G472" s="44"/>
      <c r="H472" s="34" t="str">
        <f aca="false">IF(G472&lt;&gt;"",G472,IF(F472="","",IFERROR(INDEX(I_Item!$C$6:$C$255,MATCH(F472,I_Item!$A$6:$A$255,0)),"KODE BARU")))</f>
        <v/>
      </c>
      <c r="I472" s="45"/>
      <c r="J472" s="42"/>
      <c r="K472" s="11" t="str">
        <f aca="false">IF(I472="","",I472*J472)</f>
        <v/>
      </c>
      <c r="L472" s="34" t="str">
        <f aca="false">IF(H472="","",IFERROR(INDEX(I_Master!$B$6:$B$85,MATCH(H472,I_Master!$A$6:$A$85,0)),"?"))</f>
        <v/>
      </c>
      <c r="M472" s="46" t="str">
        <f aca="false">IF(I472="","",IF(OR(A472&lt;I_Parameter!$C$5,A472&gt;I_Parameter!$C$6),0,IF(B472="Aktual",1,IF(AND(B472="Rencana",A472&gt;=I_Parameter!$C$4),1,0))))</f>
        <v/>
      </c>
    </row>
    <row r="473" customFormat="false" ht="15" hidden="false" customHeight="false" outlineLevel="0" collapsed="false">
      <c r="A473" s="37"/>
      <c r="B473" s="44"/>
      <c r="C473" s="44"/>
      <c r="D473" s="44"/>
      <c r="E473" s="44"/>
      <c r="F473" s="44"/>
      <c r="G473" s="44"/>
      <c r="H473" s="34" t="str">
        <f aca="false">IF(G473&lt;&gt;"",G473,IF(F473="","",IFERROR(INDEX(I_Item!$C$6:$C$255,MATCH(F473,I_Item!$A$6:$A$255,0)),"KODE BARU")))</f>
        <v/>
      </c>
      <c r="I473" s="45"/>
      <c r="J473" s="42"/>
      <c r="K473" s="11" t="str">
        <f aca="false">IF(I473="","",I473*J473)</f>
        <v/>
      </c>
      <c r="L473" s="34" t="str">
        <f aca="false">IF(H473="","",IFERROR(INDEX(I_Master!$B$6:$B$85,MATCH(H473,I_Master!$A$6:$A$85,0)),"?"))</f>
        <v/>
      </c>
      <c r="M473" s="46" t="str">
        <f aca="false">IF(I473="","",IF(OR(A473&lt;I_Parameter!$C$5,A473&gt;I_Parameter!$C$6),0,IF(B473="Aktual",1,IF(AND(B473="Rencana",A473&gt;=I_Parameter!$C$4),1,0))))</f>
        <v/>
      </c>
    </row>
    <row r="474" customFormat="false" ht="15" hidden="false" customHeight="false" outlineLevel="0" collapsed="false">
      <c r="A474" s="37"/>
      <c r="B474" s="44"/>
      <c r="C474" s="44"/>
      <c r="D474" s="44"/>
      <c r="E474" s="44"/>
      <c r="F474" s="44"/>
      <c r="G474" s="44"/>
      <c r="H474" s="34" t="str">
        <f aca="false">IF(G474&lt;&gt;"",G474,IF(F474="","",IFERROR(INDEX(I_Item!$C$6:$C$255,MATCH(F474,I_Item!$A$6:$A$255,0)),"KODE BARU")))</f>
        <v/>
      </c>
      <c r="I474" s="45"/>
      <c r="J474" s="42"/>
      <c r="K474" s="11" t="str">
        <f aca="false">IF(I474="","",I474*J474)</f>
        <v/>
      </c>
      <c r="L474" s="34" t="str">
        <f aca="false">IF(H474="","",IFERROR(INDEX(I_Master!$B$6:$B$85,MATCH(H474,I_Master!$A$6:$A$85,0)),"?"))</f>
        <v/>
      </c>
      <c r="M474" s="46" t="str">
        <f aca="false">IF(I474="","",IF(OR(A474&lt;I_Parameter!$C$5,A474&gt;I_Parameter!$C$6),0,IF(B474="Aktual",1,IF(AND(B474="Rencana",A474&gt;=I_Parameter!$C$4),1,0))))</f>
        <v/>
      </c>
    </row>
    <row r="475" customFormat="false" ht="15" hidden="false" customHeight="false" outlineLevel="0" collapsed="false">
      <c r="A475" s="37"/>
      <c r="B475" s="44"/>
      <c r="C475" s="44"/>
      <c r="D475" s="44"/>
      <c r="E475" s="44"/>
      <c r="F475" s="44"/>
      <c r="G475" s="44"/>
      <c r="H475" s="34" t="str">
        <f aca="false">IF(G475&lt;&gt;"",G475,IF(F475="","",IFERROR(INDEX(I_Item!$C$6:$C$255,MATCH(F475,I_Item!$A$6:$A$255,0)),"KODE BARU")))</f>
        <v/>
      </c>
      <c r="I475" s="45"/>
      <c r="J475" s="42"/>
      <c r="K475" s="11" t="str">
        <f aca="false">IF(I475="","",I475*J475)</f>
        <v/>
      </c>
      <c r="L475" s="34" t="str">
        <f aca="false">IF(H475="","",IFERROR(INDEX(I_Master!$B$6:$B$85,MATCH(H475,I_Master!$A$6:$A$85,0)),"?"))</f>
        <v/>
      </c>
      <c r="M475" s="46" t="str">
        <f aca="false">IF(I475="","",IF(OR(A475&lt;I_Parameter!$C$5,A475&gt;I_Parameter!$C$6),0,IF(B475="Aktual",1,IF(AND(B475="Rencana",A475&gt;=I_Parameter!$C$4),1,0))))</f>
        <v/>
      </c>
    </row>
    <row r="476" customFormat="false" ht="15" hidden="false" customHeight="false" outlineLevel="0" collapsed="false">
      <c r="A476" s="37"/>
      <c r="B476" s="44"/>
      <c r="C476" s="44"/>
      <c r="D476" s="44"/>
      <c r="E476" s="44"/>
      <c r="F476" s="44"/>
      <c r="G476" s="44"/>
      <c r="H476" s="34" t="str">
        <f aca="false">IF(G476&lt;&gt;"",G476,IF(F476="","",IFERROR(INDEX(I_Item!$C$6:$C$255,MATCH(F476,I_Item!$A$6:$A$255,0)),"KODE BARU")))</f>
        <v/>
      </c>
      <c r="I476" s="45"/>
      <c r="J476" s="42"/>
      <c r="K476" s="11" t="str">
        <f aca="false">IF(I476="","",I476*J476)</f>
        <v/>
      </c>
      <c r="L476" s="34" t="str">
        <f aca="false">IF(H476="","",IFERROR(INDEX(I_Master!$B$6:$B$85,MATCH(H476,I_Master!$A$6:$A$85,0)),"?"))</f>
        <v/>
      </c>
      <c r="M476" s="46" t="str">
        <f aca="false">IF(I476="","",IF(OR(A476&lt;I_Parameter!$C$5,A476&gt;I_Parameter!$C$6),0,IF(B476="Aktual",1,IF(AND(B476="Rencana",A476&gt;=I_Parameter!$C$4),1,0))))</f>
        <v/>
      </c>
    </row>
    <row r="477" customFormat="false" ht="15" hidden="false" customHeight="false" outlineLevel="0" collapsed="false">
      <c r="A477" s="37"/>
      <c r="B477" s="44"/>
      <c r="C477" s="44"/>
      <c r="D477" s="44"/>
      <c r="E477" s="44"/>
      <c r="F477" s="44"/>
      <c r="G477" s="44"/>
      <c r="H477" s="34" t="str">
        <f aca="false">IF(G477&lt;&gt;"",G477,IF(F477="","",IFERROR(INDEX(I_Item!$C$6:$C$255,MATCH(F477,I_Item!$A$6:$A$255,0)),"KODE BARU")))</f>
        <v/>
      </c>
      <c r="I477" s="45"/>
      <c r="J477" s="42"/>
      <c r="K477" s="11" t="str">
        <f aca="false">IF(I477="","",I477*J477)</f>
        <v/>
      </c>
      <c r="L477" s="34" t="str">
        <f aca="false">IF(H477="","",IFERROR(INDEX(I_Master!$B$6:$B$85,MATCH(H477,I_Master!$A$6:$A$85,0)),"?"))</f>
        <v/>
      </c>
      <c r="M477" s="46" t="str">
        <f aca="false">IF(I477="","",IF(OR(A477&lt;I_Parameter!$C$5,A477&gt;I_Parameter!$C$6),0,IF(B477="Aktual",1,IF(AND(B477="Rencana",A477&gt;=I_Parameter!$C$4),1,0))))</f>
        <v/>
      </c>
    </row>
    <row r="478" customFormat="false" ht="15" hidden="false" customHeight="false" outlineLevel="0" collapsed="false">
      <c r="A478" s="37"/>
      <c r="B478" s="44"/>
      <c r="C478" s="44"/>
      <c r="D478" s="44"/>
      <c r="E478" s="44"/>
      <c r="F478" s="44"/>
      <c r="G478" s="44"/>
      <c r="H478" s="34" t="str">
        <f aca="false">IF(G478&lt;&gt;"",G478,IF(F478="","",IFERROR(INDEX(I_Item!$C$6:$C$255,MATCH(F478,I_Item!$A$6:$A$255,0)),"KODE BARU")))</f>
        <v/>
      </c>
      <c r="I478" s="45"/>
      <c r="J478" s="42"/>
      <c r="K478" s="11" t="str">
        <f aca="false">IF(I478="","",I478*J478)</f>
        <v/>
      </c>
      <c r="L478" s="34" t="str">
        <f aca="false">IF(H478="","",IFERROR(INDEX(I_Master!$B$6:$B$85,MATCH(H478,I_Master!$A$6:$A$85,0)),"?"))</f>
        <v/>
      </c>
      <c r="M478" s="46" t="str">
        <f aca="false">IF(I478="","",IF(OR(A478&lt;I_Parameter!$C$5,A478&gt;I_Parameter!$C$6),0,IF(B478="Aktual",1,IF(AND(B478="Rencana",A478&gt;=I_Parameter!$C$4),1,0))))</f>
        <v/>
      </c>
    </row>
    <row r="479" customFormat="false" ht="15" hidden="false" customHeight="false" outlineLevel="0" collapsed="false">
      <c r="A479" s="37"/>
      <c r="B479" s="44"/>
      <c r="C479" s="44"/>
      <c r="D479" s="44"/>
      <c r="E479" s="44"/>
      <c r="F479" s="44"/>
      <c r="G479" s="44"/>
      <c r="H479" s="34" t="str">
        <f aca="false">IF(G479&lt;&gt;"",G479,IF(F479="","",IFERROR(INDEX(I_Item!$C$6:$C$255,MATCH(F479,I_Item!$A$6:$A$255,0)),"KODE BARU")))</f>
        <v/>
      </c>
      <c r="I479" s="45"/>
      <c r="J479" s="42"/>
      <c r="K479" s="11" t="str">
        <f aca="false">IF(I479="","",I479*J479)</f>
        <v/>
      </c>
      <c r="L479" s="34" t="str">
        <f aca="false">IF(H479="","",IFERROR(INDEX(I_Master!$B$6:$B$85,MATCH(H479,I_Master!$A$6:$A$85,0)),"?"))</f>
        <v/>
      </c>
      <c r="M479" s="46" t="str">
        <f aca="false">IF(I479="","",IF(OR(A479&lt;I_Parameter!$C$5,A479&gt;I_Parameter!$C$6),0,IF(B479="Aktual",1,IF(AND(B479="Rencana",A479&gt;=I_Parameter!$C$4),1,0))))</f>
        <v/>
      </c>
    </row>
    <row r="480" customFormat="false" ht="15" hidden="false" customHeight="false" outlineLevel="0" collapsed="false">
      <c r="A480" s="37"/>
      <c r="B480" s="44"/>
      <c r="C480" s="44"/>
      <c r="D480" s="44"/>
      <c r="E480" s="44"/>
      <c r="F480" s="44"/>
      <c r="G480" s="44"/>
      <c r="H480" s="34" t="str">
        <f aca="false">IF(G480&lt;&gt;"",G480,IF(F480="","",IFERROR(INDEX(I_Item!$C$6:$C$255,MATCH(F480,I_Item!$A$6:$A$255,0)),"KODE BARU")))</f>
        <v/>
      </c>
      <c r="I480" s="45"/>
      <c r="J480" s="42"/>
      <c r="K480" s="11" t="str">
        <f aca="false">IF(I480="","",I480*J480)</f>
        <v/>
      </c>
      <c r="L480" s="34" t="str">
        <f aca="false">IF(H480="","",IFERROR(INDEX(I_Master!$B$6:$B$85,MATCH(H480,I_Master!$A$6:$A$85,0)),"?"))</f>
        <v/>
      </c>
      <c r="M480" s="46" t="str">
        <f aca="false">IF(I480="","",IF(OR(A480&lt;I_Parameter!$C$5,A480&gt;I_Parameter!$C$6),0,IF(B480="Aktual",1,IF(AND(B480="Rencana",A480&gt;=I_Parameter!$C$4),1,0))))</f>
        <v/>
      </c>
    </row>
    <row r="481" customFormat="false" ht="15" hidden="false" customHeight="false" outlineLevel="0" collapsed="false">
      <c r="A481" s="37"/>
      <c r="B481" s="44"/>
      <c r="C481" s="44"/>
      <c r="D481" s="44"/>
      <c r="E481" s="44"/>
      <c r="F481" s="44"/>
      <c r="G481" s="44"/>
      <c r="H481" s="34" t="str">
        <f aca="false">IF(G481&lt;&gt;"",G481,IF(F481="","",IFERROR(INDEX(I_Item!$C$6:$C$255,MATCH(F481,I_Item!$A$6:$A$255,0)),"KODE BARU")))</f>
        <v/>
      </c>
      <c r="I481" s="45"/>
      <c r="J481" s="42"/>
      <c r="K481" s="11" t="str">
        <f aca="false">IF(I481="","",I481*J481)</f>
        <v/>
      </c>
      <c r="L481" s="34" t="str">
        <f aca="false">IF(H481="","",IFERROR(INDEX(I_Master!$B$6:$B$85,MATCH(H481,I_Master!$A$6:$A$85,0)),"?"))</f>
        <v/>
      </c>
      <c r="M481" s="46" t="str">
        <f aca="false">IF(I481="","",IF(OR(A481&lt;I_Parameter!$C$5,A481&gt;I_Parameter!$C$6),0,IF(B481="Aktual",1,IF(AND(B481="Rencana",A481&gt;=I_Parameter!$C$4),1,0))))</f>
        <v/>
      </c>
    </row>
    <row r="482" customFormat="false" ht="15" hidden="false" customHeight="false" outlineLevel="0" collapsed="false">
      <c r="A482" s="37"/>
      <c r="B482" s="44"/>
      <c r="C482" s="44"/>
      <c r="D482" s="44"/>
      <c r="E482" s="44"/>
      <c r="F482" s="44"/>
      <c r="G482" s="44"/>
      <c r="H482" s="34" t="str">
        <f aca="false">IF(G482&lt;&gt;"",G482,IF(F482="","",IFERROR(INDEX(I_Item!$C$6:$C$255,MATCH(F482,I_Item!$A$6:$A$255,0)),"KODE BARU")))</f>
        <v/>
      </c>
      <c r="I482" s="45"/>
      <c r="J482" s="42"/>
      <c r="K482" s="11" t="str">
        <f aca="false">IF(I482="","",I482*J482)</f>
        <v/>
      </c>
      <c r="L482" s="34" t="str">
        <f aca="false">IF(H482="","",IFERROR(INDEX(I_Master!$B$6:$B$85,MATCH(H482,I_Master!$A$6:$A$85,0)),"?"))</f>
        <v/>
      </c>
      <c r="M482" s="46" t="str">
        <f aca="false">IF(I482="","",IF(OR(A482&lt;I_Parameter!$C$5,A482&gt;I_Parameter!$C$6),0,IF(B482="Aktual",1,IF(AND(B482="Rencana",A482&gt;=I_Parameter!$C$4),1,0))))</f>
        <v/>
      </c>
    </row>
    <row r="483" customFormat="false" ht="15" hidden="false" customHeight="false" outlineLevel="0" collapsed="false">
      <c r="A483" s="37"/>
      <c r="B483" s="44"/>
      <c r="C483" s="44"/>
      <c r="D483" s="44"/>
      <c r="E483" s="44"/>
      <c r="F483" s="44"/>
      <c r="G483" s="44"/>
      <c r="H483" s="34" t="str">
        <f aca="false">IF(G483&lt;&gt;"",G483,IF(F483="","",IFERROR(INDEX(I_Item!$C$6:$C$255,MATCH(F483,I_Item!$A$6:$A$255,0)),"KODE BARU")))</f>
        <v/>
      </c>
      <c r="I483" s="45"/>
      <c r="J483" s="42"/>
      <c r="K483" s="11" t="str">
        <f aca="false">IF(I483="","",I483*J483)</f>
        <v/>
      </c>
      <c r="L483" s="34" t="str">
        <f aca="false">IF(H483="","",IFERROR(INDEX(I_Master!$B$6:$B$85,MATCH(H483,I_Master!$A$6:$A$85,0)),"?"))</f>
        <v/>
      </c>
      <c r="M483" s="46" t="str">
        <f aca="false">IF(I483="","",IF(OR(A483&lt;I_Parameter!$C$5,A483&gt;I_Parameter!$C$6),0,IF(B483="Aktual",1,IF(AND(B483="Rencana",A483&gt;=I_Parameter!$C$4),1,0))))</f>
        <v/>
      </c>
    </row>
    <row r="484" customFormat="false" ht="15" hidden="false" customHeight="false" outlineLevel="0" collapsed="false">
      <c r="A484" s="37"/>
      <c r="B484" s="44"/>
      <c r="C484" s="44"/>
      <c r="D484" s="44"/>
      <c r="E484" s="44"/>
      <c r="F484" s="44"/>
      <c r="G484" s="44"/>
      <c r="H484" s="34" t="str">
        <f aca="false">IF(G484&lt;&gt;"",G484,IF(F484="","",IFERROR(INDEX(I_Item!$C$6:$C$255,MATCH(F484,I_Item!$A$6:$A$255,0)),"KODE BARU")))</f>
        <v/>
      </c>
      <c r="I484" s="45"/>
      <c r="J484" s="42"/>
      <c r="K484" s="11" t="str">
        <f aca="false">IF(I484="","",I484*J484)</f>
        <v/>
      </c>
      <c r="L484" s="34" t="str">
        <f aca="false">IF(H484="","",IFERROR(INDEX(I_Master!$B$6:$B$85,MATCH(H484,I_Master!$A$6:$A$85,0)),"?"))</f>
        <v/>
      </c>
      <c r="M484" s="46" t="str">
        <f aca="false">IF(I484="","",IF(OR(A484&lt;I_Parameter!$C$5,A484&gt;I_Parameter!$C$6),0,IF(B484="Aktual",1,IF(AND(B484="Rencana",A484&gt;=I_Parameter!$C$4),1,0))))</f>
        <v/>
      </c>
    </row>
    <row r="485" customFormat="false" ht="15" hidden="false" customHeight="false" outlineLevel="0" collapsed="false">
      <c r="A485" s="37"/>
      <c r="B485" s="44"/>
      <c r="C485" s="44"/>
      <c r="D485" s="44"/>
      <c r="E485" s="44"/>
      <c r="F485" s="44"/>
      <c r="G485" s="44"/>
      <c r="H485" s="34" t="str">
        <f aca="false">IF(G485&lt;&gt;"",G485,IF(F485="","",IFERROR(INDEX(I_Item!$C$6:$C$255,MATCH(F485,I_Item!$A$6:$A$255,0)),"KODE BARU")))</f>
        <v/>
      </c>
      <c r="I485" s="45"/>
      <c r="J485" s="42"/>
      <c r="K485" s="11" t="str">
        <f aca="false">IF(I485="","",I485*J485)</f>
        <v/>
      </c>
      <c r="L485" s="34" t="str">
        <f aca="false">IF(H485="","",IFERROR(INDEX(I_Master!$B$6:$B$85,MATCH(H485,I_Master!$A$6:$A$85,0)),"?"))</f>
        <v/>
      </c>
      <c r="M485" s="46" t="str">
        <f aca="false">IF(I485="","",IF(OR(A485&lt;I_Parameter!$C$5,A485&gt;I_Parameter!$C$6),0,IF(B485="Aktual",1,IF(AND(B485="Rencana",A485&gt;=I_Parameter!$C$4),1,0))))</f>
        <v/>
      </c>
    </row>
    <row r="486" customFormat="false" ht="15" hidden="false" customHeight="false" outlineLevel="0" collapsed="false">
      <c r="A486" s="37"/>
      <c r="B486" s="44"/>
      <c r="C486" s="44"/>
      <c r="D486" s="44"/>
      <c r="E486" s="44"/>
      <c r="F486" s="44"/>
      <c r="G486" s="44"/>
      <c r="H486" s="34" t="str">
        <f aca="false">IF(G486&lt;&gt;"",G486,IF(F486="","",IFERROR(INDEX(I_Item!$C$6:$C$255,MATCH(F486,I_Item!$A$6:$A$255,0)),"KODE BARU")))</f>
        <v/>
      </c>
      <c r="I486" s="45"/>
      <c r="J486" s="42"/>
      <c r="K486" s="11" t="str">
        <f aca="false">IF(I486="","",I486*J486)</f>
        <v/>
      </c>
      <c r="L486" s="34" t="str">
        <f aca="false">IF(H486="","",IFERROR(INDEX(I_Master!$B$6:$B$85,MATCH(H486,I_Master!$A$6:$A$85,0)),"?"))</f>
        <v/>
      </c>
      <c r="M486" s="46" t="str">
        <f aca="false">IF(I486="","",IF(OR(A486&lt;I_Parameter!$C$5,A486&gt;I_Parameter!$C$6),0,IF(B486="Aktual",1,IF(AND(B486="Rencana",A486&gt;=I_Parameter!$C$4),1,0))))</f>
        <v/>
      </c>
    </row>
    <row r="487" customFormat="false" ht="15" hidden="false" customHeight="false" outlineLevel="0" collapsed="false">
      <c r="A487" s="37"/>
      <c r="B487" s="44"/>
      <c r="C487" s="44"/>
      <c r="D487" s="44"/>
      <c r="E487" s="44"/>
      <c r="F487" s="44"/>
      <c r="G487" s="44"/>
      <c r="H487" s="34" t="str">
        <f aca="false">IF(G487&lt;&gt;"",G487,IF(F487="","",IFERROR(INDEX(I_Item!$C$6:$C$255,MATCH(F487,I_Item!$A$6:$A$255,0)),"KODE BARU")))</f>
        <v/>
      </c>
      <c r="I487" s="45"/>
      <c r="J487" s="42"/>
      <c r="K487" s="11" t="str">
        <f aca="false">IF(I487="","",I487*J487)</f>
        <v/>
      </c>
      <c r="L487" s="34" t="str">
        <f aca="false">IF(H487="","",IFERROR(INDEX(I_Master!$B$6:$B$85,MATCH(H487,I_Master!$A$6:$A$85,0)),"?"))</f>
        <v/>
      </c>
      <c r="M487" s="46" t="str">
        <f aca="false">IF(I487="","",IF(OR(A487&lt;I_Parameter!$C$5,A487&gt;I_Parameter!$C$6),0,IF(B487="Aktual",1,IF(AND(B487="Rencana",A487&gt;=I_Parameter!$C$4),1,0))))</f>
        <v/>
      </c>
    </row>
    <row r="488" customFormat="false" ht="15" hidden="false" customHeight="false" outlineLevel="0" collapsed="false">
      <c r="A488" s="37"/>
      <c r="B488" s="44"/>
      <c r="C488" s="44"/>
      <c r="D488" s="44"/>
      <c r="E488" s="44"/>
      <c r="F488" s="44"/>
      <c r="G488" s="44"/>
      <c r="H488" s="34" t="str">
        <f aca="false">IF(G488&lt;&gt;"",G488,IF(F488="","",IFERROR(INDEX(I_Item!$C$6:$C$255,MATCH(F488,I_Item!$A$6:$A$255,0)),"KODE BARU")))</f>
        <v/>
      </c>
      <c r="I488" s="45"/>
      <c r="J488" s="42"/>
      <c r="K488" s="11" t="str">
        <f aca="false">IF(I488="","",I488*J488)</f>
        <v/>
      </c>
      <c r="L488" s="34" t="str">
        <f aca="false">IF(H488="","",IFERROR(INDEX(I_Master!$B$6:$B$85,MATCH(H488,I_Master!$A$6:$A$85,0)),"?"))</f>
        <v/>
      </c>
      <c r="M488" s="46" t="str">
        <f aca="false">IF(I488="","",IF(OR(A488&lt;I_Parameter!$C$5,A488&gt;I_Parameter!$C$6),0,IF(B488="Aktual",1,IF(AND(B488="Rencana",A488&gt;=I_Parameter!$C$4),1,0))))</f>
        <v/>
      </c>
    </row>
    <row r="489" customFormat="false" ht="15" hidden="false" customHeight="false" outlineLevel="0" collapsed="false">
      <c r="A489" s="37"/>
      <c r="B489" s="44"/>
      <c r="C489" s="44"/>
      <c r="D489" s="44"/>
      <c r="E489" s="44"/>
      <c r="F489" s="44"/>
      <c r="G489" s="44"/>
      <c r="H489" s="34" t="str">
        <f aca="false">IF(G489&lt;&gt;"",G489,IF(F489="","",IFERROR(INDEX(I_Item!$C$6:$C$255,MATCH(F489,I_Item!$A$6:$A$255,0)),"KODE BARU")))</f>
        <v/>
      </c>
      <c r="I489" s="45"/>
      <c r="J489" s="42"/>
      <c r="K489" s="11" t="str">
        <f aca="false">IF(I489="","",I489*J489)</f>
        <v/>
      </c>
      <c r="L489" s="34" t="str">
        <f aca="false">IF(H489="","",IFERROR(INDEX(I_Master!$B$6:$B$85,MATCH(H489,I_Master!$A$6:$A$85,0)),"?"))</f>
        <v/>
      </c>
      <c r="M489" s="46" t="str">
        <f aca="false">IF(I489="","",IF(OR(A489&lt;I_Parameter!$C$5,A489&gt;I_Parameter!$C$6),0,IF(B489="Aktual",1,IF(AND(B489="Rencana",A489&gt;=I_Parameter!$C$4),1,0))))</f>
        <v/>
      </c>
    </row>
    <row r="490" customFormat="false" ht="15" hidden="false" customHeight="false" outlineLevel="0" collapsed="false">
      <c r="A490" s="37"/>
      <c r="B490" s="44"/>
      <c r="C490" s="44"/>
      <c r="D490" s="44"/>
      <c r="E490" s="44"/>
      <c r="F490" s="44"/>
      <c r="G490" s="44"/>
      <c r="H490" s="34" t="str">
        <f aca="false">IF(G490&lt;&gt;"",G490,IF(F490="","",IFERROR(INDEX(I_Item!$C$6:$C$255,MATCH(F490,I_Item!$A$6:$A$255,0)),"KODE BARU")))</f>
        <v/>
      </c>
      <c r="I490" s="45"/>
      <c r="J490" s="42"/>
      <c r="K490" s="11" t="str">
        <f aca="false">IF(I490="","",I490*J490)</f>
        <v/>
      </c>
      <c r="L490" s="34" t="str">
        <f aca="false">IF(H490="","",IFERROR(INDEX(I_Master!$B$6:$B$85,MATCH(H490,I_Master!$A$6:$A$85,0)),"?"))</f>
        <v/>
      </c>
      <c r="M490" s="46" t="str">
        <f aca="false">IF(I490="","",IF(OR(A490&lt;I_Parameter!$C$5,A490&gt;I_Parameter!$C$6),0,IF(B490="Aktual",1,IF(AND(B490="Rencana",A490&gt;=I_Parameter!$C$4),1,0))))</f>
        <v/>
      </c>
    </row>
    <row r="491" customFormat="false" ht="15" hidden="false" customHeight="false" outlineLevel="0" collapsed="false">
      <c r="A491" s="37"/>
      <c r="B491" s="44"/>
      <c r="C491" s="44"/>
      <c r="D491" s="44"/>
      <c r="E491" s="44"/>
      <c r="F491" s="44"/>
      <c r="G491" s="44"/>
      <c r="H491" s="34" t="str">
        <f aca="false">IF(G491&lt;&gt;"",G491,IF(F491="","",IFERROR(INDEX(I_Item!$C$6:$C$255,MATCH(F491,I_Item!$A$6:$A$255,0)),"KODE BARU")))</f>
        <v/>
      </c>
      <c r="I491" s="45"/>
      <c r="J491" s="42"/>
      <c r="K491" s="11" t="str">
        <f aca="false">IF(I491="","",I491*J491)</f>
        <v/>
      </c>
      <c r="L491" s="34" t="str">
        <f aca="false">IF(H491="","",IFERROR(INDEX(I_Master!$B$6:$B$85,MATCH(H491,I_Master!$A$6:$A$85,0)),"?"))</f>
        <v/>
      </c>
      <c r="M491" s="46" t="str">
        <f aca="false">IF(I491="","",IF(OR(A491&lt;I_Parameter!$C$5,A491&gt;I_Parameter!$C$6),0,IF(B491="Aktual",1,IF(AND(B491="Rencana",A491&gt;=I_Parameter!$C$4),1,0))))</f>
        <v/>
      </c>
    </row>
    <row r="492" customFormat="false" ht="15" hidden="false" customHeight="false" outlineLevel="0" collapsed="false">
      <c r="A492" s="37"/>
      <c r="B492" s="44"/>
      <c r="C492" s="44"/>
      <c r="D492" s="44"/>
      <c r="E492" s="44"/>
      <c r="F492" s="44"/>
      <c r="G492" s="44"/>
      <c r="H492" s="34" t="str">
        <f aca="false">IF(G492&lt;&gt;"",G492,IF(F492="","",IFERROR(INDEX(I_Item!$C$6:$C$255,MATCH(F492,I_Item!$A$6:$A$255,0)),"KODE BARU")))</f>
        <v/>
      </c>
      <c r="I492" s="45"/>
      <c r="J492" s="42"/>
      <c r="K492" s="11" t="str">
        <f aca="false">IF(I492="","",I492*J492)</f>
        <v/>
      </c>
      <c r="L492" s="34" t="str">
        <f aca="false">IF(H492="","",IFERROR(INDEX(I_Master!$B$6:$B$85,MATCH(H492,I_Master!$A$6:$A$85,0)),"?"))</f>
        <v/>
      </c>
      <c r="M492" s="46" t="str">
        <f aca="false">IF(I492="","",IF(OR(A492&lt;I_Parameter!$C$5,A492&gt;I_Parameter!$C$6),0,IF(B492="Aktual",1,IF(AND(B492="Rencana",A492&gt;=I_Parameter!$C$4),1,0))))</f>
        <v/>
      </c>
    </row>
    <row r="493" customFormat="false" ht="15" hidden="false" customHeight="false" outlineLevel="0" collapsed="false">
      <c r="A493" s="37"/>
      <c r="B493" s="44"/>
      <c r="C493" s="44"/>
      <c r="D493" s="44"/>
      <c r="E493" s="44"/>
      <c r="F493" s="44"/>
      <c r="G493" s="44"/>
      <c r="H493" s="34" t="str">
        <f aca="false">IF(G493&lt;&gt;"",G493,IF(F493="","",IFERROR(INDEX(I_Item!$C$6:$C$255,MATCH(F493,I_Item!$A$6:$A$255,0)),"KODE BARU")))</f>
        <v/>
      </c>
      <c r="I493" s="45"/>
      <c r="J493" s="42"/>
      <c r="K493" s="11" t="str">
        <f aca="false">IF(I493="","",I493*J493)</f>
        <v/>
      </c>
      <c r="L493" s="34" t="str">
        <f aca="false">IF(H493="","",IFERROR(INDEX(I_Master!$B$6:$B$85,MATCH(H493,I_Master!$A$6:$A$85,0)),"?"))</f>
        <v/>
      </c>
      <c r="M493" s="46" t="str">
        <f aca="false">IF(I493="","",IF(OR(A493&lt;I_Parameter!$C$5,A493&gt;I_Parameter!$C$6),0,IF(B493="Aktual",1,IF(AND(B493="Rencana",A493&gt;=I_Parameter!$C$4),1,0))))</f>
        <v/>
      </c>
    </row>
    <row r="494" customFormat="false" ht="15" hidden="false" customHeight="false" outlineLevel="0" collapsed="false">
      <c r="A494" s="37"/>
      <c r="B494" s="44"/>
      <c r="C494" s="44"/>
      <c r="D494" s="44"/>
      <c r="E494" s="44"/>
      <c r="F494" s="44"/>
      <c r="G494" s="44"/>
      <c r="H494" s="34" t="str">
        <f aca="false">IF(G494&lt;&gt;"",G494,IF(F494="","",IFERROR(INDEX(I_Item!$C$6:$C$255,MATCH(F494,I_Item!$A$6:$A$255,0)),"KODE BARU")))</f>
        <v/>
      </c>
      <c r="I494" s="45"/>
      <c r="J494" s="42"/>
      <c r="K494" s="11" t="str">
        <f aca="false">IF(I494="","",I494*J494)</f>
        <v/>
      </c>
      <c r="L494" s="34" t="str">
        <f aca="false">IF(H494="","",IFERROR(INDEX(I_Master!$B$6:$B$85,MATCH(H494,I_Master!$A$6:$A$85,0)),"?"))</f>
        <v/>
      </c>
      <c r="M494" s="46" t="str">
        <f aca="false">IF(I494="","",IF(OR(A494&lt;I_Parameter!$C$5,A494&gt;I_Parameter!$C$6),0,IF(B494="Aktual",1,IF(AND(B494="Rencana",A494&gt;=I_Parameter!$C$4),1,0))))</f>
        <v/>
      </c>
    </row>
    <row r="495" customFormat="false" ht="15" hidden="false" customHeight="false" outlineLevel="0" collapsed="false">
      <c r="A495" s="37"/>
      <c r="B495" s="44"/>
      <c r="C495" s="44"/>
      <c r="D495" s="44"/>
      <c r="E495" s="44"/>
      <c r="F495" s="44"/>
      <c r="G495" s="44"/>
      <c r="H495" s="34" t="str">
        <f aca="false">IF(G495&lt;&gt;"",G495,IF(F495="","",IFERROR(INDEX(I_Item!$C$6:$C$255,MATCH(F495,I_Item!$A$6:$A$255,0)),"KODE BARU")))</f>
        <v/>
      </c>
      <c r="I495" s="45"/>
      <c r="J495" s="42"/>
      <c r="K495" s="11" t="str">
        <f aca="false">IF(I495="","",I495*J495)</f>
        <v/>
      </c>
      <c r="L495" s="34" t="str">
        <f aca="false">IF(H495="","",IFERROR(INDEX(I_Master!$B$6:$B$85,MATCH(H495,I_Master!$A$6:$A$85,0)),"?"))</f>
        <v/>
      </c>
      <c r="M495" s="46" t="str">
        <f aca="false">IF(I495="","",IF(OR(A495&lt;I_Parameter!$C$5,A495&gt;I_Parameter!$C$6),0,IF(B495="Aktual",1,IF(AND(B495="Rencana",A495&gt;=I_Parameter!$C$4),1,0))))</f>
        <v/>
      </c>
    </row>
    <row r="496" customFormat="false" ht="15" hidden="false" customHeight="false" outlineLevel="0" collapsed="false">
      <c r="A496" s="37"/>
      <c r="B496" s="44"/>
      <c r="C496" s="44"/>
      <c r="D496" s="44"/>
      <c r="E496" s="44"/>
      <c r="F496" s="44"/>
      <c r="G496" s="44"/>
      <c r="H496" s="34" t="str">
        <f aca="false">IF(G496&lt;&gt;"",G496,IF(F496="","",IFERROR(INDEX(I_Item!$C$6:$C$255,MATCH(F496,I_Item!$A$6:$A$255,0)),"KODE BARU")))</f>
        <v/>
      </c>
      <c r="I496" s="45"/>
      <c r="J496" s="42"/>
      <c r="K496" s="11" t="str">
        <f aca="false">IF(I496="","",I496*J496)</f>
        <v/>
      </c>
      <c r="L496" s="34" t="str">
        <f aca="false">IF(H496="","",IFERROR(INDEX(I_Master!$B$6:$B$85,MATCH(H496,I_Master!$A$6:$A$85,0)),"?"))</f>
        <v/>
      </c>
      <c r="M496" s="46" t="str">
        <f aca="false">IF(I496="","",IF(OR(A496&lt;I_Parameter!$C$5,A496&gt;I_Parameter!$C$6),0,IF(B496="Aktual",1,IF(AND(B496="Rencana",A496&gt;=I_Parameter!$C$4),1,0))))</f>
        <v/>
      </c>
    </row>
    <row r="497" customFormat="false" ht="15" hidden="false" customHeight="false" outlineLevel="0" collapsed="false">
      <c r="A497" s="37"/>
      <c r="B497" s="44"/>
      <c r="C497" s="44"/>
      <c r="D497" s="44"/>
      <c r="E497" s="44"/>
      <c r="F497" s="44"/>
      <c r="G497" s="44"/>
      <c r="H497" s="34" t="str">
        <f aca="false">IF(G497&lt;&gt;"",G497,IF(F497="","",IFERROR(INDEX(I_Item!$C$6:$C$255,MATCH(F497,I_Item!$A$6:$A$255,0)),"KODE BARU")))</f>
        <v/>
      </c>
      <c r="I497" s="45"/>
      <c r="J497" s="42"/>
      <c r="K497" s="11" t="str">
        <f aca="false">IF(I497="","",I497*J497)</f>
        <v/>
      </c>
      <c r="L497" s="34" t="str">
        <f aca="false">IF(H497="","",IFERROR(INDEX(I_Master!$B$6:$B$85,MATCH(H497,I_Master!$A$6:$A$85,0)),"?"))</f>
        <v/>
      </c>
      <c r="M497" s="46" t="str">
        <f aca="false">IF(I497="","",IF(OR(A497&lt;I_Parameter!$C$5,A497&gt;I_Parameter!$C$6),0,IF(B497="Aktual",1,IF(AND(B497="Rencana",A497&gt;=I_Parameter!$C$4),1,0))))</f>
        <v/>
      </c>
    </row>
    <row r="498" customFormat="false" ht="15" hidden="false" customHeight="false" outlineLevel="0" collapsed="false">
      <c r="A498" s="37"/>
      <c r="B498" s="44"/>
      <c r="C498" s="44"/>
      <c r="D498" s="44"/>
      <c r="E498" s="44"/>
      <c r="F498" s="44"/>
      <c r="G498" s="44"/>
      <c r="H498" s="34" t="str">
        <f aca="false">IF(G498&lt;&gt;"",G498,IF(F498="","",IFERROR(INDEX(I_Item!$C$6:$C$255,MATCH(F498,I_Item!$A$6:$A$255,0)),"KODE BARU")))</f>
        <v/>
      </c>
      <c r="I498" s="45"/>
      <c r="J498" s="42"/>
      <c r="K498" s="11" t="str">
        <f aca="false">IF(I498="","",I498*J498)</f>
        <v/>
      </c>
      <c r="L498" s="34" t="str">
        <f aca="false">IF(H498="","",IFERROR(INDEX(I_Master!$B$6:$B$85,MATCH(H498,I_Master!$A$6:$A$85,0)),"?"))</f>
        <v/>
      </c>
      <c r="M498" s="46" t="str">
        <f aca="false">IF(I498="","",IF(OR(A498&lt;I_Parameter!$C$5,A498&gt;I_Parameter!$C$6),0,IF(B498="Aktual",1,IF(AND(B498="Rencana",A498&gt;=I_Parameter!$C$4),1,0))))</f>
        <v/>
      </c>
    </row>
    <row r="499" customFormat="false" ht="15" hidden="false" customHeight="false" outlineLevel="0" collapsed="false">
      <c r="A499" s="37"/>
      <c r="B499" s="44"/>
      <c r="C499" s="44"/>
      <c r="D499" s="44"/>
      <c r="E499" s="44"/>
      <c r="F499" s="44"/>
      <c r="G499" s="44"/>
      <c r="H499" s="34" t="str">
        <f aca="false">IF(G499&lt;&gt;"",G499,IF(F499="","",IFERROR(INDEX(I_Item!$C$6:$C$255,MATCH(F499,I_Item!$A$6:$A$255,0)),"KODE BARU")))</f>
        <v/>
      </c>
      <c r="I499" s="45"/>
      <c r="J499" s="42"/>
      <c r="K499" s="11" t="str">
        <f aca="false">IF(I499="","",I499*J499)</f>
        <v/>
      </c>
      <c r="L499" s="34" t="str">
        <f aca="false">IF(H499="","",IFERROR(INDEX(I_Master!$B$6:$B$85,MATCH(H499,I_Master!$A$6:$A$85,0)),"?"))</f>
        <v/>
      </c>
      <c r="M499" s="46" t="str">
        <f aca="false">IF(I499="","",IF(OR(A499&lt;I_Parameter!$C$5,A499&gt;I_Parameter!$C$6),0,IF(B499="Aktual",1,IF(AND(B499="Rencana",A499&gt;=I_Parameter!$C$4),1,0))))</f>
        <v/>
      </c>
    </row>
    <row r="500" customFormat="false" ht="15" hidden="false" customHeight="false" outlineLevel="0" collapsed="false">
      <c r="A500" s="37"/>
      <c r="B500" s="44"/>
      <c r="C500" s="44"/>
      <c r="D500" s="44"/>
      <c r="E500" s="44"/>
      <c r="F500" s="44"/>
      <c r="G500" s="44"/>
      <c r="H500" s="34" t="str">
        <f aca="false">IF(G500&lt;&gt;"",G500,IF(F500="","",IFERROR(INDEX(I_Item!$C$6:$C$255,MATCH(F500,I_Item!$A$6:$A$255,0)),"KODE BARU")))</f>
        <v/>
      </c>
      <c r="I500" s="45"/>
      <c r="J500" s="42"/>
      <c r="K500" s="11" t="str">
        <f aca="false">IF(I500="","",I500*J500)</f>
        <v/>
      </c>
      <c r="L500" s="34" t="str">
        <f aca="false">IF(H500="","",IFERROR(INDEX(I_Master!$B$6:$B$85,MATCH(H500,I_Master!$A$6:$A$85,0)),"?"))</f>
        <v/>
      </c>
      <c r="M500" s="46" t="str">
        <f aca="false">IF(I500="","",IF(OR(A500&lt;I_Parameter!$C$5,A500&gt;I_Parameter!$C$6),0,IF(B500="Aktual",1,IF(AND(B500="Rencana",A500&gt;=I_Parameter!$C$4),1,0))))</f>
        <v/>
      </c>
    </row>
    <row r="501" customFormat="false" ht="15" hidden="false" customHeight="false" outlineLevel="0" collapsed="false">
      <c r="A501" s="37"/>
      <c r="B501" s="44"/>
      <c r="C501" s="44"/>
      <c r="D501" s="44"/>
      <c r="E501" s="44"/>
      <c r="F501" s="44"/>
      <c r="G501" s="44"/>
      <c r="H501" s="34" t="str">
        <f aca="false">IF(G501&lt;&gt;"",G501,IF(F501="","",IFERROR(INDEX(I_Item!$C$6:$C$255,MATCH(F501,I_Item!$A$6:$A$255,0)),"KODE BARU")))</f>
        <v/>
      </c>
      <c r="I501" s="45"/>
      <c r="J501" s="42"/>
      <c r="K501" s="11" t="str">
        <f aca="false">IF(I501="","",I501*J501)</f>
        <v/>
      </c>
      <c r="L501" s="34" t="str">
        <f aca="false">IF(H501="","",IFERROR(INDEX(I_Master!$B$6:$B$85,MATCH(H501,I_Master!$A$6:$A$85,0)),"?"))</f>
        <v/>
      </c>
      <c r="M501" s="46" t="str">
        <f aca="false">IF(I501="","",IF(OR(A501&lt;I_Parameter!$C$5,A501&gt;I_Parameter!$C$6),0,IF(B501="Aktual",1,IF(AND(B501="Rencana",A501&gt;=I_Parameter!$C$4),1,0))))</f>
        <v/>
      </c>
    </row>
    <row r="502" customFormat="false" ht="15" hidden="false" customHeight="false" outlineLevel="0" collapsed="false">
      <c r="A502" s="37"/>
      <c r="B502" s="44"/>
      <c r="C502" s="44"/>
      <c r="D502" s="44"/>
      <c r="E502" s="44"/>
      <c r="F502" s="44"/>
      <c r="G502" s="44"/>
      <c r="H502" s="34" t="str">
        <f aca="false">IF(G502&lt;&gt;"",G502,IF(F502="","",IFERROR(INDEX(I_Item!$C$6:$C$255,MATCH(F502,I_Item!$A$6:$A$255,0)),"KODE BARU")))</f>
        <v/>
      </c>
      <c r="I502" s="45"/>
      <c r="J502" s="42"/>
      <c r="K502" s="11" t="str">
        <f aca="false">IF(I502="","",I502*J502)</f>
        <v/>
      </c>
      <c r="L502" s="34" t="str">
        <f aca="false">IF(H502="","",IFERROR(INDEX(I_Master!$B$6:$B$85,MATCH(H502,I_Master!$A$6:$A$85,0)),"?"))</f>
        <v/>
      </c>
      <c r="M502" s="46" t="str">
        <f aca="false">IF(I502="","",IF(OR(A502&lt;I_Parameter!$C$5,A502&gt;I_Parameter!$C$6),0,IF(B502="Aktual",1,IF(AND(B502="Rencana",A502&gt;=I_Parameter!$C$4),1,0))))</f>
        <v/>
      </c>
    </row>
    <row r="503" customFormat="false" ht="15" hidden="false" customHeight="false" outlineLevel="0" collapsed="false">
      <c r="A503" s="37"/>
      <c r="B503" s="44"/>
      <c r="C503" s="44"/>
      <c r="D503" s="44"/>
      <c r="E503" s="44"/>
      <c r="F503" s="44"/>
      <c r="G503" s="44"/>
      <c r="H503" s="34" t="str">
        <f aca="false">IF(G503&lt;&gt;"",G503,IF(F503="","",IFERROR(INDEX(I_Item!$C$6:$C$255,MATCH(F503,I_Item!$A$6:$A$255,0)),"KODE BARU")))</f>
        <v/>
      </c>
      <c r="I503" s="45"/>
      <c r="J503" s="42"/>
      <c r="K503" s="11" t="str">
        <f aca="false">IF(I503="","",I503*J503)</f>
        <v/>
      </c>
      <c r="L503" s="34" t="str">
        <f aca="false">IF(H503="","",IFERROR(INDEX(I_Master!$B$6:$B$85,MATCH(H503,I_Master!$A$6:$A$85,0)),"?"))</f>
        <v/>
      </c>
      <c r="M503" s="46" t="str">
        <f aca="false">IF(I503="","",IF(OR(A503&lt;I_Parameter!$C$5,A503&gt;I_Parameter!$C$6),0,IF(B503="Aktual",1,IF(AND(B503="Rencana",A503&gt;=I_Parameter!$C$4),1,0))))</f>
        <v/>
      </c>
    </row>
    <row r="504" customFormat="false" ht="15" hidden="false" customHeight="false" outlineLevel="0" collapsed="false">
      <c r="A504" s="37"/>
      <c r="B504" s="44"/>
      <c r="C504" s="44"/>
      <c r="D504" s="44"/>
      <c r="E504" s="44"/>
      <c r="F504" s="44"/>
      <c r="G504" s="44"/>
      <c r="H504" s="34" t="str">
        <f aca="false">IF(G504&lt;&gt;"",G504,IF(F504="","",IFERROR(INDEX(I_Item!$C$6:$C$255,MATCH(F504,I_Item!$A$6:$A$255,0)),"KODE BARU")))</f>
        <v/>
      </c>
      <c r="I504" s="45"/>
      <c r="J504" s="42"/>
      <c r="K504" s="11" t="str">
        <f aca="false">IF(I504="","",I504*J504)</f>
        <v/>
      </c>
      <c r="L504" s="34" t="str">
        <f aca="false">IF(H504="","",IFERROR(INDEX(I_Master!$B$6:$B$85,MATCH(H504,I_Master!$A$6:$A$85,0)),"?"))</f>
        <v/>
      </c>
      <c r="M504" s="46" t="str">
        <f aca="false">IF(I504="","",IF(OR(A504&lt;I_Parameter!$C$5,A504&gt;I_Parameter!$C$6),0,IF(B504="Aktual",1,IF(AND(B504="Rencana",A504&gt;=I_Parameter!$C$4),1,0))))</f>
        <v/>
      </c>
    </row>
    <row r="505" customFormat="false" ht="15" hidden="false" customHeight="false" outlineLevel="0" collapsed="false">
      <c r="A505" s="37"/>
      <c r="B505" s="44"/>
      <c r="C505" s="44"/>
      <c r="D505" s="44"/>
      <c r="E505" s="44"/>
      <c r="F505" s="44"/>
      <c r="G505" s="44"/>
      <c r="H505" s="34" t="str">
        <f aca="false">IF(G505&lt;&gt;"",G505,IF(F505="","",IFERROR(INDEX(I_Item!$C$6:$C$255,MATCH(F505,I_Item!$A$6:$A$255,0)),"KODE BARU")))</f>
        <v/>
      </c>
      <c r="I505" s="45"/>
      <c r="J505" s="42"/>
      <c r="K505" s="11" t="str">
        <f aca="false">IF(I505="","",I505*J505)</f>
        <v/>
      </c>
      <c r="L505" s="34" t="str">
        <f aca="false">IF(H505="","",IFERROR(INDEX(I_Master!$B$6:$B$85,MATCH(H505,I_Master!$A$6:$A$85,0)),"?"))</f>
        <v/>
      </c>
      <c r="M505" s="46" t="str">
        <f aca="false">IF(I505="","",IF(OR(A505&lt;I_Parameter!$C$5,A505&gt;I_Parameter!$C$6),0,IF(B505="Aktual",1,IF(AND(B505="Rencana",A505&gt;=I_Parameter!$C$4),1,0))))</f>
        <v/>
      </c>
    </row>
    <row r="506" customFormat="false" ht="15" hidden="false" customHeight="false" outlineLevel="0" collapsed="false">
      <c r="A506" s="37"/>
      <c r="B506" s="44"/>
      <c r="C506" s="44"/>
      <c r="D506" s="44"/>
      <c r="E506" s="44"/>
      <c r="F506" s="44"/>
      <c r="G506" s="44"/>
      <c r="H506" s="34" t="str">
        <f aca="false">IF(G506&lt;&gt;"",G506,IF(F506="","",IFERROR(INDEX(I_Item!$C$6:$C$255,MATCH(F506,I_Item!$A$6:$A$255,0)),"KODE BARU")))</f>
        <v/>
      </c>
      <c r="I506" s="45"/>
      <c r="J506" s="42"/>
      <c r="K506" s="11" t="str">
        <f aca="false">IF(I506="","",I506*J506)</f>
        <v/>
      </c>
      <c r="L506" s="34" t="str">
        <f aca="false">IF(H506="","",IFERROR(INDEX(I_Master!$B$6:$B$85,MATCH(H506,I_Master!$A$6:$A$85,0)),"?"))</f>
        <v/>
      </c>
      <c r="M506" s="46" t="str">
        <f aca="false">IF(I506="","",IF(OR(A506&lt;I_Parameter!$C$5,A506&gt;I_Parameter!$C$6),0,IF(B506="Aktual",1,IF(AND(B506="Rencana",A506&gt;=I_Parameter!$C$4),1,0))))</f>
        <v/>
      </c>
    </row>
    <row r="507" customFormat="false" ht="15" hidden="false" customHeight="false" outlineLevel="0" collapsed="false">
      <c r="A507" s="37"/>
      <c r="B507" s="44"/>
      <c r="C507" s="44"/>
      <c r="D507" s="44"/>
      <c r="E507" s="44"/>
      <c r="F507" s="44"/>
      <c r="G507" s="44"/>
      <c r="H507" s="34" t="str">
        <f aca="false">IF(G507&lt;&gt;"",G507,IF(F507="","",IFERROR(INDEX(I_Item!$C$6:$C$255,MATCH(F507,I_Item!$A$6:$A$255,0)),"KODE BARU")))</f>
        <v/>
      </c>
      <c r="I507" s="45"/>
      <c r="J507" s="42"/>
      <c r="K507" s="11" t="str">
        <f aca="false">IF(I507="","",I507*J507)</f>
        <v/>
      </c>
      <c r="L507" s="34" t="str">
        <f aca="false">IF(H507="","",IFERROR(INDEX(I_Master!$B$6:$B$85,MATCH(H507,I_Master!$A$6:$A$85,0)),"?"))</f>
        <v/>
      </c>
      <c r="M507" s="46" t="str">
        <f aca="false">IF(I507="","",IF(OR(A507&lt;I_Parameter!$C$5,A507&gt;I_Parameter!$C$6),0,IF(B507="Aktual",1,IF(AND(B507="Rencana",A507&gt;=I_Parameter!$C$4),1,0))))</f>
        <v/>
      </c>
    </row>
    <row r="508" customFormat="false" ht="15" hidden="false" customHeight="false" outlineLevel="0" collapsed="false">
      <c r="A508" s="37"/>
      <c r="B508" s="44"/>
      <c r="C508" s="44"/>
      <c r="D508" s="44"/>
      <c r="E508" s="44"/>
      <c r="F508" s="44"/>
      <c r="G508" s="44"/>
      <c r="H508" s="34" t="str">
        <f aca="false">IF(G508&lt;&gt;"",G508,IF(F508="","",IFERROR(INDEX(I_Item!$C$6:$C$255,MATCH(F508,I_Item!$A$6:$A$255,0)),"KODE BARU")))</f>
        <v/>
      </c>
      <c r="I508" s="45"/>
      <c r="J508" s="42"/>
      <c r="K508" s="11" t="str">
        <f aca="false">IF(I508="","",I508*J508)</f>
        <v/>
      </c>
      <c r="L508" s="34" t="str">
        <f aca="false">IF(H508="","",IFERROR(INDEX(I_Master!$B$6:$B$85,MATCH(H508,I_Master!$A$6:$A$85,0)),"?"))</f>
        <v/>
      </c>
      <c r="M508" s="46" t="str">
        <f aca="false">IF(I508="","",IF(OR(A508&lt;I_Parameter!$C$5,A508&gt;I_Parameter!$C$6),0,IF(B508="Aktual",1,IF(AND(B508="Rencana",A508&gt;=I_Parameter!$C$4),1,0))))</f>
        <v/>
      </c>
    </row>
    <row r="509" customFormat="false" ht="15" hidden="false" customHeight="false" outlineLevel="0" collapsed="false">
      <c r="A509" s="37"/>
      <c r="B509" s="44"/>
      <c r="C509" s="44"/>
      <c r="D509" s="44"/>
      <c r="E509" s="44"/>
      <c r="F509" s="44"/>
      <c r="G509" s="44"/>
      <c r="H509" s="34" t="str">
        <f aca="false">IF(G509&lt;&gt;"",G509,IF(F509="","",IFERROR(INDEX(I_Item!$C$6:$C$255,MATCH(F509,I_Item!$A$6:$A$255,0)),"KODE BARU")))</f>
        <v/>
      </c>
      <c r="I509" s="45"/>
      <c r="J509" s="42"/>
      <c r="K509" s="11" t="str">
        <f aca="false">IF(I509="","",I509*J509)</f>
        <v/>
      </c>
      <c r="L509" s="34" t="str">
        <f aca="false">IF(H509="","",IFERROR(INDEX(I_Master!$B$6:$B$85,MATCH(H509,I_Master!$A$6:$A$85,0)),"?"))</f>
        <v/>
      </c>
      <c r="M509" s="46" t="str">
        <f aca="false">IF(I509="","",IF(OR(A509&lt;I_Parameter!$C$5,A509&gt;I_Parameter!$C$6),0,IF(B509="Aktual",1,IF(AND(B509="Rencana",A509&gt;=I_Parameter!$C$4),1,0))))</f>
        <v/>
      </c>
    </row>
    <row r="510" customFormat="false" ht="15" hidden="false" customHeight="false" outlineLevel="0" collapsed="false">
      <c r="A510" s="37"/>
      <c r="B510" s="44"/>
      <c r="C510" s="44"/>
      <c r="D510" s="44"/>
      <c r="E510" s="44"/>
      <c r="F510" s="44"/>
      <c r="G510" s="44"/>
      <c r="H510" s="34" t="str">
        <f aca="false">IF(G510&lt;&gt;"",G510,IF(F510="","",IFERROR(INDEX(I_Item!$C$6:$C$255,MATCH(F510,I_Item!$A$6:$A$255,0)),"KODE BARU")))</f>
        <v/>
      </c>
      <c r="I510" s="45"/>
      <c r="J510" s="42"/>
      <c r="K510" s="11" t="str">
        <f aca="false">IF(I510="","",I510*J510)</f>
        <v/>
      </c>
      <c r="L510" s="34" t="str">
        <f aca="false">IF(H510="","",IFERROR(INDEX(I_Master!$B$6:$B$85,MATCH(H510,I_Master!$A$6:$A$85,0)),"?"))</f>
        <v/>
      </c>
      <c r="M510" s="46" t="str">
        <f aca="false">IF(I510="","",IF(OR(A510&lt;I_Parameter!$C$5,A510&gt;I_Parameter!$C$6),0,IF(B510="Aktual",1,IF(AND(B510="Rencana",A510&gt;=I_Parameter!$C$4),1,0))))</f>
        <v/>
      </c>
    </row>
    <row r="511" customFormat="false" ht="15" hidden="false" customHeight="false" outlineLevel="0" collapsed="false">
      <c r="A511" s="37"/>
      <c r="B511" s="44"/>
      <c r="C511" s="44"/>
      <c r="D511" s="44"/>
      <c r="E511" s="44"/>
      <c r="F511" s="44"/>
      <c r="G511" s="44"/>
      <c r="H511" s="34" t="str">
        <f aca="false">IF(G511&lt;&gt;"",G511,IF(F511="","",IFERROR(INDEX(I_Item!$C$6:$C$255,MATCH(F511,I_Item!$A$6:$A$255,0)),"KODE BARU")))</f>
        <v/>
      </c>
      <c r="I511" s="45"/>
      <c r="J511" s="42"/>
      <c r="K511" s="11" t="str">
        <f aca="false">IF(I511="","",I511*J511)</f>
        <v/>
      </c>
      <c r="L511" s="34" t="str">
        <f aca="false">IF(H511="","",IFERROR(INDEX(I_Master!$B$6:$B$85,MATCH(H511,I_Master!$A$6:$A$85,0)),"?"))</f>
        <v/>
      </c>
      <c r="M511" s="46" t="str">
        <f aca="false">IF(I511="","",IF(OR(A511&lt;I_Parameter!$C$5,A511&gt;I_Parameter!$C$6),0,IF(B511="Aktual",1,IF(AND(B511="Rencana",A511&gt;=I_Parameter!$C$4),1,0))))</f>
        <v/>
      </c>
    </row>
    <row r="512" customFormat="false" ht="15" hidden="false" customHeight="false" outlineLevel="0" collapsed="false">
      <c r="A512" s="37"/>
      <c r="B512" s="44"/>
      <c r="C512" s="44"/>
      <c r="D512" s="44"/>
      <c r="E512" s="44"/>
      <c r="F512" s="44"/>
      <c r="G512" s="44"/>
      <c r="H512" s="34" t="str">
        <f aca="false">IF(G512&lt;&gt;"",G512,IF(F512="","",IFERROR(INDEX(I_Item!$C$6:$C$255,MATCH(F512,I_Item!$A$6:$A$255,0)),"KODE BARU")))</f>
        <v/>
      </c>
      <c r="I512" s="45"/>
      <c r="J512" s="42"/>
      <c r="K512" s="11" t="str">
        <f aca="false">IF(I512="","",I512*J512)</f>
        <v/>
      </c>
      <c r="L512" s="34" t="str">
        <f aca="false">IF(H512="","",IFERROR(INDEX(I_Master!$B$6:$B$85,MATCH(H512,I_Master!$A$6:$A$85,0)),"?"))</f>
        <v/>
      </c>
      <c r="M512" s="46" t="str">
        <f aca="false">IF(I512="","",IF(OR(A512&lt;I_Parameter!$C$5,A512&gt;I_Parameter!$C$6),0,IF(B512="Aktual",1,IF(AND(B512="Rencana",A512&gt;=I_Parameter!$C$4),1,0))))</f>
        <v/>
      </c>
    </row>
    <row r="513" customFormat="false" ht="15" hidden="false" customHeight="false" outlineLevel="0" collapsed="false">
      <c r="A513" s="37"/>
      <c r="B513" s="44"/>
      <c r="C513" s="44"/>
      <c r="D513" s="44"/>
      <c r="E513" s="44"/>
      <c r="F513" s="44"/>
      <c r="G513" s="44"/>
      <c r="H513" s="34" t="str">
        <f aca="false">IF(G513&lt;&gt;"",G513,IF(F513="","",IFERROR(INDEX(I_Item!$C$6:$C$255,MATCH(F513,I_Item!$A$6:$A$255,0)),"KODE BARU")))</f>
        <v/>
      </c>
      <c r="I513" s="45"/>
      <c r="J513" s="42"/>
      <c r="K513" s="11" t="str">
        <f aca="false">IF(I513="","",I513*J513)</f>
        <v/>
      </c>
      <c r="L513" s="34" t="str">
        <f aca="false">IF(H513="","",IFERROR(INDEX(I_Master!$B$6:$B$85,MATCH(H513,I_Master!$A$6:$A$85,0)),"?"))</f>
        <v/>
      </c>
      <c r="M513" s="46" t="str">
        <f aca="false">IF(I513="","",IF(OR(A513&lt;I_Parameter!$C$5,A513&gt;I_Parameter!$C$6),0,IF(B513="Aktual",1,IF(AND(B513="Rencana",A513&gt;=I_Parameter!$C$4),1,0))))</f>
        <v/>
      </c>
    </row>
    <row r="514" customFormat="false" ht="15" hidden="false" customHeight="false" outlineLevel="0" collapsed="false">
      <c r="A514" s="37"/>
      <c r="B514" s="44"/>
      <c r="C514" s="44"/>
      <c r="D514" s="44"/>
      <c r="E514" s="44"/>
      <c r="F514" s="44"/>
      <c r="G514" s="44"/>
      <c r="H514" s="34" t="str">
        <f aca="false">IF(G514&lt;&gt;"",G514,IF(F514="","",IFERROR(INDEX(I_Item!$C$6:$C$255,MATCH(F514,I_Item!$A$6:$A$255,0)),"KODE BARU")))</f>
        <v/>
      </c>
      <c r="I514" s="45"/>
      <c r="J514" s="42"/>
      <c r="K514" s="11" t="str">
        <f aca="false">IF(I514="","",I514*J514)</f>
        <v/>
      </c>
      <c r="L514" s="34" t="str">
        <f aca="false">IF(H514="","",IFERROR(INDEX(I_Master!$B$6:$B$85,MATCH(H514,I_Master!$A$6:$A$85,0)),"?"))</f>
        <v/>
      </c>
      <c r="M514" s="46" t="str">
        <f aca="false">IF(I514="","",IF(OR(A514&lt;I_Parameter!$C$5,A514&gt;I_Parameter!$C$6),0,IF(B514="Aktual",1,IF(AND(B514="Rencana",A514&gt;=I_Parameter!$C$4),1,0))))</f>
        <v/>
      </c>
    </row>
    <row r="515" customFormat="false" ht="15" hidden="false" customHeight="false" outlineLevel="0" collapsed="false">
      <c r="A515" s="37"/>
      <c r="B515" s="44"/>
      <c r="C515" s="44"/>
      <c r="D515" s="44"/>
      <c r="E515" s="44"/>
      <c r="F515" s="44"/>
      <c r="G515" s="44"/>
      <c r="H515" s="34" t="str">
        <f aca="false">IF(G515&lt;&gt;"",G515,IF(F515="","",IFERROR(INDEX(I_Item!$C$6:$C$255,MATCH(F515,I_Item!$A$6:$A$255,0)),"KODE BARU")))</f>
        <v/>
      </c>
      <c r="I515" s="45"/>
      <c r="J515" s="42"/>
      <c r="K515" s="11" t="str">
        <f aca="false">IF(I515="","",I515*J515)</f>
        <v/>
      </c>
      <c r="L515" s="34" t="str">
        <f aca="false">IF(H515="","",IFERROR(INDEX(I_Master!$B$6:$B$85,MATCH(H515,I_Master!$A$6:$A$85,0)),"?"))</f>
        <v/>
      </c>
      <c r="M515" s="46" t="str">
        <f aca="false">IF(I515="","",IF(OR(A515&lt;I_Parameter!$C$5,A515&gt;I_Parameter!$C$6),0,IF(B515="Aktual",1,IF(AND(B515="Rencana",A515&gt;=I_Parameter!$C$4),1,0))))</f>
        <v/>
      </c>
    </row>
    <row r="516" customFormat="false" ht="15" hidden="false" customHeight="false" outlineLevel="0" collapsed="false">
      <c r="A516" s="37"/>
      <c r="B516" s="44"/>
      <c r="C516" s="44"/>
      <c r="D516" s="44"/>
      <c r="E516" s="44"/>
      <c r="F516" s="44"/>
      <c r="G516" s="44"/>
      <c r="H516" s="34" t="str">
        <f aca="false">IF(G516&lt;&gt;"",G516,IF(F516="","",IFERROR(INDEX(I_Item!$C$6:$C$255,MATCH(F516,I_Item!$A$6:$A$255,0)),"KODE BARU")))</f>
        <v/>
      </c>
      <c r="I516" s="45"/>
      <c r="J516" s="42"/>
      <c r="K516" s="11" t="str">
        <f aca="false">IF(I516="","",I516*J516)</f>
        <v/>
      </c>
      <c r="L516" s="34" t="str">
        <f aca="false">IF(H516="","",IFERROR(INDEX(I_Master!$B$6:$B$85,MATCH(H516,I_Master!$A$6:$A$85,0)),"?"))</f>
        <v/>
      </c>
      <c r="M516" s="46" t="str">
        <f aca="false">IF(I516="","",IF(OR(A516&lt;I_Parameter!$C$5,A516&gt;I_Parameter!$C$6),0,IF(B516="Aktual",1,IF(AND(B516="Rencana",A516&gt;=I_Parameter!$C$4),1,0))))</f>
        <v/>
      </c>
    </row>
    <row r="517" customFormat="false" ht="15" hidden="false" customHeight="false" outlineLevel="0" collapsed="false">
      <c r="A517" s="37"/>
      <c r="B517" s="44"/>
      <c r="C517" s="44"/>
      <c r="D517" s="44"/>
      <c r="E517" s="44"/>
      <c r="F517" s="44"/>
      <c r="G517" s="44"/>
      <c r="H517" s="34" t="str">
        <f aca="false">IF(G517&lt;&gt;"",G517,IF(F517="","",IFERROR(INDEX(I_Item!$C$6:$C$255,MATCH(F517,I_Item!$A$6:$A$255,0)),"KODE BARU")))</f>
        <v/>
      </c>
      <c r="I517" s="45"/>
      <c r="J517" s="42"/>
      <c r="K517" s="11" t="str">
        <f aca="false">IF(I517="","",I517*J517)</f>
        <v/>
      </c>
      <c r="L517" s="34" t="str">
        <f aca="false">IF(H517="","",IFERROR(INDEX(I_Master!$B$6:$B$85,MATCH(H517,I_Master!$A$6:$A$85,0)),"?"))</f>
        <v/>
      </c>
      <c r="M517" s="46" t="str">
        <f aca="false">IF(I517="","",IF(OR(A517&lt;I_Parameter!$C$5,A517&gt;I_Parameter!$C$6),0,IF(B517="Aktual",1,IF(AND(B517="Rencana",A517&gt;=I_Parameter!$C$4),1,0))))</f>
        <v/>
      </c>
    </row>
    <row r="518" customFormat="false" ht="15" hidden="false" customHeight="false" outlineLevel="0" collapsed="false">
      <c r="A518" s="37"/>
      <c r="B518" s="44"/>
      <c r="C518" s="44"/>
      <c r="D518" s="44"/>
      <c r="E518" s="44"/>
      <c r="F518" s="44"/>
      <c r="G518" s="44"/>
      <c r="H518" s="34" t="str">
        <f aca="false">IF(G518&lt;&gt;"",G518,IF(F518="","",IFERROR(INDEX(I_Item!$C$6:$C$255,MATCH(F518,I_Item!$A$6:$A$255,0)),"KODE BARU")))</f>
        <v/>
      </c>
      <c r="I518" s="45"/>
      <c r="J518" s="42"/>
      <c r="K518" s="11" t="str">
        <f aca="false">IF(I518="","",I518*J518)</f>
        <v/>
      </c>
      <c r="L518" s="34" t="str">
        <f aca="false">IF(H518="","",IFERROR(INDEX(I_Master!$B$6:$B$85,MATCH(H518,I_Master!$A$6:$A$85,0)),"?"))</f>
        <v/>
      </c>
      <c r="M518" s="46" t="str">
        <f aca="false">IF(I518="","",IF(OR(A518&lt;I_Parameter!$C$5,A518&gt;I_Parameter!$C$6),0,IF(B518="Aktual",1,IF(AND(B518="Rencana",A518&gt;=I_Parameter!$C$4),1,0))))</f>
        <v/>
      </c>
    </row>
    <row r="519" customFormat="false" ht="15" hidden="false" customHeight="false" outlineLevel="0" collapsed="false">
      <c r="A519" s="37"/>
      <c r="B519" s="44"/>
      <c r="C519" s="44"/>
      <c r="D519" s="44"/>
      <c r="E519" s="44"/>
      <c r="F519" s="44"/>
      <c r="G519" s="44"/>
      <c r="H519" s="34" t="str">
        <f aca="false">IF(G519&lt;&gt;"",G519,IF(F519="","",IFERROR(INDEX(I_Item!$C$6:$C$255,MATCH(F519,I_Item!$A$6:$A$255,0)),"KODE BARU")))</f>
        <v/>
      </c>
      <c r="I519" s="45"/>
      <c r="J519" s="42"/>
      <c r="K519" s="11" t="str">
        <f aca="false">IF(I519="","",I519*J519)</f>
        <v/>
      </c>
      <c r="L519" s="34" t="str">
        <f aca="false">IF(H519="","",IFERROR(INDEX(I_Master!$B$6:$B$85,MATCH(H519,I_Master!$A$6:$A$85,0)),"?"))</f>
        <v/>
      </c>
      <c r="M519" s="46" t="str">
        <f aca="false">IF(I519="","",IF(OR(A519&lt;I_Parameter!$C$5,A519&gt;I_Parameter!$C$6),0,IF(B519="Aktual",1,IF(AND(B519="Rencana",A519&gt;=I_Parameter!$C$4),1,0))))</f>
        <v/>
      </c>
    </row>
    <row r="520" customFormat="false" ht="15" hidden="false" customHeight="false" outlineLevel="0" collapsed="false">
      <c r="A520" s="37"/>
      <c r="B520" s="44"/>
      <c r="C520" s="44"/>
      <c r="D520" s="44"/>
      <c r="E520" s="44"/>
      <c r="F520" s="44"/>
      <c r="G520" s="44"/>
      <c r="H520" s="34" t="str">
        <f aca="false">IF(G520&lt;&gt;"",G520,IF(F520="","",IFERROR(INDEX(I_Item!$C$6:$C$255,MATCH(F520,I_Item!$A$6:$A$255,0)),"KODE BARU")))</f>
        <v/>
      </c>
      <c r="I520" s="45"/>
      <c r="J520" s="42"/>
      <c r="K520" s="11" t="str">
        <f aca="false">IF(I520="","",I520*J520)</f>
        <v/>
      </c>
      <c r="L520" s="34" t="str">
        <f aca="false">IF(H520="","",IFERROR(INDEX(I_Master!$B$6:$B$85,MATCH(H520,I_Master!$A$6:$A$85,0)),"?"))</f>
        <v/>
      </c>
      <c r="M520" s="46" t="str">
        <f aca="false">IF(I520="","",IF(OR(A520&lt;I_Parameter!$C$5,A520&gt;I_Parameter!$C$6),0,IF(B520="Aktual",1,IF(AND(B520="Rencana",A520&gt;=I_Parameter!$C$4),1,0))))</f>
        <v/>
      </c>
    </row>
    <row r="521" customFormat="false" ht="15" hidden="false" customHeight="false" outlineLevel="0" collapsed="false">
      <c r="A521" s="37"/>
      <c r="B521" s="44"/>
      <c r="C521" s="44"/>
      <c r="D521" s="44"/>
      <c r="E521" s="44"/>
      <c r="F521" s="44"/>
      <c r="G521" s="44"/>
      <c r="H521" s="34" t="str">
        <f aca="false">IF(G521&lt;&gt;"",G521,IF(F521="","",IFERROR(INDEX(I_Item!$C$6:$C$255,MATCH(F521,I_Item!$A$6:$A$255,0)),"KODE BARU")))</f>
        <v/>
      </c>
      <c r="I521" s="45"/>
      <c r="J521" s="42"/>
      <c r="K521" s="11" t="str">
        <f aca="false">IF(I521="","",I521*J521)</f>
        <v/>
      </c>
      <c r="L521" s="34" t="str">
        <f aca="false">IF(H521="","",IFERROR(INDEX(I_Master!$B$6:$B$85,MATCH(H521,I_Master!$A$6:$A$85,0)),"?"))</f>
        <v/>
      </c>
      <c r="M521" s="46" t="str">
        <f aca="false">IF(I521="","",IF(OR(A521&lt;I_Parameter!$C$5,A521&gt;I_Parameter!$C$6),0,IF(B521="Aktual",1,IF(AND(B521="Rencana",A521&gt;=I_Parameter!$C$4),1,0))))</f>
        <v/>
      </c>
    </row>
    <row r="522" customFormat="false" ht="15" hidden="false" customHeight="false" outlineLevel="0" collapsed="false">
      <c r="A522" s="37"/>
      <c r="B522" s="44"/>
      <c r="C522" s="44"/>
      <c r="D522" s="44"/>
      <c r="E522" s="44"/>
      <c r="F522" s="44"/>
      <c r="G522" s="44"/>
      <c r="H522" s="34" t="str">
        <f aca="false">IF(G522&lt;&gt;"",G522,IF(F522="","",IFERROR(INDEX(I_Item!$C$6:$C$255,MATCH(F522,I_Item!$A$6:$A$255,0)),"KODE BARU")))</f>
        <v/>
      </c>
      <c r="I522" s="45"/>
      <c r="J522" s="42"/>
      <c r="K522" s="11" t="str">
        <f aca="false">IF(I522="","",I522*J522)</f>
        <v/>
      </c>
      <c r="L522" s="34" t="str">
        <f aca="false">IF(H522="","",IFERROR(INDEX(I_Master!$B$6:$B$85,MATCH(H522,I_Master!$A$6:$A$85,0)),"?"))</f>
        <v/>
      </c>
      <c r="M522" s="46" t="str">
        <f aca="false">IF(I522="","",IF(OR(A522&lt;I_Parameter!$C$5,A522&gt;I_Parameter!$C$6),0,IF(B522="Aktual",1,IF(AND(B522="Rencana",A522&gt;=I_Parameter!$C$4),1,0))))</f>
        <v/>
      </c>
    </row>
    <row r="523" customFormat="false" ht="15" hidden="false" customHeight="false" outlineLevel="0" collapsed="false">
      <c r="A523" s="37"/>
      <c r="B523" s="44"/>
      <c r="C523" s="44"/>
      <c r="D523" s="44"/>
      <c r="E523" s="44"/>
      <c r="F523" s="44"/>
      <c r="G523" s="44"/>
      <c r="H523" s="34" t="str">
        <f aca="false">IF(G523&lt;&gt;"",G523,IF(F523="","",IFERROR(INDEX(I_Item!$C$6:$C$255,MATCH(F523,I_Item!$A$6:$A$255,0)),"KODE BARU")))</f>
        <v/>
      </c>
      <c r="I523" s="45"/>
      <c r="J523" s="42"/>
      <c r="K523" s="11" t="str">
        <f aca="false">IF(I523="","",I523*J523)</f>
        <v/>
      </c>
      <c r="L523" s="34" t="str">
        <f aca="false">IF(H523="","",IFERROR(INDEX(I_Master!$B$6:$B$85,MATCH(H523,I_Master!$A$6:$A$85,0)),"?"))</f>
        <v/>
      </c>
      <c r="M523" s="46" t="str">
        <f aca="false">IF(I523="","",IF(OR(A523&lt;I_Parameter!$C$5,A523&gt;I_Parameter!$C$6),0,IF(B523="Aktual",1,IF(AND(B523="Rencana",A523&gt;=I_Parameter!$C$4),1,0))))</f>
        <v/>
      </c>
    </row>
    <row r="524" customFormat="false" ht="15" hidden="false" customHeight="false" outlineLevel="0" collapsed="false">
      <c r="A524" s="37"/>
      <c r="B524" s="44"/>
      <c r="C524" s="44"/>
      <c r="D524" s="44"/>
      <c r="E524" s="44"/>
      <c r="F524" s="44"/>
      <c r="G524" s="44"/>
      <c r="H524" s="34" t="str">
        <f aca="false">IF(G524&lt;&gt;"",G524,IF(F524="","",IFERROR(INDEX(I_Item!$C$6:$C$255,MATCH(F524,I_Item!$A$6:$A$255,0)),"KODE BARU")))</f>
        <v/>
      </c>
      <c r="I524" s="45"/>
      <c r="J524" s="42"/>
      <c r="K524" s="11" t="str">
        <f aca="false">IF(I524="","",I524*J524)</f>
        <v/>
      </c>
      <c r="L524" s="34" t="str">
        <f aca="false">IF(H524="","",IFERROR(INDEX(I_Master!$B$6:$B$85,MATCH(H524,I_Master!$A$6:$A$85,0)),"?"))</f>
        <v/>
      </c>
      <c r="M524" s="46" t="str">
        <f aca="false">IF(I524="","",IF(OR(A524&lt;I_Parameter!$C$5,A524&gt;I_Parameter!$C$6),0,IF(B524="Aktual",1,IF(AND(B524="Rencana",A524&gt;=I_Parameter!$C$4),1,0))))</f>
        <v/>
      </c>
    </row>
    <row r="525" customFormat="false" ht="15" hidden="false" customHeight="false" outlineLevel="0" collapsed="false">
      <c r="A525" s="37"/>
      <c r="B525" s="44"/>
      <c r="C525" s="44"/>
      <c r="D525" s="44"/>
      <c r="E525" s="44"/>
      <c r="F525" s="44"/>
      <c r="G525" s="44"/>
      <c r="H525" s="34" t="str">
        <f aca="false">IF(G525&lt;&gt;"",G525,IF(F525="","",IFERROR(INDEX(I_Item!$C$6:$C$255,MATCH(F525,I_Item!$A$6:$A$255,0)),"KODE BARU")))</f>
        <v/>
      </c>
      <c r="I525" s="45"/>
      <c r="J525" s="42"/>
      <c r="K525" s="11" t="str">
        <f aca="false">IF(I525="","",I525*J525)</f>
        <v/>
      </c>
      <c r="L525" s="34" t="str">
        <f aca="false">IF(H525="","",IFERROR(INDEX(I_Master!$B$6:$B$85,MATCH(H525,I_Master!$A$6:$A$85,0)),"?"))</f>
        <v/>
      </c>
      <c r="M525" s="46" t="str">
        <f aca="false">IF(I525="","",IF(OR(A525&lt;I_Parameter!$C$5,A525&gt;I_Parameter!$C$6),0,IF(B525="Aktual",1,IF(AND(B525="Rencana",A525&gt;=I_Parameter!$C$4),1,0))))</f>
        <v/>
      </c>
    </row>
    <row r="526" customFormat="false" ht="15" hidden="false" customHeight="false" outlineLevel="0" collapsed="false">
      <c r="A526" s="37"/>
      <c r="B526" s="44"/>
      <c r="C526" s="44"/>
      <c r="D526" s="44"/>
      <c r="E526" s="44"/>
      <c r="F526" s="44"/>
      <c r="G526" s="44"/>
      <c r="H526" s="34" t="str">
        <f aca="false">IF(G526&lt;&gt;"",G526,IF(F526="","",IFERROR(INDEX(I_Item!$C$6:$C$255,MATCH(F526,I_Item!$A$6:$A$255,0)),"KODE BARU")))</f>
        <v/>
      </c>
      <c r="I526" s="45"/>
      <c r="J526" s="42"/>
      <c r="K526" s="11" t="str">
        <f aca="false">IF(I526="","",I526*J526)</f>
        <v/>
      </c>
      <c r="L526" s="34" t="str">
        <f aca="false">IF(H526="","",IFERROR(INDEX(I_Master!$B$6:$B$85,MATCH(H526,I_Master!$A$6:$A$85,0)),"?"))</f>
        <v/>
      </c>
      <c r="M526" s="46" t="str">
        <f aca="false">IF(I526="","",IF(OR(A526&lt;I_Parameter!$C$5,A526&gt;I_Parameter!$C$6),0,IF(B526="Aktual",1,IF(AND(B526="Rencana",A526&gt;=I_Parameter!$C$4),1,0))))</f>
        <v/>
      </c>
    </row>
    <row r="527" customFormat="false" ht="15" hidden="false" customHeight="false" outlineLevel="0" collapsed="false">
      <c r="A527" s="37"/>
      <c r="B527" s="44"/>
      <c r="C527" s="44"/>
      <c r="D527" s="44"/>
      <c r="E527" s="44"/>
      <c r="F527" s="44"/>
      <c r="G527" s="44"/>
      <c r="H527" s="34" t="str">
        <f aca="false">IF(G527&lt;&gt;"",G527,IF(F527="","",IFERROR(INDEX(I_Item!$C$6:$C$255,MATCH(F527,I_Item!$A$6:$A$255,0)),"KODE BARU")))</f>
        <v/>
      </c>
      <c r="I527" s="45"/>
      <c r="J527" s="42"/>
      <c r="K527" s="11" t="str">
        <f aca="false">IF(I527="","",I527*J527)</f>
        <v/>
      </c>
      <c r="L527" s="34" t="str">
        <f aca="false">IF(H527="","",IFERROR(INDEX(I_Master!$B$6:$B$85,MATCH(H527,I_Master!$A$6:$A$85,0)),"?"))</f>
        <v/>
      </c>
      <c r="M527" s="46" t="str">
        <f aca="false">IF(I527="","",IF(OR(A527&lt;I_Parameter!$C$5,A527&gt;I_Parameter!$C$6),0,IF(B527="Aktual",1,IF(AND(B527="Rencana",A527&gt;=I_Parameter!$C$4),1,0))))</f>
        <v/>
      </c>
    </row>
    <row r="528" customFormat="false" ht="15" hidden="false" customHeight="false" outlineLevel="0" collapsed="false">
      <c r="A528" s="37"/>
      <c r="B528" s="44"/>
      <c r="C528" s="44"/>
      <c r="D528" s="44"/>
      <c r="E528" s="44"/>
      <c r="F528" s="44"/>
      <c r="G528" s="44"/>
      <c r="H528" s="34" t="str">
        <f aca="false">IF(G528&lt;&gt;"",G528,IF(F528="","",IFERROR(INDEX(I_Item!$C$6:$C$255,MATCH(F528,I_Item!$A$6:$A$255,0)),"KODE BARU")))</f>
        <v/>
      </c>
      <c r="I528" s="45"/>
      <c r="J528" s="42"/>
      <c r="K528" s="11" t="str">
        <f aca="false">IF(I528="","",I528*J528)</f>
        <v/>
      </c>
      <c r="L528" s="34" t="str">
        <f aca="false">IF(H528="","",IFERROR(INDEX(I_Master!$B$6:$B$85,MATCH(H528,I_Master!$A$6:$A$85,0)),"?"))</f>
        <v/>
      </c>
      <c r="M528" s="46" t="str">
        <f aca="false">IF(I528="","",IF(OR(A528&lt;I_Parameter!$C$5,A528&gt;I_Parameter!$C$6),0,IF(B528="Aktual",1,IF(AND(B528="Rencana",A528&gt;=I_Parameter!$C$4),1,0))))</f>
        <v/>
      </c>
    </row>
    <row r="529" customFormat="false" ht="15" hidden="false" customHeight="false" outlineLevel="0" collapsed="false">
      <c r="A529" s="37"/>
      <c r="B529" s="44"/>
      <c r="C529" s="44"/>
      <c r="D529" s="44"/>
      <c r="E529" s="44"/>
      <c r="F529" s="44"/>
      <c r="G529" s="44"/>
      <c r="H529" s="34" t="str">
        <f aca="false">IF(G529&lt;&gt;"",G529,IF(F529="","",IFERROR(INDEX(I_Item!$C$6:$C$255,MATCH(F529,I_Item!$A$6:$A$255,0)),"KODE BARU")))</f>
        <v/>
      </c>
      <c r="I529" s="45"/>
      <c r="J529" s="42"/>
      <c r="K529" s="11" t="str">
        <f aca="false">IF(I529="","",I529*J529)</f>
        <v/>
      </c>
      <c r="L529" s="34" t="str">
        <f aca="false">IF(H529="","",IFERROR(INDEX(I_Master!$B$6:$B$85,MATCH(H529,I_Master!$A$6:$A$85,0)),"?"))</f>
        <v/>
      </c>
      <c r="M529" s="46" t="str">
        <f aca="false">IF(I529="","",IF(OR(A529&lt;I_Parameter!$C$5,A529&gt;I_Parameter!$C$6),0,IF(B529="Aktual",1,IF(AND(B529="Rencana",A529&gt;=I_Parameter!$C$4),1,0))))</f>
        <v/>
      </c>
    </row>
    <row r="530" customFormat="false" ht="15" hidden="false" customHeight="false" outlineLevel="0" collapsed="false">
      <c r="A530" s="37"/>
      <c r="B530" s="44"/>
      <c r="C530" s="44"/>
      <c r="D530" s="44"/>
      <c r="E530" s="44"/>
      <c r="F530" s="44"/>
      <c r="G530" s="44"/>
      <c r="H530" s="34" t="str">
        <f aca="false">IF(G530&lt;&gt;"",G530,IF(F530="","",IFERROR(INDEX(I_Item!$C$6:$C$255,MATCH(F530,I_Item!$A$6:$A$255,0)),"KODE BARU")))</f>
        <v/>
      </c>
      <c r="I530" s="45"/>
      <c r="J530" s="42"/>
      <c r="K530" s="11" t="str">
        <f aca="false">IF(I530="","",I530*J530)</f>
        <v/>
      </c>
      <c r="L530" s="34" t="str">
        <f aca="false">IF(H530="","",IFERROR(INDEX(I_Master!$B$6:$B$85,MATCH(H530,I_Master!$A$6:$A$85,0)),"?"))</f>
        <v/>
      </c>
      <c r="M530" s="46" t="str">
        <f aca="false">IF(I530="","",IF(OR(A530&lt;I_Parameter!$C$5,A530&gt;I_Parameter!$C$6),0,IF(B530="Aktual",1,IF(AND(B530="Rencana",A530&gt;=I_Parameter!$C$4),1,0))))</f>
        <v/>
      </c>
    </row>
    <row r="531" customFormat="false" ht="15" hidden="false" customHeight="false" outlineLevel="0" collapsed="false">
      <c r="A531" s="37"/>
      <c r="B531" s="44"/>
      <c r="C531" s="44"/>
      <c r="D531" s="44"/>
      <c r="E531" s="44"/>
      <c r="F531" s="44"/>
      <c r="G531" s="44"/>
      <c r="H531" s="34" t="str">
        <f aca="false">IF(G531&lt;&gt;"",G531,IF(F531="","",IFERROR(INDEX(I_Item!$C$6:$C$255,MATCH(F531,I_Item!$A$6:$A$255,0)),"KODE BARU")))</f>
        <v/>
      </c>
      <c r="I531" s="45"/>
      <c r="J531" s="42"/>
      <c r="K531" s="11" t="str">
        <f aca="false">IF(I531="","",I531*J531)</f>
        <v/>
      </c>
      <c r="L531" s="34" t="str">
        <f aca="false">IF(H531="","",IFERROR(INDEX(I_Master!$B$6:$B$85,MATCH(H531,I_Master!$A$6:$A$85,0)),"?"))</f>
        <v/>
      </c>
      <c r="M531" s="46" t="str">
        <f aca="false">IF(I531="","",IF(OR(A531&lt;I_Parameter!$C$5,A531&gt;I_Parameter!$C$6),0,IF(B531="Aktual",1,IF(AND(B531="Rencana",A531&gt;=I_Parameter!$C$4),1,0))))</f>
        <v/>
      </c>
    </row>
    <row r="532" customFormat="false" ht="15" hidden="false" customHeight="false" outlineLevel="0" collapsed="false">
      <c r="A532" s="37"/>
      <c r="B532" s="44"/>
      <c r="C532" s="44"/>
      <c r="D532" s="44"/>
      <c r="E532" s="44"/>
      <c r="F532" s="44"/>
      <c r="G532" s="44"/>
      <c r="H532" s="34" t="str">
        <f aca="false">IF(G532&lt;&gt;"",G532,IF(F532="","",IFERROR(INDEX(I_Item!$C$6:$C$255,MATCH(F532,I_Item!$A$6:$A$255,0)),"KODE BARU")))</f>
        <v/>
      </c>
      <c r="I532" s="45"/>
      <c r="J532" s="42"/>
      <c r="K532" s="11" t="str">
        <f aca="false">IF(I532="","",I532*J532)</f>
        <v/>
      </c>
      <c r="L532" s="34" t="str">
        <f aca="false">IF(H532="","",IFERROR(INDEX(I_Master!$B$6:$B$85,MATCH(H532,I_Master!$A$6:$A$85,0)),"?"))</f>
        <v/>
      </c>
      <c r="M532" s="46" t="str">
        <f aca="false">IF(I532="","",IF(OR(A532&lt;I_Parameter!$C$5,A532&gt;I_Parameter!$C$6),0,IF(B532="Aktual",1,IF(AND(B532="Rencana",A532&gt;=I_Parameter!$C$4),1,0))))</f>
        <v/>
      </c>
    </row>
    <row r="533" customFormat="false" ht="15" hidden="false" customHeight="false" outlineLevel="0" collapsed="false">
      <c r="A533" s="37"/>
      <c r="B533" s="44"/>
      <c r="C533" s="44"/>
      <c r="D533" s="44"/>
      <c r="E533" s="44"/>
      <c r="F533" s="44"/>
      <c r="G533" s="44"/>
      <c r="H533" s="34" t="str">
        <f aca="false">IF(G533&lt;&gt;"",G533,IF(F533="","",IFERROR(INDEX(I_Item!$C$6:$C$255,MATCH(F533,I_Item!$A$6:$A$255,0)),"KODE BARU")))</f>
        <v/>
      </c>
      <c r="I533" s="45"/>
      <c r="J533" s="42"/>
      <c r="K533" s="11" t="str">
        <f aca="false">IF(I533="","",I533*J533)</f>
        <v/>
      </c>
      <c r="L533" s="34" t="str">
        <f aca="false">IF(H533="","",IFERROR(INDEX(I_Master!$B$6:$B$85,MATCH(H533,I_Master!$A$6:$A$85,0)),"?"))</f>
        <v/>
      </c>
      <c r="M533" s="46" t="str">
        <f aca="false">IF(I533="","",IF(OR(A533&lt;I_Parameter!$C$5,A533&gt;I_Parameter!$C$6),0,IF(B533="Aktual",1,IF(AND(B533="Rencana",A533&gt;=I_Parameter!$C$4),1,0))))</f>
        <v/>
      </c>
    </row>
    <row r="534" customFormat="false" ht="15" hidden="false" customHeight="false" outlineLevel="0" collapsed="false">
      <c r="A534" s="37"/>
      <c r="B534" s="44"/>
      <c r="C534" s="44"/>
      <c r="D534" s="44"/>
      <c r="E534" s="44"/>
      <c r="F534" s="44"/>
      <c r="G534" s="44"/>
      <c r="H534" s="34" t="str">
        <f aca="false">IF(G534&lt;&gt;"",G534,IF(F534="","",IFERROR(INDEX(I_Item!$C$6:$C$255,MATCH(F534,I_Item!$A$6:$A$255,0)),"KODE BARU")))</f>
        <v/>
      </c>
      <c r="I534" s="45"/>
      <c r="J534" s="42"/>
      <c r="K534" s="11" t="str">
        <f aca="false">IF(I534="","",I534*J534)</f>
        <v/>
      </c>
      <c r="L534" s="34" t="str">
        <f aca="false">IF(H534="","",IFERROR(INDEX(I_Master!$B$6:$B$85,MATCH(H534,I_Master!$A$6:$A$85,0)),"?"))</f>
        <v/>
      </c>
      <c r="M534" s="46" t="str">
        <f aca="false">IF(I534="","",IF(OR(A534&lt;I_Parameter!$C$5,A534&gt;I_Parameter!$C$6),0,IF(B534="Aktual",1,IF(AND(B534="Rencana",A534&gt;=I_Parameter!$C$4),1,0))))</f>
        <v/>
      </c>
    </row>
    <row r="535" customFormat="false" ht="15" hidden="false" customHeight="false" outlineLevel="0" collapsed="false">
      <c r="A535" s="37"/>
      <c r="B535" s="44"/>
      <c r="C535" s="44"/>
      <c r="D535" s="44"/>
      <c r="E535" s="44"/>
      <c r="F535" s="44"/>
      <c r="G535" s="44"/>
      <c r="H535" s="34" t="str">
        <f aca="false">IF(G535&lt;&gt;"",G535,IF(F535="","",IFERROR(INDEX(I_Item!$C$6:$C$255,MATCH(F535,I_Item!$A$6:$A$255,0)),"KODE BARU")))</f>
        <v/>
      </c>
      <c r="I535" s="45"/>
      <c r="J535" s="42"/>
      <c r="K535" s="11" t="str">
        <f aca="false">IF(I535="","",I535*J535)</f>
        <v/>
      </c>
      <c r="L535" s="34" t="str">
        <f aca="false">IF(H535="","",IFERROR(INDEX(I_Master!$B$6:$B$85,MATCH(H535,I_Master!$A$6:$A$85,0)),"?"))</f>
        <v/>
      </c>
      <c r="M535" s="46" t="str">
        <f aca="false">IF(I535="","",IF(OR(A535&lt;I_Parameter!$C$5,A535&gt;I_Parameter!$C$6),0,IF(B535="Aktual",1,IF(AND(B535="Rencana",A535&gt;=I_Parameter!$C$4),1,0))))</f>
        <v/>
      </c>
    </row>
    <row r="536" customFormat="false" ht="15" hidden="false" customHeight="false" outlineLevel="0" collapsed="false">
      <c r="A536" s="37"/>
      <c r="B536" s="44"/>
      <c r="C536" s="44"/>
      <c r="D536" s="44"/>
      <c r="E536" s="44"/>
      <c r="F536" s="44"/>
      <c r="G536" s="44"/>
      <c r="H536" s="34" t="str">
        <f aca="false">IF(G536&lt;&gt;"",G536,IF(F536="","",IFERROR(INDEX(I_Item!$C$6:$C$255,MATCH(F536,I_Item!$A$6:$A$255,0)),"KODE BARU")))</f>
        <v/>
      </c>
      <c r="I536" s="45"/>
      <c r="J536" s="42"/>
      <c r="K536" s="11" t="str">
        <f aca="false">IF(I536="","",I536*J536)</f>
        <v/>
      </c>
      <c r="L536" s="34" t="str">
        <f aca="false">IF(H536="","",IFERROR(INDEX(I_Master!$B$6:$B$85,MATCH(H536,I_Master!$A$6:$A$85,0)),"?"))</f>
        <v/>
      </c>
      <c r="M536" s="46" t="str">
        <f aca="false">IF(I536="","",IF(OR(A536&lt;I_Parameter!$C$5,A536&gt;I_Parameter!$C$6),0,IF(B536="Aktual",1,IF(AND(B536="Rencana",A536&gt;=I_Parameter!$C$4),1,0))))</f>
        <v/>
      </c>
    </row>
    <row r="537" customFormat="false" ht="15" hidden="false" customHeight="false" outlineLevel="0" collapsed="false">
      <c r="A537" s="37"/>
      <c r="B537" s="44"/>
      <c r="C537" s="44"/>
      <c r="D537" s="44"/>
      <c r="E537" s="44"/>
      <c r="F537" s="44"/>
      <c r="G537" s="44"/>
      <c r="H537" s="34" t="str">
        <f aca="false">IF(G537&lt;&gt;"",G537,IF(F537="","",IFERROR(INDEX(I_Item!$C$6:$C$255,MATCH(F537,I_Item!$A$6:$A$255,0)),"KODE BARU")))</f>
        <v/>
      </c>
      <c r="I537" s="45"/>
      <c r="J537" s="42"/>
      <c r="K537" s="11" t="str">
        <f aca="false">IF(I537="","",I537*J537)</f>
        <v/>
      </c>
      <c r="L537" s="34" t="str">
        <f aca="false">IF(H537="","",IFERROR(INDEX(I_Master!$B$6:$B$85,MATCH(H537,I_Master!$A$6:$A$85,0)),"?"))</f>
        <v/>
      </c>
      <c r="M537" s="46" t="str">
        <f aca="false">IF(I537="","",IF(OR(A537&lt;I_Parameter!$C$5,A537&gt;I_Parameter!$C$6),0,IF(B537="Aktual",1,IF(AND(B537="Rencana",A537&gt;=I_Parameter!$C$4),1,0))))</f>
        <v/>
      </c>
    </row>
    <row r="538" customFormat="false" ht="15" hidden="false" customHeight="false" outlineLevel="0" collapsed="false">
      <c r="A538" s="37"/>
      <c r="B538" s="44"/>
      <c r="C538" s="44"/>
      <c r="D538" s="44"/>
      <c r="E538" s="44"/>
      <c r="F538" s="44"/>
      <c r="G538" s="44"/>
      <c r="H538" s="34" t="str">
        <f aca="false">IF(G538&lt;&gt;"",G538,IF(F538="","",IFERROR(INDEX(I_Item!$C$6:$C$255,MATCH(F538,I_Item!$A$6:$A$255,0)),"KODE BARU")))</f>
        <v/>
      </c>
      <c r="I538" s="45"/>
      <c r="J538" s="42"/>
      <c r="K538" s="11" t="str">
        <f aca="false">IF(I538="","",I538*J538)</f>
        <v/>
      </c>
      <c r="L538" s="34" t="str">
        <f aca="false">IF(H538="","",IFERROR(INDEX(I_Master!$B$6:$B$85,MATCH(H538,I_Master!$A$6:$A$85,0)),"?"))</f>
        <v/>
      </c>
      <c r="M538" s="46" t="str">
        <f aca="false">IF(I538="","",IF(OR(A538&lt;I_Parameter!$C$5,A538&gt;I_Parameter!$C$6),0,IF(B538="Aktual",1,IF(AND(B538="Rencana",A538&gt;=I_Parameter!$C$4),1,0))))</f>
        <v/>
      </c>
    </row>
    <row r="539" customFormat="false" ht="15" hidden="false" customHeight="false" outlineLevel="0" collapsed="false">
      <c r="A539" s="37"/>
      <c r="B539" s="44"/>
      <c r="C539" s="44"/>
      <c r="D539" s="44"/>
      <c r="E539" s="44"/>
      <c r="F539" s="44"/>
      <c r="G539" s="44"/>
      <c r="H539" s="34" t="str">
        <f aca="false">IF(G539&lt;&gt;"",G539,IF(F539="","",IFERROR(INDEX(I_Item!$C$6:$C$255,MATCH(F539,I_Item!$A$6:$A$255,0)),"KODE BARU")))</f>
        <v/>
      </c>
      <c r="I539" s="45"/>
      <c r="J539" s="42"/>
      <c r="K539" s="11" t="str">
        <f aca="false">IF(I539="","",I539*J539)</f>
        <v/>
      </c>
      <c r="L539" s="34" t="str">
        <f aca="false">IF(H539="","",IFERROR(INDEX(I_Master!$B$6:$B$85,MATCH(H539,I_Master!$A$6:$A$85,0)),"?"))</f>
        <v/>
      </c>
      <c r="M539" s="46" t="str">
        <f aca="false">IF(I539="","",IF(OR(A539&lt;I_Parameter!$C$5,A539&gt;I_Parameter!$C$6),0,IF(B539="Aktual",1,IF(AND(B539="Rencana",A539&gt;=I_Parameter!$C$4),1,0))))</f>
        <v/>
      </c>
    </row>
    <row r="540" customFormat="false" ht="15" hidden="false" customHeight="false" outlineLevel="0" collapsed="false">
      <c r="A540" s="37"/>
      <c r="B540" s="44"/>
      <c r="C540" s="44"/>
      <c r="D540" s="44"/>
      <c r="E540" s="44"/>
      <c r="F540" s="44"/>
      <c r="G540" s="44"/>
      <c r="H540" s="34" t="str">
        <f aca="false">IF(G540&lt;&gt;"",G540,IF(F540="","",IFERROR(INDEX(I_Item!$C$6:$C$255,MATCH(F540,I_Item!$A$6:$A$255,0)),"KODE BARU")))</f>
        <v/>
      </c>
      <c r="I540" s="45"/>
      <c r="J540" s="42"/>
      <c r="K540" s="11" t="str">
        <f aca="false">IF(I540="","",I540*J540)</f>
        <v/>
      </c>
      <c r="L540" s="34" t="str">
        <f aca="false">IF(H540="","",IFERROR(INDEX(I_Master!$B$6:$B$85,MATCH(H540,I_Master!$A$6:$A$85,0)),"?"))</f>
        <v/>
      </c>
      <c r="M540" s="46" t="str">
        <f aca="false">IF(I540="","",IF(OR(A540&lt;I_Parameter!$C$5,A540&gt;I_Parameter!$C$6),0,IF(B540="Aktual",1,IF(AND(B540="Rencana",A540&gt;=I_Parameter!$C$4),1,0))))</f>
        <v/>
      </c>
    </row>
    <row r="541" customFormat="false" ht="15" hidden="false" customHeight="false" outlineLevel="0" collapsed="false">
      <c r="A541" s="37"/>
      <c r="B541" s="44"/>
      <c r="C541" s="44"/>
      <c r="D541" s="44"/>
      <c r="E541" s="44"/>
      <c r="F541" s="44"/>
      <c r="G541" s="44"/>
      <c r="H541" s="34" t="str">
        <f aca="false">IF(G541&lt;&gt;"",G541,IF(F541="","",IFERROR(INDEX(I_Item!$C$6:$C$255,MATCH(F541,I_Item!$A$6:$A$255,0)),"KODE BARU")))</f>
        <v/>
      </c>
      <c r="I541" s="45"/>
      <c r="J541" s="42"/>
      <c r="K541" s="11" t="str">
        <f aca="false">IF(I541="","",I541*J541)</f>
        <v/>
      </c>
      <c r="L541" s="34" t="str">
        <f aca="false">IF(H541="","",IFERROR(INDEX(I_Master!$B$6:$B$85,MATCH(H541,I_Master!$A$6:$A$85,0)),"?"))</f>
        <v/>
      </c>
      <c r="M541" s="46" t="str">
        <f aca="false">IF(I541="","",IF(OR(A541&lt;I_Parameter!$C$5,A541&gt;I_Parameter!$C$6),0,IF(B541="Aktual",1,IF(AND(B541="Rencana",A541&gt;=I_Parameter!$C$4),1,0))))</f>
        <v/>
      </c>
    </row>
    <row r="542" customFormat="false" ht="15" hidden="false" customHeight="false" outlineLevel="0" collapsed="false">
      <c r="A542" s="37"/>
      <c r="B542" s="44"/>
      <c r="C542" s="44"/>
      <c r="D542" s="44"/>
      <c r="E542" s="44"/>
      <c r="F542" s="44"/>
      <c r="G542" s="44"/>
      <c r="H542" s="34" t="str">
        <f aca="false">IF(G542&lt;&gt;"",G542,IF(F542="","",IFERROR(INDEX(I_Item!$C$6:$C$255,MATCH(F542,I_Item!$A$6:$A$255,0)),"KODE BARU")))</f>
        <v/>
      </c>
      <c r="I542" s="45"/>
      <c r="J542" s="42"/>
      <c r="K542" s="11" t="str">
        <f aca="false">IF(I542="","",I542*J542)</f>
        <v/>
      </c>
      <c r="L542" s="34" t="str">
        <f aca="false">IF(H542="","",IFERROR(INDEX(I_Master!$B$6:$B$85,MATCH(H542,I_Master!$A$6:$A$85,0)),"?"))</f>
        <v/>
      </c>
      <c r="M542" s="46" t="str">
        <f aca="false">IF(I542="","",IF(OR(A542&lt;I_Parameter!$C$5,A542&gt;I_Parameter!$C$6),0,IF(B542="Aktual",1,IF(AND(B542="Rencana",A542&gt;=I_Parameter!$C$4),1,0))))</f>
        <v/>
      </c>
    </row>
    <row r="543" customFormat="false" ht="15" hidden="false" customHeight="false" outlineLevel="0" collapsed="false">
      <c r="A543" s="37"/>
      <c r="B543" s="44"/>
      <c r="C543" s="44"/>
      <c r="D543" s="44"/>
      <c r="E543" s="44"/>
      <c r="F543" s="44"/>
      <c r="G543" s="44"/>
      <c r="H543" s="34" t="str">
        <f aca="false">IF(G543&lt;&gt;"",G543,IF(F543="","",IFERROR(INDEX(I_Item!$C$6:$C$255,MATCH(F543,I_Item!$A$6:$A$255,0)),"KODE BARU")))</f>
        <v/>
      </c>
      <c r="I543" s="45"/>
      <c r="J543" s="42"/>
      <c r="K543" s="11" t="str">
        <f aca="false">IF(I543="","",I543*J543)</f>
        <v/>
      </c>
      <c r="L543" s="34" t="str">
        <f aca="false">IF(H543="","",IFERROR(INDEX(I_Master!$B$6:$B$85,MATCH(H543,I_Master!$A$6:$A$85,0)),"?"))</f>
        <v/>
      </c>
      <c r="M543" s="46" t="str">
        <f aca="false">IF(I543="","",IF(OR(A543&lt;I_Parameter!$C$5,A543&gt;I_Parameter!$C$6),0,IF(B543="Aktual",1,IF(AND(B543="Rencana",A543&gt;=I_Parameter!$C$4),1,0))))</f>
        <v/>
      </c>
    </row>
    <row r="544" customFormat="false" ht="15" hidden="false" customHeight="false" outlineLevel="0" collapsed="false">
      <c r="A544" s="37"/>
      <c r="B544" s="44"/>
      <c r="C544" s="44"/>
      <c r="D544" s="44"/>
      <c r="E544" s="44"/>
      <c r="F544" s="44"/>
      <c r="G544" s="44"/>
      <c r="H544" s="34" t="str">
        <f aca="false">IF(G544&lt;&gt;"",G544,IF(F544="","",IFERROR(INDEX(I_Item!$C$6:$C$255,MATCH(F544,I_Item!$A$6:$A$255,0)),"KODE BARU")))</f>
        <v/>
      </c>
      <c r="I544" s="45"/>
      <c r="J544" s="42"/>
      <c r="K544" s="11" t="str">
        <f aca="false">IF(I544="","",I544*J544)</f>
        <v/>
      </c>
      <c r="L544" s="34" t="str">
        <f aca="false">IF(H544="","",IFERROR(INDEX(I_Master!$B$6:$B$85,MATCH(H544,I_Master!$A$6:$A$85,0)),"?"))</f>
        <v/>
      </c>
      <c r="M544" s="46" t="str">
        <f aca="false">IF(I544="","",IF(OR(A544&lt;I_Parameter!$C$5,A544&gt;I_Parameter!$C$6),0,IF(B544="Aktual",1,IF(AND(B544="Rencana",A544&gt;=I_Parameter!$C$4),1,0))))</f>
        <v/>
      </c>
    </row>
    <row r="545" customFormat="false" ht="15" hidden="false" customHeight="false" outlineLevel="0" collapsed="false">
      <c r="A545" s="37"/>
      <c r="B545" s="44"/>
      <c r="C545" s="44"/>
      <c r="D545" s="44"/>
      <c r="E545" s="44"/>
      <c r="F545" s="44"/>
      <c r="G545" s="44"/>
      <c r="H545" s="34" t="str">
        <f aca="false">IF(G545&lt;&gt;"",G545,IF(F545="","",IFERROR(INDEX(I_Item!$C$6:$C$255,MATCH(F545,I_Item!$A$6:$A$255,0)),"KODE BARU")))</f>
        <v/>
      </c>
      <c r="I545" s="45"/>
      <c r="J545" s="42"/>
      <c r="K545" s="11" t="str">
        <f aca="false">IF(I545="","",I545*J545)</f>
        <v/>
      </c>
      <c r="L545" s="34" t="str">
        <f aca="false">IF(H545="","",IFERROR(INDEX(I_Master!$B$6:$B$85,MATCH(H545,I_Master!$A$6:$A$85,0)),"?"))</f>
        <v/>
      </c>
      <c r="M545" s="46" t="str">
        <f aca="false">IF(I545="","",IF(OR(A545&lt;I_Parameter!$C$5,A545&gt;I_Parameter!$C$6),0,IF(B545="Aktual",1,IF(AND(B545="Rencana",A545&gt;=I_Parameter!$C$4),1,0))))</f>
        <v/>
      </c>
    </row>
    <row r="546" customFormat="false" ht="15" hidden="false" customHeight="false" outlineLevel="0" collapsed="false">
      <c r="A546" s="37"/>
      <c r="B546" s="44"/>
      <c r="C546" s="44"/>
      <c r="D546" s="44"/>
      <c r="E546" s="44"/>
      <c r="F546" s="44"/>
      <c r="G546" s="44"/>
      <c r="H546" s="34" t="str">
        <f aca="false">IF(G546&lt;&gt;"",G546,IF(F546="","",IFERROR(INDEX(I_Item!$C$6:$C$255,MATCH(F546,I_Item!$A$6:$A$255,0)),"KODE BARU")))</f>
        <v/>
      </c>
      <c r="I546" s="45"/>
      <c r="J546" s="42"/>
      <c r="K546" s="11" t="str">
        <f aca="false">IF(I546="","",I546*J546)</f>
        <v/>
      </c>
      <c r="L546" s="34" t="str">
        <f aca="false">IF(H546="","",IFERROR(INDEX(I_Master!$B$6:$B$85,MATCH(H546,I_Master!$A$6:$A$85,0)),"?"))</f>
        <v/>
      </c>
      <c r="M546" s="46" t="str">
        <f aca="false">IF(I546="","",IF(OR(A546&lt;I_Parameter!$C$5,A546&gt;I_Parameter!$C$6),0,IF(B546="Aktual",1,IF(AND(B546="Rencana",A546&gt;=I_Parameter!$C$4),1,0))))</f>
        <v/>
      </c>
    </row>
    <row r="547" customFormat="false" ht="15" hidden="false" customHeight="false" outlineLevel="0" collapsed="false">
      <c r="A547" s="37"/>
      <c r="B547" s="44"/>
      <c r="C547" s="44"/>
      <c r="D547" s="44"/>
      <c r="E547" s="44"/>
      <c r="F547" s="44"/>
      <c r="G547" s="44"/>
      <c r="H547" s="34" t="str">
        <f aca="false">IF(G547&lt;&gt;"",G547,IF(F547="","",IFERROR(INDEX(I_Item!$C$6:$C$255,MATCH(F547,I_Item!$A$6:$A$255,0)),"KODE BARU")))</f>
        <v/>
      </c>
      <c r="I547" s="45"/>
      <c r="J547" s="42"/>
      <c r="K547" s="11" t="str">
        <f aca="false">IF(I547="","",I547*J547)</f>
        <v/>
      </c>
      <c r="L547" s="34" t="str">
        <f aca="false">IF(H547="","",IFERROR(INDEX(I_Master!$B$6:$B$85,MATCH(H547,I_Master!$A$6:$A$85,0)),"?"))</f>
        <v/>
      </c>
      <c r="M547" s="46" t="str">
        <f aca="false">IF(I547="","",IF(OR(A547&lt;I_Parameter!$C$5,A547&gt;I_Parameter!$C$6),0,IF(B547="Aktual",1,IF(AND(B547="Rencana",A547&gt;=I_Parameter!$C$4),1,0))))</f>
        <v/>
      </c>
    </row>
    <row r="548" customFormat="false" ht="15" hidden="false" customHeight="false" outlineLevel="0" collapsed="false">
      <c r="A548" s="37"/>
      <c r="B548" s="44"/>
      <c r="C548" s="44"/>
      <c r="D548" s="44"/>
      <c r="E548" s="44"/>
      <c r="F548" s="44"/>
      <c r="G548" s="44"/>
      <c r="H548" s="34" t="str">
        <f aca="false">IF(G548&lt;&gt;"",G548,IF(F548="","",IFERROR(INDEX(I_Item!$C$6:$C$255,MATCH(F548,I_Item!$A$6:$A$255,0)),"KODE BARU")))</f>
        <v/>
      </c>
      <c r="I548" s="45"/>
      <c r="J548" s="42"/>
      <c r="K548" s="11" t="str">
        <f aca="false">IF(I548="","",I548*J548)</f>
        <v/>
      </c>
      <c r="L548" s="34" t="str">
        <f aca="false">IF(H548="","",IFERROR(INDEX(I_Master!$B$6:$B$85,MATCH(H548,I_Master!$A$6:$A$85,0)),"?"))</f>
        <v/>
      </c>
      <c r="M548" s="46" t="str">
        <f aca="false">IF(I548="","",IF(OR(A548&lt;I_Parameter!$C$5,A548&gt;I_Parameter!$C$6),0,IF(B548="Aktual",1,IF(AND(B548="Rencana",A548&gt;=I_Parameter!$C$4),1,0))))</f>
        <v/>
      </c>
    </row>
    <row r="549" customFormat="false" ht="15" hidden="false" customHeight="false" outlineLevel="0" collapsed="false">
      <c r="A549" s="37"/>
      <c r="B549" s="44"/>
      <c r="C549" s="44"/>
      <c r="D549" s="44"/>
      <c r="E549" s="44"/>
      <c r="F549" s="44"/>
      <c r="G549" s="44"/>
      <c r="H549" s="34" t="str">
        <f aca="false">IF(G549&lt;&gt;"",G549,IF(F549="","",IFERROR(INDEX(I_Item!$C$6:$C$255,MATCH(F549,I_Item!$A$6:$A$255,0)),"KODE BARU")))</f>
        <v/>
      </c>
      <c r="I549" s="45"/>
      <c r="J549" s="42"/>
      <c r="K549" s="11" t="str">
        <f aca="false">IF(I549="","",I549*J549)</f>
        <v/>
      </c>
      <c r="L549" s="34" t="str">
        <f aca="false">IF(H549="","",IFERROR(INDEX(I_Master!$B$6:$B$85,MATCH(H549,I_Master!$A$6:$A$85,0)),"?"))</f>
        <v/>
      </c>
      <c r="M549" s="46" t="str">
        <f aca="false">IF(I549="","",IF(OR(A549&lt;I_Parameter!$C$5,A549&gt;I_Parameter!$C$6),0,IF(B549="Aktual",1,IF(AND(B549="Rencana",A549&gt;=I_Parameter!$C$4),1,0))))</f>
        <v/>
      </c>
    </row>
    <row r="550" customFormat="false" ht="15" hidden="false" customHeight="false" outlineLevel="0" collapsed="false">
      <c r="A550" s="37"/>
      <c r="B550" s="44"/>
      <c r="C550" s="44"/>
      <c r="D550" s="44"/>
      <c r="E550" s="44"/>
      <c r="F550" s="44"/>
      <c r="G550" s="44"/>
      <c r="H550" s="34" t="str">
        <f aca="false">IF(G550&lt;&gt;"",G550,IF(F550="","",IFERROR(INDEX(I_Item!$C$6:$C$255,MATCH(F550,I_Item!$A$6:$A$255,0)),"KODE BARU")))</f>
        <v/>
      </c>
      <c r="I550" s="45"/>
      <c r="J550" s="42"/>
      <c r="K550" s="11" t="str">
        <f aca="false">IF(I550="","",I550*J550)</f>
        <v/>
      </c>
      <c r="L550" s="34" t="str">
        <f aca="false">IF(H550="","",IFERROR(INDEX(I_Master!$B$6:$B$85,MATCH(H550,I_Master!$A$6:$A$85,0)),"?"))</f>
        <v/>
      </c>
      <c r="M550" s="46" t="str">
        <f aca="false">IF(I550="","",IF(OR(A550&lt;I_Parameter!$C$5,A550&gt;I_Parameter!$C$6),0,IF(B550="Aktual",1,IF(AND(B550="Rencana",A550&gt;=I_Parameter!$C$4),1,0))))</f>
        <v/>
      </c>
    </row>
    <row r="551" customFormat="false" ht="15" hidden="false" customHeight="false" outlineLevel="0" collapsed="false">
      <c r="A551" s="37"/>
      <c r="B551" s="44"/>
      <c r="C551" s="44"/>
      <c r="D551" s="44"/>
      <c r="E551" s="44"/>
      <c r="F551" s="44"/>
      <c r="G551" s="44"/>
      <c r="H551" s="34" t="str">
        <f aca="false">IF(G551&lt;&gt;"",G551,IF(F551="","",IFERROR(INDEX(I_Item!$C$6:$C$255,MATCH(F551,I_Item!$A$6:$A$255,0)),"KODE BARU")))</f>
        <v/>
      </c>
      <c r="I551" s="45"/>
      <c r="J551" s="42"/>
      <c r="K551" s="11" t="str">
        <f aca="false">IF(I551="","",I551*J551)</f>
        <v/>
      </c>
      <c r="L551" s="34" t="str">
        <f aca="false">IF(H551="","",IFERROR(INDEX(I_Master!$B$6:$B$85,MATCH(H551,I_Master!$A$6:$A$85,0)),"?"))</f>
        <v/>
      </c>
      <c r="M551" s="46" t="str">
        <f aca="false">IF(I551="","",IF(OR(A551&lt;I_Parameter!$C$5,A551&gt;I_Parameter!$C$6),0,IF(B551="Aktual",1,IF(AND(B551="Rencana",A551&gt;=I_Parameter!$C$4),1,0))))</f>
        <v/>
      </c>
    </row>
    <row r="552" customFormat="false" ht="15" hidden="false" customHeight="false" outlineLevel="0" collapsed="false">
      <c r="A552" s="37"/>
      <c r="B552" s="44"/>
      <c r="C552" s="44"/>
      <c r="D552" s="44"/>
      <c r="E552" s="44"/>
      <c r="F552" s="44"/>
      <c r="G552" s="44"/>
      <c r="H552" s="34" t="str">
        <f aca="false">IF(G552&lt;&gt;"",G552,IF(F552="","",IFERROR(INDEX(I_Item!$C$6:$C$255,MATCH(F552,I_Item!$A$6:$A$255,0)),"KODE BARU")))</f>
        <v/>
      </c>
      <c r="I552" s="45"/>
      <c r="J552" s="42"/>
      <c r="K552" s="11" t="str">
        <f aca="false">IF(I552="","",I552*J552)</f>
        <v/>
      </c>
      <c r="L552" s="34" t="str">
        <f aca="false">IF(H552="","",IFERROR(INDEX(I_Master!$B$6:$B$85,MATCH(H552,I_Master!$A$6:$A$85,0)),"?"))</f>
        <v/>
      </c>
      <c r="M552" s="46" t="str">
        <f aca="false">IF(I552="","",IF(OR(A552&lt;I_Parameter!$C$5,A552&gt;I_Parameter!$C$6),0,IF(B552="Aktual",1,IF(AND(B552="Rencana",A552&gt;=I_Parameter!$C$4),1,0))))</f>
        <v/>
      </c>
    </row>
    <row r="553" customFormat="false" ht="15" hidden="false" customHeight="false" outlineLevel="0" collapsed="false">
      <c r="A553" s="37"/>
      <c r="B553" s="44"/>
      <c r="C553" s="44"/>
      <c r="D553" s="44"/>
      <c r="E553" s="44"/>
      <c r="F553" s="44"/>
      <c r="G553" s="44"/>
      <c r="H553" s="34" t="str">
        <f aca="false">IF(G553&lt;&gt;"",G553,IF(F553="","",IFERROR(INDEX(I_Item!$C$6:$C$255,MATCH(F553,I_Item!$A$6:$A$255,0)),"KODE BARU")))</f>
        <v/>
      </c>
      <c r="I553" s="45"/>
      <c r="J553" s="42"/>
      <c r="K553" s="11" t="str">
        <f aca="false">IF(I553="","",I553*J553)</f>
        <v/>
      </c>
      <c r="L553" s="34" t="str">
        <f aca="false">IF(H553="","",IFERROR(INDEX(I_Master!$B$6:$B$85,MATCH(H553,I_Master!$A$6:$A$85,0)),"?"))</f>
        <v/>
      </c>
      <c r="M553" s="46" t="str">
        <f aca="false">IF(I553="","",IF(OR(A553&lt;I_Parameter!$C$5,A553&gt;I_Parameter!$C$6),0,IF(B553="Aktual",1,IF(AND(B553="Rencana",A553&gt;=I_Parameter!$C$4),1,0))))</f>
        <v/>
      </c>
    </row>
    <row r="554" customFormat="false" ht="15" hidden="false" customHeight="false" outlineLevel="0" collapsed="false">
      <c r="A554" s="37"/>
      <c r="B554" s="44"/>
      <c r="C554" s="44"/>
      <c r="D554" s="44"/>
      <c r="E554" s="44"/>
      <c r="F554" s="44"/>
      <c r="G554" s="44"/>
      <c r="H554" s="34" t="str">
        <f aca="false">IF(G554&lt;&gt;"",G554,IF(F554="","",IFERROR(INDEX(I_Item!$C$6:$C$255,MATCH(F554,I_Item!$A$6:$A$255,0)),"KODE BARU")))</f>
        <v/>
      </c>
      <c r="I554" s="45"/>
      <c r="J554" s="42"/>
      <c r="K554" s="11" t="str">
        <f aca="false">IF(I554="","",I554*J554)</f>
        <v/>
      </c>
      <c r="L554" s="34" t="str">
        <f aca="false">IF(H554="","",IFERROR(INDEX(I_Master!$B$6:$B$85,MATCH(H554,I_Master!$A$6:$A$85,0)),"?"))</f>
        <v/>
      </c>
      <c r="M554" s="46" t="str">
        <f aca="false">IF(I554="","",IF(OR(A554&lt;I_Parameter!$C$5,A554&gt;I_Parameter!$C$6),0,IF(B554="Aktual",1,IF(AND(B554="Rencana",A554&gt;=I_Parameter!$C$4),1,0))))</f>
        <v/>
      </c>
    </row>
    <row r="555" customFormat="false" ht="15" hidden="false" customHeight="false" outlineLevel="0" collapsed="false">
      <c r="A555" s="37"/>
      <c r="B555" s="44"/>
      <c r="C555" s="44"/>
      <c r="D555" s="44"/>
      <c r="E555" s="44"/>
      <c r="F555" s="44"/>
      <c r="G555" s="44"/>
      <c r="H555" s="34" t="str">
        <f aca="false">IF(G555&lt;&gt;"",G555,IF(F555="","",IFERROR(INDEX(I_Item!$C$6:$C$255,MATCH(F555,I_Item!$A$6:$A$255,0)),"KODE BARU")))</f>
        <v/>
      </c>
      <c r="I555" s="45"/>
      <c r="J555" s="42"/>
      <c r="K555" s="11" t="str">
        <f aca="false">IF(I555="","",I555*J555)</f>
        <v/>
      </c>
      <c r="L555" s="34" t="str">
        <f aca="false">IF(H555="","",IFERROR(INDEX(I_Master!$B$6:$B$85,MATCH(H555,I_Master!$A$6:$A$85,0)),"?"))</f>
        <v/>
      </c>
      <c r="M555" s="46" t="str">
        <f aca="false">IF(I555="","",IF(OR(A555&lt;I_Parameter!$C$5,A555&gt;I_Parameter!$C$6),0,IF(B555="Aktual",1,IF(AND(B555="Rencana",A555&gt;=I_Parameter!$C$4),1,0))))</f>
        <v/>
      </c>
    </row>
    <row r="556" customFormat="false" ht="15" hidden="false" customHeight="false" outlineLevel="0" collapsed="false">
      <c r="A556" s="37"/>
      <c r="B556" s="44"/>
      <c r="C556" s="44"/>
      <c r="D556" s="44"/>
      <c r="E556" s="44"/>
      <c r="F556" s="44"/>
      <c r="G556" s="44"/>
      <c r="H556" s="34" t="str">
        <f aca="false">IF(G556&lt;&gt;"",G556,IF(F556="","",IFERROR(INDEX(I_Item!$C$6:$C$255,MATCH(F556,I_Item!$A$6:$A$255,0)),"KODE BARU")))</f>
        <v/>
      </c>
      <c r="I556" s="45"/>
      <c r="J556" s="42"/>
      <c r="K556" s="11" t="str">
        <f aca="false">IF(I556="","",I556*J556)</f>
        <v/>
      </c>
      <c r="L556" s="34" t="str">
        <f aca="false">IF(H556="","",IFERROR(INDEX(I_Master!$B$6:$B$85,MATCH(H556,I_Master!$A$6:$A$85,0)),"?"))</f>
        <v/>
      </c>
      <c r="M556" s="46" t="str">
        <f aca="false">IF(I556="","",IF(OR(A556&lt;I_Parameter!$C$5,A556&gt;I_Parameter!$C$6),0,IF(B556="Aktual",1,IF(AND(B556="Rencana",A556&gt;=I_Parameter!$C$4),1,0))))</f>
        <v/>
      </c>
    </row>
    <row r="557" customFormat="false" ht="15" hidden="false" customHeight="false" outlineLevel="0" collapsed="false">
      <c r="A557" s="37"/>
      <c r="B557" s="44"/>
      <c r="C557" s="44"/>
      <c r="D557" s="44"/>
      <c r="E557" s="44"/>
      <c r="F557" s="44"/>
      <c r="G557" s="44"/>
      <c r="H557" s="34" t="str">
        <f aca="false">IF(G557&lt;&gt;"",G557,IF(F557="","",IFERROR(INDEX(I_Item!$C$6:$C$255,MATCH(F557,I_Item!$A$6:$A$255,0)),"KODE BARU")))</f>
        <v/>
      </c>
      <c r="I557" s="45"/>
      <c r="J557" s="42"/>
      <c r="K557" s="11" t="str">
        <f aca="false">IF(I557="","",I557*J557)</f>
        <v/>
      </c>
      <c r="L557" s="34" t="str">
        <f aca="false">IF(H557="","",IFERROR(INDEX(I_Master!$B$6:$B$85,MATCH(H557,I_Master!$A$6:$A$85,0)),"?"))</f>
        <v/>
      </c>
      <c r="M557" s="46" t="str">
        <f aca="false">IF(I557="","",IF(OR(A557&lt;I_Parameter!$C$5,A557&gt;I_Parameter!$C$6),0,IF(B557="Aktual",1,IF(AND(B557="Rencana",A557&gt;=I_Parameter!$C$4),1,0))))</f>
        <v/>
      </c>
    </row>
    <row r="558" customFormat="false" ht="15" hidden="false" customHeight="false" outlineLevel="0" collapsed="false">
      <c r="A558" s="37"/>
      <c r="B558" s="44"/>
      <c r="C558" s="44"/>
      <c r="D558" s="44"/>
      <c r="E558" s="44"/>
      <c r="F558" s="44"/>
      <c r="G558" s="44"/>
      <c r="H558" s="34" t="str">
        <f aca="false">IF(G558&lt;&gt;"",G558,IF(F558="","",IFERROR(INDEX(I_Item!$C$6:$C$255,MATCH(F558,I_Item!$A$6:$A$255,0)),"KODE BARU")))</f>
        <v/>
      </c>
      <c r="I558" s="45"/>
      <c r="J558" s="42"/>
      <c r="K558" s="11" t="str">
        <f aca="false">IF(I558="","",I558*J558)</f>
        <v/>
      </c>
      <c r="L558" s="34" t="str">
        <f aca="false">IF(H558="","",IFERROR(INDEX(I_Master!$B$6:$B$85,MATCH(H558,I_Master!$A$6:$A$85,0)),"?"))</f>
        <v/>
      </c>
      <c r="M558" s="46" t="str">
        <f aca="false">IF(I558="","",IF(OR(A558&lt;I_Parameter!$C$5,A558&gt;I_Parameter!$C$6),0,IF(B558="Aktual",1,IF(AND(B558="Rencana",A558&gt;=I_Parameter!$C$4),1,0))))</f>
        <v/>
      </c>
    </row>
    <row r="559" customFormat="false" ht="15" hidden="false" customHeight="false" outlineLevel="0" collapsed="false">
      <c r="A559" s="37"/>
      <c r="B559" s="44"/>
      <c r="C559" s="44"/>
      <c r="D559" s="44"/>
      <c r="E559" s="44"/>
      <c r="F559" s="44"/>
      <c r="G559" s="44"/>
      <c r="H559" s="34" t="str">
        <f aca="false">IF(G559&lt;&gt;"",G559,IF(F559="","",IFERROR(INDEX(I_Item!$C$6:$C$255,MATCH(F559,I_Item!$A$6:$A$255,0)),"KODE BARU")))</f>
        <v/>
      </c>
      <c r="I559" s="45"/>
      <c r="J559" s="42"/>
      <c r="K559" s="11" t="str">
        <f aca="false">IF(I559="","",I559*J559)</f>
        <v/>
      </c>
      <c r="L559" s="34" t="str">
        <f aca="false">IF(H559="","",IFERROR(INDEX(I_Master!$B$6:$B$85,MATCH(H559,I_Master!$A$6:$A$85,0)),"?"))</f>
        <v/>
      </c>
      <c r="M559" s="46" t="str">
        <f aca="false">IF(I559="","",IF(OR(A559&lt;I_Parameter!$C$5,A559&gt;I_Parameter!$C$6),0,IF(B559="Aktual",1,IF(AND(B559="Rencana",A559&gt;=I_Parameter!$C$4),1,0))))</f>
        <v/>
      </c>
    </row>
    <row r="560" customFormat="false" ht="15" hidden="false" customHeight="false" outlineLevel="0" collapsed="false">
      <c r="A560" s="37"/>
      <c r="B560" s="44"/>
      <c r="C560" s="44"/>
      <c r="D560" s="44"/>
      <c r="E560" s="44"/>
      <c r="F560" s="44"/>
      <c r="G560" s="44"/>
      <c r="H560" s="34" t="str">
        <f aca="false">IF(G560&lt;&gt;"",G560,IF(F560="","",IFERROR(INDEX(I_Item!$C$6:$C$255,MATCH(F560,I_Item!$A$6:$A$255,0)),"KODE BARU")))</f>
        <v/>
      </c>
      <c r="I560" s="45"/>
      <c r="J560" s="42"/>
      <c r="K560" s="11" t="str">
        <f aca="false">IF(I560="","",I560*J560)</f>
        <v/>
      </c>
      <c r="L560" s="34" t="str">
        <f aca="false">IF(H560="","",IFERROR(INDEX(I_Master!$B$6:$B$85,MATCH(H560,I_Master!$A$6:$A$85,0)),"?"))</f>
        <v/>
      </c>
      <c r="M560" s="46" t="str">
        <f aca="false">IF(I560="","",IF(OR(A560&lt;I_Parameter!$C$5,A560&gt;I_Parameter!$C$6),0,IF(B560="Aktual",1,IF(AND(B560="Rencana",A560&gt;=I_Parameter!$C$4),1,0))))</f>
        <v/>
      </c>
    </row>
    <row r="561" customFormat="false" ht="15" hidden="false" customHeight="false" outlineLevel="0" collapsed="false">
      <c r="A561" s="37"/>
      <c r="B561" s="44"/>
      <c r="C561" s="44"/>
      <c r="D561" s="44"/>
      <c r="E561" s="44"/>
      <c r="F561" s="44"/>
      <c r="G561" s="44"/>
      <c r="H561" s="34" t="str">
        <f aca="false">IF(G561&lt;&gt;"",G561,IF(F561="","",IFERROR(INDEX(I_Item!$C$6:$C$255,MATCH(F561,I_Item!$A$6:$A$255,0)),"KODE BARU")))</f>
        <v/>
      </c>
      <c r="I561" s="45"/>
      <c r="J561" s="42"/>
      <c r="K561" s="11" t="str">
        <f aca="false">IF(I561="","",I561*J561)</f>
        <v/>
      </c>
      <c r="L561" s="34" t="str">
        <f aca="false">IF(H561="","",IFERROR(INDEX(I_Master!$B$6:$B$85,MATCH(H561,I_Master!$A$6:$A$85,0)),"?"))</f>
        <v/>
      </c>
      <c r="M561" s="46" t="str">
        <f aca="false">IF(I561="","",IF(OR(A561&lt;I_Parameter!$C$5,A561&gt;I_Parameter!$C$6),0,IF(B561="Aktual",1,IF(AND(B561="Rencana",A561&gt;=I_Parameter!$C$4),1,0))))</f>
        <v/>
      </c>
    </row>
    <row r="562" customFormat="false" ht="15" hidden="false" customHeight="false" outlineLevel="0" collapsed="false">
      <c r="A562" s="37"/>
      <c r="B562" s="44"/>
      <c r="C562" s="44"/>
      <c r="D562" s="44"/>
      <c r="E562" s="44"/>
      <c r="F562" s="44"/>
      <c r="G562" s="44"/>
      <c r="H562" s="34" t="str">
        <f aca="false">IF(G562&lt;&gt;"",G562,IF(F562="","",IFERROR(INDEX(I_Item!$C$6:$C$255,MATCH(F562,I_Item!$A$6:$A$255,0)),"KODE BARU")))</f>
        <v/>
      </c>
      <c r="I562" s="45"/>
      <c r="J562" s="42"/>
      <c r="K562" s="11" t="str">
        <f aca="false">IF(I562="","",I562*J562)</f>
        <v/>
      </c>
      <c r="L562" s="34" t="str">
        <f aca="false">IF(H562="","",IFERROR(INDEX(I_Master!$B$6:$B$85,MATCH(H562,I_Master!$A$6:$A$85,0)),"?"))</f>
        <v/>
      </c>
      <c r="M562" s="46" t="str">
        <f aca="false">IF(I562="","",IF(OR(A562&lt;I_Parameter!$C$5,A562&gt;I_Parameter!$C$6),0,IF(B562="Aktual",1,IF(AND(B562="Rencana",A562&gt;=I_Parameter!$C$4),1,0))))</f>
        <v/>
      </c>
    </row>
    <row r="563" customFormat="false" ht="15" hidden="false" customHeight="false" outlineLevel="0" collapsed="false">
      <c r="A563" s="37"/>
      <c r="B563" s="44"/>
      <c r="C563" s="44"/>
      <c r="D563" s="44"/>
      <c r="E563" s="44"/>
      <c r="F563" s="44"/>
      <c r="G563" s="44"/>
      <c r="H563" s="34" t="str">
        <f aca="false">IF(G563&lt;&gt;"",G563,IF(F563="","",IFERROR(INDEX(I_Item!$C$6:$C$255,MATCH(F563,I_Item!$A$6:$A$255,0)),"KODE BARU")))</f>
        <v/>
      </c>
      <c r="I563" s="45"/>
      <c r="J563" s="42"/>
      <c r="K563" s="11" t="str">
        <f aca="false">IF(I563="","",I563*J563)</f>
        <v/>
      </c>
      <c r="L563" s="34" t="str">
        <f aca="false">IF(H563="","",IFERROR(INDEX(I_Master!$B$6:$B$85,MATCH(H563,I_Master!$A$6:$A$85,0)),"?"))</f>
        <v/>
      </c>
      <c r="M563" s="46" t="str">
        <f aca="false">IF(I563="","",IF(OR(A563&lt;I_Parameter!$C$5,A563&gt;I_Parameter!$C$6),0,IF(B563="Aktual",1,IF(AND(B563="Rencana",A563&gt;=I_Parameter!$C$4),1,0))))</f>
        <v/>
      </c>
    </row>
    <row r="564" customFormat="false" ht="15" hidden="false" customHeight="false" outlineLevel="0" collapsed="false">
      <c r="A564" s="37"/>
      <c r="B564" s="44"/>
      <c r="C564" s="44"/>
      <c r="D564" s="44"/>
      <c r="E564" s="44"/>
      <c r="F564" s="44"/>
      <c r="G564" s="44"/>
      <c r="H564" s="34" t="str">
        <f aca="false">IF(G564&lt;&gt;"",G564,IF(F564="","",IFERROR(INDEX(I_Item!$C$6:$C$255,MATCH(F564,I_Item!$A$6:$A$255,0)),"KODE BARU")))</f>
        <v/>
      </c>
      <c r="I564" s="45"/>
      <c r="J564" s="42"/>
      <c r="K564" s="11" t="str">
        <f aca="false">IF(I564="","",I564*J564)</f>
        <v/>
      </c>
      <c r="L564" s="34" t="str">
        <f aca="false">IF(H564="","",IFERROR(INDEX(I_Master!$B$6:$B$85,MATCH(H564,I_Master!$A$6:$A$85,0)),"?"))</f>
        <v/>
      </c>
      <c r="M564" s="46" t="str">
        <f aca="false">IF(I564="","",IF(OR(A564&lt;I_Parameter!$C$5,A564&gt;I_Parameter!$C$6),0,IF(B564="Aktual",1,IF(AND(B564="Rencana",A564&gt;=I_Parameter!$C$4),1,0))))</f>
        <v/>
      </c>
    </row>
    <row r="565" customFormat="false" ht="15" hidden="false" customHeight="false" outlineLevel="0" collapsed="false">
      <c r="A565" s="37"/>
      <c r="B565" s="44"/>
      <c r="C565" s="44"/>
      <c r="D565" s="44"/>
      <c r="E565" s="44"/>
      <c r="F565" s="44"/>
      <c r="G565" s="44"/>
      <c r="H565" s="34" t="str">
        <f aca="false">IF(G565&lt;&gt;"",G565,IF(F565="","",IFERROR(INDEX(I_Item!$C$6:$C$255,MATCH(F565,I_Item!$A$6:$A$255,0)),"KODE BARU")))</f>
        <v/>
      </c>
      <c r="I565" s="45"/>
      <c r="J565" s="42"/>
      <c r="K565" s="11" t="str">
        <f aca="false">IF(I565="","",I565*J565)</f>
        <v/>
      </c>
      <c r="L565" s="34" t="str">
        <f aca="false">IF(H565="","",IFERROR(INDEX(I_Master!$B$6:$B$85,MATCH(H565,I_Master!$A$6:$A$85,0)),"?"))</f>
        <v/>
      </c>
      <c r="M565" s="46" t="str">
        <f aca="false">IF(I565="","",IF(OR(A565&lt;I_Parameter!$C$5,A565&gt;I_Parameter!$C$6),0,IF(B565="Aktual",1,IF(AND(B565="Rencana",A565&gt;=I_Parameter!$C$4),1,0))))</f>
        <v/>
      </c>
    </row>
    <row r="566" customFormat="false" ht="15" hidden="false" customHeight="false" outlineLevel="0" collapsed="false">
      <c r="A566" s="37"/>
      <c r="B566" s="44"/>
      <c r="C566" s="44"/>
      <c r="D566" s="44"/>
      <c r="E566" s="44"/>
      <c r="F566" s="44"/>
      <c r="G566" s="44"/>
      <c r="H566" s="34" t="str">
        <f aca="false">IF(G566&lt;&gt;"",G566,IF(F566="","",IFERROR(INDEX(I_Item!$C$6:$C$255,MATCH(F566,I_Item!$A$6:$A$255,0)),"KODE BARU")))</f>
        <v/>
      </c>
      <c r="I566" s="45"/>
      <c r="J566" s="42"/>
      <c r="K566" s="11" t="str">
        <f aca="false">IF(I566="","",I566*J566)</f>
        <v/>
      </c>
      <c r="L566" s="34" t="str">
        <f aca="false">IF(H566="","",IFERROR(INDEX(I_Master!$B$6:$B$85,MATCH(H566,I_Master!$A$6:$A$85,0)),"?"))</f>
        <v/>
      </c>
      <c r="M566" s="46" t="str">
        <f aca="false">IF(I566="","",IF(OR(A566&lt;I_Parameter!$C$5,A566&gt;I_Parameter!$C$6),0,IF(B566="Aktual",1,IF(AND(B566="Rencana",A566&gt;=I_Parameter!$C$4),1,0))))</f>
        <v/>
      </c>
    </row>
    <row r="567" customFormat="false" ht="15" hidden="false" customHeight="false" outlineLevel="0" collapsed="false">
      <c r="A567" s="37"/>
      <c r="B567" s="44"/>
      <c r="C567" s="44"/>
      <c r="D567" s="44"/>
      <c r="E567" s="44"/>
      <c r="F567" s="44"/>
      <c r="G567" s="44"/>
      <c r="H567" s="34" t="str">
        <f aca="false">IF(G567&lt;&gt;"",G567,IF(F567="","",IFERROR(INDEX(I_Item!$C$6:$C$255,MATCH(F567,I_Item!$A$6:$A$255,0)),"KODE BARU")))</f>
        <v/>
      </c>
      <c r="I567" s="45"/>
      <c r="J567" s="42"/>
      <c r="K567" s="11" t="str">
        <f aca="false">IF(I567="","",I567*J567)</f>
        <v/>
      </c>
      <c r="L567" s="34" t="str">
        <f aca="false">IF(H567="","",IFERROR(INDEX(I_Master!$B$6:$B$85,MATCH(H567,I_Master!$A$6:$A$85,0)),"?"))</f>
        <v/>
      </c>
      <c r="M567" s="46" t="str">
        <f aca="false">IF(I567="","",IF(OR(A567&lt;I_Parameter!$C$5,A567&gt;I_Parameter!$C$6),0,IF(B567="Aktual",1,IF(AND(B567="Rencana",A567&gt;=I_Parameter!$C$4),1,0))))</f>
        <v/>
      </c>
    </row>
    <row r="568" customFormat="false" ht="15" hidden="false" customHeight="false" outlineLevel="0" collapsed="false">
      <c r="A568" s="37"/>
      <c r="B568" s="44"/>
      <c r="C568" s="44"/>
      <c r="D568" s="44"/>
      <c r="E568" s="44"/>
      <c r="F568" s="44"/>
      <c r="G568" s="44"/>
      <c r="H568" s="34" t="str">
        <f aca="false">IF(G568&lt;&gt;"",G568,IF(F568="","",IFERROR(INDEX(I_Item!$C$6:$C$255,MATCH(F568,I_Item!$A$6:$A$255,0)),"KODE BARU")))</f>
        <v/>
      </c>
      <c r="I568" s="45"/>
      <c r="J568" s="42"/>
      <c r="K568" s="11" t="str">
        <f aca="false">IF(I568="","",I568*J568)</f>
        <v/>
      </c>
      <c r="L568" s="34" t="str">
        <f aca="false">IF(H568="","",IFERROR(INDEX(I_Master!$B$6:$B$85,MATCH(H568,I_Master!$A$6:$A$85,0)),"?"))</f>
        <v/>
      </c>
      <c r="M568" s="46" t="str">
        <f aca="false">IF(I568="","",IF(OR(A568&lt;I_Parameter!$C$5,A568&gt;I_Parameter!$C$6),0,IF(B568="Aktual",1,IF(AND(B568="Rencana",A568&gt;=I_Parameter!$C$4),1,0))))</f>
        <v/>
      </c>
    </row>
    <row r="569" customFormat="false" ht="15" hidden="false" customHeight="false" outlineLevel="0" collapsed="false">
      <c r="A569" s="37"/>
      <c r="B569" s="44"/>
      <c r="C569" s="44"/>
      <c r="D569" s="44"/>
      <c r="E569" s="44"/>
      <c r="F569" s="44"/>
      <c r="G569" s="44"/>
      <c r="H569" s="34" t="str">
        <f aca="false">IF(G569&lt;&gt;"",G569,IF(F569="","",IFERROR(INDEX(I_Item!$C$6:$C$255,MATCH(F569,I_Item!$A$6:$A$255,0)),"KODE BARU")))</f>
        <v/>
      </c>
      <c r="I569" s="45"/>
      <c r="J569" s="42"/>
      <c r="K569" s="11" t="str">
        <f aca="false">IF(I569="","",I569*J569)</f>
        <v/>
      </c>
      <c r="L569" s="34" t="str">
        <f aca="false">IF(H569="","",IFERROR(INDEX(I_Master!$B$6:$B$85,MATCH(H569,I_Master!$A$6:$A$85,0)),"?"))</f>
        <v/>
      </c>
      <c r="M569" s="46" t="str">
        <f aca="false">IF(I569="","",IF(OR(A569&lt;I_Parameter!$C$5,A569&gt;I_Parameter!$C$6),0,IF(B569="Aktual",1,IF(AND(B569="Rencana",A569&gt;=I_Parameter!$C$4),1,0))))</f>
        <v/>
      </c>
    </row>
    <row r="570" customFormat="false" ht="15" hidden="false" customHeight="false" outlineLevel="0" collapsed="false">
      <c r="A570" s="37"/>
      <c r="B570" s="44"/>
      <c r="C570" s="44"/>
      <c r="D570" s="44"/>
      <c r="E570" s="44"/>
      <c r="F570" s="44"/>
      <c r="G570" s="44"/>
      <c r="H570" s="34" t="str">
        <f aca="false">IF(G570&lt;&gt;"",G570,IF(F570="","",IFERROR(INDEX(I_Item!$C$6:$C$255,MATCH(F570,I_Item!$A$6:$A$255,0)),"KODE BARU")))</f>
        <v/>
      </c>
      <c r="I570" s="45"/>
      <c r="J570" s="42"/>
      <c r="K570" s="11" t="str">
        <f aca="false">IF(I570="","",I570*J570)</f>
        <v/>
      </c>
      <c r="L570" s="34" t="str">
        <f aca="false">IF(H570="","",IFERROR(INDEX(I_Master!$B$6:$B$85,MATCH(H570,I_Master!$A$6:$A$85,0)),"?"))</f>
        <v/>
      </c>
      <c r="M570" s="46" t="str">
        <f aca="false">IF(I570="","",IF(OR(A570&lt;I_Parameter!$C$5,A570&gt;I_Parameter!$C$6),0,IF(B570="Aktual",1,IF(AND(B570="Rencana",A570&gt;=I_Parameter!$C$4),1,0))))</f>
        <v/>
      </c>
    </row>
    <row r="571" customFormat="false" ht="15" hidden="false" customHeight="false" outlineLevel="0" collapsed="false">
      <c r="A571" s="37"/>
      <c r="B571" s="44"/>
      <c r="C571" s="44"/>
      <c r="D571" s="44"/>
      <c r="E571" s="44"/>
      <c r="F571" s="44"/>
      <c r="G571" s="44"/>
      <c r="H571" s="34" t="str">
        <f aca="false">IF(G571&lt;&gt;"",G571,IF(F571="","",IFERROR(INDEX(I_Item!$C$6:$C$255,MATCH(F571,I_Item!$A$6:$A$255,0)),"KODE BARU")))</f>
        <v/>
      </c>
      <c r="I571" s="45"/>
      <c r="J571" s="42"/>
      <c r="K571" s="11" t="str">
        <f aca="false">IF(I571="","",I571*J571)</f>
        <v/>
      </c>
      <c r="L571" s="34" t="str">
        <f aca="false">IF(H571="","",IFERROR(INDEX(I_Master!$B$6:$B$85,MATCH(H571,I_Master!$A$6:$A$85,0)),"?"))</f>
        <v/>
      </c>
      <c r="M571" s="46" t="str">
        <f aca="false">IF(I571="","",IF(OR(A571&lt;I_Parameter!$C$5,A571&gt;I_Parameter!$C$6),0,IF(B571="Aktual",1,IF(AND(B571="Rencana",A571&gt;=I_Parameter!$C$4),1,0))))</f>
        <v/>
      </c>
    </row>
    <row r="572" customFormat="false" ht="15" hidden="false" customHeight="false" outlineLevel="0" collapsed="false">
      <c r="A572" s="37"/>
      <c r="B572" s="44"/>
      <c r="C572" s="44"/>
      <c r="D572" s="44"/>
      <c r="E572" s="44"/>
      <c r="F572" s="44"/>
      <c r="G572" s="44"/>
      <c r="H572" s="34" t="str">
        <f aca="false">IF(G572&lt;&gt;"",G572,IF(F572="","",IFERROR(INDEX(I_Item!$C$6:$C$255,MATCH(F572,I_Item!$A$6:$A$255,0)),"KODE BARU")))</f>
        <v/>
      </c>
      <c r="I572" s="45"/>
      <c r="J572" s="42"/>
      <c r="K572" s="11" t="str">
        <f aca="false">IF(I572="","",I572*J572)</f>
        <v/>
      </c>
      <c r="L572" s="34" t="str">
        <f aca="false">IF(H572="","",IFERROR(INDEX(I_Master!$B$6:$B$85,MATCH(H572,I_Master!$A$6:$A$85,0)),"?"))</f>
        <v/>
      </c>
      <c r="M572" s="46" t="str">
        <f aca="false">IF(I572="","",IF(OR(A572&lt;I_Parameter!$C$5,A572&gt;I_Parameter!$C$6),0,IF(B572="Aktual",1,IF(AND(B572="Rencana",A572&gt;=I_Parameter!$C$4),1,0))))</f>
        <v/>
      </c>
    </row>
    <row r="573" customFormat="false" ht="15" hidden="false" customHeight="false" outlineLevel="0" collapsed="false">
      <c r="A573" s="37"/>
      <c r="B573" s="44"/>
      <c r="C573" s="44"/>
      <c r="D573" s="44"/>
      <c r="E573" s="44"/>
      <c r="F573" s="44"/>
      <c r="G573" s="44"/>
      <c r="H573" s="34" t="str">
        <f aca="false">IF(G573&lt;&gt;"",G573,IF(F573="","",IFERROR(INDEX(I_Item!$C$6:$C$255,MATCH(F573,I_Item!$A$6:$A$255,0)),"KODE BARU")))</f>
        <v/>
      </c>
      <c r="I573" s="45"/>
      <c r="J573" s="42"/>
      <c r="K573" s="11" t="str">
        <f aca="false">IF(I573="","",I573*J573)</f>
        <v/>
      </c>
      <c r="L573" s="34" t="str">
        <f aca="false">IF(H573="","",IFERROR(INDEX(I_Master!$B$6:$B$85,MATCH(H573,I_Master!$A$6:$A$85,0)),"?"))</f>
        <v/>
      </c>
      <c r="M573" s="46" t="str">
        <f aca="false">IF(I573="","",IF(OR(A573&lt;I_Parameter!$C$5,A573&gt;I_Parameter!$C$6),0,IF(B573="Aktual",1,IF(AND(B573="Rencana",A573&gt;=I_Parameter!$C$4),1,0))))</f>
        <v/>
      </c>
    </row>
    <row r="574" customFormat="false" ht="15" hidden="false" customHeight="false" outlineLevel="0" collapsed="false">
      <c r="A574" s="37"/>
      <c r="B574" s="44"/>
      <c r="C574" s="44"/>
      <c r="D574" s="44"/>
      <c r="E574" s="44"/>
      <c r="F574" s="44"/>
      <c r="G574" s="44"/>
      <c r="H574" s="34" t="str">
        <f aca="false">IF(G574&lt;&gt;"",G574,IF(F574="","",IFERROR(INDEX(I_Item!$C$6:$C$255,MATCH(F574,I_Item!$A$6:$A$255,0)),"KODE BARU")))</f>
        <v/>
      </c>
      <c r="I574" s="45"/>
      <c r="J574" s="42"/>
      <c r="K574" s="11" t="str">
        <f aca="false">IF(I574="","",I574*J574)</f>
        <v/>
      </c>
      <c r="L574" s="34" t="str">
        <f aca="false">IF(H574="","",IFERROR(INDEX(I_Master!$B$6:$B$85,MATCH(H574,I_Master!$A$6:$A$85,0)),"?"))</f>
        <v/>
      </c>
      <c r="M574" s="46" t="str">
        <f aca="false">IF(I574="","",IF(OR(A574&lt;I_Parameter!$C$5,A574&gt;I_Parameter!$C$6),0,IF(B574="Aktual",1,IF(AND(B574="Rencana",A574&gt;=I_Parameter!$C$4),1,0))))</f>
        <v/>
      </c>
    </row>
    <row r="575" customFormat="false" ht="15" hidden="false" customHeight="false" outlineLevel="0" collapsed="false">
      <c r="A575" s="37"/>
      <c r="B575" s="44"/>
      <c r="C575" s="44"/>
      <c r="D575" s="44"/>
      <c r="E575" s="44"/>
      <c r="F575" s="44"/>
      <c r="G575" s="44"/>
      <c r="H575" s="34" t="str">
        <f aca="false">IF(G575&lt;&gt;"",G575,IF(F575="","",IFERROR(INDEX(I_Item!$C$6:$C$255,MATCH(F575,I_Item!$A$6:$A$255,0)),"KODE BARU")))</f>
        <v/>
      </c>
      <c r="I575" s="45"/>
      <c r="J575" s="42"/>
      <c r="K575" s="11" t="str">
        <f aca="false">IF(I575="","",I575*J575)</f>
        <v/>
      </c>
      <c r="L575" s="34" t="str">
        <f aca="false">IF(H575="","",IFERROR(INDEX(I_Master!$B$6:$B$85,MATCH(H575,I_Master!$A$6:$A$85,0)),"?"))</f>
        <v/>
      </c>
      <c r="M575" s="46" t="str">
        <f aca="false">IF(I575="","",IF(OR(A575&lt;I_Parameter!$C$5,A575&gt;I_Parameter!$C$6),0,IF(B575="Aktual",1,IF(AND(B575="Rencana",A575&gt;=I_Parameter!$C$4),1,0))))</f>
        <v/>
      </c>
    </row>
    <row r="576" customFormat="false" ht="15" hidden="false" customHeight="false" outlineLevel="0" collapsed="false">
      <c r="A576" s="37"/>
      <c r="B576" s="44"/>
      <c r="C576" s="44"/>
      <c r="D576" s="44"/>
      <c r="E576" s="44"/>
      <c r="F576" s="44"/>
      <c r="G576" s="44"/>
      <c r="H576" s="34" t="str">
        <f aca="false">IF(G576&lt;&gt;"",G576,IF(F576="","",IFERROR(INDEX(I_Item!$C$6:$C$255,MATCH(F576,I_Item!$A$6:$A$255,0)),"KODE BARU")))</f>
        <v/>
      </c>
      <c r="I576" s="45"/>
      <c r="J576" s="42"/>
      <c r="K576" s="11" t="str">
        <f aca="false">IF(I576="","",I576*J576)</f>
        <v/>
      </c>
      <c r="L576" s="34" t="str">
        <f aca="false">IF(H576="","",IFERROR(INDEX(I_Master!$B$6:$B$85,MATCH(H576,I_Master!$A$6:$A$85,0)),"?"))</f>
        <v/>
      </c>
      <c r="M576" s="46" t="str">
        <f aca="false">IF(I576="","",IF(OR(A576&lt;I_Parameter!$C$5,A576&gt;I_Parameter!$C$6),0,IF(B576="Aktual",1,IF(AND(B576="Rencana",A576&gt;=I_Parameter!$C$4),1,0))))</f>
        <v/>
      </c>
    </row>
    <row r="577" customFormat="false" ht="15" hidden="false" customHeight="false" outlineLevel="0" collapsed="false">
      <c r="A577" s="37"/>
      <c r="B577" s="44"/>
      <c r="C577" s="44"/>
      <c r="D577" s="44"/>
      <c r="E577" s="44"/>
      <c r="F577" s="44"/>
      <c r="G577" s="44"/>
      <c r="H577" s="34" t="str">
        <f aca="false">IF(G577&lt;&gt;"",G577,IF(F577="","",IFERROR(INDEX(I_Item!$C$6:$C$255,MATCH(F577,I_Item!$A$6:$A$255,0)),"KODE BARU")))</f>
        <v/>
      </c>
      <c r="I577" s="45"/>
      <c r="J577" s="42"/>
      <c r="K577" s="11" t="str">
        <f aca="false">IF(I577="","",I577*J577)</f>
        <v/>
      </c>
      <c r="L577" s="34" t="str">
        <f aca="false">IF(H577="","",IFERROR(INDEX(I_Master!$B$6:$B$85,MATCH(H577,I_Master!$A$6:$A$85,0)),"?"))</f>
        <v/>
      </c>
      <c r="M577" s="46" t="str">
        <f aca="false">IF(I577="","",IF(OR(A577&lt;I_Parameter!$C$5,A577&gt;I_Parameter!$C$6),0,IF(B577="Aktual",1,IF(AND(B577="Rencana",A577&gt;=I_Parameter!$C$4),1,0))))</f>
        <v/>
      </c>
    </row>
    <row r="578" customFormat="false" ht="15" hidden="false" customHeight="false" outlineLevel="0" collapsed="false">
      <c r="A578" s="37"/>
      <c r="B578" s="44"/>
      <c r="C578" s="44"/>
      <c r="D578" s="44"/>
      <c r="E578" s="44"/>
      <c r="F578" s="44"/>
      <c r="G578" s="44"/>
      <c r="H578" s="34" t="str">
        <f aca="false">IF(G578&lt;&gt;"",G578,IF(F578="","",IFERROR(INDEX(I_Item!$C$6:$C$255,MATCH(F578,I_Item!$A$6:$A$255,0)),"KODE BARU")))</f>
        <v/>
      </c>
      <c r="I578" s="45"/>
      <c r="J578" s="42"/>
      <c r="K578" s="11" t="str">
        <f aca="false">IF(I578="","",I578*J578)</f>
        <v/>
      </c>
      <c r="L578" s="34" t="str">
        <f aca="false">IF(H578="","",IFERROR(INDEX(I_Master!$B$6:$B$85,MATCH(H578,I_Master!$A$6:$A$85,0)),"?"))</f>
        <v/>
      </c>
      <c r="M578" s="46" t="str">
        <f aca="false">IF(I578="","",IF(OR(A578&lt;I_Parameter!$C$5,A578&gt;I_Parameter!$C$6),0,IF(B578="Aktual",1,IF(AND(B578="Rencana",A578&gt;=I_Parameter!$C$4),1,0))))</f>
        <v/>
      </c>
    </row>
    <row r="579" customFormat="false" ht="15" hidden="false" customHeight="false" outlineLevel="0" collapsed="false">
      <c r="A579" s="37"/>
      <c r="B579" s="44"/>
      <c r="C579" s="44"/>
      <c r="D579" s="44"/>
      <c r="E579" s="44"/>
      <c r="F579" s="44"/>
      <c r="G579" s="44"/>
      <c r="H579" s="34" t="str">
        <f aca="false">IF(G579&lt;&gt;"",G579,IF(F579="","",IFERROR(INDEX(I_Item!$C$6:$C$255,MATCH(F579,I_Item!$A$6:$A$255,0)),"KODE BARU")))</f>
        <v/>
      </c>
      <c r="I579" s="45"/>
      <c r="J579" s="42"/>
      <c r="K579" s="11" t="str">
        <f aca="false">IF(I579="","",I579*J579)</f>
        <v/>
      </c>
      <c r="L579" s="34" t="str">
        <f aca="false">IF(H579="","",IFERROR(INDEX(I_Master!$B$6:$B$85,MATCH(H579,I_Master!$A$6:$A$85,0)),"?"))</f>
        <v/>
      </c>
      <c r="M579" s="46" t="str">
        <f aca="false">IF(I579="","",IF(OR(A579&lt;I_Parameter!$C$5,A579&gt;I_Parameter!$C$6),0,IF(B579="Aktual",1,IF(AND(B579="Rencana",A579&gt;=I_Parameter!$C$4),1,0))))</f>
        <v/>
      </c>
    </row>
    <row r="580" customFormat="false" ht="15" hidden="false" customHeight="false" outlineLevel="0" collapsed="false">
      <c r="A580" s="37"/>
      <c r="B580" s="44"/>
      <c r="C580" s="44"/>
      <c r="D580" s="44"/>
      <c r="E580" s="44"/>
      <c r="F580" s="44"/>
      <c r="G580" s="44"/>
      <c r="H580" s="34" t="str">
        <f aca="false">IF(G580&lt;&gt;"",G580,IF(F580="","",IFERROR(INDEX(I_Item!$C$6:$C$255,MATCH(F580,I_Item!$A$6:$A$255,0)),"KODE BARU")))</f>
        <v/>
      </c>
      <c r="I580" s="45"/>
      <c r="J580" s="42"/>
      <c r="K580" s="11" t="str">
        <f aca="false">IF(I580="","",I580*J580)</f>
        <v/>
      </c>
      <c r="L580" s="34" t="str">
        <f aca="false">IF(H580="","",IFERROR(INDEX(I_Master!$B$6:$B$85,MATCH(H580,I_Master!$A$6:$A$85,0)),"?"))</f>
        <v/>
      </c>
      <c r="M580" s="46" t="str">
        <f aca="false">IF(I580="","",IF(OR(A580&lt;I_Parameter!$C$5,A580&gt;I_Parameter!$C$6),0,IF(B580="Aktual",1,IF(AND(B580="Rencana",A580&gt;=I_Parameter!$C$4),1,0))))</f>
        <v/>
      </c>
    </row>
    <row r="581" customFormat="false" ht="15" hidden="false" customHeight="false" outlineLevel="0" collapsed="false">
      <c r="A581" s="37"/>
      <c r="B581" s="44"/>
      <c r="C581" s="44"/>
      <c r="D581" s="44"/>
      <c r="E581" s="44"/>
      <c r="F581" s="44"/>
      <c r="G581" s="44"/>
      <c r="H581" s="34" t="str">
        <f aca="false">IF(G581&lt;&gt;"",G581,IF(F581="","",IFERROR(INDEX(I_Item!$C$6:$C$255,MATCH(F581,I_Item!$A$6:$A$255,0)),"KODE BARU")))</f>
        <v/>
      </c>
      <c r="I581" s="45"/>
      <c r="J581" s="42"/>
      <c r="K581" s="11" t="str">
        <f aca="false">IF(I581="","",I581*J581)</f>
        <v/>
      </c>
      <c r="L581" s="34" t="str">
        <f aca="false">IF(H581="","",IFERROR(INDEX(I_Master!$B$6:$B$85,MATCH(H581,I_Master!$A$6:$A$85,0)),"?"))</f>
        <v/>
      </c>
      <c r="M581" s="46" t="str">
        <f aca="false">IF(I581="","",IF(OR(A581&lt;I_Parameter!$C$5,A581&gt;I_Parameter!$C$6),0,IF(B581="Aktual",1,IF(AND(B581="Rencana",A581&gt;=I_Parameter!$C$4),1,0))))</f>
        <v/>
      </c>
    </row>
    <row r="582" customFormat="false" ht="15" hidden="false" customHeight="false" outlineLevel="0" collapsed="false">
      <c r="A582" s="37"/>
      <c r="B582" s="44"/>
      <c r="C582" s="44"/>
      <c r="D582" s="44"/>
      <c r="E582" s="44"/>
      <c r="F582" s="44"/>
      <c r="G582" s="44"/>
      <c r="H582" s="34" t="str">
        <f aca="false">IF(G582&lt;&gt;"",G582,IF(F582="","",IFERROR(INDEX(I_Item!$C$6:$C$255,MATCH(F582,I_Item!$A$6:$A$255,0)),"KODE BARU")))</f>
        <v/>
      </c>
      <c r="I582" s="45"/>
      <c r="J582" s="42"/>
      <c r="K582" s="11" t="str">
        <f aca="false">IF(I582="","",I582*J582)</f>
        <v/>
      </c>
      <c r="L582" s="34" t="str">
        <f aca="false">IF(H582="","",IFERROR(INDEX(I_Master!$B$6:$B$85,MATCH(H582,I_Master!$A$6:$A$85,0)),"?"))</f>
        <v/>
      </c>
      <c r="M582" s="46" t="str">
        <f aca="false">IF(I582="","",IF(OR(A582&lt;I_Parameter!$C$5,A582&gt;I_Parameter!$C$6),0,IF(B582="Aktual",1,IF(AND(B582="Rencana",A582&gt;=I_Parameter!$C$4),1,0))))</f>
        <v/>
      </c>
    </row>
    <row r="583" customFormat="false" ht="15" hidden="false" customHeight="false" outlineLevel="0" collapsed="false">
      <c r="A583" s="37"/>
      <c r="B583" s="44"/>
      <c r="C583" s="44"/>
      <c r="D583" s="44"/>
      <c r="E583" s="44"/>
      <c r="F583" s="44"/>
      <c r="G583" s="44"/>
      <c r="H583" s="34" t="str">
        <f aca="false">IF(G583&lt;&gt;"",G583,IF(F583="","",IFERROR(INDEX(I_Item!$C$6:$C$255,MATCH(F583,I_Item!$A$6:$A$255,0)),"KODE BARU")))</f>
        <v/>
      </c>
      <c r="I583" s="45"/>
      <c r="J583" s="42"/>
      <c r="K583" s="11" t="str">
        <f aca="false">IF(I583="","",I583*J583)</f>
        <v/>
      </c>
      <c r="L583" s="34" t="str">
        <f aca="false">IF(H583="","",IFERROR(INDEX(I_Master!$B$6:$B$85,MATCH(H583,I_Master!$A$6:$A$85,0)),"?"))</f>
        <v/>
      </c>
      <c r="M583" s="46" t="str">
        <f aca="false">IF(I583="","",IF(OR(A583&lt;I_Parameter!$C$5,A583&gt;I_Parameter!$C$6),0,IF(B583="Aktual",1,IF(AND(B583="Rencana",A583&gt;=I_Parameter!$C$4),1,0))))</f>
        <v/>
      </c>
    </row>
    <row r="584" customFormat="false" ht="15" hidden="false" customHeight="false" outlineLevel="0" collapsed="false">
      <c r="A584" s="37"/>
      <c r="B584" s="44"/>
      <c r="C584" s="44"/>
      <c r="D584" s="44"/>
      <c r="E584" s="44"/>
      <c r="F584" s="44"/>
      <c r="G584" s="44"/>
      <c r="H584" s="34" t="str">
        <f aca="false">IF(G584&lt;&gt;"",G584,IF(F584="","",IFERROR(INDEX(I_Item!$C$6:$C$255,MATCH(F584,I_Item!$A$6:$A$255,0)),"KODE BARU")))</f>
        <v/>
      </c>
      <c r="I584" s="45"/>
      <c r="J584" s="42"/>
      <c r="K584" s="11" t="str">
        <f aca="false">IF(I584="","",I584*J584)</f>
        <v/>
      </c>
      <c r="L584" s="34" t="str">
        <f aca="false">IF(H584="","",IFERROR(INDEX(I_Master!$B$6:$B$85,MATCH(H584,I_Master!$A$6:$A$85,0)),"?"))</f>
        <v/>
      </c>
      <c r="M584" s="46" t="str">
        <f aca="false">IF(I584="","",IF(OR(A584&lt;I_Parameter!$C$5,A584&gt;I_Parameter!$C$6),0,IF(B584="Aktual",1,IF(AND(B584="Rencana",A584&gt;=I_Parameter!$C$4),1,0))))</f>
        <v/>
      </c>
    </row>
    <row r="585" customFormat="false" ht="15" hidden="false" customHeight="false" outlineLevel="0" collapsed="false">
      <c r="A585" s="37"/>
      <c r="B585" s="44"/>
      <c r="C585" s="44"/>
      <c r="D585" s="44"/>
      <c r="E585" s="44"/>
      <c r="F585" s="44"/>
      <c r="G585" s="44"/>
      <c r="H585" s="34" t="str">
        <f aca="false">IF(G585&lt;&gt;"",G585,IF(F585="","",IFERROR(INDEX(I_Item!$C$6:$C$255,MATCH(F585,I_Item!$A$6:$A$255,0)),"KODE BARU")))</f>
        <v/>
      </c>
      <c r="I585" s="45"/>
      <c r="J585" s="42"/>
      <c r="K585" s="11" t="str">
        <f aca="false">IF(I585="","",I585*J585)</f>
        <v/>
      </c>
      <c r="L585" s="34" t="str">
        <f aca="false">IF(H585="","",IFERROR(INDEX(I_Master!$B$6:$B$85,MATCH(H585,I_Master!$A$6:$A$85,0)),"?"))</f>
        <v/>
      </c>
      <c r="M585" s="46" t="str">
        <f aca="false">IF(I585="","",IF(OR(A585&lt;I_Parameter!$C$5,A585&gt;I_Parameter!$C$6),0,IF(B585="Aktual",1,IF(AND(B585="Rencana",A585&gt;=I_Parameter!$C$4),1,0))))</f>
        <v/>
      </c>
    </row>
    <row r="586" customFormat="false" ht="15" hidden="false" customHeight="false" outlineLevel="0" collapsed="false">
      <c r="A586" s="37"/>
      <c r="B586" s="44"/>
      <c r="C586" s="44"/>
      <c r="D586" s="44"/>
      <c r="E586" s="44"/>
      <c r="F586" s="44"/>
      <c r="G586" s="44"/>
      <c r="H586" s="34" t="str">
        <f aca="false">IF(G586&lt;&gt;"",G586,IF(F586="","",IFERROR(INDEX(I_Item!$C$6:$C$255,MATCH(F586,I_Item!$A$6:$A$255,0)),"KODE BARU")))</f>
        <v/>
      </c>
      <c r="I586" s="45"/>
      <c r="J586" s="42"/>
      <c r="K586" s="11" t="str">
        <f aca="false">IF(I586="","",I586*J586)</f>
        <v/>
      </c>
      <c r="L586" s="34" t="str">
        <f aca="false">IF(H586="","",IFERROR(INDEX(I_Master!$B$6:$B$85,MATCH(H586,I_Master!$A$6:$A$85,0)),"?"))</f>
        <v/>
      </c>
      <c r="M586" s="46" t="str">
        <f aca="false">IF(I586="","",IF(OR(A586&lt;I_Parameter!$C$5,A586&gt;I_Parameter!$C$6),0,IF(B586="Aktual",1,IF(AND(B586="Rencana",A586&gt;=I_Parameter!$C$4),1,0))))</f>
        <v/>
      </c>
    </row>
    <row r="587" customFormat="false" ht="15" hidden="false" customHeight="false" outlineLevel="0" collapsed="false">
      <c r="A587" s="37"/>
      <c r="B587" s="44"/>
      <c r="C587" s="44"/>
      <c r="D587" s="44"/>
      <c r="E587" s="44"/>
      <c r="F587" s="44"/>
      <c r="G587" s="44"/>
      <c r="H587" s="34" t="str">
        <f aca="false">IF(G587&lt;&gt;"",G587,IF(F587="","",IFERROR(INDEX(I_Item!$C$6:$C$255,MATCH(F587,I_Item!$A$6:$A$255,0)),"KODE BARU")))</f>
        <v/>
      </c>
      <c r="I587" s="45"/>
      <c r="J587" s="42"/>
      <c r="K587" s="11" t="str">
        <f aca="false">IF(I587="","",I587*J587)</f>
        <v/>
      </c>
      <c r="L587" s="34" t="str">
        <f aca="false">IF(H587="","",IFERROR(INDEX(I_Master!$B$6:$B$85,MATCH(H587,I_Master!$A$6:$A$85,0)),"?"))</f>
        <v/>
      </c>
      <c r="M587" s="46" t="str">
        <f aca="false">IF(I587="","",IF(OR(A587&lt;I_Parameter!$C$5,A587&gt;I_Parameter!$C$6),0,IF(B587="Aktual",1,IF(AND(B587="Rencana",A587&gt;=I_Parameter!$C$4),1,0))))</f>
        <v/>
      </c>
    </row>
    <row r="588" customFormat="false" ht="15" hidden="false" customHeight="false" outlineLevel="0" collapsed="false">
      <c r="A588" s="37"/>
      <c r="B588" s="44"/>
      <c r="C588" s="44"/>
      <c r="D588" s="44"/>
      <c r="E588" s="44"/>
      <c r="F588" s="44"/>
      <c r="G588" s="44"/>
      <c r="H588" s="34" t="str">
        <f aca="false">IF(G588&lt;&gt;"",G588,IF(F588="","",IFERROR(INDEX(I_Item!$C$6:$C$255,MATCH(F588,I_Item!$A$6:$A$255,0)),"KODE BARU")))</f>
        <v/>
      </c>
      <c r="I588" s="45"/>
      <c r="J588" s="42"/>
      <c r="K588" s="11" t="str">
        <f aca="false">IF(I588="","",I588*J588)</f>
        <v/>
      </c>
      <c r="L588" s="34" t="str">
        <f aca="false">IF(H588="","",IFERROR(INDEX(I_Master!$B$6:$B$85,MATCH(H588,I_Master!$A$6:$A$85,0)),"?"))</f>
        <v/>
      </c>
      <c r="M588" s="46" t="str">
        <f aca="false">IF(I588="","",IF(OR(A588&lt;I_Parameter!$C$5,A588&gt;I_Parameter!$C$6),0,IF(B588="Aktual",1,IF(AND(B588="Rencana",A588&gt;=I_Parameter!$C$4),1,0))))</f>
        <v/>
      </c>
    </row>
    <row r="589" customFormat="false" ht="15" hidden="false" customHeight="false" outlineLevel="0" collapsed="false">
      <c r="A589" s="37"/>
      <c r="B589" s="44"/>
      <c r="C589" s="44"/>
      <c r="D589" s="44"/>
      <c r="E589" s="44"/>
      <c r="F589" s="44"/>
      <c r="G589" s="44"/>
      <c r="H589" s="34" t="str">
        <f aca="false">IF(G589&lt;&gt;"",G589,IF(F589="","",IFERROR(INDEX(I_Item!$C$6:$C$255,MATCH(F589,I_Item!$A$6:$A$255,0)),"KODE BARU")))</f>
        <v/>
      </c>
      <c r="I589" s="45"/>
      <c r="J589" s="42"/>
      <c r="K589" s="11" t="str">
        <f aca="false">IF(I589="","",I589*J589)</f>
        <v/>
      </c>
      <c r="L589" s="34" t="str">
        <f aca="false">IF(H589="","",IFERROR(INDEX(I_Master!$B$6:$B$85,MATCH(H589,I_Master!$A$6:$A$85,0)),"?"))</f>
        <v/>
      </c>
      <c r="M589" s="46" t="str">
        <f aca="false">IF(I589="","",IF(OR(A589&lt;I_Parameter!$C$5,A589&gt;I_Parameter!$C$6),0,IF(B589="Aktual",1,IF(AND(B589="Rencana",A589&gt;=I_Parameter!$C$4),1,0))))</f>
        <v/>
      </c>
    </row>
    <row r="590" customFormat="false" ht="15" hidden="false" customHeight="false" outlineLevel="0" collapsed="false">
      <c r="A590" s="37"/>
      <c r="B590" s="44"/>
      <c r="C590" s="44"/>
      <c r="D590" s="44"/>
      <c r="E590" s="44"/>
      <c r="F590" s="44"/>
      <c r="G590" s="44"/>
      <c r="H590" s="34" t="str">
        <f aca="false">IF(G590&lt;&gt;"",G590,IF(F590="","",IFERROR(INDEX(I_Item!$C$6:$C$255,MATCH(F590,I_Item!$A$6:$A$255,0)),"KODE BARU")))</f>
        <v/>
      </c>
      <c r="I590" s="45"/>
      <c r="J590" s="42"/>
      <c r="K590" s="11" t="str">
        <f aca="false">IF(I590="","",I590*J590)</f>
        <v/>
      </c>
      <c r="L590" s="34" t="str">
        <f aca="false">IF(H590="","",IFERROR(INDEX(I_Master!$B$6:$B$85,MATCH(H590,I_Master!$A$6:$A$85,0)),"?"))</f>
        <v/>
      </c>
      <c r="M590" s="46" t="str">
        <f aca="false">IF(I590="","",IF(OR(A590&lt;I_Parameter!$C$5,A590&gt;I_Parameter!$C$6),0,IF(B590="Aktual",1,IF(AND(B590="Rencana",A590&gt;=I_Parameter!$C$4),1,0))))</f>
        <v/>
      </c>
    </row>
    <row r="591" customFormat="false" ht="15" hidden="false" customHeight="false" outlineLevel="0" collapsed="false">
      <c r="A591" s="37"/>
      <c r="B591" s="44"/>
      <c r="C591" s="44"/>
      <c r="D591" s="44"/>
      <c r="E591" s="44"/>
      <c r="F591" s="44"/>
      <c r="G591" s="44"/>
      <c r="H591" s="34" t="str">
        <f aca="false">IF(G591&lt;&gt;"",G591,IF(F591="","",IFERROR(INDEX(I_Item!$C$6:$C$255,MATCH(F591,I_Item!$A$6:$A$255,0)),"KODE BARU")))</f>
        <v/>
      </c>
      <c r="I591" s="45"/>
      <c r="J591" s="42"/>
      <c r="K591" s="11" t="str">
        <f aca="false">IF(I591="","",I591*J591)</f>
        <v/>
      </c>
      <c r="L591" s="34" t="str">
        <f aca="false">IF(H591="","",IFERROR(INDEX(I_Master!$B$6:$B$85,MATCH(H591,I_Master!$A$6:$A$85,0)),"?"))</f>
        <v/>
      </c>
      <c r="M591" s="46" t="str">
        <f aca="false">IF(I591="","",IF(OR(A591&lt;I_Parameter!$C$5,A591&gt;I_Parameter!$C$6),0,IF(B591="Aktual",1,IF(AND(B591="Rencana",A591&gt;=I_Parameter!$C$4),1,0))))</f>
        <v/>
      </c>
    </row>
    <row r="592" customFormat="false" ht="15" hidden="false" customHeight="false" outlineLevel="0" collapsed="false">
      <c r="A592" s="37"/>
      <c r="B592" s="44"/>
      <c r="C592" s="44"/>
      <c r="D592" s="44"/>
      <c r="E592" s="44"/>
      <c r="F592" s="44"/>
      <c r="G592" s="44"/>
      <c r="H592" s="34" t="str">
        <f aca="false">IF(G592&lt;&gt;"",G592,IF(F592="","",IFERROR(INDEX(I_Item!$C$6:$C$255,MATCH(F592,I_Item!$A$6:$A$255,0)),"KODE BARU")))</f>
        <v/>
      </c>
      <c r="I592" s="45"/>
      <c r="J592" s="42"/>
      <c r="K592" s="11" t="str">
        <f aca="false">IF(I592="","",I592*J592)</f>
        <v/>
      </c>
      <c r="L592" s="34" t="str">
        <f aca="false">IF(H592="","",IFERROR(INDEX(I_Master!$B$6:$B$85,MATCH(H592,I_Master!$A$6:$A$85,0)),"?"))</f>
        <v/>
      </c>
      <c r="M592" s="46" t="str">
        <f aca="false">IF(I592="","",IF(OR(A592&lt;I_Parameter!$C$5,A592&gt;I_Parameter!$C$6),0,IF(B592="Aktual",1,IF(AND(B592="Rencana",A592&gt;=I_Parameter!$C$4),1,0))))</f>
        <v/>
      </c>
    </row>
    <row r="593" customFormat="false" ht="15" hidden="false" customHeight="false" outlineLevel="0" collapsed="false">
      <c r="A593" s="37"/>
      <c r="B593" s="44"/>
      <c r="C593" s="44"/>
      <c r="D593" s="44"/>
      <c r="E593" s="44"/>
      <c r="F593" s="44"/>
      <c r="G593" s="44"/>
      <c r="H593" s="34" t="str">
        <f aca="false">IF(G593&lt;&gt;"",G593,IF(F593="","",IFERROR(INDEX(I_Item!$C$6:$C$255,MATCH(F593,I_Item!$A$6:$A$255,0)),"KODE BARU")))</f>
        <v/>
      </c>
      <c r="I593" s="45"/>
      <c r="J593" s="42"/>
      <c r="K593" s="11" t="str">
        <f aca="false">IF(I593="","",I593*J593)</f>
        <v/>
      </c>
      <c r="L593" s="34" t="str">
        <f aca="false">IF(H593="","",IFERROR(INDEX(I_Master!$B$6:$B$85,MATCH(H593,I_Master!$A$6:$A$85,0)),"?"))</f>
        <v/>
      </c>
      <c r="M593" s="46" t="str">
        <f aca="false">IF(I593="","",IF(OR(A593&lt;I_Parameter!$C$5,A593&gt;I_Parameter!$C$6),0,IF(B593="Aktual",1,IF(AND(B593="Rencana",A593&gt;=I_Parameter!$C$4),1,0))))</f>
        <v/>
      </c>
    </row>
    <row r="594" customFormat="false" ht="15" hidden="false" customHeight="false" outlineLevel="0" collapsed="false">
      <c r="A594" s="37"/>
      <c r="B594" s="44"/>
      <c r="C594" s="44"/>
      <c r="D594" s="44"/>
      <c r="E594" s="44"/>
      <c r="F594" s="44"/>
      <c r="G594" s="44"/>
      <c r="H594" s="34" t="str">
        <f aca="false">IF(G594&lt;&gt;"",G594,IF(F594="","",IFERROR(INDEX(I_Item!$C$6:$C$255,MATCH(F594,I_Item!$A$6:$A$255,0)),"KODE BARU")))</f>
        <v/>
      </c>
      <c r="I594" s="45"/>
      <c r="J594" s="42"/>
      <c r="K594" s="11" t="str">
        <f aca="false">IF(I594="","",I594*J594)</f>
        <v/>
      </c>
      <c r="L594" s="34" t="str">
        <f aca="false">IF(H594="","",IFERROR(INDEX(I_Master!$B$6:$B$85,MATCH(H594,I_Master!$A$6:$A$85,0)),"?"))</f>
        <v/>
      </c>
      <c r="M594" s="46" t="str">
        <f aca="false">IF(I594="","",IF(OR(A594&lt;I_Parameter!$C$5,A594&gt;I_Parameter!$C$6),0,IF(B594="Aktual",1,IF(AND(B594="Rencana",A594&gt;=I_Parameter!$C$4),1,0))))</f>
        <v/>
      </c>
    </row>
    <row r="595" customFormat="false" ht="15" hidden="false" customHeight="false" outlineLevel="0" collapsed="false">
      <c r="A595" s="37"/>
      <c r="B595" s="44"/>
      <c r="C595" s="44"/>
      <c r="D595" s="44"/>
      <c r="E595" s="44"/>
      <c r="F595" s="44"/>
      <c r="G595" s="44"/>
      <c r="H595" s="34" t="str">
        <f aca="false">IF(G595&lt;&gt;"",G595,IF(F595="","",IFERROR(INDEX(I_Item!$C$6:$C$255,MATCH(F595,I_Item!$A$6:$A$255,0)),"KODE BARU")))</f>
        <v/>
      </c>
      <c r="I595" s="45"/>
      <c r="J595" s="42"/>
      <c r="K595" s="11" t="str">
        <f aca="false">IF(I595="","",I595*J595)</f>
        <v/>
      </c>
      <c r="L595" s="34" t="str">
        <f aca="false">IF(H595="","",IFERROR(INDEX(I_Master!$B$6:$B$85,MATCH(H595,I_Master!$A$6:$A$85,0)),"?"))</f>
        <v/>
      </c>
      <c r="M595" s="46" t="str">
        <f aca="false">IF(I595="","",IF(OR(A595&lt;I_Parameter!$C$5,A595&gt;I_Parameter!$C$6),0,IF(B595="Aktual",1,IF(AND(B595="Rencana",A595&gt;=I_Parameter!$C$4),1,0))))</f>
        <v/>
      </c>
    </row>
    <row r="596" customFormat="false" ht="15" hidden="false" customHeight="false" outlineLevel="0" collapsed="false">
      <c r="A596" s="37"/>
      <c r="B596" s="44"/>
      <c r="C596" s="44"/>
      <c r="D596" s="44"/>
      <c r="E596" s="44"/>
      <c r="F596" s="44"/>
      <c r="G596" s="44"/>
      <c r="H596" s="34" t="str">
        <f aca="false">IF(G596&lt;&gt;"",G596,IF(F596="","",IFERROR(INDEX(I_Item!$C$6:$C$255,MATCH(F596,I_Item!$A$6:$A$255,0)),"KODE BARU")))</f>
        <v/>
      </c>
      <c r="I596" s="45"/>
      <c r="J596" s="42"/>
      <c r="K596" s="11" t="str">
        <f aca="false">IF(I596="","",I596*J596)</f>
        <v/>
      </c>
      <c r="L596" s="34" t="str">
        <f aca="false">IF(H596="","",IFERROR(INDEX(I_Master!$B$6:$B$85,MATCH(H596,I_Master!$A$6:$A$85,0)),"?"))</f>
        <v/>
      </c>
      <c r="M596" s="46" t="str">
        <f aca="false">IF(I596="","",IF(OR(A596&lt;I_Parameter!$C$5,A596&gt;I_Parameter!$C$6),0,IF(B596="Aktual",1,IF(AND(B596="Rencana",A596&gt;=I_Parameter!$C$4),1,0))))</f>
        <v/>
      </c>
    </row>
    <row r="597" customFormat="false" ht="15" hidden="false" customHeight="false" outlineLevel="0" collapsed="false">
      <c r="A597" s="37"/>
      <c r="B597" s="44"/>
      <c r="C597" s="44"/>
      <c r="D597" s="44"/>
      <c r="E597" s="44"/>
      <c r="F597" s="44"/>
      <c r="G597" s="44"/>
      <c r="H597" s="34" t="str">
        <f aca="false">IF(G597&lt;&gt;"",G597,IF(F597="","",IFERROR(INDEX(I_Item!$C$6:$C$255,MATCH(F597,I_Item!$A$6:$A$255,0)),"KODE BARU")))</f>
        <v/>
      </c>
      <c r="I597" s="45"/>
      <c r="J597" s="42"/>
      <c r="K597" s="11" t="str">
        <f aca="false">IF(I597="","",I597*J597)</f>
        <v/>
      </c>
      <c r="L597" s="34" t="str">
        <f aca="false">IF(H597="","",IFERROR(INDEX(I_Master!$B$6:$B$85,MATCH(H597,I_Master!$A$6:$A$85,0)),"?"))</f>
        <v/>
      </c>
      <c r="M597" s="46" t="str">
        <f aca="false">IF(I597="","",IF(OR(A597&lt;I_Parameter!$C$5,A597&gt;I_Parameter!$C$6),0,IF(B597="Aktual",1,IF(AND(B597="Rencana",A597&gt;=I_Parameter!$C$4),1,0))))</f>
        <v/>
      </c>
    </row>
    <row r="598" customFormat="false" ht="15" hidden="false" customHeight="false" outlineLevel="0" collapsed="false">
      <c r="A598" s="37"/>
      <c r="B598" s="44"/>
      <c r="C598" s="44"/>
      <c r="D598" s="44"/>
      <c r="E598" s="44"/>
      <c r="F598" s="44"/>
      <c r="G598" s="44"/>
      <c r="H598" s="34" t="str">
        <f aca="false">IF(G598&lt;&gt;"",G598,IF(F598="","",IFERROR(INDEX(I_Item!$C$6:$C$255,MATCH(F598,I_Item!$A$6:$A$255,0)),"KODE BARU")))</f>
        <v/>
      </c>
      <c r="I598" s="45"/>
      <c r="J598" s="42"/>
      <c r="K598" s="11" t="str">
        <f aca="false">IF(I598="","",I598*J598)</f>
        <v/>
      </c>
      <c r="L598" s="34" t="str">
        <f aca="false">IF(H598="","",IFERROR(INDEX(I_Master!$B$6:$B$85,MATCH(H598,I_Master!$A$6:$A$85,0)),"?"))</f>
        <v/>
      </c>
      <c r="M598" s="46" t="str">
        <f aca="false">IF(I598="","",IF(OR(A598&lt;I_Parameter!$C$5,A598&gt;I_Parameter!$C$6),0,IF(B598="Aktual",1,IF(AND(B598="Rencana",A598&gt;=I_Parameter!$C$4),1,0))))</f>
        <v/>
      </c>
    </row>
    <row r="599" customFormat="false" ht="15" hidden="false" customHeight="false" outlineLevel="0" collapsed="false">
      <c r="A599" s="37"/>
      <c r="B599" s="44"/>
      <c r="C599" s="44"/>
      <c r="D599" s="44"/>
      <c r="E599" s="44"/>
      <c r="F599" s="44"/>
      <c r="G599" s="44"/>
      <c r="H599" s="34" t="str">
        <f aca="false">IF(G599&lt;&gt;"",G599,IF(F599="","",IFERROR(INDEX(I_Item!$C$6:$C$255,MATCH(F599,I_Item!$A$6:$A$255,0)),"KODE BARU")))</f>
        <v/>
      </c>
      <c r="I599" s="45"/>
      <c r="J599" s="42"/>
      <c r="K599" s="11" t="str">
        <f aca="false">IF(I599="","",I599*J599)</f>
        <v/>
      </c>
      <c r="L599" s="34" t="str">
        <f aca="false">IF(H599="","",IFERROR(INDEX(I_Master!$B$6:$B$85,MATCH(H599,I_Master!$A$6:$A$85,0)),"?"))</f>
        <v/>
      </c>
      <c r="M599" s="46" t="str">
        <f aca="false">IF(I599="","",IF(OR(A599&lt;I_Parameter!$C$5,A599&gt;I_Parameter!$C$6),0,IF(B599="Aktual",1,IF(AND(B599="Rencana",A599&gt;=I_Parameter!$C$4),1,0))))</f>
        <v/>
      </c>
    </row>
    <row r="600" customFormat="false" ht="15" hidden="false" customHeight="false" outlineLevel="0" collapsed="false">
      <c r="A600" s="37"/>
      <c r="B600" s="44"/>
      <c r="C600" s="44"/>
      <c r="D600" s="44"/>
      <c r="E600" s="44"/>
      <c r="F600" s="44"/>
      <c r="G600" s="44"/>
      <c r="H600" s="34" t="str">
        <f aca="false">IF(G600&lt;&gt;"",G600,IF(F600="","",IFERROR(INDEX(I_Item!$C$6:$C$255,MATCH(F600,I_Item!$A$6:$A$255,0)),"KODE BARU")))</f>
        <v/>
      </c>
      <c r="I600" s="45"/>
      <c r="J600" s="42"/>
      <c r="K600" s="11" t="str">
        <f aca="false">IF(I600="","",I600*J600)</f>
        <v/>
      </c>
      <c r="L600" s="34" t="str">
        <f aca="false">IF(H600="","",IFERROR(INDEX(I_Master!$B$6:$B$85,MATCH(H600,I_Master!$A$6:$A$85,0)),"?"))</f>
        <v/>
      </c>
      <c r="M600" s="46" t="str">
        <f aca="false">IF(I600="","",IF(OR(A600&lt;I_Parameter!$C$5,A600&gt;I_Parameter!$C$6),0,IF(B600="Aktual",1,IF(AND(B600="Rencana",A600&gt;=I_Parameter!$C$4),1,0))))</f>
        <v/>
      </c>
    </row>
    <row r="601" customFormat="false" ht="15" hidden="false" customHeight="false" outlineLevel="0" collapsed="false">
      <c r="A601" s="37"/>
      <c r="B601" s="44"/>
      <c r="C601" s="44"/>
      <c r="D601" s="44"/>
      <c r="E601" s="44"/>
      <c r="F601" s="44"/>
      <c r="G601" s="44"/>
      <c r="H601" s="34" t="str">
        <f aca="false">IF(G601&lt;&gt;"",G601,IF(F601="","",IFERROR(INDEX(I_Item!$C$6:$C$255,MATCH(F601,I_Item!$A$6:$A$255,0)),"KODE BARU")))</f>
        <v/>
      </c>
      <c r="I601" s="45"/>
      <c r="J601" s="42"/>
      <c r="K601" s="11" t="str">
        <f aca="false">IF(I601="","",I601*J601)</f>
        <v/>
      </c>
      <c r="L601" s="34" t="str">
        <f aca="false">IF(H601="","",IFERROR(INDEX(I_Master!$B$6:$B$85,MATCH(H601,I_Master!$A$6:$A$85,0)),"?"))</f>
        <v/>
      </c>
      <c r="M601" s="46" t="str">
        <f aca="false">IF(I601="","",IF(OR(A601&lt;I_Parameter!$C$5,A601&gt;I_Parameter!$C$6),0,IF(B601="Aktual",1,IF(AND(B601="Rencana",A601&gt;=I_Parameter!$C$4),1,0))))</f>
        <v/>
      </c>
    </row>
    <row r="602" customFormat="false" ht="15" hidden="false" customHeight="false" outlineLevel="0" collapsed="false">
      <c r="A602" s="37"/>
      <c r="B602" s="44"/>
      <c r="C602" s="44"/>
      <c r="D602" s="44"/>
      <c r="E602" s="44"/>
      <c r="F602" s="44"/>
      <c r="G602" s="44"/>
      <c r="H602" s="34" t="str">
        <f aca="false">IF(G602&lt;&gt;"",G602,IF(F602="","",IFERROR(INDEX(I_Item!$C$6:$C$255,MATCH(F602,I_Item!$A$6:$A$255,0)),"KODE BARU")))</f>
        <v/>
      </c>
      <c r="I602" s="45"/>
      <c r="J602" s="42"/>
      <c r="K602" s="11" t="str">
        <f aca="false">IF(I602="","",I602*J602)</f>
        <v/>
      </c>
      <c r="L602" s="34" t="str">
        <f aca="false">IF(H602="","",IFERROR(INDEX(I_Master!$B$6:$B$85,MATCH(H602,I_Master!$A$6:$A$85,0)),"?"))</f>
        <v/>
      </c>
      <c r="M602" s="46" t="str">
        <f aca="false">IF(I602="","",IF(OR(A602&lt;I_Parameter!$C$5,A602&gt;I_Parameter!$C$6),0,IF(B602="Aktual",1,IF(AND(B602="Rencana",A602&gt;=I_Parameter!$C$4),1,0))))</f>
        <v/>
      </c>
    </row>
    <row r="603" customFormat="false" ht="15" hidden="false" customHeight="false" outlineLevel="0" collapsed="false">
      <c r="A603" s="37"/>
      <c r="B603" s="44"/>
      <c r="C603" s="44"/>
      <c r="D603" s="44"/>
      <c r="E603" s="44"/>
      <c r="F603" s="44"/>
      <c r="G603" s="44"/>
      <c r="H603" s="34" t="str">
        <f aca="false">IF(G603&lt;&gt;"",G603,IF(F603="","",IFERROR(INDEX(I_Item!$C$6:$C$255,MATCH(F603,I_Item!$A$6:$A$255,0)),"KODE BARU")))</f>
        <v/>
      </c>
      <c r="I603" s="45"/>
      <c r="J603" s="42"/>
      <c r="K603" s="11" t="str">
        <f aca="false">IF(I603="","",I603*J603)</f>
        <v/>
      </c>
      <c r="L603" s="34" t="str">
        <f aca="false">IF(H603="","",IFERROR(INDEX(I_Master!$B$6:$B$85,MATCH(H603,I_Master!$A$6:$A$85,0)),"?"))</f>
        <v/>
      </c>
      <c r="M603" s="46" t="str">
        <f aca="false">IF(I603="","",IF(OR(A603&lt;I_Parameter!$C$5,A603&gt;I_Parameter!$C$6),0,IF(B603="Aktual",1,IF(AND(B603="Rencana",A603&gt;=I_Parameter!$C$4),1,0))))</f>
        <v/>
      </c>
    </row>
    <row r="604" customFormat="false" ht="15" hidden="false" customHeight="false" outlineLevel="0" collapsed="false">
      <c r="A604" s="37"/>
      <c r="B604" s="44"/>
      <c r="C604" s="44"/>
      <c r="D604" s="44"/>
      <c r="E604" s="44"/>
      <c r="F604" s="44"/>
      <c r="G604" s="44"/>
      <c r="H604" s="34" t="str">
        <f aca="false">IF(G604&lt;&gt;"",G604,IF(F604="","",IFERROR(INDEX(I_Item!$C$6:$C$255,MATCH(F604,I_Item!$A$6:$A$255,0)),"KODE BARU")))</f>
        <v/>
      </c>
      <c r="I604" s="45"/>
      <c r="J604" s="42"/>
      <c r="K604" s="11" t="str">
        <f aca="false">IF(I604="","",I604*J604)</f>
        <v/>
      </c>
      <c r="L604" s="34" t="str">
        <f aca="false">IF(H604="","",IFERROR(INDEX(I_Master!$B$6:$B$85,MATCH(H604,I_Master!$A$6:$A$85,0)),"?"))</f>
        <v/>
      </c>
      <c r="M604" s="46" t="str">
        <f aca="false">IF(I604="","",IF(OR(A604&lt;I_Parameter!$C$5,A604&gt;I_Parameter!$C$6),0,IF(B604="Aktual",1,IF(AND(B604="Rencana",A604&gt;=I_Parameter!$C$4),1,0))))</f>
        <v/>
      </c>
    </row>
    <row r="605" customFormat="false" ht="15" hidden="false" customHeight="false" outlineLevel="0" collapsed="false">
      <c r="A605" s="37"/>
      <c r="B605" s="44"/>
      <c r="C605" s="44"/>
      <c r="D605" s="44"/>
      <c r="E605" s="44"/>
      <c r="F605" s="44"/>
      <c r="G605" s="44"/>
      <c r="H605" s="34" t="str">
        <f aca="false">IF(G605&lt;&gt;"",G605,IF(F605="","",IFERROR(INDEX(I_Item!$C$6:$C$255,MATCH(F605,I_Item!$A$6:$A$255,0)),"KODE BARU")))</f>
        <v/>
      </c>
      <c r="I605" s="45"/>
      <c r="J605" s="42"/>
      <c r="K605" s="11" t="str">
        <f aca="false">IF(I605="","",I605*J605)</f>
        <v/>
      </c>
      <c r="L605" s="34" t="str">
        <f aca="false">IF(H605="","",IFERROR(INDEX(I_Master!$B$6:$B$85,MATCH(H605,I_Master!$A$6:$A$85,0)),"?"))</f>
        <v/>
      </c>
      <c r="M605" s="46" t="str">
        <f aca="false">IF(I605="","",IF(OR(A605&lt;I_Parameter!$C$5,A605&gt;I_Parameter!$C$6),0,IF(B605="Aktual",1,IF(AND(B605="Rencana",A605&gt;=I_Parameter!$C$4),1,0))))</f>
        <v/>
      </c>
    </row>
    <row r="606" customFormat="false" ht="15" hidden="false" customHeight="false" outlineLevel="0" collapsed="false">
      <c r="A606" s="37"/>
      <c r="B606" s="44"/>
      <c r="C606" s="44"/>
      <c r="D606" s="44"/>
      <c r="E606" s="44"/>
      <c r="F606" s="44"/>
      <c r="G606" s="44"/>
      <c r="H606" s="34" t="str">
        <f aca="false">IF(G606&lt;&gt;"",G606,IF(F606="","",IFERROR(INDEX(I_Item!$C$6:$C$255,MATCH(F606,I_Item!$A$6:$A$255,0)),"KODE BARU")))</f>
        <v/>
      </c>
      <c r="I606" s="45"/>
      <c r="J606" s="42"/>
      <c r="K606" s="11" t="str">
        <f aca="false">IF(I606="","",I606*J606)</f>
        <v/>
      </c>
      <c r="L606" s="34" t="str">
        <f aca="false">IF(H606="","",IFERROR(INDEX(I_Master!$B$6:$B$85,MATCH(H606,I_Master!$A$6:$A$85,0)),"?"))</f>
        <v/>
      </c>
      <c r="M606" s="46" t="str">
        <f aca="false">IF(I606="","",IF(OR(A606&lt;I_Parameter!$C$5,A606&gt;I_Parameter!$C$6),0,IF(B606="Aktual",1,IF(AND(B606="Rencana",A606&gt;=I_Parameter!$C$4),1,0))))</f>
        <v/>
      </c>
    </row>
    <row r="607" customFormat="false" ht="15" hidden="false" customHeight="false" outlineLevel="0" collapsed="false">
      <c r="A607" s="37"/>
      <c r="B607" s="44"/>
      <c r="C607" s="44"/>
      <c r="D607" s="44"/>
      <c r="E607" s="44"/>
      <c r="F607" s="44"/>
      <c r="G607" s="44"/>
      <c r="H607" s="34" t="str">
        <f aca="false">IF(G607&lt;&gt;"",G607,IF(F607="","",IFERROR(INDEX(I_Item!$C$6:$C$255,MATCH(F607,I_Item!$A$6:$A$255,0)),"KODE BARU")))</f>
        <v/>
      </c>
      <c r="I607" s="45"/>
      <c r="J607" s="42"/>
      <c r="K607" s="11" t="str">
        <f aca="false">IF(I607="","",I607*J607)</f>
        <v/>
      </c>
      <c r="L607" s="34" t="str">
        <f aca="false">IF(H607="","",IFERROR(INDEX(I_Master!$B$6:$B$85,MATCH(H607,I_Master!$A$6:$A$85,0)),"?"))</f>
        <v/>
      </c>
      <c r="M607" s="46" t="str">
        <f aca="false">IF(I607="","",IF(OR(A607&lt;I_Parameter!$C$5,A607&gt;I_Parameter!$C$6),0,IF(B607="Aktual",1,IF(AND(B607="Rencana",A607&gt;=I_Parameter!$C$4),1,0))))</f>
        <v/>
      </c>
    </row>
    <row r="608" customFormat="false" ht="15" hidden="false" customHeight="false" outlineLevel="0" collapsed="false">
      <c r="A608" s="37"/>
      <c r="B608" s="44"/>
      <c r="C608" s="44"/>
      <c r="D608" s="44"/>
      <c r="E608" s="44"/>
      <c r="F608" s="44"/>
      <c r="G608" s="44"/>
      <c r="H608" s="34" t="str">
        <f aca="false">IF(G608&lt;&gt;"",G608,IF(F608="","",IFERROR(INDEX(I_Item!$C$6:$C$255,MATCH(F608,I_Item!$A$6:$A$255,0)),"KODE BARU")))</f>
        <v/>
      </c>
      <c r="I608" s="45"/>
      <c r="J608" s="42"/>
      <c r="K608" s="11" t="str">
        <f aca="false">IF(I608="","",I608*J608)</f>
        <v/>
      </c>
      <c r="L608" s="34" t="str">
        <f aca="false">IF(H608="","",IFERROR(INDEX(I_Master!$B$6:$B$85,MATCH(H608,I_Master!$A$6:$A$85,0)),"?"))</f>
        <v/>
      </c>
      <c r="M608" s="46" t="str">
        <f aca="false">IF(I608="","",IF(OR(A608&lt;I_Parameter!$C$5,A608&gt;I_Parameter!$C$6),0,IF(B608="Aktual",1,IF(AND(B608="Rencana",A608&gt;=I_Parameter!$C$4),1,0))))</f>
        <v/>
      </c>
    </row>
    <row r="609" customFormat="false" ht="15" hidden="false" customHeight="false" outlineLevel="0" collapsed="false">
      <c r="A609" s="37"/>
      <c r="B609" s="44"/>
      <c r="C609" s="44"/>
      <c r="D609" s="44"/>
      <c r="E609" s="44"/>
      <c r="F609" s="44"/>
      <c r="G609" s="44"/>
      <c r="H609" s="34" t="str">
        <f aca="false">IF(G609&lt;&gt;"",G609,IF(F609="","",IFERROR(INDEX(I_Item!$C$6:$C$255,MATCH(F609,I_Item!$A$6:$A$255,0)),"KODE BARU")))</f>
        <v/>
      </c>
      <c r="I609" s="45"/>
      <c r="J609" s="42"/>
      <c r="K609" s="11" t="str">
        <f aca="false">IF(I609="","",I609*J609)</f>
        <v/>
      </c>
      <c r="L609" s="34" t="str">
        <f aca="false">IF(H609="","",IFERROR(INDEX(I_Master!$B$6:$B$85,MATCH(H609,I_Master!$A$6:$A$85,0)),"?"))</f>
        <v/>
      </c>
      <c r="M609" s="46" t="str">
        <f aca="false">IF(I609="","",IF(OR(A609&lt;I_Parameter!$C$5,A609&gt;I_Parameter!$C$6),0,IF(B609="Aktual",1,IF(AND(B609="Rencana",A609&gt;=I_Parameter!$C$4),1,0))))</f>
        <v/>
      </c>
    </row>
    <row r="610" customFormat="false" ht="15" hidden="false" customHeight="false" outlineLevel="0" collapsed="false">
      <c r="A610" s="37"/>
      <c r="B610" s="44"/>
      <c r="C610" s="44"/>
      <c r="D610" s="44"/>
      <c r="E610" s="44"/>
      <c r="F610" s="44"/>
      <c r="G610" s="44"/>
      <c r="H610" s="34" t="str">
        <f aca="false">IF(G610&lt;&gt;"",G610,IF(F610="","",IFERROR(INDEX(I_Item!$C$6:$C$255,MATCH(F610,I_Item!$A$6:$A$255,0)),"KODE BARU")))</f>
        <v/>
      </c>
      <c r="I610" s="45"/>
      <c r="J610" s="42"/>
      <c r="K610" s="11" t="str">
        <f aca="false">IF(I610="","",I610*J610)</f>
        <v/>
      </c>
      <c r="L610" s="34" t="str">
        <f aca="false">IF(H610="","",IFERROR(INDEX(I_Master!$B$6:$B$85,MATCH(H610,I_Master!$A$6:$A$85,0)),"?"))</f>
        <v/>
      </c>
      <c r="M610" s="46" t="str">
        <f aca="false">IF(I610="","",IF(OR(A610&lt;I_Parameter!$C$5,A610&gt;I_Parameter!$C$6),0,IF(B610="Aktual",1,IF(AND(B610="Rencana",A610&gt;=I_Parameter!$C$4),1,0))))</f>
        <v/>
      </c>
    </row>
    <row r="611" customFormat="false" ht="15" hidden="false" customHeight="false" outlineLevel="0" collapsed="false">
      <c r="A611" s="37"/>
      <c r="B611" s="44"/>
      <c r="C611" s="44"/>
      <c r="D611" s="44"/>
      <c r="E611" s="44"/>
      <c r="F611" s="44"/>
      <c r="G611" s="44"/>
      <c r="H611" s="34" t="str">
        <f aca="false">IF(G611&lt;&gt;"",G611,IF(F611="","",IFERROR(INDEX(I_Item!$C$6:$C$255,MATCH(F611,I_Item!$A$6:$A$255,0)),"KODE BARU")))</f>
        <v/>
      </c>
      <c r="I611" s="45"/>
      <c r="J611" s="42"/>
      <c r="K611" s="11" t="str">
        <f aca="false">IF(I611="","",I611*J611)</f>
        <v/>
      </c>
      <c r="L611" s="34" t="str">
        <f aca="false">IF(H611="","",IFERROR(INDEX(I_Master!$B$6:$B$85,MATCH(H611,I_Master!$A$6:$A$85,0)),"?"))</f>
        <v/>
      </c>
      <c r="M611" s="46" t="str">
        <f aca="false">IF(I611="","",IF(OR(A611&lt;I_Parameter!$C$5,A611&gt;I_Parameter!$C$6),0,IF(B611="Aktual",1,IF(AND(B611="Rencana",A611&gt;=I_Parameter!$C$4),1,0))))</f>
        <v/>
      </c>
    </row>
    <row r="612" customFormat="false" ht="15" hidden="false" customHeight="false" outlineLevel="0" collapsed="false">
      <c r="A612" s="37"/>
      <c r="B612" s="44"/>
      <c r="C612" s="44"/>
      <c r="D612" s="44"/>
      <c r="E612" s="44"/>
      <c r="F612" s="44"/>
      <c r="G612" s="44"/>
      <c r="H612" s="34" t="str">
        <f aca="false">IF(G612&lt;&gt;"",G612,IF(F612="","",IFERROR(INDEX(I_Item!$C$6:$C$255,MATCH(F612,I_Item!$A$6:$A$255,0)),"KODE BARU")))</f>
        <v/>
      </c>
      <c r="I612" s="45"/>
      <c r="J612" s="42"/>
      <c r="K612" s="11" t="str">
        <f aca="false">IF(I612="","",I612*J612)</f>
        <v/>
      </c>
      <c r="L612" s="34" t="str">
        <f aca="false">IF(H612="","",IFERROR(INDEX(I_Master!$B$6:$B$85,MATCH(H612,I_Master!$A$6:$A$85,0)),"?"))</f>
        <v/>
      </c>
      <c r="M612" s="46" t="str">
        <f aca="false">IF(I612="","",IF(OR(A612&lt;I_Parameter!$C$5,A612&gt;I_Parameter!$C$6),0,IF(B612="Aktual",1,IF(AND(B612="Rencana",A612&gt;=I_Parameter!$C$4),1,0))))</f>
        <v/>
      </c>
    </row>
    <row r="613" customFormat="false" ht="15" hidden="false" customHeight="false" outlineLevel="0" collapsed="false">
      <c r="A613" s="37"/>
      <c r="B613" s="44"/>
      <c r="C613" s="44"/>
      <c r="D613" s="44"/>
      <c r="E613" s="44"/>
      <c r="F613" s="44"/>
      <c r="G613" s="44"/>
      <c r="H613" s="34" t="str">
        <f aca="false">IF(G613&lt;&gt;"",G613,IF(F613="","",IFERROR(INDEX(I_Item!$C$6:$C$255,MATCH(F613,I_Item!$A$6:$A$255,0)),"KODE BARU")))</f>
        <v/>
      </c>
      <c r="I613" s="45"/>
      <c r="J613" s="42"/>
      <c r="K613" s="11" t="str">
        <f aca="false">IF(I613="","",I613*J613)</f>
        <v/>
      </c>
      <c r="L613" s="34" t="str">
        <f aca="false">IF(H613="","",IFERROR(INDEX(I_Master!$B$6:$B$85,MATCH(H613,I_Master!$A$6:$A$85,0)),"?"))</f>
        <v/>
      </c>
      <c r="M613" s="46" t="str">
        <f aca="false">IF(I613="","",IF(OR(A613&lt;I_Parameter!$C$5,A613&gt;I_Parameter!$C$6),0,IF(B613="Aktual",1,IF(AND(B613="Rencana",A613&gt;=I_Parameter!$C$4),1,0))))</f>
        <v/>
      </c>
    </row>
    <row r="614" customFormat="false" ht="15" hidden="false" customHeight="false" outlineLevel="0" collapsed="false">
      <c r="A614" s="37"/>
      <c r="B614" s="44"/>
      <c r="C614" s="44"/>
      <c r="D614" s="44"/>
      <c r="E614" s="44"/>
      <c r="F614" s="44"/>
      <c r="G614" s="44"/>
      <c r="H614" s="34" t="str">
        <f aca="false">IF(G614&lt;&gt;"",G614,IF(F614="","",IFERROR(INDEX(I_Item!$C$6:$C$255,MATCH(F614,I_Item!$A$6:$A$255,0)),"KODE BARU")))</f>
        <v/>
      </c>
      <c r="I614" s="45"/>
      <c r="J614" s="42"/>
      <c r="K614" s="11" t="str">
        <f aca="false">IF(I614="","",I614*J614)</f>
        <v/>
      </c>
      <c r="L614" s="34" t="str">
        <f aca="false">IF(H614="","",IFERROR(INDEX(I_Master!$B$6:$B$85,MATCH(H614,I_Master!$A$6:$A$85,0)),"?"))</f>
        <v/>
      </c>
      <c r="M614" s="46" t="str">
        <f aca="false">IF(I614="","",IF(OR(A614&lt;I_Parameter!$C$5,A614&gt;I_Parameter!$C$6),0,IF(B614="Aktual",1,IF(AND(B614="Rencana",A614&gt;=I_Parameter!$C$4),1,0))))</f>
        <v/>
      </c>
    </row>
    <row r="615" customFormat="false" ht="15" hidden="false" customHeight="false" outlineLevel="0" collapsed="false">
      <c r="A615" s="37"/>
      <c r="B615" s="44"/>
      <c r="C615" s="44"/>
      <c r="D615" s="44"/>
      <c r="E615" s="44"/>
      <c r="F615" s="44"/>
      <c r="G615" s="44"/>
      <c r="H615" s="34" t="str">
        <f aca="false">IF(G615&lt;&gt;"",G615,IF(F615="","",IFERROR(INDEX(I_Item!$C$6:$C$255,MATCH(F615,I_Item!$A$6:$A$255,0)),"KODE BARU")))</f>
        <v/>
      </c>
      <c r="I615" s="45"/>
      <c r="J615" s="42"/>
      <c r="K615" s="11" t="str">
        <f aca="false">IF(I615="","",I615*J615)</f>
        <v/>
      </c>
      <c r="L615" s="34" t="str">
        <f aca="false">IF(H615="","",IFERROR(INDEX(I_Master!$B$6:$B$85,MATCH(H615,I_Master!$A$6:$A$85,0)),"?"))</f>
        <v/>
      </c>
      <c r="M615" s="46" t="str">
        <f aca="false">IF(I615="","",IF(OR(A615&lt;I_Parameter!$C$5,A615&gt;I_Parameter!$C$6),0,IF(B615="Aktual",1,IF(AND(B615="Rencana",A615&gt;=I_Parameter!$C$4),1,0))))</f>
        <v/>
      </c>
    </row>
    <row r="616" customFormat="false" ht="15" hidden="false" customHeight="false" outlineLevel="0" collapsed="false">
      <c r="A616" s="37"/>
      <c r="B616" s="44"/>
      <c r="C616" s="44"/>
      <c r="D616" s="44"/>
      <c r="E616" s="44"/>
      <c r="F616" s="44"/>
      <c r="G616" s="44"/>
      <c r="H616" s="34" t="str">
        <f aca="false">IF(G616&lt;&gt;"",G616,IF(F616="","",IFERROR(INDEX(I_Item!$C$6:$C$255,MATCH(F616,I_Item!$A$6:$A$255,0)),"KODE BARU")))</f>
        <v/>
      </c>
      <c r="I616" s="45"/>
      <c r="J616" s="42"/>
      <c r="K616" s="11" t="str">
        <f aca="false">IF(I616="","",I616*J616)</f>
        <v/>
      </c>
      <c r="L616" s="34" t="str">
        <f aca="false">IF(H616="","",IFERROR(INDEX(I_Master!$B$6:$B$85,MATCH(H616,I_Master!$A$6:$A$85,0)),"?"))</f>
        <v/>
      </c>
      <c r="M616" s="46" t="str">
        <f aca="false">IF(I616="","",IF(OR(A616&lt;I_Parameter!$C$5,A616&gt;I_Parameter!$C$6),0,IF(B616="Aktual",1,IF(AND(B616="Rencana",A616&gt;=I_Parameter!$C$4),1,0))))</f>
        <v/>
      </c>
    </row>
    <row r="617" customFormat="false" ht="15" hidden="false" customHeight="false" outlineLevel="0" collapsed="false">
      <c r="A617" s="37"/>
      <c r="B617" s="44"/>
      <c r="C617" s="44"/>
      <c r="D617" s="44"/>
      <c r="E617" s="44"/>
      <c r="F617" s="44"/>
      <c r="G617" s="44"/>
      <c r="H617" s="34" t="str">
        <f aca="false">IF(G617&lt;&gt;"",G617,IF(F617="","",IFERROR(INDEX(I_Item!$C$6:$C$255,MATCH(F617,I_Item!$A$6:$A$255,0)),"KODE BARU")))</f>
        <v/>
      </c>
      <c r="I617" s="45"/>
      <c r="J617" s="42"/>
      <c r="K617" s="11" t="str">
        <f aca="false">IF(I617="","",I617*J617)</f>
        <v/>
      </c>
      <c r="L617" s="34" t="str">
        <f aca="false">IF(H617="","",IFERROR(INDEX(I_Master!$B$6:$B$85,MATCH(H617,I_Master!$A$6:$A$85,0)),"?"))</f>
        <v/>
      </c>
      <c r="M617" s="46" t="str">
        <f aca="false">IF(I617="","",IF(OR(A617&lt;I_Parameter!$C$5,A617&gt;I_Parameter!$C$6),0,IF(B617="Aktual",1,IF(AND(B617="Rencana",A617&gt;=I_Parameter!$C$4),1,0))))</f>
        <v/>
      </c>
    </row>
    <row r="618" customFormat="false" ht="15" hidden="false" customHeight="false" outlineLevel="0" collapsed="false">
      <c r="A618" s="37"/>
      <c r="B618" s="44"/>
      <c r="C618" s="44"/>
      <c r="D618" s="44"/>
      <c r="E618" s="44"/>
      <c r="F618" s="44"/>
      <c r="G618" s="44"/>
      <c r="H618" s="34" t="str">
        <f aca="false">IF(G618&lt;&gt;"",G618,IF(F618="","",IFERROR(INDEX(I_Item!$C$6:$C$255,MATCH(F618,I_Item!$A$6:$A$255,0)),"KODE BARU")))</f>
        <v/>
      </c>
      <c r="I618" s="45"/>
      <c r="J618" s="42"/>
      <c r="K618" s="11" t="str">
        <f aca="false">IF(I618="","",I618*J618)</f>
        <v/>
      </c>
      <c r="L618" s="34" t="str">
        <f aca="false">IF(H618="","",IFERROR(INDEX(I_Master!$B$6:$B$85,MATCH(H618,I_Master!$A$6:$A$85,0)),"?"))</f>
        <v/>
      </c>
      <c r="M618" s="46" t="str">
        <f aca="false">IF(I618="","",IF(OR(A618&lt;I_Parameter!$C$5,A618&gt;I_Parameter!$C$6),0,IF(B618="Aktual",1,IF(AND(B618="Rencana",A618&gt;=I_Parameter!$C$4),1,0))))</f>
        <v/>
      </c>
    </row>
    <row r="619" customFormat="false" ht="15" hidden="false" customHeight="false" outlineLevel="0" collapsed="false">
      <c r="A619" s="37"/>
      <c r="B619" s="44"/>
      <c r="C619" s="44"/>
      <c r="D619" s="44"/>
      <c r="E619" s="44"/>
      <c r="F619" s="44"/>
      <c r="G619" s="44"/>
      <c r="H619" s="34" t="str">
        <f aca="false">IF(G619&lt;&gt;"",G619,IF(F619="","",IFERROR(INDEX(I_Item!$C$6:$C$255,MATCH(F619,I_Item!$A$6:$A$255,0)),"KODE BARU")))</f>
        <v/>
      </c>
      <c r="I619" s="45"/>
      <c r="J619" s="42"/>
      <c r="K619" s="11" t="str">
        <f aca="false">IF(I619="","",I619*J619)</f>
        <v/>
      </c>
      <c r="L619" s="34" t="str">
        <f aca="false">IF(H619="","",IFERROR(INDEX(I_Master!$B$6:$B$85,MATCH(H619,I_Master!$A$6:$A$85,0)),"?"))</f>
        <v/>
      </c>
      <c r="M619" s="46" t="str">
        <f aca="false">IF(I619="","",IF(OR(A619&lt;I_Parameter!$C$5,A619&gt;I_Parameter!$C$6),0,IF(B619="Aktual",1,IF(AND(B619="Rencana",A619&gt;=I_Parameter!$C$4),1,0))))</f>
        <v/>
      </c>
    </row>
    <row r="620" customFormat="false" ht="15" hidden="false" customHeight="false" outlineLevel="0" collapsed="false">
      <c r="A620" s="37"/>
      <c r="B620" s="44"/>
      <c r="C620" s="44"/>
      <c r="D620" s="44"/>
      <c r="E620" s="44"/>
      <c r="F620" s="44"/>
      <c r="G620" s="44"/>
      <c r="H620" s="34" t="str">
        <f aca="false">IF(G620&lt;&gt;"",G620,IF(F620="","",IFERROR(INDEX(I_Item!$C$6:$C$255,MATCH(F620,I_Item!$A$6:$A$255,0)),"KODE BARU")))</f>
        <v/>
      </c>
      <c r="I620" s="45"/>
      <c r="J620" s="42"/>
      <c r="K620" s="11" t="str">
        <f aca="false">IF(I620="","",I620*J620)</f>
        <v/>
      </c>
      <c r="L620" s="34" t="str">
        <f aca="false">IF(H620="","",IFERROR(INDEX(I_Master!$B$6:$B$85,MATCH(H620,I_Master!$A$6:$A$85,0)),"?"))</f>
        <v/>
      </c>
      <c r="M620" s="46" t="str">
        <f aca="false">IF(I620="","",IF(OR(A620&lt;I_Parameter!$C$5,A620&gt;I_Parameter!$C$6),0,IF(B620="Aktual",1,IF(AND(B620="Rencana",A620&gt;=I_Parameter!$C$4),1,0))))</f>
        <v/>
      </c>
    </row>
    <row r="621" customFormat="false" ht="15" hidden="false" customHeight="false" outlineLevel="0" collapsed="false">
      <c r="A621" s="37"/>
      <c r="B621" s="44"/>
      <c r="C621" s="44"/>
      <c r="D621" s="44"/>
      <c r="E621" s="44"/>
      <c r="F621" s="44"/>
      <c r="G621" s="44"/>
      <c r="H621" s="34" t="str">
        <f aca="false">IF(G621&lt;&gt;"",G621,IF(F621="","",IFERROR(INDEX(I_Item!$C$6:$C$255,MATCH(F621,I_Item!$A$6:$A$255,0)),"KODE BARU")))</f>
        <v/>
      </c>
      <c r="I621" s="45"/>
      <c r="J621" s="42"/>
      <c r="K621" s="11" t="str">
        <f aca="false">IF(I621="","",I621*J621)</f>
        <v/>
      </c>
      <c r="L621" s="34" t="str">
        <f aca="false">IF(H621="","",IFERROR(INDEX(I_Master!$B$6:$B$85,MATCH(H621,I_Master!$A$6:$A$85,0)),"?"))</f>
        <v/>
      </c>
      <c r="M621" s="46" t="str">
        <f aca="false">IF(I621="","",IF(OR(A621&lt;I_Parameter!$C$5,A621&gt;I_Parameter!$C$6),0,IF(B621="Aktual",1,IF(AND(B621="Rencana",A621&gt;=I_Parameter!$C$4),1,0))))</f>
        <v/>
      </c>
    </row>
    <row r="622" customFormat="false" ht="15" hidden="false" customHeight="false" outlineLevel="0" collapsed="false">
      <c r="A622" s="37"/>
      <c r="B622" s="44"/>
      <c r="C622" s="44"/>
      <c r="D622" s="44"/>
      <c r="E622" s="44"/>
      <c r="F622" s="44"/>
      <c r="G622" s="44"/>
      <c r="H622" s="34" t="str">
        <f aca="false">IF(G622&lt;&gt;"",G622,IF(F622="","",IFERROR(INDEX(I_Item!$C$6:$C$255,MATCH(F622,I_Item!$A$6:$A$255,0)),"KODE BARU")))</f>
        <v/>
      </c>
      <c r="I622" s="45"/>
      <c r="J622" s="42"/>
      <c r="K622" s="11" t="str">
        <f aca="false">IF(I622="","",I622*J622)</f>
        <v/>
      </c>
      <c r="L622" s="34" t="str">
        <f aca="false">IF(H622="","",IFERROR(INDEX(I_Master!$B$6:$B$85,MATCH(H622,I_Master!$A$6:$A$85,0)),"?"))</f>
        <v/>
      </c>
      <c r="M622" s="46" t="str">
        <f aca="false">IF(I622="","",IF(OR(A622&lt;I_Parameter!$C$5,A622&gt;I_Parameter!$C$6),0,IF(B622="Aktual",1,IF(AND(B622="Rencana",A622&gt;=I_Parameter!$C$4),1,0))))</f>
        <v/>
      </c>
    </row>
    <row r="623" customFormat="false" ht="15" hidden="false" customHeight="false" outlineLevel="0" collapsed="false">
      <c r="A623" s="37"/>
      <c r="B623" s="44"/>
      <c r="C623" s="44"/>
      <c r="D623" s="44"/>
      <c r="E623" s="44"/>
      <c r="F623" s="44"/>
      <c r="G623" s="44"/>
      <c r="H623" s="34" t="str">
        <f aca="false">IF(G623&lt;&gt;"",G623,IF(F623="","",IFERROR(INDEX(I_Item!$C$6:$C$255,MATCH(F623,I_Item!$A$6:$A$255,0)),"KODE BARU")))</f>
        <v/>
      </c>
      <c r="I623" s="45"/>
      <c r="J623" s="42"/>
      <c r="K623" s="11" t="str">
        <f aca="false">IF(I623="","",I623*J623)</f>
        <v/>
      </c>
      <c r="L623" s="34" t="str">
        <f aca="false">IF(H623="","",IFERROR(INDEX(I_Master!$B$6:$B$85,MATCH(H623,I_Master!$A$6:$A$85,0)),"?"))</f>
        <v/>
      </c>
      <c r="M623" s="46" t="str">
        <f aca="false">IF(I623="","",IF(OR(A623&lt;I_Parameter!$C$5,A623&gt;I_Parameter!$C$6),0,IF(B623="Aktual",1,IF(AND(B623="Rencana",A623&gt;=I_Parameter!$C$4),1,0))))</f>
        <v/>
      </c>
    </row>
    <row r="624" customFormat="false" ht="15" hidden="false" customHeight="false" outlineLevel="0" collapsed="false">
      <c r="A624" s="37"/>
      <c r="B624" s="44"/>
      <c r="C624" s="44"/>
      <c r="D624" s="44"/>
      <c r="E624" s="44"/>
      <c r="F624" s="44"/>
      <c r="G624" s="44"/>
      <c r="H624" s="34" t="str">
        <f aca="false">IF(G624&lt;&gt;"",G624,IF(F624="","",IFERROR(INDEX(I_Item!$C$6:$C$255,MATCH(F624,I_Item!$A$6:$A$255,0)),"KODE BARU")))</f>
        <v/>
      </c>
      <c r="I624" s="45"/>
      <c r="J624" s="42"/>
      <c r="K624" s="11" t="str">
        <f aca="false">IF(I624="","",I624*J624)</f>
        <v/>
      </c>
      <c r="L624" s="34" t="str">
        <f aca="false">IF(H624="","",IFERROR(INDEX(I_Master!$B$6:$B$85,MATCH(H624,I_Master!$A$6:$A$85,0)),"?"))</f>
        <v/>
      </c>
      <c r="M624" s="46" t="str">
        <f aca="false">IF(I624="","",IF(OR(A624&lt;I_Parameter!$C$5,A624&gt;I_Parameter!$C$6),0,IF(B624="Aktual",1,IF(AND(B624="Rencana",A624&gt;=I_Parameter!$C$4),1,0))))</f>
        <v/>
      </c>
    </row>
    <row r="625" customFormat="false" ht="15" hidden="false" customHeight="false" outlineLevel="0" collapsed="false">
      <c r="A625" s="37"/>
      <c r="B625" s="44"/>
      <c r="C625" s="44"/>
      <c r="D625" s="44"/>
      <c r="E625" s="44"/>
      <c r="F625" s="44"/>
      <c r="G625" s="44"/>
      <c r="H625" s="34" t="str">
        <f aca="false">IF(G625&lt;&gt;"",G625,IF(F625="","",IFERROR(INDEX(I_Item!$C$6:$C$255,MATCH(F625,I_Item!$A$6:$A$255,0)),"KODE BARU")))</f>
        <v/>
      </c>
      <c r="I625" s="45"/>
      <c r="J625" s="42"/>
      <c r="K625" s="11" t="str">
        <f aca="false">IF(I625="","",I625*J625)</f>
        <v/>
      </c>
      <c r="L625" s="34" t="str">
        <f aca="false">IF(H625="","",IFERROR(INDEX(I_Master!$B$6:$B$85,MATCH(H625,I_Master!$A$6:$A$85,0)),"?"))</f>
        <v/>
      </c>
      <c r="M625" s="46" t="str">
        <f aca="false">IF(I625="","",IF(OR(A625&lt;I_Parameter!$C$5,A625&gt;I_Parameter!$C$6),0,IF(B625="Aktual",1,IF(AND(B625="Rencana",A625&gt;=I_Parameter!$C$4),1,0))))</f>
        <v/>
      </c>
    </row>
    <row r="626" customFormat="false" ht="15" hidden="false" customHeight="false" outlineLevel="0" collapsed="false">
      <c r="A626" s="37"/>
      <c r="B626" s="44"/>
      <c r="C626" s="44"/>
      <c r="D626" s="44"/>
      <c r="E626" s="44"/>
      <c r="F626" s="44"/>
      <c r="G626" s="44"/>
      <c r="H626" s="34" t="str">
        <f aca="false">IF(G626&lt;&gt;"",G626,IF(F626="","",IFERROR(INDEX(I_Item!$C$6:$C$255,MATCH(F626,I_Item!$A$6:$A$255,0)),"KODE BARU")))</f>
        <v/>
      </c>
      <c r="I626" s="45"/>
      <c r="J626" s="42"/>
      <c r="K626" s="11" t="str">
        <f aca="false">IF(I626="","",I626*J626)</f>
        <v/>
      </c>
      <c r="L626" s="34" t="str">
        <f aca="false">IF(H626="","",IFERROR(INDEX(I_Master!$B$6:$B$85,MATCH(H626,I_Master!$A$6:$A$85,0)),"?"))</f>
        <v/>
      </c>
      <c r="M626" s="46" t="str">
        <f aca="false">IF(I626="","",IF(OR(A626&lt;I_Parameter!$C$5,A626&gt;I_Parameter!$C$6),0,IF(B626="Aktual",1,IF(AND(B626="Rencana",A626&gt;=I_Parameter!$C$4),1,0))))</f>
        <v/>
      </c>
    </row>
    <row r="627" customFormat="false" ht="15" hidden="false" customHeight="false" outlineLevel="0" collapsed="false">
      <c r="A627" s="37"/>
      <c r="B627" s="44"/>
      <c r="C627" s="44"/>
      <c r="D627" s="44"/>
      <c r="E627" s="44"/>
      <c r="F627" s="44"/>
      <c r="G627" s="44"/>
      <c r="H627" s="34" t="str">
        <f aca="false">IF(G627&lt;&gt;"",G627,IF(F627="","",IFERROR(INDEX(I_Item!$C$6:$C$255,MATCH(F627,I_Item!$A$6:$A$255,0)),"KODE BARU")))</f>
        <v/>
      </c>
      <c r="I627" s="45"/>
      <c r="J627" s="42"/>
      <c r="K627" s="11" t="str">
        <f aca="false">IF(I627="","",I627*J627)</f>
        <v/>
      </c>
      <c r="L627" s="34" t="str">
        <f aca="false">IF(H627="","",IFERROR(INDEX(I_Master!$B$6:$B$85,MATCH(H627,I_Master!$A$6:$A$85,0)),"?"))</f>
        <v/>
      </c>
      <c r="M627" s="46" t="str">
        <f aca="false">IF(I627="","",IF(OR(A627&lt;I_Parameter!$C$5,A627&gt;I_Parameter!$C$6),0,IF(B627="Aktual",1,IF(AND(B627="Rencana",A627&gt;=I_Parameter!$C$4),1,0))))</f>
        <v/>
      </c>
    </row>
    <row r="628" customFormat="false" ht="15" hidden="false" customHeight="false" outlineLevel="0" collapsed="false">
      <c r="A628" s="37"/>
      <c r="B628" s="44"/>
      <c r="C628" s="44"/>
      <c r="D628" s="44"/>
      <c r="E628" s="44"/>
      <c r="F628" s="44"/>
      <c r="G628" s="44"/>
      <c r="H628" s="34" t="str">
        <f aca="false">IF(G628&lt;&gt;"",G628,IF(F628="","",IFERROR(INDEX(I_Item!$C$6:$C$255,MATCH(F628,I_Item!$A$6:$A$255,0)),"KODE BARU")))</f>
        <v/>
      </c>
      <c r="I628" s="45"/>
      <c r="J628" s="42"/>
      <c r="K628" s="11" t="str">
        <f aca="false">IF(I628="","",I628*J628)</f>
        <v/>
      </c>
      <c r="L628" s="34" t="str">
        <f aca="false">IF(H628="","",IFERROR(INDEX(I_Master!$B$6:$B$85,MATCH(H628,I_Master!$A$6:$A$85,0)),"?"))</f>
        <v/>
      </c>
      <c r="M628" s="46" t="str">
        <f aca="false">IF(I628="","",IF(OR(A628&lt;I_Parameter!$C$5,A628&gt;I_Parameter!$C$6),0,IF(B628="Aktual",1,IF(AND(B628="Rencana",A628&gt;=I_Parameter!$C$4),1,0))))</f>
        <v/>
      </c>
    </row>
    <row r="629" customFormat="false" ht="15" hidden="false" customHeight="false" outlineLevel="0" collapsed="false">
      <c r="A629" s="37"/>
      <c r="B629" s="44"/>
      <c r="C629" s="44"/>
      <c r="D629" s="44"/>
      <c r="E629" s="44"/>
      <c r="F629" s="44"/>
      <c r="G629" s="44"/>
      <c r="H629" s="34" t="str">
        <f aca="false">IF(G629&lt;&gt;"",G629,IF(F629="","",IFERROR(INDEX(I_Item!$C$6:$C$255,MATCH(F629,I_Item!$A$6:$A$255,0)),"KODE BARU")))</f>
        <v/>
      </c>
      <c r="I629" s="45"/>
      <c r="J629" s="42"/>
      <c r="K629" s="11" t="str">
        <f aca="false">IF(I629="","",I629*J629)</f>
        <v/>
      </c>
      <c r="L629" s="34" t="str">
        <f aca="false">IF(H629="","",IFERROR(INDEX(I_Master!$B$6:$B$85,MATCH(H629,I_Master!$A$6:$A$85,0)),"?"))</f>
        <v/>
      </c>
      <c r="M629" s="46" t="str">
        <f aca="false">IF(I629="","",IF(OR(A629&lt;I_Parameter!$C$5,A629&gt;I_Parameter!$C$6),0,IF(B629="Aktual",1,IF(AND(B629="Rencana",A629&gt;=I_Parameter!$C$4),1,0))))</f>
        <v/>
      </c>
    </row>
    <row r="630" customFormat="false" ht="15" hidden="false" customHeight="false" outlineLevel="0" collapsed="false">
      <c r="A630" s="37"/>
      <c r="B630" s="44"/>
      <c r="C630" s="44"/>
      <c r="D630" s="44"/>
      <c r="E630" s="44"/>
      <c r="F630" s="44"/>
      <c r="G630" s="44"/>
      <c r="H630" s="34" t="str">
        <f aca="false">IF(G630&lt;&gt;"",G630,IF(F630="","",IFERROR(INDEX(I_Item!$C$6:$C$255,MATCH(F630,I_Item!$A$6:$A$255,0)),"KODE BARU")))</f>
        <v/>
      </c>
      <c r="I630" s="45"/>
      <c r="J630" s="42"/>
      <c r="K630" s="11" t="str">
        <f aca="false">IF(I630="","",I630*J630)</f>
        <v/>
      </c>
      <c r="L630" s="34" t="str">
        <f aca="false">IF(H630="","",IFERROR(INDEX(I_Master!$B$6:$B$85,MATCH(H630,I_Master!$A$6:$A$85,0)),"?"))</f>
        <v/>
      </c>
      <c r="M630" s="46" t="str">
        <f aca="false">IF(I630="","",IF(OR(A630&lt;I_Parameter!$C$5,A630&gt;I_Parameter!$C$6),0,IF(B630="Aktual",1,IF(AND(B630="Rencana",A630&gt;=I_Parameter!$C$4),1,0))))</f>
        <v/>
      </c>
    </row>
    <row r="631" customFormat="false" ht="15" hidden="false" customHeight="false" outlineLevel="0" collapsed="false">
      <c r="A631" s="37"/>
      <c r="B631" s="44"/>
      <c r="C631" s="44"/>
      <c r="D631" s="44"/>
      <c r="E631" s="44"/>
      <c r="F631" s="44"/>
      <c r="G631" s="44"/>
      <c r="H631" s="34" t="str">
        <f aca="false">IF(G631&lt;&gt;"",G631,IF(F631="","",IFERROR(INDEX(I_Item!$C$6:$C$255,MATCH(F631,I_Item!$A$6:$A$255,0)),"KODE BARU")))</f>
        <v/>
      </c>
      <c r="I631" s="45"/>
      <c r="J631" s="42"/>
      <c r="K631" s="11" t="str">
        <f aca="false">IF(I631="","",I631*J631)</f>
        <v/>
      </c>
      <c r="L631" s="34" t="str">
        <f aca="false">IF(H631="","",IFERROR(INDEX(I_Master!$B$6:$B$85,MATCH(H631,I_Master!$A$6:$A$85,0)),"?"))</f>
        <v/>
      </c>
      <c r="M631" s="46" t="str">
        <f aca="false">IF(I631="","",IF(OR(A631&lt;I_Parameter!$C$5,A631&gt;I_Parameter!$C$6),0,IF(B631="Aktual",1,IF(AND(B631="Rencana",A631&gt;=I_Parameter!$C$4),1,0))))</f>
        <v/>
      </c>
    </row>
    <row r="632" customFormat="false" ht="15" hidden="false" customHeight="false" outlineLevel="0" collapsed="false">
      <c r="A632" s="37"/>
      <c r="B632" s="44"/>
      <c r="C632" s="44"/>
      <c r="D632" s="44"/>
      <c r="E632" s="44"/>
      <c r="F632" s="44"/>
      <c r="G632" s="44"/>
      <c r="H632" s="34" t="str">
        <f aca="false">IF(G632&lt;&gt;"",G632,IF(F632="","",IFERROR(INDEX(I_Item!$C$6:$C$255,MATCH(F632,I_Item!$A$6:$A$255,0)),"KODE BARU")))</f>
        <v/>
      </c>
      <c r="I632" s="45"/>
      <c r="J632" s="42"/>
      <c r="K632" s="11" t="str">
        <f aca="false">IF(I632="","",I632*J632)</f>
        <v/>
      </c>
      <c r="L632" s="34" t="str">
        <f aca="false">IF(H632="","",IFERROR(INDEX(I_Master!$B$6:$B$85,MATCH(H632,I_Master!$A$6:$A$85,0)),"?"))</f>
        <v/>
      </c>
      <c r="M632" s="46" t="str">
        <f aca="false">IF(I632="","",IF(OR(A632&lt;I_Parameter!$C$5,A632&gt;I_Parameter!$C$6),0,IF(B632="Aktual",1,IF(AND(B632="Rencana",A632&gt;=I_Parameter!$C$4),1,0))))</f>
        <v/>
      </c>
    </row>
    <row r="633" customFormat="false" ht="15" hidden="false" customHeight="false" outlineLevel="0" collapsed="false">
      <c r="A633" s="37"/>
      <c r="B633" s="44"/>
      <c r="C633" s="44"/>
      <c r="D633" s="44"/>
      <c r="E633" s="44"/>
      <c r="F633" s="44"/>
      <c r="G633" s="44"/>
      <c r="H633" s="34" t="str">
        <f aca="false">IF(G633&lt;&gt;"",G633,IF(F633="","",IFERROR(INDEX(I_Item!$C$6:$C$255,MATCH(F633,I_Item!$A$6:$A$255,0)),"KODE BARU")))</f>
        <v/>
      </c>
      <c r="I633" s="45"/>
      <c r="J633" s="42"/>
      <c r="K633" s="11" t="str">
        <f aca="false">IF(I633="","",I633*J633)</f>
        <v/>
      </c>
      <c r="L633" s="34" t="str">
        <f aca="false">IF(H633="","",IFERROR(INDEX(I_Master!$B$6:$B$85,MATCH(H633,I_Master!$A$6:$A$85,0)),"?"))</f>
        <v/>
      </c>
      <c r="M633" s="46" t="str">
        <f aca="false">IF(I633="","",IF(OR(A633&lt;I_Parameter!$C$5,A633&gt;I_Parameter!$C$6),0,IF(B633="Aktual",1,IF(AND(B633="Rencana",A633&gt;=I_Parameter!$C$4),1,0))))</f>
        <v/>
      </c>
    </row>
    <row r="634" customFormat="false" ht="15" hidden="false" customHeight="false" outlineLevel="0" collapsed="false">
      <c r="A634" s="37"/>
      <c r="B634" s="44"/>
      <c r="C634" s="44"/>
      <c r="D634" s="44"/>
      <c r="E634" s="44"/>
      <c r="F634" s="44"/>
      <c r="G634" s="44"/>
      <c r="H634" s="34" t="str">
        <f aca="false">IF(G634&lt;&gt;"",G634,IF(F634="","",IFERROR(INDEX(I_Item!$C$6:$C$255,MATCH(F634,I_Item!$A$6:$A$255,0)),"KODE BARU")))</f>
        <v/>
      </c>
      <c r="I634" s="45"/>
      <c r="J634" s="42"/>
      <c r="K634" s="11" t="str">
        <f aca="false">IF(I634="","",I634*J634)</f>
        <v/>
      </c>
      <c r="L634" s="34" t="str">
        <f aca="false">IF(H634="","",IFERROR(INDEX(I_Master!$B$6:$B$85,MATCH(H634,I_Master!$A$6:$A$85,0)),"?"))</f>
        <v/>
      </c>
      <c r="M634" s="46" t="str">
        <f aca="false">IF(I634="","",IF(OR(A634&lt;I_Parameter!$C$5,A634&gt;I_Parameter!$C$6),0,IF(B634="Aktual",1,IF(AND(B634="Rencana",A634&gt;=I_Parameter!$C$4),1,0))))</f>
        <v/>
      </c>
    </row>
    <row r="635" customFormat="false" ht="15" hidden="false" customHeight="false" outlineLevel="0" collapsed="false">
      <c r="A635" s="37"/>
      <c r="B635" s="44"/>
      <c r="C635" s="44"/>
      <c r="D635" s="44"/>
      <c r="E635" s="44"/>
      <c r="F635" s="44"/>
      <c r="G635" s="44"/>
      <c r="H635" s="34" t="str">
        <f aca="false">IF(G635&lt;&gt;"",G635,IF(F635="","",IFERROR(INDEX(I_Item!$C$6:$C$255,MATCH(F635,I_Item!$A$6:$A$255,0)),"KODE BARU")))</f>
        <v/>
      </c>
      <c r="I635" s="45"/>
      <c r="J635" s="42"/>
      <c r="K635" s="11" t="str">
        <f aca="false">IF(I635="","",I635*J635)</f>
        <v/>
      </c>
      <c r="L635" s="34" t="str">
        <f aca="false">IF(H635="","",IFERROR(INDEX(I_Master!$B$6:$B$85,MATCH(H635,I_Master!$A$6:$A$85,0)),"?"))</f>
        <v/>
      </c>
      <c r="M635" s="46" t="str">
        <f aca="false">IF(I635="","",IF(OR(A635&lt;I_Parameter!$C$5,A635&gt;I_Parameter!$C$6),0,IF(B635="Aktual",1,IF(AND(B635="Rencana",A635&gt;=I_Parameter!$C$4),1,0))))</f>
        <v/>
      </c>
    </row>
    <row r="636" customFormat="false" ht="15" hidden="false" customHeight="false" outlineLevel="0" collapsed="false">
      <c r="A636" s="37"/>
      <c r="B636" s="44"/>
      <c r="C636" s="44"/>
      <c r="D636" s="44"/>
      <c r="E636" s="44"/>
      <c r="F636" s="44"/>
      <c r="G636" s="44"/>
      <c r="H636" s="34" t="str">
        <f aca="false">IF(G636&lt;&gt;"",G636,IF(F636="","",IFERROR(INDEX(I_Item!$C$6:$C$255,MATCH(F636,I_Item!$A$6:$A$255,0)),"KODE BARU")))</f>
        <v/>
      </c>
      <c r="I636" s="45"/>
      <c r="J636" s="42"/>
      <c r="K636" s="11" t="str">
        <f aca="false">IF(I636="","",I636*J636)</f>
        <v/>
      </c>
      <c r="L636" s="34" t="str">
        <f aca="false">IF(H636="","",IFERROR(INDEX(I_Master!$B$6:$B$85,MATCH(H636,I_Master!$A$6:$A$85,0)),"?"))</f>
        <v/>
      </c>
      <c r="M636" s="46" t="str">
        <f aca="false">IF(I636="","",IF(OR(A636&lt;I_Parameter!$C$5,A636&gt;I_Parameter!$C$6),0,IF(B636="Aktual",1,IF(AND(B636="Rencana",A636&gt;=I_Parameter!$C$4),1,0))))</f>
        <v/>
      </c>
    </row>
    <row r="637" customFormat="false" ht="15" hidden="false" customHeight="false" outlineLevel="0" collapsed="false">
      <c r="A637" s="37"/>
      <c r="B637" s="44"/>
      <c r="C637" s="44"/>
      <c r="D637" s="44"/>
      <c r="E637" s="44"/>
      <c r="F637" s="44"/>
      <c r="G637" s="44"/>
      <c r="H637" s="34" t="str">
        <f aca="false">IF(G637&lt;&gt;"",G637,IF(F637="","",IFERROR(INDEX(I_Item!$C$6:$C$255,MATCH(F637,I_Item!$A$6:$A$255,0)),"KODE BARU")))</f>
        <v/>
      </c>
      <c r="I637" s="45"/>
      <c r="J637" s="42"/>
      <c r="K637" s="11" t="str">
        <f aca="false">IF(I637="","",I637*J637)</f>
        <v/>
      </c>
      <c r="L637" s="34" t="str">
        <f aca="false">IF(H637="","",IFERROR(INDEX(I_Master!$B$6:$B$85,MATCH(H637,I_Master!$A$6:$A$85,0)),"?"))</f>
        <v/>
      </c>
      <c r="M637" s="46" t="str">
        <f aca="false">IF(I637="","",IF(OR(A637&lt;I_Parameter!$C$5,A637&gt;I_Parameter!$C$6),0,IF(B637="Aktual",1,IF(AND(B637="Rencana",A637&gt;=I_Parameter!$C$4),1,0))))</f>
        <v/>
      </c>
    </row>
    <row r="638" customFormat="false" ht="15" hidden="false" customHeight="false" outlineLevel="0" collapsed="false">
      <c r="A638" s="37"/>
      <c r="B638" s="44"/>
      <c r="C638" s="44"/>
      <c r="D638" s="44"/>
      <c r="E638" s="44"/>
      <c r="F638" s="44"/>
      <c r="G638" s="44"/>
      <c r="H638" s="34" t="str">
        <f aca="false">IF(G638&lt;&gt;"",G638,IF(F638="","",IFERROR(INDEX(I_Item!$C$6:$C$255,MATCH(F638,I_Item!$A$6:$A$255,0)),"KODE BARU")))</f>
        <v/>
      </c>
      <c r="I638" s="45"/>
      <c r="J638" s="42"/>
      <c r="K638" s="11" t="str">
        <f aca="false">IF(I638="","",I638*J638)</f>
        <v/>
      </c>
      <c r="L638" s="34" t="str">
        <f aca="false">IF(H638="","",IFERROR(INDEX(I_Master!$B$6:$B$85,MATCH(H638,I_Master!$A$6:$A$85,0)),"?"))</f>
        <v/>
      </c>
      <c r="M638" s="46" t="str">
        <f aca="false">IF(I638="","",IF(OR(A638&lt;I_Parameter!$C$5,A638&gt;I_Parameter!$C$6),0,IF(B638="Aktual",1,IF(AND(B638="Rencana",A638&gt;=I_Parameter!$C$4),1,0))))</f>
        <v/>
      </c>
    </row>
    <row r="639" customFormat="false" ht="15" hidden="false" customHeight="false" outlineLevel="0" collapsed="false">
      <c r="A639" s="37"/>
      <c r="B639" s="44"/>
      <c r="C639" s="44"/>
      <c r="D639" s="44"/>
      <c r="E639" s="44"/>
      <c r="F639" s="44"/>
      <c r="G639" s="44"/>
      <c r="H639" s="34" t="str">
        <f aca="false">IF(G639&lt;&gt;"",G639,IF(F639="","",IFERROR(INDEX(I_Item!$C$6:$C$255,MATCH(F639,I_Item!$A$6:$A$255,0)),"KODE BARU")))</f>
        <v/>
      </c>
      <c r="I639" s="45"/>
      <c r="J639" s="42"/>
      <c r="K639" s="11" t="str">
        <f aca="false">IF(I639="","",I639*J639)</f>
        <v/>
      </c>
      <c r="L639" s="34" t="str">
        <f aca="false">IF(H639="","",IFERROR(INDEX(I_Master!$B$6:$B$85,MATCH(H639,I_Master!$A$6:$A$85,0)),"?"))</f>
        <v/>
      </c>
      <c r="M639" s="46" t="str">
        <f aca="false">IF(I639="","",IF(OR(A639&lt;I_Parameter!$C$5,A639&gt;I_Parameter!$C$6),0,IF(B639="Aktual",1,IF(AND(B639="Rencana",A639&gt;=I_Parameter!$C$4),1,0))))</f>
        <v/>
      </c>
    </row>
    <row r="640" customFormat="false" ht="15" hidden="false" customHeight="false" outlineLevel="0" collapsed="false">
      <c r="A640" s="37"/>
      <c r="B640" s="44"/>
      <c r="C640" s="44"/>
      <c r="D640" s="44"/>
      <c r="E640" s="44"/>
      <c r="F640" s="44"/>
      <c r="G640" s="44"/>
      <c r="H640" s="34" t="str">
        <f aca="false">IF(G640&lt;&gt;"",G640,IF(F640="","",IFERROR(INDEX(I_Item!$C$6:$C$255,MATCH(F640,I_Item!$A$6:$A$255,0)),"KODE BARU")))</f>
        <v/>
      </c>
      <c r="I640" s="45"/>
      <c r="J640" s="42"/>
      <c r="K640" s="11" t="str">
        <f aca="false">IF(I640="","",I640*J640)</f>
        <v/>
      </c>
      <c r="L640" s="34" t="str">
        <f aca="false">IF(H640="","",IFERROR(INDEX(I_Master!$B$6:$B$85,MATCH(H640,I_Master!$A$6:$A$85,0)),"?"))</f>
        <v/>
      </c>
      <c r="M640" s="46" t="str">
        <f aca="false">IF(I640="","",IF(OR(A640&lt;I_Parameter!$C$5,A640&gt;I_Parameter!$C$6),0,IF(B640="Aktual",1,IF(AND(B640="Rencana",A640&gt;=I_Parameter!$C$4),1,0))))</f>
        <v/>
      </c>
    </row>
    <row r="641" customFormat="false" ht="15" hidden="false" customHeight="false" outlineLevel="0" collapsed="false">
      <c r="A641" s="37"/>
      <c r="B641" s="44"/>
      <c r="C641" s="44"/>
      <c r="D641" s="44"/>
      <c r="E641" s="44"/>
      <c r="F641" s="44"/>
      <c r="G641" s="44"/>
      <c r="H641" s="34" t="str">
        <f aca="false">IF(G641&lt;&gt;"",G641,IF(F641="","",IFERROR(INDEX(I_Item!$C$6:$C$255,MATCH(F641,I_Item!$A$6:$A$255,0)),"KODE BARU")))</f>
        <v/>
      </c>
      <c r="I641" s="45"/>
      <c r="J641" s="42"/>
      <c r="K641" s="11" t="str">
        <f aca="false">IF(I641="","",I641*J641)</f>
        <v/>
      </c>
      <c r="L641" s="34" t="str">
        <f aca="false">IF(H641="","",IFERROR(INDEX(I_Master!$B$6:$B$85,MATCH(H641,I_Master!$A$6:$A$85,0)),"?"))</f>
        <v/>
      </c>
      <c r="M641" s="46" t="str">
        <f aca="false">IF(I641="","",IF(OR(A641&lt;I_Parameter!$C$5,A641&gt;I_Parameter!$C$6),0,IF(B641="Aktual",1,IF(AND(B641="Rencana",A641&gt;=I_Parameter!$C$4),1,0))))</f>
        <v/>
      </c>
    </row>
    <row r="642" customFormat="false" ht="15" hidden="false" customHeight="false" outlineLevel="0" collapsed="false">
      <c r="A642" s="37"/>
      <c r="B642" s="44"/>
      <c r="C642" s="44"/>
      <c r="D642" s="44"/>
      <c r="E642" s="44"/>
      <c r="F642" s="44"/>
      <c r="G642" s="44"/>
      <c r="H642" s="34" t="str">
        <f aca="false">IF(G642&lt;&gt;"",G642,IF(F642="","",IFERROR(INDEX(I_Item!$C$6:$C$255,MATCH(F642,I_Item!$A$6:$A$255,0)),"KODE BARU")))</f>
        <v/>
      </c>
      <c r="I642" s="45"/>
      <c r="J642" s="42"/>
      <c r="K642" s="11" t="str">
        <f aca="false">IF(I642="","",I642*J642)</f>
        <v/>
      </c>
      <c r="L642" s="34" t="str">
        <f aca="false">IF(H642="","",IFERROR(INDEX(I_Master!$B$6:$B$85,MATCH(H642,I_Master!$A$6:$A$85,0)),"?"))</f>
        <v/>
      </c>
      <c r="M642" s="46" t="str">
        <f aca="false">IF(I642="","",IF(OR(A642&lt;I_Parameter!$C$5,A642&gt;I_Parameter!$C$6),0,IF(B642="Aktual",1,IF(AND(B642="Rencana",A642&gt;=I_Parameter!$C$4),1,0))))</f>
        <v/>
      </c>
    </row>
    <row r="643" customFormat="false" ht="15" hidden="false" customHeight="false" outlineLevel="0" collapsed="false">
      <c r="A643" s="37"/>
      <c r="B643" s="44"/>
      <c r="C643" s="44"/>
      <c r="D643" s="44"/>
      <c r="E643" s="44"/>
      <c r="F643" s="44"/>
      <c r="G643" s="44"/>
      <c r="H643" s="34" t="str">
        <f aca="false">IF(G643&lt;&gt;"",G643,IF(F643="","",IFERROR(INDEX(I_Item!$C$6:$C$255,MATCH(F643,I_Item!$A$6:$A$255,0)),"KODE BARU")))</f>
        <v/>
      </c>
      <c r="I643" s="45"/>
      <c r="J643" s="42"/>
      <c r="K643" s="11" t="str">
        <f aca="false">IF(I643="","",I643*J643)</f>
        <v/>
      </c>
      <c r="L643" s="34" t="str">
        <f aca="false">IF(H643="","",IFERROR(INDEX(I_Master!$B$6:$B$85,MATCH(H643,I_Master!$A$6:$A$85,0)),"?"))</f>
        <v/>
      </c>
      <c r="M643" s="46" t="str">
        <f aca="false">IF(I643="","",IF(OR(A643&lt;I_Parameter!$C$5,A643&gt;I_Parameter!$C$6),0,IF(B643="Aktual",1,IF(AND(B643="Rencana",A643&gt;=I_Parameter!$C$4),1,0))))</f>
        <v/>
      </c>
    </row>
    <row r="644" customFormat="false" ht="15" hidden="false" customHeight="false" outlineLevel="0" collapsed="false">
      <c r="A644" s="37"/>
      <c r="B644" s="44"/>
      <c r="C644" s="44"/>
      <c r="D644" s="44"/>
      <c r="E644" s="44"/>
      <c r="F644" s="44"/>
      <c r="G644" s="44"/>
      <c r="H644" s="34" t="str">
        <f aca="false">IF(G644&lt;&gt;"",G644,IF(F644="","",IFERROR(INDEX(I_Item!$C$6:$C$255,MATCH(F644,I_Item!$A$6:$A$255,0)),"KODE BARU")))</f>
        <v/>
      </c>
      <c r="I644" s="45"/>
      <c r="J644" s="42"/>
      <c r="K644" s="11" t="str">
        <f aca="false">IF(I644="","",I644*J644)</f>
        <v/>
      </c>
      <c r="L644" s="34" t="str">
        <f aca="false">IF(H644="","",IFERROR(INDEX(I_Master!$B$6:$B$85,MATCH(H644,I_Master!$A$6:$A$85,0)),"?"))</f>
        <v/>
      </c>
      <c r="M644" s="46" t="str">
        <f aca="false">IF(I644="","",IF(OR(A644&lt;I_Parameter!$C$5,A644&gt;I_Parameter!$C$6),0,IF(B644="Aktual",1,IF(AND(B644="Rencana",A644&gt;=I_Parameter!$C$4),1,0))))</f>
        <v/>
      </c>
    </row>
    <row r="645" customFormat="false" ht="15" hidden="false" customHeight="false" outlineLevel="0" collapsed="false">
      <c r="A645" s="37"/>
      <c r="B645" s="44"/>
      <c r="C645" s="44"/>
      <c r="D645" s="44"/>
      <c r="E645" s="44"/>
      <c r="F645" s="44"/>
      <c r="G645" s="44"/>
      <c r="H645" s="34" t="str">
        <f aca="false">IF(G645&lt;&gt;"",G645,IF(F645="","",IFERROR(INDEX(I_Item!$C$6:$C$255,MATCH(F645,I_Item!$A$6:$A$255,0)),"KODE BARU")))</f>
        <v/>
      </c>
      <c r="I645" s="45"/>
      <c r="J645" s="42"/>
      <c r="K645" s="11" t="str">
        <f aca="false">IF(I645="","",I645*J645)</f>
        <v/>
      </c>
      <c r="L645" s="34" t="str">
        <f aca="false">IF(H645="","",IFERROR(INDEX(I_Master!$B$6:$B$85,MATCH(H645,I_Master!$A$6:$A$85,0)),"?"))</f>
        <v/>
      </c>
      <c r="M645" s="46" t="str">
        <f aca="false">IF(I645="","",IF(OR(A645&lt;I_Parameter!$C$5,A645&gt;I_Parameter!$C$6),0,IF(B645="Aktual",1,IF(AND(B645="Rencana",A645&gt;=I_Parameter!$C$4),1,0))))</f>
        <v/>
      </c>
    </row>
    <row r="646" customFormat="false" ht="15" hidden="false" customHeight="false" outlineLevel="0" collapsed="false">
      <c r="A646" s="37"/>
      <c r="B646" s="44"/>
      <c r="C646" s="44"/>
      <c r="D646" s="44"/>
      <c r="E646" s="44"/>
      <c r="F646" s="44"/>
      <c r="G646" s="44"/>
      <c r="H646" s="34" t="str">
        <f aca="false">IF(G646&lt;&gt;"",G646,IF(F646="","",IFERROR(INDEX(I_Item!$C$6:$C$255,MATCH(F646,I_Item!$A$6:$A$255,0)),"KODE BARU")))</f>
        <v/>
      </c>
      <c r="I646" s="45"/>
      <c r="J646" s="42"/>
      <c r="K646" s="11" t="str">
        <f aca="false">IF(I646="","",I646*J646)</f>
        <v/>
      </c>
      <c r="L646" s="34" t="str">
        <f aca="false">IF(H646="","",IFERROR(INDEX(I_Master!$B$6:$B$85,MATCH(H646,I_Master!$A$6:$A$85,0)),"?"))</f>
        <v/>
      </c>
      <c r="M646" s="46" t="str">
        <f aca="false">IF(I646="","",IF(OR(A646&lt;I_Parameter!$C$5,A646&gt;I_Parameter!$C$6),0,IF(B646="Aktual",1,IF(AND(B646="Rencana",A646&gt;=I_Parameter!$C$4),1,0))))</f>
        <v/>
      </c>
    </row>
    <row r="647" customFormat="false" ht="15" hidden="false" customHeight="false" outlineLevel="0" collapsed="false">
      <c r="A647" s="37"/>
      <c r="B647" s="44"/>
      <c r="C647" s="44"/>
      <c r="D647" s="44"/>
      <c r="E647" s="44"/>
      <c r="F647" s="44"/>
      <c r="G647" s="44"/>
      <c r="H647" s="34" t="str">
        <f aca="false">IF(G647&lt;&gt;"",G647,IF(F647="","",IFERROR(INDEX(I_Item!$C$6:$C$255,MATCH(F647,I_Item!$A$6:$A$255,0)),"KODE BARU")))</f>
        <v/>
      </c>
      <c r="I647" s="45"/>
      <c r="J647" s="42"/>
      <c r="K647" s="11" t="str">
        <f aca="false">IF(I647="","",I647*J647)</f>
        <v/>
      </c>
      <c r="L647" s="34" t="str">
        <f aca="false">IF(H647="","",IFERROR(INDEX(I_Master!$B$6:$B$85,MATCH(H647,I_Master!$A$6:$A$85,0)),"?"))</f>
        <v/>
      </c>
      <c r="M647" s="46" t="str">
        <f aca="false">IF(I647="","",IF(OR(A647&lt;I_Parameter!$C$5,A647&gt;I_Parameter!$C$6),0,IF(B647="Aktual",1,IF(AND(B647="Rencana",A647&gt;=I_Parameter!$C$4),1,0))))</f>
        <v/>
      </c>
    </row>
    <row r="648" customFormat="false" ht="15" hidden="false" customHeight="false" outlineLevel="0" collapsed="false">
      <c r="A648" s="37"/>
      <c r="B648" s="44"/>
      <c r="C648" s="44"/>
      <c r="D648" s="44"/>
      <c r="E648" s="44"/>
      <c r="F648" s="44"/>
      <c r="G648" s="44"/>
      <c r="H648" s="34" t="str">
        <f aca="false">IF(G648&lt;&gt;"",G648,IF(F648="","",IFERROR(INDEX(I_Item!$C$6:$C$255,MATCH(F648,I_Item!$A$6:$A$255,0)),"KODE BARU")))</f>
        <v/>
      </c>
      <c r="I648" s="45"/>
      <c r="J648" s="42"/>
      <c r="K648" s="11" t="str">
        <f aca="false">IF(I648="","",I648*J648)</f>
        <v/>
      </c>
      <c r="L648" s="34" t="str">
        <f aca="false">IF(H648="","",IFERROR(INDEX(I_Master!$B$6:$B$85,MATCH(H648,I_Master!$A$6:$A$85,0)),"?"))</f>
        <v/>
      </c>
      <c r="M648" s="46" t="str">
        <f aca="false">IF(I648="","",IF(OR(A648&lt;I_Parameter!$C$5,A648&gt;I_Parameter!$C$6),0,IF(B648="Aktual",1,IF(AND(B648="Rencana",A648&gt;=I_Parameter!$C$4),1,0))))</f>
        <v/>
      </c>
    </row>
    <row r="649" customFormat="false" ht="15" hidden="false" customHeight="false" outlineLevel="0" collapsed="false">
      <c r="A649" s="37"/>
      <c r="B649" s="44"/>
      <c r="C649" s="44"/>
      <c r="D649" s="44"/>
      <c r="E649" s="44"/>
      <c r="F649" s="44"/>
      <c r="G649" s="44"/>
      <c r="H649" s="34" t="str">
        <f aca="false">IF(G649&lt;&gt;"",G649,IF(F649="","",IFERROR(INDEX(I_Item!$C$6:$C$255,MATCH(F649,I_Item!$A$6:$A$255,0)),"KODE BARU")))</f>
        <v/>
      </c>
      <c r="I649" s="45"/>
      <c r="J649" s="42"/>
      <c r="K649" s="11" t="str">
        <f aca="false">IF(I649="","",I649*J649)</f>
        <v/>
      </c>
      <c r="L649" s="34" t="str">
        <f aca="false">IF(H649="","",IFERROR(INDEX(I_Master!$B$6:$B$85,MATCH(H649,I_Master!$A$6:$A$85,0)),"?"))</f>
        <v/>
      </c>
      <c r="M649" s="46" t="str">
        <f aca="false">IF(I649="","",IF(OR(A649&lt;I_Parameter!$C$5,A649&gt;I_Parameter!$C$6),0,IF(B649="Aktual",1,IF(AND(B649="Rencana",A649&gt;=I_Parameter!$C$4),1,0))))</f>
        <v/>
      </c>
    </row>
    <row r="650" customFormat="false" ht="15" hidden="false" customHeight="false" outlineLevel="0" collapsed="false">
      <c r="A650" s="37"/>
      <c r="B650" s="44"/>
      <c r="C650" s="44"/>
      <c r="D650" s="44"/>
      <c r="E650" s="44"/>
      <c r="F650" s="44"/>
      <c r="G650" s="44"/>
      <c r="H650" s="34" t="str">
        <f aca="false">IF(G650&lt;&gt;"",G650,IF(F650="","",IFERROR(INDEX(I_Item!$C$6:$C$255,MATCH(F650,I_Item!$A$6:$A$255,0)),"KODE BARU")))</f>
        <v/>
      </c>
      <c r="I650" s="45"/>
      <c r="J650" s="42"/>
      <c r="K650" s="11" t="str">
        <f aca="false">IF(I650="","",I650*J650)</f>
        <v/>
      </c>
      <c r="L650" s="34" t="str">
        <f aca="false">IF(H650="","",IFERROR(INDEX(I_Master!$B$6:$B$85,MATCH(H650,I_Master!$A$6:$A$85,0)),"?"))</f>
        <v/>
      </c>
      <c r="M650" s="46" t="str">
        <f aca="false">IF(I650="","",IF(OR(A650&lt;I_Parameter!$C$5,A650&gt;I_Parameter!$C$6),0,IF(B650="Aktual",1,IF(AND(B650="Rencana",A650&gt;=I_Parameter!$C$4),1,0))))</f>
        <v/>
      </c>
    </row>
    <row r="651" customFormat="false" ht="15" hidden="false" customHeight="false" outlineLevel="0" collapsed="false">
      <c r="A651" s="37"/>
      <c r="B651" s="44"/>
      <c r="C651" s="44"/>
      <c r="D651" s="44"/>
      <c r="E651" s="44"/>
      <c r="F651" s="44"/>
      <c r="G651" s="44"/>
      <c r="H651" s="34" t="str">
        <f aca="false">IF(G651&lt;&gt;"",G651,IF(F651="","",IFERROR(INDEX(I_Item!$C$6:$C$255,MATCH(F651,I_Item!$A$6:$A$255,0)),"KODE BARU")))</f>
        <v/>
      </c>
      <c r="I651" s="45"/>
      <c r="J651" s="42"/>
      <c r="K651" s="11" t="str">
        <f aca="false">IF(I651="","",I651*J651)</f>
        <v/>
      </c>
      <c r="L651" s="34" t="str">
        <f aca="false">IF(H651="","",IFERROR(INDEX(I_Master!$B$6:$B$85,MATCH(H651,I_Master!$A$6:$A$85,0)),"?"))</f>
        <v/>
      </c>
      <c r="M651" s="46" t="str">
        <f aca="false">IF(I651="","",IF(OR(A651&lt;I_Parameter!$C$5,A651&gt;I_Parameter!$C$6),0,IF(B651="Aktual",1,IF(AND(B651="Rencana",A651&gt;=I_Parameter!$C$4),1,0))))</f>
        <v/>
      </c>
    </row>
    <row r="652" customFormat="false" ht="15" hidden="false" customHeight="false" outlineLevel="0" collapsed="false">
      <c r="A652" s="37"/>
      <c r="B652" s="44"/>
      <c r="C652" s="44"/>
      <c r="D652" s="44"/>
      <c r="E652" s="44"/>
      <c r="F652" s="44"/>
      <c r="G652" s="44"/>
      <c r="H652" s="34" t="str">
        <f aca="false">IF(G652&lt;&gt;"",G652,IF(F652="","",IFERROR(INDEX(I_Item!$C$6:$C$255,MATCH(F652,I_Item!$A$6:$A$255,0)),"KODE BARU")))</f>
        <v/>
      </c>
      <c r="I652" s="45"/>
      <c r="J652" s="42"/>
      <c r="K652" s="11" t="str">
        <f aca="false">IF(I652="","",I652*J652)</f>
        <v/>
      </c>
      <c r="L652" s="34" t="str">
        <f aca="false">IF(H652="","",IFERROR(INDEX(I_Master!$B$6:$B$85,MATCH(H652,I_Master!$A$6:$A$85,0)),"?"))</f>
        <v/>
      </c>
      <c r="M652" s="46" t="str">
        <f aca="false">IF(I652="","",IF(OR(A652&lt;I_Parameter!$C$5,A652&gt;I_Parameter!$C$6),0,IF(B652="Aktual",1,IF(AND(B652="Rencana",A652&gt;=I_Parameter!$C$4),1,0))))</f>
        <v/>
      </c>
    </row>
    <row r="653" customFormat="false" ht="15" hidden="false" customHeight="false" outlineLevel="0" collapsed="false">
      <c r="A653" s="37"/>
      <c r="B653" s="44"/>
      <c r="C653" s="44"/>
      <c r="D653" s="44"/>
      <c r="E653" s="44"/>
      <c r="F653" s="44"/>
      <c r="G653" s="44"/>
      <c r="H653" s="34" t="str">
        <f aca="false">IF(G653&lt;&gt;"",G653,IF(F653="","",IFERROR(INDEX(I_Item!$C$6:$C$255,MATCH(F653,I_Item!$A$6:$A$255,0)),"KODE BARU")))</f>
        <v/>
      </c>
      <c r="I653" s="45"/>
      <c r="J653" s="42"/>
      <c r="K653" s="11" t="str">
        <f aca="false">IF(I653="","",I653*J653)</f>
        <v/>
      </c>
      <c r="L653" s="34" t="str">
        <f aca="false">IF(H653="","",IFERROR(INDEX(I_Master!$B$6:$B$85,MATCH(H653,I_Master!$A$6:$A$85,0)),"?"))</f>
        <v/>
      </c>
      <c r="M653" s="46" t="str">
        <f aca="false">IF(I653="","",IF(OR(A653&lt;I_Parameter!$C$5,A653&gt;I_Parameter!$C$6),0,IF(B653="Aktual",1,IF(AND(B653="Rencana",A653&gt;=I_Parameter!$C$4),1,0))))</f>
        <v/>
      </c>
    </row>
    <row r="654" customFormat="false" ht="15" hidden="false" customHeight="false" outlineLevel="0" collapsed="false">
      <c r="A654" s="37"/>
      <c r="B654" s="44"/>
      <c r="C654" s="44"/>
      <c r="D654" s="44"/>
      <c r="E654" s="44"/>
      <c r="F654" s="44"/>
      <c r="G654" s="44"/>
      <c r="H654" s="34" t="str">
        <f aca="false">IF(G654&lt;&gt;"",G654,IF(F654="","",IFERROR(INDEX(I_Item!$C$6:$C$255,MATCH(F654,I_Item!$A$6:$A$255,0)),"KODE BARU")))</f>
        <v/>
      </c>
      <c r="I654" s="45"/>
      <c r="J654" s="42"/>
      <c r="K654" s="11" t="str">
        <f aca="false">IF(I654="","",I654*J654)</f>
        <v/>
      </c>
      <c r="L654" s="34" t="str">
        <f aca="false">IF(H654="","",IFERROR(INDEX(I_Master!$B$6:$B$85,MATCH(H654,I_Master!$A$6:$A$85,0)),"?"))</f>
        <v/>
      </c>
      <c r="M654" s="46" t="str">
        <f aca="false">IF(I654="","",IF(OR(A654&lt;I_Parameter!$C$5,A654&gt;I_Parameter!$C$6),0,IF(B654="Aktual",1,IF(AND(B654="Rencana",A654&gt;=I_Parameter!$C$4),1,0))))</f>
        <v/>
      </c>
    </row>
    <row r="655" customFormat="false" ht="15" hidden="false" customHeight="false" outlineLevel="0" collapsed="false">
      <c r="A655" s="37"/>
      <c r="B655" s="44"/>
      <c r="C655" s="44"/>
      <c r="D655" s="44"/>
      <c r="E655" s="44"/>
      <c r="F655" s="44"/>
      <c r="G655" s="44"/>
      <c r="H655" s="34" t="str">
        <f aca="false">IF(G655&lt;&gt;"",G655,IF(F655="","",IFERROR(INDEX(I_Item!$C$6:$C$255,MATCH(F655,I_Item!$A$6:$A$255,0)),"KODE BARU")))</f>
        <v/>
      </c>
      <c r="I655" s="45"/>
      <c r="J655" s="42"/>
      <c r="K655" s="11" t="str">
        <f aca="false">IF(I655="","",I655*J655)</f>
        <v/>
      </c>
      <c r="L655" s="34" t="str">
        <f aca="false">IF(H655="","",IFERROR(INDEX(I_Master!$B$6:$B$85,MATCH(H655,I_Master!$A$6:$A$85,0)),"?"))</f>
        <v/>
      </c>
      <c r="M655" s="46" t="str">
        <f aca="false">IF(I655="","",IF(OR(A655&lt;I_Parameter!$C$5,A655&gt;I_Parameter!$C$6),0,IF(B655="Aktual",1,IF(AND(B655="Rencana",A655&gt;=I_Parameter!$C$4),1,0))))</f>
        <v/>
      </c>
    </row>
    <row r="656" customFormat="false" ht="15" hidden="false" customHeight="false" outlineLevel="0" collapsed="false">
      <c r="A656" s="37"/>
      <c r="B656" s="44"/>
      <c r="C656" s="44"/>
      <c r="D656" s="44"/>
      <c r="E656" s="44"/>
      <c r="F656" s="44"/>
      <c r="G656" s="44"/>
      <c r="H656" s="34" t="str">
        <f aca="false">IF(G656&lt;&gt;"",G656,IF(F656="","",IFERROR(INDEX(I_Item!$C$6:$C$255,MATCH(F656,I_Item!$A$6:$A$255,0)),"KODE BARU")))</f>
        <v/>
      </c>
      <c r="I656" s="45"/>
      <c r="J656" s="42"/>
      <c r="K656" s="11" t="str">
        <f aca="false">IF(I656="","",I656*J656)</f>
        <v/>
      </c>
      <c r="L656" s="34" t="str">
        <f aca="false">IF(H656="","",IFERROR(INDEX(I_Master!$B$6:$B$85,MATCH(H656,I_Master!$A$6:$A$85,0)),"?"))</f>
        <v/>
      </c>
      <c r="M656" s="46" t="str">
        <f aca="false">IF(I656="","",IF(OR(A656&lt;I_Parameter!$C$5,A656&gt;I_Parameter!$C$6),0,IF(B656="Aktual",1,IF(AND(B656="Rencana",A656&gt;=I_Parameter!$C$4),1,0))))</f>
        <v/>
      </c>
    </row>
    <row r="657" customFormat="false" ht="15" hidden="false" customHeight="false" outlineLevel="0" collapsed="false">
      <c r="A657" s="37"/>
      <c r="B657" s="44"/>
      <c r="C657" s="44"/>
      <c r="D657" s="44"/>
      <c r="E657" s="44"/>
      <c r="F657" s="44"/>
      <c r="G657" s="44"/>
      <c r="H657" s="34" t="str">
        <f aca="false">IF(G657&lt;&gt;"",G657,IF(F657="","",IFERROR(INDEX(I_Item!$C$6:$C$255,MATCH(F657,I_Item!$A$6:$A$255,0)),"KODE BARU")))</f>
        <v/>
      </c>
      <c r="I657" s="45"/>
      <c r="J657" s="42"/>
      <c r="K657" s="11" t="str">
        <f aca="false">IF(I657="","",I657*J657)</f>
        <v/>
      </c>
      <c r="L657" s="34" t="str">
        <f aca="false">IF(H657="","",IFERROR(INDEX(I_Master!$B$6:$B$85,MATCH(H657,I_Master!$A$6:$A$85,0)),"?"))</f>
        <v/>
      </c>
      <c r="M657" s="46" t="str">
        <f aca="false">IF(I657="","",IF(OR(A657&lt;I_Parameter!$C$5,A657&gt;I_Parameter!$C$6),0,IF(B657="Aktual",1,IF(AND(B657="Rencana",A657&gt;=I_Parameter!$C$4),1,0))))</f>
        <v/>
      </c>
    </row>
    <row r="658" customFormat="false" ht="15" hidden="false" customHeight="false" outlineLevel="0" collapsed="false">
      <c r="A658" s="37"/>
      <c r="B658" s="44"/>
      <c r="C658" s="44"/>
      <c r="D658" s="44"/>
      <c r="E658" s="44"/>
      <c r="F658" s="44"/>
      <c r="G658" s="44"/>
      <c r="H658" s="34" t="str">
        <f aca="false">IF(G658&lt;&gt;"",G658,IF(F658="","",IFERROR(INDEX(I_Item!$C$6:$C$255,MATCH(F658,I_Item!$A$6:$A$255,0)),"KODE BARU")))</f>
        <v/>
      </c>
      <c r="I658" s="45"/>
      <c r="J658" s="42"/>
      <c r="K658" s="11" t="str">
        <f aca="false">IF(I658="","",I658*J658)</f>
        <v/>
      </c>
      <c r="L658" s="34" t="str">
        <f aca="false">IF(H658="","",IFERROR(INDEX(I_Master!$B$6:$B$85,MATCH(H658,I_Master!$A$6:$A$85,0)),"?"))</f>
        <v/>
      </c>
      <c r="M658" s="46" t="str">
        <f aca="false">IF(I658="","",IF(OR(A658&lt;I_Parameter!$C$5,A658&gt;I_Parameter!$C$6),0,IF(B658="Aktual",1,IF(AND(B658="Rencana",A658&gt;=I_Parameter!$C$4),1,0))))</f>
        <v/>
      </c>
    </row>
    <row r="659" customFormat="false" ht="15" hidden="false" customHeight="false" outlineLevel="0" collapsed="false">
      <c r="A659" s="37"/>
      <c r="B659" s="44"/>
      <c r="C659" s="44"/>
      <c r="D659" s="44"/>
      <c r="E659" s="44"/>
      <c r="F659" s="44"/>
      <c r="G659" s="44"/>
      <c r="H659" s="34" t="str">
        <f aca="false">IF(G659&lt;&gt;"",G659,IF(F659="","",IFERROR(INDEX(I_Item!$C$6:$C$255,MATCH(F659,I_Item!$A$6:$A$255,0)),"KODE BARU")))</f>
        <v/>
      </c>
      <c r="I659" s="45"/>
      <c r="J659" s="42"/>
      <c r="K659" s="11" t="str">
        <f aca="false">IF(I659="","",I659*J659)</f>
        <v/>
      </c>
      <c r="L659" s="34" t="str">
        <f aca="false">IF(H659="","",IFERROR(INDEX(I_Master!$B$6:$B$85,MATCH(H659,I_Master!$A$6:$A$85,0)),"?"))</f>
        <v/>
      </c>
      <c r="M659" s="46" t="str">
        <f aca="false">IF(I659="","",IF(OR(A659&lt;I_Parameter!$C$5,A659&gt;I_Parameter!$C$6),0,IF(B659="Aktual",1,IF(AND(B659="Rencana",A659&gt;=I_Parameter!$C$4),1,0))))</f>
        <v/>
      </c>
    </row>
    <row r="660" customFormat="false" ht="15" hidden="false" customHeight="false" outlineLevel="0" collapsed="false">
      <c r="A660" s="37"/>
      <c r="B660" s="44"/>
      <c r="C660" s="44"/>
      <c r="D660" s="44"/>
      <c r="E660" s="44"/>
      <c r="F660" s="44"/>
      <c r="G660" s="44"/>
      <c r="H660" s="34" t="str">
        <f aca="false">IF(G660&lt;&gt;"",G660,IF(F660="","",IFERROR(INDEX(I_Item!$C$6:$C$255,MATCH(F660,I_Item!$A$6:$A$255,0)),"KODE BARU")))</f>
        <v/>
      </c>
      <c r="I660" s="45"/>
      <c r="J660" s="42"/>
      <c r="K660" s="11" t="str">
        <f aca="false">IF(I660="","",I660*J660)</f>
        <v/>
      </c>
      <c r="L660" s="34" t="str">
        <f aca="false">IF(H660="","",IFERROR(INDEX(I_Master!$B$6:$B$85,MATCH(H660,I_Master!$A$6:$A$85,0)),"?"))</f>
        <v/>
      </c>
      <c r="M660" s="46" t="str">
        <f aca="false">IF(I660="","",IF(OR(A660&lt;I_Parameter!$C$5,A660&gt;I_Parameter!$C$6),0,IF(B660="Aktual",1,IF(AND(B660="Rencana",A660&gt;=I_Parameter!$C$4),1,0))))</f>
        <v/>
      </c>
    </row>
    <row r="661" customFormat="false" ht="15" hidden="false" customHeight="false" outlineLevel="0" collapsed="false">
      <c r="A661" s="37"/>
      <c r="B661" s="44"/>
      <c r="C661" s="44"/>
      <c r="D661" s="44"/>
      <c r="E661" s="44"/>
      <c r="F661" s="44"/>
      <c r="G661" s="44"/>
      <c r="H661" s="34" t="str">
        <f aca="false">IF(G661&lt;&gt;"",G661,IF(F661="","",IFERROR(INDEX(I_Item!$C$6:$C$255,MATCH(F661,I_Item!$A$6:$A$255,0)),"KODE BARU")))</f>
        <v/>
      </c>
      <c r="I661" s="45"/>
      <c r="J661" s="42"/>
      <c r="K661" s="11" t="str">
        <f aca="false">IF(I661="","",I661*J661)</f>
        <v/>
      </c>
      <c r="L661" s="34" t="str">
        <f aca="false">IF(H661="","",IFERROR(INDEX(I_Master!$B$6:$B$85,MATCH(H661,I_Master!$A$6:$A$85,0)),"?"))</f>
        <v/>
      </c>
      <c r="M661" s="46" t="str">
        <f aca="false">IF(I661="","",IF(OR(A661&lt;I_Parameter!$C$5,A661&gt;I_Parameter!$C$6),0,IF(B661="Aktual",1,IF(AND(B661="Rencana",A661&gt;=I_Parameter!$C$4),1,0))))</f>
        <v/>
      </c>
    </row>
    <row r="662" customFormat="false" ht="15" hidden="false" customHeight="false" outlineLevel="0" collapsed="false">
      <c r="A662" s="37"/>
      <c r="B662" s="44"/>
      <c r="C662" s="44"/>
      <c r="D662" s="44"/>
      <c r="E662" s="44"/>
      <c r="F662" s="44"/>
      <c r="G662" s="44"/>
      <c r="H662" s="34" t="str">
        <f aca="false">IF(G662&lt;&gt;"",G662,IF(F662="","",IFERROR(INDEX(I_Item!$C$6:$C$255,MATCH(F662,I_Item!$A$6:$A$255,0)),"KODE BARU")))</f>
        <v/>
      </c>
      <c r="I662" s="45"/>
      <c r="J662" s="42"/>
      <c r="K662" s="11" t="str">
        <f aca="false">IF(I662="","",I662*J662)</f>
        <v/>
      </c>
      <c r="L662" s="34" t="str">
        <f aca="false">IF(H662="","",IFERROR(INDEX(I_Master!$B$6:$B$85,MATCH(H662,I_Master!$A$6:$A$85,0)),"?"))</f>
        <v/>
      </c>
      <c r="M662" s="46" t="str">
        <f aca="false">IF(I662="","",IF(OR(A662&lt;I_Parameter!$C$5,A662&gt;I_Parameter!$C$6),0,IF(B662="Aktual",1,IF(AND(B662="Rencana",A662&gt;=I_Parameter!$C$4),1,0))))</f>
        <v/>
      </c>
    </row>
    <row r="663" customFormat="false" ht="15" hidden="false" customHeight="false" outlineLevel="0" collapsed="false">
      <c r="A663" s="37"/>
      <c r="B663" s="44"/>
      <c r="C663" s="44"/>
      <c r="D663" s="44"/>
      <c r="E663" s="44"/>
      <c r="F663" s="44"/>
      <c r="G663" s="44"/>
      <c r="H663" s="34" t="str">
        <f aca="false">IF(G663&lt;&gt;"",G663,IF(F663="","",IFERROR(INDEX(I_Item!$C$6:$C$255,MATCH(F663,I_Item!$A$6:$A$255,0)),"KODE BARU")))</f>
        <v/>
      </c>
      <c r="I663" s="45"/>
      <c r="J663" s="42"/>
      <c r="K663" s="11" t="str">
        <f aca="false">IF(I663="","",I663*J663)</f>
        <v/>
      </c>
      <c r="L663" s="34" t="str">
        <f aca="false">IF(H663="","",IFERROR(INDEX(I_Master!$B$6:$B$85,MATCH(H663,I_Master!$A$6:$A$85,0)),"?"))</f>
        <v/>
      </c>
      <c r="M663" s="46" t="str">
        <f aca="false">IF(I663="","",IF(OR(A663&lt;I_Parameter!$C$5,A663&gt;I_Parameter!$C$6),0,IF(B663="Aktual",1,IF(AND(B663="Rencana",A663&gt;=I_Parameter!$C$4),1,0))))</f>
        <v/>
      </c>
    </row>
    <row r="664" customFormat="false" ht="15" hidden="false" customHeight="false" outlineLevel="0" collapsed="false">
      <c r="A664" s="37"/>
      <c r="B664" s="44"/>
      <c r="C664" s="44"/>
      <c r="D664" s="44"/>
      <c r="E664" s="44"/>
      <c r="F664" s="44"/>
      <c r="G664" s="44"/>
      <c r="H664" s="34" t="str">
        <f aca="false">IF(G664&lt;&gt;"",G664,IF(F664="","",IFERROR(INDEX(I_Item!$C$6:$C$255,MATCH(F664,I_Item!$A$6:$A$255,0)),"KODE BARU")))</f>
        <v/>
      </c>
      <c r="I664" s="45"/>
      <c r="J664" s="42"/>
      <c r="K664" s="11" t="str">
        <f aca="false">IF(I664="","",I664*J664)</f>
        <v/>
      </c>
      <c r="L664" s="34" t="str">
        <f aca="false">IF(H664="","",IFERROR(INDEX(I_Master!$B$6:$B$85,MATCH(H664,I_Master!$A$6:$A$85,0)),"?"))</f>
        <v/>
      </c>
      <c r="M664" s="46" t="str">
        <f aca="false">IF(I664="","",IF(OR(A664&lt;I_Parameter!$C$5,A664&gt;I_Parameter!$C$6),0,IF(B664="Aktual",1,IF(AND(B664="Rencana",A664&gt;=I_Parameter!$C$4),1,0))))</f>
        <v/>
      </c>
    </row>
    <row r="665" customFormat="false" ht="15" hidden="false" customHeight="false" outlineLevel="0" collapsed="false">
      <c r="A665" s="37"/>
      <c r="B665" s="44"/>
      <c r="C665" s="44"/>
      <c r="D665" s="44"/>
      <c r="E665" s="44"/>
      <c r="F665" s="44"/>
      <c r="G665" s="44"/>
      <c r="H665" s="34" t="str">
        <f aca="false">IF(G665&lt;&gt;"",G665,IF(F665="","",IFERROR(INDEX(I_Item!$C$6:$C$255,MATCH(F665,I_Item!$A$6:$A$255,0)),"KODE BARU")))</f>
        <v/>
      </c>
      <c r="I665" s="45"/>
      <c r="J665" s="42"/>
      <c r="K665" s="11" t="str">
        <f aca="false">IF(I665="","",I665*J665)</f>
        <v/>
      </c>
      <c r="L665" s="34" t="str">
        <f aca="false">IF(H665="","",IFERROR(INDEX(I_Master!$B$6:$B$85,MATCH(H665,I_Master!$A$6:$A$85,0)),"?"))</f>
        <v/>
      </c>
      <c r="M665" s="46" t="str">
        <f aca="false">IF(I665="","",IF(OR(A665&lt;I_Parameter!$C$5,A665&gt;I_Parameter!$C$6),0,IF(B665="Aktual",1,IF(AND(B665="Rencana",A665&gt;=I_Parameter!$C$4),1,0))))</f>
        <v/>
      </c>
    </row>
    <row r="666" customFormat="false" ht="15" hidden="false" customHeight="false" outlineLevel="0" collapsed="false">
      <c r="A666" s="37"/>
      <c r="B666" s="44"/>
      <c r="C666" s="44"/>
      <c r="D666" s="44"/>
      <c r="E666" s="44"/>
      <c r="F666" s="44"/>
      <c r="G666" s="44"/>
      <c r="H666" s="34" t="str">
        <f aca="false">IF(G666&lt;&gt;"",G666,IF(F666="","",IFERROR(INDEX(I_Item!$C$6:$C$255,MATCH(F666,I_Item!$A$6:$A$255,0)),"KODE BARU")))</f>
        <v/>
      </c>
      <c r="I666" s="45"/>
      <c r="J666" s="42"/>
      <c r="K666" s="11" t="str">
        <f aca="false">IF(I666="","",I666*J666)</f>
        <v/>
      </c>
      <c r="L666" s="34" t="str">
        <f aca="false">IF(H666="","",IFERROR(INDEX(I_Master!$B$6:$B$85,MATCH(H666,I_Master!$A$6:$A$85,0)),"?"))</f>
        <v/>
      </c>
      <c r="M666" s="46" t="str">
        <f aca="false">IF(I666="","",IF(OR(A666&lt;I_Parameter!$C$5,A666&gt;I_Parameter!$C$6),0,IF(B666="Aktual",1,IF(AND(B666="Rencana",A666&gt;=I_Parameter!$C$4),1,0))))</f>
        <v/>
      </c>
    </row>
    <row r="667" customFormat="false" ht="15" hidden="false" customHeight="false" outlineLevel="0" collapsed="false">
      <c r="A667" s="37"/>
      <c r="B667" s="44"/>
      <c r="C667" s="44"/>
      <c r="D667" s="44"/>
      <c r="E667" s="44"/>
      <c r="F667" s="44"/>
      <c r="G667" s="44"/>
      <c r="H667" s="34" t="str">
        <f aca="false">IF(G667&lt;&gt;"",G667,IF(F667="","",IFERROR(INDEX(I_Item!$C$6:$C$255,MATCH(F667,I_Item!$A$6:$A$255,0)),"KODE BARU")))</f>
        <v/>
      </c>
      <c r="I667" s="45"/>
      <c r="J667" s="42"/>
      <c r="K667" s="11" t="str">
        <f aca="false">IF(I667="","",I667*J667)</f>
        <v/>
      </c>
      <c r="L667" s="34" t="str">
        <f aca="false">IF(H667="","",IFERROR(INDEX(I_Master!$B$6:$B$85,MATCH(H667,I_Master!$A$6:$A$85,0)),"?"))</f>
        <v/>
      </c>
      <c r="M667" s="46" t="str">
        <f aca="false">IF(I667="","",IF(OR(A667&lt;I_Parameter!$C$5,A667&gt;I_Parameter!$C$6),0,IF(B667="Aktual",1,IF(AND(B667="Rencana",A667&gt;=I_Parameter!$C$4),1,0))))</f>
        <v/>
      </c>
    </row>
    <row r="668" customFormat="false" ht="15" hidden="false" customHeight="false" outlineLevel="0" collapsed="false">
      <c r="A668" s="37"/>
      <c r="B668" s="44"/>
      <c r="C668" s="44"/>
      <c r="D668" s="44"/>
      <c r="E668" s="44"/>
      <c r="F668" s="44"/>
      <c r="G668" s="44"/>
      <c r="H668" s="34" t="str">
        <f aca="false">IF(G668&lt;&gt;"",G668,IF(F668="","",IFERROR(INDEX(I_Item!$C$6:$C$255,MATCH(F668,I_Item!$A$6:$A$255,0)),"KODE BARU")))</f>
        <v/>
      </c>
      <c r="I668" s="45"/>
      <c r="J668" s="42"/>
      <c r="K668" s="11" t="str">
        <f aca="false">IF(I668="","",I668*J668)</f>
        <v/>
      </c>
      <c r="L668" s="34" t="str">
        <f aca="false">IF(H668="","",IFERROR(INDEX(I_Master!$B$6:$B$85,MATCH(H668,I_Master!$A$6:$A$85,0)),"?"))</f>
        <v/>
      </c>
      <c r="M668" s="46" t="str">
        <f aca="false">IF(I668="","",IF(OR(A668&lt;I_Parameter!$C$5,A668&gt;I_Parameter!$C$6),0,IF(B668="Aktual",1,IF(AND(B668="Rencana",A668&gt;=I_Parameter!$C$4),1,0))))</f>
        <v/>
      </c>
    </row>
    <row r="669" customFormat="false" ht="15" hidden="false" customHeight="false" outlineLevel="0" collapsed="false">
      <c r="A669" s="37"/>
      <c r="B669" s="44"/>
      <c r="C669" s="44"/>
      <c r="D669" s="44"/>
      <c r="E669" s="44"/>
      <c r="F669" s="44"/>
      <c r="G669" s="44"/>
      <c r="H669" s="34" t="str">
        <f aca="false">IF(G669&lt;&gt;"",G669,IF(F669="","",IFERROR(INDEX(I_Item!$C$6:$C$255,MATCH(F669,I_Item!$A$6:$A$255,0)),"KODE BARU")))</f>
        <v/>
      </c>
      <c r="I669" s="45"/>
      <c r="J669" s="42"/>
      <c r="K669" s="11" t="str">
        <f aca="false">IF(I669="","",I669*J669)</f>
        <v/>
      </c>
      <c r="L669" s="34" t="str">
        <f aca="false">IF(H669="","",IFERROR(INDEX(I_Master!$B$6:$B$85,MATCH(H669,I_Master!$A$6:$A$85,0)),"?"))</f>
        <v/>
      </c>
      <c r="M669" s="46" t="str">
        <f aca="false">IF(I669="","",IF(OR(A669&lt;I_Parameter!$C$5,A669&gt;I_Parameter!$C$6),0,IF(B669="Aktual",1,IF(AND(B669="Rencana",A669&gt;=I_Parameter!$C$4),1,0))))</f>
        <v/>
      </c>
    </row>
    <row r="670" customFormat="false" ht="15" hidden="false" customHeight="false" outlineLevel="0" collapsed="false">
      <c r="A670" s="37"/>
      <c r="B670" s="44"/>
      <c r="C670" s="44"/>
      <c r="D670" s="44"/>
      <c r="E670" s="44"/>
      <c r="F670" s="44"/>
      <c r="G670" s="44"/>
      <c r="H670" s="34" t="str">
        <f aca="false">IF(G670&lt;&gt;"",G670,IF(F670="","",IFERROR(INDEX(I_Item!$C$6:$C$255,MATCH(F670,I_Item!$A$6:$A$255,0)),"KODE BARU")))</f>
        <v/>
      </c>
      <c r="I670" s="45"/>
      <c r="J670" s="42"/>
      <c r="K670" s="11" t="str">
        <f aca="false">IF(I670="","",I670*J670)</f>
        <v/>
      </c>
      <c r="L670" s="34" t="str">
        <f aca="false">IF(H670="","",IFERROR(INDEX(I_Master!$B$6:$B$85,MATCH(H670,I_Master!$A$6:$A$85,0)),"?"))</f>
        <v/>
      </c>
      <c r="M670" s="46" t="str">
        <f aca="false">IF(I670="","",IF(OR(A670&lt;I_Parameter!$C$5,A670&gt;I_Parameter!$C$6),0,IF(B670="Aktual",1,IF(AND(B670="Rencana",A670&gt;=I_Parameter!$C$4),1,0))))</f>
        <v/>
      </c>
    </row>
    <row r="671" customFormat="false" ht="15" hidden="false" customHeight="false" outlineLevel="0" collapsed="false">
      <c r="A671" s="37"/>
      <c r="B671" s="44"/>
      <c r="C671" s="44"/>
      <c r="D671" s="44"/>
      <c r="E671" s="44"/>
      <c r="F671" s="44"/>
      <c r="G671" s="44"/>
      <c r="H671" s="34" t="str">
        <f aca="false">IF(G671&lt;&gt;"",G671,IF(F671="","",IFERROR(INDEX(I_Item!$C$6:$C$255,MATCH(F671,I_Item!$A$6:$A$255,0)),"KODE BARU")))</f>
        <v/>
      </c>
      <c r="I671" s="45"/>
      <c r="J671" s="42"/>
      <c r="K671" s="11" t="str">
        <f aca="false">IF(I671="","",I671*J671)</f>
        <v/>
      </c>
      <c r="L671" s="34" t="str">
        <f aca="false">IF(H671="","",IFERROR(INDEX(I_Master!$B$6:$B$85,MATCH(H671,I_Master!$A$6:$A$85,0)),"?"))</f>
        <v/>
      </c>
      <c r="M671" s="46" t="str">
        <f aca="false">IF(I671="","",IF(OR(A671&lt;I_Parameter!$C$5,A671&gt;I_Parameter!$C$6),0,IF(B671="Aktual",1,IF(AND(B671="Rencana",A671&gt;=I_Parameter!$C$4),1,0))))</f>
        <v/>
      </c>
    </row>
    <row r="672" customFormat="false" ht="15" hidden="false" customHeight="false" outlineLevel="0" collapsed="false">
      <c r="A672" s="37"/>
      <c r="B672" s="44"/>
      <c r="C672" s="44"/>
      <c r="D672" s="44"/>
      <c r="E672" s="44"/>
      <c r="F672" s="44"/>
      <c r="G672" s="44"/>
      <c r="H672" s="34" t="str">
        <f aca="false">IF(G672&lt;&gt;"",G672,IF(F672="","",IFERROR(INDEX(I_Item!$C$6:$C$255,MATCH(F672,I_Item!$A$6:$A$255,0)),"KODE BARU")))</f>
        <v/>
      </c>
      <c r="I672" s="45"/>
      <c r="J672" s="42"/>
      <c r="K672" s="11" t="str">
        <f aca="false">IF(I672="","",I672*J672)</f>
        <v/>
      </c>
      <c r="L672" s="34" t="str">
        <f aca="false">IF(H672="","",IFERROR(INDEX(I_Master!$B$6:$B$85,MATCH(H672,I_Master!$A$6:$A$85,0)),"?"))</f>
        <v/>
      </c>
      <c r="M672" s="46" t="str">
        <f aca="false">IF(I672="","",IF(OR(A672&lt;I_Parameter!$C$5,A672&gt;I_Parameter!$C$6),0,IF(B672="Aktual",1,IF(AND(B672="Rencana",A672&gt;=I_Parameter!$C$4),1,0))))</f>
        <v/>
      </c>
    </row>
    <row r="673" customFormat="false" ht="15" hidden="false" customHeight="false" outlineLevel="0" collapsed="false">
      <c r="A673" s="37"/>
      <c r="B673" s="44"/>
      <c r="C673" s="44"/>
      <c r="D673" s="44"/>
      <c r="E673" s="44"/>
      <c r="F673" s="44"/>
      <c r="G673" s="44"/>
      <c r="H673" s="34" t="str">
        <f aca="false">IF(G673&lt;&gt;"",G673,IF(F673="","",IFERROR(INDEX(I_Item!$C$6:$C$255,MATCH(F673,I_Item!$A$6:$A$255,0)),"KODE BARU")))</f>
        <v/>
      </c>
      <c r="I673" s="45"/>
      <c r="J673" s="42"/>
      <c r="K673" s="11" t="str">
        <f aca="false">IF(I673="","",I673*J673)</f>
        <v/>
      </c>
      <c r="L673" s="34" t="str">
        <f aca="false">IF(H673="","",IFERROR(INDEX(I_Master!$B$6:$B$85,MATCH(H673,I_Master!$A$6:$A$85,0)),"?"))</f>
        <v/>
      </c>
      <c r="M673" s="46" t="str">
        <f aca="false">IF(I673="","",IF(OR(A673&lt;I_Parameter!$C$5,A673&gt;I_Parameter!$C$6),0,IF(B673="Aktual",1,IF(AND(B673="Rencana",A673&gt;=I_Parameter!$C$4),1,0))))</f>
        <v/>
      </c>
    </row>
    <row r="674" customFormat="false" ht="15" hidden="false" customHeight="false" outlineLevel="0" collapsed="false">
      <c r="A674" s="37"/>
      <c r="B674" s="44"/>
      <c r="C674" s="44"/>
      <c r="D674" s="44"/>
      <c r="E674" s="44"/>
      <c r="F674" s="44"/>
      <c r="G674" s="44"/>
      <c r="H674" s="34" t="str">
        <f aca="false">IF(G674&lt;&gt;"",G674,IF(F674="","",IFERROR(INDEX(I_Item!$C$6:$C$255,MATCH(F674,I_Item!$A$6:$A$255,0)),"KODE BARU")))</f>
        <v/>
      </c>
      <c r="I674" s="45"/>
      <c r="J674" s="42"/>
      <c r="K674" s="11" t="str">
        <f aca="false">IF(I674="","",I674*J674)</f>
        <v/>
      </c>
      <c r="L674" s="34" t="str">
        <f aca="false">IF(H674="","",IFERROR(INDEX(I_Master!$B$6:$B$85,MATCH(H674,I_Master!$A$6:$A$85,0)),"?"))</f>
        <v/>
      </c>
      <c r="M674" s="46" t="str">
        <f aca="false">IF(I674="","",IF(OR(A674&lt;I_Parameter!$C$5,A674&gt;I_Parameter!$C$6),0,IF(B674="Aktual",1,IF(AND(B674="Rencana",A674&gt;=I_Parameter!$C$4),1,0))))</f>
        <v/>
      </c>
    </row>
    <row r="675" customFormat="false" ht="15" hidden="false" customHeight="false" outlineLevel="0" collapsed="false">
      <c r="A675" s="37"/>
      <c r="B675" s="44"/>
      <c r="C675" s="44"/>
      <c r="D675" s="44"/>
      <c r="E675" s="44"/>
      <c r="F675" s="44"/>
      <c r="G675" s="44"/>
      <c r="H675" s="34" t="str">
        <f aca="false">IF(G675&lt;&gt;"",G675,IF(F675="","",IFERROR(INDEX(I_Item!$C$6:$C$255,MATCH(F675,I_Item!$A$6:$A$255,0)),"KODE BARU")))</f>
        <v/>
      </c>
      <c r="I675" s="45"/>
      <c r="J675" s="42"/>
      <c r="K675" s="11" t="str">
        <f aca="false">IF(I675="","",I675*J675)</f>
        <v/>
      </c>
      <c r="L675" s="34" t="str">
        <f aca="false">IF(H675="","",IFERROR(INDEX(I_Master!$B$6:$B$85,MATCH(H675,I_Master!$A$6:$A$85,0)),"?"))</f>
        <v/>
      </c>
      <c r="M675" s="46" t="str">
        <f aca="false">IF(I675="","",IF(OR(A675&lt;I_Parameter!$C$5,A675&gt;I_Parameter!$C$6),0,IF(B675="Aktual",1,IF(AND(B675="Rencana",A675&gt;=I_Parameter!$C$4),1,0))))</f>
        <v/>
      </c>
    </row>
    <row r="676" customFormat="false" ht="15" hidden="false" customHeight="false" outlineLevel="0" collapsed="false">
      <c r="A676" s="37"/>
      <c r="B676" s="44"/>
      <c r="C676" s="44"/>
      <c r="D676" s="44"/>
      <c r="E676" s="44"/>
      <c r="F676" s="44"/>
      <c r="G676" s="44"/>
      <c r="H676" s="34" t="str">
        <f aca="false">IF(G676&lt;&gt;"",G676,IF(F676="","",IFERROR(INDEX(I_Item!$C$6:$C$255,MATCH(F676,I_Item!$A$6:$A$255,0)),"KODE BARU")))</f>
        <v/>
      </c>
      <c r="I676" s="45"/>
      <c r="J676" s="42"/>
      <c r="K676" s="11" t="str">
        <f aca="false">IF(I676="","",I676*J676)</f>
        <v/>
      </c>
      <c r="L676" s="34" t="str">
        <f aca="false">IF(H676="","",IFERROR(INDEX(I_Master!$B$6:$B$85,MATCH(H676,I_Master!$A$6:$A$85,0)),"?"))</f>
        <v/>
      </c>
      <c r="M676" s="46" t="str">
        <f aca="false">IF(I676="","",IF(OR(A676&lt;I_Parameter!$C$5,A676&gt;I_Parameter!$C$6),0,IF(B676="Aktual",1,IF(AND(B676="Rencana",A676&gt;=I_Parameter!$C$4),1,0))))</f>
        <v/>
      </c>
    </row>
    <row r="677" customFormat="false" ht="15" hidden="false" customHeight="false" outlineLevel="0" collapsed="false">
      <c r="A677" s="37"/>
      <c r="B677" s="44"/>
      <c r="C677" s="44"/>
      <c r="D677" s="44"/>
      <c r="E677" s="44"/>
      <c r="F677" s="44"/>
      <c r="G677" s="44"/>
      <c r="H677" s="34" t="str">
        <f aca="false">IF(G677&lt;&gt;"",G677,IF(F677="","",IFERROR(INDEX(I_Item!$C$6:$C$255,MATCH(F677,I_Item!$A$6:$A$255,0)),"KODE BARU")))</f>
        <v/>
      </c>
      <c r="I677" s="45"/>
      <c r="J677" s="42"/>
      <c r="K677" s="11" t="str">
        <f aca="false">IF(I677="","",I677*J677)</f>
        <v/>
      </c>
      <c r="L677" s="34" t="str">
        <f aca="false">IF(H677="","",IFERROR(INDEX(I_Master!$B$6:$B$85,MATCH(H677,I_Master!$A$6:$A$85,0)),"?"))</f>
        <v/>
      </c>
      <c r="M677" s="46" t="str">
        <f aca="false">IF(I677="","",IF(OR(A677&lt;I_Parameter!$C$5,A677&gt;I_Parameter!$C$6),0,IF(B677="Aktual",1,IF(AND(B677="Rencana",A677&gt;=I_Parameter!$C$4),1,0))))</f>
        <v/>
      </c>
    </row>
    <row r="678" customFormat="false" ht="15" hidden="false" customHeight="false" outlineLevel="0" collapsed="false">
      <c r="A678" s="37"/>
      <c r="B678" s="44"/>
      <c r="C678" s="44"/>
      <c r="D678" s="44"/>
      <c r="E678" s="44"/>
      <c r="F678" s="44"/>
      <c r="G678" s="44"/>
      <c r="H678" s="34" t="str">
        <f aca="false">IF(G678&lt;&gt;"",G678,IF(F678="","",IFERROR(INDEX(I_Item!$C$6:$C$255,MATCH(F678,I_Item!$A$6:$A$255,0)),"KODE BARU")))</f>
        <v/>
      </c>
      <c r="I678" s="45"/>
      <c r="J678" s="42"/>
      <c r="K678" s="11" t="str">
        <f aca="false">IF(I678="","",I678*J678)</f>
        <v/>
      </c>
      <c r="L678" s="34" t="str">
        <f aca="false">IF(H678="","",IFERROR(INDEX(I_Master!$B$6:$B$85,MATCH(H678,I_Master!$A$6:$A$85,0)),"?"))</f>
        <v/>
      </c>
      <c r="M678" s="46" t="str">
        <f aca="false">IF(I678="","",IF(OR(A678&lt;I_Parameter!$C$5,A678&gt;I_Parameter!$C$6),0,IF(B678="Aktual",1,IF(AND(B678="Rencana",A678&gt;=I_Parameter!$C$4),1,0))))</f>
        <v/>
      </c>
    </row>
    <row r="679" customFormat="false" ht="15" hidden="false" customHeight="false" outlineLevel="0" collapsed="false">
      <c r="A679" s="37"/>
      <c r="B679" s="44"/>
      <c r="C679" s="44"/>
      <c r="D679" s="44"/>
      <c r="E679" s="44"/>
      <c r="F679" s="44"/>
      <c r="G679" s="44"/>
      <c r="H679" s="34" t="str">
        <f aca="false">IF(G679&lt;&gt;"",G679,IF(F679="","",IFERROR(INDEX(I_Item!$C$6:$C$255,MATCH(F679,I_Item!$A$6:$A$255,0)),"KODE BARU")))</f>
        <v/>
      </c>
      <c r="I679" s="45"/>
      <c r="J679" s="42"/>
      <c r="K679" s="11" t="str">
        <f aca="false">IF(I679="","",I679*J679)</f>
        <v/>
      </c>
      <c r="L679" s="34" t="str">
        <f aca="false">IF(H679="","",IFERROR(INDEX(I_Master!$B$6:$B$85,MATCH(H679,I_Master!$A$6:$A$85,0)),"?"))</f>
        <v/>
      </c>
      <c r="M679" s="46" t="str">
        <f aca="false">IF(I679="","",IF(OR(A679&lt;I_Parameter!$C$5,A679&gt;I_Parameter!$C$6),0,IF(B679="Aktual",1,IF(AND(B679="Rencana",A679&gt;=I_Parameter!$C$4),1,0))))</f>
        <v/>
      </c>
    </row>
    <row r="680" customFormat="false" ht="15" hidden="false" customHeight="false" outlineLevel="0" collapsed="false">
      <c r="A680" s="37"/>
      <c r="B680" s="44"/>
      <c r="C680" s="44"/>
      <c r="D680" s="44"/>
      <c r="E680" s="44"/>
      <c r="F680" s="44"/>
      <c r="G680" s="44"/>
      <c r="H680" s="34" t="str">
        <f aca="false">IF(G680&lt;&gt;"",G680,IF(F680="","",IFERROR(INDEX(I_Item!$C$6:$C$255,MATCH(F680,I_Item!$A$6:$A$255,0)),"KODE BARU")))</f>
        <v/>
      </c>
      <c r="I680" s="45"/>
      <c r="J680" s="42"/>
      <c r="K680" s="11" t="str">
        <f aca="false">IF(I680="","",I680*J680)</f>
        <v/>
      </c>
      <c r="L680" s="34" t="str">
        <f aca="false">IF(H680="","",IFERROR(INDEX(I_Master!$B$6:$B$85,MATCH(H680,I_Master!$A$6:$A$85,0)),"?"))</f>
        <v/>
      </c>
      <c r="M680" s="46" t="str">
        <f aca="false">IF(I680="","",IF(OR(A680&lt;I_Parameter!$C$5,A680&gt;I_Parameter!$C$6),0,IF(B680="Aktual",1,IF(AND(B680="Rencana",A680&gt;=I_Parameter!$C$4),1,0))))</f>
        <v/>
      </c>
    </row>
    <row r="681" customFormat="false" ht="15" hidden="false" customHeight="false" outlineLevel="0" collapsed="false">
      <c r="A681" s="37"/>
      <c r="B681" s="44"/>
      <c r="C681" s="44"/>
      <c r="D681" s="44"/>
      <c r="E681" s="44"/>
      <c r="F681" s="44"/>
      <c r="G681" s="44"/>
      <c r="H681" s="34" t="str">
        <f aca="false">IF(G681&lt;&gt;"",G681,IF(F681="","",IFERROR(INDEX(I_Item!$C$6:$C$255,MATCH(F681,I_Item!$A$6:$A$255,0)),"KODE BARU")))</f>
        <v/>
      </c>
      <c r="I681" s="45"/>
      <c r="J681" s="42"/>
      <c r="K681" s="11" t="str">
        <f aca="false">IF(I681="","",I681*J681)</f>
        <v/>
      </c>
      <c r="L681" s="34" t="str">
        <f aca="false">IF(H681="","",IFERROR(INDEX(I_Master!$B$6:$B$85,MATCH(H681,I_Master!$A$6:$A$85,0)),"?"))</f>
        <v/>
      </c>
      <c r="M681" s="46" t="str">
        <f aca="false">IF(I681="","",IF(OR(A681&lt;I_Parameter!$C$5,A681&gt;I_Parameter!$C$6),0,IF(B681="Aktual",1,IF(AND(B681="Rencana",A681&gt;=I_Parameter!$C$4),1,0))))</f>
        <v/>
      </c>
    </row>
    <row r="682" customFormat="false" ht="15" hidden="false" customHeight="false" outlineLevel="0" collapsed="false">
      <c r="A682" s="37"/>
      <c r="B682" s="44"/>
      <c r="C682" s="44"/>
      <c r="D682" s="44"/>
      <c r="E682" s="44"/>
      <c r="F682" s="44"/>
      <c r="G682" s="44"/>
      <c r="H682" s="34" t="str">
        <f aca="false">IF(G682&lt;&gt;"",G682,IF(F682="","",IFERROR(INDEX(I_Item!$C$6:$C$255,MATCH(F682,I_Item!$A$6:$A$255,0)),"KODE BARU")))</f>
        <v/>
      </c>
      <c r="I682" s="45"/>
      <c r="J682" s="42"/>
      <c r="K682" s="11" t="str">
        <f aca="false">IF(I682="","",I682*J682)</f>
        <v/>
      </c>
      <c r="L682" s="34" t="str">
        <f aca="false">IF(H682="","",IFERROR(INDEX(I_Master!$B$6:$B$85,MATCH(H682,I_Master!$A$6:$A$85,0)),"?"))</f>
        <v/>
      </c>
      <c r="M682" s="46" t="str">
        <f aca="false">IF(I682="","",IF(OR(A682&lt;I_Parameter!$C$5,A682&gt;I_Parameter!$C$6),0,IF(B682="Aktual",1,IF(AND(B682="Rencana",A682&gt;=I_Parameter!$C$4),1,0))))</f>
        <v/>
      </c>
    </row>
    <row r="683" customFormat="false" ht="15" hidden="false" customHeight="false" outlineLevel="0" collapsed="false">
      <c r="A683" s="37"/>
      <c r="B683" s="44"/>
      <c r="C683" s="44"/>
      <c r="D683" s="44"/>
      <c r="E683" s="44"/>
      <c r="F683" s="44"/>
      <c r="G683" s="44"/>
      <c r="H683" s="34" t="str">
        <f aca="false">IF(G683&lt;&gt;"",G683,IF(F683="","",IFERROR(INDEX(I_Item!$C$6:$C$255,MATCH(F683,I_Item!$A$6:$A$255,0)),"KODE BARU")))</f>
        <v/>
      </c>
      <c r="I683" s="45"/>
      <c r="J683" s="42"/>
      <c r="K683" s="11" t="str">
        <f aca="false">IF(I683="","",I683*J683)</f>
        <v/>
      </c>
      <c r="L683" s="34" t="str">
        <f aca="false">IF(H683="","",IFERROR(INDEX(I_Master!$B$6:$B$85,MATCH(H683,I_Master!$A$6:$A$85,0)),"?"))</f>
        <v/>
      </c>
      <c r="M683" s="46" t="str">
        <f aca="false">IF(I683="","",IF(OR(A683&lt;I_Parameter!$C$5,A683&gt;I_Parameter!$C$6),0,IF(B683="Aktual",1,IF(AND(B683="Rencana",A683&gt;=I_Parameter!$C$4),1,0))))</f>
        <v/>
      </c>
    </row>
    <row r="684" customFormat="false" ht="15" hidden="false" customHeight="false" outlineLevel="0" collapsed="false">
      <c r="A684" s="37"/>
      <c r="B684" s="44"/>
      <c r="C684" s="44"/>
      <c r="D684" s="44"/>
      <c r="E684" s="44"/>
      <c r="F684" s="44"/>
      <c r="G684" s="44"/>
      <c r="H684" s="34" t="str">
        <f aca="false">IF(G684&lt;&gt;"",G684,IF(F684="","",IFERROR(INDEX(I_Item!$C$6:$C$255,MATCH(F684,I_Item!$A$6:$A$255,0)),"KODE BARU")))</f>
        <v/>
      </c>
      <c r="I684" s="45"/>
      <c r="J684" s="42"/>
      <c r="K684" s="11" t="str">
        <f aca="false">IF(I684="","",I684*J684)</f>
        <v/>
      </c>
      <c r="L684" s="34" t="str">
        <f aca="false">IF(H684="","",IFERROR(INDEX(I_Master!$B$6:$B$85,MATCH(H684,I_Master!$A$6:$A$85,0)),"?"))</f>
        <v/>
      </c>
      <c r="M684" s="46" t="str">
        <f aca="false">IF(I684="","",IF(OR(A684&lt;I_Parameter!$C$5,A684&gt;I_Parameter!$C$6),0,IF(B684="Aktual",1,IF(AND(B684="Rencana",A684&gt;=I_Parameter!$C$4),1,0))))</f>
        <v/>
      </c>
    </row>
    <row r="685" customFormat="false" ht="15" hidden="false" customHeight="false" outlineLevel="0" collapsed="false">
      <c r="A685" s="37"/>
      <c r="B685" s="44"/>
      <c r="C685" s="44"/>
      <c r="D685" s="44"/>
      <c r="E685" s="44"/>
      <c r="F685" s="44"/>
      <c r="G685" s="44"/>
      <c r="H685" s="34" t="str">
        <f aca="false">IF(G685&lt;&gt;"",G685,IF(F685="","",IFERROR(INDEX(I_Item!$C$6:$C$255,MATCH(F685,I_Item!$A$6:$A$255,0)),"KODE BARU")))</f>
        <v/>
      </c>
      <c r="I685" s="45"/>
      <c r="J685" s="42"/>
      <c r="K685" s="11" t="str">
        <f aca="false">IF(I685="","",I685*J685)</f>
        <v/>
      </c>
      <c r="L685" s="34" t="str">
        <f aca="false">IF(H685="","",IFERROR(INDEX(I_Master!$B$6:$B$85,MATCH(H685,I_Master!$A$6:$A$85,0)),"?"))</f>
        <v/>
      </c>
      <c r="M685" s="46" t="str">
        <f aca="false">IF(I685="","",IF(OR(A685&lt;I_Parameter!$C$5,A685&gt;I_Parameter!$C$6),0,IF(B685="Aktual",1,IF(AND(B685="Rencana",A685&gt;=I_Parameter!$C$4),1,0))))</f>
        <v/>
      </c>
    </row>
    <row r="686" customFormat="false" ht="15" hidden="false" customHeight="false" outlineLevel="0" collapsed="false">
      <c r="A686" s="37"/>
      <c r="B686" s="44"/>
      <c r="C686" s="44"/>
      <c r="D686" s="44"/>
      <c r="E686" s="44"/>
      <c r="F686" s="44"/>
      <c r="G686" s="44"/>
      <c r="H686" s="34" t="str">
        <f aca="false">IF(G686&lt;&gt;"",G686,IF(F686="","",IFERROR(INDEX(I_Item!$C$6:$C$255,MATCH(F686,I_Item!$A$6:$A$255,0)),"KODE BARU")))</f>
        <v/>
      </c>
      <c r="I686" s="45"/>
      <c r="J686" s="42"/>
      <c r="K686" s="11" t="str">
        <f aca="false">IF(I686="","",I686*J686)</f>
        <v/>
      </c>
      <c r="L686" s="34" t="str">
        <f aca="false">IF(H686="","",IFERROR(INDEX(I_Master!$B$6:$B$85,MATCH(H686,I_Master!$A$6:$A$85,0)),"?"))</f>
        <v/>
      </c>
      <c r="M686" s="46" t="str">
        <f aca="false">IF(I686="","",IF(OR(A686&lt;I_Parameter!$C$5,A686&gt;I_Parameter!$C$6),0,IF(B686="Aktual",1,IF(AND(B686="Rencana",A686&gt;=I_Parameter!$C$4),1,0))))</f>
        <v/>
      </c>
    </row>
    <row r="687" customFormat="false" ht="15" hidden="false" customHeight="false" outlineLevel="0" collapsed="false">
      <c r="A687" s="37"/>
      <c r="B687" s="44"/>
      <c r="C687" s="44"/>
      <c r="D687" s="44"/>
      <c r="E687" s="44"/>
      <c r="F687" s="44"/>
      <c r="G687" s="44"/>
      <c r="H687" s="34" t="str">
        <f aca="false">IF(G687&lt;&gt;"",G687,IF(F687="","",IFERROR(INDEX(I_Item!$C$6:$C$255,MATCH(F687,I_Item!$A$6:$A$255,0)),"KODE BARU")))</f>
        <v/>
      </c>
      <c r="I687" s="45"/>
      <c r="J687" s="42"/>
      <c r="K687" s="11" t="str">
        <f aca="false">IF(I687="","",I687*J687)</f>
        <v/>
      </c>
      <c r="L687" s="34" t="str">
        <f aca="false">IF(H687="","",IFERROR(INDEX(I_Master!$B$6:$B$85,MATCH(H687,I_Master!$A$6:$A$85,0)),"?"))</f>
        <v/>
      </c>
      <c r="M687" s="46" t="str">
        <f aca="false">IF(I687="","",IF(OR(A687&lt;I_Parameter!$C$5,A687&gt;I_Parameter!$C$6),0,IF(B687="Aktual",1,IF(AND(B687="Rencana",A687&gt;=I_Parameter!$C$4),1,0))))</f>
        <v/>
      </c>
    </row>
    <row r="688" customFormat="false" ht="15" hidden="false" customHeight="false" outlineLevel="0" collapsed="false">
      <c r="A688" s="37"/>
      <c r="B688" s="44"/>
      <c r="C688" s="44"/>
      <c r="D688" s="44"/>
      <c r="E688" s="44"/>
      <c r="F688" s="44"/>
      <c r="G688" s="44"/>
      <c r="H688" s="34" t="str">
        <f aca="false">IF(G688&lt;&gt;"",G688,IF(F688="","",IFERROR(INDEX(I_Item!$C$6:$C$255,MATCH(F688,I_Item!$A$6:$A$255,0)),"KODE BARU")))</f>
        <v/>
      </c>
      <c r="I688" s="45"/>
      <c r="J688" s="42"/>
      <c r="K688" s="11" t="str">
        <f aca="false">IF(I688="","",I688*J688)</f>
        <v/>
      </c>
      <c r="L688" s="34" t="str">
        <f aca="false">IF(H688="","",IFERROR(INDEX(I_Master!$B$6:$B$85,MATCH(H688,I_Master!$A$6:$A$85,0)),"?"))</f>
        <v/>
      </c>
      <c r="M688" s="46" t="str">
        <f aca="false">IF(I688="","",IF(OR(A688&lt;I_Parameter!$C$5,A688&gt;I_Parameter!$C$6),0,IF(B688="Aktual",1,IF(AND(B688="Rencana",A688&gt;=I_Parameter!$C$4),1,0))))</f>
        <v/>
      </c>
    </row>
    <row r="689" customFormat="false" ht="15" hidden="false" customHeight="false" outlineLevel="0" collapsed="false">
      <c r="A689" s="37"/>
      <c r="B689" s="44"/>
      <c r="C689" s="44"/>
      <c r="D689" s="44"/>
      <c r="E689" s="44"/>
      <c r="F689" s="44"/>
      <c r="G689" s="44"/>
      <c r="H689" s="34" t="str">
        <f aca="false">IF(G689&lt;&gt;"",G689,IF(F689="","",IFERROR(INDEX(I_Item!$C$6:$C$255,MATCH(F689,I_Item!$A$6:$A$255,0)),"KODE BARU")))</f>
        <v/>
      </c>
      <c r="I689" s="45"/>
      <c r="J689" s="42"/>
      <c r="K689" s="11" t="str">
        <f aca="false">IF(I689="","",I689*J689)</f>
        <v/>
      </c>
      <c r="L689" s="34" t="str">
        <f aca="false">IF(H689="","",IFERROR(INDEX(I_Master!$B$6:$B$85,MATCH(H689,I_Master!$A$6:$A$85,0)),"?"))</f>
        <v/>
      </c>
      <c r="M689" s="46" t="str">
        <f aca="false">IF(I689="","",IF(OR(A689&lt;I_Parameter!$C$5,A689&gt;I_Parameter!$C$6),0,IF(B689="Aktual",1,IF(AND(B689="Rencana",A689&gt;=I_Parameter!$C$4),1,0))))</f>
        <v/>
      </c>
    </row>
    <row r="690" customFormat="false" ht="15" hidden="false" customHeight="false" outlineLevel="0" collapsed="false">
      <c r="A690" s="37"/>
      <c r="B690" s="44"/>
      <c r="C690" s="44"/>
      <c r="D690" s="44"/>
      <c r="E690" s="44"/>
      <c r="F690" s="44"/>
      <c r="G690" s="44"/>
      <c r="H690" s="34" t="str">
        <f aca="false">IF(G690&lt;&gt;"",G690,IF(F690="","",IFERROR(INDEX(I_Item!$C$6:$C$255,MATCH(F690,I_Item!$A$6:$A$255,0)),"KODE BARU")))</f>
        <v/>
      </c>
      <c r="I690" s="45"/>
      <c r="J690" s="42"/>
      <c r="K690" s="11" t="str">
        <f aca="false">IF(I690="","",I690*J690)</f>
        <v/>
      </c>
      <c r="L690" s="34" t="str">
        <f aca="false">IF(H690="","",IFERROR(INDEX(I_Master!$B$6:$B$85,MATCH(H690,I_Master!$A$6:$A$85,0)),"?"))</f>
        <v/>
      </c>
      <c r="M690" s="46" t="str">
        <f aca="false">IF(I690="","",IF(OR(A690&lt;I_Parameter!$C$5,A690&gt;I_Parameter!$C$6),0,IF(B690="Aktual",1,IF(AND(B690="Rencana",A690&gt;=I_Parameter!$C$4),1,0))))</f>
        <v/>
      </c>
    </row>
    <row r="691" customFormat="false" ht="15" hidden="false" customHeight="false" outlineLevel="0" collapsed="false">
      <c r="A691" s="37"/>
      <c r="B691" s="44"/>
      <c r="C691" s="44"/>
      <c r="D691" s="44"/>
      <c r="E691" s="44"/>
      <c r="F691" s="44"/>
      <c r="G691" s="44"/>
      <c r="H691" s="34" t="str">
        <f aca="false">IF(G691&lt;&gt;"",G691,IF(F691="","",IFERROR(INDEX(I_Item!$C$6:$C$255,MATCH(F691,I_Item!$A$6:$A$255,0)),"KODE BARU")))</f>
        <v/>
      </c>
      <c r="I691" s="45"/>
      <c r="J691" s="42"/>
      <c r="K691" s="11" t="str">
        <f aca="false">IF(I691="","",I691*J691)</f>
        <v/>
      </c>
      <c r="L691" s="34" t="str">
        <f aca="false">IF(H691="","",IFERROR(INDEX(I_Master!$B$6:$B$85,MATCH(H691,I_Master!$A$6:$A$85,0)),"?"))</f>
        <v/>
      </c>
      <c r="M691" s="46" t="str">
        <f aca="false">IF(I691="","",IF(OR(A691&lt;I_Parameter!$C$5,A691&gt;I_Parameter!$C$6),0,IF(B691="Aktual",1,IF(AND(B691="Rencana",A691&gt;=I_Parameter!$C$4),1,0))))</f>
        <v/>
      </c>
    </row>
    <row r="692" customFormat="false" ht="15" hidden="false" customHeight="false" outlineLevel="0" collapsed="false">
      <c r="A692" s="37"/>
      <c r="B692" s="44"/>
      <c r="C692" s="44"/>
      <c r="D692" s="44"/>
      <c r="E692" s="44"/>
      <c r="F692" s="44"/>
      <c r="G692" s="44"/>
      <c r="H692" s="34" t="str">
        <f aca="false">IF(G692&lt;&gt;"",G692,IF(F692="","",IFERROR(INDEX(I_Item!$C$6:$C$255,MATCH(F692,I_Item!$A$6:$A$255,0)),"KODE BARU")))</f>
        <v/>
      </c>
      <c r="I692" s="45"/>
      <c r="J692" s="42"/>
      <c r="K692" s="11" t="str">
        <f aca="false">IF(I692="","",I692*J692)</f>
        <v/>
      </c>
      <c r="L692" s="34" t="str">
        <f aca="false">IF(H692="","",IFERROR(INDEX(I_Master!$B$6:$B$85,MATCH(H692,I_Master!$A$6:$A$85,0)),"?"))</f>
        <v/>
      </c>
      <c r="M692" s="46" t="str">
        <f aca="false">IF(I692="","",IF(OR(A692&lt;I_Parameter!$C$5,A692&gt;I_Parameter!$C$6),0,IF(B692="Aktual",1,IF(AND(B692="Rencana",A692&gt;=I_Parameter!$C$4),1,0))))</f>
        <v/>
      </c>
    </row>
    <row r="693" customFormat="false" ht="15" hidden="false" customHeight="false" outlineLevel="0" collapsed="false">
      <c r="A693" s="37"/>
      <c r="B693" s="44"/>
      <c r="C693" s="44"/>
      <c r="D693" s="44"/>
      <c r="E693" s="44"/>
      <c r="F693" s="44"/>
      <c r="G693" s="44"/>
      <c r="H693" s="34" t="str">
        <f aca="false">IF(G693&lt;&gt;"",G693,IF(F693="","",IFERROR(INDEX(I_Item!$C$6:$C$255,MATCH(F693,I_Item!$A$6:$A$255,0)),"KODE BARU")))</f>
        <v/>
      </c>
      <c r="I693" s="45"/>
      <c r="J693" s="42"/>
      <c r="K693" s="11" t="str">
        <f aca="false">IF(I693="","",I693*J693)</f>
        <v/>
      </c>
      <c r="L693" s="34" t="str">
        <f aca="false">IF(H693="","",IFERROR(INDEX(I_Master!$B$6:$B$85,MATCH(H693,I_Master!$A$6:$A$85,0)),"?"))</f>
        <v/>
      </c>
      <c r="M693" s="46" t="str">
        <f aca="false">IF(I693="","",IF(OR(A693&lt;I_Parameter!$C$5,A693&gt;I_Parameter!$C$6),0,IF(B693="Aktual",1,IF(AND(B693="Rencana",A693&gt;=I_Parameter!$C$4),1,0))))</f>
        <v/>
      </c>
    </row>
    <row r="694" customFormat="false" ht="15" hidden="false" customHeight="false" outlineLevel="0" collapsed="false">
      <c r="A694" s="37"/>
      <c r="B694" s="44"/>
      <c r="C694" s="44"/>
      <c r="D694" s="44"/>
      <c r="E694" s="44"/>
      <c r="F694" s="44"/>
      <c r="G694" s="44"/>
      <c r="H694" s="34" t="str">
        <f aca="false">IF(G694&lt;&gt;"",G694,IF(F694="","",IFERROR(INDEX(I_Item!$C$6:$C$255,MATCH(F694,I_Item!$A$6:$A$255,0)),"KODE BARU")))</f>
        <v/>
      </c>
      <c r="I694" s="45"/>
      <c r="J694" s="42"/>
      <c r="K694" s="11" t="str">
        <f aca="false">IF(I694="","",I694*J694)</f>
        <v/>
      </c>
      <c r="L694" s="34" t="str">
        <f aca="false">IF(H694="","",IFERROR(INDEX(I_Master!$B$6:$B$85,MATCH(H694,I_Master!$A$6:$A$85,0)),"?"))</f>
        <v/>
      </c>
      <c r="M694" s="46" t="str">
        <f aca="false">IF(I694="","",IF(OR(A694&lt;I_Parameter!$C$5,A694&gt;I_Parameter!$C$6),0,IF(B694="Aktual",1,IF(AND(B694="Rencana",A694&gt;=I_Parameter!$C$4),1,0))))</f>
        <v/>
      </c>
    </row>
    <row r="695" customFormat="false" ht="15" hidden="false" customHeight="false" outlineLevel="0" collapsed="false">
      <c r="A695" s="37"/>
      <c r="B695" s="44"/>
      <c r="C695" s="44"/>
      <c r="D695" s="44"/>
      <c r="E695" s="44"/>
      <c r="F695" s="44"/>
      <c r="G695" s="44"/>
      <c r="H695" s="34" t="str">
        <f aca="false">IF(G695&lt;&gt;"",G695,IF(F695="","",IFERROR(INDEX(I_Item!$C$6:$C$255,MATCH(F695,I_Item!$A$6:$A$255,0)),"KODE BARU")))</f>
        <v/>
      </c>
      <c r="I695" s="45"/>
      <c r="J695" s="42"/>
      <c r="K695" s="11" t="str">
        <f aca="false">IF(I695="","",I695*J695)</f>
        <v/>
      </c>
      <c r="L695" s="34" t="str">
        <f aca="false">IF(H695="","",IFERROR(INDEX(I_Master!$B$6:$B$85,MATCH(H695,I_Master!$A$6:$A$85,0)),"?"))</f>
        <v/>
      </c>
      <c r="M695" s="46" t="str">
        <f aca="false">IF(I695="","",IF(OR(A695&lt;I_Parameter!$C$5,A695&gt;I_Parameter!$C$6),0,IF(B695="Aktual",1,IF(AND(B695="Rencana",A695&gt;=I_Parameter!$C$4),1,0))))</f>
        <v/>
      </c>
    </row>
    <row r="696" customFormat="false" ht="15" hidden="false" customHeight="false" outlineLevel="0" collapsed="false">
      <c r="A696" s="37"/>
      <c r="B696" s="44"/>
      <c r="C696" s="44"/>
      <c r="D696" s="44"/>
      <c r="E696" s="44"/>
      <c r="F696" s="44"/>
      <c r="G696" s="44"/>
      <c r="H696" s="34" t="str">
        <f aca="false">IF(G696&lt;&gt;"",G696,IF(F696="","",IFERROR(INDEX(I_Item!$C$6:$C$255,MATCH(F696,I_Item!$A$6:$A$255,0)),"KODE BARU")))</f>
        <v/>
      </c>
      <c r="I696" s="45"/>
      <c r="J696" s="42"/>
      <c r="K696" s="11" t="str">
        <f aca="false">IF(I696="","",I696*J696)</f>
        <v/>
      </c>
      <c r="L696" s="34" t="str">
        <f aca="false">IF(H696="","",IFERROR(INDEX(I_Master!$B$6:$B$85,MATCH(H696,I_Master!$A$6:$A$85,0)),"?"))</f>
        <v/>
      </c>
      <c r="M696" s="46" t="str">
        <f aca="false">IF(I696="","",IF(OR(A696&lt;I_Parameter!$C$5,A696&gt;I_Parameter!$C$6),0,IF(B696="Aktual",1,IF(AND(B696="Rencana",A696&gt;=I_Parameter!$C$4),1,0))))</f>
        <v/>
      </c>
    </row>
    <row r="697" customFormat="false" ht="15" hidden="false" customHeight="false" outlineLevel="0" collapsed="false">
      <c r="A697" s="37"/>
      <c r="B697" s="44"/>
      <c r="C697" s="44"/>
      <c r="D697" s="44"/>
      <c r="E697" s="44"/>
      <c r="F697" s="44"/>
      <c r="G697" s="44"/>
      <c r="H697" s="34" t="str">
        <f aca="false">IF(G697&lt;&gt;"",G697,IF(F697="","",IFERROR(INDEX(I_Item!$C$6:$C$255,MATCH(F697,I_Item!$A$6:$A$255,0)),"KODE BARU")))</f>
        <v/>
      </c>
      <c r="I697" s="45"/>
      <c r="J697" s="42"/>
      <c r="K697" s="11" t="str">
        <f aca="false">IF(I697="","",I697*J697)</f>
        <v/>
      </c>
      <c r="L697" s="34" t="str">
        <f aca="false">IF(H697="","",IFERROR(INDEX(I_Master!$B$6:$B$85,MATCH(H697,I_Master!$A$6:$A$85,0)),"?"))</f>
        <v/>
      </c>
      <c r="M697" s="46" t="str">
        <f aca="false">IF(I697="","",IF(OR(A697&lt;I_Parameter!$C$5,A697&gt;I_Parameter!$C$6),0,IF(B697="Aktual",1,IF(AND(B697="Rencana",A697&gt;=I_Parameter!$C$4),1,0))))</f>
        <v/>
      </c>
    </row>
    <row r="698" customFormat="false" ht="15" hidden="false" customHeight="false" outlineLevel="0" collapsed="false">
      <c r="A698" s="37"/>
      <c r="B698" s="44"/>
      <c r="C698" s="44"/>
      <c r="D698" s="44"/>
      <c r="E698" s="44"/>
      <c r="F698" s="44"/>
      <c r="G698" s="44"/>
      <c r="H698" s="34" t="str">
        <f aca="false">IF(G698&lt;&gt;"",G698,IF(F698="","",IFERROR(INDEX(I_Item!$C$6:$C$255,MATCH(F698,I_Item!$A$6:$A$255,0)),"KODE BARU")))</f>
        <v/>
      </c>
      <c r="I698" s="45"/>
      <c r="J698" s="42"/>
      <c r="K698" s="11" t="str">
        <f aca="false">IF(I698="","",I698*J698)</f>
        <v/>
      </c>
      <c r="L698" s="34" t="str">
        <f aca="false">IF(H698="","",IFERROR(INDEX(I_Master!$B$6:$B$85,MATCH(H698,I_Master!$A$6:$A$85,0)),"?"))</f>
        <v/>
      </c>
      <c r="M698" s="46" t="str">
        <f aca="false">IF(I698="","",IF(OR(A698&lt;I_Parameter!$C$5,A698&gt;I_Parameter!$C$6),0,IF(B698="Aktual",1,IF(AND(B698="Rencana",A698&gt;=I_Parameter!$C$4),1,0))))</f>
        <v/>
      </c>
    </row>
    <row r="699" customFormat="false" ht="15" hidden="false" customHeight="false" outlineLevel="0" collapsed="false">
      <c r="A699" s="37"/>
      <c r="B699" s="44"/>
      <c r="C699" s="44"/>
      <c r="D699" s="44"/>
      <c r="E699" s="44"/>
      <c r="F699" s="44"/>
      <c r="G699" s="44"/>
      <c r="H699" s="34" t="str">
        <f aca="false">IF(G699&lt;&gt;"",G699,IF(F699="","",IFERROR(INDEX(I_Item!$C$6:$C$255,MATCH(F699,I_Item!$A$6:$A$255,0)),"KODE BARU")))</f>
        <v/>
      </c>
      <c r="I699" s="45"/>
      <c r="J699" s="42"/>
      <c r="K699" s="11" t="str">
        <f aca="false">IF(I699="","",I699*J699)</f>
        <v/>
      </c>
      <c r="L699" s="34" t="str">
        <f aca="false">IF(H699="","",IFERROR(INDEX(I_Master!$B$6:$B$85,MATCH(H699,I_Master!$A$6:$A$85,0)),"?"))</f>
        <v/>
      </c>
      <c r="M699" s="46" t="str">
        <f aca="false">IF(I699="","",IF(OR(A699&lt;I_Parameter!$C$5,A699&gt;I_Parameter!$C$6),0,IF(B699="Aktual",1,IF(AND(B699="Rencana",A699&gt;=I_Parameter!$C$4),1,0))))</f>
        <v/>
      </c>
    </row>
    <row r="700" customFormat="false" ht="15" hidden="false" customHeight="false" outlineLevel="0" collapsed="false">
      <c r="A700" s="37"/>
      <c r="B700" s="44"/>
      <c r="C700" s="44"/>
      <c r="D700" s="44"/>
      <c r="E700" s="44"/>
      <c r="F700" s="44"/>
      <c r="G700" s="44"/>
      <c r="H700" s="34" t="str">
        <f aca="false">IF(G700&lt;&gt;"",G700,IF(F700="","",IFERROR(INDEX(I_Item!$C$6:$C$255,MATCH(F700,I_Item!$A$6:$A$255,0)),"KODE BARU")))</f>
        <v/>
      </c>
      <c r="I700" s="45"/>
      <c r="J700" s="42"/>
      <c r="K700" s="11" t="str">
        <f aca="false">IF(I700="","",I700*J700)</f>
        <v/>
      </c>
      <c r="L700" s="34" t="str">
        <f aca="false">IF(H700="","",IFERROR(INDEX(I_Master!$B$6:$B$85,MATCH(H700,I_Master!$A$6:$A$85,0)),"?"))</f>
        <v/>
      </c>
      <c r="M700" s="46" t="str">
        <f aca="false">IF(I700="","",IF(OR(A700&lt;I_Parameter!$C$5,A700&gt;I_Parameter!$C$6),0,IF(B700="Aktual",1,IF(AND(B700="Rencana",A700&gt;=I_Parameter!$C$4),1,0))))</f>
        <v/>
      </c>
    </row>
    <row r="701" customFormat="false" ht="15" hidden="false" customHeight="false" outlineLevel="0" collapsed="false">
      <c r="A701" s="37"/>
      <c r="B701" s="44"/>
      <c r="C701" s="44"/>
      <c r="D701" s="44"/>
      <c r="E701" s="44"/>
      <c r="F701" s="44"/>
      <c r="G701" s="44"/>
      <c r="H701" s="34" t="str">
        <f aca="false">IF(G701&lt;&gt;"",G701,IF(F701="","",IFERROR(INDEX(I_Item!$C$6:$C$255,MATCH(F701,I_Item!$A$6:$A$255,0)),"KODE BARU")))</f>
        <v/>
      </c>
      <c r="I701" s="45"/>
      <c r="J701" s="42"/>
      <c r="K701" s="11" t="str">
        <f aca="false">IF(I701="","",I701*J701)</f>
        <v/>
      </c>
      <c r="L701" s="34" t="str">
        <f aca="false">IF(H701="","",IFERROR(INDEX(I_Master!$B$6:$B$85,MATCH(H701,I_Master!$A$6:$A$85,0)),"?"))</f>
        <v/>
      </c>
      <c r="M701" s="46" t="str">
        <f aca="false">IF(I701="","",IF(OR(A701&lt;I_Parameter!$C$5,A701&gt;I_Parameter!$C$6),0,IF(B701="Aktual",1,IF(AND(B701="Rencana",A701&gt;=I_Parameter!$C$4),1,0))))</f>
        <v/>
      </c>
    </row>
    <row r="702" customFormat="false" ht="15" hidden="false" customHeight="false" outlineLevel="0" collapsed="false">
      <c r="A702" s="37"/>
      <c r="B702" s="44"/>
      <c r="C702" s="44"/>
      <c r="D702" s="44"/>
      <c r="E702" s="44"/>
      <c r="F702" s="44"/>
      <c r="G702" s="44"/>
      <c r="H702" s="34" t="str">
        <f aca="false">IF(G702&lt;&gt;"",G702,IF(F702="","",IFERROR(INDEX(I_Item!$C$6:$C$255,MATCH(F702,I_Item!$A$6:$A$255,0)),"KODE BARU")))</f>
        <v/>
      </c>
      <c r="I702" s="45"/>
      <c r="J702" s="42"/>
      <c r="K702" s="11" t="str">
        <f aca="false">IF(I702="","",I702*J702)</f>
        <v/>
      </c>
      <c r="L702" s="34" t="str">
        <f aca="false">IF(H702="","",IFERROR(INDEX(I_Master!$B$6:$B$85,MATCH(H702,I_Master!$A$6:$A$85,0)),"?"))</f>
        <v/>
      </c>
      <c r="M702" s="46" t="str">
        <f aca="false">IF(I702="","",IF(OR(A702&lt;I_Parameter!$C$5,A702&gt;I_Parameter!$C$6),0,IF(B702="Aktual",1,IF(AND(B702="Rencana",A702&gt;=I_Parameter!$C$4),1,0))))</f>
        <v/>
      </c>
    </row>
    <row r="703" customFormat="false" ht="15" hidden="false" customHeight="false" outlineLevel="0" collapsed="false">
      <c r="A703" s="37"/>
      <c r="B703" s="44"/>
      <c r="C703" s="44"/>
      <c r="D703" s="44"/>
      <c r="E703" s="44"/>
      <c r="F703" s="44"/>
      <c r="G703" s="44"/>
      <c r="H703" s="34" t="str">
        <f aca="false">IF(G703&lt;&gt;"",G703,IF(F703="","",IFERROR(INDEX(I_Item!$C$6:$C$255,MATCH(F703,I_Item!$A$6:$A$255,0)),"KODE BARU")))</f>
        <v/>
      </c>
      <c r="I703" s="45"/>
      <c r="J703" s="42"/>
      <c r="K703" s="11" t="str">
        <f aca="false">IF(I703="","",I703*J703)</f>
        <v/>
      </c>
      <c r="L703" s="34" t="str">
        <f aca="false">IF(H703="","",IFERROR(INDEX(I_Master!$B$6:$B$85,MATCH(H703,I_Master!$A$6:$A$85,0)),"?"))</f>
        <v/>
      </c>
      <c r="M703" s="46" t="str">
        <f aca="false">IF(I703="","",IF(OR(A703&lt;I_Parameter!$C$5,A703&gt;I_Parameter!$C$6),0,IF(B703="Aktual",1,IF(AND(B703="Rencana",A703&gt;=I_Parameter!$C$4),1,0))))</f>
        <v/>
      </c>
    </row>
    <row r="704" customFormat="false" ht="15" hidden="false" customHeight="false" outlineLevel="0" collapsed="false">
      <c r="A704" s="37"/>
      <c r="B704" s="44"/>
      <c r="C704" s="44"/>
      <c r="D704" s="44"/>
      <c r="E704" s="44"/>
      <c r="F704" s="44"/>
      <c r="G704" s="44"/>
      <c r="H704" s="34" t="str">
        <f aca="false">IF(G704&lt;&gt;"",G704,IF(F704="","",IFERROR(INDEX(I_Item!$C$6:$C$255,MATCH(F704,I_Item!$A$6:$A$255,0)),"KODE BARU")))</f>
        <v/>
      </c>
      <c r="I704" s="45"/>
      <c r="J704" s="42"/>
      <c r="K704" s="11" t="str">
        <f aca="false">IF(I704="","",I704*J704)</f>
        <v/>
      </c>
      <c r="L704" s="34" t="str">
        <f aca="false">IF(H704="","",IFERROR(INDEX(I_Master!$B$6:$B$85,MATCH(H704,I_Master!$A$6:$A$85,0)),"?"))</f>
        <v/>
      </c>
      <c r="M704" s="46" t="str">
        <f aca="false">IF(I704="","",IF(OR(A704&lt;I_Parameter!$C$5,A704&gt;I_Parameter!$C$6),0,IF(B704="Aktual",1,IF(AND(B704="Rencana",A704&gt;=I_Parameter!$C$4),1,0))))</f>
        <v/>
      </c>
    </row>
    <row r="705" customFormat="false" ht="15" hidden="false" customHeight="false" outlineLevel="0" collapsed="false">
      <c r="A705" s="37"/>
      <c r="B705" s="44"/>
      <c r="C705" s="44"/>
      <c r="D705" s="44"/>
      <c r="E705" s="44"/>
      <c r="F705" s="44"/>
      <c r="G705" s="44"/>
      <c r="H705" s="34" t="str">
        <f aca="false">IF(G705&lt;&gt;"",G705,IF(F705="","",IFERROR(INDEX(I_Item!$C$6:$C$255,MATCH(F705,I_Item!$A$6:$A$255,0)),"KODE BARU")))</f>
        <v/>
      </c>
      <c r="I705" s="45"/>
      <c r="J705" s="42"/>
      <c r="K705" s="11" t="str">
        <f aca="false">IF(I705="","",I705*J705)</f>
        <v/>
      </c>
      <c r="L705" s="34" t="str">
        <f aca="false">IF(H705="","",IFERROR(INDEX(I_Master!$B$6:$B$85,MATCH(H705,I_Master!$A$6:$A$85,0)),"?"))</f>
        <v/>
      </c>
      <c r="M705" s="46" t="str">
        <f aca="false">IF(I705="","",IF(OR(A705&lt;I_Parameter!$C$5,A705&gt;I_Parameter!$C$6),0,IF(B705="Aktual",1,IF(AND(B705="Rencana",A705&gt;=I_Parameter!$C$4),1,0))))</f>
        <v/>
      </c>
    </row>
    <row r="706" customFormat="false" ht="15" hidden="false" customHeight="false" outlineLevel="0" collapsed="false">
      <c r="A706" s="37"/>
      <c r="B706" s="44"/>
      <c r="C706" s="44"/>
      <c r="D706" s="44"/>
      <c r="E706" s="44"/>
      <c r="F706" s="44"/>
      <c r="G706" s="44"/>
      <c r="H706" s="34" t="str">
        <f aca="false">IF(G706&lt;&gt;"",G706,IF(F706="","",IFERROR(INDEX(I_Item!$C$6:$C$255,MATCH(F706,I_Item!$A$6:$A$255,0)),"KODE BARU")))</f>
        <v/>
      </c>
      <c r="I706" s="45"/>
      <c r="J706" s="42"/>
      <c r="K706" s="11" t="str">
        <f aca="false">IF(I706="","",I706*J706)</f>
        <v/>
      </c>
      <c r="L706" s="34" t="str">
        <f aca="false">IF(H706="","",IFERROR(INDEX(I_Master!$B$6:$B$85,MATCH(H706,I_Master!$A$6:$A$85,0)),"?"))</f>
        <v/>
      </c>
      <c r="M706" s="46" t="str">
        <f aca="false">IF(I706="","",IF(OR(A706&lt;I_Parameter!$C$5,A706&gt;I_Parameter!$C$6),0,IF(B706="Aktual",1,IF(AND(B706="Rencana",A706&gt;=I_Parameter!$C$4),1,0))))</f>
        <v/>
      </c>
    </row>
    <row r="707" customFormat="false" ht="15" hidden="false" customHeight="false" outlineLevel="0" collapsed="false">
      <c r="A707" s="37"/>
      <c r="B707" s="44"/>
      <c r="C707" s="44"/>
      <c r="D707" s="44"/>
      <c r="E707" s="44"/>
      <c r="F707" s="44"/>
      <c r="G707" s="44"/>
      <c r="H707" s="34" t="str">
        <f aca="false">IF(G707&lt;&gt;"",G707,IF(F707="","",IFERROR(INDEX(I_Item!$C$6:$C$255,MATCH(F707,I_Item!$A$6:$A$255,0)),"KODE BARU")))</f>
        <v/>
      </c>
      <c r="I707" s="45"/>
      <c r="J707" s="42"/>
      <c r="K707" s="11" t="str">
        <f aca="false">IF(I707="","",I707*J707)</f>
        <v/>
      </c>
      <c r="L707" s="34" t="str">
        <f aca="false">IF(H707="","",IFERROR(INDEX(I_Master!$B$6:$B$85,MATCH(H707,I_Master!$A$6:$A$85,0)),"?"))</f>
        <v/>
      </c>
      <c r="M707" s="46" t="str">
        <f aca="false">IF(I707="","",IF(OR(A707&lt;I_Parameter!$C$5,A707&gt;I_Parameter!$C$6),0,IF(B707="Aktual",1,IF(AND(B707="Rencana",A707&gt;=I_Parameter!$C$4),1,0))))</f>
        <v/>
      </c>
    </row>
    <row r="708" customFormat="false" ht="15" hidden="false" customHeight="false" outlineLevel="0" collapsed="false">
      <c r="A708" s="37"/>
      <c r="B708" s="44"/>
      <c r="C708" s="44"/>
      <c r="D708" s="44"/>
      <c r="E708" s="44"/>
      <c r="F708" s="44"/>
      <c r="G708" s="44"/>
      <c r="H708" s="34" t="str">
        <f aca="false">IF(G708&lt;&gt;"",G708,IF(F708="","",IFERROR(INDEX(I_Item!$C$6:$C$255,MATCH(F708,I_Item!$A$6:$A$255,0)),"KODE BARU")))</f>
        <v/>
      </c>
      <c r="I708" s="45"/>
      <c r="J708" s="42"/>
      <c r="K708" s="11" t="str">
        <f aca="false">IF(I708="","",I708*J708)</f>
        <v/>
      </c>
      <c r="L708" s="34" t="str">
        <f aca="false">IF(H708="","",IFERROR(INDEX(I_Master!$B$6:$B$85,MATCH(H708,I_Master!$A$6:$A$85,0)),"?"))</f>
        <v/>
      </c>
      <c r="M708" s="46" t="str">
        <f aca="false">IF(I708="","",IF(OR(A708&lt;I_Parameter!$C$5,A708&gt;I_Parameter!$C$6),0,IF(B708="Aktual",1,IF(AND(B708="Rencana",A708&gt;=I_Parameter!$C$4),1,0))))</f>
        <v/>
      </c>
    </row>
    <row r="709" customFormat="false" ht="15" hidden="false" customHeight="false" outlineLevel="0" collapsed="false">
      <c r="A709" s="37"/>
      <c r="B709" s="44"/>
      <c r="C709" s="44"/>
      <c r="D709" s="44"/>
      <c r="E709" s="44"/>
      <c r="F709" s="44"/>
      <c r="G709" s="44"/>
      <c r="H709" s="34" t="str">
        <f aca="false">IF(G709&lt;&gt;"",G709,IF(F709="","",IFERROR(INDEX(I_Item!$C$6:$C$255,MATCH(F709,I_Item!$A$6:$A$255,0)),"KODE BARU")))</f>
        <v/>
      </c>
      <c r="I709" s="45"/>
      <c r="J709" s="42"/>
      <c r="K709" s="11" t="str">
        <f aca="false">IF(I709="","",I709*J709)</f>
        <v/>
      </c>
      <c r="L709" s="34" t="str">
        <f aca="false">IF(H709="","",IFERROR(INDEX(I_Master!$B$6:$B$85,MATCH(H709,I_Master!$A$6:$A$85,0)),"?"))</f>
        <v/>
      </c>
      <c r="M709" s="46" t="str">
        <f aca="false">IF(I709="","",IF(OR(A709&lt;I_Parameter!$C$5,A709&gt;I_Parameter!$C$6),0,IF(B709="Aktual",1,IF(AND(B709="Rencana",A709&gt;=I_Parameter!$C$4),1,0))))</f>
        <v/>
      </c>
    </row>
    <row r="710" customFormat="false" ht="15" hidden="false" customHeight="false" outlineLevel="0" collapsed="false">
      <c r="A710" s="37"/>
      <c r="B710" s="44"/>
      <c r="C710" s="44"/>
      <c r="D710" s="44"/>
      <c r="E710" s="44"/>
      <c r="F710" s="44"/>
      <c r="G710" s="44"/>
      <c r="H710" s="34" t="str">
        <f aca="false">IF(G710&lt;&gt;"",G710,IF(F710="","",IFERROR(INDEX(I_Item!$C$6:$C$255,MATCH(F710,I_Item!$A$6:$A$255,0)),"KODE BARU")))</f>
        <v/>
      </c>
      <c r="I710" s="45"/>
      <c r="J710" s="42"/>
      <c r="K710" s="11" t="str">
        <f aca="false">IF(I710="","",I710*J710)</f>
        <v/>
      </c>
      <c r="L710" s="34" t="str">
        <f aca="false">IF(H710="","",IFERROR(INDEX(I_Master!$B$6:$B$85,MATCH(H710,I_Master!$A$6:$A$85,0)),"?"))</f>
        <v/>
      </c>
      <c r="M710" s="46" t="str">
        <f aca="false">IF(I710="","",IF(OR(A710&lt;I_Parameter!$C$5,A710&gt;I_Parameter!$C$6),0,IF(B710="Aktual",1,IF(AND(B710="Rencana",A710&gt;=I_Parameter!$C$4),1,0))))</f>
        <v/>
      </c>
    </row>
    <row r="711" customFormat="false" ht="15" hidden="false" customHeight="false" outlineLevel="0" collapsed="false">
      <c r="A711" s="37"/>
      <c r="B711" s="44"/>
      <c r="C711" s="44"/>
      <c r="D711" s="44"/>
      <c r="E711" s="44"/>
      <c r="F711" s="44"/>
      <c r="G711" s="44"/>
      <c r="H711" s="34" t="str">
        <f aca="false">IF(G711&lt;&gt;"",G711,IF(F711="","",IFERROR(INDEX(I_Item!$C$6:$C$255,MATCH(F711,I_Item!$A$6:$A$255,0)),"KODE BARU")))</f>
        <v/>
      </c>
      <c r="I711" s="45"/>
      <c r="J711" s="42"/>
      <c r="K711" s="11" t="str">
        <f aca="false">IF(I711="","",I711*J711)</f>
        <v/>
      </c>
      <c r="L711" s="34" t="str">
        <f aca="false">IF(H711="","",IFERROR(INDEX(I_Master!$B$6:$B$85,MATCH(H711,I_Master!$A$6:$A$85,0)),"?"))</f>
        <v/>
      </c>
      <c r="M711" s="46" t="str">
        <f aca="false">IF(I711="","",IF(OR(A711&lt;I_Parameter!$C$5,A711&gt;I_Parameter!$C$6),0,IF(B711="Aktual",1,IF(AND(B711="Rencana",A711&gt;=I_Parameter!$C$4),1,0))))</f>
        <v/>
      </c>
    </row>
    <row r="712" customFormat="false" ht="15" hidden="false" customHeight="false" outlineLevel="0" collapsed="false">
      <c r="A712" s="37"/>
      <c r="B712" s="44"/>
      <c r="C712" s="44"/>
      <c r="D712" s="44"/>
      <c r="E712" s="44"/>
      <c r="F712" s="44"/>
      <c r="G712" s="44"/>
      <c r="H712" s="34" t="str">
        <f aca="false">IF(G712&lt;&gt;"",G712,IF(F712="","",IFERROR(INDEX(I_Item!$C$6:$C$255,MATCH(F712,I_Item!$A$6:$A$255,0)),"KODE BARU")))</f>
        <v/>
      </c>
      <c r="I712" s="45"/>
      <c r="J712" s="42"/>
      <c r="K712" s="11" t="str">
        <f aca="false">IF(I712="","",I712*J712)</f>
        <v/>
      </c>
      <c r="L712" s="34" t="str">
        <f aca="false">IF(H712="","",IFERROR(INDEX(I_Master!$B$6:$B$85,MATCH(H712,I_Master!$A$6:$A$85,0)),"?"))</f>
        <v/>
      </c>
      <c r="M712" s="46" t="str">
        <f aca="false">IF(I712="","",IF(OR(A712&lt;I_Parameter!$C$5,A712&gt;I_Parameter!$C$6),0,IF(B712="Aktual",1,IF(AND(B712="Rencana",A712&gt;=I_Parameter!$C$4),1,0))))</f>
        <v/>
      </c>
    </row>
    <row r="713" customFormat="false" ht="15" hidden="false" customHeight="false" outlineLevel="0" collapsed="false">
      <c r="A713" s="37"/>
      <c r="B713" s="44"/>
      <c r="C713" s="44"/>
      <c r="D713" s="44"/>
      <c r="E713" s="44"/>
      <c r="F713" s="44"/>
      <c r="G713" s="44"/>
      <c r="H713" s="34" t="str">
        <f aca="false">IF(G713&lt;&gt;"",G713,IF(F713="","",IFERROR(INDEX(I_Item!$C$6:$C$255,MATCH(F713,I_Item!$A$6:$A$255,0)),"KODE BARU")))</f>
        <v/>
      </c>
      <c r="I713" s="45"/>
      <c r="J713" s="42"/>
      <c r="K713" s="11" t="str">
        <f aca="false">IF(I713="","",I713*J713)</f>
        <v/>
      </c>
      <c r="L713" s="34" t="str">
        <f aca="false">IF(H713="","",IFERROR(INDEX(I_Master!$B$6:$B$85,MATCH(H713,I_Master!$A$6:$A$85,0)),"?"))</f>
        <v/>
      </c>
      <c r="M713" s="46" t="str">
        <f aca="false">IF(I713="","",IF(OR(A713&lt;I_Parameter!$C$5,A713&gt;I_Parameter!$C$6),0,IF(B713="Aktual",1,IF(AND(B713="Rencana",A713&gt;=I_Parameter!$C$4),1,0))))</f>
        <v/>
      </c>
    </row>
    <row r="714" customFormat="false" ht="15" hidden="false" customHeight="false" outlineLevel="0" collapsed="false">
      <c r="A714" s="37"/>
      <c r="B714" s="44"/>
      <c r="C714" s="44"/>
      <c r="D714" s="44"/>
      <c r="E714" s="44"/>
      <c r="F714" s="44"/>
      <c r="G714" s="44"/>
      <c r="H714" s="34" t="str">
        <f aca="false">IF(G714&lt;&gt;"",G714,IF(F714="","",IFERROR(INDEX(I_Item!$C$6:$C$255,MATCH(F714,I_Item!$A$6:$A$255,0)),"KODE BARU")))</f>
        <v/>
      </c>
      <c r="I714" s="45"/>
      <c r="J714" s="42"/>
      <c r="K714" s="11" t="str">
        <f aca="false">IF(I714="","",I714*J714)</f>
        <v/>
      </c>
      <c r="L714" s="34" t="str">
        <f aca="false">IF(H714="","",IFERROR(INDEX(I_Master!$B$6:$B$85,MATCH(H714,I_Master!$A$6:$A$85,0)),"?"))</f>
        <v/>
      </c>
      <c r="M714" s="46" t="str">
        <f aca="false">IF(I714="","",IF(OR(A714&lt;I_Parameter!$C$5,A714&gt;I_Parameter!$C$6),0,IF(B714="Aktual",1,IF(AND(B714="Rencana",A714&gt;=I_Parameter!$C$4),1,0))))</f>
        <v/>
      </c>
    </row>
    <row r="715" customFormat="false" ht="15" hidden="false" customHeight="false" outlineLevel="0" collapsed="false">
      <c r="A715" s="37"/>
      <c r="B715" s="44"/>
      <c r="C715" s="44"/>
      <c r="D715" s="44"/>
      <c r="E715" s="44"/>
      <c r="F715" s="44"/>
      <c r="G715" s="44"/>
      <c r="H715" s="34" t="str">
        <f aca="false">IF(G715&lt;&gt;"",G715,IF(F715="","",IFERROR(INDEX(I_Item!$C$6:$C$255,MATCH(F715,I_Item!$A$6:$A$255,0)),"KODE BARU")))</f>
        <v/>
      </c>
      <c r="I715" s="45"/>
      <c r="J715" s="42"/>
      <c r="K715" s="11" t="str">
        <f aca="false">IF(I715="","",I715*J715)</f>
        <v/>
      </c>
      <c r="L715" s="34" t="str">
        <f aca="false">IF(H715="","",IFERROR(INDEX(I_Master!$B$6:$B$85,MATCH(H715,I_Master!$A$6:$A$85,0)),"?"))</f>
        <v/>
      </c>
      <c r="M715" s="46" t="str">
        <f aca="false">IF(I715="","",IF(OR(A715&lt;I_Parameter!$C$5,A715&gt;I_Parameter!$C$6),0,IF(B715="Aktual",1,IF(AND(B715="Rencana",A715&gt;=I_Parameter!$C$4),1,0))))</f>
        <v/>
      </c>
    </row>
    <row r="716" customFormat="false" ht="15" hidden="false" customHeight="false" outlineLevel="0" collapsed="false">
      <c r="A716" s="37"/>
      <c r="B716" s="44"/>
      <c r="C716" s="44"/>
      <c r="D716" s="44"/>
      <c r="E716" s="44"/>
      <c r="F716" s="44"/>
      <c r="G716" s="44"/>
      <c r="H716" s="34" t="str">
        <f aca="false">IF(G716&lt;&gt;"",G716,IF(F716="","",IFERROR(INDEX(I_Item!$C$6:$C$255,MATCH(F716,I_Item!$A$6:$A$255,0)),"KODE BARU")))</f>
        <v/>
      </c>
      <c r="I716" s="45"/>
      <c r="J716" s="42"/>
      <c r="K716" s="11" t="str">
        <f aca="false">IF(I716="","",I716*J716)</f>
        <v/>
      </c>
      <c r="L716" s="34" t="str">
        <f aca="false">IF(H716="","",IFERROR(INDEX(I_Master!$B$6:$B$85,MATCH(H716,I_Master!$A$6:$A$85,0)),"?"))</f>
        <v/>
      </c>
      <c r="M716" s="46" t="str">
        <f aca="false">IF(I716="","",IF(OR(A716&lt;I_Parameter!$C$5,A716&gt;I_Parameter!$C$6),0,IF(B716="Aktual",1,IF(AND(B716="Rencana",A716&gt;=I_Parameter!$C$4),1,0))))</f>
        <v/>
      </c>
    </row>
    <row r="717" customFormat="false" ht="15" hidden="false" customHeight="false" outlineLevel="0" collapsed="false">
      <c r="A717" s="37"/>
      <c r="B717" s="44"/>
      <c r="C717" s="44"/>
      <c r="D717" s="44"/>
      <c r="E717" s="44"/>
      <c r="F717" s="44"/>
      <c r="G717" s="44"/>
      <c r="H717" s="34" t="str">
        <f aca="false">IF(G717&lt;&gt;"",G717,IF(F717="","",IFERROR(INDEX(I_Item!$C$6:$C$255,MATCH(F717,I_Item!$A$6:$A$255,0)),"KODE BARU")))</f>
        <v/>
      </c>
      <c r="I717" s="45"/>
      <c r="J717" s="42"/>
      <c r="K717" s="11" t="str">
        <f aca="false">IF(I717="","",I717*J717)</f>
        <v/>
      </c>
      <c r="L717" s="34" t="str">
        <f aca="false">IF(H717="","",IFERROR(INDEX(I_Master!$B$6:$B$85,MATCH(H717,I_Master!$A$6:$A$85,0)),"?"))</f>
        <v/>
      </c>
      <c r="M717" s="46" t="str">
        <f aca="false">IF(I717="","",IF(OR(A717&lt;I_Parameter!$C$5,A717&gt;I_Parameter!$C$6),0,IF(B717="Aktual",1,IF(AND(B717="Rencana",A717&gt;=I_Parameter!$C$4),1,0))))</f>
        <v/>
      </c>
    </row>
    <row r="718" customFormat="false" ht="15" hidden="false" customHeight="false" outlineLevel="0" collapsed="false">
      <c r="A718" s="37"/>
      <c r="B718" s="44"/>
      <c r="C718" s="44"/>
      <c r="D718" s="44"/>
      <c r="E718" s="44"/>
      <c r="F718" s="44"/>
      <c r="G718" s="44"/>
      <c r="H718" s="34" t="str">
        <f aca="false">IF(G718&lt;&gt;"",G718,IF(F718="","",IFERROR(INDEX(I_Item!$C$6:$C$255,MATCH(F718,I_Item!$A$6:$A$255,0)),"KODE BARU")))</f>
        <v/>
      </c>
      <c r="I718" s="45"/>
      <c r="J718" s="42"/>
      <c r="K718" s="11" t="str">
        <f aca="false">IF(I718="","",I718*J718)</f>
        <v/>
      </c>
      <c r="L718" s="34" t="str">
        <f aca="false">IF(H718="","",IFERROR(INDEX(I_Master!$B$6:$B$85,MATCH(H718,I_Master!$A$6:$A$85,0)),"?"))</f>
        <v/>
      </c>
      <c r="M718" s="46" t="str">
        <f aca="false">IF(I718="","",IF(OR(A718&lt;I_Parameter!$C$5,A718&gt;I_Parameter!$C$6),0,IF(B718="Aktual",1,IF(AND(B718="Rencana",A718&gt;=I_Parameter!$C$4),1,0))))</f>
        <v/>
      </c>
    </row>
    <row r="719" customFormat="false" ht="15" hidden="false" customHeight="false" outlineLevel="0" collapsed="false">
      <c r="A719" s="37"/>
      <c r="B719" s="44"/>
      <c r="C719" s="44"/>
      <c r="D719" s="44"/>
      <c r="E719" s="44"/>
      <c r="F719" s="44"/>
      <c r="G719" s="44"/>
      <c r="H719" s="34" t="str">
        <f aca="false">IF(G719&lt;&gt;"",G719,IF(F719="","",IFERROR(INDEX(I_Item!$C$6:$C$255,MATCH(F719,I_Item!$A$6:$A$255,0)),"KODE BARU")))</f>
        <v/>
      </c>
      <c r="I719" s="45"/>
      <c r="J719" s="42"/>
      <c r="K719" s="11" t="str">
        <f aca="false">IF(I719="","",I719*J719)</f>
        <v/>
      </c>
      <c r="L719" s="34" t="str">
        <f aca="false">IF(H719="","",IFERROR(INDEX(I_Master!$B$6:$B$85,MATCH(H719,I_Master!$A$6:$A$85,0)),"?"))</f>
        <v/>
      </c>
      <c r="M719" s="46" t="str">
        <f aca="false">IF(I719="","",IF(OR(A719&lt;I_Parameter!$C$5,A719&gt;I_Parameter!$C$6),0,IF(B719="Aktual",1,IF(AND(B719="Rencana",A719&gt;=I_Parameter!$C$4),1,0))))</f>
        <v/>
      </c>
    </row>
    <row r="720" customFormat="false" ht="15" hidden="false" customHeight="false" outlineLevel="0" collapsed="false">
      <c r="A720" s="37"/>
      <c r="B720" s="44"/>
      <c r="C720" s="44"/>
      <c r="D720" s="44"/>
      <c r="E720" s="44"/>
      <c r="F720" s="44"/>
      <c r="G720" s="44"/>
      <c r="H720" s="34" t="str">
        <f aca="false">IF(G720&lt;&gt;"",G720,IF(F720="","",IFERROR(INDEX(I_Item!$C$6:$C$255,MATCH(F720,I_Item!$A$6:$A$255,0)),"KODE BARU")))</f>
        <v/>
      </c>
      <c r="I720" s="45"/>
      <c r="J720" s="42"/>
      <c r="K720" s="11" t="str">
        <f aca="false">IF(I720="","",I720*J720)</f>
        <v/>
      </c>
      <c r="L720" s="34" t="str">
        <f aca="false">IF(H720="","",IFERROR(INDEX(I_Master!$B$6:$B$85,MATCH(H720,I_Master!$A$6:$A$85,0)),"?"))</f>
        <v/>
      </c>
      <c r="M720" s="46" t="str">
        <f aca="false">IF(I720="","",IF(OR(A720&lt;I_Parameter!$C$5,A720&gt;I_Parameter!$C$6),0,IF(B720="Aktual",1,IF(AND(B720="Rencana",A720&gt;=I_Parameter!$C$4),1,0))))</f>
        <v/>
      </c>
    </row>
    <row r="721" customFormat="false" ht="15" hidden="false" customHeight="false" outlineLevel="0" collapsed="false">
      <c r="A721" s="37"/>
      <c r="B721" s="44"/>
      <c r="C721" s="44"/>
      <c r="D721" s="44"/>
      <c r="E721" s="44"/>
      <c r="F721" s="44"/>
      <c r="G721" s="44"/>
      <c r="H721" s="34" t="str">
        <f aca="false">IF(G721&lt;&gt;"",G721,IF(F721="","",IFERROR(INDEX(I_Item!$C$6:$C$255,MATCH(F721,I_Item!$A$6:$A$255,0)),"KODE BARU")))</f>
        <v/>
      </c>
      <c r="I721" s="45"/>
      <c r="J721" s="42"/>
      <c r="K721" s="11" t="str">
        <f aca="false">IF(I721="","",I721*J721)</f>
        <v/>
      </c>
      <c r="L721" s="34" t="str">
        <f aca="false">IF(H721="","",IFERROR(INDEX(I_Master!$B$6:$B$85,MATCH(H721,I_Master!$A$6:$A$85,0)),"?"))</f>
        <v/>
      </c>
      <c r="M721" s="46" t="str">
        <f aca="false">IF(I721="","",IF(OR(A721&lt;I_Parameter!$C$5,A721&gt;I_Parameter!$C$6),0,IF(B721="Aktual",1,IF(AND(B721="Rencana",A721&gt;=I_Parameter!$C$4),1,0))))</f>
        <v/>
      </c>
    </row>
    <row r="722" customFormat="false" ht="15" hidden="false" customHeight="false" outlineLevel="0" collapsed="false">
      <c r="A722" s="37"/>
      <c r="B722" s="44"/>
      <c r="C722" s="44"/>
      <c r="D722" s="44"/>
      <c r="E722" s="44"/>
      <c r="F722" s="44"/>
      <c r="G722" s="44"/>
      <c r="H722" s="34" t="str">
        <f aca="false">IF(G722&lt;&gt;"",G722,IF(F722="","",IFERROR(INDEX(I_Item!$C$6:$C$255,MATCH(F722,I_Item!$A$6:$A$255,0)),"KODE BARU")))</f>
        <v/>
      </c>
      <c r="I722" s="45"/>
      <c r="J722" s="42"/>
      <c r="K722" s="11" t="str">
        <f aca="false">IF(I722="","",I722*J722)</f>
        <v/>
      </c>
      <c r="L722" s="34" t="str">
        <f aca="false">IF(H722="","",IFERROR(INDEX(I_Master!$B$6:$B$85,MATCH(H722,I_Master!$A$6:$A$85,0)),"?"))</f>
        <v/>
      </c>
      <c r="M722" s="46" t="str">
        <f aca="false">IF(I722="","",IF(OR(A722&lt;I_Parameter!$C$5,A722&gt;I_Parameter!$C$6),0,IF(B722="Aktual",1,IF(AND(B722="Rencana",A722&gt;=I_Parameter!$C$4),1,0))))</f>
        <v/>
      </c>
    </row>
    <row r="723" customFormat="false" ht="15" hidden="false" customHeight="false" outlineLevel="0" collapsed="false">
      <c r="A723" s="37"/>
      <c r="B723" s="44"/>
      <c r="C723" s="44"/>
      <c r="D723" s="44"/>
      <c r="E723" s="44"/>
      <c r="F723" s="44"/>
      <c r="G723" s="44"/>
      <c r="H723" s="34" t="str">
        <f aca="false">IF(G723&lt;&gt;"",G723,IF(F723="","",IFERROR(INDEX(I_Item!$C$6:$C$255,MATCH(F723,I_Item!$A$6:$A$255,0)),"KODE BARU")))</f>
        <v/>
      </c>
      <c r="I723" s="45"/>
      <c r="J723" s="42"/>
      <c r="K723" s="11" t="str">
        <f aca="false">IF(I723="","",I723*J723)</f>
        <v/>
      </c>
      <c r="L723" s="34" t="str">
        <f aca="false">IF(H723="","",IFERROR(INDEX(I_Master!$B$6:$B$85,MATCH(H723,I_Master!$A$6:$A$85,0)),"?"))</f>
        <v/>
      </c>
      <c r="M723" s="46" t="str">
        <f aca="false">IF(I723="","",IF(OR(A723&lt;I_Parameter!$C$5,A723&gt;I_Parameter!$C$6),0,IF(B723="Aktual",1,IF(AND(B723="Rencana",A723&gt;=I_Parameter!$C$4),1,0))))</f>
        <v/>
      </c>
    </row>
    <row r="724" customFormat="false" ht="15" hidden="false" customHeight="false" outlineLevel="0" collapsed="false">
      <c r="A724" s="37"/>
      <c r="B724" s="44"/>
      <c r="C724" s="44"/>
      <c r="D724" s="44"/>
      <c r="E724" s="44"/>
      <c r="F724" s="44"/>
      <c r="G724" s="44"/>
      <c r="H724" s="34" t="str">
        <f aca="false">IF(G724&lt;&gt;"",G724,IF(F724="","",IFERROR(INDEX(I_Item!$C$6:$C$255,MATCH(F724,I_Item!$A$6:$A$255,0)),"KODE BARU")))</f>
        <v/>
      </c>
      <c r="I724" s="45"/>
      <c r="J724" s="42"/>
      <c r="K724" s="11" t="str">
        <f aca="false">IF(I724="","",I724*J724)</f>
        <v/>
      </c>
      <c r="L724" s="34" t="str">
        <f aca="false">IF(H724="","",IFERROR(INDEX(I_Master!$B$6:$B$85,MATCH(H724,I_Master!$A$6:$A$85,0)),"?"))</f>
        <v/>
      </c>
      <c r="M724" s="46" t="str">
        <f aca="false">IF(I724="","",IF(OR(A724&lt;I_Parameter!$C$5,A724&gt;I_Parameter!$C$6),0,IF(B724="Aktual",1,IF(AND(B724="Rencana",A724&gt;=I_Parameter!$C$4),1,0))))</f>
        <v/>
      </c>
    </row>
    <row r="725" customFormat="false" ht="15" hidden="false" customHeight="false" outlineLevel="0" collapsed="false">
      <c r="A725" s="37"/>
      <c r="B725" s="44"/>
      <c r="C725" s="44"/>
      <c r="D725" s="44"/>
      <c r="E725" s="44"/>
      <c r="F725" s="44"/>
      <c r="G725" s="44"/>
      <c r="H725" s="34" t="str">
        <f aca="false">IF(G725&lt;&gt;"",G725,IF(F725="","",IFERROR(INDEX(I_Item!$C$6:$C$255,MATCH(F725,I_Item!$A$6:$A$255,0)),"KODE BARU")))</f>
        <v/>
      </c>
      <c r="I725" s="45"/>
      <c r="J725" s="42"/>
      <c r="K725" s="11" t="str">
        <f aca="false">IF(I725="","",I725*J725)</f>
        <v/>
      </c>
      <c r="L725" s="34" t="str">
        <f aca="false">IF(H725="","",IFERROR(INDEX(I_Master!$B$6:$B$85,MATCH(H725,I_Master!$A$6:$A$85,0)),"?"))</f>
        <v/>
      </c>
      <c r="M725" s="46" t="str">
        <f aca="false">IF(I725="","",IF(OR(A725&lt;I_Parameter!$C$5,A725&gt;I_Parameter!$C$6),0,IF(B725="Aktual",1,IF(AND(B725="Rencana",A725&gt;=I_Parameter!$C$4),1,0))))</f>
        <v/>
      </c>
    </row>
    <row r="726" customFormat="false" ht="15" hidden="false" customHeight="false" outlineLevel="0" collapsed="false">
      <c r="A726" s="37"/>
      <c r="B726" s="44"/>
      <c r="C726" s="44"/>
      <c r="D726" s="44"/>
      <c r="E726" s="44"/>
      <c r="F726" s="44"/>
      <c r="G726" s="44"/>
      <c r="H726" s="34" t="str">
        <f aca="false">IF(G726&lt;&gt;"",G726,IF(F726="","",IFERROR(INDEX(I_Item!$C$6:$C$255,MATCH(F726,I_Item!$A$6:$A$255,0)),"KODE BARU")))</f>
        <v/>
      </c>
      <c r="I726" s="45"/>
      <c r="J726" s="42"/>
      <c r="K726" s="11" t="str">
        <f aca="false">IF(I726="","",I726*J726)</f>
        <v/>
      </c>
      <c r="L726" s="34" t="str">
        <f aca="false">IF(H726="","",IFERROR(INDEX(I_Master!$B$6:$B$85,MATCH(H726,I_Master!$A$6:$A$85,0)),"?"))</f>
        <v/>
      </c>
      <c r="M726" s="46" t="str">
        <f aca="false">IF(I726="","",IF(OR(A726&lt;I_Parameter!$C$5,A726&gt;I_Parameter!$C$6),0,IF(B726="Aktual",1,IF(AND(B726="Rencana",A726&gt;=I_Parameter!$C$4),1,0))))</f>
        <v/>
      </c>
    </row>
    <row r="727" customFormat="false" ht="15" hidden="false" customHeight="false" outlineLevel="0" collapsed="false">
      <c r="A727" s="37"/>
      <c r="B727" s="44"/>
      <c r="C727" s="44"/>
      <c r="D727" s="44"/>
      <c r="E727" s="44"/>
      <c r="F727" s="44"/>
      <c r="G727" s="44"/>
      <c r="H727" s="34" t="str">
        <f aca="false">IF(G727&lt;&gt;"",G727,IF(F727="","",IFERROR(INDEX(I_Item!$C$6:$C$255,MATCH(F727,I_Item!$A$6:$A$255,0)),"KODE BARU")))</f>
        <v/>
      </c>
      <c r="I727" s="45"/>
      <c r="J727" s="42"/>
      <c r="K727" s="11" t="str">
        <f aca="false">IF(I727="","",I727*J727)</f>
        <v/>
      </c>
      <c r="L727" s="34" t="str">
        <f aca="false">IF(H727="","",IFERROR(INDEX(I_Master!$B$6:$B$85,MATCH(H727,I_Master!$A$6:$A$85,0)),"?"))</f>
        <v/>
      </c>
      <c r="M727" s="46" t="str">
        <f aca="false">IF(I727="","",IF(OR(A727&lt;I_Parameter!$C$5,A727&gt;I_Parameter!$C$6),0,IF(B727="Aktual",1,IF(AND(B727="Rencana",A727&gt;=I_Parameter!$C$4),1,0))))</f>
        <v/>
      </c>
    </row>
    <row r="728" customFormat="false" ht="15" hidden="false" customHeight="false" outlineLevel="0" collapsed="false">
      <c r="A728" s="37"/>
      <c r="B728" s="44"/>
      <c r="C728" s="44"/>
      <c r="D728" s="44"/>
      <c r="E728" s="44"/>
      <c r="F728" s="44"/>
      <c r="G728" s="44"/>
      <c r="H728" s="34" t="str">
        <f aca="false">IF(G728&lt;&gt;"",G728,IF(F728="","",IFERROR(INDEX(I_Item!$C$6:$C$255,MATCH(F728,I_Item!$A$6:$A$255,0)),"KODE BARU")))</f>
        <v/>
      </c>
      <c r="I728" s="45"/>
      <c r="J728" s="42"/>
      <c r="K728" s="11" t="str">
        <f aca="false">IF(I728="","",I728*J728)</f>
        <v/>
      </c>
      <c r="L728" s="34" t="str">
        <f aca="false">IF(H728="","",IFERROR(INDEX(I_Master!$B$6:$B$85,MATCH(H728,I_Master!$A$6:$A$85,0)),"?"))</f>
        <v/>
      </c>
      <c r="M728" s="46" t="str">
        <f aca="false">IF(I728="","",IF(OR(A728&lt;I_Parameter!$C$5,A728&gt;I_Parameter!$C$6),0,IF(B728="Aktual",1,IF(AND(B728="Rencana",A728&gt;=I_Parameter!$C$4),1,0))))</f>
        <v/>
      </c>
    </row>
    <row r="729" customFormat="false" ht="15" hidden="false" customHeight="false" outlineLevel="0" collapsed="false">
      <c r="A729" s="37"/>
      <c r="B729" s="44"/>
      <c r="C729" s="44"/>
      <c r="D729" s="44"/>
      <c r="E729" s="44"/>
      <c r="F729" s="44"/>
      <c r="G729" s="44"/>
      <c r="H729" s="34" t="str">
        <f aca="false">IF(G729&lt;&gt;"",G729,IF(F729="","",IFERROR(INDEX(I_Item!$C$6:$C$255,MATCH(F729,I_Item!$A$6:$A$255,0)),"KODE BARU")))</f>
        <v/>
      </c>
      <c r="I729" s="45"/>
      <c r="J729" s="42"/>
      <c r="K729" s="11" t="str">
        <f aca="false">IF(I729="","",I729*J729)</f>
        <v/>
      </c>
      <c r="L729" s="34" t="str">
        <f aca="false">IF(H729="","",IFERROR(INDEX(I_Master!$B$6:$B$85,MATCH(H729,I_Master!$A$6:$A$85,0)),"?"))</f>
        <v/>
      </c>
      <c r="M729" s="46" t="str">
        <f aca="false">IF(I729="","",IF(OR(A729&lt;I_Parameter!$C$5,A729&gt;I_Parameter!$C$6),0,IF(B729="Aktual",1,IF(AND(B729="Rencana",A729&gt;=I_Parameter!$C$4),1,0))))</f>
        <v/>
      </c>
    </row>
    <row r="730" customFormat="false" ht="15" hidden="false" customHeight="false" outlineLevel="0" collapsed="false">
      <c r="A730" s="37"/>
      <c r="B730" s="44"/>
      <c r="C730" s="44"/>
      <c r="D730" s="44"/>
      <c r="E730" s="44"/>
      <c r="F730" s="44"/>
      <c r="G730" s="44"/>
      <c r="H730" s="34" t="str">
        <f aca="false">IF(G730&lt;&gt;"",G730,IF(F730="","",IFERROR(INDEX(I_Item!$C$6:$C$255,MATCH(F730,I_Item!$A$6:$A$255,0)),"KODE BARU")))</f>
        <v/>
      </c>
      <c r="I730" s="45"/>
      <c r="J730" s="42"/>
      <c r="K730" s="11" t="str">
        <f aca="false">IF(I730="","",I730*J730)</f>
        <v/>
      </c>
      <c r="L730" s="34" t="str">
        <f aca="false">IF(H730="","",IFERROR(INDEX(I_Master!$B$6:$B$85,MATCH(H730,I_Master!$A$6:$A$85,0)),"?"))</f>
        <v/>
      </c>
      <c r="M730" s="46" t="str">
        <f aca="false">IF(I730="","",IF(OR(A730&lt;I_Parameter!$C$5,A730&gt;I_Parameter!$C$6),0,IF(B730="Aktual",1,IF(AND(B730="Rencana",A730&gt;=I_Parameter!$C$4),1,0))))</f>
        <v/>
      </c>
    </row>
    <row r="731" customFormat="false" ht="15" hidden="false" customHeight="false" outlineLevel="0" collapsed="false">
      <c r="A731" s="37"/>
      <c r="B731" s="44"/>
      <c r="C731" s="44"/>
      <c r="D731" s="44"/>
      <c r="E731" s="44"/>
      <c r="F731" s="44"/>
      <c r="G731" s="44"/>
      <c r="H731" s="34" t="str">
        <f aca="false">IF(G731&lt;&gt;"",G731,IF(F731="","",IFERROR(INDEX(I_Item!$C$6:$C$255,MATCH(F731,I_Item!$A$6:$A$255,0)),"KODE BARU")))</f>
        <v/>
      </c>
      <c r="I731" s="45"/>
      <c r="J731" s="42"/>
      <c r="K731" s="11" t="str">
        <f aca="false">IF(I731="","",I731*J731)</f>
        <v/>
      </c>
      <c r="L731" s="34" t="str">
        <f aca="false">IF(H731="","",IFERROR(INDEX(I_Master!$B$6:$B$85,MATCH(H731,I_Master!$A$6:$A$85,0)),"?"))</f>
        <v/>
      </c>
      <c r="M731" s="46" t="str">
        <f aca="false">IF(I731="","",IF(OR(A731&lt;I_Parameter!$C$5,A731&gt;I_Parameter!$C$6),0,IF(B731="Aktual",1,IF(AND(B731="Rencana",A731&gt;=I_Parameter!$C$4),1,0))))</f>
        <v/>
      </c>
    </row>
    <row r="732" customFormat="false" ht="15" hidden="false" customHeight="false" outlineLevel="0" collapsed="false">
      <c r="A732" s="37"/>
      <c r="B732" s="44"/>
      <c r="C732" s="44"/>
      <c r="D732" s="44"/>
      <c r="E732" s="44"/>
      <c r="F732" s="44"/>
      <c r="G732" s="44"/>
      <c r="H732" s="34" t="str">
        <f aca="false">IF(G732&lt;&gt;"",G732,IF(F732="","",IFERROR(INDEX(I_Item!$C$6:$C$255,MATCH(F732,I_Item!$A$6:$A$255,0)),"KODE BARU")))</f>
        <v/>
      </c>
      <c r="I732" s="45"/>
      <c r="J732" s="42"/>
      <c r="K732" s="11" t="str">
        <f aca="false">IF(I732="","",I732*J732)</f>
        <v/>
      </c>
      <c r="L732" s="34" t="str">
        <f aca="false">IF(H732="","",IFERROR(INDEX(I_Master!$B$6:$B$85,MATCH(H732,I_Master!$A$6:$A$85,0)),"?"))</f>
        <v/>
      </c>
      <c r="M732" s="46" t="str">
        <f aca="false">IF(I732="","",IF(OR(A732&lt;I_Parameter!$C$5,A732&gt;I_Parameter!$C$6),0,IF(B732="Aktual",1,IF(AND(B732="Rencana",A732&gt;=I_Parameter!$C$4),1,0))))</f>
        <v/>
      </c>
    </row>
    <row r="733" customFormat="false" ht="15" hidden="false" customHeight="false" outlineLevel="0" collapsed="false">
      <c r="A733" s="37"/>
      <c r="B733" s="44"/>
      <c r="C733" s="44"/>
      <c r="D733" s="44"/>
      <c r="E733" s="44"/>
      <c r="F733" s="44"/>
      <c r="G733" s="44"/>
      <c r="H733" s="34" t="str">
        <f aca="false">IF(G733&lt;&gt;"",G733,IF(F733="","",IFERROR(INDEX(I_Item!$C$6:$C$255,MATCH(F733,I_Item!$A$6:$A$255,0)),"KODE BARU")))</f>
        <v/>
      </c>
      <c r="I733" s="45"/>
      <c r="J733" s="42"/>
      <c r="K733" s="11" t="str">
        <f aca="false">IF(I733="","",I733*J733)</f>
        <v/>
      </c>
      <c r="L733" s="34" t="str">
        <f aca="false">IF(H733="","",IFERROR(INDEX(I_Master!$B$6:$B$85,MATCH(H733,I_Master!$A$6:$A$85,0)),"?"))</f>
        <v/>
      </c>
      <c r="M733" s="46" t="str">
        <f aca="false">IF(I733="","",IF(OR(A733&lt;I_Parameter!$C$5,A733&gt;I_Parameter!$C$6),0,IF(B733="Aktual",1,IF(AND(B733="Rencana",A733&gt;=I_Parameter!$C$4),1,0))))</f>
        <v/>
      </c>
    </row>
    <row r="734" customFormat="false" ht="15" hidden="false" customHeight="false" outlineLevel="0" collapsed="false">
      <c r="A734" s="37"/>
      <c r="B734" s="44"/>
      <c r="C734" s="44"/>
      <c r="D734" s="44"/>
      <c r="E734" s="44"/>
      <c r="F734" s="44"/>
      <c r="G734" s="44"/>
      <c r="H734" s="34" t="str">
        <f aca="false">IF(G734&lt;&gt;"",G734,IF(F734="","",IFERROR(INDEX(I_Item!$C$6:$C$255,MATCH(F734,I_Item!$A$6:$A$255,0)),"KODE BARU")))</f>
        <v/>
      </c>
      <c r="I734" s="45"/>
      <c r="J734" s="42"/>
      <c r="K734" s="11" t="str">
        <f aca="false">IF(I734="","",I734*J734)</f>
        <v/>
      </c>
      <c r="L734" s="34" t="str">
        <f aca="false">IF(H734="","",IFERROR(INDEX(I_Master!$B$6:$B$85,MATCH(H734,I_Master!$A$6:$A$85,0)),"?"))</f>
        <v/>
      </c>
      <c r="M734" s="46" t="str">
        <f aca="false">IF(I734="","",IF(OR(A734&lt;I_Parameter!$C$5,A734&gt;I_Parameter!$C$6),0,IF(B734="Aktual",1,IF(AND(B734="Rencana",A734&gt;=I_Parameter!$C$4),1,0))))</f>
        <v/>
      </c>
    </row>
    <row r="735" customFormat="false" ht="15" hidden="false" customHeight="false" outlineLevel="0" collapsed="false">
      <c r="A735" s="37"/>
      <c r="B735" s="44"/>
      <c r="C735" s="44"/>
      <c r="D735" s="44"/>
      <c r="E735" s="44"/>
      <c r="F735" s="44"/>
      <c r="G735" s="44"/>
      <c r="H735" s="34" t="str">
        <f aca="false">IF(G735&lt;&gt;"",G735,IF(F735="","",IFERROR(INDEX(I_Item!$C$6:$C$255,MATCH(F735,I_Item!$A$6:$A$255,0)),"KODE BARU")))</f>
        <v/>
      </c>
      <c r="I735" s="45"/>
      <c r="J735" s="42"/>
      <c r="K735" s="11" t="str">
        <f aca="false">IF(I735="","",I735*J735)</f>
        <v/>
      </c>
      <c r="L735" s="34" t="str">
        <f aca="false">IF(H735="","",IFERROR(INDEX(I_Master!$B$6:$B$85,MATCH(H735,I_Master!$A$6:$A$85,0)),"?"))</f>
        <v/>
      </c>
      <c r="M735" s="46" t="str">
        <f aca="false">IF(I735="","",IF(OR(A735&lt;I_Parameter!$C$5,A735&gt;I_Parameter!$C$6),0,IF(B735="Aktual",1,IF(AND(B735="Rencana",A735&gt;=I_Parameter!$C$4),1,0))))</f>
        <v/>
      </c>
    </row>
    <row r="736" customFormat="false" ht="15" hidden="false" customHeight="false" outlineLevel="0" collapsed="false">
      <c r="A736" s="37"/>
      <c r="B736" s="44"/>
      <c r="C736" s="44"/>
      <c r="D736" s="44"/>
      <c r="E736" s="44"/>
      <c r="F736" s="44"/>
      <c r="G736" s="44"/>
      <c r="H736" s="34" t="str">
        <f aca="false">IF(G736&lt;&gt;"",G736,IF(F736="","",IFERROR(INDEX(I_Item!$C$6:$C$255,MATCH(F736,I_Item!$A$6:$A$255,0)),"KODE BARU")))</f>
        <v/>
      </c>
      <c r="I736" s="45"/>
      <c r="J736" s="42"/>
      <c r="K736" s="11" t="str">
        <f aca="false">IF(I736="","",I736*J736)</f>
        <v/>
      </c>
      <c r="L736" s="34" t="str">
        <f aca="false">IF(H736="","",IFERROR(INDEX(I_Master!$B$6:$B$85,MATCH(H736,I_Master!$A$6:$A$85,0)),"?"))</f>
        <v/>
      </c>
      <c r="M736" s="46" t="str">
        <f aca="false">IF(I736="","",IF(OR(A736&lt;I_Parameter!$C$5,A736&gt;I_Parameter!$C$6),0,IF(B736="Aktual",1,IF(AND(B736="Rencana",A736&gt;=I_Parameter!$C$4),1,0))))</f>
        <v/>
      </c>
    </row>
    <row r="737" customFormat="false" ht="15" hidden="false" customHeight="false" outlineLevel="0" collapsed="false">
      <c r="A737" s="37"/>
      <c r="B737" s="44"/>
      <c r="C737" s="44"/>
      <c r="D737" s="44"/>
      <c r="E737" s="44"/>
      <c r="F737" s="44"/>
      <c r="G737" s="44"/>
      <c r="H737" s="34" t="str">
        <f aca="false">IF(G737&lt;&gt;"",G737,IF(F737="","",IFERROR(INDEX(I_Item!$C$6:$C$255,MATCH(F737,I_Item!$A$6:$A$255,0)),"KODE BARU")))</f>
        <v/>
      </c>
      <c r="I737" s="45"/>
      <c r="J737" s="42"/>
      <c r="K737" s="11" t="str">
        <f aca="false">IF(I737="","",I737*J737)</f>
        <v/>
      </c>
      <c r="L737" s="34" t="str">
        <f aca="false">IF(H737="","",IFERROR(INDEX(I_Master!$B$6:$B$85,MATCH(H737,I_Master!$A$6:$A$85,0)),"?"))</f>
        <v/>
      </c>
      <c r="M737" s="46" t="str">
        <f aca="false">IF(I737="","",IF(OR(A737&lt;I_Parameter!$C$5,A737&gt;I_Parameter!$C$6),0,IF(B737="Aktual",1,IF(AND(B737="Rencana",A737&gt;=I_Parameter!$C$4),1,0))))</f>
        <v/>
      </c>
    </row>
    <row r="738" customFormat="false" ht="15" hidden="false" customHeight="false" outlineLevel="0" collapsed="false">
      <c r="A738" s="37"/>
      <c r="B738" s="44"/>
      <c r="C738" s="44"/>
      <c r="D738" s="44"/>
      <c r="E738" s="44"/>
      <c r="F738" s="44"/>
      <c r="G738" s="44"/>
      <c r="H738" s="34" t="str">
        <f aca="false">IF(G738&lt;&gt;"",G738,IF(F738="","",IFERROR(INDEX(I_Item!$C$6:$C$255,MATCH(F738,I_Item!$A$6:$A$255,0)),"KODE BARU")))</f>
        <v/>
      </c>
      <c r="I738" s="45"/>
      <c r="J738" s="42"/>
      <c r="K738" s="11" t="str">
        <f aca="false">IF(I738="","",I738*J738)</f>
        <v/>
      </c>
      <c r="L738" s="34" t="str">
        <f aca="false">IF(H738="","",IFERROR(INDEX(I_Master!$B$6:$B$85,MATCH(H738,I_Master!$A$6:$A$85,0)),"?"))</f>
        <v/>
      </c>
      <c r="M738" s="46" t="str">
        <f aca="false">IF(I738="","",IF(OR(A738&lt;I_Parameter!$C$5,A738&gt;I_Parameter!$C$6),0,IF(B738="Aktual",1,IF(AND(B738="Rencana",A738&gt;=I_Parameter!$C$4),1,0))))</f>
        <v/>
      </c>
    </row>
    <row r="739" customFormat="false" ht="15" hidden="false" customHeight="false" outlineLevel="0" collapsed="false">
      <c r="A739" s="37"/>
      <c r="B739" s="44"/>
      <c r="C739" s="44"/>
      <c r="D739" s="44"/>
      <c r="E739" s="44"/>
      <c r="F739" s="44"/>
      <c r="G739" s="44"/>
      <c r="H739" s="34" t="str">
        <f aca="false">IF(G739&lt;&gt;"",G739,IF(F739="","",IFERROR(INDEX(I_Item!$C$6:$C$255,MATCH(F739,I_Item!$A$6:$A$255,0)),"KODE BARU")))</f>
        <v/>
      </c>
      <c r="I739" s="45"/>
      <c r="J739" s="42"/>
      <c r="K739" s="11" t="str">
        <f aca="false">IF(I739="","",I739*J739)</f>
        <v/>
      </c>
      <c r="L739" s="34" t="str">
        <f aca="false">IF(H739="","",IFERROR(INDEX(I_Master!$B$6:$B$85,MATCH(H739,I_Master!$A$6:$A$85,0)),"?"))</f>
        <v/>
      </c>
      <c r="M739" s="46" t="str">
        <f aca="false">IF(I739="","",IF(OR(A739&lt;I_Parameter!$C$5,A739&gt;I_Parameter!$C$6),0,IF(B739="Aktual",1,IF(AND(B739="Rencana",A739&gt;=I_Parameter!$C$4),1,0))))</f>
        <v/>
      </c>
    </row>
    <row r="740" customFormat="false" ht="15" hidden="false" customHeight="false" outlineLevel="0" collapsed="false">
      <c r="A740" s="37"/>
      <c r="B740" s="44"/>
      <c r="C740" s="44"/>
      <c r="D740" s="44"/>
      <c r="E740" s="44"/>
      <c r="F740" s="44"/>
      <c r="G740" s="44"/>
      <c r="H740" s="34" t="str">
        <f aca="false">IF(G740&lt;&gt;"",G740,IF(F740="","",IFERROR(INDEX(I_Item!$C$6:$C$255,MATCH(F740,I_Item!$A$6:$A$255,0)),"KODE BARU")))</f>
        <v/>
      </c>
      <c r="I740" s="45"/>
      <c r="J740" s="42"/>
      <c r="K740" s="11" t="str">
        <f aca="false">IF(I740="","",I740*J740)</f>
        <v/>
      </c>
      <c r="L740" s="34" t="str">
        <f aca="false">IF(H740="","",IFERROR(INDEX(I_Master!$B$6:$B$85,MATCH(H740,I_Master!$A$6:$A$85,0)),"?"))</f>
        <v/>
      </c>
      <c r="M740" s="46" t="str">
        <f aca="false">IF(I740="","",IF(OR(A740&lt;I_Parameter!$C$5,A740&gt;I_Parameter!$C$6),0,IF(B740="Aktual",1,IF(AND(B740="Rencana",A740&gt;=I_Parameter!$C$4),1,0))))</f>
        <v/>
      </c>
    </row>
    <row r="741" customFormat="false" ht="15" hidden="false" customHeight="false" outlineLevel="0" collapsed="false">
      <c r="A741" s="37"/>
      <c r="B741" s="44"/>
      <c r="C741" s="44"/>
      <c r="D741" s="44"/>
      <c r="E741" s="44"/>
      <c r="F741" s="44"/>
      <c r="G741" s="44"/>
      <c r="H741" s="34" t="str">
        <f aca="false">IF(G741&lt;&gt;"",G741,IF(F741="","",IFERROR(INDEX(I_Item!$C$6:$C$255,MATCH(F741,I_Item!$A$6:$A$255,0)),"KODE BARU")))</f>
        <v/>
      </c>
      <c r="I741" s="45"/>
      <c r="J741" s="42"/>
      <c r="K741" s="11" t="str">
        <f aca="false">IF(I741="","",I741*J741)</f>
        <v/>
      </c>
      <c r="L741" s="34" t="str">
        <f aca="false">IF(H741="","",IFERROR(INDEX(I_Master!$B$6:$B$85,MATCH(H741,I_Master!$A$6:$A$85,0)),"?"))</f>
        <v/>
      </c>
      <c r="M741" s="46" t="str">
        <f aca="false">IF(I741="","",IF(OR(A741&lt;I_Parameter!$C$5,A741&gt;I_Parameter!$C$6),0,IF(B741="Aktual",1,IF(AND(B741="Rencana",A741&gt;=I_Parameter!$C$4),1,0))))</f>
        <v/>
      </c>
    </row>
    <row r="742" customFormat="false" ht="15" hidden="false" customHeight="false" outlineLevel="0" collapsed="false">
      <c r="A742" s="37"/>
      <c r="B742" s="44"/>
      <c r="C742" s="44"/>
      <c r="D742" s="44"/>
      <c r="E742" s="44"/>
      <c r="F742" s="44"/>
      <c r="G742" s="44"/>
      <c r="H742" s="34" t="str">
        <f aca="false">IF(G742&lt;&gt;"",G742,IF(F742="","",IFERROR(INDEX(I_Item!$C$6:$C$255,MATCH(F742,I_Item!$A$6:$A$255,0)),"KODE BARU")))</f>
        <v/>
      </c>
      <c r="I742" s="45"/>
      <c r="J742" s="42"/>
      <c r="K742" s="11" t="str">
        <f aca="false">IF(I742="","",I742*J742)</f>
        <v/>
      </c>
      <c r="L742" s="34" t="str">
        <f aca="false">IF(H742="","",IFERROR(INDEX(I_Master!$B$6:$B$85,MATCH(H742,I_Master!$A$6:$A$85,0)),"?"))</f>
        <v/>
      </c>
      <c r="M742" s="46" t="str">
        <f aca="false">IF(I742="","",IF(OR(A742&lt;I_Parameter!$C$5,A742&gt;I_Parameter!$C$6),0,IF(B742="Aktual",1,IF(AND(B742="Rencana",A742&gt;=I_Parameter!$C$4),1,0))))</f>
        <v/>
      </c>
    </row>
    <row r="743" customFormat="false" ht="15" hidden="false" customHeight="false" outlineLevel="0" collapsed="false">
      <c r="A743" s="37"/>
      <c r="B743" s="44"/>
      <c r="C743" s="44"/>
      <c r="D743" s="44"/>
      <c r="E743" s="44"/>
      <c r="F743" s="44"/>
      <c r="G743" s="44"/>
      <c r="H743" s="34" t="str">
        <f aca="false">IF(G743&lt;&gt;"",G743,IF(F743="","",IFERROR(INDEX(I_Item!$C$6:$C$255,MATCH(F743,I_Item!$A$6:$A$255,0)),"KODE BARU")))</f>
        <v/>
      </c>
      <c r="I743" s="45"/>
      <c r="J743" s="42"/>
      <c r="K743" s="11" t="str">
        <f aca="false">IF(I743="","",I743*J743)</f>
        <v/>
      </c>
      <c r="L743" s="34" t="str">
        <f aca="false">IF(H743="","",IFERROR(INDEX(I_Master!$B$6:$B$85,MATCH(H743,I_Master!$A$6:$A$85,0)),"?"))</f>
        <v/>
      </c>
      <c r="M743" s="46" t="str">
        <f aca="false">IF(I743="","",IF(OR(A743&lt;I_Parameter!$C$5,A743&gt;I_Parameter!$C$6),0,IF(B743="Aktual",1,IF(AND(B743="Rencana",A743&gt;=I_Parameter!$C$4),1,0))))</f>
        <v/>
      </c>
    </row>
    <row r="744" customFormat="false" ht="15" hidden="false" customHeight="false" outlineLevel="0" collapsed="false">
      <c r="A744" s="37"/>
      <c r="B744" s="44"/>
      <c r="C744" s="44"/>
      <c r="D744" s="44"/>
      <c r="E744" s="44"/>
      <c r="F744" s="44"/>
      <c r="G744" s="44"/>
      <c r="H744" s="34" t="str">
        <f aca="false">IF(G744&lt;&gt;"",G744,IF(F744="","",IFERROR(INDEX(I_Item!$C$6:$C$255,MATCH(F744,I_Item!$A$6:$A$255,0)),"KODE BARU")))</f>
        <v/>
      </c>
      <c r="I744" s="45"/>
      <c r="J744" s="42"/>
      <c r="K744" s="11" t="str">
        <f aca="false">IF(I744="","",I744*J744)</f>
        <v/>
      </c>
      <c r="L744" s="34" t="str">
        <f aca="false">IF(H744="","",IFERROR(INDEX(I_Master!$B$6:$B$85,MATCH(H744,I_Master!$A$6:$A$85,0)),"?"))</f>
        <v/>
      </c>
      <c r="M744" s="46" t="str">
        <f aca="false">IF(I744="","",IF(OR(A744&lt;I_Parameter!$C$5,A744&gt;I_Parameter!$C$6),0,IF(B744="Aktual",1,IF(AND(B744="Rencana",A744&gt;=I_Parameter!$C$4),1,0))))</f>
        <v/>
      </c>
    </row>
    <row r="745" customFormat="false" ht="15" hidden="false" customHeight="false" outlineLevel="0" collapsed="false">
      <c r="A745" s="37"/>
      <c r="B745" s="44"/>
      <c r="C745" s="44"/>
      <c r="D745" s="44"/>
      <c r="E745" s="44"/>
      <c r="F745" s="44"/>
      <c r="G745" s="44"/>
      <c r="H745" s="34" t="str">
        <f aca="false">IF(G745&lt;&gt;"",G745,IF(F745="","",IFERROR(INDEX(I_Item!$C$6:$C$255,MATCH(F745,I_Item!$A$6:$A$255,0)),"KODE BARU")))</f>
        <v/>
      </c>
      <c r="I745" s="45"/>
      <c r="J745" s="42"/>
      <c r="K745" s="11" t="str">
        <f aca="false">IF(I745="","",I745*J745)</f>
        <v/>
      </c>
      <c r="L745" s="34" t="str">
        <f aca="false">IF(H745="","",IFERROR(INDEX(I_Master!$B$6:$B$85,MATCH(H745,I_Master!$A$6:$A$85,0)),"?"))</f>
        <v/>
      </c>
      <c r="M745" s="46" t="str">
        <f aca="false">IF(I745="","",IF(OR(A745&lt;I_Parameter!$C$5,A745&gt;I_Parameter!$C$6),0,IF(B745="Aktual",1,IF(AND(B745="Rencana",A745&gt;=I_Parameter!$C$4),1,0))))</f>
        <v/>
      </c>
    </row>
    <row r="746" customFormat="false" ht="15" hidden="false" customHeight="false" outlineLevel="0" collapsed="false">
      <c r="A746" s="37"/>
      <c r="B746" s="44"/>
      <c r="C746" s="44"/>
      <c r="D746" s="44"/>
      <c r="E746" s="44"/>
      <c r="F746" s="44"/>
      <c r="G746" s="44"/>
      <c r="H746" s="34" t="str">
        <f aca="false">IF(G746&lt;&gt;"",G746,IF(F746="","",IFERROR(INDEX(I_Item!$C$6:$C$255,MATCH(F746,I_Item!$A$6:$A$255,0)),"KODE BARU")))</f>
        <v/>
      </c>
      <c r="I746" s="45"/>
      <c r="J746" s="42"/>
      <c r="K746" s="11" t="str">
        <f aca="false">IF(I746="","",I746*J746)</f>
        <v/>
      </c>
      <c r="L746" s="34" t="str">
        <f aca="false">IF(H746="","",IFERROR(INDEX(I_Master!$B$6:$B$85,MATCH(H746,I_Master!$A$6:$A$85,0)),"?"))</f>
        <v/>
      </c>
      <c r="M746" s="46" t="str">
        <f aca="false">IF(I746="","",IF(OR(A746&lt;I_Parameter!$C$5,A746&gt;I_Parameter!$C$6),0,IF(B746="Aktual",1,IF(AND(B746="Rencana",A746&gt;=I_Parameter!$C$4),1,0))))</f>
        <v/>
      </c>
    </row>
    <row r="747" customFormat="false" ht="15" hidden="false" customHeight="false" outlineLevel="0" collapsed="false">
      <c r="A747" s="37"/>
      <c r="B747" s="44"/>
      <c r="C747" s="44"/>
      <c r="D747" s="44"/>
      <c r="E747" s="44"/>
      <c r="F747" s="44"/>
      <c r="G747" s="44"/>
      <c r="H747" s="34" t="str">
        <f aca="false">IF(G747&lt;&gt;"",G747,IF(F747="","",IFERROR(INDEX(I_Item!$C$6:$C$255,MATCH(F747,I_Item!$A$6:$A$255,0)),"KODE BARU")))</f>
        <v/>
      </c>
      <c r="I747" s="45"/>
      <c r="J747" s="42"/>
      <c r="K747" s="11" t="str">
        <f aca="false">IF(I747="","",I747*J747)</f>
        <v/>
      </c>
      <c r="L747" s="34" t="str">
        <f aca="false">IF(H747="","",IFERROR(INDEX(I_Master!$B$6:$B$85,MATCH(H747,I_Master!$A$6:$A$85,0)),"?"))</f>
        <v/>
      </c>
      <c r="M747" s="46" t="str">
        <f aca="false">IF(I747="","",IF(OR(A747&lt;I_Parameter!$C$5,A747&gt;I_Parameter!$C$6),0,IF(B747="Aktual",1,IF(AND(B747="Rencana",A747&gt;=I_Parameter!$C$4),1,0))))</f>
        <v/>
      </c>
    </row>
    <row r="748" customFormat="false" ht="15" hidden="false" customHeight="false" outlineLevel="0" collapsed="false">
      <c r="A748" s="37"/>
      <c r="B748" s="44"/>
      <c r="C748" s="44"/>
      <c r="D748" s="44"/>
      <c r="E748" s="44"/>
      <c r="F748" s="44"/>
      <c r="G748" s="44"/>
      <c r="H748" s="34" t="str">
        <f aca="false">IF(G748&lt;&gt;"",G748,IF(F748="","",IFERROR(INDEX(I_Item!$C$6:$C$255,MATCH(F748,I_Item!$A$6:$A$255,0)),"KODE BARU")))</f>
        <v/>
      </c>
      <c r="I748" s="45"/>
      <c r="J748" s="42"/>
      <c r="K748" s="11" t="str">
        <f aca="false">IF(I748="","",I748*J748)</f>
        <v/>
      </c>
      <c r="L748" s="34" t="str">
        <f aca="false">IF(H748="","",IFERROR(INDEX(I_Master!$B$6:$B$85,MATCH(H748,I_Master!$A$6:$A$85,0)),"?"))</f>
        <v/>
      </c>
      <c r="M748" s="46" t="str">
        <f aca="false">IF(I748="","",IF(OR(A748&lt;I_Parameter!$C$5,A748&gt;I_Parameter!$C$6),0,IF(B748="Aktual",1,IF(AND(B748="Rencana",A748&gt;=I_Parameter!$C$4),1,0))))</f>
        <v/>
      </c>
    </row>
    <row r="749" customFormat="false" ht="15" hidden="false" customHeight="false" outlineLevel="0" collapsed="false">
      <c r="A749" s="37"/>
      <c r="B749" s="44"/>
      <c r="C749" s="44"/>
      <c r="D749" s="44"/>
      <c r="E749" s="44"/>
      <c r="F749" s="44"/>
      <c r="G749" s="44"/>
      <c r="H749" s="34" t="str">
        <f aca="false">IF(G749&lt;&gt;"",G749,IF(F749="","",IFERROR(INDEX(I_Item!$C$6:$C$255,MATCH(F749,I_Item!$A$6:$A$255,0)),"KODE BARU")))</f>
        <v/>
      </c>
      <c r="I749" s="45"/>
      <c r="J749" s="42"/>
      <c r="K749" s="11" t="str">
        <f aca="false">IF(I749="","",I749*J749)</f>
        <v/>
      </c>
      <c r="L749" s="34" t="str">
        <f aca="false">IF(H749="","",IFERROR(INDEX(I_Master!$B$6:$B$85,MATCH(H749,I_Master!$A$6:$A$85,0)),"?"))</f>
        <v/>
      </c>
      <c r="M749" s="46" t="str">
        <f aca="false">IF(I749="","",IF(OR(A749&lt;I_Parameter!$C$5,A749&gt;I_Parameter!$C$6),0,IF(B749="Aktual",1,IF(AND(B749="Rencana",A749&gt;=I_Parameter!$C$4),1,0))))</f>
        <v/>
      </c>
    </row>
    <row r="750" customFormat="false" ht="15" hidden="false" customHeight="false" outlineLevel="0" collapsed="false">
      <c r="A750" s="37"/>
      <c r="B750" s="44"/>
      <c r="C750" s="44"/>
      <c r="D750" s="44"/>
      <c r="E750" s="44"/>
      <c r="F750" s="44"/>
      <c r="G750" s="44"/>
      <c r="H750" s="34" t="str">
        <f aca="false">IF(G750&lt;&gt;"",G750,IF(F750="","",IFERROR(INDEX(I_Item!$C$6:$C$255,MATCH(F750,I_Item!$A$6:$A$255,0)),"KODE BARU")))</f>
        <v/>
      </c>
      <c r="I750" s="45"/>
      <c r="J750" s="42"/>
      <c r="K750" s="11" t="str">
        <f aca="false">IF(I750="","",I750*J750)</f>
        <v/>
      </c>
      <c r="L750" s="34" t="str">
        <f aca="false">IF(H750="","",IFERROR(INDEX(I_Master!$B$6:$B$85,MATCH(H750,I_Master!$A$6:$A$85,0)),"?"))</f>
        <v/>
      </c>
      <c r="M750" s="46" t="str">
        <f aca="false">IF(I750="","",IF(OR(A750&lt;I_Parameter!$C$5,A750&gt;I_Parameter!$C$6),0,IF(B750="Aktual",1,IF(AND(B750="Rencana",A750&gt;=I_Parameter!$C$4),1,0))))</f>
        <v/>
      </c>
    </row>
    <row r="751" customFormat="false" ht="15" hidden="false" customHeight="false" outlineLevel="0" collapsed="false">
      <c r="A751" s="37"/>
      <c r="B751" s="44"/>
      <c r="C751" s="44"/>
      <c r="D751" s="44"/>
      <c r="E751" s="44"/>
      <c r="F751" s="44"/>
      <c r="G751" s="44"/>
      <c r="H751" s="34" t="str">
        <f aca="false">IF(G751&lt;&gt;"",G751,IF(F751="","",IFERROR(INDEX(I_Item!$C$6:$C$255,MATCH(F751,I_Item!$A$6:$A$255,0)),"KODE BARU")))</f>
        <v/>
      </c>
      <c r="I751" s="45"/>
      <c r="J751" s="42"/>
      <c r="K751" s="11" t="str">
        <f aca="false">IF(I751="","",I751*J751)</f>
        <v/>
      </c>
      <c r="L751" s="34" t="str">
        <f aca="false">IF(H751="","",IFERROR(INDEX(I_Master!$B$6:$B$85,MATCH(H751,I_Master!$A$6:$A$85,0)),"?"))</f>
        <v/>
      </c>
      <c r="M751" s="46" t="str">
        <f aca="false">IF(I751="","",IF(OR(A751&lt;I_Parameter!$C$5,A751&gt;I_Parameter!$C$6),0,IF(B751="Aktual",1,IF(AND(B751="Rencana",A751&gt;=I_Parameter!$C$4),1,0))))</f>
        <v/>
      </c>
    </row>
    <row r="752" customFormat="false" ht="15" hidden="false" customHeight="false" outlineLevel="0" collapsed="false">
      <c r="A752" s="37"/>
      <c r="B752" s="44"/>
      <c r="C752" s="44"/>
      <c r="D752" s="44"/>
      <c r="E752" s="44"/>
      <c r="F752" s="44"/>
      <c r="G752" s="44"/>
      <c r="H752" s="34" t="str">
        <f aca="false">IF(G752&lt;&gt;"",G752,IF(F752="","",IFERROR(INDEX(I_Item!$C$6:$C$255,MATCH(F752,I_Item!$A$6:$A$255,0)),"KODE BARU")))</f>
        <v/>
      </c>
      <c r="I752" s="45"/>
      <c r="J752" s="42"/>
      <c r="K752" s="11" t="str">
        <f aca="false">IF(I752="","",I752*J752)</f>
        <v/>
      </c>
      <c r="L752" s="34" t="str">
        <f aca="false">IF(H752="","",IFERROR(INDEX(I_Master!$B$6:$B$85,MATCH(H752,I_Master!$A$6:$A$85,0)),"?"))</f>
        <v/>
      </c>
      <c r="M752" s="46" t="str">
        <f aca="false">IF(I752="","",IF(OR(A752&lt;I_Parameter!$C$5,A752&gt;I_Parameter!$C$6),0,IF(B752="Aktual",1,IF(AND(B752="Rencana",A752&gt;=I_Parameter!$C$4),1,0))))</f>
        <v/>
      </c>
    </row>
    <row r="753" customFormat="false" ht="15" hidden="false" customHeight="false" outlineLevel="0" collapsed="false">
      <c r="A753" s="37"/>
      <c r="B753" s="44"/>
      <c r="C753" s="44"/>
      <c r="D753" s="44"/>
      <c r="E753" s="44"/>
      <c r="F753" s="44"/>
      <c r="G753" s="44"/>
      <c r="H753" s="34" t="str">
        <f aca="false">IF(G753&lt;&gt;"",G753,IF(F753="","",IFERROR(INDEX(I_Item!$C$6:$C$255,MATCH(F753,I_Item!$A$6:$A$255,0)),"KODE BARU")))</f>
        <v/>
      </c>
      <c r="I753" s="45"/>
      <c r="J753" s="42"/>
      <c r="K753" s="11" t="str">
        <f aca="false">IF(I753="","",I753*J753)</f>
        <v/>
      </c>
      <c r="L753" s="34" t="str">
        <f aca="false">IF(H753="","",IFERROR(INDEX(I_Master!$B$6:$B$85,MATCH(H753,I_Master!$A$6:$A$85,0)),"?"))</f>
        <v/>
      </c>
      <c r="M753" s="46" t="str">
        <f aca="false">IF(I753="","",IF(OR(A753&lt;I_Parameter!$C$5,A753&gt;I_Parameter!$C$6),0,IF(B753="Aktual",1,IF(AND(B753="Rencana",A753&gt;=I_Parameter!$C$4),1,0))))</f>
        <v/>
      </c>
    </row>
    <row r="754" customFormat="false" ht="15" hidden="false" customHeight="false" outlineLevel="0" collapsed="false">
      <c r="A754" s="37"/>
      <c r="B754" s="44"/>
      <c r="C754" s="44"/>
      <c r="D754" s="44"/>
      <c r="E754" s="44"/>
      <c r="F754" s="44"/>
      <c r="G754" s="44"/>
      <c r="H754" s="34" t="str">
        <f aca="false">IF(G754&lt;&gt;"",G754,IF(F754="","",IFERROR(INDEX(I_Item!$C$6:$C$255,MATCH(F754,I_Item!$A$6:$A$255,0)),"KODE BARU")))</f>
        <v/>
      </c>
      <c r="I754" s="45"/>
      <c r="J754" s="42"/>
      <c r="K754" s="11" t="str">
        <f aca="false">IF(I754="","",I754*J754)</f>
        <v/>
      </c>
      <c r="L754" s="34" t="str">
        <f aca="false">IF(H754="","",IFERROR(INDEX(I_Master!$B$6:$B$85,MATCH(H754,I_Master!$A$6:$A$85,0)),"?"))</f>
        <v/>
      </c>
      <c r="M754" s="46" t="str">
        <f aca="false">IF(I754="","",IF(OR(A754&lt;I_Parameter!$C$5,A754&gt;I_Parameter!$C$6),0,IF(B754="Aktual",1,IF(AND(B754="Rencana",A754&gt;=I_Parameter!$C$4),1,0))))</f>
        <v/>
      </c>
    </row>
    <row r="755" customFormat="false" ht="15" hidden="false" customHeight="false" outlineLevel="0" collapsed="false">
      <c r="A755" s="37"/>
      <c r="B755" s="44"/>
      <c r="C755" s="44"/>
      <c r="D755" s="44"/>
      <c r="E755" s="44"/>
      <c r="F755" s="44"/>
      <c r="G755" s="44"/>
      <c r="H755" s="34" t="str">
        <f aca="false">IF(G755&lt;&gt;"",G755,IF(F755="","",IFERROR(INDEX(I_Item!$C$6:$C$255,MATCH(F755,I_Item!$A$6:$A$255,0)),"KODE BARU")))</f>
        <v/>
      </c>
      <c r="I755" s="45"/>
      <c r="J755" s="42"/>
      <c r="K755" s="11" t="str">
        <f aca="false">IF(I755="","",I755*J755)</f>
        <v/>
      </c>
      <c r="L755" s="34" t="str">
        <f aca="false">IF(H755="","",IFERROR(INDEX(I_Master!$B$6:$B$85,MATCH(H755,I_Master!$A$6:$A$85,0)),"?"))</f>
        <v/>
      </c>
      <c r="M755" s="46" t="str">
        <f aca="false">IF(I755="","",IF(OR(A755&lt;I_Parameter!$C$5,A755&gt;I_Parameter!$C$6),0,IF(B755="Aktual",1,IF(AND(B755="Rencana",A755&gt;=I_Parameter!$C$4),1,0))))</f>
        <v/>
      </c>
    </row>
    <row r="756" customFormat="false" ht="15" hidden="false" customHeight="false" outlineLevel="0" collapsed="false">
      <c r="A756" s="37"/>
      <c r="B756" s="44"/>
      <c r="C756" s="44"/>
      <c r="D756" s="44"/>
      <c r="E756" s="44"/>
      <c r="F756" s="44"/>
      <c r="G756" s="44"/>
      <c r="H756" s="34" t="str">
        <f aca="false">IF(G756&lt;&gt;"",G756,IF(F756="","",IFERROR(INDEX(I_Item!$C$6:$C$255,MATCH(F756,I_Item!$A$6:$A$255,0)),"KODE BARU")))</f>
        <v/>
      </c>
      <c r="I756" s="45"/>
      <c r="J756" s="42"/>
      <c r="K756" s="11" t="str">
        <f aca="false">IF(I756="","",I756*J756)</f>
        <v/>
      </c>
      <c r="L756" s="34" t="str">
        <f aca="false">IF(H756="","",IFERROR(INDEX(I_Master!$B$6:$B$85,MATCH(H756,I_Master!$A$6:$A$85,0)),"?"))</f>
        <v/>
      </c>
      <c r="M756" s="46" t="str">
        <f aca="false">IF(I756="","",IF(OR(A756&lt;I_Parameter!$C$5,A756&gt;I_Parameter!$C$6),0,IF(B756="Aktual",1,IF(AND(B756="Rencana",A756&gt;=I_Parameter!$C$4),1,0))))</f>
        <v/>
      </c>
    </row>
    <row r="757" customFormat="false" ht="15" hidden="false" customHeight="false" outlineLevel="0" collapsed="false">
      <c r="A757" s="37"/>
      <c r="B757" s="44"/>
      <c r="C757" s="44"/>
      <c r="D757" s="44"/>
      <c r="E757" s="44"/>
      <c r="F757" s="44"/>
      <c r="G757" s="44"/>
      <c r="H757" s="34" t="str">
        <f aca="false">IF(G757&lt;&gt;"",G757,IF(F757="","",IFERROR(INDEX(I_Item!$C$6:$C$255,MATCH(F757,I_Item!$A$6:$A$255,0)),"KODE BARU")))</f>
        <v/>
      </c>
      <c r="I757" s="45"/>
      <c r="J757" s="42"/>
      <c r="K757" s="11" t="str">
        <f aca="false">IF(I757="","",I757*J757)</f>
        <v/>
      </c>
      <c r="L757" s="34" t="str">
        <f aca="false">IF(H757="","",IFERROR(INDEX(I_Master!$B$6:$B$85,MATCH(H757,I_Master!$A$6:$A$85,0)),"?"))</f>
        <v/>
      </c>
      <c r="M757" s="46" t="str">
        <f aca="false">IF(I757="","",IF(OR(A757&lt;I_Parameter!$C$5,A757&gt;I_Parameter!$C$6),0,IF(B757="Aktual",1,IF(AND(B757="Rencana",A757&gt;=I_Parameter!$C$4),1,0))))</f>
        <v/>
      </c>
    </row>
    <row r="758" customFormat="false" ht="15" hidden="false" customHeight="false" outlineLevel="0" collapsed="false">
      <c r="A758" s="37"/>
      <c r="B758" s="44"/>
      <c r="C758" s="44"/>
      <c r="D758" s="44"/>
      <c r="E758" s="44"/>
      <c r="F758" s="44"/>
      <c r="G758" s="44"/>
      <c r="H758" s="34" t="str">
        <f aca="false">IF(G758&lt;&gt;"",G758,IF(F758="","",IFERROR(INDEX(I_Item!$C$6:$C$255,MATCH(F758,I_Item!$A$6:$A$255,0)),"KODE BARU")))</f>
        <v/>
      </c>
      <c r="I758" s="45"/>
      <c r="J758" s="42"/>
      <c r="K758" s="11" t="str">
        <f aca="false">IF(I758="","",I758*J758)</f>
        <v/>
      </c>
      <c r="L758" s="34" t="str">
        <f aca="false">IF(H758="","",IFERROR(INDEX(I_Master!$B$6:$B$85,MATCH(H758,I_Master!$A$6:$A$85,0)),"?"))</f>
        <v/>
      </c>
      <c r="M758" s="46" t="str">
        <f aca="false">IF(I758="","",IF(OR(A758&lt;I_Parameter!$C$5,A758&gt;I_Parameter!$C$6),0,IF(B758="Aktual",1,IF(AND(B758="Rencana",A758&gt;=I_Parameter!$C$4),1,0))))</f>
        <v/>
      </c>
    </row>
    <row r="759" customFormat="false" ht="15" hidden="false" customHeight="false" outlineLevel="0" collapsed="false">
      <c r="A759" s="37"/>
      <c r="B759" s="44"/>
      <c r="C759" s="44"/>
      <c r="D759" s="44"/>
      <c r="E759" s="44"/>
      <c r="F759" s="44"/>
      <c r="G759" s="44"/>
      <c r="H759" s="34" t="str">
        <f aca="false">IF(G759&lt;&gt;"",G759,IF(F759="","",IFERROR(INDEX(I_Item!$C$6:$C$255,MATCH(F759,I_Item!$A$6:$A$255,0)),"KODE BARU")))</f>
        <v/>
      </c>
      <c r="I759" s="45"/>
      <c r="J759" s="42"/>
      <c r="K759" s="11" t="str">
        <f aca="false">IF(I759="","",I759*J759)</f>
        <v/>
      </c>
      <c r="L759" s="34" t="str">
        <f aca="false">IF(H759="","",IFERROR(INDEX(I_Master!$B$6:$B$85,MATCH(H759,I_Master!$A$6:$A$85,0)),"?"))</f>
        <v/>
      </c>
      <c r="M759" s="46" t="str">
        <f aca="false">IF(I759="","",IF(OR(A759&lt;I_Parameter!$C$5,A759&gt;I_Parameter!$C$6),0,IF(B759="Aktual",1,IF(AND(B759="Rencana",A759&gt;=I_Parameter!$C$4),1,0))))</f>
        <v/>
      </c>
    </row>
    <row r="760" customFormat="false" ht="15" hidden="false" customHeight="false" outlineLevel="0" collapsed="false">
      <c r="A760" s="37"/>
      <c r="B760" s="44"/>
      <c r="C760" s="44"/>
      <c r="D760" s="44"/>
      <c r="E760" s="44"/>
      <c r="F760" s="44"/>
      <c r="G760" s="44"/>
      <c r="H760" s="34" t="str">
        <f aca="false">IF(G760&lt;&gt;"",G760,IF(F760="","",IFERROR(INDEX(I_Item!$C$6:$C$255,MATCH(F760,I_Item!$A$6:$A$255,0)),"KODE BARU")))</f>
        <v/>
      </c>
      <c r="I760" s="45"/>
      <c r="J760" s="42"/>
      <c r="K760" s="11" t="str">
        <f aca="false">IF(I760="","",I760*J760)</f>
        <v/>
      </c>
      <c r="L760" s="34" t="str">
        <f aca="false">IF(H760="","",IFERROR(INDEX(I_Master!$B$6:$B$85,MATCH(H760,I_Master!$A$6:$A$85,0)),"?"))</f>
        <v/>
      </c>
      <c r="M760" s="46" t="str">
        <f aca="false">IF(I760="","",IF(OR(A760&lt;I_Parameter!$C$5,A760&gt;I_Parameter!$C$6),0,IF(B760="Aktual",1,IF(AND(B760="Rencana",A760&gt;=I_Parameter!$C$4),1,0))))</f>
        <v/>
      </c>
    </row>
    <row r="761" customFormat="false" ht="15" hidden="false" customHeight="false" outlineLevel="0" collapsed="false">
      <c r="A761" s="37"/>
      <c r="B761" s="44"/>
      <c r="C761" s="44"/>
      <c r="D761" s="44"/>
      <c r="E761" s="44"/>
      <c r="F761" s="44"/>
      <c r="G761" s="44"/>
      <c r="H761" s="34" t="str">
        <f aca="false">IF(G761&lt;&gt;"",G761,IF(F761="","",IFERROR(INDEX(I_Item!$C$6:$C$255,MATCH(F761,I_Item!$A$6:$A$255,0)),"KODE BARU")))</f>
        <v/>
      </c>
      <c r="I761" s="45"/>
      <c r="J761" s="42"/>
      <c r="K761" s="11" t="str">
        <f aca="false">IF(I761="","",I761*J761)</f>
        <v/>
      </c>
      <c r="L761" s="34" t="str">
        <f aca="false">IF(H761="","",IFERROR(INDEX(I_Master!$B$6:$B$85,MATCH(H761,I_Master!$A$6:$A$85,0)),"?"))</f>
        <v/>
      </c>
      <c r="M761" s="46" t="str">
        <f aca="false">IF(I761="","",IF(OR(A761&lt;I_Parameter!$C$5,A761&gt;I_Parameter!$C$6),0,IF(B761="Aktual",1,IF(AND(B761="Rencana",A761&gt;=I_Parameter!$C$4),1,0))))</f>
        <v/>
      </c>
    </row>
    <row r="762" customFormat="false" ht="15" hidden="false" customHeight="false" outlineLevel="0" collapsed="false">
      <c r="A762" s="37"/>
      <c r="B762" s="44"/>
      <c r="C762" s="44"/>
      <c r="D762" s="44"/>
      <c r="E762" s="44"/>
      <c r="F762" s="44"/>
      <c r="G762" s="44"/>
      <c r="H762" s="34" t="str">
        <f aca="false">IF(G762&lt;&gt;"",G762,IF(F762="","",IFERROR(INDEX(I_Item!$C$6:$C$255,MATCH(F762,I_Item!$A$6:$A$255,0)),"KODE BARU")))</f>
        <v/>
      </c>
      <c r="I762" s="45"/>
      <c r="J762" s="42"/>
      <c r="K762" s="11" t="str">
        <f aca="false">IF(I762="","",I762*J762)</f>
        <v/>
      </c>
      <c r="L762" s="34" t="str">
        <f aca="false">IF(H762="","",IFERROR(INDEX(I_Master!$B$6:$B$85,MATCH(H762,I_Master!$A$6:$A$85,0)),"?"))</f>
        <v/>
      </c>
      <c r="M762" s="46" t="str">
        <f aca="false">IF(I762="","",IF(OR(A762&lt;I_Parameter!$C$5,A762&gt;I_Parameter!$C$6),0,IF(B762="Aktual",1,IF(AND(B762="Rencana",A762&gt;=I_Parameter!$C$4),1,0))))</f>
        <v/>
      </c>
    </row>
    <row r="763" customFormat="false" ht="15" hidden="false" customHeight="false" outlineLevel="0" collapsed="false">
      <c r="A763" s="37"/>
      <c r="B763" s="44"/>
      <c r="C763" s="44"/>
      <c r="D763" s="44"/>
      <c r="E763" s="44"/>
      <c r="F763" s="44"/>
      <c r="G763" s="44"/>
      <c r="H763" s="34" t="str">
        <f aca="false">IF(G763&lt;&gt;"",G763,IF(F763="","",IFERROR(INDEX(I_Item!$C$6:$C$255,MATCH(F763,I_Item!$A$6:$A$255,0)),"KODE BARU")))</f>
        <v/>
      </c>
      <c r="I763" s="45"/>
      <c r="J763" s="42"/>
      <c r="K763" s="11" t="str">
        <f aca="false">IF(I763="","",I763*J763)</f>
        <v/>
      </c>
      <c r="L763" s="34" t="str">
        <f aca="false">IF(H763="","",IFERROR(INDEX(I_Master!$B$6:$B$85,MATCH(H763,I_Master!$A$6:$A$85,0)),"?"))</f>
        <v/>
      </c>
      <c r="M763" s="46" t="str">
        <f aca="false">IF(I763="","",IF(OR(A763&lt;I_Parameter!$C$5,A763&gt;I_Parameter!$C$6),0,IF(B763="Aktual",1,IF(AND(B763="Rencana",A763&gt;=I_Parameter!$C$4),1,0))))</f>
        <v/>
      </c>
    </row>
    <row r="764" customFormat="false" ht="15" hidden="false" customHeight="false" outlineLevel="0" collapsed="false">
      <c r="A764" s="37"/>
      <c r="B764" s="44"/>
      <c r="C764" s="44"/>
      <c r="D764" s="44"/>
      <c r="E764" s="44"/>
      <c r="F764" s="44"/>
      <c r="G764" s="44"/>
      <c r="H764" s="34" t="str">
        <f aca="false">IF(G764&lt;&gt;"",G764,IF(F764="","",IFERROR(INDEX(I_Item!$C$6:$C$255,MATCH(F764,I_Item!$A$6:$A$255,0)),"KODE BARU")))</f>
        <v/>
      </c>
      <c r="I764" s="45"/>
      <c r="J764" s="42"/>
      <c r="K764" s="11" t="str">
        <f aca="false">IF(I764="","",I764*J764)</f>
        <v/>
      </c>
      <c r="L764" s="34" t="str">
        <f aca="false">IF(H764="","",IFERROR(INDEX(I_Master!$B$6:$B$85,MATCH(H764,I_Master!$A$6:$A$85,0)),"?"))</f>
        <v/>
      </c>
      <c r="M764" s="46" t="str">
        <f aca="false">IF(I764="","",IF(OR(A764&lt;I_Parameter!$C$5,A764&gt;I_Parameter!$C$6),0,IF(B764="Aktual",1,IF(AND(B764="Rencana",A764&gt;=I_Parameter!$C$4),1,0))))</f>
        <v/>
      </c>
    </row>
    <row r="765" customFormat="false" ht="15" hidden="false" customHeight="false" outlineLevel="0" collapsed="false">
      <c r="A765" s="37"/>
      <c r="B765" s="44"/>
      <c r="C765" s="44"/>
      <c r="D765" s="44"/>
      <c r="E765" s="44"/>
      <c r="F765" s="44"/>
      <c r="G765" s="44"/>
      <c r="H765" s="34" t="str">
        <f aca="false">IF(G765&lt;&gt;"",G765,IF(F765="","",IFERROR(INDEX(I_Item!$C$6:$C$255,MATCH(F765,I_Item!$A$6:$A$255,0)),"KODE BARU")))</f>
        <v/>
      </c>
      <c r="I765" s="45"/>
      <c r="J765" s="42"/>
      <c r="K765" s="11" t="str">
        <f aca="false">IF(I765="","",I765*J765)</f>
        <v/>
      </c>
      <c r="L765" s="34" t="str">
        <f aca="false">IF(H765="","",IFERROR(INDEX(I_Master!$B$6:$B$85,MATCH(H765,I_Master!$A$6:$A$85,0)),"?"))</f>
        <v/>
      </c>
      <c r="M765" s="46" t="str">
        <f aca="false">IF(I765="","",IF(OR(A765&lt;I_Parameter!$C$5,A765&gt;I_Parameter!$C$6),0,IF(B765="Aktual",1,IF(AND(B765="Rencana",A765&gt;=I_Parameter!$C$4),1,0))))</f>
        <v/>
      </c>
    </row>
    <row r="766" customFormat="false" ht="15" hidden="false" customHeight="false" outlineLevel="0" collapsed="false">
      <c r="A766" s="37"/>
      <c r="B766" s="44"/>
      <c r="C766" s="44"/>
      <c r="D766" s="44"/>
      <c r="E766" s="44"/>
      <c r="F766" s="44"/>
      <c r="G766" s="44"/>
      <c r="H766" s="34" t="str">
        <f aca="false">IF(G766&lt;&gt;"",G766,IF(F766="","",IFERROR(INDEX(I_Item!$C$6:$C$255,MATCH(F766,I_Item!$A$6:$A$255,0)),"KODE BARU")))</f>
        <v/>
      </c>
      <c r="I766" s="45"/>
      <c r="J766" s="42"/>
      <c r="K766" s="11" t="str">
        <f aca="false">IF(I766="","",I766*J766)</f>
        <v/>
      </c>
      <c r="L766" s="34" t="str">
        <f aca="false">IF(H766="","",IFERROR(INDEX(I_Master!$B$6:$B$85,MATCH(H766,I_Master!$A$6:$A$85,0)),"?"))</f>
        <v/>
      </c>
      <c r="M766" s="46" t="str">
        <f aca="false">IF(I766="","",IF(OR(A766&lt;I_Parameter!$C$5,A766&gt;I_Parameter!$C$6),0,IF(B766="Aktual",1,IF(AND(B766="Rencana",A766&gt;=I_Parameter!$C$4),1,0))))</f>
        <v/>
      </c>
    </row>
    <row r="767" customFormat="false" ht="15" hidden="false" customHeight="false" outlineLevel="0" collapsed="false">
      <c r="A767" s="37"/>
      <c r="B767" s="44"/>
      <c r="C767" s="44"/>
      <c r="D767" s="44"/>
      <c r="E767" s="44"/>
      <c r="F767" s="44"/>
      <c r="G767" s="44"/>
      <c r="H767" s="34" t="str">
        <f aca="false">IF(G767&lt;&gt;"",G767,IF(F767="","",IFERROR(INDEX(I_Item!$C$6:$C$255,MATCH(F767,I_Item!$A$6:$A$255,0)),"KODE BARU")))</f>
        <v/>
      </c>
      <c r="I767" s="45"/>
      <c r="J767" s="42"/>
      <c r="K767" s="11" t="str">
        <f aca="false">IF(I767="","",I767*J767)</f>
        <v/>
      </c>
      <c r="L767" s="34" t="str">
        <f aca="false">IF(H767="","",IFERROR(INDEX(I_Master!$B$6:$B$85,MATCH(H767,I_Master!$A$6:$A$85,0)),"?"))</f>
        <v/>
      </c>
      <c r="M767" s="46" t="str">
        <f aca="false">IF(I767="","",IF(OR(A767&lt;I_Parameter!$C$5,A767&gt;I_Parameter!$C$6),0,IF(B767="Aktual",1,IF(AND(B767="Rencana",A767&gt;=I_Parameter!$C$4),1,0))))</f>
        <v/>
      </c>
    </row>
    <row r="768" customFormat="false" ht="15" hidden="false" customHeight="false" outlineLevel="0" collapsed="false">
      <c r="A768" s="37"/>
      <c r="B768" s="44"/>
      <c r="C768" s="44"/>
      <c r="D768" s="44"/>
      <c r="E768" s="44"/>
      <c r="F768" s="44"/>
      <c r="G768" s="44"/>
      <c r="H768" s="34" t="str">
        <f aca="false">IF(G768&lt;&gt;"",G768,IF(F768="","",IFERROR(INDEX(I_Item!$C$6:$C$255,MATCH(F768,I_Item!$A$6:$A$255,0)),"KODE BARU")))</f>
        <v/>
      </c>
      <c r="I768" s="45"/>
      <c r="J768" s="42"/>
      <c r="K768" s="11" t="str">
        <f aca="false">IF(I768="","",I768*J768)</f>
        <v/>
      </c>
      <c r="L768" s="34" t="str">
        <f aca="false">IF(H768="","",IFERROR(INDEX(I_Master!$B$6:$B$85,MATCH(H768,I_Master!$A$6:$A$85,0)),"?"))</f>
        <v/>
      </c>
      <c r="M768" s="46" t="str">
        <f aca="false">IF(I768="","",IF(OR(A768&lt;I_Parameter!$C$5,A768&gt;I_Parameter!$C$6),0,IF(B768="Aktual",1,IF(AND(B768="Rencana",A768&gt;=I_Parameter!$C$4),1,0))))</f>
        <v/>
      </c>
    </row>
    <row r="769" customFormat="false" ht="15" hidden="false" customHeight="false" outlineLevel="0" collapsed="false">
      <c r="A769" s="37"/>
      <c r="B769" s="44"/>
      <c r="C769" s="44"/>
      <c r="D769" s="44"/>
      <c r="E769" s="44"/>
      <c r="F769" s="44"/>
      <c r="G769" s="44"/>
      <c r="H769" s="34" t="str">
        <f aca="false">IF(G769&lt;&gt;"",G769,IF(F769="","",IFERROR(INDEX(I_Item!$C$6:$C$255,MATCH(F769,I_Item!$A$6:$A$255,0)),"KODE BARU")))</f>
        <v/>
      </c>
      <c r="I769" s="45"/>
      <c r="J769" s="42"/>
      <c r="K769" s="11" t="str">
        <f aca="false">IF(I769="","",I769*J769)</f>
        <v/>
      </c>
      <c r="L769" s="34" t="str">
        <f aca="false">IF(H769="","",IFERROR(INDEX(I_Master!$B$6:$B$85,MATCH(H769,I_Master!$A$6:$A$85,0)),"?"))</f>
        <v/>
      </c>
      <c r="M769" s="46" t="str">
        <f aca="false">IF(I769="","",IF(OR(A769&lt;I_Parameter!$C$5,A769&gt;I_Parameter!$C$6),0,IF(B769="Aktual",1,IF(AND(B769="Rencana",A769&gt;=I_Parameter!$C$4),1,0))))</f>
        <v/>
      </c>
    </row>
    <row r="770" customFormat="false" ht="15" hidden="false" customHeight="false" outlineLevel="0" collapsed="false">
      <c r="A770" s="37"/>
      <c r="B770" s="44"/>
      <c r="C770" s="44"/>
      <c r="D770" s="44"/>
      <c r="E770" s="44"/>
      <c r="F770" s="44"/>
      <c r="G770" s="44"/>
      <c r="H770" s="34" t="str">
        <f aca="false">IF(G770&lt;&gt;"",G770,IF(F770="","",IFERROR(INDEX(I_Item!$C$6:$C$255,MATCH(F770,I_Item!$A$6:$A$255,0)),"KODE BARU")))</f>
        <v/>
      </c>
      <c r="I770" s="45"/>
      <c r="J770" s="42"/>
      <c r="K770" s="11" t="str">
        <f aca="false">IF(I770="","",I770*J770)</f>
        <v/>
      </c>
      <c r="L770" s="34" t="str">
        <f aca="false">IF(H770="","",IFERROR(INDEX(I_Master!$B$6:$B$85,MATCH(H770,I_Master!$A$6:$A$85,0)),"?"))</f>
        <v/>
      </c>
      <c r="M770" s="46" t="str">
        <f aca="false">IF(I770="","",IF(OR(A770&lt;I_Parameter!$C$5,A770&gt;I_Parameter!$C$6),0,IF(B770="Aktual",1,IF(AND(B770="Rencana",A770&gt;=I_Parameter!$C$4),1,0))))</f>
        <v/>
      </c>
    </row>
    <row r="771" customFormat="false" ht="15" hidden="false" customHeight="false" outlineLevel="0" collapsed="false">
      <c r="A771" s="37"/>
      <c r="B771" s="44"/>
      <c r="C771" s="44"/>
      <c r="D771" s="44"/>
      <c r="E771" s="44"/>
      <c r="F771" s="44"/>
      <c r="G771" s="44"/>
      <c r="H771" s="34" t="str">
        <f aca="false">IF(G771&lt;&gt;"",G771,IF(F771="","",IFERROR(INDEX(I_Item!$C$6:$C$255,MATCH(F771,I_Item!$A$6:$A$255,0)),"KODE BARU")))</f>
        <v/>
      </c>
      <c r="I771" s="45"/>
      <c r="J771" s="42"/>
      <c r="K771" s="11" t="str">
        <f aca="false">IF(I771="","",I771*J771)</f>
        <v/>
      </c>
      <c r="L771" s="34" t="str">
        <f aca="false">IF(H771="","",IFERROR(INDEX(I_Master!$B$6:$B$85,MATCH(H771,I_Master!$A$6:$A$85,0)),"?"))</f>
        <v/>
      </c>
      <c r="M771" s="46" t="str">
        <f aca="false">IF(I771="","",IF(OR(A771&lt;I_Parameter!$C$5,A771&gt;I_Parameter!$C$6),0,IF(B771="Aktual",1,IF(AND(B771="Rencana",A771&gt;=I_Parameter!$C$4),1,0))))</f>
        <v/>
      </c>
    </row>
    <row r="772" customFormat="false" ht="15" hidden="false" customHeight="false" outlineLevel="0" collapsed="false">
      <c r="A772" s="37"/>
      <c r="B772" s="44"/>
      <c r="C772" s="44"/>
      <c r="D772" s="44"/>
      <c r="E772" s="44"/>
      <c r="F772" s="44"/>
      <c r="G772" s="44"/>
      <c r="H772" s="34" t="str">
        <f aca="false">IF(G772&lt;&gt;"",G772,IF(F772="","",IFERROR(INDEX(I_Item!$C$6:$C$255,MATCH(F772,I_Item!$A$6:$A$255,0)),"KODE BARU")))</f>
        <v/>
      </c>
      <c r="I772" s="45"/>
      <c r="J772" s="42"/>
      <c r="K772" s="11" t="str">
        <f aca="false">IF(I772="","",I772*J772)</f>
        <v/>
      </c>
      <c r="L772" s="34" t="str">
        <f aca="false">IF(H772="","",IFERROR(INDEX(I_Master!$B$6:$B$85,MATCH(H772,I_Master!$A$6:$A$85,0)),"?"))</f>
        <v/>
      </c>
      <c r="M772" s="46" t="str">
        <f aca="false">IF(I772="","",IF(OR(A772&lt;I_Parameter!$C$5,A772&gt;I_Parameter!$C$6),0,IF(B772="Aktual",1,IF(AND(B772="Rencana",A772&gt;=I_Parameter!$C$4),1,0))))</f>
        <v/>
      </c>
    </row>
    <row r="773" customFormat="false" ht="15" hidden="false" customHeight="false" outlineLevel="0" collapsed="false">
      <c r="A773" s="37"/>
      <c r="B773" s="44"/>
      <c r="C773" s="44"/>
      <c r="D773" s="44"/>
      <c r="E773" s="44"/>
      <c r="F773" s="44"/>
      <c r="G773" s="44"/>
      <c r="H773" s="34" t="str">
        <f aca="false">IF(G773&lt;&gt;"",G773,IF(F773="","",IFERROR(INDEX(I_Item!$C$6:$C$255,MATCH(F773,I_Item!$A$6:$A$255,0)),"KODE BARU")))</f>
        <v/>
      </c>
      <c r="I773" s="45"/>
      <c r="J773" s="42"/>
      <c r="K773" s="11" t="str">
        <f aca="false">IF(I773="","",I773*J773)</f>
        <v/>
      </c>
      <c r="L773" s="34" t="str">
        <f aca="false">IF(H773="","",IFERROR(INDEX(I_Master!$B$6:$B$85,MATCH(H773,I_Master!$A$6:$A$85,0)),"?"))</f>
        <v/>
      </c>
      <c r="M773" s="46" t="str">
        <f aca="false">IF(I773="","",IF(OR(A773&lt;I_Parameter!$C$5,A773&gt;I_Parameter!$C$6),0,IF(B773="Aktual",1,IF(AND(B773="Rencana",A773&gt;=I_Parameter!$C$4),1,0))))</f>
        <v/>
      </c>
    </row>
    <row r="774" customFormat="false" ht="15" hidden="false" customHeight="false" outlineLevel="0" collapsed="false">
      <c r="A774" s="37"/>
      <c r="B774" s="44"/>
      <c r="C774" s="44"/>
      <c r="D774" s="44"/>
      <c r="E774" s="44"/>
      <c r="F774" s="44"/>
      <c r="G774" s="44"/>
      <c r="H774" s="34" t="str">
        <f aca="false">IF(G774&lt;&gt;"",G774,IF(F774="","",IFERROR(INDEX(I_Item!$C$6:$C$255,MATCH(F774,I_Item!$A$6:$A$255,0)),"KODE BARU")))</f>
        <v/>
      </c>
      <c r="I774" s="45"/>
      <c r="J774" s="42"/>
      <c r="K774" s="11" t="str">
        <f aca="false">IF(I774="","",I774*J774)</f>
        <v/>
      </c>
      <c r="L774" s="34" t="str">
        <f aca="false">IF(H774="","",IFERROR(INDEX(I_Master!$B$6:$B$85,MATCH(H774,I_Master!$A$6:$A$85,0)),"?"))</f>
        <v/>
      </c>
      <c r="M774" s="46" t="str">
        <f aca="false">IF(I774="","",IF(OR(A774&lt;I_Parameter!$C$5,A774&gt;I_Parameter!$C$6),0,IF(B774="Aktual",1,IF(AND(B774="Rencana",A774&gt;=I_Parameter!$C$4),1,0))))</f>
        <v/>
      </c>
    </row>
    <row r="775" customFormat="false" ht="15" hidden="false" customHeight="false" outlineLevel="0" collapsed="false">
      <c r="A775" s="37"/>
      <c r="B775" s="44"/>
      <c r="C775" s="44"/>
      <c r="D775" s="44"/>
      <c r="E775" s="44"/>
      <c r="F775" s="44"/>
      <c r="G775" s="44"/>
      <c r="H775" s="34" t="str">
        <f aca="false">IF(G775&lt;&gt;"",G775,IF(F775="","",IFERROR(INDEX(I_Item!$C$6:$C$255,MATCH(F775,I_Item!$A$6:$A$255,0)),"KODE BARU")))</f>
        <v/>
      </c>
      <c r="I775" s="45"/>
      <c r="J775" s="42"/>
      <c r="K775" s="11" t="str">
        <f aca="false">IF(I775="","",I775*J775)</f>
        <v/>
      </c>
      <c r="L775" s="34" t="str">
        <f aca="false">IF(H775="","",IFERROR(INDEX(I_Master!$B$6:$B$85,MATCH(H775,I_Master!$A$6:$A$85,0)),"?"))</f>
        <v/>
      </c>
      <c r="M775" s="46" t="str">
        <f aca="false">IF(I775="","",IF(OR(A775&lt;I_Parameter!$C$5,A775&gt;I_Parameter!$C$6),0,IF(B775="Aktual",1,IF(AND(B775="Rencana",A775&gt;=I_Parameter!$C$4),1,0))))</f>
        <v/>
      </c>
    </row>
    <row r="776" customFormat="false" ht="15" hidden="false" customHeight="false" outlineLevel="0" collapsed="false">
      <c r="A776" s="37"/>
      <c r="B776" s="44"/>
      <c r="C776" s="44"/>
      <c r="D776" s="44"/>
      <c r="E776" s="44"/>
      <c r="F776" s="44"/>
      <c r="G776" s="44"/>
      <c r="H776" s="34" t="str">
        <f aca="false">IF(G776&lt;&gt;"",G776,IF(F776="","",IFERROR(INDEX(I_Item!$C$6:$C$255,MATCH(F776,I_Item!$A$6:$A$255,0)),"KODE BARU")))</f>
        <v/>
      </c>
      <c r="I776" s="45"/>
      <c r="J776" s="42"/>
      <c r="K776" s="11" t="str">
        <f aca="false">IF(I776="","",I776*J776)</f>
        <v/>
      </c>
      <c r="L776" s="34" t="str">
        <f aca="false">IF(H776="","",IFERROR(INDEX(I_Master!$B$6:$B$85,MATCH(H776,I_Master!$A$6:$A$85,0)),"?"))</f>
        <v/>
      </c>
      <c r="M776" s="46" t="str">
        <f aca="false">IF(I776="","",IF(OR(A776&lt;I_Parameter!$C$5,A776&gt;I_Parameter!$C$6),0,IF(B776="Aktual",1,IF(AND(B776="Rencana",A776&gt;=I_Parameter!$C$4),1,0))))</f>
        <v/>
      </c>
    </row>
    <row r="777" customFormat="false" ht="15" hidden="false" customHeight="false" outlineLevel="0" collapsed="false">
      <c r="A777" s="37"/>
      <c r="B777" s="44"/>
      <c r="C777" s="44"/>
      <c r="D777" s="44"/>
      <c r="E777" s="44"/>
      <c r="F777" s="44"/>
      <c r="G777" s="44"/>
      <c r="H777" s="34" t="str">
        <f aca="false">IF(G777&lt;&gt;"",G777,IF(F777="","",IFERROR(INDEX(I_Item!$C$6:$C$255,MATCH(F777,I_Item!$A$6:$A$255,0)),"KODE BARU")))</f>
        <v/>
      </c>
      <c r="I777" s="45"/>
      <c r="J777" s="42"/>
      <c r="K777" s="11" t="str">
        <f aca="false">IF(I777="","",I777*J777)</f>
        <v/>
      </c>
      <c r="L777" s="34" t="str">
        <f aca="false">IF(H777="","",IFERROR(INDEX(I_Master!$B$6:$B$85,MATCH(H777,I_Master!$A$6:$A$85,0)),"?"))</f>
        <v/>
      </c>
      <c r="M777" s="46" t="str">
        <f aca="false">IF(I777="","",IF(OR(A777&lt;I_Parameter!$C$5,A777&gt;I_Parameter!$C$6),0,IF(B777="Aktual",1,IF(AND(B777="Rencana",A777&gt;=I_Parameter!$C$4),1,0))))</f>
        <v/>
      </c>
    </row>
    <row r="778" customFormat="false" ht="15" hidden="false" customHeight="false" outlineLevel="0" collapsed="false">
      <c r="A778" s="37"/>
      <c r="B778" s="44"/>
      <c r="C778" s="44"/>
      <c r="D778" s="44"/>
      <c r="E778" s="44"/>
      <c r="F778" s="44"/>
      <c r="G778" s="44"/>
      <c r="H778" s="34" t="str">
        <f aca="false">IF(G778&lt;&gt;"",G778,IF(F778="","",IFERROR(INDEX(I_Item!$C$6:$C$255,MATCH(F778,I_Item!$A$6:$A$255,0)),"KODE BARU")))</f>
        <v/>
      </c>
      <c r="I778" s="45"/>
      <c r="J778" s="42"/>
      <c r="K778" s="11" t="str">
        <f aca="false">IF(I778="","",I778*J778)</f>
        <v/>
      </c>
      <c r="L778" s="34" t="str">
        <f aca="false">IF(H778="","",IFERROR(INDEX(I_Master!$B$6:$B$85,MATCH(H778,I_Master!$A$6:$A$85,0)),"?"))</f>
        <v/>
      </c>
      <c r="M778" s="46" t="str">
        <f aca="false">IF(I778="","",IF(OR(A778&lt;I_Parameter!$C$5,A778&gt;I_Parameter!$C$6),0,IF(B778="Aktual",1,IF(AND(B778="Rencana",A778&gt;=I_Parameter!$C$4),1,0))))</f>
        <v/>
      </c>
    </row>
    <row r="779" customFormat="false" ht="15" hidden="false" customHeight="false" outlineLevel="0" collapsed="false">
      <c r="A779" s="37"/>
      <c r="B779" s="44"/>
      <c r="C779" s="44"/>
      <c r="D779" s="44"/>
      <c r="E779" s="44"/>
      <c r="F779" s="44"/>
      <c r="G779" s="44"/>
      <c r="H779" s="34" t="str">
        <f aca="false">IF(G779&lt;&gt;"",G779,IF(F779="","",IFERROR(INDEX(I_Item!$C$6:$C$255,MATCH(F779,I_Item!$A$6:$A$255,0)),"KODE BARU")))</f>
        <v/>
      </c>
      <c r="I779" s="45"/>
      <c r="J779" s="42"/>
      <c r="K779" s="11" t="str">
        <f aca="false">IF(I779="","",I779*J779)</f>
        <v/>
      </c>
      <c r="L779" s="34" t="str">
        <f aca="false">IF(H779="","",IFERROR(INDEX(I_Master!$B$6:$B$85,MATCH(H779,I_Master!$A$6:$A$85,0)),"?"))</f>
        <v/>
      </c>
      <c r="M779" s="46" t="str">
        <f aca="false">IF(I779="","",IF(OR(A779&lt;I_Parameter!$C$5,A779&gt;I_Parameter!$C$6),0,IF(B779="Aktual",1,IF(AND(B779="Rencana",A779&gt;=I_Parameter!$C$4),1,0))))</f>
        <v/>
      </c>
    </row>
    <row r="780" customFormat="false" ht="15" hidden="false" customHeight="false" outlineLevel="0" collapsed="false">
      <c r="A780" s="37"/>
      <c r="B780" s="44"/>
      <c r="C780" s="44"/>
      <c r="D780" s="44"/>
      <c r="E780" s="44"/>
      <c r="F780" s="44"/>
      <c r="G780" s="44"/>
      <c r="H780" s="34" t="str">
        <f aca="false">IF(G780&lt;&gt;"",G780,IF(F780="","",IFERROR(INDEX(I_Item!$C$6:$C$255,MATCH(F780,I_Item!$A$6:$A$255,0)),"KODE BARU")))</f>
        <v/>
      </c>
      <c r="I780" s="45"/>
      <c r="J780" s="42"/>
      <c r="K780" s="11" t="str">
        <f aca="false">IF(I780="","",I780*J780)</f>
        <v/>
      </c>
      <c r="L780" s="34" t="str">
        <f aca="false">IF(H780="","",IFERROR(INDEX(I_Master!$B$6:$B$85,MATCH(H780,I_Master!$A$6:$A$85,0)),"?"))</f>
        <v/>
      </c>
      <c r="M780" s="46" t="str">
        <f aca="false">IF(I780="","",IF(OR(A780&lt;I_Parameter!$C$5,A780&gt;I_Parameter!$C$6),0,IF(B780="Aktual",1,IF(AND(B780="Rencana",A780&gt;=I_Parameter!$C$4),1,0))))</f>
        <v/>
      </c>
    </row>
    <row r="781" customFormat="false" ht="15" hidden="false" customHeight="false" outlineLevel="0" collapsed="false">
      <c r="A781" s="37"/>
      <c r="B781" s="44"/>
      <c r="C781" s="44"/>
      <c r="D781" s="44"/>
      <c r="E781" s="44"/>
      <c r="F781" s="44"/>
      <c r="G781" s="44"/>
      <c r="H781" s="34" t="str">
        <f aca="false">IF(G781&lt;&gt;"",G781,IF(F781="","",IFERROR(INDEX(I_Item!$C$6:$C$255,MATCH(F781,I_Item!$A$6:$A$255,0)),"KODE BARU")))</f>
        <v/>
      </c>
      <c r="I781" s="45"/>
      <c r="J781" s="42"/>
      <c r="K781" s="11" t="str">
        <f aca="false">IF(I781="","",I781*J781)</f>
        <v/>
      </c>
      <c r="L781" s="34" t="str">
        <f aca="false">IF(H781="","",IFERROR(INDEX(I_Master!$B$6:$B$85,MATCH(H781,I_Master!$A$6:$A$85,0)),"?"))</f>
        <v/>
      </c>
      <c r="M781" s="46" t="str">
        <f aca="false">IF(I781="","",IF(OR(A781&lt;I_Parameter!$C$5,A781&gt;I_Parameter!$C$6),0,IF(B781="Aktual",1,IF(AND(B781="Rencana",A781&gt;=I_Parameter!$C$4),1,0))))</f>
        <v/>
      </c>
    </row>
    <row r="782" customFormat="false" ht="15" hidden="false" customHeight="false" outlineLevel="0" collapsed="false">
      <c r="A782" s="37"/>
      <c r="B782" s="44"/>
      <c r="C782" s="44"/>
      <c r="D782" s="44"/>
      <c r="E782" s="44"/>
      <c r="F782" s="44"/>
      <c r="G782" s="44"/>
      <c r="H782" s="34" t="str">
        <f aca="false">IF(G782&lt;&gt;"",G782,IF(F782="","",IFERROR(INDEX(I_Item!$C$6:$C$255,MATCH(F782,I_Item!$A$6:$A$255,0)),"KODE BARU")))</f>
        <v/>
      </c>
      <c r="I782" s="45"/>
      <c r="J782" s="42"/>
      <c r="K782" s="11" t="str">
        <f aca="false">IF(I782="","",I782*J782)</f>
        <v/>
      </c>
      <c r="L782" s="34" t="str">
        <f aca="false">IF(H782="","",IFERROR(INDEX(I_Master!$B$6:$B$85,MATCH(H782,I_Master!$A$6:$A$85,0)),"?"))</f>
        <v/>
      </c>
      <c r="M782" s="46" t="str">
        <f aca="false">IF(I782="","",IF(OR(A782&lt;I_Parameter!$C$5,A782&gt;I_Parameter!$C$6),0,IF(B782="Aktual",1,IF(AND(B782="Rencana",A782&gt;=I_Parameter!$C$4),1,0))))</f>
        <v/>
      </c>
    </row>
    <row r="783" customFormat="false" ht="15" hidden="false" customHeight="false" outlineLevel="0" collapsed="false">
      <c r="A783" s="37"/>
      <c r="B783" s="44"/>
      <c r="C783" s="44"/>
      <c r="D783" s="44"/>
      <c r="E783" s="44"/>
      <c r="F783" s="44"/>
      <c r="G783" s="44"/>
      <c r="H783" s="34" t="str">
        <f aca="false">IF(G783&lt;&gt;"",G783,IF(F783="","",IFERROR(INDEX(I_Item!$C$6:$C$255,MATCH(F783,I_Item!$A$6:$A$255,0)),"KODE BARU")))</f>
        <v/>
      </c>
      <c r="I783" s="45"/>
      <c r="J783" s="42"/>
      <c r="K783" s="11" t="str">
        <f aca="false">IF(I783="","",I783*J783)</f>
        <v/>
      </c>
      <c r="L783" s="34" t="str">
        <f aca="false">IF(H783="","",IFERROR(INDEX(I_Master!$B$6:$B$85,MATCH(H783,I_Master!$A$6:$A$85,0)),"?"))</f>
        <v/>
      </c>
      <c r="M783" s="46" t="str">
        <f aca="false">IF(I783="","",IF(OR(A783&lt;I_Parameter!$C$5,A783&gt;I_Parameter!$C$6),0,IF(B783="Aktual",1,IF(AND(B783="Rencana",A783&gt;=I_Parameter!$C$4),1,0))))</f>
        <v/>
      </c>
    </row>
    <row r="784" customFormat="false" ht="15" hidden="false" customHeight="false" outlineLevel="0" collapsed="false">
      <c r="A784" s="37"/>
      <c r="B784" s="44"/>
      <c r="C784" s="44"/>
      <c r="D784" s="44"/>
      <c r="E784" s="44"/>
      <c r="F784" s="44"/>
      <c r="G784" s="44"/>
      <c r="H784" s="34" t="str">
        <f aca="false">IF(G784&lt;&gt;"",G784,IF(F784="","",IFERROR(INDEX(I_Item!$C$6:$C$255,MATCH(F784,I_Item!$A$6:$A$255,0)),"KODE BARU")))</f>
        <v/>
      </c>
      <c r="I784" s="45"/>
      <c r="J784" s="42"/>
      <c r="K784" s="11" t="str">
        <f aca="false">IF(I784="","",I784*J784)</f>
        <v/>
      </c>
      <c r="L784" s="34" t="str">
        <f aca="false">IF(H784="","",IFERROR(INDEX(I_Master!$B$6:$B$85,MATCH(H784,I_Master!$A$6:$A$85,0)),"?"))</f>
        <v/>
      </c>
      <c r="M784" s="46" t="str">
        <f aca="false">IF(I784="","",IF(OR(A784&lt;I_Parameter!$C$5,A784&gt;I_Parameter!$C$6),0,IF(B784="Aktual",1,IF(AND(B784="Rencana",A784&gt;=I_Parameter!$C$4),1,0))))</f>
        <v/>
      </c>
    </row>
    <row r="785" customFormat="false" ht="15" hidden="false" customHeight="false" outlineLevel="0" collapsed="false">
      <c r="A785" s="37"/>
      <c r="B785" s="44"/>
      <c r="C785" s="44"/>
      <c r="D785" s="44"/>
      <c r="E785" s="44"/>
      <c r="F785" s="44"/>
      <c r="G785" s="44"/>
      <c r="H785" s="34" t="str">
        <f aca="false">IF(G785&lt;&gt;"",G785,IF(F785="","",IFERROR(INDEX(I_Item!$C$6:$C$255,MATCH(F785,I_Item!$A$6:$A$255,0)),"KODE BARU")))</f>
        <v/>
      </c>
      <c r="I785" s="45"/>
      <c r="J785" s="42"/>
      <c r="K785" s="11" t="str">
        <f aca="false">IF(I785="","",I785*J785)</f>
        <v/>
      </c>
      <c r="L785" s="34" t="str">
        <f aca="false">IF(H785="","",IFERROR(INDEX(I_Master!$B$6:$B$85,MATCH(H785,I_Master!$A$6:$A$85,0)),"?"))</f>
        <v/>
      </c>
      <c r="M785" s="46" t="str">
        <f aca="false">IF(I785="","",IF(OR(A785&lt;I_Parameter!$C$5,A785&gt;I_Parameter!$C$6),0,IF(B785="Aktual",1,IF(AND(B785="Rencana",A785&gt;=I_Parameter!$C$4),1,0))))</f>
        <v/>
      </c>
    </row>
    <row r="786" customFormat="false" ht="15" hidden="false" customHeight="false" outlineLevel="0" collapsed="false">
      <c r="A786" s="37"/>
      <c r="B786" s="44"/>
      <c r="C786" s="44"/>
      <c r="D786" s="44"/>
      <c r="E786" s="44"/>
      <c r="F786" s="44"/>
      <c r="G786" s="44"/>
      <c r="H786" s="34" t="str">
        <f aca="false">IF(G786&lt;&gt;"",G786,IF(F786="","",IFERROR(INDEX(I_Item!$C$6:$C$255,MATCH(F786,I_Item!$A$6:$A$255,0)),"KODE BARU")))</f>
        <v/>
      </c>
      <c r="I786" s="45"/>
      <c r="J786" s="42"/>
      <c r="K786" s="11" t="str">
        <f aca="false">IF(I786="","",I786*J786)</f>
        <v/>
      </c>
      <c r="L786" s="34" t="str">
        <f aca="false">IF(H786="","",IFERROR(INDEX(I_Master!$B$6:$B$85,MATCH(H786,I_Master!$A$6:$A$85,0)),"?"))</f>
        <v/>
      </c>
      <c r="M786" s="46" t="str">
        <f aca="false">IF(I786="","",IF(OR(A786&lt;I_Parameter!$C$5,A786&gt;I_Parameter!$C$6),0,IF(B786="Aktual",1,IF(AND(B786="Rencana",A786&gt;=I_Parameter!$C$4),1,0))))</f>
        <v/>
      </c>
    </row>
    <row r="787" customFormat="false" ht="15" hidden="false" customHeight="false" outlineLevel="0" collapsed="false">
      <c r="A787" s="37"/>
      <c r="B787" s="44"/>
      <c r="C787" s="44"/>
      <c r="D787" s="44"/>
      <c r="E787" s="44"/>
      <c r="F787" s="44"/>
      <c r="G787" s="44"/>
      <c r="H787" s="34" t="str">
        <f aca="false">IF(G787&lt;&gt;"",G787,IF(F787="","",IFERROR(INDEX(I_Item!$C$6:$C$255,MATCH(F787,I_Item!$A$6:$A$255,0)),"KODE BARU")))</f>
        <v/>
      </c>
      <c r="I787" s="45"/>
      <c r="J787" s="42"/>
      <c r="K787" s="11" t="str">
        <f aca="false">IF(I787="","",I787*J787)</f>
        <v/>
      </c>
      <c r="L787" s="34" t="str">
        <f aca="false">IF(H787="","",IFERROR(INDEX(I_Master!$B$6:$B$85,MATCH(H787,I_Master!$A$6:$A$85,0)),"?"))</f>
        <v/>
      </c>
      <c r="M787" s="46" t="str">
        <f aca="false">IF(I787="","",IF(OR(A787&lt;I_Parameter!$C$5,A787&gt;I_Parameter!$C$6),0,IF(B787="Aktual",1,IF(AND(B787="Rencana",A787&gt;=I_Parameter!$C$4),1,0))))</f>
        <v/>
      </c>
    </row>
    <row r="788" customFormat="false" ht="15" hidden="false" customHeight="false" outlineLevel="0" collapsed="false">
      <c r="A788" s="37"/>
      <c r="B788" s="44"/>
      <c r="C788" s="44"/>
      <c r="D788" s="44"/>
      <c r="E788" s="44"/>
      <c r="F788" s="44"/>
      <c r="G788" s="44"/>
      <c r="H788" s="34" t="str">
        <f aca="false">IF(G788&lt;&gt;"",G788,IF(F788="","",IFERROR(INDEX(I_Item!$C$6:$C$255,MATCH(F788,I_Item!$A$6:$A$255,0)),"KODE BARU")))</f>
        <v/>
      </c>
      <c r="I788" s="45"/>
      <c r="J788" s="42"/>
      <c r="K788" s="11" t="str">
        <f aca="false">IF(I788="","",I788*J788)</f>
        <v/>
      </c>
      <c r="L788" s="34" t="str">
        <f aca="false">IF(H788="","",IFERROR(INDEX(I_Master!$B$6:$B$85,MATCH(H788,I_Master!$A$6:$A$85,0)),"?"))</f>
        <v/>
      </c>
      <c r="M788" s="46" t="str">
        <f aca="false">IF(I788="","",IF(OR(A788&lt;I_Parameter!$C$5,A788&gt;I_Parameter!$C$6),0,IF(B788="Aktual",1,IF(AND(B788="Rencana",A788&gt;=I_Parameter!$C$4),1,0))))</f>
        <v/>
      </c>
    </row>
    <row r="789" customFormat="false" ht="15" hidden="false" customHeight="false" outlineLevel="0" collapsed="false">
      <c r="A789" s="37"/>
      <c r="B789" s="44"/>
      <c r="C789" s="44"/>
      <c r="D789" s="44"/>
      <c r="E789" s="44"/>
      <c r="F789" s="44"/>
      <c r="G789" s="44"/>
      <c r="H789" s="34" t="str">
        <f aca="false">IF(G789&lt;&gt;"",G789,IF(F789="","",IFERROR(INDEX(I_Item!$C$6:$C$255,MATCH(F789,I_Item!$A$6:$A$255,0)),"KODE BARU")))</f>
        <v/>
      </c>
      <c r="I789" s="45"/>
      <c r="J789" s="42"/>
      <c r="K789" s="11" t="str">
        <f aca="false">IF(I789="","",I789*J789)</f>
        <v/>
      </c>
      <c r="L789" s="34" t="str">
        <f aca="false">IF(H789="","",IFERROR(INDEX(I_Master!$B$6:$B$85,MATCH(H789,I_Master!$A$6:$A$85,0)),"?"))</f>
        <v/>
      </c>
      <c r="M789" s="46" t="str">
        <f aca="false">IF(I789="","",IF(OR(A789&lt;I_Parameter!$C$5,A789&gt;I_Parameter!$C$6),0,IF(B789="Aktual",1,IF(AND(B789="Rencana",A789&gt;=I_Parameter!$C$4),1,0))))</f>
        <v/>
      </c>
    </row>
    <row r="790" customFormat="false" ht="15" hidden="false" customHeight="false" outlineLevel="0" collapsed="false">
      <c r="A790" s="37"/>
      <c r="B790" s="44"/>
      <c r="C790" s="44"/>
      <c r="D790" s="44"/>
      <c r="E790" s="44"/>
      <c r="F790" s="44"/>
      <c r="G790" s="44"/>
      <c r="H790" s="34" t="str">
        <f aca="false">IF(G790&lt;&gt;"",G790,IF(F790="","",IFERROR(INDEX(I_Item!$C$6:$C$255,MATCH(F790,I_Item!$A$6:$A$255,0)),"KODE BARU")))</f>
        <v/>
      </c>
      <c r="I790" s="45"/>
      <c r="J790" s="42"/>
      <c r="K790" s="11" t="str">
        <f aca="false">IF(I790="","",I790*J790)</f>
        <v/>
      </c>
      <c r="L790" s="34" t="str">
        <f aca="false">IF(H790="","",IFERROR(INDEX(I_Master!$B$6:$B$85,MATCH(H790,I_Master!$A$6:$A$85,0)),"?"))</f>
        <v/>
      </c>
      <c r="M790" s="46" t="str">
        <f aca="false">IF(I790="","",IF(OR(A790&lt;I_Parameter!$C$5,A790&gt;I_Parameter!$C$6),0,IF(B790="Aktual",1,IF(AND(B790="Rencana",A790&gt;=I_Parameter!$C$4),1,0))))</f>
        <v/>
      </c>
    </row>
    <row r="791" customFormat="false" ht="15" hidden="false" customHeight="false" outlineLevel="0" collapsed="false">
      <c r="A791" s="37"/>
      <c r="B791" s="44"/>
      <c r="C791" s="44"/>
      <c r="D791" s="44"/>
      <c r="E791" s="44"/>
      <c r="F791" s="44"/>
      <c r="G791" s="44"/>
      <c r="H791" s="34" t="str">
        <f aca="false">IF(G791&lt;&gt;"",G791,IF(F791="","",IFERROR(INDEX(I_Item!$C$6:$C$255,MATCH(F791,I_Item!$A$6:$A$255,0)),"KODE BARU")))</f>
        <v/>
      </c>
      <c r="I791" s="45"/>
      <c r="J791" s="42"/>
      <c r="K791" s="11" t="str">
        <f aca="false">IF(I791="","",I791*J791)</f>
        <v/>
      </c>
      <c r="L791" s="34" t="str">
        <f aca="false">IF(H791="","",IFERROR(INDEX(I_Master!$B$6:$B$85,MATCH(H791,I_Master!$A$6:$A$85,0)),"?"))</f>
        <v/>
      </c>
      <c r="M791" s="46" t="str">
        <f aca="false">IF(I791="","",IF(OR(A791&lt;I_Parameter!$C$5,A791&gt;I_Parameter!$C$6),0,IF(B791="Aktual",1,IF(AND(B791="Rencana",A791&gt;=I_Parameter!$C$4),1,0))))</f>
        <v/>
      </c>
    </row>
    <row r="792" customFormat="false" ht="15" hidden="false" customHeight="false" outlineLevel="0" collapsed="false">
      <c r="A792" s="37"/>
      <c r="B792" s="44"/>
      <c r="C792" s="44"/>
      <c r="D792" s="44"/>
      <c r="E792" s="44"/>
      <c r="F792" s="44"/>
      <c r="G792" s="44"/>
      <c r="H792" s="34" t="str">
        <f aca="false">IF(G792&lt;&gt;"",G792,IF(F792="","",IFERROR(INDEX(I_Item!$C$6:$C$255,MATCH(F792,I_Item!$A$6:$A$255,0)),"KODE BARU")))</f>
        <v/>
      </c>
      <c r="I792" s="45"/>
      <c r="J792" s="42"/>
      <c r="K792" s="11" t="str">
        <f aca="false">IF(I792="","",I792*J792)</f>
        <v/>
      </c>
      <c r="L792" s="34" t="str">
        <f aca="false">IF(H792="","",IFERROR(INDEX(I_Master!$B$6:$B$85,MATCH(H792,I_Master!$A$6:$A$85,0)),"?"))</f>
        <v/>
      </c>
      <c r="M792" s="46" t="str">
        <f aca="false">IF(I792="","",IF(OR(A792&lt;I_Parameter!$C$5,A792&gt;I_Parameter!$C$6),0,IF(B792="Aktual",1,IF(AND(B792="Rencana",A792&gt;=I_Parameter!$C$4),1,0))))</f>
        <v/>
      </c>
    </row>
    <row r="793" customFormat="false" ht="15" hidden="false" customHeight="false" outlineLevel="0" collapsed="false">
      <c r="A793" s="37"/>
      <c r="B793" s="44"/>
      <c r="C793" s="44"/>
      <c r="D793" s="44"/>
      <c r="E793" s="44"/>
      <c r="F793" s="44"/>
      <c r="G793" s="44"/>
      <c r="H793" s="34" t="str">
        <f aca="false">IF(G793&lt;&gt;"",G793,IF(F793="","",IFERROR(INDEX(I_Item!$C$6:$C$255,MATCH(F793,I_Item!$A$6:$A$255,0)),"KODE BARU")))</f>
        <v/>
      </c>
      <c r="I793" s="45"/>
      <c r="J793" s="42"/>
      <c r="K793" s="11" t="str">
        <f aca="false">IF(I793="","",I793*J793)</f>
        <v/>
      </c>
      <c r="L793" s="34" t="str">
        <f aca="false">IF(H793="","",IFERROR(INDEX(I_Master!$B$6:$B$85,MATCH(H793,I_Master!$A$6:$A$85,0)),"?"))</f>
        <v/>
      </c>
      <c r="M793" s="46" t="str">
        <f aca="false">IF(I793="","",IF(OR(A793&lt;I_Parameter!$C$5,A793&gt;I_Parameter!$C$6),0,IF(B793="Aktual",1,IF(AND(B793="Rencana",A793&gt;=I_Parameter!$C$4),1,0))))</f>
        <v/>
      </c>
    </row>
    <row r="794" customFormat="false" ht="15" hidden="false" customHeight="false" outlineLevel="0" collapsed="false">
      <c r="A794" s="37"/>
      <c r="B794" s="44"/>
      <c r="C794" s="44"/>
      <c r="D794" s="44"/>
      <c r="E794" s="44"/>
      <c r="F794" s="44"/>
      <c r="G794" s="44"/>
      <c r="H794" s="34" t="str">
        <f aca="false">IF(G794&lt;&gt;"",G794,IF(F794="","",IFERROR(INDEX(I_Item!$C$6:$C$255,MATCH(F794,I_Item!$A$6:$A$255,0)),"KODE BARU")))</f>
        <v/>
      </c>
      <c r="I794" s="45"/>
      <c r="J794" s="42"/>
      <c r="K794" s="11" t="str">
        <f aca="false">IF(I794="","",I794*J794)</f>
        <v/>
      </c>
      <c r="L794" s="34" t="str">
        <f aca="false">IF(H794="","",IFERROR(INDEX(I_Master!$B$6:$B$85,MATCH(H794,I_Master!$A$6:$A$85,0)),"?"))</f>
        <v/>
      </c>
      <c r="M794" s="46" t="str">
        <f aca="false">IF(I794="","",IF(OR(A794&lt;I_Parameter!$C$5,A794&gt;I_Parameter!$C$6),0,IF(B794="Aktual",1,IF(AND(B794="Rencana",A794&gt;=I_Parameter!$C$4),1,0))))</f>
        <v/>
      </c>
    </row>
    <row r="795" customFormat="false" ht="15" hidden="false" customHeight="false" outlineLevel="0" collapsed="false">
      <c r="A795" s="37"/>
      <c r="B795" s="44"/>
      <c r="C795" s="44"/>
      <c r="D795" s="44"/>
      <c r="E795" s="44"/>
      <c r="F795" s="44"/>
      <c r="G795" s="44"/>
      <c r="H795" s="34" t="str">
        <f aca="false">IF(G795&lt;&gt;"",G795,IF(F795="","",IFERROR(INDEX(I_Item!$C$6:$C$255,MATCH(F795,I_Item!$A$6:$A$255,0)),"KODE BARU")))</f>
        <v/>
      </c>
      <c r="I795" s="45"/>
      <c r="J795" s="42"/>
      <c r="K795" s="11" t="str">
        <f aca="false">IF(I795="","",I795*J795)</f>
        <v/>
      </c>
      <c r="L795" s="34" t="str">
        <f aca="false">IF(H795="","",IFERROR(INDEX(I_Master!$B$6:$B$85,MATCH(H795,I_Master!$A$6:$A$85,0)),"?"))</f>
        <v/>
      </c>
      <c r="M795" s="46" t="str">
        <f aca="false">IF(I795="","",IF(OR(A795&lt;I_Parameter!$C$5,A795&gt;I_Parameter!$C$6),0,IF(B795="Aktual",1,IF(AND(B795="Rencana",A795&gt;=I_Parameter!$C$4),1,0))))</f>
        <v/>
      </c>
    </row>
    <row r="796" customFormat="false" ht="15" hidden="false" customHeight="false" outlineLevel="0" collapsed="false">
      <c r="A796" s="37"/>
      <c r="B796" s="44"/>
      <c r="C796" s="44"/>
      <c r="D796" s="44"/>
      <c r="E796" s="44"/>
      <c r="F796" s="44"/>
      <c r="G796" s="44"/>
      <c r="H796" s="34" t="str">
        <f aca="false">IF(G796&lt;&gt;"",G796,IF(F796="","",IFERROR(INDEX(I_Item!$C$6:$C$255,MATCH(F796,I_Item!$A$6:$A$255,0)),"KODE BARU")))</f>
        <v/>
      </c>
      <c r="I796" s="45"/>
      <c r="J796" s="42"/>
      <c r="K796" s="11" t="str">
        <f aca="false">IF(I796="","",I796*J796)</f>
        <v/>
      </c>
      <c r="L796" s="34" t="str">
        <f aca="false">IF(H796="","",IFERROR(INDEX(I_Master!$B$6:$B$85,MATCH(H796,I_Master!$A$6:$A$85,0)),"?"))</f>
        <v/>
      </c>
      <c r="M796" s="46" t="str">
        <f aca="false">IF(I796="","",IF(OR(A796&lt;I_Parameter!$C$5,A796&gt;I_Parameter!$C$6),0,IF(B796="Aktual",1,IF(AND(B796="Rencana",A796&gt;=I_Parameter!$C$4),1,0))))</f>
        <v/>
      </c>
    </row>
    <row r="797" customFormat="false" ht="15" hidden="false" customHeight="false" outlineLevel="0" collapsed="false">
      <c r="A797" s="37"/>
      <c r="B797" s="44"/>
      <c r="C797" s="44"/>
      <c r="D797" s="44"/>
      <c r="E797" s="44"/>
      <c r="F797" s="44"/>
      <c r="G797" s="44"/>
      <c r="H797" s="34" t="str">
        <f aca="false">IF(G797&lt;&gt;"",G797,IF(F797="","",IFERROR(INDEX(I_Item!$C$6:$C$255,MATCH(F797,I_Item!$A$6:$A$255,0)),"KODE BARU")))</f>
        <v/>
      </c>
      <c r="I797" s="45"/>
      <c r="J797" s="42"/>
      <c r="K797" s="11" t="str">
        <f aca="false">IF(I797="","",I797*J797)</f>
        <v/>
      </c>
      <c r="L797" s="34" t="str">
        <f aca="false">IF(H797="","",IFERROR(INDEX(I_Master!$B$6:$B$85,MATCH(H797,I_Master!$A$6:$A$85,0)),"?"))</f>
        <v/>
      </c>
      <c r="M797" s="46" t="str">
        <f aca="false">IF(I797="","",IF(OR(A797&lt;I_Parameter!$C$5,A797&gt;I_Parameter!$C$6),0,IF(B797="Aktual",1,IF(AND(B797="Rencana",A797&gt;=I_Parameter!$C$4),1,0))))</f>
        <v/>
      </c>
    </row>
    <row r="798" customFormat="false" ht="15" hidden="false" customHeight="false" outlineLevel="0" collapsed="false">
      <c r="A798" s="37"/>
      <c r="B798" s="44"/>
      <c r="C798" s="44"/>
      <c r="D798" s="44"/>
      <c r="E798" s="44"/>
      <c r="F798" s="44"/>
      <c r="G798" s="44"/>
      <c r="H798" s="34" t="str">
        <f aca="false">IF(G798&lt;&gt;"",G798,IF(F798="","",IFERROR(INDEX(I_Item!$C$6:$C$255,MATCH(F798,I_Item!$A$6:$A$255,0)),"KODE BARU")))</f>
        <v/>
      </c>
      <c r="I798" s="45"/>
      <c r="J798" s="42"/>
      <c r="K798" s="11" t="str">
        <f aca="false">IF(I798="","",I798*J798)</f>
        <v/>
      </c>
      <c r="L798" s="34" t="str">
        <f aca="false">IF(H798="","",IFERROR(INDEX(I_Master!$B$6:$B$85,MATCH(H798,I_Master!$A$6:$A$85,0)),"?"))</f>
        <v/>
      </c>
      <c r="M798" s="46" t="str">
        <f aca="false">IF(I798="","",IF(OR(A798&lt;I_Parameter!$C$5,A798&gt;I_Parameter!$C$6),0,IF(B798="Aktual",1,IF(AND(B798="Rencana",A798&gt;=I_Parameter!$C$4),1,0))))</f>
        <v/>
      </c>
    </row>
    <row r="799" customFormat="false" ht="15" hidden="false" customHeight="false" outlineLevel="0" collapsed="false">
      <c r="A799" s="37"/>
      <c r="B799" s="44"/>
      <c r="C799" s="44"/>
      <c r="D799" s="44"/>
      <c r="E799" s="44"/>
      <c r="F799" s="44"/>
      <c r="G799" s="44"/>
      <c r="H799" s="34" t="str">
        <f aca="false">IF(G799&lt;&gt;"",G799,IF(F799="","",IFERROR(INDEX(I_Item!$C$6:$C$255,MATCH(F799,I_Item!$A$6:$A$255,0)),"KODE BARU")))</f>
        <v/>
      </c>
      <c r="I799" s="45"/>
      <c r="J799" s="42"/>
      <c r="K799" s="11" t="str">
        <f aca="false">IF(I799="","",I799*J799)</f>
        <v/>
      </c>
      <c r="L799" s="34" t="str">
        <f aca="false">IF(H799="","",IFERROR(INDEX(I_Master!$B$6:$B$85,MATCH(H799,I_Master!$A$6:$A$85,0)),"?"))</f>
        <v/>
      </c>
      <c r="M799" s="46" t="str">
        <f aca="false">IF(I799="","",IF(OR(A799&lt;I_Parameter!$C$5,A799&gt;I_Parameter!$C$6),0,IF(B799="Aktual",1,IF(AND(B799="Rencana",A799&gt;=I_Parameter!$C$4),1,0))))</f>
        <v/>
      </c>
    </row>
    <row r="800" customFormat="false" ht="15" hidden="false" customHeight="false" outlineLevel="0" collapsed="false">
      <c r="A800" s="37"/>
      <c r="B800" s="44"/>
      <c r="C800" s="44"/>
      <c r="D800" s="44"/>
      <c r="E800" s="44"/>
      <c r="F800" s="44"/>
      <c r="G800" s="44"/>
      <c r="H800" s="34" t="str">
        <f aca="false">IF(G800&lt;&gt;"",G800,IF(F800="","",IFERROR(INDEX(I_Item!$C$6:$C$255,MATCH(F800,I_Item!$A$6:$A$255,0)),"KODE BARU")))</f>
        <v/>
      </c>
      <c r="I800" s="45"/>
      <c r="J800" s="42"/>
      <c r="K800" s="11" t="str">
        <f aca="false">IF(I800="","",I800*J800)</f>
        <v/>
      </c>
      <c r="L800" s="34" t="str">
        <f aca="false">IF(H800="","",IFERROR(INDEX(I_Master!$B$6:$B$85,MATCH(H800,I_Master!$A$6:$A$85,0)),"?"))</f>
        <v/>
      </c>
      <c r="M800" s="46" t="str">
        <f aca="false">IF(I800="","",IF(OR(A800&lt;I_Parameter!$C$5,A800&gt;I_Parameter!$C$6),0,IF(B800="Aktual",1,IF(AND(B800="Rencana",A800&gt;=I_Parameter!$C$4),1,0))))</f>
        <v/>
      </c>
    </row>
    <row r="801" customFormat="false" ht="15" hidden="false" customHeight="false" outlineLevel="0" collapsed="false">
      <c r="A801" s="37"/>
      <c r="B801" s="44"/>
      <c r="C801" s="44"/>
      <c r="D801" s="44"/>
      <c r="E801" s="44"/>
      <c r="F801" s="44"/>
      <c r="G801" s="44"/>
      <c r="H801" s="34" t="str">
        <f aca="false">IF(G801&lt;&gt;"",G801,IF(F801="","",IFERROR(INDEX(I_Item!$C$6:$C$255,MATCH(F801,I_Item!$A$6:$A$255,0)),"KODE BARU")))</f>
        <v/>
      </c>
      <c r="I801" s="45"/>
      <c r="J801" s="42"/>
      <c r="K801" s="11" t="str">
        <f aca="false">IF(I801="","",I801*J801)</f>
        <v/>
      </c>
      <c r="L801" s="34" t="str">
        <f aca="false">IF(H801="","",IFERROR(INDEX(I_Master!$B$6:$B$85,MATCH(H801,I_Master!$A$6:$A$85,0)),"?"))</f>
        <v/>
      </c>
      <c r="M801" s="46" t="str">
        <f aca="false">IF(I801="","",IF(OR(A801&lt;I_Parameter!$C$5,A801&gt;I_Parameter!$C$6),0,IF(B801="Aktual",1,IF(AND(B801="Rencana",A801&gt;=I_Parameter!$C$4),1,0))))</f>
        <v/>
      </c>
    </row>
    <row r="802" customFormat="false" ht="15" hidden="false" customHeight="false" outlineLevel="0" collapsed="false">
      <c r="A802" s="37"/>
      <c r="B802" s="44"/>
      <c r="C802" s="44"/>
      <c r="D802" s="44"/>
      <c r="E802" s="44"/>
      <c r="F802" s="44"/>
      <c r="G802" s="44"/>
      <c r="H802" s="34" t="str">
        <f aca="false">IF(G802&lt;&gt;"",G802,IF(F802="","",IFERROR(INDEX(I_Item!$C$6:$C$255,MATCH(F802,I_Item!$A$6:$A$255,0)),"KODE BARU")))</f>
        <v/>
      </c>
      <c r="I802" s="45"/>
      <c r="J802" s="42"/>
      <c r="K802" s="11" t="str">
        <f aca="false">IF(I802="","",I802*J802)</f>
        <v/>
      </c>
      <c r="L802" s="34" t="str">
        <f aca="false">IF(H802="","",IFERROR(INDEX(I_Master!$B$6:$B$85,MATCH(H802,I_Master!$A$6:$A$85,0)),"?"))</f>
        <v/>
      </c>
      <c r="M802" s="46" t="str">
        <f aca="false">IF(I802="","",IF(OR(A802&lt;I_Parameter!$C$5,A802&gt;I_Parameter!$C$6),0,IF(B802="Aktual",1,IF(AND(B802="Rencana",A802&gt;=I_Parameter!$C$4),1,0))))</f>
        <v/>
      </c>
    </row>
    <row r="803" customFormat="false" ht="15" hidden="false" customHeight="false" outlineLevel="0" collapsed="false">
      <c r="A803" s="37"/>
      <c r="B803" s="44"/>
      <c r="C803" s="44"/>
      <c r="D803" s="44"/>
      <c r="E803" s="44"/>
      <c r="F803" s="44"/>
      <c r="G803" s="44"/>
      <c r="H803" s="34" t="str">
        <f aca="false">IF(G803&lt;&gt;"",G803,IF(F803="","",IFERROR(INDEX(I_Item!$C$6:$C$255,MATCH(F803,I_Item!$A$6:$A$255,0)),"KODE BARU")))</f>
        <v/>
      </c>
      <c r="I803" s="45"/>
      <c r="J803" s="42"/>
      <c r="K803" s="11" t="str">
        <f aca="false">IF(I803="","",I803*J803)</f>
        <v/>
      </c>
      <c r="L803" s="34" t="str">
        <f aca="false">IF(H803="","",IFERROR(INDEX(I_Master!$B$6:$B$85,MATCH(H803,I_Master!$A$6:$A$85,0)),"?"))</f>
        <v/>
      </c>
      <c r="M803" s="46" t="str">
        <f aca="false">IF(I803="","",IF(OR(A803&lt;I_Parameter!$C$5,A803&gt;I_Parameter!$C$6),0,IF(B803="Aktual",1,IF(AND(B803="Rencana",A803&gt;=I_Parameter!$C$4),1,0))))</f>
        <v/>
      </c>
    </row>
    <row r="804" customFormat="false" ht="15" hidden="false" customHeight="false" outlineLevel="0" collapsed="false">
      <c r="A804" s="37"/>
      <c r="B804" s="44"/>
      <c r="C804" s="44"/>
      <c r="D804" s="44"/>
      <c r="E804" s="44"/>
      <c r="F804" s="44"/>
      <c r="G804" s="44"/>
      <c r="H804" s="34" t="str">
        <f aca="false">IF(G804&lt;&gt;"",G804,IF(F804="","",IFERROR(INDEX(I_Item!$C$6:$C$255,MATCH(F804,I_Item!$A$6:$A$255,0)),"KODE BARU")))</f>
        <v/>
      </c>
      <c r="I804" s="45"/>
      <c r="J804" s="42"/>
      <c r="K804" s="11" t="str">
        <f aca="false">IF(I804="","",I804*J804)</f>
        <v/>
      </c>
      <c r="L804" s="34" t="str">
        <f aca="false">IF(H804="","",IFERROR(INDEX(I_Master!$B$6:$B$85,MATCH(H804,I_Master!$A$6:$A$85,0)),"?"))</f>
        <v/>
      </c>
      <c r="M804" s="46" t="str">
        <f aca="false">IF(I804="","",IF(OR(A804&lt;I_Parameter!$C$5,A804&gt;I_Parameter!$C$6),0,IF(B804="Aktual",1,IF(AND(B804="Rencana",A804&gt;=I_Parameter!$C$4),1,0))))</f>
        <v/>
      </c>
    </row>
    <row r="805" customFormat="false" ht="15" hidden="false" customHeight="false" outlineLevel="0" collapsed="false">
      <c r="A805" s="37"/>
      <c r="B805" s="44"/>
      <c r="C805" s="44"/>
      <c r="D805" s="44"/>
      <c r="E805" s="44"/>
      <c r="F805" s="44"/>
      <c r="G805" s="44"/>
      <c r="H805" s="34" t="str">
        <f aca="false">IF(G805&lt;&gt;"",G805,IF(F805="","",IFERROR(INDEX(I_Item!$C$6:$C$255,MATCH(F805,I_Item!$A$6:$A$255,0)),"KODE BARU")))</f>
        <v/>
      </c>
      <c r="I805" s="45"/>
      <c r="J805" s="42"/>
      <c r="K805" s="11" t="str">
        <f aca="false">IF(I805="","",I805*J805)</f>
        <v/>
      </c>
      <c r="L805" s="34" t="str">
        <f aca="false">IF(H805="","",IFERROR(INDEX(I_Master!$B$6:$B$85,MATCH(H805,I_Master!$A$6:$A$85,0)),"?"))</f>
        <v/>
      </c>
      <c r="M805" s="46" t="str">
        <f aca="false">IF(I805="","",IF(OR(A805&lt;I_Parameter!$C$5,A805&gt;I_Parameter!$C$6),0,IF(B805="Aktual",1,IF(AND(B805="Rencana",A805&gt;=I_Parameter!$C$4),1,0))))</f>
        <v/>
      </c>
    </row>
    <row r="806" customFormat="false" ht="15" hidden="false" customHeight="false" outlineLevel="0" collapsed="false">
      <c r="A806" s="37"/>
      <c r="B806" s="44"/>
      <c r="C806" s="44"/>
      <c r="D806" s="44"/>
      <c r="E806" s="44"/>
      <c r="F806" s="44"/>
      <c r="G806" s="44"/>
      <c r="H806" s="34" t="str">
        <f aca="false">IF(G806&lt;&gt;"",G806,IF(F806="","",IFERROR(INDEX(I_Item!$C$6:$C$255,MATCH(F806,I_Item!$A$6:$A$255,0)),"KODE BARU")))</f>
        <v/>
      </c>
      <c r="I806" s="45"/>
      <c r="J806" s="42"/>
      <c r="K806" s="11" t="str">
        <f aca="false">IF(I806="","",I806*J806)</f>
        <v/>
      </c>
      <c r="L806" s="34" t="str">
        <f aca="false">IF(H806="","",IFERROR(INDEX(I_Master!$B$6:$B$85,MATCH(H806,I_Master!$A$6:$A$85,0)),"?"))</f>
        <v/>
      </c>
      <c r="M806" s="46" t="str">
        <f aca="false">IF(I806="","",IF(OR(A806&lt;I_Parameter!$C$5,A806&gt;I_Parameter!$C$6),0,IF(B806="Aktual",1,IF(AND(B806="Rencana",A806&gt;=I_Parameter!$C$4),1,0))))</f>
        <v/>
      </c>
    </row>
    <row r="807" customFormat="false" ht="15" hidden="false" customHeight="false" outlineLevel="0" collapsed="false">
      <c r="A807" s="37"/>
      <c r="B807" s="44"/>
      <c r="C807" s="44"/>
      <c r="D807" s="44"/>
      <c r="E807" s="44"/>
      <c r="F807" s="44"/>
      <c r="G807" s="44"/>
      <c r="H807" s="34" t="str">
        <f aca="false">IF(G807&lt;&gt;"",G807,IF(F807="","",IFERROR(INDEX(I_Item!$C$6:$C$255,MATCH(F807,I_Item!$A$6:$A$255,0)),"KODE BARU")))</f>
        <v/>
      </c>
      <c r="I807" s="45"/>
      <c r="J807" s="42"/>
      <c r="K807" s="11" t="str">
        <f aca="false">IF(I807="","",I807*J807)</f>
        <v/>
      </c>
      <c r="L807" s="34" t="str">
        <f aca="false">IF(H807="","",IFERROR(INDEX(I_Master!$B$6:$B$85,MATCH(H807,I_Master!$A$6:$A$85,0)),"?"))</f>
        <v/>
      </c>
      <c r="M807" s="46" t="str">
        <f aca="false">IF(I807="","",IF(OR(A807&lt;I_Parameter!$C$5,A807&gt;I_Parameter!$C$6),0,IF(B807="Aktual",1,IF(AND(B807="Rencana",A807&gt;=I_Parameter!$C$4),1,0))))</f>
        <v/>
      </c>
    </row>
    <row r="808" customFormat="false" ht="15" hidden="false" customHeight="false" outlineLevel="0" collapsed="false">
      <c r="A808" s="37"/>
      <c r="B808" s="44"/>
      <c r="C808" s="44"/>
      <c r="D808" s="44"/>
      <c r="E808" s="44"/>
      <c r="F808" s="44"/>
      <c r="G808" s="44"/>
      <c r="H808" s="34" t="str">
        <f aca="false">IF(G808&lt;&gt;"",G808,IF(F808="","",IFERROR(INDEX(I_Item!$C$6:$C$255,MATCH(F808,I_Item!$A$6:$A$255,0)),"KODE BARU")))</f>
        <v/>
      </c>
      <c r="I808" s="45"/>
      <c r="J808" s="42"/>
      <c r="K808" s="11" t="str">
        <f aca="false">IF(I808="","",I808*J808)</f>
        <v/>
      </c>
      <c r="L808" s="34" t="str">
        <f aca="false">IF(H808="","",IFERROR(INDEX(I_Master!$B$6:$B$85,MATCH(H808,I_Master!$A$6:$A$85,0)),"?"))</f>
        <v/>
      </c>
      <c r="M808" s="46" t="str">
        <f aca="false">IF(I808="","",IF(OR(A808&lt;I_Parameter!$C$5,A808&gt;I_Parameter!$C$6),0,IF(B808="Aktual",1,IF(AND(B808="Rencana",A808&gt;=I_Parameter!$C$4),1,0))))</f>
        <v/>
      </c>
    </row>
    <row r="809" customFormat="false" ht="15" hidden="false" customHeight="false" outlineLevel="0" collapsed="false">
      <c r="A809" s="37"/>
      <c r="B809" s="44"/>
      <c r="C809" s="44"/>
      <c r="D809" s="44"/>
      <c r="E809" s="44"/>
      <c r="F809" s="44"/>
      <c r="G809" s="44"/>
      <c r="H809" s="34" t="str">
        <f aca="false">IF(G809&lt;&gt;"",G809,IF(F809="","",IFERROR(INDEX(I_Item!$C$6:$C$255,MATCH(F809,I_Item!$A$6:$A$255,0)),"KODE BARU")))</f>
        <v/>
      </c>
      <c r="I809" s="45"/>
      <c r="J809" s="42"/>
      <c r="K809" s="11" t="str">
        <f aca="false">IF(I809="","",I809*J809)</f>
        <v/>
      </c>
      <c r="L809" s="34" t="str">
        <f aca="false">IF(H809="","",IFERROR(INDEX(I_Master!$B$6:$B$85,MATCH(H809,I_Master!$A$6:$A$85,0)),"?"))</f>
        <v/>
      </c>
      <c r="M809" s="46" t="str">
        <f aca="false">IF(I809="","",IF(OR(A809&lt;I_Parameter!$C$5,A809&gt;I_Parameter!$C$6),0,IF(B809="Aktual",1,IF(AND(B809="Rencana",A809&gt;=I_Parameter!$C$4),1,0))))</f>
        <v/>
      </c>
    </row>
    <row r="810" customFormat="false" ht="15" hidden="false" customHeight="false" outlineLevel="0" collapsed="false">
      <c r="A810" s="37"/>
      <c r="B810" s="44"/>
      <c r="C810" s="44"/>
      <c r="D810" s="44"/>
      <c r="E810" s="44"/>
      <c r="F810" s="44"/>
      <c r="G810" s="44"/>
      <c r="H810" s="34" t="str">
        <f aca="false">IF(G810&lt;&gt;"",G810,IF(F810="","",IFERROR(INDEX(I_Item!$C$6:$C$255,MATCH(F810,I_Item!$A$6:$A$255,0)),"KODE BARU")))</f>
        <v/>
      </c>
      <c r="I810" s="45"/>
      <c r="J810" s="42"/>
      <c r="K810" s="11" t="str">
        <f aca="false">IF(I810="","",I810*J810)</f>
        <v/>
      </c>
      <c r="L810" s="34" t="str">
        <f aca="false">IF(H810="","",IFERROR(INDEX(I_Master!$B$6:$B$85,MATCH(H810,I_Master!$A$6:$A$85,0)),"?"))</f>
        <v/>
      </c>
      <c r="M810" s="46" t="str">
        <f aca="false">IF(I810="","",IF(OR(A810&lt;I_Parameter!$C$5,A810&gt;I_Parameter!$C$6),0,IF(B810="Aktual",1,IF(AND(B810="Rencana",A810&gt;=I_Parameter!$C$4),1,0))))</f>
        <v/>
      </c>
    </row>
    <row r="811" customFormat="false" ht="15" hidden="false" customHeight="false" outlineLevel="0" collapsed="false">
      <c r="A811" s="37"/>
      <c r="B811" s="44"/>
      <c r="C811" s="44"/>
      <c r="D811" s="44"/>
      <c r="E811" s="44"/>
      <c r="F811" s="44"/>
      <c r="G811" s="44"/>
      <c r="H811" s="34" t="str">
        <f aca="false">IF(G811&lt;&gt;"",G811,IF(F811="","",IFERROR(INDEX(I_Item!$C$6:$C$255,MATCH(F811,I_Item!$A$6:$A$255,0)),"KODE BARU")))</f>
        <v/>
      </c>
      <c r="I811" s="45"/>
      <c r="J811" s="42"/>
      <c r="K811" s="11" t="str">
        <f aca="false">IF(I811="","",I811*J811)</f>
        <v/>
      </c>
      <c r="L811" s="34" t="str">
        <f aca="false">IF(H811="","",IFERROR(INDEX(I_Master!$B$6:$B$85,MATCH(H811,I_Master!$A$6:$A$85,0)),"?"))</f>
        <v/>
      </c>
      <c r="M811" s="46" t="str">
        <f aca="false">IF(I811="","",IF(OR(A811&lt;I_Parameter!$C$5,A811&gt;I_Parameter!$C$6),0,IF(B811="Aktual",1,IF(AND(B811="Rencana",A811&gt;=I_Parameter!$C$4),1,0))))</f>
        <v/>
      </c>
    </row>
    <row r="812" customFormat="false" ht="15" hidden="false" customHeight="false" outlineLevel="0" collapsed="false">
      <c r="A812" s="37"/>
      <c r="B812" s="44"/>
      <c r="C812" s="44"/>
      <c r="D812" s="44"/>
      <c r="E812" s="44"/>
      <c r="F812" s="44"/>
      <c r="G812" s="44"/>
      <c r="H812" s="34" t="str">
        <f aca="false">IF(G812&lt;&gt;"",G812,IF(F812="","",IFERROR(INDEX(I_Item!$C$6:$C$255,MATCH(F812,I_Item!$A$6:$A$255,0)),"KODE BARU")))</f>
        <v/>
      </c>
      <c r="I812" s="45"/>
      <c r="J812" s="42"/>
      <c r="K812" s="11" t="str">
        <f aca="false">IF(I812="","",I812*J812)</f>
        <v/>
      </c>
      <c r="L812" s="34" t="str">
        <f aca="false">IF(H812="","",IFERROR(INDEX(I_Master!$B$6:$B$85,MATCH(H812,I_Master!$A$6:$A$85,0)),"?"))</f>
        <v/>
      </c>
      <c r="M812" s="46" t="str">
        <f aca="false">IF(I812="","",IF(OR(A812&lt;I_Parameter!$C$5,A812&gt;I_Parameter!$C$6),0,IF(B812="Aktual",1,IF(AND(B812="Rencana",A812&gt;=I_Parameter!$C$4),1,0))))</f>
        <v/>
      </c>
    </row>
    <row r="813" customFormat="false" ht="15" hidden="false" customHeight="false" outlineLevel="0" collapsed="false">
      <c r="A813" s="37"/>
      <c r="B813" s="44"/>
      <c r="C813" s="44"/>
      <c r="D813" s="44"/>
      <c r="E813" s="44"/>
      <c r="F813" s="44"/>
      <c r="G813" s="44"/>
      <c r="H813" s="34" t="str">
        <f aca="false">IF(G813&lt;&gt;"",G813,IF(F813="","",IFERROR(INDEX(I_Item!$C$6:$C$255,MATCH(F813,I_Item!$A$6:$A$255,0)),"KODE BARU")))</f>
        <v/>
      </c>
      <c r="I813" s="45"/>
      <c r="J813" s="42"/>
      <c r="K813" s="11" t="str">
        <f aca="false">IF(I813="","",I813*J813)</f>
        <v/>
      </c>
      <c r="L813" s="34" t="str">
        <f aca="false">IF(H813="","",IFERROR(INDEX(I_Master!$B$6:$B$85,MATCH(H813,I_Master!$A$6:$A$85,0)),"?"))</f>
        <v/>
      </c>
      <c r="M813" s="46" t="str">
        <f aca="false">IF(I813="","",IF(OR(A813&lt;I_Parameter!$C$5,A813&gt;I_Parameter!$C$6),0,IF(B813="Aktual",1,IF(AND(B813="Rencana",A813&gt;=I_Parameter!$C$4),1,0))))</f>
        <v/>
      </c>
    </row>
    <row r="814" customFormat="false" ht="15" hidden="false" customHeight="false" outlineLevel="0" collapsed="false">
      <c r="A814" s="37"/>
      <c r="B814" s="44"/>
      <c r="C814" s="44"/>
      <c r="D814" s="44"/>
      <c r="E814" s="44"/>
      <c r="F814" s="44"/>
      <c r="G814" s="44"/>
      <c r="H814" s="34" t="str">
        <f aca="false">IF(G814&lt;&gt;"",G814,IF(F814="","",IFERROR(INDEX(I_Item!$C$6:$C$255,MATCH(F814,I_Item!$A$6:$A$255,0)),"KODE BARU")))</f>
        <v/>
      </c>
      <c r="I814" s="45"/>
      <c r="J814" s="42"/>
      <c r="K814" s="11" t="str">
        <f aca="false">IF(I814="","",I814*J814)</f>
        <v/>
      </c>
      <c r="L814" s="34" t="str">
        <f aca="false">IF(H814="","",IFERROR(INDEX(I_Master!$B$6:$B$85,MATCH(H814,I_Master!$A$6:$A$85,0)),"?"))</f>
        <v/>
      </c>
      <c r="M814" s="46" t="str">
        <f aca="false">IF(I814="","",IF(OR(A814&lt;I_Parameter!$C$5,A814&gt;I_Parameter!$C$6),0,IF(B814="Aktual",1,IF(AND(B814="Rencana",A814&gt;=I_Parameter!$C$4),1,0))))</f>
        <v/>
      </c>
    </row>
    <row r="815" customFormat="false" ht="15" hidden="false" customHeight="false" outlineLevel="0" collapsed="false">
      <c r="A815" s="37"/>
      <c r="B815" s="44"/>
      <c r="C815" s="44"/>
      <c r="D815" s="44"/>
      <c r="E815" s="44"/>
      <c r="F815" s="44"/>
      <c r="G815" s="44"/>
      <c r="H815" s="34" t="str">
        <f aca="false">IF(G815&lt;&gt;"",G815,IF(F815="","",IFERROR(INDEX(I_Item!$C$6:$C$255,MATCH(F815,I_Item!$A$6:$A$255,0)),"KODE BARU")))</f>
        <v/>
      </c>
      <c r="I815" s="45"/>
      <c r="J815" s="42"/>
      <c r="K815" s="11" t="str">
        <f aca="false">IF(I815="","",I815*J815)</f>
        <v/>
      </c>
      <c r="L815" s="34" t="str">
        <f aca="false">IF(H815="","",IFERROR(INDEX(I_Master!$B$6:$B$85,MATCH(H815,I_Master!$A$6:$A$85,0)),"?"))</f>
        <v/>
      </c>
      <c r="M815" s="46" t="str">
        <f aca="false">IF(I815="","",IF(OR(A815&lt;I_Parameter!$C$5,A815&gt;I_Parameter!$C$6),0,IF(B815="Aktual",1,IF(AND(B815="Rencana",A815&gt;=I_Parameter!$C$4),1,0))))</f>
        <v/>
      </c>
    </row>
    <row r="816" customFormat="false" ht="15" hidden="false" customHeight="false" outlineLevel="0" collapsed="false">
      <c r="A816" s="37"/>
      <c r="B816" s="44"/>
      <c r="C816" s="44"/>
      <c r="D816" s="44"/>
      <c r="E816" s="44"/>
      <c r="F816" s="44"/>
      <c r="G816" s="44"/>
      <c r="H816" s="34" t="str">
        <f aca="false">IF(G816&lt;&gt;"",G816,IF(F816="","",IFERROR(INDEX(I_Item!$C$6:$C$255,MATCH(F816,I_Item!$A$6:$A$255,0)),"KODE BARU")))</f>
        <v/>
      </c>
      <c r="I816" s="45"/>
      <c r="J816" s="42"/>
      <c r="K816" s="11" t="str">
        <f aca="false">IF(I816="","",I816*J816)</f>
        <v/>
      </c>
      <c r="L816" s="34" t="str">
        <f aca="false">IF(H816="","",IFERROR(INDEX(I_Master!$B$6:$B$85,MATCH(H816,I_Master!$A$6:$A$85,0)),"?"))</f>
        <v/>
      </c>
      <c r="M816" s="46" t="str">
        <f aca="false">IF(I816="","",IF(OR(A816&lt;I_Parameter!$C$5,A816&gt;I_Parameter!$C$6),0,IF(B816="Aktual",1,IF(AND(B816="Rencana",A816&gt;=I_Parameter!$C$4),1,0))))</f>
        <v/>
      </c>
    </row>
    <row r="817" customFormat="false" ht="15" hidden="false" customHeight="false" outlineLevel="0" collapsed="false">
      <c r="A817" s="37"/>
      <c r="B817" s="44"/>
      <c r="C817" s="44"/>
      <c r="D817" s="44"/>
      <c r="E817" s="44"/>
      <c r="F817" s="44"/>
      <c r="G817" s="44"/>
      <c r="H817" s="34" t="str">
        <f aca="false">IF(G817&lt;&gt;"",G817,IF(F817="","",IFERROR(INDEX(I_Item!$C$6:$C$255,MATCH(F817,I_Item!$A$6:$A$255,0)),"KODE BARU")))</f>
        <v/>
      </c>
      <c r="I817" s="45"/>
      <c r="J817" s="42"/>
      <c r="K817" s="11" t="str">
        <f aca="false">IF(I817="","",I817*J817)</f>
        <v/>
      </c>
      <c r="L817" s="34" t="str">
        <f aca="false">IF(H817="","",IFERROR(INDEX(I_Master!$B$6:$B$85,MATCH(H817,I_Master!$A$6:$A$85,0)),"?"))</f>
        <v/>
      </c>
      <c r="M817" s="46" t="str">
        <f aca="false">IF(I817="","",IF(OR(A817&lt;I_Parameter!$C$5,A817&gt;I_Parameter!$C$6),0,IF(B817="Aktual",1,IF(AND(B817="Rencana",A817&gt;=I_Parameter!$C$4),1,0))))</f>
        <v/>
      </c>
    </row>
    <row r="818" customFormat="false" ht="15" hidden="false" customHeight="false" outlineLevel="0" collapsed="false">
      <c r="A818" s="37"/>
      <c r="B818" s="44"/>
      <c r="C818" s="44"/>
      <c r="D818" s="44"/>
      <c r="E818" s="44"/>
      <c r="F818" s="44"/>
      <c r="G818" s="44"/>
      <c r="H818" s="34" t="str">
        <f aca="false">IF(G818&lt;&gt;"",G818,IF(F818="","",IFERROR(INDEX(I_Item!$C$6:$C$255,MATCH(F818,I_Item!$A$6:$A$255,0)),"KODE BARU")))</f>
        <v/>
      </c>
      <c r="I818" s="45"/>
      <c r="J818" s="42"/>
      <c r="K818" s="11" t="str">
        <f aca="false">IF(I818="","",I818*J818)</f>
        <v/>
      </c>
      <c r="L818" s="34" t="str">
        <f aca="false">IF(H818="","",IFERROR(INDEX(I_Master!$B$6:$B$85,MATCH(H818,I_Master!$A$6:$A$85,0)),"?"))</f>
        <v/>
      </c>
      <c r="M818" s="46" t="str">
        <f aca="false">IF(I818="","",IF(OR(A818&lt;I_Parameter!$C$5,A818&gt;I_Parameter!$C$6),0,IF(B818="Aktual",1,IF(AND(B818="Rencana",A818&gt;=I_Parameter!$C$4),1,0))))</f>
        <v/>
      </c>
    </row>
    <row r="819" customFormat="false" ht="15" hidden="false" customHeight="false" outlineLevel="0" collapsed="false">
      <c r="A819" s="37"/>
      <c r="B819" s="44"/>
      <c r="C819" s="44"/>
      <c r="D819" s="44"/>
      <c r="E819" s="44"/>
      <c r="F819" s="44"/>
      <c r="G819" s="44"/>
      <c r="H819" s="34" t="str">
        <f aca="false">IF(G819&lt;&gt;"",G819,IF(F819="","",IFERROR(INDEX(I_Item!$C$6:$C$255,MATCH(F819,I_Item!$A$6:$A$255,0)),"KODE BARU")))</f>
        <v/>
      </c>
      <c r="I819" s="45"/>
      <c r="J819" s="42"/>
      <c r="K819" s="11" t="str">
        <f aca="false">IF(I819="","",I819*J819)</f>
        <v/>
      </c>
      <c r="L819" s="34" t="str">
        <f aca="false">IF(H819="","",IFERROR(INDEX(I_Master!$B$6:$B$85,MATCH(H819,I_Master!$A$6:$A$85,0)),"?"))</f>
        <v/>
      </c>
      <c r="M819" s="46" t="str">
        <f aca="false">IF(I819="","",IF(OR(A819&lt;I_Parameter!$C$5,A819&gt;I_Parameter!$C$6),0,IF(B819="Aktual",1,IF(AND(B819="Rencana",A819&gt;=I_Parameter!$C$4),1,0))))</f>
        <v/>
      </c>
    </row>
    <row r="820" customFormat="false" ht="15" hidden="false" customHeight="false" outlineLevel="0" collapsed="false">
      <c r="A820" s="37"/>
      <c r="B820" s="44"/>
      <c r="C820" s="44"/>
      <c r="D820" s="44"/>
      <c r="E820" s="44"/>
      <c r="F820" s="44"/>
      <c r="G820" s="44"/>
      <c r="H820" s="34" t="str">
        <f aca="false">IF(G820&lt;&gt;"",G820,IF(F820="","",IFERROR(INDEX(I_Item!$C$6:$C$255,MATCH(F820,I_Item!$A$6:$A$255,0)),"KODE BARU")))</f>
        <v/>
      </c>
      <c r="I820" s="45"/>
      <c r="J820" s="42"/>
      <c r="K820" s="11" t="str">
        <f aca="false">IF(I820="","",I820*J820)</f>
        <v/>
      </c>
      <c r="L820" s="34" t="str">
        <f aca="false">IF(H820="","",IFERROR(INDEX(I_Master!$B$6:$B$85,MATCH(H820,I_Master!$A$6:$A$85,0)),"?"))</f>
        <v/>
      </c>
      <c r="M820" s="46" t="str">
        <f aca="false">IF(I820="","",IF(OR(A820&lt;I_Parameter!$C$5,A820&gt;I_Parameter!$C$6),0,IF(B820="Aktual",1,IF(AND(B820="Rencana",A820&gt;=I_Parameter!$C$4),1,0))))</f>
        <v/>
      </c>
    </row>
    <row r="821" customFormat="false" ht="15" hidden="false" customHeight="false" outlineLevel="0" collapsed="false">
      <c r="A821" s="37"/>
      <c r="B821" s="44"/>
      <c r="C821" s="44"/>
      <c r="D821" s="44"/>
      <c r="E821" s="44"/>
      <c r="F821" s="44"/>
      <c r="G821" s="44"/>
      <c r="H821" s="34" t="str">
        <f aca="false">IF(G821&lt;&gt;"",G821,IF(F821="","",IFERROR(INDEX(I_Item!$C$6:$C$255,MATCH(F821,I_Item!$A$6:$A$255,0)),"KODE BARU")))</f>
        <v/>
      </c>
      <c r="I821" s="45"/>
      <c r="J821" s="42"/>
      <c r="K821" s="11" t="str">
        <f aca="false">IF(I821="","",I821*J821)</f>
        <v/>
      </c>
      <c r="L821" s="34" t="str">
        <f aca="false">IF(H821="","",IFERROR(INDEX(I_Master!$B$6:$B$85,MATCH(H821,I_Master!$A$6:$A$85,0)),"?"))</f>
        <v/>
      </c>
      <c r="M821" s="46" t="str">
        <f aca="false">IF(I821="","",IF(OR(A821&lt;I_Parameter!$C$5,A821&gt;I_Parameter!$C$6),0,IF(B821="Aktual",1,IF(AND(B821="Rencana",A821&gt;=I_Parameter!$C$4),1,0))))</f>
        <v/>
      </c>
    </row>
    <row r="822" customFormat="false" ht="15" hidden="false" customHeight="false" outlineLevel="0" collapsed="false">
      <c r="A822" s="37"/>
      <c r="B822" s="44"/>
      <c r="C822" s="44"/>
      <c r="D822" s="44"/>
      <c r="E822" s="44"/>
      <c r="F822" s="44"/>
      <c r="G822" s="44"/>
      <c r="H822" s="34" t="str">
        <f aca="false">IF(G822&lt;&gt;"",G822,IF(F822="","",IFERROR(INDEX(I_Item!$C$6:$C$255,MATCH(F822,I_Item!$A$6:$A$255,0)),"KODE BARU")))</f>
        <v/>
      </c>
      <c r="I822" s="45"/>
      <c r="J822" s="42"/>
      <c r="K822" s="11" t="str">
        <f aca="false">IF(I822="","",I822*J822)</f>
        <v/>
      </c>
      <c r="L822" s="34" t="str">
        <f aca="false">IF(H822="","",IFERROR(INDEX(I_Master!$B$6:$B$85,MATCH(H822,I_Master!$A$6:$A$85,0)),"?"))</f>
        <v/>
      </c>
      <c r="M822" s="46" t="str">
        <f aca="false">IF(I822="","",IF(OR(A822&lt;I_Parameter!$C$5,A822&gt;I_Parameter!$C$6),0,IF(B822="Aktual",1,IF(AND(B822="Rencana",A822&gt;=I_Parameter!$C$4),1,0))))</f>
        <v/>
      </c>
    </row>
    <row r="823" customFormat="false" ht="15" hidden="false" customHeight="false" outlineLevel="0" collapsed="false">
      <c r="A823" s="37"/>
      <c r="B823" s="44"/>
      <c r="C823" s="44"/>
      <c r="D823" s="44"/>
      <c r="E823" s="44"/>
      <c r="F823" s="44"/>
      <c r="G823" s="44"/>
      <c r="H823" s="34" t="str">
        <f aca="false">IF(G823&lt;&gt;"",G823,IF(F823="","",IFERROR(INDEX(I_Item!$C$6:$C$255,MATCH(F823,I_Item!$A$6:$A$255,0)),"KODE BARU")))</f>
        <v/>
      </c>
      <c r="I823" s="45"/>
      <c r="J823" s="42"/>
      <c r="K823" s="11" t="str">
        <f aca="false">IF(I823="","",I823*J823)</f>
        <v/>
      </c>
      <c r="L823" s="34" t="str">
        <f aca="false">IF(H823="","",IFERROR(INDEX(I_Master!$B$6:$B$85,MATCH(H823,I_Master!$A$6:$A$85,0)),"?"))</f>
        <v/>
      </c>
      <c r="M823" s="46" t="str">
        <f aca="false">IF(I823="","",IF(OR(A823&lt;I_Parameter!$C$5,A823&gt;I_Parameter!$C$6),0,IF(B823="Aktual",1,IF(AND(B823="Rencana",A823&gt;=I_Parameter!$C$4),1,0))))</f>
        <v/>
      </c>
    </row>
    <row r="824" customFormat="false" ht="15" hidden="false" customHeight="false" outlineLevel="0" collapsed="false">
      <c r="A824" s="37"/>
      <c r="B824" s="44"/>
      <c r="C824" s="44"/>
      <c r="D824" s="44"/>
      <c r="E824" s="44"/>
      <c r="F824" s="44"/>
      <c r="G824" s="44"/>
      <c r="H824" s="34" t="str">
        <f aca="false">IF(G824&lt;&gt;"",G824,IF(F824="","",IFERROR(INDEX(I_Item!$C$6:$C$255,MATCH(F824,I_Item!$A$6:$A$255,0)),"KODE BARU")))</f>
        <v/>
      </c>
      <c r="I824" s="45"/>
      <c r="J824" s="42"/>
      <c r="K824" s="11" t="str">
        <f aca="false">IF(I824="","",I824*J824)</f>
        <v/>
      </c>
      <c r="L824" s="34" t="str">
        <f aca="false">IF(H824="","",IFERROR(INDEX(I_Master!$B$6:$B$85,MATCH(H824,I_Master!$A$6:$A$85,0)),"?"))</f>
        <v/>
      </c>
      <c r="M824" s="46" t="str">
        <f aca="false">IF(I824="","",IF(OR(A824&lt;I_Parameter!$C$5,A824&gt;I_Parameter!$C$6),0,IF(B824="Aktual",1,IF(AND(B824="Rencana",A824&gt;=I_Parameter!$C$4),1,0))))</f>
        <v/>
      </c>
    </row>
    <row r="825" customFormat="false" ht="15" hidden="false" customHeight="false" outlineLevel="0" collapsed="false">
      <c r="A825" s="37"/>
      <c r="B825" s="44"/>
      <c r="C825" s="44"/>
      <c r="D825" s="44"/>
      <c r="E825" s="44"/>
      <c r="F825" s="44"/>
      <c r="G825" s="44"/>
      <c r="H825" s="34" t="str">
        <f aca="false">IF(G825&lt;&gt;"",G825,IF(F825="","",IFERROR(INDEX(I_Item!$C$6:$C$255,MATCH(F825,I_Item!$A$6:$A$255,0)),"KODE BARU")))</f>
        <v/>
      </c>
      <c r="I825" s="45"/>
      <c r="J825" s="42"/>
      <c r="K825" s="11" t="str">
        <f aca="false">IF(I825="","",I825*J825)</f>
        <v/>
      </c>
      <c r="L825" s="34" t="str">
        <f aca="false">IF(H825="","",IFERROR(INDEX(I_Master!$B$6:$B$85,MATCH(H825,I_Master!$A$6:$A$85,0)),"?"))</f>
        <v/>
      </c>
      <c r="M825" s="46" t="str">
        <f aca="false">IF(I825="","",IF(OR(A825&lt;I_Parameter!$C$5,A825&gt;I_Parameter!$C$6),0,IF(B825="Aktual",1,IF(AND(B825="Rencana",A825&gt;=I_Parameter!$C$4),1,0))))</f>
        <v/>
      </c>
    </row>
    <row r="826" customFormat="false" ht="15" hidden="false" customHeight="false" outlineLevel="0" collapsed="false">
      <c r="A826" s="37"/>
      <c r="B826" s="44"/>
      <c r="C826" s="44"/>
      <c r="D826" s="44"/>
      <c r="E826" s="44"/>
      <c r="F826" s="44"/>
      <c r="G826" s="44"/>
      <c r="H826" s="34" t="str">
        <f aca="false">IF(G826&lt;&gt;"",G826,IF(F826="","",IFERROR(INDEX(I_Item!$C$6:$C$255,MATCH(F826,I_Item!$A$6:$A$255,0)),"KODE BARU")))</f>
        <v/>
      </c>
      <c r="I826" s="45"/>
      <c r="J826" s="42"/>
      <c r="K826" s="11" t="str">
        <f aca="false">IF(I826="","",I826*J826)</f>
        <v/>
      </c>
      <c r="L826" s="34" t="str">
        <f aca="false">IF(H826="","",IFERROR(INDEX(I_Master!$B$6:$B$85,MATCH(H826,I_Master!$A$6:$A$85,0)),"?"))</f>
        <v/>
      </c>
      <c r="M826" s="46" t="str">
        <f aca="false">IF(I826="","",IF(OR(A826&lt;I_Parameter!$C$5,A826&gt;I_Parameter!$C$6),0,IF(B826="Aktual",1,IF(AND(B826="Rencana",A826&gt;=I_Parameter!$C$4),1,0))))</f>
        <v/>
      </c>
    </row>
    <row r="827" customFormat="false" ht="15" hidden="false" customHeight="false" outlineLevel="0" collapsed="false">
      <c r="A827" s="37"/>
      <c r="B827" s="44"/>
      <c r="C827" s="44"/>
      <c r="D827" s="44"/>
      <c r="E827" s="44"/>
      <c r="F827" s="44"/>
      <c r="G827" s="44"/>
      <c r="H827" s="34" t="str">
        <f aca="false">IF(G827&lt;&gt;"",G827,IF(F827="","",IFERROR(INDEX(I_Item!$C$6:$C$255,MATCH(F827,I_Item!$A$6:$A$255,0)),"KODE BARU")))</f>
        <v/>
      </c>
      <c r="I827" s="45"/>
      <c r="J827" s="42"/>
      <c r="K827" s="11" t="str">
        <f aca="false">IF(I827="","",I827*J827)</f>
        <v/>
      </c>
      <c r="L827" s="34" t="str">
        <f aca="false">IF(H827="","",IFERROR(INDEX(I_Master!$B$6:$B$85,MATCH(H827,I_Master!$A$6:$A$85,0)),"?"))</f>
        <v/>
      </c>
      <c r="M827" s="46" t="str">
        <f aca="false">IF(I827="","",IF(OR(A827&lt;I_Parameter!$C$5,A827&gt;I_Parameter!$C$6),0,IF(B827="Aktual",1,IF(AND(B827="Rencana",A827&gt;=I_Parameter!$C$4),1,0))))</f>
        <v/>
      </c>
    </row>
    <row r="828" customFormat="false" ht="15" hidden="false" customHeight="false" outlineLevel="0" collapsed="false">
      <c r="A828" s="37"/>
      <c r="B828" s="44"/>
      <c r="C828" s="44"/>
      <c r="D828" s="44"/>
      <c r="E828" s="44"/>
      <c r="F828" s="44"/>
      <c r="G828" s="44"/>
      <c r="H828" s="34" t="str">
        <f aca="false">IF(G828&lt;&gt;"",G828,IF(F828="","",IFERROR(INDEX(I_Item!$C$6:$C$255,MATCH(F828,I_Item!$A$6:$A$255,0)),"KODE BARU")))</f>
        <v/>
      </c>
      <c r="I828" s="45"/>
      <c r="J828" s="42"/>
      <c r="K828" s="11" t="str">
        <f aca="false">IF(I828="","",I828*J828)</f>
        <v/>
      </c>
      <c r="L828" s="34" t="str">
        <f aca="false">IF(H828="","",IFERROR(INDEX(I_Master!$B$6:$B$85,MATCH(H828,I_Master!$A$6:$A$85,0)),"?"))</f>
        <v/>
      </c>
      <c r="M828" s="46" t="str">
        <f aca="false">IF(I828="","",IF(OR(A828&lt;I_Parameter!$C$5,A828&gt;I_Parameter!$C$6),0,IF(B828="Aktual",1,IF(AND(B828="Rencana",A828&gt;=I_Parameter!$C$4),1,0))))</f>
        <v/>
      </c>
    </row>
    <row r="829" customFormat="false" ht="15" hidden="false" customHeight="false" outlineLevel="0" collapsed="false">
      <c r="A829" s="37"/>
      <c r="B829" s="44"/>
      <c r="C829" s="44"/>
      <c r="D829" s="44"/>
      <c r="E829" s="44"/>
      <c r="F829" s="44"/>
      <c r="G829" s="44"/>
      <c r="H829" s="34" t="str">
        <f aca="false">IF(G829&lt;&gt;"",G829,IF(F829="","",IFERROR(INDEX(I_Item!$C$6:$C$255,MATCH(F829,I_Item!$A$6:$A$255,0)),"KODE BARU")))</f>
        <v/>
      </c>
      <c r="I829" s="45"/>
      <c r="J829" s="42"/>
      <c r="K829" s="11" t="str">
        <f aca="false">IF(I829="","",I829*J829)</f>
        <v/>
      </c>
      <c r="L829" s="34" t="str">
        <f aca="false">IF(H829="","",IFERROR(INDEX(I_Master!$B$6:$B$85,MATCH(H829,I_Master!$A$6:$A$85,0)),"?"))</f>
        <v/>
      </c>
      <c r="M829" s="46" t="str">
        <f aca="false">IF(I829="","",IF(OR(A829&lt;I_Parameter!$C$5,A829&gt;I_Parameter!$C$6),0,IF(B829="Aktual",1,IF(AND(B829="Rencana",A829&gt;=I_Parameter!$C$4),1,0))))</f>
        <v/>
      </c>
    </row>
    <row r="830" customFormat="false" ht="15" hidden="false" customHeight="false" outlineLevel="0" collapsed="false">
      <c r="A830" s="37"/>
      <c r="B830" s="44"/>
      <c r="C830" s="44"/>
      <c r="D830" s="44"/>
      <c r="E830" s="44"/>
      <c r="F830" s="44"/>
      <c r="G830" s="44"/>
      <c r="H830" s="34" t="str">
        <f aca="false">IF(G830&lt;&gt;"",G830,IF(F830="","",IFERROR(INDEX(I_Item!$C$6:$C$255,MATCH(F830,I_Item!$A$6:$A$255,0)),"KODE BARU")))</f>
        <v/>
      </c>
      <c r="I830" s="45"/>
      <c r="J830" s="42"/>
      <c r="K830" s="11" t="str">
        <f aca="false">IF(I830="","",I830*J830)</f>
        <v/>
      </c>
      <c r="L830" s="34" t="str">
        <f aca="false">IF(H830="","",IFERROR(INDEX(I_Master!$B$6:$B$85,MATCH(H830,I_Master!$A$6:$A$85,0)),"?"))</f>
        <v/>
      </c>
      <c r="M830" s="46" t="str">
        <f aca="false">IF(I830="","",IF(OR(A830&lt;I_Parameter!$C$5,A830&gt;I_Parameter!$C$6),0,IF(B830="Aktual",1,IF(AND(B830="Rencana",A830&gt;=I_Parameter!$C$4),1,0))))</f>
        <v/>
      </c>
    </row>
    <row r="831" customFormat="false" ht="15" hidden="false" customHeight="false" outlineLevel="0" collapsed="false">
      <c r="A831" s="37"/>
      <c r="B831" s="44"/>
      <c r="C831" s="44"/>
      <c r="D831" s="44"/>
      <c r="E831" s="44"/>
      <c r="F831" s="44"/>
      <c r="G831" s="44"/>
      <c r="H831" s="34" t="str">
        <f aca="false">IF(G831&lt;&gt;"",G831,IF(F831="","",IFERROR(INDEX(I_Item!$C$6:$C$255,MATCH(F831,I_Item!$A$6:$A$255,0)),"KODE BARU")))</f>
        <v/>
      </c>
      <c r="I831" s="45"/>
      <c r="J831" s="42"/>
      <c r="K831" s="11" t="str">
        <f aca="false">IF(I831="","",I831*J831)</f>
        <v/>
      </c>
      <c r="L831" s="34" t="str">
        <f aca="false">IF(H831="","",IFERROR(INDEX(I_Master!$B$6:$B$85,MATCH(H831,I_Master!$A$6:$A$85,0)),"?"))</f>
        <v/>
      </c>
      <c r="M831" s="46" t="str">
        <f aca="false">IF(I831="","",IF(OR(A831&lt;I_Parameter!$C$5,A831&gt;I_Parameter!$C$6),0,IF(B831="Aktual",1,IF(AND(B831="Rencana",A831&gt;=I_Parameter!$C$4),1,0))))</f>
        <v/>
      </c>
    </row>
    <row r="832" customFormat="false" ht="15" hidden="false" customHeight="false" outlineLevel="0" collapsed="false">
      <c r="A832" s="37"/>
      <c r="B832" s="44"/>
      <c r="C832" s="44"/>
      <c r="D832" s="44"/>
      <c r="E832" s="44"/>
      <c r="F832" s="44"/>
      <c r="G832" s="44"/>
      <c r="H832" s="34" t="str">
        <f aca="false">IF(G832&lt;&gt;"",G832,IF(F832="","",IFERROR(INDEX(I_Item!$C$6:$C$255,MATCH(F832,I_Item!$A$6:$A$255,0)),"KODE BARU")))</f>
        <v/>
      </c>
      <c r="I832" s="45"/>
      <c r="J832" s="42"/>
      <c r="K832" s="11" t="str">
        <f aca="false">IF(I832="","",I832*J832)</f>
        <v/>
      </c>
      <c r="L832" s="34" t="str">
        <f aca="false">IF(H832="","",IFERROR(INDEX(I_Master!$B$6:$B$85,MATCH(H832,I_Master!$A$6:$A$85,0)),"?"))</f>
        <v/>
      </c>
      <c r="M832" s="46" t="str">
        <f aca="false">IF(I832="","",IF(OR(A832&lt;I_Parameter!$C$5,A832&gt;I_Parameter!$C$6),0,IF(B832="Aktual",1,IF(AND(B832="Rencana",A832&gt;=I_Parameter!$C$4),1,0))))</f>
        <v/>
      </c>
    </row>
    <row r="833" customFormat="false" ht="15" hidden="false" customHeight="false" outlineLevel="0" collapsed="false">
      <c r="A833" s="37"/>
      <c r="B833" s="44"/>
      <c r="C833" s="44"/>
      <c r="D833" s="44"/>
      <c r="E833" s="44"/>
      <c r="F833" s="44"/>
      <c r="G833" s="44"/>
      <c r="H833" s="34" t="str">
        <f aca="false">IF(G833&lt;&gt;"",G833,IF(F833="","",IFERROR(INDEX(I_Item!$C$6:$C$255,MATCH(F833,I_Item!$A$6:$A$255,0)),"KODE BARU")))</f>
        <v/>
      </c>
      <c r="I833" s="45"/>
      <c r="J833" s="42"/>
      <c r="K833" s="11" t="str">
        <f aca="false">IF(I833="","",I833*J833)</f>
        <v/>
      </c>
      <c r="L833" s="34" t="str">
        <f aca="false">IF(H833="","",IFERROR(INDEX(I_Master!$B$6:$B$85,MATCH(H833,I_Master!$A$6:$A$85,0)),"?"))</f>
        <v/>
      </c>
      <c r="M833" s="46" t="str">
        <f aca="false">IF(I833="","",IF(OR(A833&lt;I_Parameter!$C$5,A833&gt;I_Parameter!$C$6),0,IF(B833="Aktual",1,IF(AND(B833="Rencana",A833&gt;=I_Parameter!$C$4),1,0))))</f>
        <v/>
      </c>
    </row>
    <row r="834" customFormat="false" ht="15" hidden="false" customHeight="false" outlineLevel="0" collapsed="false">
      <c r="A834" s="37"/>
      <c r="B834" s="44"/>
      <c r="C834" s="44"/>
      <c r="D834" s="44"/>
      <c r="E834" s="44"/>
      <c r="F834" s="44"/>
      <c r="G834" s="44"/>
      <c r="H834" s="34" t="str">
        <f aca="false">IF(G834&lt;&gt;"",G834,IF(F834="","",IFERROR(INDEX(I_Item!$C$6:$C$255,MATCH(F834,I_Item!$A$6:$A$255,0)),"KODE BARU")))</f>
        <v/>
      </c>
      <c r="I834" s="45"/>
      <c r="J834" s="42"/>
      <c r="K834" s="11" t="str">
        <f aca="false">IF(I834="","",I834*J834)</f>
        <v/>
      </c>
      <c r="L834" s="34" t="str">
        <f aca="false">IF(H834="","",IFERROR(INDEX(I_Master!$B$6:$B$85,MATCH(H834,I_Master!$A$6:$A$85,0)),"?"))</f>
        <v/>
      </c>
      <c r="M834" s="46" t="str">
        <f aca="false">IF(I834="","",IF(OR(A834&lt;I_Parameter!$C$5,A834&gt;I_Parameter!$C$6),0,IF(B834="Aktual",1,IF(AND(B834="Rencana",A834&gt;=I_Parameter!$C$4),1,0))))</f>
        <v/>
      </c>
    </row>
    <row r="835" customFormat="false" ht="15" hidden="false" customHeight="false" outlineLevel="0" collapsed="false">
      <c r="A835" s="37"/>
      <c r="B835" s="44"/>
      <c r="C835" s="44"/>
      <c r="D835" s="44"/>
      <c r="E835" s="44"/>
      <c r="F835" s="44"/>
      <c r="G835" s="44"/>
      <c r="H835" s="34" t="str">
        <f aca="false">IF(G835&lt;&gt;"",G835,IF(F835="","",IFERROR(INDEX(I_Item!$C$6:$C$255,MATCH(F835,I_Item!$A$6:$A$255,0)),"KODE BARU")))</f>
        <v/>
      </c>
      <c r="I835" s="45"/>
      <c r="J835" s="42"/>
      <c r="K835" s="11" t="str">
        <f aca="false">IF(I835="","",I835*J835)</f>
        <v/>
      </c>
      <c r="L835" s="34" t="str">
        <f aca="false">IF(H835="","",IFERROR(INDEX(I_Master!$B$6:$B$85,MATCH(H835,I_Master!$A$6:$A$85,0)),"?"))</f>
        <v/>
      </c>
      <c r="M835" s="46" t="str">
        <f aca="false">IF(I835="","",IF(OR(A835&lt;I_Parameter!$C$5,A835&gt;I_Parameter!$C$6),0,IF(B835="Aktual",1,IF(AND(B835="Rencana",A835&gt;=I_Parameter!$C$4),1,0))))</f>
        <v/>
      </c>
    </row>
    <row r="836" customFormat="false" ht="15" hidden="false" customHeight="false" outlineLevel="0" collapsed="false">
      <c r="A836" s="37"/>
      <c r="B836" s="44"/>
      <c r="C836" s="44"/>
      <c r="D836" s="44"/>
      <c r="E836" s="44"/>
      <c r="F836" s="44"/>
      <c r="G836" s="44"/>
      <c r="H836" s="34" t="str">
        <f aca="false">IF(G836&lt;&gt;"",G836,IF(F836="","",IFERROR(INDEX(I_Item!$C$6:$C$255,MATCH(F836,I_Item!$A$6:$A$255,0)),"KODE BARU")))</f>
        <v/>
      </c>
      <c r="I836" s="45"/>
      <c r="J836" s="42"/>
      <c r="K836" s="11" t="str">
        <f aca="false">IF(I836="","",I836*J836)</f>
        <v/>
      </c>
      <c r="L836" s="34" t="str">
        <f aca="false">IF(H836="","",IFERROR(INDEX(I_Master!$B$6:$B$85,MATCH(H836,I_Master!$A$6:$A$85,0)),"?"))</f>
        <v/>
      </c>
      <c r="M836" s="46" t="str">
        <f aca="false">IF(I836="","",IF(OR(A836&lt;I_Parameter!$C$5,A836&gt;I_Parameter!$C$6),0,IF(B836="Aktual",1,IF(AND(B836="Rencana",A836&gt;=I_Parameter!$C$4),1,0))))</f>
        <v/>
      </c>
    </row>
    <row r="837" customFormat="false" ht="15" hidden="false" customHeight="false" outlineLevel="0" collapsed="false">
      <c r="A837" s="37"/>
      <c r="B837" s="44"/>
      <c r="C837" s="44"/>
      <c r="D837" s="44"/>
      <c r="E837" s="44"/>
      <c r="F837" s="44"/>
      <c r="G837" s="44"/>
      <c r="H837" s="34" t="str">
        <f aca="false">IF(G837&lt;&gt;"",G837,IF(F837="","",IFERROR(INDEX(I_Item!$C$6:$C$255,MATCH(F837,I_Item!$A$6:$A$255,0)),"KODE BARU")))</f>
        <v/>
      </c>
      <c r="I837" s="45"/>
      <c r="J837" s="42"/>
      <c r="K837" s="11" t="str">
        <f aca="false">IF(I837="","",I837*J837)</f>
        <v/>
      </c>
      <c r="L837" s="34" t="str">
        <f aca="false">IF(H837="","",IFERROR(INDEX(I_Master!$B$6:$B$85,MATCH(H837,I_Master!$A$6:$A$85,0)),"?"))</f>
        <v/>
      </c>
      <c r="M837" s="46" t="str">
        <f aca="false">IF(I837="","",IF(OR(A837&lt;I_Parameter!$C$5,A837&gt;I_Parameter!$C$6),0,IF(B837="Aktual",1,IF(AND(B837="Rencana",A837&gt;=I_Parameter!$C$4),1,0))))</f>
        <v/>
      </c>
    </row>
    <row r="838" customFormat="false" ht="15" hidden="false" customHeight="false" outlineLevel="0" collapsed="false">
      <c r="A838" s="37"/>
      <c r="B838" s="44"/>
      <c r="C838" s="44"/>
      <c r="D838" s="44"/>
      <c r="E838" s="44"/>
      <c r="F838" s="44"/>
      <c r="G838" s="44"/>
      <c r="H838" s="34" t="str">
        <f aca="false">IF(G838&lt;&gt;"",G838,IF(F838="","",IFERROR(INDEX(I_Item!$C$6:$C$255,MATCH(F838,I_Item!$A$6:$A$255,0)),"KODE BARU")))</f>
        <v/>
      </c>
      <c r="I838" s="45"/>
      <c r="J838" s="42"/>
      <c r="K838" s="11" t="str">
        <f aca="false">IF(I838="","",I838*J838)</f>
        <v/>
      </c>
      <c r="L838" s="34" t="str">
        <f aca="false">IF(H838="","",IFERROR(INDEX(I_Master!$B$6:$B$85,MATCH(H838,I_Master!$A$6:$A$85,0)),"?"))</f>
        <v/>
      </c>
      <c r="M838" s="46" t="str">
        <f aca="false">IF(I838="","",IF(OR(A838&lt;I_Parameter!$C$5,A838&gt;I_Parameter!$C$6),0,IF(B838="Aktual",1,IF(AND(B838="Rencana",A838&gt;=I_Parameter!$C$4),1,0))))</f>
        <v/>
      </c>
    </row>
    <row r="839" customFormat="false" ht="15" hidden="false" customHeight="false" outlineLevel="0" collapsed="false">
      <c r="A839" s="37"/>
      <c r="B839" s="44"/>
      <c r="C839" s="44"/>
      <c r="D839" s="44"/>
      <c r="E839" s="44"/>
      <c r="F839" s="44"/>
      <c r="G839" s="44"/>
      <c r="H839" s="34" t="str">
        <f aca="false">IF(G839&lt;&gt;"",G839,IF(F839="","",IFERROR(INDEX(I_Item!$C$6:$C$255,MATCH(F839,I_Item!$A$6:$A$255,0)),"KODE BARU")))</f>
        <v/>
      </c>
      <c r="I839" s="45"/>
      <c r="J839" s="42"/>
      <c r="K839" s="11" t="str">
        <f aca="false">IF(I839="","",I839*J839)</f>
        <v/>
      </c>
      <c r="L839" s="34" t="str">
        <f aca="false">IF(H839="","",IFERROR(INDEX(I_Master!$B$6:$B$85,MATCH(H839,I_Master!$A$6:$A$85,0)),"?"))</f>
        <v/>
      </c>
      <c r="M839" s="46" t="str">
        <f aca="false">IF(I839="","",IF(OR(A839&lt;I_Parameter!$C$5,A839&gt;I_Parameter!$C$6),0,IF(B839="Aktual",1,IF(AND(B839="Rencana",A839&gt;=I_Parameter!$C$4),1,0))))</f>
        <v/>
      </c>
    </row>
    <row r="840" customFormat="false" ht="15" hidden="false" customHeight="false" outlineLevel="0" collapsed="false">
      <c r="A840" s="37"/>
      <c r="B840" s="44"/>
      <c r="C840" s="44"/>
      <c r="D840" s="44"/>
      <c r="E840" s="44"/>
      <c r="F840" s="44"/>
      <c r="G840" s="44"/>
      <c r="H840" s="34" t="str">
        <f aca="false">IF(G840&lt;&gt;"",G840,IF(F840="","",IFERROR(INDEX(I_Item!$C$6:$C$255,MATCH(F840,I_Item!$A$6:$A$255,0)),"KODE BARU")))</f>
        <v/>
      </c>
      <c r="I840" s="45"/>
      <c r="J840" s="42"/>
      <c r="K840" s="11" t="str">
        <f aca="false">IF(I840="","",I840*J840)</f>
        <v/>
      </c>
      <c r="L840" s="34" t="str">
        <f aca="false">IF(H840="","",IFERROR(INDEX(I_Master!$B$6:$B$85,MATCH(H840,I_Master!$A$6:$A$85,0)),"?"))</f>
        <v/>
      </c>
      <c r="M840" s="46" t="str">
        <f aca="false">IF(I840="","",IF(OR(A840&lt;I_Parameter!$C$5,A840&gt;I_Parameter!$C$6),0,IF(B840="Aktual",1,IF(AND(B840="Rencana",A840&gt;=I_Parameter!$C$4),1,0))))</f>
        <v/>
      </c>
    </row>
    <row r="841" customFormat="false" ht="15" hidden="false" customHeight="false" outlineLevel="0" collapsed="false">
      <c r="A841" s="37"/>
      <c r="B841" s="44"/>
      <c r="C841" s="44"/>
      <c r="D841" s="44"/>
      <c r="E841" s="44"/>
      <c r="F841" s="44"/>
      <c r="G841" s="44"/>
      <c r="H841" s="34" t="str">
        <f aca="false">IF(G841&lt;&gt;"",G841,IF(F841="","",IFERROR(INDEX(I_Item!$C$6:$C$255,MATCH(F841,I_Item!$A$6:$A$255,0)),"KODE BARU")))</f>
        <v/>
      </c>
      <c r="I841" s="45"/>
      <c r="J841" s="42"/>
      <c r="K841" s="11" t="str">
        <f aca="false">IF(I841="","",I841*J841)</f>
        <v/>
      </c>
      <c r="L841" s="34" t="str">
        <f aca="false">IF(H841="","",IFERROR(INDEX(I_Master!$B$6:$B$85,MATCH(H841,I_Master!$A$6:$A$85,0)),"?"))</f>
        <v/>
      </c>
      <c r="M841" s="46" t="str">
        <f aca="false">IF(I841="","",IF(OR(A841&lt;I_Parameter!$C$5,A841&gt;I_Parameter!$C$6),0,IF(B841="Aktual",1,IF(AND(B841="Rencana",A841&gt;=I_Parameter!$C$4),1,0))))</f>
        <v/>
      </c>
    </row>
    <row r="842" customFormat="false" ht="15" hidden="false" customHeight="false" outlineLevel="0" collapsed="false">
      <c r="A842" s="37"/>
      <c r="B842" s="44"/>
      <c r="C842" s="44"/>
      <c r="D842" s="44"/>
      <c r="E842" s="44"/>
      <c r="F842" s="44"/>
      <c r="G842" s="44"/>
      <c r="H842" s="34" t="str">
        <f aca="false">IF(G842&lt;&gt;"",G842,IF(F842="","",IFERROR(INDEX(I_Item!$C$6:$C$255,MATCH(F842,I_Item!$A$6:$A$255,0)),"KODE BARU")))</f>
        <v/>
      </c>
      <c r="I842" s="45"/>
      <c r="J842" s="42"/>
      <c r="K842" s="11" t="str">
        <f aca="false">IF(I842="","",I842*J842)</f>
        <v/>
      </c>
      <c r="L842" s="34" t="str">
        <f aca="false">IF(H842="","",IFERROR(INDEX(I_Master!$B$6:$B$85,MATCH(H842,I_Master!$A$6:$A$85,0)),"?"))</f>
        <v/>
      </c>
      <c r="M842" s="46" t="str">
        <f aca="false">IF(I842="","",IF(OR(A842&lt;I_Parameter!$C$5,A842&gt;I_Parameter!$C$6),0,IF(B842="Aktual",1,IF(AND(B842="Rencana",A842&gt;=I_Parameter!$C$4),1,0))))</f>
        <v/>
      </c>
    </row>
    <row r="843" customFormat="false" ht="15" hidden="false" customHeight="false" outlineLevel="0" collapsed="false">
      <c r="A843" s="37"/>
      <c r="B843" s="44"/>
      <c r="C843" s="44"/>
      <c r="D843" s="44"/>
      <c r="E843" s="44"/>
      <c r="F843" s="44"/>
      <c r="G843" s="44"/>
      <c r="H843" s="34" t="str">
        <f aca="false">IF(G843&lt;&gt;"",G843,IF(F843="","",IFERROR(INDEX(I_Item!$C$6:$C$255,MATCH(F843,I_Item!$A$6:$A$255,0)),"KODE BARU")))</f>
        <v/>
      </c>
      <c r="I843" s="45"/>
      <c r="J843" s="42"/>
      <c r="K843" s="11" t="str">
        <f aca="false">IF(I843="","",I843*J843)</f>
        <v/>
      </c>
      <c r="L843" s="34" t="str">
        <f aca="false">IF(H843="","",IFERROR(INDEX(I_Master!$B$6:$B$85,MATCH(H843,I_Master!$A$6:$A$85,0)),"?"))</f>
        <v/>
      </c>
      <c r="M843" s="46" t="str">
        <f aca="false">IF(I843="","",IF(OR(A843&lt;I_Parameter!$C$5,A843&gt;I_Parameter!$C$6),0,IF(B843="Aktual",1,IF(AND(B843="Rencana",A843&gt;=I_Parameter!$C$4),1,0))))</f>
        <v/>
      </c>
    </row>
    <row r="844" customFormat="false" ht="15" hidden="false" customHeight="false" outlineLevel="0" collapsed="false">
      <c r="A844" s="37"/>
      <c r="B844" s="44"/>
      <c r="C844" s="44"/>
      <c r="D844" s="44"/>
      <c r="E844" s="44"/>
      <c r="F844" s="44"/>
      <c r="G844" s="44"/>
      <c r="H844" s="34" t="str">
        <f aca="false">IF(G844&lt;&gt;"",G844,IF(F844="","",IFERROR(INDEX(I_Item!$C$6:$C$255,MATCH(F844,I_Item!$A$6:$A$255,0)),"KODE BARU")))</f>
        <v/>
      </c>
      <c r="I844" s="45"/>
      <c r="J844" s="42"/>
      <c r="K844" s="11" t="str">
        <f aca="false">IF(I844="","",I844*J844)</f>
        <v/>
      </c>
      <c r="L844" s="34" t="str">
        <f aca="false">IF(H844="","",IFERROR(INDEX(I_Master!$B$6:$B$85,MATCH(H844,I_Master!$A$6:$A$85,0)),"?"))</f>
        <v/>
      </c>
      <c r="M844" s="46" t="str">
        <f aca="false">IF(I844="","",IF(OR(A844&lt;I_Parameter!$C$5,A844&gt;I_Parameter!$C$6),0,IF(B844="Aktual",1,IF(AND(B844="Rencana",A844&gt;=I_Parameter!$C$4),1,0))))</f>
        <v/>
      </c>
    </row>
    <row r="845" customFormat="false" ht="15" hidden="false" customHeight="false" outlineLevel="0" collapsed="false">
      <c r="A845" s="37"/>
      <c r="B845" s="44"/>
      <c r="C845" s="44"/>
      <c r="D845" s="44"/>
      <c r="E845" s="44"/>
      <c r="F845" s="44"/>
      <c r="G845" s="44"/>
      <c r="H845" s="34" t="str">
        <f aca="false">IF(G845&lt;&gt;"",G845,IF(F845="","",IFERROR(INDEX(I_Item!$C$6:$C$255,MATCH(F845,I_Item!$A$6:$A$255,0)),"KODE BARU")))</f>
        <v/>
      </c>
      <c r="I845" s="45"/>
      <c r="J845" s="42"/>
      <c r="K845" s="11" t="str">
        <f aca="false">IF(I845="","",I845*J845)</f>
        <v/>
      </c>
      <c r="L845" s="34" t="str">
        <f aca="false">IF(H845="","",IFERROR(INDEX(I_Master!$B$6:$B$85,MATCH(H845,I_Master!$A$6:$A$85,0)),"?"))</f>
        <v/>
      </c>
      <c r="M845" s="46" t="str">
        <f aca="false">IF(I845="","",IF(OR(A845&lt;I_Parameter!$C$5,A845&gt;I_Parameter!$C$6),0,IF(B845="Aktual",1,IF(AND(B845="Rencana",A845&gt;=I_Parameter!$C$4),1,0))))</f>
        <v/>
      </c>
    </row>
    <row r="846" customFormat="false" ht="15" hidden="false" customHeight="false" outlineLevel="0" collapsed="false">
      <c r="A846" s="37"/>
      <c r="B846" s="44"/>
      <c r="C846" s="44"/>
      <c r="D846" s="44"/>
      <c r="E846" s="44"/>
      <c r="F846" s="44"/>
      <c r="G846" s="44"/>
      <c r="H846" s="34" t="str">
        <f aca="false">IF(G846&lt;&gt;"",G846,IF(F846="","",IFERROR(INDEX(I_Item!$C$6:$C$255,MATCH(F846,I_Item!$A$6:$A$255,0)),"KODE BARU")))</f>
        <v/>
      </c>
      <c r="I846" s="45"/>
      <c r="J846" s="42"/>
      <c r="K846" s="11" t="str">
        <f aca="false">IF(I846="","",I846*J846)</f>
        <v/>
      </c>
      <c r="L846" s="34" t="str">
        <f aca="false">IF(H846="","",IFERROR(INDEX(I_Master!$B$6:$B$85,MATCH(H846,I_Master!$A$6:$A$85,0)),"?"))</f>
        <v/>
      </c>
      <c r="M846" s="46" t="str">
        <f aca="false">IF(I846="","",IF(OR(A846&lt;I_Parameter!$C$5,A846&gt;I_Parameter!$C$6),0,IF(B846="Aktual",1,IF(AND(B846="Rencana",A846&gt;=I_Parameter!$C$4),1,0))))</f>
        <v/>
      </c>
    </row>
    <row r="847" customFormat="false" ht="15" hidden="false" customHeight="false" outlineLevel="0" collapsed="false">
      <c r="A847" s="37"/>
      <c r="B847" s="44"/>
      <c r="C847" s="44"/>
      <c r="D847" s="44"/>
      <c r="E847" s="44"/>
      <c r="F847" s="44"/>
      <c r="G847" s="44"/>
      <c r="H847" s="34" t="str">
        <f aca="false">IF(G847&lt;&gt;"",G847,IF(F847="","",IFERROR(INDEX(I_Item!$C$6:$C$255,MATCH(F847,I_Item!$A$6:$A$255,0)),"KODE BARU")))</f>
        <v/>
      </c>
      <c r="I847" s="45"/>
      <c r="J847" s="42"/>
      <c r="K847" s="11" t="str">
        <f aca="false">IF(I847="","",I847*J847)</f>
        <v/>
      </c>
      <c r="L847" s="34" t="str">
        <f aca="false">IF(H847="","",IFERROR(INDEX(I_Master!$B$6:$B$85,MATCH(H847,I_Master!$A$6:$A$85,0)),"?"))</f>
        <v/>
      </c>
      <c r="M847" s="46" t="str">
        <f aca="false">IF(I847="","",IF(OR(A847&lt;I_Parameter!$C$5,A847&gt;I_Parameter!$C$6),0,IF(B847="Aktual",1,IF(AND(B847="Rencana",A847&gt;=I_Parameter!$C$4),1,0))))</f>
        <v/>
      </c>
    </row>
    <row r="848" customFormat="false" ht="15" hidden="false" customHeight="false" outlineLevel="0" collapsed="false">
      <c r="A848" s="37"/>
      <c r="B848" s="44"/>
      <c r="C848" s="44"/>
      <c r="D848" s="44"/>
      <c r="E848" s="44"/>
      <c r="F848" s="44"/>
      <c r="G848" s="44"/>
      <c r="H848" s="34" t="str">
        <f aca="false">IF(G848&lt;&gt;"",G848,IF(F848="","",IFERROR(INDEX(I_Item!$C$6:$C$255,MATCH(F848,I_Item!$A$6:$A$255,0)),"KODE BARU")))</f>
        <v/>
      </c>
      <c r="I848" s="45"/>
      <c r="J848" s="42"/>
      <c r="K848" s="11" t="str">
        <f aca="false">IF(I848="","",I848*J848)</f>
        <v/>
      </c>
      <c r="L848" s="34" t="str">
        <f aca="false">IF(H848="","",IFERROR(INDEX(I_Master!$B$6:$B$85,MATCH(H848,I_Master!$A$6:$A$85,0)),"?"))</f>
        <v/>
      </c>
      <c r="M848" s="46" t="str">
        <f aca="false">IF(I848="","",IF(OR(A848&lt;I_Parameter!$C$5,A848&gt;I_Parameter!$C$6),0,IF(B848="Aktual",1,IF(AND(B848="Rencana",A848&gt;=I_Parameter!$C$4),1,0))))</f>
        <v/>
      </c>
    </row>
    <row r="849" customFormat="false" ht="15" hidden="false" customHeight="false" outlineLevel="0" collapsed="false">
      <c r="A849" s="37"/>
      <c r="B849" s="44"/>
      <c r="C849" s="44"/>
      <c r="D849" s="44"/>
      <c r="E849" s="44"/>
      <c r="F849" s="44"/>
      <c r="G849" s="44"/>
      <c r="H849" s="34" t="str">
        <f aca="false">IF(G849&lt;&gt;"",G849,IF(F849="","",IFERROR(INDEX(I_Item!$C$6:$C$255,MATCH(F849,I_Item!$A$6:$A$255,0)),"KODE BARU")))</f>
        <v/>
      </c>
      <c r="I849" s="45"/>
      <c r="J849" s="42"/>
      <c r="K849" s="11" t="str">
        <f aca="false">IF(I849="","",I849*J849)</f>
        <v/>
      </c>
      <c r="L849" s="34" t="str">
        <f aca="false">IF(H849="","",IFERROR(INDEX(I_Master!$B$6:$B$85,MATCH(H849,I_Master!$A$6:$A$85,0)),"?"))</f>
        <v/>
      </c>
      <c r="M849" s="46" t="str">
        <f aca="false">IF(I849="","",IF(OR(A849&lt;I_Parameter!$C$5,A849&gt;I_Parameter!$C$6),0,IF(B849="Aktual",1,IF(AND(B849="Rencana",A849&gt;=I_Parameter!$C$4),1,0))))</f>
        <v/>
      </c>
    </row>
    <row r="850" customFormat="false" ht="15" hidden="false" customHeight="false" outlineLevel="0" collapsed="false">
      <c r="A850" s="37"/>
      <c r="B850" s="44"/>
      <c r="C850" s="44"/>
      <c r="D850" s="44"/>
      <c r="E850" s="44"/>
      <c r="F850" s="44"/>
      <c r="G850" s="44"/>
      <c r="H850" s="34" t="str">
        <f aca="false">IF(G850&lt;&gt;"",G850,IF(F850="","",IFERROR(INDEX(I_Item!$C$6:$C$255,MATCH(F850,I_Item!$A$6:$A$255,0)),"KODE BARU")))</f>
        <v/>
      </c>
      <c r="I850" s="45"/>
      <c r="J850" s="42"/>
      <c r="K850" s="11" t="str">
        <f aca="false">IF(I850="","",I850*J850)</f>
        <v/>
      </c>
      <c r="L850" s="34" t="str">
        <f aca="false">IF(H850="","",IFERROR(INDEX(I_Master!$B$6:$B$85,MATCH(H850,I_Master!$A$6:$A$85,0)),"?"))</f>
        <v/>
      </c>
      <c r="M850" s="46" t="str">
        <f aca="false">IF(I850="","",IF(OR(A850&lt;I_Parameter!$C$5,A850&gt;I_Parameter!$C$6),0,IF(B850="Aktual",1,IF(AND(B850="Rencana",A850&gt;=I_Parameter!$C$4),1,0))))</f>
        <v/>
      </c>
    </row>
    <row r="851" customFormat="false" ht="15" hidden="false" customHeight="false" outlineLevel="0" collapsed="false">
      <c r="A851" s="37"/>
      <c r="B851" s="44"/>
      <c r="C851" s="44"/>
      <c r="D851" s="44"/>
      <c r="E851" s="44"/>
      <c r="F851" s="44"/>
      <c r="G851" s="44"/>
      <c r="H851" s="34" t="str">
        <f aca="false">IF(G851&lt;&gt;"",G851,IF(F851="","",IFERROR(INDEX(I_Item!$C$6:$C$255,MATCH(F851,I_Item!$A$6:$A$255,0)),"KODE BARU")))</f>
        <v/>
      </c>
      <c r="I851" s="45"/>
      <c r="J851" s="42"/>
      <c r="K851" s="11" t="str">
        <f aca="false">IF(I851="","",I851*J851)</f>
        <v/>
      </c>
      <c r="L851" s="34" t="str">
        <f aca="false">IF(H851="","",IFERROR(INDEX(I_Master!$B$6:$B$85,MATCH(H851,I_Master!$A$6:$A$85,0)),"?"))</f>
        <v/>
      </c>
      <c r="M851" s="46" t="str">
        <f aca="false">IF(I851="","",IF(OR(A851&lt;I_Parameter!$C$5,A851&gt;I_Parameter!$C$6),0,IF(B851="Aktual",1,IF(AND(B851="Rencana",A851&gt;=I_Parameter!$C$4),1,0))))</f>
        <v/>
      </c>
    </row>
    <row r="852" customFormat="false" ht="15" hidden="false" customHeight="false" outlineLevel="0" collapsed="false">
      <c r="A852" s="37"/>
      <c r="B852" s="44"/>
      <c r="C852" s="44"/>
      <c r="D852" s="44"/>
      <c r="E852" s="44"/>
      <c r="F852" s="44"/>
      <c r="G852" s="44"/>
      <c r="H852" s="34" t="str">
        <f aca="false">IF(G852&lt;&gt;"",G852,IF(F852="","",IFERROR(INDEX(I_Item!$C$6:$C$255,MATCH(F852,I_Item!$A$6:$A$255,0)),"KODE BARU")))</f>
        <v/>
      </c>
      <c r="I852" s="45"/>
      <c r="J852" s="42"/>
      <c r="K852" s="11" t="str">
        <f aca="false">IF(I852="","",I852*J852)</f>
        <v/>
      </c>
      <c r="L852" s="34" t="str">
        <f aca="false">IF(H852="","",IFERROR(INDEX(I_Master!$B$6:$B$85,MATCH(H852,I_Master!$A$6:$A$85,0)),"?"))</f>
        <v/>
      </c>
      <c r="M852" s="46" t="str">
        <f aca="false">IF(I852="","",IF(OR(A852&lt;I_Parameter!$C$5,A852&gt;I_Parameter!$C$6),0,IF(B852="Aktual",1,IF(AND(B852="Rencana",A852&gt;=I_Parameter!$C$4),1,0))))</f>
        <v/>
      </c>
    </row>
    <row r="853" customFormat="false" ht="15" hidden="false" customHeight="false" outlineLevel="0" collapsed="false">
      <c r="A853" s="37"/>
      <c r="B853" s="44"/>
      <c r="C853" s="44"/>
      <c r="D853" s="44"/>
      <c r="E853" s="44"/>
      <c r="F853" s="44"/>
      <c r="G853" s="44"/>
      <c r="H853" s="34" t="str">
        <f aca="false">IF(G853&lt;&gt;"",G853,IF(F853="","",IFERROR(INDEX(I_Item!$C$6:$C$255,MATCH(F853,I_Item!$A$6:$A$255,0)),"KODE BARU")))</f>
        <v/>
      </c>
      <c r="I853" s="45"/>
      <c r="J853" s="42"/>
      <c r="K853" s="11" t="str">
        <f aca="false">IF(I853="","",I853*J853)</f>
        <v/>
      </c>
      <c r="L853" s="34" t="str">
        <f aca="false">IF(H853="","",IFERROR(INDEX(I_Master!$B$6:$B$85,MATCH(H853,I_Master!$A$6:$A$85,0)),"?"))</f>
        <v/>
      </c>
      <c r="M853" s="46" t="str">
        <f aca="false">IF(I853="","",IF(OR(A853&lt;I_Parameter!$C$5,A853&gt;I_Parameter!$C$6),0,IF(B853="Aktual",1,IF(AND(B853="Rencana",A853&gt;=I_Parameter!$C$4),1,0))))</f>
        <v/>
      </c>
    </row>
    <row r="854" customFormat="false" ht="15" hidden="false" customHeight="false" outlineLevel="0" collapsed="false">
      <c r="A854" s="37"/>
      <c r="B854" s="44"/>
      <c r="C854" s="44"/>
      <c r="D854" s="44"/>
      <c r="E854" s="44"/>
      <c r="F854" s="44"/>
      <c r="G854" s="44"/>
      <c r="H854" s="34" t="str">
        <f aca="false">IF(G854&lt;&gt;"",G854,IF(F854="","",IFERROR(INDEX(I_Item!$C$6:$C$255,MATCH(F854,I_Item!$A$6:$A$255,0)),"KODE BARU")))</f>
        <v/>
      </c>
      <c r="I854" s="45"/>
      <c r="J854" s="42"/>
      <c r="K854" s="11" t="str">
        <f aca="false">IF(I854="","",I854*J854)</f>
        <v/>
      </c>
      <c r="L854" s="34" t="str">
        <f aca="false">IF(H854="","",IFERROR(INDEX(I_Master!$B$6:$B$85,MATCH(H854,I_Master!$A$6:$A$85,0)),"?"))</f>
        <v/>
      </c>
      <c r="M854" s="46" t="str">
        <f aca="false">IF(I854="","",IF(OR(A854&lt;I_Parameter!$C$5,A854&gt;I_Parameter!$C$6),0,IF(B854="Aktual",1,IF(AND(B854="Rencana",A854&gt;=I_Parameter!$C$4),1,0))))</f>
        <v/>
      </c>
    </row>
    <row r="855" customFormat="false" ht="15" hidden="false" customHeight="false" outlineLevel="0" collapsed="false">
      <c r="A855" s="37"/>
      <c r="B855" s="44"/>
      <c r="C855" s="44"/>
      <c r="D855" s="44"/>
      <c r="E855" s="44"/>
      <c r="F855" s="44"/>
      <c r="G855" s="44"/>
      <c r="H855" s="34" t="str">
        <f aca="false">IF(G855&lt;&gt;"",G855,IF(F855="","",IFERROR(INDEX(I_Item!$C$6:$C$255,MATCH(F855,I_Item!$A$6:$A$255,0)),"KODE BARU")))</f>
        <v/>
      </c>
      <c r="I855" s="45"/>
      <c r="J855" s="42"/>
      <c r="K855" s="11" t="str">
        <f aca="false">IF(I855="","",I855*J855)</f>
        <v/>
      </c>
      <c r="L855" s="34" t="str">
        <f aca="false">IF(H855="","",IFERROR(INDEX(I_Master!$B$6:$B$85,MATCH(H855,I_Master!$A$6:$A$85,0)),"?"))</f>
        <v/>
      </c>
      <c r="M855" s="46" t="str">
        <f aca="false">IF(I855="","",IF(OR(A855&lt;I_Parameter!$C$5,A855&gt;I_Parameter!$C$6),0,IF(B855="Aktual",1,IF(AND(B855="Rencana",A855&gt;=I_Parameter!$C$4),1,0))))</f>
        <v/>
      </c>
    </row>
    <row r="856" customFormat="false" ht="15" hidden="false" customHeight="false" outlineLevel="0" collapsed="false">
      <c r="A856" s="37"/>
      <c r="B856" s="44"/>
      <c r="C856" s="44"/>
      <c r="D856" s="44"/>
      <c r="E856" s="44"/>
      <c r="F856" s="44"/>
      <c r="G856" s="44"/>
      <c r="H856" s="34" t="str">
        <f aca="false">IF(G856&lt;&gt;"",G856,IF(F856="","",IFERROR(INDEX(I_Item!$C$6:$C$255,MATCH(F856,I_Item!$A$6:$A$255,0)),"KODE BARU")))</f>
        <v/>
      </c>
      <c r="I856" s="45"/>
      <c r="J856" s="42"/>
      <c r="K856" s="11" t="str">
        <f aca="false">IF(I856="","",I856*J856)</f>
        <v/>
      </c>
      <c r="L856" s="34" t="str">
        <f aca="false">IF(H856="","",IFERROR(INDEX(I_Master!$B$6:$B$85,MATCH(H856,I_Master!$A$6:$A$85,0)),"?"))</f>
        <v/>
      </c>
      <c r="M856" s="46" t="str">
        <f aca="false">IF(I856="","",IF(OR(A856&lt;I_Parameter!$C$5,A856&gt;I_Parameter!$C$6),0,IF(B856="Aktual",1,IF(AND(B856="Rencana",A856&gt;=I_Parameter!$C$4),1,0))))</f>
        <v/>
      </c>
    </row>
    <row r="857" customFormat="false" ht="15" hidden="false" customHeight="false" outlineLevel="0" collapsed="false">
      <c r="A857" s="37"/>
      <c r="B857" s="44"/>
      <c r="C857" s="44"/>
      <c r="D857" s="44"/>
      <c r="E857" s="44"/>
      <c r="F857" s="44"/>
      <c r="G857" s="44"/>
      <c r="H857" s="34" t="str">
        <f aca="false">IF(G857&lt;&gt;"",G857,IF(F857="","",IFERROR(INDEX(I_Item!$C$6:$C$255,MATCH(F857,I_Item!$A$6:$A$255,0)),"KODE BARU")))</f>
        <v/>
      </c>
      <c r="I857" s="45"/>
      <c r="J857" s="42"/>
      <c r="K857" s="11" t="str">
        <f aca="false">IF(I857="","",I857*J857)</f>
        <v/>
      </c>
      <c r="L857" s="34" t="str">
        <f aca="false">IF(H857="","",IFERROR(INDEX(I_Master!$B$6:$B$85,MATCH(H857,I_Master!$A$6:$A$85,0)),"?"))</f>
        <v/>
      </c>
      <c r="M857" s="46" t="str">
        <f aca="false">IF(I857="","",IF(OR(A857&lt;I_Parameter!$C$5,A857&gt;I_Parameter!$C$6),0,IF(B857="Aktual",1,IF(AND(B857="Rencana",A857&gt;=I_Parameter!$C$4),1,0))))</f>
        <v/>
      </c>
    </row>
    <row r="858" customFormat="false" ht="15" hidden="false" customHeight="false" outlineLevel="0" collapsed="false">
      <c r="A858" s="37"/>
      <c r="B858" s="44"/>
      <c r="C858" s="44"/>
      <c r="D858" s="44"/>
      <c r="E858" s="44"/>
      <c r="F858" s="44"/>
      <c r="G858" s="44"/>
      <c r="H858" s="34" t="str">
        <f aca="false">IF(G858&lt;&gt;"",G858,IF(F858="","",IFERROR(INDEX(I_Item!$C$6:$C$255,MATCH(F858,I_Item!$A$6:$A$255,0)),"KODE BARU")))</f>
        <v/>
      </c>
      <c r="I858" s="45"/>
      <c r="J858" s="42"/>
      <c r="K858" s="11" t="str">
        <f aca="false">IF(I858="","",I858*J858)</f>
        <v/>
      </c>
      <c r="L858" s="34" t="str">
        <f aca="false">IF(H858="","",IFERROR(INDEX(I_Master!$B$6:$B$85,MATCH(H858,I_Master!$A$6:$A$85,0)),"?"))</f>
        <v/>
      </c>
      <c r="M858" s="46" t="str">
        <f aca="false">IF(I858="","",IF(OR(A858&lt;I_Parameter!$C$5,A858&gt;I_Parameter!$C$6),0,IF(B858="Aktual",1,IF(AND(B858="Rencana",A858&gt;=I_Parameter!$C$4),1,0))))</f>
        <v/>
      </c>
    </row>
    <row r="859" customFormat="false" ht="15" hidden="false" customHeight="false" outlineLevel="0" collapsed="false">
      <c r="A859" s="37"/>
      <c r="B859" s="44"/>
      <c r="C859" s="44"/>
      <c r="D859" s="44"/>
      <c r="E859" s="44"/>
      <c r="F859" s="44"/>
      <c r="G859" s="44"/>
      <c r="H859" s="34" t="str">
        <f aca="false">IF(G859&lt;&gt;"",G859,IF(F859="","",IFERROR(INDEX(I_Item!$C$6:$C$255,MATCH(F859,I_Item!$A$6:$A$255,0)),"KODE BARU")))</f>
        <v/>
      </c>
      <c r="I859" s="45"/>
      <c r="J859" s="42"/>
      <c r="K859" s="11" t="str">
        <f aca="false">IF(I859="","",I859*J859)</f>
        <v/>
      </c>
      <c r="L859" s="34" t="str">
        <f aca="false">IF(H859="","",IFERROR(INDEX(I_Master!$B$6:$B$85,MATCH(H859,I_Master!$A$6:$A$85,0)),"?"))</f>
        <v/>
      </c>
      <c r="M859" s="46" t="str">
        <f aca="false">IF(I859="","",IF(OR(A859&lt;I_Parameter!$C$5,A859&gt;I_Parameter!$C$6),0,IF(B859="Aktual",1,IF(AND(B859="Rencana",A859&gt;=I_Parameter!$C$4),1,0))))</f>
        <v/>
      </c>
    </row>
    <row r="860" customFormat="false" ht="15" hidden="false" customHeight="false" outlineLevel="0" collapsed="false">
      <c r="A860" s="37"/>
      <c r="B860" s="44"/>
      <c r="C860" s="44"/>
      <c r="D860" s="44"/>
      <c r="E860" s="44"/>
      <c r="F860" s="44"/>
      <c r="G860" s="44"/>
      <c r="H860" s="34" t="str">
        <f aca="false">IF(G860&lt;&gt;"",G860,IF(F860="","",IFERROR(INDEX(I_Item!$C$6:$C$255,MATCH(F860,I_Item!$A$6:$A$255,0)),"KODE BARU")))</f>
        <v/>
      </c>
      <c r="I860" s="45"/>
      <c r="J860" s="42"/>
      <c r="K860" s="11" t="str">
        <f aca="false">IF(I860="","",I860*J860)</f>
        <v/>
      </c>
      <c r="L860" s="34" t="str">
        <f aca="false">IF(H860="","",IFERROR(INDEX(I_Master!$B$6:$B$85,MATCH(H860,I_Master!$A$6:$A$85,0)),"?"))</f>
        <v/>
      </c>
      <c r="M860" s="46" t="str">
        <f aca="false">IF(I860="","",IF(OR(A860&lt;I_Parameter!$C$5,A860&gt;I_Parameter!$C$6),0,IF(B860="Aktual",1,IF(AND(B860="Rencana",A860&gt;=I_Parameter!$C$4),1,0))))</f>
        <v/>
      </c>
    </row>
    <row r="861" customFormat="false" ht="15" hidden="false" customHeight="false" outlineLevel="0" collapsed="false">
      <c r="A861" s="37"/>
      <c r="B861" s="44"/>
      <c r="C861" s="44"/>
      <c r="D861" s="44"/>
      <c r="E861" s="44"/>
      <c r="F861" s="44"/>
      <c r="G861" s="44"/>
      <c r="H861" s="34" t="str">
        <f aca="false">IF(G861&lt;&gt;"",G861,IF(F861="","",IFERROR(INDEX(I_Item!$C$6:$C$255,MATCH(F861,I_Item!$A$6:$A$255,0)),"KODE BARU")))</f>
        <v/>
      </c>
      <c r="I861" s="45"/>
      <c r="J861" s="42"/>
      <c r="K861" s="11" t="str">
        <f aca="false">IF(I861="","",I861*J861)</f>
        <v/>
      </c>
      <c r="L861" s="34" t="str">
        <f aca="false">IF(H861="","",IFERROR(INDEX(I_Master!$B$6:$B$85,MATCH(H861,I_Master!$A$6:$A$85,0)),"?"))</f>
        <v/>
      </c>
      <c r="M861" s="46" t="str">
        <f aca="false">IF(I861="","",IF(OR(A861&lt;I_Parameter!$C$5,A861&gt;I_Parameter!$C$6),0,IF(B861="Aktual",1,IF(AND(B861="Rencana",A861&gt;=I_Parameter!$C$4),1,0))))</f>
        <v/>
      </c>
    </row>
    <row r="862" customFormat="false" ht="15" hidden="false" customHeight="false" outlineLevel="0" collapsed="false">
      <c r="A862" s="37"/>
      <c r="B862" s="44"/>
      <c r="C862" s="44"/>
      <c r="D862" s="44"/>
      <c r="E862" s="44"/>
      <c r="F862" s="44"/>
      <c r="G862" s="44"/>
      <c r="H862" s="34" t="str">
        <f aca="false">IF(G862&lt;&gt;"",G862,IF(F862="","",IFERROR(INDEX(I_Item!$C$6:$C$255,MATCH(F862,I_Item!$A$6:$A$255,0)),"KODE BARU")))</f>
        <v/>
      </c>
      <c r="I862" s="45"/>
      <c r="J862" s="42"/>
      <c r="K862" s="11" t="str">
        <f aca="false">IF(I862="","",I862*J862)</f>
        <v/>
      </c>
      <c r="L862" s="34" t="str">
        <f aca="false">IF(H862="","",IFERROR(INDEX(I_Master!$B$6:$B$85,MATCH(H862,I_Master!$A$6:$A$85,0)),"?"))</f>
        <v/>
      </c>
      <c r="M862" s="46" t="str">
        <f aca="false">IF(I862="","",IF(OR(A862&lt;I_Parameter!$C$5,A862&gt;I_Parameter!$C$6),0,IF(B862="Aktual",1,IF(AND(B862="Rencana",A862&gt;=I_Parameter!$C$4),1,0))))</f>
        <v/>
      </c>
    </row>
    <row r="863" customFormat="false" ht="15" hidden="false" customHeight="false" outlineLevel="0" collapsed="false">
      <c r="A863" s="37"/>
      <c r="B863" s="44"/>
      <c r="C863" s="44"/>
      <c r="D863" s="44"/>
      <c r="E863" s="44"/>
      <c r="F863" s="44"/>
      <c r="G863" s="44"/>
      <c r="H863" s="34" t="str">
        <f aca="false">IF(G863&lt;&gt;"",G863,IF(F863="","",IFERROR(INDEX(I_Item!$C$6:$C$255,MATCH(F863,I_Item!$A$6:$A$255,0)),"KODE BARU")))</f>
        <v/>
      </c>
      <c r="I863" s="45"/>
      <c r="J863" s="42"/>
      <c r="K863" s="11" t="str">
        <f aca="false">IF(I863="","",I863*J863)</f>
        <v/>
      </c>
      <c r="L863" s="34" t="str">
        <f aca="false">IF(H863="","",IFERROR(INDEX(I_Master!$B$6:$B$85,MATCH(H863,I_Master!$A$6:$A$85,0)),"?"))</f>
        <v/>
      </c>
      <c r="M863" s="46" t="str">
        <f aca="false">IF(I863="","",IF(OR(A863&lt;I_Parameter!$C$5,A863&gt;I_Parameter!$C$6),0,IF(B863="Aktual",1,IF(AND(B863="Rencana",A863&gt;=I_Parameter!$C$4),1,0))))</f>
        <v/>
      </c>
    </row>
    <row r="864" customFormat="false" ht="15" hidden="false" customHeight="false" outlineLevel="0" collapsed="false">
      <c r="A864" s="37"/>
      <c r="B864" s="44"/>
      <c r="C864" s="44"/>
      <c r="D864" s="44"/>
      <c r="E864" s="44"/>
      <c r="F864" s="44"/>
      <c r="G864" s="44"/>
      <c r="H864" s="34" t="str">
        <f aca="false">IF(G864&lt;&gt;"",G864,IF(F864="","",IFERROR(INDEX(I_Item!$C$6:$C$255,MATCH(F864,I_Item!$A$6:$A$255,0)),"KODE BARU")))</f>
        <v/>
      </c>
      <c r="I864" s="45"/>
      <c r="J864" s="42"/>
      <c r="K864" s="11" t="str">
        <f aca="false">IF(I864="","",I864*J864)</f>
        <v/>
      </c>
      <c r="L864" s="34" t="str">
        <f aca="false">IF(H864="","",IFERROR(INDEX(I_Master!$B$6:$B$85,MATCH(H864,I_Master!$A$6:$A$85,0)),"?"))</f>
        <v/>
      </c>
      <c r="M864" s="46" t="str">
        <f aca="false">IF(I864="","",IF(OR(A864&lt;I_Parameter!$C$5,A864&gt;I_Parameter!$C$6),0,IF(B864="Aktual",1,IF(AND(B864="Rencana",A864&gt;=I_Parameter!$C$4),1,0))))</f>
        <v/>
      </c>
    </row>
    <row r="865" customFormat="false" ht="15" hidden="false" customHeight="false" outlineLevel="0" collapsed="false">
      <c r="A865" s="37"/>
      <c r="B865" s="44"/>
      <c r="C865" s="44"/>
      <c r="D865" s="44"/>
      <c r="E865" s="44"/>
      <c r="F865" s="44"/>
      <c r="G865" s="44"/>
      <c r="H865" s="34" t="str">
        <f aca="false">IF(G865&lt;&gt;"",G865,IF(F865="","",IFERROR(INDEX(I_Item!$C$6:$C$255,MATCH(F865,I_Item!$A$6:$A$255,0)),"KODE BARU")))</f>
        <v/>
      </c>
      <c r="I865" s="45"/>
      <c r="J865" s="42"/>
      <c r="K865" s="11" t="str">
        <f aca="false">IF(I865="","",I865*J865)</f>
        <v/>
      </c>
      <c r="L865" s="34" t="str">
        <f aca="false">IF(H865="","",IFERROR(INDEX(I_Master!$B$6:$B$85,MATCH(H865,I_Master!$A$6:$A$85,0)),"?"))</f>
        <v/>
      </c>
      <c r="M865" s="46" t="str">
        <f aca="false">IF(I865="","",IF(OR(A865&lt;I_Parameter!$C$5,A865&gt;I_Parameter!$C$6),0,IF(B865="Aktual",1,IF(AND(B865="Rencana",A865&gt;=I_Parameter!$C$4),1,0))))</f>
        <v/>
      </c>
    </row>
    <row r="866" customFormat="false" ht="15" hidden="false" customHeight="false" outlineLevel="0" collapsed="false">
      <c r="A866" s="37"/>
      <c r="B866" s="44"/>
      <c r="C866" s="44"/>
      <c r="D866" s="44"/>
      <c r="E866" s="44"/>
      <c r="F866" s="44"/>
      <c r="G866" s="44"/>
      <c r="H866" s="34" t="str">
        <f aca="false">IF(G866&lt;&gt;"",G866,IF(F866="","",IFERROR(INDEX(I_Item!$C$6:$C$255,MATCH(F866,I_Item!$A$6:$A$255,0)),"KODE BARU")))</f>
        <v/>
      </c>
      <c r="I866" s="45"/>
      <c r="J866" s="42"/>
      <c r="K866" s="11" t="str">
        <f aca="false">IF(I866="","",I866*J866)</f>
        <v/>
      </c>
      <c r="L866" s="34" t="str">
        <f aca="false">IF(H866="","",IFERROR(INDEX(I_Master!$B$6:$B$85,MATCH(H866,I_Master!$A$6:$A$85,0)),"?"))</f>
        <v/>
      </c>
      <c r="M866" s="46" t="str">
        <f aca="false">IF(I866="","",IF(OR(A866&lt;I_Parameter!$C$5,A866&gt;I_Parameter!$C$6),0,IF(B866="Aktual",1,IF(AND(B866="Rencana",A866&gt;=I_Parameter!$C$4),1,0))))</f>
        <v/>
      </c>
    </row>
    <row r="867" customFormat="false" ht="15" hidden="false" customHeight="false" outlineLevel="0" collapsed="false">
      <c r="A867" s="37"/>
      <c r="B867" s="44"/>
      <c r="C867" s="44"/>
      <c r="D867" s="44"/>
      <c r="E867" s="44"/>
      <c r="F867" s="44"/>
      <c r="G867" s="44"/>
      <c r="H867" s="34" t="str">
        <f aca="false">IF(G867&lt;&gt;"",G867,IF(F867="","",IFERROR(INDEX(I_Item!$C$6:$C$255,MATCH(F867,I_Item!$A$6:$A$255,0)),"KODE BARU")))</f>
        <v/>
      </c>
      <c r="I867" s="45"/>
      <c r="J867" s="42"/>
      <c r="K867" s="11" t="str">
        <f aca="false">IF(I867="","",I867*J867)</f>
        <v/>
      </c>
      <c r="L867" s="34" t="str">
        <f aca="false">IF(H867="","",IFERROR(INDEX(I_Master!$B$6:$B$85,MATCH(H867,I_Master!$A$6:$A$85,0)),"?"))</f>
        <v/>
      </c>
      <c r="M867" s="46" t="str">
        <f aca="false">IF(I867="","",IF(OR(A867&lt;I_Parameter!$C$5,A867&gt;I_Parameter!$C$6),0,IF(B867="Aktual",1,IF(AND(B867="Rencana",A867&gt;=I_Parameter!$C$4),1,0))))</f>
        <v/>
      </c>
    </row>
    <row r="868" customFormat="false" ht="15" hidden="false" customHeight="false" outlineLevel="0" collapsed="false">
      <c r="A868" s="37"/>
      <c r="B868" s="44"/>
      <c r="C868" s="44"/>
      <c r="D868" s="44"/>
      <c r="E868" s="44"/>
      <c r="F868" s="44"/>
      <c r="G868" s="44"/>
      <c r="H868" s="34" t="str">
        <f aca="false">IF(G868&lt;&gt;"",G868,IF(F868="","",IFERROR(INDEX(I_Item!$C$6:$C$255,MATCH(F868,I_Item!$A$6:$A$255,0)),"KODE BARU")))</f>
        <v/>
      </c>
      <c r="I868" s="45"/>
      <c r="J868" s="42"/>
      <c r="K868" s="11" t="str">
        <f aca="false">IF(I868="","",I868*J868)</f>
        <v/>
      </c>
      <c r="L868" s="34" t="str">
        <f aca="false">IF(H868="","",IFERROR(INDEX(I_Master!$B$6:$B$85,MATCH(H868,I_Master!$A$6:$A$85,0)),"?"))</f>
        <v/>
      </c>
      <c r="M868" s="46" t="str">
        <f aca="false">IF(I868="","",IF(OR(A868&lt;I_Parameter!$C$5,A868&gt;I_Parameter!$C$6),0,IF(B868="Aktual",1,IF(AND(B868="Rencana",A868&gt;=I_Parameter!$C$4),1,0))))</f>
        <v/>
      </c>
    </row>
    <row r="869" customFormat="false" ht="15" hidden="false" customHeight="false" outlineLevel="0" collapsed="false">
      <c r="A869" s="37"/>
      <c r="B869" s="44"/>
      <c r="C869" s="44"/>
      <c r="D869" s="44"/>
      <c r="E869" s="44"/>
      <c r="F869" s="44"/>
      <c r="G869" s="44"/>
      <c r="H869" s="34" t="str">
        <f aca="false">IF(G869&lt;&gt;"",G869,IF(F869="","",IFERROR(INDEX(I_Item!$C$6:$C$255,MATCH(F869,I_Item!$A$6:$A$255,0)),"KODE BARU")))</f>
        <v/>
      </c>
      <c r="I869" s="45"/>
      <c r="J869" s="42"/>
      <c r="K869" s="11" t="str">
        <f aca="false">IF(I869="","",I869*J869)</f>
        <v/>
      </c>
      <c r="L869" s="34" t="str">
        <f aca="false">IF(H869="","",IFERROR(INDEX(I_Master!$B$6:$B$85,MATCH(H869,I_Master!$A$6:$A$85,0)),"?"))</f>
        <v/>
      </c>
      <c r="M869" s="46" t="str">
        <f aca="false">IF(I869="","",IF(OR(A869&lt;I_Parameter!$C$5,A869&gt;I_Parameter!$C$6),0,IF(B869="Aktual",1,IF(AND(B869="Rencana",A869&gt;=I_Parameter!$C$4),1,0))))</f>
        <v/>
      </c>
    </row>
    <row r="870" customFormat="false" ht="15" hidden="false" customHeight="false" outlineLevel="0" collapsed="false">
      <c r="A870" s="37"/>
      <c r="B870" s="44"/>
      <c r="C870" s="44"/>
      <c r="D870" s="44"/>
      <c r="E870" s="44"/>
      <c r="F870" s="44"/>
      <c r="G870" s="44"/>
      <c r="H870" s="34" t="str">
        <f aca="false">IF(G870&lt;&gt;"",G870,IF(F870="","",IFERROR(INDEX(I_Item!$C$6:$C$255,MATCH(F870,I_Item!$A$6:$A$255,0)),"KODE BARU")))</f>
        <v/>
      </c>
      <c r="I870" s="45"/>
      <c r="J870" s="42"/>
      <c r="K870" s="11" t="str">
        <f aca="false">IF(I870="","",I870*J870)</f>
        <v/>
      </c>
      <c r="L870" s="34" t="str">
        <f aca="false">IF(H870="","",IFERROR(INDEX(I_Master!$B$6:$B$85,MATCH(H870,I_Master!$A$6:$A$85,0)),"?"))</f>
        <v/>
      </c>
      <c r="M870" s="46" t="str">
        <f aca="false">IF(I870="","",IF(OR(A870&lt;I_Parameter!$C$5,A870&gt;I_Parameter!$C$6),0,IF(B870="Aktual",1,IF(AND(B870="Rencana",A870&gt;=I_Parameter!$C$4),1,0))))</f>
        <v/>
      </c>
    </row>
    <row r="871" customFormat="false" ht="15" hidden="false" customHeight="false" outlineLevel="0" collapsed="false">
      <c r="A871" s="37"/>
      <c r="B871" s="44"/>
      <c r="C871" s="44"/>
      <c r="D871" s="44"/>
      <c r="E871" s="44"/>
      <c r="F871" s="44"/>
      <c r="G871" s="44"/>
      <c r="H871" s="34" t="str">
        <f aca="false">IF(G871&lt;&gt;"",G871,IF(F871="","",IFERROR(INDEX(I_Item!$C$6:$C$255,MATCH(F871,I_Item!$A$6:$A$255,0)),"KODE BARU")))</f>
        <v/>
      </c>
      <c r="I871" s="45"/>
      <c r="J871" s="42"/>
      <c r="K871" s="11" t="str">
        <f aca="false">IF(I871="","",I871*J871)</f>
        <v/>
      </c>
      <c r="L871" s="34" t="str">
        <f aca="false">IF(H871="","",IFERROR(INDEX(I_Master!$B$6:$B$85,MATCH(H871,I_Master!$A$6:$A$85,0)),"?"))</f>
        <v/>
      </c>
      <c r="M871" s="46" t="str">
        <f aca="false">IF(I871="","",IF(OR(A871&lt;I_Parameter!$C$5,A871&gt;I_Parameter!$C$6),0,IF(B871="Aktual",1,IF(AND(B871="Rencana",A871&gt;=I_Parameter!$C$4),1,0))))</f>
        <v/>
      </c>
    </row>
    <row r="872" customFormat="false" ht="15" hidden="false" customHeight="false" outlineLevel="0" collapsed="false">
      <c r="A872" s="37"/>
      <c r="B872" s="44"/>
      <c r="C872" s="44"/>
      <c r="D872" s="44"/>
      <c r="E872" s="44"/>
      <c r="F872" s="44"/>
      <c r="G872" s="44"/>
      <c r="H872" s="34" t="str">
        <f aca="false">IF(G872&lt;&gt;"",G872,IF(F872="","",IFERROR(INDEX(I_Item!$C$6:$C$255,MATCH(F872,I_Item!$A$6:$A$255,0)),"KODE BARU")))</f>
        <v/>
      </c>
      <c r="I872" s="45"/>
      <c r="J872" s="42"/>
      <c r="K872" s="11" t="str">
        <f aca="false">IF(I872="","",I872*J872)</f>
        <v/>
      </c>
      <c r="L872" s="34" t="str">
        <f aca="false">IF(H872="","",IFERROR(INDEX(I_Master!$B$6:$B$85,MATCH(H872,I_Master!$A$6:$A$85,0)),"?"))</f>
        <v/>
      </c>
      <c r="M872" s="46" t="str">
        <f aca="false">IF(I872="","",IF(OR(A872&lt;I_Parameter!$C$5,A872&gt;I_Parameter!$C$6),0,IF(B872="Aktual",1,IF(AND(B872="Rencana",A872&gt;=I_Parameter!$C$4),1,0))))</f>
        <v/>
      </c>
    </row>
    <row r="873" customFormat="false" ht="15" hidden="false" customHeight="false" outlineLevel="0" collapsed="false">
      <c r="A873" s="37"/>
      <c r="B873" s="44"/>
      <c r="C873" s="44"/>
      <c r="D873" s="44"/>
      <c r="E873" s="44"/>
      <c r="F873" s="44"/>
      <c r="G873" s="44"/>
      <c r="H873" s="34" t="str">
        <f aca="false">IF(G873&lt;&gt;"",G873,IF(F873="","",IFERROR(INDEX(I_Item!$C$6:$C$255,MATCH(F873,I_Item!$A$6:$A$255,0)),"KODE BARU")))</f>
        <v/>
      </c>
      <c r="I873" s="45"/>
      <c r="J873" s="42"/>
      <c r="K873" s="11" t="str">
        <f aca="false">IF(I873="","",I873*J873)</f>
        <v/>
      </c>
      <c r="L873" s="34" t="str">
        <f aca="false">IF(H873="","",IFERROR(INDEX(I_Master!$B$6:$B$85,MATCH(H873,I_Master!$A$6:$A$85,0)),"?"))</f>
        <v/>
      </c>
      <c r="M873" s="46" t="str">
        <f aca="false">IF(I873="","",IF(OR(A873&lt;I_Parameter!$C$5,A873&gt;I_Parameter!$C$6),0,IF(B873="Aktual",1,IF(AND(B873="Rencana",A873&gt;=I_Parameter!$C$4),1,0))))</f>
        <v/>
      </c>
    </row>
    <row r="874" customFormat="false" ht="15" hidden="false" customHeight="false" outlineLevel="0" collapsed="false">
      <c r="A874" s="37"/>
      <c r="B874" s="44"/>
      <c r="C874" s="44"/>
      <c r="D874" s="44"/>
      <c r="E874" s="44"/>
      <c r="F874" s="44"/>
      <c r="G874" s="44"/>
      <c r="H874" s="34" t="str">
        <f aca="false">IF(G874&lt;&gt;"",G874,IF(F874="","",IFERROR(INDEX(I_Item!$C$6:$C$255,MATCH(F874,I_Item!$A$6:$A$255,0)),"KODE BARU")))</f>
        <v/>
      </c>
      <c r="I874" s="45"/>
      <c r="J874" s="42"/>
      <c r="K874" s="11" t="str">
        <f aca="false">IF(I874="","",I874*J874)</f>
        <v/>
      </c>
      <c r="L874" s="34" t="str">
        <f aca="false">IF(H874="","",IFERROR(INDEX(I_Master!$B$6:$B$85,MATCH(H874,I_Master!$A$6:$A$85,0)),"?"))</f>
        <v/>
      </c>
      <c r="M874" s="46" t="str">
        <f aca="false">IF(I874="","",IF(OR(A874&lt;I_Parameter!$C$5,A874&gt;I_Parameter!$C$6),0,IF(B874="Aktual",1,IF(AND(B874="Rencana",A874&gt;=I_Parameter!$C$4),1,0))))</f>
        <v/>
      </c>
    </row>
    <row r="875" customFormat="false" ht="15" hidden="false" customHeight="false" outlineLevel="0" collapsed="false">
      <c r="A875" s="37"/>
      <c r="B875" s="44"/>
      <c r="C875" s="44"/>
      <c r="D875" s="44"/>
      <c r="E875" s="44"/>
      <c r="F875" s="44"/>
      <c r="G875" s="44"/>
      <c r="H875" s="34" t="str">
        <f aca="false">IF(G875&lt;&gt;"",G875,IF(F875="","",IFERROR(INDEX(I_Item!$C$6:$C$255,MATCH(F875,I_Item!$A$6:$A$255,0)),"KODE BARU")))</f>
        <v/>
      </c>
      <c r="I875" s="45"/>
      <c r="J875" s="42"/>
      <c r="K875" s="11" t="str">
        <f aca="false">IF(I875="","",I875*J875)</f>
        <v/>
      </c>
      <c r="L875" s="34" t="str">
        <f aca="false">IF(H875="","",IFERROR(INDEX(I_Master!$B$6:$B$85,MATCH(H875,I_Master!$A$6:$A$85,0)),"?"))</f>
        <v/>
      </c>
      <c r="M875" s="46" t="str">
        <f aca="false">IF(I875="","",IF(OR(A875&lt;I_Parameter!$C$5,A875&gt;I_Parameter!$C$6),0,IF(B875="Aktual",1,IF(AND(B875="Rencana",A875&gt;=I_Parameter!$C$4),1,0))))</f>
        <v/>
      </c>
    </row>
    <row r="876" customFormat="false" ht="15" hidden="false" customHeight="false" outlineLevel="0" collapsed="false">
      <c r="A876" s="37"/>
      <c r="B876" s="44"/>
      <c r="C876" s="44"/>
      <c r="D876" s="44"/>
      <c r="E876" s="44"/>
      <c r="F876" s="44"/>
      <c r="G876" s="44"/>
      <c r="H876" s="34" t="str">
        <f aca="false">IF(G876&lt;&gt;"",G876,IF(F876="","",IFERROR(INDEX(I_Item!$C$6:$C$255,MATCH(F876,I_Item!$A$6:$A$255,0)),"KODE BARU")))</f>
        <v/>
      </c>
      <c r="I876" s="45"/>
      <c r="J876" s="42"/>
      <c r="K876" s="11" t="str">
        <f aca="false">IF(I876="","",I876*J876)</f>
        <v/>
      </c>
      <c r="L876" s="34" t="str">
        <f aca="false">IF(H876="","",IFERROR(INDEX(I_Master!$B$6:$B$85,MATCH(H876,I_Master!$A$6:$A$85,0)),"?"))</f>
        <v/>
      </c>
      <c r="M876" s="46" t="str">
        <f aca="false">IF(I876="","",IF(OR(A876&lt;I_Parameter!$C$5,A876&gt;I_Parameter!$C$6),0,IF(B876="Aktual",1,IF(AND(B876="Rencana",A876&gt;=I_Parameter!$C$4),1,0))))</f>
        <v/>
      </c>
    </row>
    <row r="877" customFormat="false" ht="15" hidden="false" customHeight="false" outlineLevel="0" collapsed="false">
      <c r="A877" s="37"/>
      <c r="B877" s="44"/>
      <c r="C877" s="44"/>
      <c r="D877" s="44"/>
      <c r="E877" s="44"/>
      <c r="F877" s="44"/>
      <c r="G877" s="44"/>
      <c r="H877" s="34" t="str">
        <f aca="false">IF(G877&lt;&gt;"",G877,IF(F877="","",IFERROR(INDEX(I_Item!$C$6:$C$255,MATCH(F877,I_Item!$A$6:$A$255,0)),"KODE BARU")))</f>
        <v/>
      </c>
      <c r="I877" s="45"/>
      <c r="J877" s="42"/>
      <c r="K877" s="11" t="str">
        <f aca="false">IF(I877="","",I877*J877)</f>
        <v/>
      </c>
      <c r="L877" s="34" t="str">
        <f aca="false">IF(H877="","",IFERROR(INDEX(I_Master!$B$6:$B$85,MATCH(H877,I_Master!$A$6:$A$85,0)),"?"))</f>
        <v/>
      </c>
      <c r="M877" s="46" t="str">
        <f aca="false">IF(I877="","",IF(OR(A877&lt;I_Parameter!$C$5,A877&gt;I_Parameter!$C$6),0,IF(B877="Aktual",1,IF(AND(B877="Rencana",A877&gt;=I_Parameter!$C$4),1,0))))</f>
        <v/>
      </c>
    </row>
    <row r="878" customFormat="false" ht="15" hidden="false" customHeight="false" outlineLevel="0" collapsed="false">
      <c r="A878" s="37"/>
      <c r="B878" s="44"/>
      <c r="C878" s="44"/>
      <c r="D878" s="44"/>
      <c r="E878" s="44"/>
      <c r="F878" s="44"/>
      <c r="G878" s="44"/>
      <c r="H878" s="34" t="str">
        <f aca="false">IF(G878&lt;&gt;"",G878,IF(F878="","",IFERROR(INDEX(I_Item!$C$6:$C$255,MATCH(F878,I_Item!$A$6:$A$255,0)),"KODE BARU")))</f>
        <v/>
      </c>
      <c r="I878" s="45"/>
      <c r="J878" s="42"/>
      <c r="K878" s="11" t="str">
        <f aca="false">IF(I878="","",I878*J878)</f>
        <v/>
      </c>
      <c r="L878" s="34" t="str">
        <f aca="false">IF(H878="","",IFERROR(INDEX(I_Master!$B$6:$B$85,MATCH(H878,I_Master!$A$6:$A$85,0)),"?"))</f>
        <v/>
      </c>
      <c r="M878" s="46" t="str">
        <f aca="false">IF(I878="","",IF(OR(A878&lt;I_Parameter!$C$5,A878&gt;I_Parameter!$C$6),0,IF(B878="Aktual",1,IF(AND(B878="Rencana",A878&gt;=I_Parameter!$C$4),1,0))))</f>
        <v/>
      </c>
    </row>
    <row r="879" customFormat="false" ht="15" hidden="false" customHeight="false" outlineLevel="0" collapsed="false">
      <c r="A879" s="37"/>
      <c r="B879" s="44"/>
      <c r="C879" s="44"/>
      <c r="D879" s="44"/>
      <c r="E879" s="44"/>
      <c r="F879" s="44"/>
      <c r="G879" s="44"/>
      <c r="H879" s="34" t="str">
        <f aca="false">IF(G879&lt;&gt;"",G879,IF(F879="","",IFERROR(INDEX(I_Item!$C$6:$C$255,MATCH(F879,I_Item!$A$6:$A$255,0)),"KODE BARU")))</f>
        <v/>
      </c>
      <c r="I879" s="45"/>
      <c r="J879" s="42"/>
      <c r="K879" s="11" t="str">
        <f aca="false">IF(I879="","",I879*J879)</f>
        <v/>
      </c>
      <c r="L879" s="34" t="str">
        <f aca="false">IF(H879="","",IFERROR(INDEX(I_Master!$B$6:$B$85,MATCH(H879,I_Master!$A$6:$A$85,0)),"?"))</f>
        <v/>
      </c>
      <c r="M879" s="46" t="str">
        <f aca="false">IF(I879="","",IF(OR(A879&lt;I_Parameter!$C$5,A879&gt;I_Parameter!$C$6),0,IF(B879="Aktual",1,IF(AND(B879="Rencana",A879&gt;=I_Parameter!$C$4),1,0))))</f>
        <v/>
      </c>
    </row>
    <row r="880" customFormat="false" ht="15" hidden="false" customHeight="false" outlineLevel="0" collapsed="false">
      <c r="A880" s="37"/>
      <c r="B880" s="44"/>
      <c r="C880" s="44"/>
      <c r="D880" s="44"/>
      <c r="E880" s="44"/>
      <c r="F880" s="44"/>
      <c r="G880" s="44"/>
      <c r="H880" s="34" t="str">
        <f aca="false">IF(G880&lt;&gt;"",G880,IF(F880="","",IFERROR(INDEX(I_Item!$C$6:$C$255,MATCH(F880,I_Item!$A$6:$A$255,0)),"KODE BARU")))</f>
        <v/>
      </c>
      <c r="I880" s="45"/>
      <c r="J880" s="42"/>
      <c r="K880" s="11" t="str">
        <f aca="false">IF(I880="","",I880*J880)</f>
        <v/>
      </c>
      <c r="L880" s="34" t="str">
        <f aca="false">IF(H880="","",IFERROR(INDEX(I_Master!$B$6:$B$85,MATCH(H880,I_Master!$A$6:$A$85,0)),"?"))</f>
        <v/>
      </c>
      <c r="M880" s="46" t="str">
        <f aca="false">IF(I880="","",IF(OR(A880&lt;I_Parameter!$C$5,A880&gt;I_Parameter!$C$6),0,IF(B880="Aktual",1,IF(AND(B880="Rencana",A880&gt;=I_Parameter!$C$4),1,0))))</f>
        <v/>
      </c>
    </row>
    <row r="881" customFormat="false" ht="15" hidden="false" customHeight="false" outlineLevel="0" collapsed="false">
      <c r="A881" s="37"/>
      <c r="B881" s="44"/>
      <c r="C881" s="44"/>
      <c r="D881" s="44"/>
      <c r="E881" s="44"/>
      <c r="F881" s="44"/>
      <c r="G881" s="44"/>
      <c r="H881" s="34" t="str">
        <f aca="false">IF(G881&lt;&gt;"",G881,IF(F881="","",IFERROR(INDEX(I_Item!$C$6:$C$255,MATCH(F881,I_Item!$A$6:$A$255,0)),"KODE BARU")))</f>
        <v/>
      </c>
      <c r="I881" s="45"/>
      <c r="J881" s="42"/>
      <c r="K881" s="11" t="str">
        <f aca="false">IF(I881="","",I881*J881)</f>
        <v/>
      </c>
      <c r="L881" s="34" t="str">
        <f aca="false">IF(H881="","",IFERROR(INDEX(I_Master!$B$6:$B$85,MATCH(H881,I_Master!$A$6:$A$85,0)),"?"))</f>
        <v/>
      </c>
      <c r="M881" s="46" t="str">
        <f aca="false">IF(I881="","",IF(OR(A881&lt;I_Parameter!$C$5,A881&gt;I_Parameter!$C$6),0,IF(B881="Aktual",1,IF(AND(B881="Rencana",A881&gt;=I_Parameter!$C$4),1,0))))</f>
        <v/>
      </c>
    </row>
    <row r="882" customFormat="false" ht="15" hidden="false" customHeight="false" outlineLevel="0" collapsed="false">
      <c r="A882" s="37"/>
      <c r="B882" s="44"/>
      <c r="C882" s="44"/>
      <c r="D882" s="44"/>
      <c r="E882" s="44"/>
      <c r="F882" s="44"/>
      <c r="G882" s="44"/>
      <c r="H882" s="34" t="str">
        <f aca="false">IF(G882&lt;&gt;"",G882,IF(F882="","",IFERROR(INDEX(I_Item!$C$6:$C$255,MATCH(F882,I_Item!$A$6:$A$255,0)),"KODE BARU")))</f>
        <v/>
      </c>
      <c r="I882" s="45"/>
      <c r="J882" s="42"/>
      <c r="K882" s="11" t="str">
        <f aca="false">IF(I882="","",I882*J882)</f>
        <v/>
      </c>
      <c r="L882" s="34" t="str">
        <f aca="false">IF(H882="","",IFERROR(INDEX(I_Master!$B$6:$B$85,MATCH(H882,I_Master!$A$6:$A$85,0)),"?"))</f>
        <v/>
      </c>
      <c r="M882" s="46" t="str">
        <f aca="false">IF(I882="","",IF(OR(A882&lt;I_Parameter!$C$5,A882&gt;I_Parameter!$C$6),0,IF(B882="Aktual",1,IF(AND(B882="Rencana",A882&gt;=I_Parameter!$C$4),1,0))))</f>
        <v/>
      </c>
    </row>
    <row r="883" customFormat="false" ht="15" hidden="false" customHeight="false" outlineLevel="0" collapsed="false">
      <c r="A883" s="37"/>
      <c r="B883" s="44"/>
      <c r="C883" s="44"/>
      <c r="D883" s="44"/>
      <c r="E883" s="44"/>
      <c r="F883" s="44"/>
      <c r="G883" s="44"/>
      <c r="H883" s="34" t="str">
        <f aca="false">IF(G883&lt;&gt;"",G883,IF(F883="","",IFERROR(INDEX(I_Item!$C$6:$C$255,MATCH(F883,I_Item!$A$6:$A$255,0)),"KODE BARU")))</f>
        <v/>
      </c>
      <c r="I883" s="45"/>
      <c r="J883" s="42"/>
      <c r="K883" s="11" t="str">
        <f aca="false">IF(I883="","",I883*J883)</f>
        <v/>
      </c>
      <c r="L883" s="34" t="str">
        <f aca="false">IF(H883="","",IFERROR(INDEX(I_Master!$B$6:$B$85,MATCH(H883,I_Master!$A$6:$A$85,0)),"?"))</f>
        <v/>
      </c>
      <c r="M883" s="46" t="str">
        <f aca="false">IF(I883="","",IF(OR(A883&lt;I_Parameter!$C$5,A883&gt;I_Parameter!$C$6),0,IF(B883="Aktual",1,IF(AND(B883="Rencana",A883&gt;=I_Parameter!$C$4),1,0))))</f>
        <v/>
      </c>
    </row>
    <row r="884" customFormat="false" ht="15" hidden="false" customHeight="false" outlineLevel="0" collapsed="false">
      <c r="A884" s="37"/>
      <c r="B884" s="44"/>
      <c r="C884" s="44"/>
      <c r="D884" s="44"/>
      <c r="E884" s="44"/>
      <c r="F884" s="44"/>
      <c r="G884" s="44"/>
      <c r="H884" s="34" t="str">
        <f aca="false">IF(G884&lt;&gt;"",G884,IF(F884="","",IFERROR(INDEX(I_Item!$C$6:$C$255,MATCH(F884,I_Item!$A$6:$A$255,0)),"KODE BARU")))</f>
        <v/>
      </c>
      <c r="I884" s="45"/>
      <c r="J884" s="42"/>
      <c r="K884" s="11" t="str">
        <f aca="false">IF(I884="","",I884*J884)</f>
        <v/>
      </c>
      <c r="L884" s="34" t="str">
        <f aca="false">IF(H884="","",IFERROR(INDEX(I_Master!$B$6:$B$85,MATCH(H884,I_Master!$A$6:$A$85,0)),"?"))</f>
        <v/>
      </c>
      <c r="M884" s="46" t="str">
        <f aca="false">IF(I884="","",IF(OR(A884&lt;I_Parameter!$C$5,A884&gt;I_Parameter!$C$6),0,IF(B884="Aktual",1,IF(AND(B884="Rencana",A884&gt;=I_Parameter!$C$4),1,0))))</f>
        <v/>
      </c>
    </row>
    <row r="885" customFormat="false" ht="15" hidden="false" customHeight="false" outlineLevel="0" collapsed="false">
      <c r="A885" s="37"/>
      <c r="B885" s="44"/>
      <c r="C885" s="44"/>
      <c r="D885" s="44"/>
      <c r="E885" s="44"/>
      <c r="F885" s="44"/>
      <c r="G885" s="44"/>
      <c r="H885" s="34" t="str">
        <f aca="false">IF(G885&lt;&gt;"",G885,IF(F885="","",IFERROR(INDEX(I_Item!$C$6:$C$255,MATCH(F885,I_Item!$A$6:$A$255,0)),"KODE BARU")))</f>
        <v/>
      </c>
      <c r="I885" s="45"/>
      <c r="J885" s="42"/>
      <c r="K885" s="11" t="str">
        <f aca="false">IF(I885="","",I885*J885)</f>
        <v/>
      </c>
      <c r="L885" s="34" t="str">
        <f aca="false">IF(H885="","",IFERROR(INDEX(I_Master!$B$6:$B$85,MATCH(H885,I_Master!$A$6:$A$85,0)),"?"))</f>
        <v/>
      </c>
      <c r="M885" s="46" t="str">
        <f aca="false">IF(I885="","",IF(OR(A885&lt;I_Parameter!$C$5,A885&gt;I_Parameter!$C$6),0,IF(B885="Aktual",1,IF(AND(B885="Rencana",A885&gt;=I_Parameter!$C$4),1,0))))</f>
        <v/>
      </c>
    </row>
    <row r="886" customFormat="false" ht="15" hidden="false" customHeight="false" outlineLevel="0" collapsed="false">
      <c r="A886" s="37"/>
      <c r="B886" s="44"/>
      <c r="C886" s="44"/>
      <c r="D886" s="44"/>
      <c r="E886" s="44"/>
      <c r="F886" s="44"/>
      <c r="G886" s="44"/>
      <c r="H886" s="34" t="str">
        <f aca="false">IF(G886&lt;&gt;"",G886,IF(F886="","",IFERROR(INDEX(I_Item!$C$6:$C$255,MATCH(F886,I_Item!$A$6:$A$255,0)),"KODE BARU")))</f>
        <v/>
      </c>
      <c r="I886" s="45"/>
      <c r="J886" s="42"/>
      <c r="K886" s="11" t="str">
        <f aca="false">IF(I886="","",I886*J886)</f>
        <v/>
      </c>
      <c r="L886" s="34" t="str">
        <f aca="false">IF(H886="","",IFERROR(INDEX(I_Master!$B$6:$B$85,MATCH(H886,I_Master!$A$6:$A$85,0)),"?"))</f>
        <v/>
      </c>
      <c r="M886" s="46" t="str">
        <f aca="false">IF(I886="","",IF(OR(A886&lt;I_Parameter!$C$5,A886&gt;I_Parameter!$C$6),0,IF(B886="Aktual",1,IF(AND(B886="Rencana",A886&gt;=I_Parameter!$C$4),1,0))))</f>
        <v/>
      </c>
    </row>
    <row r="887" customFormat="false" ht="15" hidden="false" customHeight="false" outlineLevel="0" collapsed="false">
      <c r="A887" s="37"/>
      <c r="B887" s="44"/>
      <c r="C887" s="44"/>
      <c r="D887" s="44"/>
      <c r="E887" s="44"/>
      <c r="F887" s="44"/>
      <c r="G887" s="44"/>
      <c r="H887" s="34" t="str">
        <f aca="false">IF(G887&lt;&gt;"",G887,IF(F887="","",IFERROR(INDEX(I_Item!$C$6:$C$255,MATCH(F887,I_Item!$A$6:$A$255,0)),"KODE BARU")))</f>
        <v/>
      </c>
      <c r="I887" s="45"/>
      <c r="J887" s="42"/>
      <c r="K887" s="11" t="str">
        <f aca="false">IF(I887="","",I887*J887)</f>
        <v/>
      </c>
      <c r="L887" s="34" t="str">
        <f aca="false">IF(H887="","",IFERROR(INDEX(I_Master!$B$6:$B$85,MATCH(H887,I_Master!$A$6:$A$85,0)),"?"))</f>
        <v/>
      </c>
      <c r="M887" s="46" t="str">
        <f aca="false">IF(I887="","",IF(OR(A887&lt;I_Parameter!$C$5,A887&gt;I_Parameter!$C$6),0,IF(B887="Aktual",1,IF(AND(B887="Rencana",A887&gt;=I_Parameter!$C$4),1,0))))</f>
        <v/>
      </c>
    </row>
    <row r="888" customFormat="false" ht="15" hidden="false" customHeight="false" outlineLevel="0" collapsed="false">
      <c r="A888" s="37"/>
      <c r="B888" s="44"/>
      <c r="C888" s="44"/>
      <c r="D888" s="44"/>
      <c r="E888" s="44"/>
      <c r="F888" s="44"/>
      <c r="G888" s="44"/>
      <c r="H888" s="34" t="str">
        <f aca="false">IF(G888&lt;&gt;"",G888,IF(F888="","",IFERROR(INDEX(I_Item!$C$6:$C$255,MATCH(F888,I_Item!$A$6:$A$255,0)),"KODE BARU")))</f>
        <v/>
      </c>
      <c r="I888" s="45"/>
      <c r="J888" s="42"/>
      <c r="K888" s="11" t="str">
        <f aca="false">IF(I888="","",I888*J888)</f>
        <v/>
      </c>
      <c r="L888" s="34" t="str">
        <f aca="false">IF(H888="","",IFERROR(INDEX(I_Master!$B$6:$B$85,MATCH(H888,I_Master!$A$6:$A$85,0)),"?"))</f>
        <v/>
      </c>
      <c r="M888" s="46" t="str">
        <f aca="false">IF(I888="","",IF(OR(A888&lt;I_Parameter!$C$5,A888&gt;I_Parameter!$C$6),0,IF(B888="Aktual",1,IF(AND(B888="Rencana",A888&gt;=I_Parameter!$C$4),1,0))))</f>
        <v/>
      </c>
    </row>
    <row r="889" customFormat="false" ht="15" hidden="false" customHeight="false" outlineLevel="0" collapsed="false">
      <c r="A889" s="37"/>
      <c r="B889" s="44"/>
      <c r="C889" s="44"/>
      <c r="D889" s="44"/>
      <c r="E889" s="44"/>
      <c r="F889" s="44"/>
      <c r="G889" s="44"/>
      <c r="H889" s="34" t="str">
        <f aca="false">IF(G889&lt;&gt;"",G889,IF(F889="","",IFERROR(INDEX(I_Item!$C$6:$C$255,MATCH(F889,I_Item!$A$6:$A$255,0)),"KODE BARU")))</f>
        <v/>
      </c>
      <c r="I889" s="45"/>
      <c r="J889" s="42"/>
      <c r="K889" s="11" t="str">
        <f aca="false">IF(I889="","",I889*J889)</f>
        <v/>
      </c>
      <c r="L889" s="34" t="str">
        <f aca="false">IF(H889="","",IFERROR(INDEX(I_Master!$B$6:$B$85,MATCH(H889,I_Master!$A$6:$A$85,0)),"?"))</f>
        <v/>
      </c>
      <c r="M889" s="46" t="str">
        <f aca="false">IF(I889="","",IF(OR(A889&lt;I_Parameter!$C$5,A889&gt;I_Parameter!$C$6),0,IF(B889="Aktual",1,IF(AND(B889="Rencana",A889&gt;=I_Parameter!$C$4),1,0))))</f>
        <v/>
      </c>
    </row>
    <row r="890" customFormat="false" ht="15" hidden="false" customHeight="false" outlineLevel="0" collapsed="false">
      <c r="A890" s="37"/>
      <c r="B890" s="44"/>
      <c r="C890" s="44"/>
      <c r="D890" s="44"/>
      <c r="E890" s="44"/>
      <c r="F890" s="44"/>
      <c r="G890" s="44"/>
      <c r="H890" s="34" t="str">
        <f aca="false">IF(G890&lt;&gt;"",G890,IF(F890="","",IFERROR(INDEX(I_Item!$C$6:$C$255,MATCH(F890,I_Item!$A$6:$A$255,0)),"KODE BARU")))</f>
        <v/>
      </c>
      <c r="I890" s="45"/>
      <c r="J890" s="42"/>
      <c r="K890" s="11" t="str">
        <f aca="false">IF(I890="","",I890*J890)</f>
        <v/>
      </c>
      <c r="L890" s="34" t="str">
        <f aca="false">IF(H890="","",IFERROR(INDEX(I_Master!$B$6:$B$85,MATCH(H890,I_Master!$A$6:$A$85,0)),"?"))</f>
        <v/>
      </c>
      <c r="M890" s="46" t="str">
        <f aca="false">IF(I890="","",IF(OR(A890&lt;I_Parameter!$C$5,A890&gt;I_Parameter!$C$6),0,IF(B890="Aktual",1,IF(AND(B890="Rencana",A890&gt;=I_Parameter!$C$4),1,0))))</f>
        <v/>
      </c>
    </row>
    <row r="891" customFormat="false" ht="15" hidden="false" customHeight="false" outlineLevel="0" collapsed="false">
      <c r="A891" s="37"/>
      <c r="B891" s="44"/>
      <c r="C891" s="44"/>
      <c r="D891" s="44"/>
      <c r="E891" s="44"/>
      <c r="F891" s="44"/>
      <c r="G891" s="44"/>
      <c r="H891" s="34" t="str">
        <f aca="false">IF(G891&lt;&gt;"",G891,IF(F891="","",IFERROR(INDEX(I_Item!$C$6:$C$255,MATCH(F891,I_Item!$A$6:$A$255,0)),"KODE BARU")))</f>
        <v/>
      </c>
      <c r="I891" s="45"/>
      <c r="J891" s="42"/>
      <c r="K891" s="11" t="str">
        <f aca="false">IF(I891="","",I891*J891)</f>
        <v/>
      </c>
      <c r="L891" s="34" t="str">
        <f aca="false">IF(H891="","",IFERROR(INDEX(I_Master!$B$6:$B$85,MATCH(H891,I_Master!$A$6:$A$85,0)),"?"))</f>
        <v/>
      </c>
      <c r="M891" s="46" t="str">
        <f aca="false">IF(I891="","",IF(OR(A891&lt;I_Parameter!$C$5,A891&gt;I_Parameter!$C$6),0,IF(B891="Aktual",1,IF(AND(B891="Rencana",A891&gt;=I_Parameter!$C$4),1,0))))</f>
        <v/>
      </c>
    </row>
    <row r="892" customFormat="false" ht="15" hidden="false" customHeight="false" outlineLevel="0" collapsed="false">
      <c r="A892" s="37"/>
      <c r="B892" s="44"/>
      <c r="C892" s="44"/>
      <c r="D892" s="44"/>
      <c r="E892" s="44"/>
      <c r="F892" s="44"/>
      <c r="G892" s="44"/>
      <c r="H892" s="34" t="str">
        <f aca="false">IF(G892&lt;&gt;"",G892,IF(F892="","",IFERROR(INDEX(I_Item!$C$6:$C$255,MATCH(F892,I_Item!$A$6:$A$255,0)),"KODE BARU")))</f>
        <v/>
      </c>
      <c r="I892" s="45"/>
      <c r="J892" s="42"/>
      <c r="K892" s="11" t="str">
        <f aca="false">IF(I892="","",I892*J892)</f>
        <v/>
      </c>
      <c r="L892" s="34" t="str">
        <f aca="false">IF(H892="","",IFERROR(INDEX(I_Master!$B$6:$B$85,MATCH(H892,I_Master!$A$6:$A$85,0)),"?"))</f>
        <v/>
      </c>
      <c r="M892" s="46" t="str">
        <f aca="false">IF(I892="","",IF(OR(A892&lt;I_Parameter!$C$5,A892&gt;I_Parameter!$C$6),0,IF(B892="Aktual",1,IF(AND(B892="Rencana",A892&gt;=I_Parameter!$C$4),1,0))))</f>
        <v/>
      </c>
    </row>
    <row r="893" customFormat="false" ht="15" hidden="false" customHeight="false" outlineLevel="0" collapsed="false">
      <c r="A893" s="37"/>
      <c r="B893" s="44"/>
      <c r="C893" s="44"/>
      <c r="D893" s="44"/>
      <c r="E893" s="44"/>
      <c r="F893" s="44"/>
      <c r="G893" s="44"/>
      <c r="H893" s="34" t="str">
        <f aca="false">IF(G893&lt;&gt;"",G893,IF(F893="","",IFERROR(INDEX(I_Item!$C$6:$C$255,MATCH(F893,I_Item!$A$6:$A$255,0)),"KODE BARU")))</f>
        <v/>
      </c>
      <c r="I893" s="45"/>
      <c r="J893" s="42"/>
      <c r="K893" s="11" t="str">
        <f aca="false">IF(I893="","",I893*J893)</f>
        <v/>
      </c>
      <c r="L893" s="34" t="str">
        <f aca="false">IF(H893="","",IFERROR(INDEX(I_Master!$B$6:$B$85,MATCH(H893,I_Master!$A$6:$A$85,0)),"?"))</f>
        <v/>
      </c>
      <c r="M893" s="46" t="str">
        <f aca="false">IF(I893="","",IF(OR(A893&lt;I_Parameter!$C$5,A893&gt;I_Parameter!$C$6),0,IF(B893="Aktual",1,IF(AND(B893="Rencana",A893&gt;=I_Parameter!$C$4),1,0))))</f>
        <v/>
      </c>
    </row>
    <row r="894" customFormat="false" ht="15" hidden="false" customHeight="false" outlineLevel="0" collapsed="false">
      <c r="A894" s="37"/>
      <c r="B894" s="44"/>
      <c r="C894" s="44"/>
      <c r="D894" s="44"/>
      <c r="E894" s="44"/>
      <c r="F894" s="44"/>
      <c r="G894" s="44"/>
      <c r="H894" s="34" t="str">
        <f aca="false">IF(G894&lt;&gt;"",G894,IF(F894="","",IFERROR(INDEX(I_Item!$C$6:$C$255,MATCH(F894,I_Item!$A$6:$A$255,0)),"KODE BARU")))</f>
        <v/>
      </c>
      <c r="I894" s="45"/>
      <c r="J894" s="42"/>
      <c r="K894" s="11" t="str">
        <f aca="false">IF(I894="","",I894*J894)</f>
        <v/>
      </c>
      <c r="L894" s="34" t="str">
        <f aca="false">IF(H894="","",IFERROR(INDEX(I_Master!$B$6:$B$85,MATCH(H894,I_Master!$A$6:$A$85,0)),"?"))</f>
        <v/>
      </c>
      <c r="M894" s="46" t="str">
        <f aca="false">IF(I894="","",IF(OR(A894&lt;I_Parameter!$C$5,A894&gt;I_Parameter!$C$6),0,IF(B894="Aktual",1,IF(AND(B894="Rencana",A894&gt;=I_Parameter!$C$4),1,0))))</f>
        <v/>
      </c>
    </row>
    <row r="895" customFormat="false" ht="15" hidden="false" customHeight="false" outlineLevel="0" collapsed="false">
      <c r="A895" s="37"/>
      <c r="B895" s="44"/>
      <c r="C895" s="44"/>
      <c r="D895" s="44"/>
      <c r="E895" s="44"/>
      <c r="F895" s="44"/>
      <c r="G895" s="44"/>
      <c r="H895" s="34" t="str">
        <f aca="false">IF(G895&lt;&gt;"",G895,IF(F895="","",IFERROR(INDEX(I_Item!$C$6:$C$255,MATCH(F895,I_Item!$A$6:$A$255,0)),"KODE BARU")))</f>
        <v/>
      </c>
      <c r="I895" s="45"/>
      <c r="J895" s="42"/>
      <c r="K895" s="11" t="str">
        <f aca="false">IF(I895="","",I895*J895)</f>
        <v/>
      </c>
      <c r="L895" s="34" t="str">
        <f aca="false">IF(H895="","",IFERROR(INDEX(I_Master!$B$6:$B$85,MATCH(H895,I_Master!$A$6:$A$85,0)),"?"))</f>
        <v/>
      </c>
      <c r="M895" s="46" t="str">
        <f aca="false">IF(I895="","",IF(OR(A895&lt;I_Parameter!$C$5,A895&gt;I_Parameter!$C$6),0,IF(B895="Aktual",1,IF(AND(B895="Rencana",A895&gt;=I_Parameter!$C$4),1,0))))</f>
        <v/>
      </c>
    </row>
    <row r="896" customFormat="false" ht="15" hidden="false" customHeight="false" outlineLevel="0" collapsed="false">
      <c r="A896" s="37"/>
      <c r="B896" s="44"/>
      <c r="C896" s="44"/>
      <c r="D896" s="44"/>
      <c r="E896" s="44"/>
      <c r="F896" s="44"/>
      <c r="G896" s="44"/>
      <c r="H896" s="34" t="str">
        <f aca="false">IF(G896&lt;&gt;"",G896,IF(F896="","",IFERROR(INDEX(I_Item!$C$6:$C$255,MATCH(F896,I_Item!$A$6:$A$255,0)),"KODE BARU")))</f>
        <v/>
      </c>
      <c r="I896" s="45"/>
      <c r="J896" s="42"/>
      <c r="K896" s="11" t="str">
        <f aca="false">IF(I896="","",I896*J896)</f>
        <v/>
      </c>
      <c r="L896" s="34" t="str">
        <f aca="false">IF(H896="","",IFERROR(INDEX(I_Master!$B$6:$B$85,MATCH(H896,I_Master!$A$6:$A$85,0)),"?"))</f>
        <v/>
      </c>
      <c r="M896" s="46" t="str">
        <f aca="false">IF(I896="","",IF(OR(A896&lt;I_Parameter!$C$5,A896&gt;I_Parameter!$C$6),0,IF(B896="Aktual",1,IF(AND(B896="Rencana",A896&gt;=I_Parameter!$C$4),1,0))))</f>
        <v/>
      </c>
    </row>
    <row r="897" customFormat="false" ht="15" hidden="false" customHeight="false" outlineLevel="0" collapsed="false">
      <c r="A897" s="37"/>
      <c r="B897" s="44"/>
      <c r="C897" s="44"/>
      <c r="D897" s="44"/>
      <c r="E897" s="44"/>
      <c r="F897" s="44"/>
      <c r="G897" s="44"/>
      <c r="H897" s="34" t="str">
        <f aca="false">IF(G897&lt;&gt;"",G897,IF(F897="","",IFERROR(INDEX(I_Item!$C$6:$C$255,MATCH(F897,I_Item!$A$6:$A$255,0)),"KODE BARU")))</f>
        <v/>
      </c>
      <c r="I897" s="45"/>
      <c r="J897" s="42"/>
      <c r="K897" s="11" t="str">
        <f aca="false">IF(I897="","",I897*J897)</f>
        <v/>
      </c>
      <c r="L897" s="34" t="str">
        <f aca="false">IF(H897="","",IFERROR(INDEX(I_Master!$B$6:$B$85,MATCH(H897,I_Master!$A$6:$A$85,0)),"?"))</f>
        <v/>
      </c>
      <c r="M897" s="46" t="str">
        <f aca="false">IF(I897="","",IF(OR(A897&lt;I_Parameter!$C$5,A897&gt;I_Parameter!$C$6),0,IF(B897="Aktual",1,IF(AND(B897="Rencana",A897&gt;=I_Parameter!$C$4),1,0))))</f>
        <v/>
      </c>
    </row>
    <row r="898" customFormat="false" ht="15" hidden="false" customHeight="false" outlineLevel="0" collapsed="false">
      <c r="A898" s="37"/>
      <c r="B898" s="44"/>
      <c r="C898" s="44"/>
      <c r="D898" s="44"/>
      <c r="E898" s="44"/>
      <c r="F898" s="44"/>
      <c r="G898" s="44"/>
      <c r="H898" s="34" t="str">
        <f aca="false">IF(G898&lt;&gt;"",G898,IF(F898="","",IFERROR(INDEX(I_Item!$C$6:$C$255,MATCH(F898,I_Item!$A$6:$A$255,0)),"KODE BARU")))</f>
        <v/>
      </c>
      <c r="I898" s="45"/>
      <c r="J898" s="42"/>
      <c r="K898" s="11" t="str">
        <f aca="false">IF(I898="","",I898*J898)</f>
        <v/>
      </c>
      <c r="L898" s="34" t="str">
        <f aca="false">IF(H898="","",IFERROR(INDEX(I_Master!$B$6:$B$85,MATCH(H898,I_Master!$A$6:$A$85,0)),"?"))</f>
        <v/>
      </c>
      <c r="M898" s="46" t="str">
        <f aca="false">IF(I898="","",IF(OR(A898&lt;I_Parameter!$C$5,A898&gt;I_Parameter!$C$6),0,IF(B898="Aktual",1,IF(AND(B898="Rencana",A898&gt;=I_Parameter!$C$4),1,0))))</f>
        <v/>
      </c>
    </row>
    <row r="899" customFormat="false" ht="15" hidden="false" customHeight="false" outlineLevel="0" collapsed="false">
      <c r="A899" s="37"/>
      <c r="B899" s="44"/>
      <c r="C899" s="44"/>
      <c r="D899" s="44"/>
      <c r="E899" s="44"/>
      <c r="F899" s="44"/>
      <c r="G899" s="44"/>
      <c r="H899" s="34" t="str">
        <f aca="false">IF(G899&lt;&gt;"",G899,IF(F899="","",IFERROR(INDEX(I_Item!$C$6:$C$255,MATCH(F899,I_Item!$A$6:$A$255,0)),"KODE BARU")))</f>
        <v/>
      </c>
      <c r="I899" s="45"/>
      <c r="J899" s="42"/>
      <c r="K899" s="11" t="str">
        <f aca="false">IF(I899="","",I899*J899)</f>
        <v/>
      </c>
      <c r="L899" s="34" t="str">
        <f aca="false">IF(H899="","",IFERROR(INDEX(I_Master!$B$6:$B$85,MATCH(H899,I_Master!$A$6:$A$85,0)),"?"))</f>
        <v/>
      </c>
      <c r="M899" s="46" t="str">
        <f aca="false">IF(I899="","",IF(OR(A899&lt;I_Parameter!$C$5,A899&gt;I_Parameter!$C$6),0,IF(B899="Aktual",1,IF(AND(B899="Rencana",A899&gt;=I_Parameter!$C$4),1,0))))</f>
        <v/>
      </c>
    </row>
    <row r="900" customFormat="false" ht="15" hidden="false" customHeight="false" outlineLevel="0" collapsed="false">
      <c r="A900" s="37"/>
      <c r="B900" s="44"/>
      <c r="C900" s="44"/>
      <c r="D900" s="44"/>
      <c r="E900" s="44"/>
      <c r="F900" s="44"/>
      <c r="G900" s="44"/>
      <c r="H900" s="34" t="str">
        <f aca="false">IF(G900&lt;&gt;"",G900,IF(F900="","",IFERROR(INDEX(I_Item!$C$6:$C$255,MATCH(F900,I_Item!$A$6:$A$255,0)),"KODE BARU")))</f>
        <v/>
      </c>
      <c r="I900" s="45"/>
      <c r="J900" s="42"/>
      <c r="K900" s="11" t="str">
        <f aca="false">IF(I900="","",I900*J900)</f>
        <v/>
      </c>
      <c r="L900" s="34" t="str">
        <f aca="false">IF(H900="","",IFERROR(INDEX(I_Master!$B$6:$B$85,MATCH(H900,I_Master!$A$6:$A$85,0)),"?"))</f>
        <v/>
      </c>
      <c r="M900" s="46" t="str">
        <f aca="false">IF(I900="","",IF(OR(A900&lt;I_Parameter!$C$5,A900&gt;I_Parameter!$C$6),0,IF(B900="Aktual",1,IF(AND(B900="Rencana",A900&gt;=I_Parameter!$C$4),1,0))))</f>
        <v/>
      </c>
    </row>
    <row r="901" customFormat="false" ht="15" hidden="false" customHeight="false" outlineLevel="0" collapsed="false">
      <c r="A901" s="37"/>
      <c r="B901" s="44"/>
      <c r="C901" s="44"/>
      <c r="D901" s="44"/>
      <c r="E901" s="44"/>
      <c r="F901" s="44"/>
      <c r="G901" s="44"/>
      <c r="H901" s="34" t="str">
        <f aca="false">IF(G901&lt;&gt;"",G901,IF(F901="","",IFERROR(INDEX(I_Item!$C$6:$C$255,MATCH(F901,I_Item!$A$6:$A$255,0)),"KODE BARU")))</f>
        <v/>
      </c>
      <c r="I901" s="45"/>
      <c r="J901" s="42"/>
      <c r="K901" s="11" t="str">
        <f aca="false">IF(I901="","",I901*J901)</f>
        <v/>
      </c>
      <c r="L901" s="34" t="str">
        <f aca="false">IF(H901="","",IFERROR(INDEX(I_Master!$B$6:$B$85,MATCH(H901,I_Master!$A$6:$A$85,0)),"?"))</f>
        <v/>
      </c>
      <c r="M901" s="46" t="str">
        <f aca="false">IF(I901="","",IF(OR(A901&lt;I_Parameter!$C$5,A901&gt;I_Parameter!$C$6),0,IF(B901="Aktual",1,IF(AND(B901="Rencana",A901&gt;=I_Parameter!$C$4),1,0))))</f>
        <v/>
      </c>
    </row>
    <row r="902" customFormat="false" ht="15" hidden="false" customHeight="false" outlineLevel="0" collapsed="false">
      <c r="A902" s="37"/>
      <c r="B902" s="44"/>
      <c r="C902" s="44"/>
      <c r="D902" s="44"/>
      <c r="E902" s="44"/>
      <c r="F902" s="44"/>
      <c r="G902" s="44"/>
      <c r="H902" s="34" t="str">
        <f aca="false">IF(G902&lt;&gt;"",G902,IF(F902="","",IFERROR(INDEX(I_Item!$C$6:$C$255,MATCH(F902,I_Item!$A$6:$A$255,0)),"KODE BARU")))</f>
        <v/>
      </c>
      <c r="I902" s="45"/>
      <c r="J902" s="42"/>
      <c r="K902" s="11" t="str">
        <f aca="false">IF(I902="","",I902*J902)</f>
        <v/>
      </c>
      <c r="L902" s="34" t="str">
        <f aca="false">IF(H902="","",IFERROR(INDEX(I_Master!$B$6:$B$85,MATCH(H902,I_Master!$A$6:$A$85,0)),"?"))</f>
        <v/>
      </c>
      <c r="M902" s="46" t="str">
        <f aca="false">IF(I902="","",IF(OR(A902&lt;I_Parameter!$C$5,A902&gt;I_Parameter!$C$6),0,IF(B902="Aktual",1,IF(AND(B902="Rencana",A902&gt;=I_Parameter!$C$4),1,0))))</f>
        <v/>
      </c>
    </row>
    <row r="903" customFormat="false" ht="15" hidden="false" customHeight="false" outlineLevel="0" collapsed="false">
      <c r="A903" s="37"/>
      <c r="B903" s="44"/>
      <c r="C903" s="44"/>
      <c r="D903" s="44"/>
      <c r="E903" s="44"/>
      <c r="F903" s="44"/>
      <c r="G903" s="44"/>
      <c r="H903" s="34" t="str">
        <f aca="false">IF(G903&lt;&gt;"",G903,IF(F903="","",IFERROR(INDEX(I_Item!$C$6:$C$255,MATCH(F903,I_Item!$A$6:$A$255,0)),"KODE BARU")))</f>
        <v/>
      </c>
      <c r="I903" s="45"/>
      <c r="J903" s="42"/>
      <c r="K903" s="11" t="str">
        <f aca="false">IF(I903="","",I903*J903)</f>
        <v/>
      </c>
      <c r="L903" s="34" t="str">
        <f aca="false">IF(H903="","",IFERROR(INDEX(I_Master!$B$6:$B$85,MATCH(H903,I_Master!$A$6:$A$85,0)),"?"))</f>
        <v/>
      </c>
      <c r="M903" s="46" t="str">
        <f aca="false">IF(I903="","",IF(OR(A903&lt;I_Parameter!$C$5,A903&gt;I_Parameter!$C$6),0,IF(B903="Aktual",1,IF(AND(B903="Rencana",A903&gt;=I_Parameter!$C$4),1,0))))</f>
        <v/>
      </c>
    </row>
    <row r="904" customFormat="false" ht="15" hidden="false" customHeight="false" outlineLevel="0" collapsed="false">
      <c r="A904" s="37"/>
      <c r="B904" s="44"/>
      <c r="C904" s="44"/>
      <c r="D904" s="44"/>
      <c r="E904" s="44"/>
      <c r="F904" s="44"/>
      <c r="G904" s="44"/>
      <c r="H904" s="34" t="str">
        <f aca="false">IF(G904&lt;&gt;"",G904,IF(F904="","",IFERROR(INDEX(I_Item!$C$6:$C$255,MATCH(F904,I_Item!$A$6:$A$255,0)),"KODE BARU")))</f>
        <v/>
      </c>
      <c r="I904" s="45"/>
      <c r="J904" s="42"/>
      <c r="K904" s="11" t="str">
        <f aca="false">IF(I904="","",I904*J904)</f>
        <v/>
      </c>
      <c r="L904" s="34" t="str">
        <f aca="false">IF(H904="","",IFERROR(INDEX(I_Master!$B$6:$B$85,MATCH(H904,I_Master!$A$6:$A$85,0)),"?"))</f>
        <v/>
      </c>
      <c r="M904" s="46" t="str">
        <f aca="false">IF(I904="","",IF(OR(A904&lt;I_Parameter!$C$5,A904&gt;I_Parameter!$C$6),0,IF(B904="Aktual",1,IF(AND(B904="Rencana",A904&gt;=I_Parameter!$C$4),1,0))))</f>
        <v/>
      </c>
    </row>
    <row r="905" customFormat="false" ht="15" hidden="false" customHeight="false" outlineLevel="0" collapsed="false">
      <c r="A905" s="37"/>
      <c r="B905" s="44"/>
      <c r="C905" s="44"/>
      <c r="D905" s="44"/>
      <c r="E905" s="44"/>
      <c r="F905" s="44"/>
      <c r="G905" s="44"/>
      <c r="H905" s="34" t="str">
        <f aca="false">IF(G905&lt;&gt;"",G905,IF(F905="","",IFERROR(INDEX(I_Item!$C$6:$C$255,MATCH(F905,I_Item!$A$6:$A$255,0)),"KODE BARU")))</f>
        <v/>
      </c>
      <c r="I905" s="45"/>
      <c r="J905" s="42"/>
      <c r="K905" s="11" t="str">
        <f aca="false">IF(I905="","",I905*J905)</f>
        <v/>
      </c>
      <c r="L905" s="34" t="str">
        <f aca="false">IF(H905="","",IFERROR(INDEX(I_Master!$B$6:$B$85,MATCH(H905,I_Master!$A$6:$A$85,0)),"?"))</f>
        <v/>
      </c>
      <c r="M905" s="46" t="str">
        <f aca="false">IF(I905="","",IF(OR(A905&lt;I_Parameter!$C$5,A905&gt;I_Parameter!$C$6),0,IF(B905="Aktual",1,IF(AND(B905="Rencana",A905&gt;=I_Parameter!$C$4),1,0))))</f>
        <v/>
      </c>
    </row>
    <row r="906" customFormat="false" ht="15" hidden="false" customHeight="false" outlineLevel="0" collapsed="false">
      <c r="A906" s="37"/>
      <c r="B906" s="44"/>
      <c r="C906" s="44"/>
      <c r="D906" s="44"/>
      <c r="E906" s="44"/>
      <c r="F906" s="44"/>
      <c r="G906" s="44"/>
      <c r="H906" s="34" t="str">
        <f aca="false">IF(G906&lt;&gt;"",G906,IF(F906="","",IFERROR(INDEX(I_Item!$C$6:$C$255,MATCH(F906,I_Item!$A$6:$A$255,0)),"KODE BARU")))</f>
        <v/>
      </c>
      <c r="I906" s="45"/>
      <c r="J906" s="42"/>
      <c r="K906" s="11" t="str">
        <f aca="false">IF(I906="","",I906*J906)</f>
        <v/>
      </c>
      <c r="L906" s="34" t="str">
        <f aca="false">IF(H906="","",IFERROR(INDEX(I_Master!$B$6:$B$85,MATCH(H906,I_Master!$A$6:$A$85,0)),"?"))</f>
        <v/>
      </c>
      <c r="M906" s="46" t="str">
        <f aca="false">IF(I906="","",IF(OR(A906&lt;I_Parameter!$C$5,A906&gt;I_Parameter!$C$6),0,IF(B906="Aktual",1,IF(AND(B906="Rencana",A906&gt;=I_Parameter!$C$4),1,0))))</f>
        <v/>
      </c>
    </row>
    <row r="907" customFormat="false" ht="15" hidden="false" customHeight="false" outlineLevel="0" collapsed="false">
      <c r="A907" s="37"/>
      <c r="B907" s="44"/>
      <c r="C907" s="44"/>
      <c r="D907" s="44"/>
      <c r="E907" s="44"/>
      <c r="F907" s="44"/>
      <c r="G907" s="44"/>
      <c r="H907" s="34" t="str">
        <f aca="false">IF(G907&lt;&gt;"",G907,IF(F907="","",IFERROR(INDEX(I_Item!$C$6:$C$255,MATCH(F907,I_Item!$A$6:$A$255,0)),"KODE BARU")))</f>
        <v/>
      </c>
      <c r="I907" s="45"/>
      <c r="J907" s="42"/>
      <c r="K907" s="11" t="str">
        <f aca="false">IF(I907="","",I907*J907)</f>
        <v/>
      </c>
      <c r="L907" s="34" t="str">
        <f aca="false">IF(H907="","",IFERROR(INDEX(I_Master!$B$6:$B$85,MATCH(H907,I_Master!$A$6:$A$85,0)),"?"))</f>
        <v/>
      </c>
      <c r="M907" s="46" t="str">
        <f aca="false">IF(I907="","",IF(OR(A907&lt;I_Parameter!$C$5,A907&gt;I_Parameter!$C$6),0,IF(B907="Aktual",1,IF(AND(B907="Rencana",A907&gt;=I_Parameter!$C$4),1,0))))</f>
        <v/>
      </c>
    </row>
    <row r="908" customFormat="false" ht="15" hidden="false" customHeight="false" outlineLevel="0" collapsed="false">
      <c r="A908" s="37"/>
      <c r="B908" s="44"/>
      <c r="C908" s="44"/>
      <c r="D908" s="44"/>
      <c r="E908" s="44"/>
      <c r="F908" s="44"/>
      <c r="G908" s="44"/>
      <c r="H908" s="34" t="str">
        <f aca="false">IF(G908&lt;&gt;"",G908,IF(F908="","",IFERROR(INDEX(I_Item!$C$6:$C$255,MATCH(F908,I_Item!$A$6:$A$255,0)),"KODE BARU")))</f>
        <v/>
      </c>
      <c r="I908" s="45"/>
      <c r="J908" s="42"/>
      <c r="K908" s="11" t="str">
        <f aca="false">IF(I908="","",I908*J908)</f>
        <v/>
      </c>
      <c r="L908" s="34" t="str">
        <f aca="false">IF(H908="","",IFERROR(INDEX(I_Master!$B$6:$B$85,MATCH(H908,I_Master!$A$6:$A$85,0)),"?"))</f>
        <v/>
      </c>
      <c r="M908" s="46" t="str">
        <f aca="false">IF(I908="","",IF(OR(A908&lt;I_Parameter!$C$5,A908&gt;I_Parameter!$C$6),0,IF(B908="Aktual",1,IF(AND(B908="Rencana",A908&gt;=I_Parameter!$C$4),1,0))))</f>
        <v/>
      </c>
    </row>
    <row r="909" customFormat="false" ht="15" hidden="false" customHeight="false" outlineLevel="0" collapsed="false">
      <c r="A909" s="37"/>
      <c r="B909" s="44"/>
      <c r="C909" s="44"/>
      <c r="D909" s="44"/>
      <c r="E909" s="44"/>
      <c r="F909" s="44"/>
      <c r="G909" s="44"/>
      <c r="H909" s="34" t="str">
        <f aca="false">IF(G909&lt;&gt;"",G909,IF(F909="","",IFERROR(INDEX(I_Item!$C$6:$C$255,MATCH(F909,I_Item!$A$6:$A$255,0)),"KODE BARU")))</f>
        <v/>
      </c>
      <c r="I909" s="45"/>
      <c r="J909" s="42"/>
      <c r="K909" s="11" t="str">
        <f aca="false">IF(I909="","",I909*J909)</f>
        <v/>
      </c>
      <c r="L909" s="34" t="str">
        <f aca="false">IF(H909="","",IFERROR(INDEX(I_Master!$B$6:$B$85,MATCH(H909,I_Master!$A$6:$A$85,0)),"?"))</f>
        <v/>
      </c>
      <c r="M909" s="46" t="str">
        <f aca="false">IF(I909="","",IF(OR(A909&lt;I_Parameter!$C$5,A909&gt;I_Parameter!$C$6),0,IF(B909="Aktual",1,IF(AND(B909="Rencana",A909&gt;=I_Parameter!$C$4),1,0))))</f>
        <v/>
      </c>
    </row>
    <row r="910" customFormat="false" ht="15" hidden="false" customHeight="false" outlineLevel="0" collapsed="false">
      <c r="A910" s="37"/>
      <c r="B910" s="44"/>
      <c r="C910" s="44"/>
      <c r="D910" s="44"/>
      <c r="E910" s="44"/>
      <c r="F910" s="44"/>
      <c r="G910" s="44"/>
      <c r="H910" s="34" t="str">
        <f aca="false">IF(G910&lt;&gt;"",G910,IF(F910="","",IFERROR(INDEX(I_Item!$C$6:$C$255,MATCH(F910,I_Item!$A$6:$A$255,0)),"KODE BARU")))</f>
        <v/>
      </c>
      <c r="I910" s="45"/>
      <c r="J910" s="42"/>
      <c r="K910" s="11" t="str">
        <f aca="false">IF(I910="","",I910*J910)</f>
        <v/>
      </c>
      <c r="L910" s="34" t="str">
        <f aca="false">IF(H910="","",IFERROR(INDEX(I_Master!$B$6:$B$85,MATCH(H910,I_Master!$A$6:$A$85,0)),"?"))</f>
        <v/>
      </c>
      <c r="M910" s="46" t="str">
        <f aca="false">IF(I910="","",IF(OR(A910&lt;I_Parameter!$C$5,A910&gt;I_Parameter!$C$6),0,IF(B910="Aktual",1,IF(AND(B910="Rencana",A910&gt;=I_Parameter!$C$4),1,0))))</f>
        <v/>
      </c>
    </row>
    <row r="911" customFormat="false" ht="15" hidden="false" customHeight="false" outlineLevel="0" collapsed="false">
      <c r="A911" s="37"/>
      <c r="B911" s="44"/>
      <c r="C911" s="44"/>
      <c r="D911" s="44"/>
      <c r="E911" s="44"/>
      <c r="F911" s="44"/>
      <c r="G911" s="44"/>
      <c r="H911" s="34" t="str">
        <f aca="false">IF(G911&lt;&gt;"",G911,IF(F911="","",IFERROR(INDEX(I_Item!$C$6:$C$255,MATCH(F911,I_Item!$A$6:$A$255,0)),"KODE BARU")))</f>
        <v/>
      </c>
      <c r="I911" s="45"/>
      <c r="J911" s="42"/>
      <c r="K911" s="11" t="str">
        <f aca="false">IF(I911="","",I911*J911)</f>
        <v/>
      </c>
      <c r="L911" s="34" t="str">
        <f aca="false">IF(H911="","",IFERROR(INDEX(I_Master!$B$6:$B$85,MATCH(H911,I_Master!$A$6:$A$85,0)),"?"))</f>
        <v/>
      </c>
      <c r="M911" s="46" t="str">
        <f aca="false">IF(I911="","",IF(OR(A911&lt;I_Parameter!$C$5,A911&gt;I_Parameter!$C$6),0,IF(B911="Aktual",1,IF(AND(B911="Rencana",A911&gt;=I_Parameter!$C$4),1,0))))</f>
        <v/>
      </c>
    </row>
    <row r="912" customFormat="false" ht="15" hidden="false" customHeight="false" outlineLevel="0" collapsed="false">
      <c r="A912" s="37"/>
      <c r="B912" s="44"/>
      <c r="C912" s="44"/>
      <c r="D912" s="44"/>
      <c r="E912" s="44"/>
      <c r="F912" s="44"/>
      <c r="G912" s="44"/>
      <c r="H912" s="34" t="str">
        <f aca="false">IF(G912&lt;&gt;"",G912,IF(F912="","",IFERROR(INDEX(I_Item!$C$6:$C$255,MATCH(F912,I_Item!$A$6:$A$255,0)),"KODE BARU")))</f>
        <v/>
      </c>
      <c r="I912" s="45"/>
      <c r="J912" s="42"/>
      <c r="K912" s="11" t="str">
        <f aca="false">IF(I912="","",I912*J912)</f>
        <v/>
      </c>
      <c r="L912" s="34" t="str">
        <f aca="false">IF(H912="","",IFERROR(INDEX(I_Master!$B$6:$B$85,MATCH(H912,I_Master!$A$6:$A$85,0)),"?"))</f>
        <v/>
      </c>
      <c r="M912" s="46" t="str">
        <f aca="false">IF(I912="","",IF(OR(A912&lt;I_Parameter!$C$5,A912&gt;I_Parameter!$C$6),0,IF(B912="Aktual",1,IF(AND(B912="Rencana",A912&gt;=I_Parameter!$C$4),1,0))))</f>
        <v/>
      </c>
    </row>
    <row r="913" customFormat="false" ht="15" hidden="false" customHeight="false" outlineLevel="0" collapsed="false">
      <c r="A913" s="37"/>
      <c r="B913" s="44"/>
      <c r="C913" s="44"/>
      <c r="D913" s="44"/>
      <c r="E913" s="44"/>
      <c r="F913" s="44"/>
      <c r="G913" s="44"/>
      <c r="H913" s="34" t="str">
        <f aca="false">IF(G913&lt;&gt;"",G913,IF(F913="","",IFERROR(INDEX(I_Item!$C$6:$C$255,MATCH(F913,I_Item!$A$6:$A$255,0)),"KODE BARU")))</f>
        <v/>
      </c>
      <c r="I913" s="45"/>
      <c r="J913" s="42"/>
      <c r="K913" s="11" t="str">
        <f aca="false">IF(I913="","",I913*J913)</f>
        <v/>
      </c>
      <c r="L913" s="34" t="str">
        <f aca="false">IF(H913="","",IFERROR(INDEX(I_Master!$B$6:$B$85,MATCH(H913,I_Master!$A$6:$A$85,0)),"?"))</f>
        <v/>
      </c>
      <c r="M913" s="46" t="str">
        <f aca="false">IF(I913="","",IF(OR(A913&lt;I_Parameter!$C$5,A913&gt;I_Parameter!$C$6),0,IF(B913="Aktual",1,IF(AND(B913="Rencana",A913&gt;=I_Parameter!$C$4),1,0))))</f>
        <v/>
      </c>
    </row>
    <row r="914" customFormat="false" ht="15" hidden="false" customHeight="false" outlineLevel="0" collapsed="false">
      <c r="A914" s="37"/>
      <c r="B914" s="44"/>
      <c r="C914" s="44"/>
      <c r="D914" s="44"/>
      <c r="E914" s="44"/>
      <c r="F914" s="44"/>
      <c r="G914" s="44"/>
      <c r="H914" s="34" t="str">
        <f aca="false">IF(G914&lt;&gt;"",G914,IF(F914="","",IFERROR(INDEX(I_Item!$C$6:$C$255,MATCH(F914,I_Item!$A$6:$A$255,0)),"KODE BARU")))</f>
        <v/>
      </c>
      <c r="I914" s="45"/>
      <c r="J914" s="42"/>
      <c r="K914" s="11" t="str">
        <f aca="false">IF(I914="","",I914*J914)</f>
        <v/>
      </c>
      <c r="L914" s="34" t="str">
        <f aca="false">IF(H914="","",IFERROR(INDEX(I_Master!$B$6:$B$85,MATCH(H914,I_Master!$A$6:$A$85,0)),"?"))</f>
        <v/>
      </c>
      <c r="M914" s="46" t="str">
        <f aca="false">IF(I914="","",IF(OR(A914&lt;I_Parameter!$C$5,A914&gt;I_Parameter!$C$6),0,IF(B914="Aktual",1,IF(AND(B914="Rencana",A914&gt;=I_Parameter!$C$4),1,0))))</f>
        <v/>
      </c>
    </row>
    <row r="915" customFormat="false" ht="15" hidden="false" customHeight="false" outlineLevel="0" collapsed="false">
      <c r="A915" s="37"/>
      <c r="B915" s="44"/>
      <c r="C915" s="44"/>
      <c r="D915" s="44"/>
      <c r="E915" s="44"/>
      <c r="F915" s="44"/>
      <c r="G915" s="44"/>
      <c r="H915" s="34" t="str">
        <f aca="false">IF(G915&lt;&gt;"",G915,IF(F915="","",IFERROR(INDEX(I_Item!$C$6:$C$255,MATCH(F915,I_Item!$A$6:$A$255,0)),"KODE BARU")))</f>
        <v/>
      </c>
      <c r="I915" s="45"/>
      <c r="J915" s="42"/>
      <c r="K915" s="11" t="str">
        <f aca="false">IF(I915="","",I915*J915)</f>
        <v/>
      </c>
      <c r="L915" s="34" t="str">
        <f aca="false">IF(H915="","",IFERROR(INDEX(I_Master!$B$6:$B$85,MATCH(H915,I_Master!$A$6:$A$85,0)),"?"))</f>
        <v/>
      </c>
      <c r="M915" s="46" t="str">
        <f aca="false">IF(I915="","",IF(OR(A915&lt;I_Parameter!$C$5,A915&gt;I_Parameter!$C$6),0,IF(B915="Aktual",1,IF(AND(B915="Rencana",A915&gt;=I_Parameter!$C$4),1,0))))</f>
        <v/>
      </c>
    </row>
    <row r="916" customFormat="false" ht="15" hidden="false" customHeight="false" outlineLevel="0" collapsed="false">
      <c r="A916" s="37"/>
      <c r="B916" s="44"/>
      <c r="C916" s="44"/>
      <c r="D916" s="44"/>
      <c r="E916" s="44"/>
      <c r="F916" s="44"/>
      <c r="G916" s="44"/>
      <c r="H916" s="34" t="str">
        <f aca="false">IF(G916&lt;&gt;"",G916,IF(F916="","",IFERROR(INDEX(I_Item!$C$6:$C$255,MATCH(F916,I_Item!$A$6:$A$255,0)),"KODE BARU")))</f>
        <v/>
      </c>
      <c r="I916" s="45"/>
      <c r="J916" s="42"/>
      <c r="K916" s="11" t="str">
        <f aca="false">IF(I916="","",I916*J916)</f>
        <v/>
      </c>
      <c r="L916" s="34" t="str">
        <f aca="false">IF(H916="","",IFERROR(INDEX(I_Master!$B$6:$B$85,MATCH(H916,I_Master!$A$6:$A$85,0)),"?"))</f>
        <v/>
      </c>
      <c r="M916" s="46" t="str">
        <f aca="false">IF(I916="","",IF(OR(A916&lt;I_Parameter!$C$5,A916&gt;I_Parameter!$C$6),0,IF(B916="Aktual",1,IF(AND(B916="Rencana",A916&gt;=I_Parameter!$C$4),1,0))))</f>
        <v/>
      </c>
    </row>
    <row r="917" customFormat="false" ht="15" hidden="false" customHeight="false" outlineLevel="0" collapsed="false">
      <c r="A917" s="37"/>
      <c r="B917" s="44"/>
      <c r="C917" s="44"/>
      <c r="D917" s="44"/>
      <c r="E917" s="44"/>
      <c r="F917" s="44"/>
      <c r="G917" s="44"/>
      <c r="H917" s="34" t="str">
        <f aca="false">IF(G917&lt;&gt;"",G917,IF(F917="","",IFERROR(INDEX(I_Item!$C$6:$C$255,MATCH(F917,I_Item!$A$6:$A$255,0)),"KODE BARU")))</f>
        <v/>
      </c>
      <c r="I917" s="45"/>
      <c r="J917" s="42"/>
      <c r="K917" s="11" t="str">
        <f aca="false">IF(I917="","",I917*J917)</f>
        <v/>
      </c>
      <c r="L917" s="34" t="str">
        <f aca="false">IF(H917="","",IFERROR(INDEX(I_Master!$B$6:$B$85,MATCH(H917,I_Master!$A$6:$A$85,0)),"?"))</f>
        <v/>
      </c>
      <c r="M917" s="46" t="str">
        <f aca="false">IF(I917="","",IF(OR(A917&lt;I_Parameter!$C$5,A917&gt;I_Parameter!$C$6),0,IF(B917="Aktual",1,IF(AND(B917="Rencana",A917&gt;=I_Parameter!$C$4),1,0))))</f>
        <v/>
      </c>
    </row>
    <row r="918" customFormat="false" ht="15" hidden="false" customHeight="false" outlineLevel="0" collapsed="false">
      <c r="A918" s="37"/>
      <c r="B918" s="44"/>
      <c r="C918" s="44"/>
      <c r="D918" s="44"/>
      <c r="E918" s="44"/>
      <c r="F918" s="44"/>
      <c r="G918" s="44"/>
      <c r="H918" s="34" t="str">
        <f aca="false">IF(G918&lt;&gt;"",G918,IF(F918="","",IFERROR(INDEX(I_Item!$C$6:$C$255,MATCH(F918,I_Item!$A$6:$A$255,0)),"KODE BARU")))</f>
        <v/>
      </c>
      <c r="I918" s="45"/>
      <c r="J918" s="42"/>
      <c r="K918" s="11" t="str">
        <f aca="false">IF(I918="","",I918*J918)</f>
        <v/>
      </c>
      <c r="L918" s="34" t="str">
        <f aca="false">IF(H918="","",IFERROR(INDEX(I_Master!$B$6:$B$85,MATCH(H918,I_Master!$A$6:$A$85,0)),"?"))</f>
        <v/>
      </c>
      <c r="M918" s="46" t="str">
        <f aca="false">IF(I918="","",IF(OR(A918&lt;I_Parameter!$C$5,A918&gt;I_Parameter!$C$6),0,IF(B918="Aktual",1,IF(AND(B918="Rencana",A918&gt;=I_Parameter!$C$4),1,0))))</f>
        <v/>
      </c>
    </row>
    <row r="919" customFormat="false" ht="15" hidden="false" customHeight="false" outlineLevel="0" collapsed="false">
      <c r="A919" s="37"/>
      <c r="B919" s="44"/>
      <c r="C919" s="44"/>
      <c r="D919" s="44"/>
      <c r="E919" s="44"/>
      <c r="F919" s="44"/>
      <c r="G919" s="44"/>
      <c r="H919" s="34" t="str">
        <f aca="false">IF(G919&lt;&gt;"",G919,IF(F919="","",IFERROR(INDEX(I_Item!$C$6:$C$255,MATCH(F919,I_Item!$A$6:$A$255,0)),"KODE BARU")))</f>
        <v/>
      </c>
      <c r="I919" s="45"/>
      <c r="J919" s="42"/>
      <c r="K919" s="11" t="str">
        <f aca="false">IF(I919="","",I919*J919)</f>
        <v/>
      </c>
      <c r="L919" s="34" t="str">
        <f aca="false">IF(H919="","",IFERROR(INDEX(I_Master!$B$6:$B$85,MATCH(H919,I_Master!$A$6:$A$85,0)),"?"))</f>
        <v/>
      </c>
      <c r="M919" s="46" t="str">
        <f aca="false">IF(I919="","",IF(OR(A919&lt;I_Parameter!$C$5,A919&gt;I_Parameter!$C$6),0,IF(B919="Aktual",1,IF(AND(B919="Rencana",A919&gt;=I_Parameter!$C$4),1,0))))</f>
        <v/>
      </c>
    </row>
    <row r="920" customFormat="false" ht="15" hidden="false" customHeight="false" outlineLevel="0" collapsed="false">
      <c r="A920" s="37"/>
      <c r="B920" s="44"/>
      <c r="C920" s="44"/>
      <c r="D920" s="44"/>
      <c r="E920" s="44"/>
      <c r="F920" s="44"/>
      <c r="G920" s="44"/>
      <c r="H920" s="34" t="str">
        <f aca="false">IF(G920&lt;&gt;"",G920,IF(F920="","",IFERROR(INDEX(I_Item!$C$6:$C$255,MATCH(F920,I_Item!$A$6:$A$255,0)),"KODE BARU")))</f>
        <v/>
      </c>
      <c r="I920" s="45"/>
      <c r="J920" s="42"/>
      <c r="K920" s="11" t="str">
        <f aca="false">IF(I920="","",I920*J920)</f>
        <v/>
      </c>
      <c r="L920" s="34" t="str">
        <f aca="false">IF(H920="","",IFERROR(INDEX(I_Master!$B$6:$B$85,MATCH(H920,I_Master!$A$6:$A$85,0)),"?"))</f>
        <v/>
      </c>
      <c r="M920" s="46" t="str">
        <f aca="false">IF(I920="","",IF(OR(A920&lt;I_Parameter!$C$5,A920&gt;I_Parameter!$C$6),0,IF(B920="Aktual",1,IF(AND(B920="Rencana",A920&gt;=I_Parameter!$C$4),1,0))))</f>
        <v/>
      </c>
    </row>
    <row r="921" customFormat="false" ht="15" hidden="false" customHeight="false" outlineLevel="0" collapsed="false">
      <c r="A921" s="37"/>
      <c r="B921" s="44"/>
      <c r="C921" s="44"/>
      <c r="D921" s="44"/>
      <c r="E921" s="44"/>
      <c r="F921" s="44"/>
      <c r="G921" s="44"/>
      <c r="H921" s="34" t="str">
        <f aca="false">IF(G921&lt;&gt;"",G921,IF(F921="","",IFERROR(INDEX(I_Item!$C$6:$C$255,MATCH(F921,I_Item!$A$6:$A$255,0)),"KODE BARU")))</f>
        <v/>
      </c>
      <c r="I921" s="45"/>
      <c r="J921" s="42"/>
      <c r="K921" s="11" t="str">
        <f aca="false">IF(I921="","",I921*J921)</f>
        <v/>
      </c>
      <c r="L921" s="34" t="str">
        <f aca="false">IF(H921="","",IFERROR(INDEX(I_Master!$B$6:$B$85,MATCH(H921,I_Master!$A$6:$A$85,0)),"?"))</f>
        <v/>
      </c>
      <c r="M921" s="46" t="str">
        <f aca="false">IF(I921="","",IF(OR(A921&lt;I_Parameter!$C$5,A921&gt;I_Parameter!$C$6),0,IF(B921="Aktual",1,IF(AND(B921="Rencana",A921&gt;=I_Parameter!$C$4),1,0))))</f>
        <v/>
      </c>
    </row>
    <row r="922" customFormat="false" ht="15" hidden="false" customHeight="false" outlineLevel="0" collapsed="false">
      <c r="A922" s="37"/>
      <c r="B922" s="44"/>
      <c r="C922" s="44"/>
      <c r="D922" s="44"/>
      <c r="E922" s="44"/>
      <c r="F922" s="44"/>
      <c r="G922" s="44"/>
      <c r="H922" s="34" t="str">
        <f aca="false">IF(G922&lt;&gt;"",G922,IF(F922="","",IFERROR(INDEX(I_Item!$C$6:$C$255,MATCH(F922,I_Item!$A$6:$A$255,0)),"KODE BARU")))</f>
        <v/>
      </c>
      <c r="I922" s="45"/>
      <c r="J922" s="42"/>
      <c r="K922" s="11" t="str">
        <f aca="false">IF(I922="","",I922*J922)</f>
        <v/>
      </c>
      <c r="L922" s="34" t="str">
        <f aca="false">IF(H922="","",IFERROR(INDEX(I_Master!$B$6:$B$85,MATCH(H922,I_Master!$A$6:$A$85,0)),"?"))</f>
        <v/>
      </c>
      <c r="M922" s="46" t="str">
        <f aca="false">IF(I922="","",IF(OR(A922&lt;I_Parameter!$C$5,A922&gt;I_Parameter!$C$6),0,IF(B922="Aktual",1,IF(AND(B922="Rencana",A922&gt;=I_Parameter!$C$4),1,0))))</f>
        <v/>
      </c>
    </row>
    <row r="923" customFormat="false" ht="15" hidden="false" customHeight="false" outlineLevel="0" collapsed="false">
      <c r="A923" s="37"/>
      <c r="B923" s="44"/>
      <c r="C923" s="44"/>
      <c r="D923" s="44"/>
      <c r="E923" s="44"/>
      <c r="F923" s="44"/>
      <c r="G923" s="44"/>
      <c r="H923" s="34" t="str">
        <f aca="false">IF(G923&lt;&gt;"",G923,IF(F923="","",IFERROR(INDEX(I_Item!$C$6:$C$255,MATCH(F923,I_Item!$A$6:$A$255,0)),"KODE BARU")))</f>
        <v/>
      </c>
      <c r="I923" s="45"/>
      <c r="J923" s="42"/>
      <c r="K923" s="11" t="str">
        <f aca="false">IF(I923="","",I923*J923)</f>
        <v/>
      </c>
      <c r="L923" s="34" t="str">
        <f aca="false">IF(H923="","",IFERROR(INDEX(I_Master!$B$6:$B$85,MATCH(H923,I_Master!$A$6:$A$85,0)),"?"))</f>
        <v/>
      </c>
      <c r="M923" s="46" t="str">
        <f aca="false">IF(I923="","",IF(OR(A923&lt;I_Parameter!$C$5,A923&gt;I_Parameter!$C$6),0,IF(B923="Aktual",1,IF(AND(B923="Rencana",A923&gt;=I_Parameter!$C$4),1,0))))</f>
        <v/>
      </c>
    </row>
    <row r="924" customFormat="false" ht="15" hidden="false" customHeight="false" outlineLevel="0" collapsed="false">
      <c r="A924" s="37"/>
      <c r="B924" s="44"/>
      <c r="C924" s="44"/>
      <c r="D924" s="44"/>
      <c r="E924" s="44"/>
      <c r="F924" s="44"/>
      <c r="G924" s="44"/>
      <c r="H924" s="34" t="str">
        <f aca="false">IF(G924&lt;&gt;"",G924,IF(F924="","",IFERROR(INDEX(I_Item!$C$6:$C$255,MATCH(F924,I_Item!$A$6:$A$255,0)),"KODE BARU")))</f>
        <v/>
      </c>
      <c r="I924" s="45"/>
      <c r="J924" s="42"/>
      <c r="K924" s="11" t="str">
        <f aca="false">IF(I924="","",I924*J924)</f>
        <v/>
      </c>
      <c r="L924" s="34" t="str">
        <f aca="false">IF(H924="","",IFERROR(INDEX(I_Master!$B$6:$B$85,MATCH(H924,I_Master!$A$6:$A$85,0)),"?"))</f>
        <v/>
      </c>
      <c r="M924" s="46" t="str">
        <f aca="false">IF(I924="","",IF(OR(A924&lt;I_Parameter!$C$5,A924&gt;I_Parameter!$C$6),0,IF(B924="Aktual",1,IF(AND(B924="Rencana",A924&gt;=I_Parameter!$C$4),1,0))))</f>
        <v/>
      </c>
    </row>
    <row r="925" customFormat="false" ht="15" hidden="false" customHeight="false" outlineLevel="0" collapsed="false">
      <c r="A925" s="37"/>
      <c r="B925" s="44"/>
      <c r="C925" s="44"/>
      <c r="D925" s="44"/>
      <c r="E925" s="44"/>
      <c r="F925" s="44"/>
      <c r="G925" s="44"/>
      <c r="H925" s="34" t="str">
        <f aca="false">IF(G925&lt;&gt;"",G925,IF(F925="","",IFERROR(INDEX(I_Item!$C$6:$C$255,MATCH(F925,I_Item!$A$6:$A$255,0)),"KODE BARU")))</f>
        <v/>
      </c>
      <c r="I925" s="45"/>
      <c r="J925" s="42"/>
      <c r="K925" s="11" t="str">
        <f aca="false">IF(I925="","",I925*J925)</f>
        <v/>
      </c>
      <c r="L925" s="34" t="str">
        <f aca="false">IF(H925="","",IFERROR(INDEX(I_Master!$B$6:$B$85,MATCH(H925,I_Master!$A$6:$A$85,0)),"?"))</f>
        <v/>
      </c>
      <c r="M925" s="46" t="str">
        <f aca="false">IF(I925="","",IF(OR(A925&lt;I_Parameter!$C$5,A925&gt;I_Parameter!$C$6),0,IF(B925="Aktual",1,IF(AND(B925="Rencana",A925&gt;=I_Parameter!$C$4),1,0))))</f>
        <v/>
      </c>
    </row>
    <row r="926" customFormat="false" ht="15" hidden="false" customHeight="false" outlineLevel="0" collapsed="false">
      <c r="A926" s="37"/>
      <c r="B926" s="44"/>
      <c r="C926" s="44"/>
      <c r="D926" s="44"/>
      <c r="E926" s="44"/>
      <c r="F926" s="44"/>
      <c r="G926" s="44"/>
      <c r="H926" s="34" t="str">
        <f aca="false">IF(G926&lt;&gt;"",G926,IF(F926="","",IFERROR(INDEX(I_Item!$C$6:$C$255,MATCH(F926,I_Item!$A$6:$A$255,0)),"KODE BARU")))</f>
        <v/>
      </c>
      <c r="I926" s="45"/>
      <c r="J926" s="42"/>
      <c r="K926" s="11" t="str">
        <f aca="false">IF(I926="","",I926*J926)</f>
        <v/>
      </c>
      <c r="L926" s="34" t="str">
        <f aca="false">IF(H926="","",IFERROR(INDEX(I_Master!$B$6:$B$85,MATCH(H926,I_Master!$A$6:$A$85,0)),"?"))</f>
        <v/>
      </c>
      <c r="M926" s="46" t="str">
        <f aca="false">IF(I926="","",IF(OR(A926&lt;I_Parameter!$C$5,A926&gt;I_Parameter!$C$6),0,IF(B926="Aktual",1,IF(AND(B926="Rencana",A926&gt;=I_Parameter!$C$4),1,0))))</f>
        <v/>
      </c>
    </row>
    <row r="927" customFormat="false" ht="15" hidden="false" customHeight="false" outlineLevel="0" collapsed="false">
      <c r="A927" s="37"/>
      <c r="B927" s="44"/>
      <c r="C927" s="44"/>
      <c r="D927" s="44"/>
      <c r="E927" s="44"/>
      <c r="F927" s="44"/>
      <c r="G927" s="44"/>
      <c r="H927" s="34" t="str">
        <f aca="false">IF(G927&lt;&gt;"",G927,IF(F927="","",IFERROR(INDEX(I_Item!$C$6:$C$255,MATCH(F927,I_Item!$A$6:$A$255,0)),"KODE BARU")))</f>
        <v/>
      </c>
      <c r="I927" s="45"/>
      <c r="J927" s="42"/>
      <c r="K927" s="11" t="str">
        <f aca="false">IF(I927="","",I927*J927)</f>
        <v/>
      </c>
      <c r="L927" s="34" t="str">
        <f aca="false">IF(H927="","",IFERROR(INDEX(I_Master!$B$6:$B$85,MATCH(H927,I_Master!$A$6:$A$85,0)),"?"))</f>
        <v/>
      </c>
      <c r="M927" s="46" t="str">
        <f aca="false">IF(I927="","",IF(OR(A927&lt;I_Parameter!$C$5,A927&gt;I_Parameter!$C$6),0,IF(B927="Aktual",1,IF(AND(B927="Rencana",A927&gt;=I_Parameter!$C$4),1,0))))</f>
        <v/>
      </c>
    </row>
    <row r="928" customFormat="false" ht="15" hidden="false" customHeight="false" outlineLevel="0" collapsed="false">
      <c r="A928" s="37"/>
      <c r="B928" s="44"/>
      <c r="C928" s="44"/>
      <c r="D928" s="44"/>
      <c r="E928" s="44"/>
      <c r="F928" s="44"/>
      <c r="G928" s="44"/>
      <c r="H928" s="34" t="str">
        <f aca="false">IF(G928&lt;&gt;"",G928,IF(F928="","",IFERROR(INDEX(I_Item!$C$6:$C$255,MATCH(F928,I_Item!$A$6:$A$255,0)),"KODE BARU")))</f>
        <v/>
      </c>
      <c r="I928" s="45"/>
      <c r="J928" s="42"/>
      <c r="K928" s="11" t="str">
        <f aca="false">IF(I928="","",I928*J928)</f>
        <v/>
      </c>
      <c r="L928" s="34" t="str">
        <f aca="false">IF(H928="","",IFERROR(INDEX(I_Master!$B$6:$B$85,MATCH(H928,I_Master!$A$6:$A$85,0)),"?"))</f>
        <v/>
      </c>
      <c r="M928" s="46" t="str">
        <f aca="false">IF(I928="","",IF(OR(A928&lt;I_Parameter!$C$5,A928&gt;I_Parameter!$C$6),0,IF(B928="Aktual",1,IF(AND(B928="Rencana",A928&gt;=I_Parameter!$C$4),1,0))))</f>
        <v/>
      </c>
    </row>
    <row r="929" customFormat="false" ht="15" hidden="false" customHeight="false" outlineLevel="0" collapsed="false">
      <c r="A929" s="37"/>
      <c r="B929" s="44"/>
      <c r="C929" s="44"/>
      <c r="D929" s="44"/>
      <c r="E929" s="44"/>
      <c r="F929" s="44"/>
      <c r="G929" s="44"/>
      <c r="H929" s="34" t="str">
        <f aca="false">IF(G929&lt;&gt;"",G929,IF(F929="","",IFERROR(INDEX(I_Item!$C$6:$C$255,MATCH(F929,I_Item!$A$6:$A$255,0)),"KODE BARU")))</f>
        <v/>
      </c>
      <c r="I929" s="45"/>
      <c r="J929" s="42"/>
      <c r="K929" s="11" t="str">
        <f aca="false">IF(I929="","",I929*J929)</f>
        <v/>
      </c>
      <c r="L929" s="34" t="str">
        <f aca="false">IF(H929="","",IFERROR(INDEX(I_Master!$B$6:$B$85,MATCH(H929,I_Master!$A$6:$A$85,0)),"?"))</f>
        <v/>
      </c>
      <c r="M929" s="46" t="str">
        <f aca="false">IF(I929="","",IF(OR(A929&lt;I_Parameter!$C$5,A929&gt;I_Parameter!$C$6),0,IF(B929="Aktual",1,IF(AND(B929="Rencana",A929&gt;=I_Parameter!$C$4),1,0))))</f>
        <v/>
      </c>
    </row>
    <row r="930" customFormat="false" ht="15" hidden="false" customHeight="false" outlineLevel="0" collapsed="false">
      <c r="A930" s="37"/>
      <c r="B930" s="44"/>
      <c r="C930" s="44"/>
      <c r="D930" s="44"/>
      <c r="E930" s="44"/>
      <c r="F930" s="44"/>
      <c r="G930" s="44"/>
      <c r="H930" s="34" t="str">
        <f aca="false">IF(G930&lt;&gt;"",G930,IF(F930="","",IFERROR(INDEX(I_Item!$C$6:$C$255,MATCH(F930,I_Item!$A$6:$A$255,0)),"KODE BARU")))</f>
        <v/>
      </c>
      <c r="I930" s="45"/>
      <c r="J930" s="42"/>
      <c r="K930" s="11" t="str">
        <f aca="false">IF(I930="","",I930*J930)</f>
        <v/>
      </c>
      <c r="L930" s="34" t="str">
        <f aca="false">IF(H930="","",IFERROR(INDEX(I_Master!$B$6:$B$85,MATCH(H930,I_Master!$A$6:$A$85,0)),"?"))</f>
        <v/>
      </c>
      <c r="M930" s="46" t="str">
        <f aca="false">IF(I930="","",IF(OR(A930&lt;I_Parameter!$C$5,A930&gt;I_Parameter!$C$6),0,IF(B930="Aktual",1,IF(AND(B930="Rencana",A930&gt;=I_Parameter!$C$4),1,0))))</f>
        <v/>
      </c>
    </row>
    <row r="931" customFormat="false" ht="15" hidden="false" customHeight="false" outlineLevel="0" collapsed="false">
      <c r="A931" s="37"/>
      <c r="B931" s="44"/>
      <c r="C931" s="44"/>
      <c r="D931" s="44"/>
      <c r="E931" s="44"/>
      <c r="F931" s="44"/>
      <c r="G931" s="44"/>
      <c r="H931" s="34" t="str">
        <f aca="false">IF(G931&lt;&gt;"",G931,IF(F931="","",IFERROR(INDEX(I_Item!$C$6:$C$255,MATCH(F931,I_Item!$A$6:$A$255,0)),"KODE BARU")))</f>
        <v/>
      </c>
      <c r="I931" s="45"/>
      <c r="J931" s="42"/>
      <c r="K931" s="11" t="str">
        <f aca="false">IF(I931="","",I931*J931)</f>
        <v/>
      </c>
      <c r="L931" s="34" t="str">
        <f aca="false">IF(H931="","",IFERROR(INDEX(I_Master!$B$6:$B$85,MATCH(H931,I_Master!$A$6:$A$85,0)),"?"))</f>
        <v/>
      </c>
      <c r="M931" s="46" t="str">
        <f aca="false">IF(I931="","",IF(OR(A931&lt;I_Parameter!$C$5,A931&gt;I_Parameter!$C$6),0,IF(B931="Aktual",1,IF(AND(B931="Rencana",A931&gt;=I_Parameter!$C$4),1,0))))</f>
        <v/>
      </c>
    </row>
    <row r="932" customFormat="false" ht="15" hidden="false" customHeight="false" outlineLevel="0" collapsed="false">
      <c r="A932" s="37"/>
      <c r="B932" s="44"/>
      <c r="C932" s="44"/>
      <c r="D932" s="44"/>
      <c r="E932" s="44"/>
      <c r="F932" s="44"/>
      <c r="G932" s="44"/>
      <c r="H932" s="34" t="str">
        <f aca="false">IF(G932&lt;&gt;"",G932,IF(F932="","",IFERROR(INDEX(I_Item!$C$6:$C$255,MATCH(F932,I_Item!$A$6:$A$255,0)),"KODE BARU")))</f>
        <v/>
      </c>
      <c r="I932" s="45"/>
      <c r="J932" s="42"/>
      <c r="K932" s="11" t="str">
        <f aca="false">IF(I932="","",I932*J932)</f>
        <v/>
      </c>
      <c r="L932" s="34" t="str">
        <f aca="false">IF(H932="","",IFERROR(INDEX(I_Master!$B$6:$B$85,MATCH(H932,I_Master!$A$6:$A$85,0)),"?"))</f>
        <v/>
      </c>
      <c r="M932" s="46" t="str">
        <f aca="false">IF(I932="","",IF(OR(A932&lt;I_Parameter!$C$5,A932&gt;I_Parameter!$C$6),0,IF(B932="Aktual",1,IF(AND(B932="Rencana",A932&gt;=I_Parameter!$C$4),1,0))))</f>
        <v/>
      </c>
    </row>
    <row r="933" customFormat="false" ht="15" hidden="false" customHeight="false" outlineLevel="0" collapsed="false">
      <c r="A933" s="37"/>
      <c r="B933" s="44"/>
      <c r="C933" s="44"/>
      <c r="D933" s="44"/>
      <c r="E933" s="44"/>
      <c r="F933" s="44"/>
      <c r="G933" s="44"/>
      <c r="H933" s="34" t="str">
        <f aca="false">IF(G933&lt;&gt;"",G933,IF(F933="","",IFERROR(INDEX(I_Item!$C$6:$C$255,MATCH(F933,I_Item!$A$6:$A$255,0)),"KODE BARU")))</f>
        <v/>
      </c>
      <c r="I933" s="45"/>
      <c r="J933" s="42"/>
      <c r="K933" s="11" t="str">
        <f aca="false">IF(I933="","",I933*J933)</f>
        <v/>
      </c>
      <c r="L933" s="34" t="str">
        <f aca="false">IF(H933="","",IFERROR(INDEX(I_Master!$B$6:$B$85,MATCH(H933,I_Master!$A$6:$A$85,0)),"?"))</f>
        <v/>
      </c>
      <c r="M933" s="46" t="str">
        <f aca="false">IF(I933="","",IF(OR(A933&lt;I_Parameter!$C$5,A933&gt;I_Parameter!$C$6),0,IF(B933="Aktual",1,IF(AND(B933="Rencana",A933&gt;=I_Parameter!$C$4),1,0))))</f>
        <v/>
      </c>
    </row>
    <row r="934" customFormat="false" ht="15" hidden="false" customHeight="false" outlineLevel="0" collapsed="false">
      <c r="A934" s="37"/>
      <c r="B934" s="44"/>
      <c r="C934" s="44"/>
      <c r="D934" s="44"/>
      <c r="E934" s="44"/>
      <c r="F934" s="44"/>
      <c r="G934" s="44"/>
      <c r="H934" s="34" t="str">
        <f aca="false">IF(G934&lt;&gt;"",G934,IF(F934="","",IFERROR(INDEX(I_Item!$C$6:$C$255,MATCH(F934,I_Item!$A$6:$A$255,0)),"KODE BARU")))</f>
        <v/>
      </c>
      <c r="I934" s="45"/>
      <c r="J934" s="42"/>
      <c r="K934" s="11" t="str">
        <f aca="false">IF(I934="","",I934*J934)</f>
        <v/>
      </c>
      <c r="L934" s="34" t="str">
        <f aca="false">IF(H934="","",IFERROR(INDEX(I_Master!$B$6:$B$85,MATCH(H934,I_Master!$A$6:$A$85,0)),"?"))</f>
        <v/>
      </c>
      <c r="M934" s="46" t="str">
        <f aca="false">IF(I934="","",IF(OR(A934&lt;I_Parameter!$C$5,A934&gt;I_Parameter!$C$6),0,IF(B934="Aktual",1,IF(AND(B934="Rencana",A934&gt;=I_Parameter!$C$4),1,0))))</f>
        <v/>
      </c>
    </row>
    <row r="935" customFormat="false" ht="15" hidden="false" customHeight="false" outlineLevel="0" collapsed="false">
      <c r="A935" s="37"/>
      <c r="B935" s="44"/>
      <c r="C935" s="44"/>
      <c r="D935" s="44"/>
      <c r="E935" s="44"/>
      <c r="F935" s="44"/>
      <c r="G935" s="44"/>
      <c r="H935" s="34" t="str">
        <f aca="false">IF(G935&lt;&gt;"",G935,IF(F935="","",IFERROR(INDEX(I_Item!$C$6:$C$255,MATCH(F935,I_Item!$A$6:$A$255,0)),"KODE BARU")))</f>
        <v/>
      </c>
      <c r="I935" s="45"/>
      <c r="J935" s="42"/>
      <c r="K935" s="11" t="str">
        <f aca="false">IF(I935="","",I935*J935)</f>
        <v/>
      </c>
      <c r="L935" s="34" t="str">
        <f aca="false">IF(H935="","",IFERROR(INDEX(I_Master!$B$6:$B$85,MATCH(H935,I_Master!$A$6:$A$85,0)),"?"))</f>
        <v/>
      </c>
      <c r="M935" s="46" t="str">
        <f aca="false">IF(I935="","",IF(OR(A935&lt;I_Parameter!$C$5,A935&gt;I_Parameter!$C$6),0,IF(B935="Aktual",1,IF(AND(B935="Rencana",A935&gt;=I_Parameter!$C$4),1,0))))</f>
        <v/>
      </c>
    </row>
    <row r="936" customFormat="false" ht="15" hidden="false" customHeight="false" outlineLevel="0" collapsed="false">
      <c r="A936" s="37"/>
      <c r="B936" s="44"/>
      <c r="C936" s="44"/>
      <c r="D936" s="44"/>
      <c r="E936" s="44"/>
      <c r="F936" s="44"/>
      <c r="G936" s="44"/>
      <c r="H936" s="34" t="str">
        <f aca="false">IF(G936&lt;&gt;"",G936,IF(F936="","",IFERROR(INDEX(I_Item!$C$6:$C$255,MATCH(F936,I_Item!$A$6:$A$255,0)),"KODE BARU")))</f>
        <v/>
      </c>
      <c r="I936" s="45"/>
      <c r="J936" s="42"/>
      <c r="K936" s="11" t="str">
        <f aca="false">IF(I936="","",I936*J936)</f>
        <v/>
      </c>
      <c r="L936" s="34" t="str">
        <f aca="false">IF(H936="","",IFERROR(INDEX(I_Master!$B$6:$B$85,MATCH(H936,I_Master!$A$6:$A$85,0)),"?"))</f>
        <v/>
      </c>
      <c r="M936" s="46" t="str">
        <f aca="false">IF(I936="","",IF(OR(A936&lt;I_Parameter!$C$5,A936&gt;I_Parameter!$C$6),0,IF(B936="Aktual",1,IF(AND(B936="Rencana",A936&gt;=I_Parameter!$C$4),1,0))))</f>
        <v/>
      </c>
    </row>
    <row r="937" customFormat="false" ht="15" hidden="false" customHeight="false" outlineLevel="0" collapsed="false">
      <c r="A937" s="37"/>
      <c r="B937" s="44"/>
      <c r="C937" s="44"/>
      <c r="D937" s="44"/>
      <c r="E937" s="44"/>
      <c r="F937" s="44"/>
      <c r="G937" s="44"/>
      <c r="H937" s="34" t="str">
        <f aca="false">IF(G937&lt;&gt;"",G937,IF(F937="","",IFERROR(INDEX(I_Item!$C$6:$C$255,MATCH(F937,I_Item!$A$6:$A$255,0)),"KODE BARU")))</f>
        <v/>
      </c>
      <c r="I937" s="45"/>
      <c r="J937" s="42"/>
      <c r="K937" s="11" t="str">
        <f aca="false">IF(I937="","",I937*J937)</f>
        <v/>
      </c>
      <c r="L937" s="34" t="str">
        <f aca="false">IF(H937="","",IFERROR(INDEX(I_Master!$B$6:$B$85,MATCH(H937,I_Master!$A$6:$A$85,0)),"?"))</f>
        <v/>
      </c>
      <c r="M937" s="46" t="str">
        <f aca="false">IF(I937="","",IF(OR(A937&lt;I_Parameter!$C$5,A937&gt;I_Parameter!$C$6),0,IF(B937="Aktual",1,IF(AND(B937="Rencana",A937&gt;=I_Parameter!$C$4),1,0))))</f>
        <v/>
      </c>
    </row>
    <row r="938" customFormat="false" ht="15" hidden="false" customHeight="false" outlineLevel="0" collapsed="false">
      <c r="A938" s="37"/>
      <c r="B938" s="44"/>
      <c r="C938" s="44"/>
      <c r="D938" s="44"/>
      <c r="E938" s="44"/>
      <c r="F938" s="44"/>
      <c r="G938" s="44"/>
      <c r="H938" s="34" t="str">
        <f aca="false">IF(G938&lt;&gt;"",G938,IF(F938="","",IFERROR(INDEX(I_Item!$C$6:$C$255,MATCH(F938,I_Item!$A$6:$A$255,0)),"KODE BARU")))</f>
        <v/>
      </c>
      <c r="I938" s="45"/>
      <c r="J938" s="42"/>
      <c r="K938" s="11" t="str">
        <f aca="false">IF(I938="","",I938*J938)</f>
        <v/>
      </c>
      <c r="L938" s="34" t="str">
        <f aca="false">IF(H938="","",IFERROR(INDEX(I_Master!$B$6:$B$85,MATCH(H938,I_Master!$A$6:$A$85,0)),"?"))</f>
        <v/>
      </c>
      <c r="M938" s="46" t="str">
        <f aca="false">IF(I938="","",IF(OR(A938&lt;I_Parameter!$C$5,A938&gt;I_Parameter!$C$6),0,IF(B938="Aktual",1,IF(AND(B938="Rencana",A938&gt;=I_Parameter!$C$4),1,0))))</f>
        <v/>
      </c>
    </row>
    <row r="939" customFormat="false" ht="15" hidden="false" customHeight="false" outlineLevel="0" collapsed="false">
      <c r="A939" s="37"/>
      <c r="B939" s="44"/>
      <c r="C939" s="44"/>
      <c r="D939" s="44"/>
      <c r="E939" s="44"/>
      <c r="F939" s="44"/>
      <c r="G939" s="44"/>
      <c r="H939" s="34" t="str">
        <f aca="false">IF(G939&lt;&gt;"",G939,IF(F939="","",IFERROR(INDEX(I_Item!$C$6:$C$255,MATCH(F939,I_Item!$A$6:$A$255,0)),"KODE BARU")))</f>
        <v/>
      </c>
      <c r="I939" s="45"/>
      <c r="J939" s="42"/>
      <c r="K939" s="11" t="str">
        <f aca="false">IF(I939="","",I939*J939)</f>
        <v/>
      </c>
      <c r="L939" s="34" t="str">
        <f aca="false">IF(H939="","",IFERROR(INDEX(I_Master!$B$6:$B$85,MATCH(H939,I_Master!$A$6:$A$85,0)),"?"))</f>
        <v/>
      </c>
      <c r="M939" s="46" t="str">
        <f aca="false">IF(I939="","",IF(OR(A939&lt;I_Parameter!$C$5,A939&gt;I_Parameter!$C$6),0,IF(B939="Aktual",1,IF(AND(B939="Rencana",A939&gt;=I_Parameter!$C$4),1,0))))</f>
        <v/>
      </c>
    </row>
    <row r="940" customFormat="false" ht="15" hidden="false" customHeight="false" outlineLevel="0" collapsed="false">
      <c r="A940" s="37"/>
      <c r="B940" s="44"/>
      <c r="C940" s="44"/>
      <c r="D940" s="44"/>
      <c r="E940" s="44"/>
      <c r="F940" s="44"/>
      <c r="G940" s="44"/>
      <c r="H940" s="34" t="str">
        <f aca="false">IF(G940&lt;&gt;"",G940,IF(F940="","",IFERROR(INDEX(I_Item!$C$6:$C$255,MATCH(F940,I_Item!$A$6:$A$255,0)),"KODE BARU")))</f>
        <v/>
      </c>
      <c r="I940" s="45"/>
      <c r="J940" s="42"/>
      <c r="K940" s="11" t="str">
        <f aca="false">IF(I940="","",I940*J940)</f>
        <v/>
      </c>
      <c r="L940" s="34" t="str">
        <f aca="false">IF(H940="","",IFERROR(INDEX(I_Master!$B$6:$B$85,MATCH(H940,I_Master!$A$6:$A$85,0)),"?"))</f>
        <v/>
      </c>
      <c r="M940" s="46" t="str">
        <f aca="false">IF(I940="","",IF(OR(A940&lt;I_Parameter!$C$5,A940&gt;I_Parameter!$C$6),0,IF(B940="Aktual",1,IF(AND(B940="Rencana",A940&gt;=I_Parameter!$C$4),1,0))))</f>
        <v/>
      </c>
    </row>
    <row r="941" customFormat="false" ht="15" hidden="false" customHeight="false" outlineLevel="0" collapsed="false">
      <c r="A941" s="37"/>
      <c r="B941" s="44"/>
      <c r="C941" s="44"/>
      <c r="D941" s="44"/>
      <c r="E941" s="44"/>
      <c r="F941" s="44"/>
      <c r="G941" s="44"/>
      <c r="H941" s="34" t="str">
        <f aca="false">IF(G941&lt;&gt;"",G941,IF(F941="","",IFERROR(INDEX(I_Item!$C$6:$C$255,MATCH(F941,I_Item!$A$6:$A$255,0)),"KODE BARU")))</f>
        <v/>
      </c>
      <c r="I941" s="45"/>
      <c r="J941" s="42"/>
      <c r="K941" s="11" t="str">
        <f aca="false">IF(I941="","",I941*J941)</f>
        <v/>
      </c>
      <c r="L941" s="34" t="str">
        <f aca="false">IF(H941="","",IFERROR(INDEX(I_Master!$B$6:$B$85,MATCH(H941,I_Master!$A$6:$A$85,0)),"?"))</f>
        <v/>
      </c>
      <c r="M941" s="46" t="str">
        <f aca="false">IF(I941="","",IF(OR(A941&lt;I_Parameter!$C$5,A941&gt;I_Parameter!$C$6),0,IF(B941="Aktual",1,IF(AND(B941="Rencana",A941&gt;=I_Parameter!$C$4),1,0))))</f>
        <v/>
      </c>
    </row>
    <row r="942" customFormat="false" ht="15" hidden="false" customHeight="false" outlineLevel="0" collapsed="false">
      <c r="A942" s="37"/>
      <c r="B942" s="44"/>
      <c r="C942" s="44"/>
      <c r="D942" s="44"/>
      <c r="E942" s="44"/>
      <c r="F942" s="44"/>
      <c r="G942" s="44"/>
      <c r="H942" s="34" t="str">
        <f aca="false">IF(G942&lt;&gt;"",G942,IF(F942="","",IFERROR(INDEX(I_Item!$C$6:$C$255,MATCH(F942,I_Item!$A$6:$A$255,0)),"KODE BARU")))</f>
        <v/>
      </c>
      <c r="I942" s="45"/>
      <c r="J942" s="42"/>
      <c r="K942" s="11" t="str">
        <f aca="false">IF(I942="","",I942*J942)</f>
        <v/>
      </c>
      <c r="L942" s="34" t="str">
        <f aca="false">IF(H942="","",IFERROR(INDEX(I_Master!$B$6:$B$85,MATCH(H942,I_Master!$A$6:$A$85,0)),"?"))</f>
        <v/>
      </c>
      <c r="M942" s="46" t="str">
        <f aca="false">IF(I942="","",IF(OR(A942&lt;I_Parameter!$C$5,A942&gt;I_Parameter!$C$6),0,IF(B942="Aktual",1,IF(AND(B942="Rencana",A942&gt;=I_Parameter!$C$4),1,0))))</f>
        <v/>
      </c>
    </row>
    <row r="943" customFormat="false" ht="15" hidden="false" customHeight="false" outlineLevel="0" collapsed="false">
      <c r="A943" s="37"/>
      <c r="B943" s="44"/>
      <c r="C943" s="44"/>
      <c r="D943" s="44"/>
      <c r="E943" s="44"/>
      <c r="F943" s="44"/>
      <c r="G943" s="44"/>
      <c r="H943" s="34" t="str">
        <f aca="false">IF(G943&lt;&gt;"",G943,IF(F943="","",IFERROR(INDEX(I_Item!$C$6:$C$255,MATCH(F943,I_Item!$A$6:$A$255,0)),"KODE BARU")))</f>
        <v/>
      </c>
      <c r="I943" s="45"/>
      <c r="J943" s="42"/>
      <c r="K943" s="11" t="str">
        <f aca="false">IF(I943="","",I943*J943)</f>
        <v/>
      </c>
      <c r="L943" s="34" t="str">
        <f aca="false">IF(H943="","",IFERROR(INDEX(I_Master!$B$6:$B$85,MATCH(H943,I_Master!$A$6:$A$85,0)),"?"))</f>
        <v/>
      </c>
      <c r="M943" s="46" t="str">
        <f aca="false">IF(I943="","",IF(OR(A943&lt;I_Parameter!$C$5,A943&gt;I_Parameter!$C$6),0,IF(B943="Aktual",1,IF(AND(B943="Rencana",A943&gt;=I_Parameter!$C$4),1,0))))</f>
        <v/>
      </c>
    </row>
    <row r="944" customFormat="false" ht="15" hidden="false" customHeight="false" outlineLevel="0" collapsed="false">
      <c r="A944" s="37"/>
      <c r="B944" s="44"/>
      <c r="C944" s="44"/>
      <c r="D944" s="44"/>
      <c r="E944" s="44"/>
      <c r="F944" s="44"/>
      <c r="G944" s="44"/>
      <c r="H944" s="34" t="str">
        <f aca="false">IF(G944&lt;&gt;"",G944,IF(F944="","",IFERROR(INDEX(I_Item!$C$6:$C$255,MATCH(F944,I_Item!$A$6:$A$255,0)),"KODE BARU")))</f>
        <v/>
      </c>
      <c r="I944" s="45"/>
      <c r="J944" s="42"/>
      <c r="K944" s="11" t="str">
        <f aca="false">IF(I944="","",I944*J944)</f>
        <v/>
      </c>
      <c r="L944" s="34" t="str">
        <f aca="false">IF(H944="","",IFERROR(INDEX(I_Master!$B$6:$B$85,MATCH(H944,I_Master!$A$6:$A$85,0)),"?"))</f>
        <v/>
      </c>
      <c r="M944" s="46" t="str">
        <f aca="false">IF(I944="","",IF(OR(A944&lt;I_Parameter!$C$5,A944&gt;I_Parameter!$C$6),0,IF(B944="Aktual",1,IF(AND(B944="Rencana",A944&gt;=I_Parameter!$C$4),1,0))))</f>
        <v/>
      </c>
    </row>
    <row r="945" customFormat="false" ht="15" hidden="false" customHeight="false" outlineLevel="0" collapsed="false">
      <c r="A945" s="37"/>
      <c r="B945" s="44"/>
      <c r="C945" s="44"/>
      <c r="D945" s="44"/>
      <c r="E945" s="44"/>
      <c r="F945" s="44"/>
      <c r="G945" s="44"/>
      <c r="H945" s="34" t="str">
        <f aca="false">IF(G945&lt;&gt;"",G945,IF(F945="","",IFERROR(INDEX(I_Item!$C$6:$C$255,MATCH(F945,I_Item!$A$6:$A$255,0)),"KODE BARU")))</f>
        <v/>
      </c>
      <c r="I945" s="45"/>
      <c r="J945" s="42"/>
      <c r="K945" s="11" t="str">
        <f aca="false">IF(I945="","",I945*J945)</f>
        <v/>
      </c>
      <c r="L945" s="34" t="str">
        <f aca="false">IF(H945="","",IFERROR(INDEX(I_Master!$B$6:$B$85,MATCH(H945,I_Master!$A$6:$A$85,0)),"?"))</f>
        <v/>
      </c>
      <c r="M945" s="46" t="str">
        <f aca="false">IF(I945="","",IF(OR(A945&lt;I_Parameter!$C$5,A945&gt;I_Parameter!$C$6),0,IF(B945="Aktual",1,IF(AND(B945="Rencana",A945&gt;=I_Parameter!$C$4),1,0))))</f>
        <v/>
      </c>
    </row>
    <row r="946" customFormat="false" ht="15" hidden="false" customHeight="false" outlineLevel="0" collapsed="false">
      <c r="A946" s="37"/>
      <c r="B946" s="44"/>
      <c r="C946" s="44"/>
      <c r="D946" s="44"/>
      <c r="E946" s="44"/>
      <c r="F946" s="44"/>
      <c r="G946" s="44"/>
      <c r="H946" s="34" t="str">
        <f aca="false">IF(G946&lt;&gt;"",G946,IF(F946="","",IFERROR(INDEX(I_Item!$C$6:$C$255,MATCH(F946,I_Item!$A$6:$A$255,0)),"KODE BARU")))</f>
        <v/>
      </c>
      <c r="I946" s="45"/>
      <c r="J946" s="42"/>
      <c r="K946" s="11" t="str">
        <f aca="false">IF(I946="","",I946*J946)</f>
        <v/>
      </c>
      <c r="L946" s="34" t="str">
        <f aca="false">IF(H946="","",IFERROR(INDEX(I_Master!$B$6:$B$85,MATCH(H946,I_Master!$A$6:$A$85,0)),"?"))</f>
        <v/>
      </c>
      <c r="M946" s="46" t="str">
        <f aca="false">IF(I946="","",IF(OR(A946&lt;I_Parameter!$C$5,A946&gt;I_Parameter!$C$6),0,IF(B946="Aktual",1,IF(AND(B946="Rencana",A946&gt;=I_Parameter!$C$4),1,0))))</f>
        <v/>
      </c>
    </row>
    <row r="947" customFormat="false" ht="15" hidden="false" customHeight="false" outlineLevel="0" collapsed="false">
      <c r="A947" s="37"/>
      <c r="B947" s="44"/>
      <c r="C947" s="44"/>
      <c r="D947" s="44"/>
      <c r="E947" s="44"/>
      <c r="F947" s="44"/>
      <c r="G947" s="44"/>
      <c r="H947" s="34" t="str">
        <f aca="false">IF(G947&lt;&gt;"",G947,IF(F947="","",IFERROR(INDEX(I_Item!$C$6:$C$255,MATCH(F947,I_Item!$A$6:$A$255,0)),"KODE BARU")))</f>
        <v/>
      </c>
      <c r="I947" s="45"/>
      <c r="J947" s="42"/>
      <c r="K947" s="11" t="str">
        <f aca="false">IF(I947="","",I947*J947)</f>
        <v/>
      </c>
      <c r="L947" s="34" t="str">
        <f aca="false">IF(H947="","",IFERROR(INDEX(I_Master!$B$6:$B$85,MATCH(H947,I_Master!$A$6:$A$85,0)),"?"))</f>
        <v/>
      </c>
      <c r="M947" s="46" t="str">
        <f aca="false">IF(I947="","",IF(OR(A947&lt;I_Parameter!$C$5,A947&gt;I_Parameter!$C$6),0,IF(B947="Aktual",1,IF(AND(B947="Rencana",A947&gt;=I_Parameter!$C$4),1,0))))</f>
        <v/>
      </c>
    </row>
    <row r="948" customFormat="false" ht="15" hidden="false" customHeight="false" outlineLevel="0" collapsed="false">
      <c r="A948" s="37"/>
      <c r="B948" s="44"/>
      <c r="C948" s="44"/>
      <c r="D948" s="44"/>
      <c r="E948" s="44"/>
      <c r="F948" s="44"/>
      <c r="G948" s="44"/>
      <c r="H948" s="34" t="str">
        <f aca="false">IF(G948&lt;&gt;"",G948,IF(F948="","",IFERROR(INDEX(I_Item!$C$6:$C$255,MATCH(F948,I_Item!$A$6:$A$255,0)),"KODE BARU")))</f>
        <v/>
      </c>
      <c r="I948" s="45"/>
      <c r="J948" s="42"/>
      <c r="K948" s="11" t="str">
        <f aca="false">IF(I948="","",I948*J948)</f>
        <v/>
      </c>
      <c r="L948" s="34" t="str">
        <f aca="false">IF(H948="","",IFERROR(INDEX(I_Master!$B$6:$B$85,MATCH(H948,I_Master!$A$6:$A$85,0)),"?"))</f>
        <v/>
      </c>
      <c r="M948" s="46" t="str">
        <f aca="false">IF(I948="","",IF(OR(A948&lt;I_Parameter!$C$5,A948&gt;I_Parameter!$C$6),0,IF(B948="Aktual",1,IF(AND(B948="Rencana",A948&gt;=I_Parameter!$C$4),1,0))))</f>
        <v/>
      </c>
    </row>
    <row r="949" customFormat="false" ht="15" hidden="false" customHeight="false" outlineLevel="0" collapsed="false">
      <c r="A949" s="37"/>
      <c r="B949" s="44"/>
      <c r="C949" s="44"/>
      <c r="D949" s="44"/>
      <c r="E949" s="44"/>
      <c r="F949" s="44"/>
      <c r="G949" s="44"/>
      <c r="H949" s="34" t="str">
        <f aca="false">IF(G949&lt;&gt;"",G949,IF(F949="","",IFERROR(INDEX(I_Item!$C$6:$C$255,MATCH(F949,I_Item!$A$6:$A$255,0)),"KODE BARU")))</f>
        <v/>
      </c>
      <c r="I949" s="45"/>
      <c r="J949" s="42"/>
      <c r="K949" s="11" t="str">
        <f aca="false">IF(I949="","",I949*J949)</f>
        <v/>
      </c>
      <c r="L949" s="34" t="str">
        <f aca="false">IF(H949="","",IFERROR(INDEX(I_Master!$B$6:$B$85,MATCH(H949,I_Master!$A$6:$A$85,0)),"?"))</f>
        <v/>
      </c>
      <c r="M949" s="46" t="str">
        <f aca="false">IF(I949="","",IF(OR(A949&lt;I_Parameter!$C$5,A949&gt;I_Parameter!$C$6),0,IF(B949="Aktual",1,IF(AND(B949="Rencana",A949&gt;=I_Parameter!$C$4),1,0))))</f>
        <v/>
      </c>
    </row>
    <row r="950" customFormat="false" ht="15" hidden="false" customHeight="false" outlineLevel="0" collapsed="false">
      <c r="A950" s="37"/>
      <c r="B950" s="44"/>
      <c r="C950" s="44"/>
      <c r="D950" s="44"/>
      <c r="E950" s="44"/>
      <c r="F950" s="44"/>
      <c r="G950" s="44"/>
      <c r="H950" s="34" t="str">
        <f aca="false">IF(G950&lt;&gt;"",G950,IF(F950="","",IFERROR(INDEX(I_Item!$C$6:$C$255,MATCH(F950,I_Item!$A$6:$A$255,0)),"KODE BARU")))</f>
        <v/>
      </c>
      <c r="I950" s="45"/>
      <c r="J950" s="42"/>
      <c r="K950" s="11" t="str">
        <f aca="false">IF(I950="","",I950*J950)</f>
        <v/>
      </c>
      <c r="L950" s="34" t="str">
        <f aca="false">IF(H950="","",IFERROR(INDEX(I_Master!$B$6:$B$85,MATCH(H950,I_Master!$A$6:$A$85,0)),"?"))</f>
        <v/>
      </c>
      <c r="M950" s="46" t="str">
        <f aca="false">IF(I950="","",IF(OR(A950&lt;I_Parameter!$C$5,A950&gt;I_Parameter!$C$6),0,IF(B950="Aktual",1,IF(AND(B950="Rencana",A950&gt;=I_Parameter!$C$4),1,0))))</f>
        <v/>
      </c>
    </row>
    <row r="951" customFormat="false" ht="15" hidden="false" customHeight="false" outlineLevel="0" collapsed="false">
      <c r="A951" s="37"/>
      <c r="B951" s="44"/>
      <c r="C951" s="44"/>
      <c r="D951" s="44"/>
      <c r="E951" s="44"/>
      <c r="F951" s="44"/>
      <c r="G951" s="44"/>
      <c r="H951" s="34" t="str">
        <f aca="false">IF(G951&lt;&gt;"",G951,IF(F951="","",IFERROR(INDEX(I_Item!$C$6:$C$255,MATCH(F951,I_Item!$A$6:$A$255,0)),"KODE BARU")))</f>
        <v/>
      </c>
      <c r="I951" s="45"/>
      <c r="J951" s="42"/>
      <c r="K951" s="11" t="str">
        <f aca="false">IF(I951="","",I951*J951)</f>
        <v/>
      </c>
      <c r="L951" s="34" t="str">
        <f aca="false">IF(H951="","",IFERROR(INDEX(I_Master!$B$6:$B$85,MATCH(H951,I_Master!$A$6:$A$85,0)),"?"))</f>
        <v/>
      </c>
      <c r="M951" s="46" t="str">
        <f aca="false">IF(I951="","",IF(OR(A951&lt;I_Parameter!$C$5,A951&gt;I_Parameter!$C$6),0,IF(B951="Aktual",1,IF(AND(B951="Rencana",A951&gt;=I_Parameter!$C$4),1,0))))</f>
        <v/>
      </c>
    </row>
    <row r="952" customFormat="false" ht="15" hidden="false" customHeight="false" outlineLevel="0" collapsed="false">
      <c r="A952" s="37"/>
      <c r="B952" s="44"/>
      <c r="C952" s="44"/>
      <c r="D952" s="44"/>
      <c r="E952" s="44"/>
      <c r="F952" s="44"/>
      <c r="G952" s="44"/>
      <c r="H952" s="34" t="str">
        <f aca="false">IF(G952&lt;&gt;"",G952,IF(F952="","",IFERROR(INDEX(I_Item!$C$6:$C$255,MATCH(F952,I_Item!$A$6:$A$255,0)),"KODE BARU")))</f>
        <v/>
      </c>
      <c r="I952" s="45"/>
      <c r="J952" s="42"/>
      <c r="K952" s="11" t="str">
        <f aca="false">IF(I952="","",I952*J952)</f>
        <v/>
      </c>
      <c r="L952" s="34" t="str">
        <f aca="false">IF(H952="","",IFERROR(INDEX(I_Master!$B$6:$B$85,MATCH(H952,I_Master!$A$6:$A$85,0)),"?"))</f>
        <v/>
      </c>
      <c r="M952" s="46" t="str">
        <f aca="false">IF(I952="","",IF(OR(A952&lt;I_Parameter!$C$5,A952&gt;I_Parameter!$C$6),0,IF(B952="Aktual",1,IF(AND(B952="Rencana",A952&gt;=I_Parameter!$C$4),1,0))))</f>
        <v/>
      </c>
    </row>
    <row r="953" customFormat="false" ht="15" hidden="false" customHeight="false" outlineLevel="0" collapsed="false">
      <c r="A953" s="37"/>
      <c r="B953" s="44"/>
      <c r="C953" s="44"/>
      <c r="D953" s="44"/>
      <c r="E953" s="44"/>
      <c r="F953" s="44"/>
      <c r="G953" s="44"/>
      <c r="H953" s="34" t="str">
        <f aca="false">IF(G953&lt;&gt;"",G953,IF(F953="","",IFERROR(INDEX(I_Item!$C$6:$C$255,MATCH(F953,I_Item!$A$6:$A$255,0)),"KODE BARU")))</f>
        <v/>
      </c>
      <c r="I953" s="45"/>
      <c r="J953" s="42"/>
      <c r="K953" s="11" t="str">
        <f aca="false">IF(I953="","",I953*J953)</f>
        <v/>
      </c>
      <c r="L953" s="34" t="str">
        <f aca="false">IF(H953="","",IFERROR(INDEX(I_Master!$B$6:$B$85,MATCH(H953,I_Master!$A$6:$A$85,0)),"?"))</f>
        <v/>
      </c>
      <c r="M953" s="46" t="str">
        <f aca="false">IF(I953="","",IF(OR(A953&lt;I_Parameter!$C$5,A953&gt;I_Parameter!$C$6),0,IF(B953="Aktual",1,IF(AND(B953="Rencana",A953&gt;=I_Parameter!$C$4),1,0))))</f>
        <v/>
      </c>
    </row>
    <row r="954" customFormat="false" ht="15" hidden="false" customHeight="false" outlineLevel="0" collapsed="false">
      <c r="A954" s="37"/>
      <c r="B954" s="44"/>
      <c r="C954" s="44"/>
      <c r="D954" s="44"/>
      <c r="E954" s="44"/>
      <c r="F954" s="44"/>
      <c r="G954" s="44"/>
      <c r="H954" s="34" t="str">
        <f aca="false">IF(G954&lt;&gt;"",G954,IF(F954="","",IFERROR(INDEX(I_Item!$C$6:$C$255,MATCH(F954,I_Item!$A$6:$A$255,0)),"KODE BARU")))</f>
        <v/>
      </c>
      <c r="I954" s="45"/>
      <c r="J954" s="42"/>
      <c r="K954" s="11" t="str">
        <f aca="false">IF(I954="","",I954*J954)</f>
        <v/>
      </c>
      <c r="L954" s="34" t="str">
        <f aca="false">IF(H954="","",IFERROR(INDEX(I_Master!$B$6:$B$85,MATCH(H954,I_Master!$A$6:$A$85,0)),"?"))</f>
        <v/>
      </c>
      <c r="M954" s="46" t="str">
        <f aca="false">IF(I954="","",IF(OR(A954&lt;I_Parameter!$C$5,A954&gt;I_Parameter!$C$6),0,IF(B954="Aktual",1,IF(AND(B954="Rencana",A954&gt;=I_Parameter!$C$4),1,0))))</f>
        <v/>
      </c>
    </row>
    <row r="955" customFormat="false" ht="15" hidden="false" customHeight="false" outlineLevel="0" collapsed="false">
      <c r="A955" s="37"/>
      <c r="B955" s="44"/>
      <c r="C955" s="44"/>
      <c r="D955" s="44"/>
      <c r="E955" s="44"/>
      <c r="F955" s="44"/>
      <c r="G955" s="44"/>
      <c r="H955" s="34" t="str">
        <f aca="false">IF(G955&lt;&gt;"",G955,IF(F955="","",IFERROR(INDEX(I_Item!$C$6:$C$255,MATCH(F955,I_Item!$A$6:$A$255,0)),"KODE BARU")))</f>
        <v/>
      </c>
      <c r="I955" s="45"/>
      <c r="J955" s="42"/>
      <c r="K955" s="11" t="str">
        <f aca="false">IF(I955="","",I955*J955)</f>
        <v/>
      </c>
      <c r="L955" s="34" t="str">
        <f aca="false">IF(H955="","",IFERROR(INDEX(I_Master!$B$6:$B$85,MATCH(H955,I_Master!$A$6:$A$85,0)),"?"))</f>
        <v/>
      </c>
      <c r="M955" s="46" t="str">
        <f aca="false">IF(I955="","",IF(OR(A955&lt;I_Parameter!$C$5,A955&gt;I_Parameter!$C$6),0,IF(B955="Aktual",1,IF(AND(B955="Rencana",A955&gt;=I_Parameter!$C$4),1,0))))</f>
        <v/>
      </c>
    </row>
    <row r="956" customFormat="false" ht="15" hidden="false" customHeight="false" outlineLevel="0" collapsed="false">
      <c r="A956" s="37"/>
      <c r="B956" s="44"/>
      <c r="C956" s="44"/>
      <c r="D956" s="44"/>
      <c r="E956" s="44"/>
      <c r="F956" s="44"/>
      <c r="G956" s="44"/>
      <c r="H956" s="34" t="str">
        <f aca="false">IF(G956&lt;&gt;"",G956,IF(F956="","",IFERROR(INDEX(I_Item!$C$6:$C$255,MATCH(F956,I_Item!$A$6:$A$255,0)),"KODE BARU")))</f>
        <v/>
      </c>
      <c r="I956" s="45"/>
      <c r="J956" s="42"/>
      <c r="K956" s="11" t="str">
        <f aca="false">IF(I956="","",I956*J956)</f>
        <v/>
      </c>
      <c r="L956" s="34" t="str">
        <f aca="false">IF(H956="","",IFERROR(INDEX(I_Master!$B$6:$B$85,MATCH(H956,I_Master!$A$6:$A$85,0)),"?"))</f>
        <v/>
      </c>
      <c r="M956" s="46" t="str">
        <f aca="false">IF(I956="","",IF(OR(A956&lt;I_Parameter!$C$5,A956&gt;I_Parameter!$C$6),0,IF(B956="Aktual",1,IF(AND(B956="Rencana",A956&gt;=I_Parameter!$C$4),1,0))))</f>
        <v/>
      </c>
    </row>
    <row r="957" customFormat="false" ht="15" hidden="false" customHeight="false" outlineLevel="0" collapsed="false">
      <c r="A957" s="37"/>
      <c r="B957" s="44"/>
      <c r="C957" s="44"/>
      <c r="D957" s="44"/>
      <c r="E957" s="44"/>
      <c r="F957" s="44"/>
      <c r="G957" s="44"/>
      <c r="H957" s="34" t="str">
        <f aca="false">IF(G957&lt;&gt;"",G957,IF(F957="","",IFERROR(INDEX(I_Item!$C$6:$C$255,MATCH(F957,I_Item!$A$6:$A$255,0)),"KODE BARU")))</f>
        <v/>
      </c>
      <c r="I957" s="45"/>
      <c r="J957" s="42"/>
      <c r="K957" s="11" t="str">
        <f aca="false">IF(I957="","",I957*J957)</f>
        <v/>
      </c>
      <c r="L957" s="34" t="str">
        <f aca="false">IF(H957="","",IFERROR(INDEX(I_Master!$B$6:$B$85,MATCH(H957,I_Master!$A$6:$A$85,0)),"?"))</f>
        <v/>
      </c>
      <c r="M957" s="46" t="str">
        <f aca="false">IF(I957="","",IF(OR(A957&lt;I_Parameter!$C$5,A957&gt;I_Parameter!$C$6),0,IF(B957="Aktual",1,IF(AND(B957="Rencana",A957&gt;=I_Parameter!$C$4),1,0))))</f>
        <v/>
      </c>
    </row>
    <row r="958" customFormat="false" ht="15" hidden="false" customHeight="false" outlineLevel="0" collapsed="false">
      <c r="A958" s="37"/>
      <c r="B958" s="44"/>
      <c r="C958" s="44"/>
      <c r="D958" s="44"/>
      <c r="E958" s="44"/>
      <c r="F958" s="44"/>
      <c r="G958" s="44"/>
      <c r="H958" s="34" t="str">
        <f aca="false">IF(G958&lt;&gt;"",G958,IF(F958="","",IFERROR(INDEX(I_Item!$C$6:$C$255,MATCH(F958,I_Item!$A$6:$A$255,0)),"KODE BARU")))</f>
        <v/>
      </c>
      <c r="I958" s="45"/>
      <c r="J958" s="42"/>
      <c r="K958" s="11" t="str">
        <f aca="false">IF(I958="","",I958*J958)</f>
        <v/>
      </c>
      <c r="L958" s="34" t="str">
        <f aca="false">IF(H958="","",IFERROR(INDEX(I_Master!$B$6:$B$85,MATCH(H958,I_Master!$A$6:$A$85,0)),"?"))</f>
        <v/>
      </c>
      <c r="M958" s="46" t="str">
        <f aca="false">IF(I958="","",IF(OR(A958&lt;I_Parameter!$C$5,A958&gt;I_Parameter!$C$6),0,IF(B958="Aktual",1,IF(AND(B958="Rencana",A958&gt;=I_Parameter!$C$4),1,0))))</f>
        <v/>
      </c>
    </row>
    <row r="959" customFormat="false" ht="15" hidden="false" customHeight="false" outlineLevel="0" collapsed="false">
      <c r="A959" s="37"/>
      <c r="B959" s="44"/>
      <c r="C959" s="44"/>
      <c r="D959" s="44"/>
      <c r="E959" s="44"/>
      <c r="F959" s="44"/>
      <c r="G959" s="44"/>
      <c r="H959" s="34" t="str">
        <f aca="false">IF(G959&lt;&gt;"",G959,IF(F959="","",IFERROR(INDEX(I_Item!$C$6:$C$255,MATCH(F959,I_Item!$A$6:$A$255,0)),"KODE BARU")))</f>
        <v/>
      </c>
      <c r="I959" s="45"/>
      <c r="J959" s="42"/>
      <c r="K959" s="11" t="str">
        <f aca="false">IF(I959="","",I959*J959)</f>
        <v/>
      </c>
      <c r="L959" s="34" t="str">
        <f aca="false">IF(H959="","",IFERROR(INDEX(I_Master!$B$6:$B$85,MATCH(H959,I_Master!$A$6:$A$85,0)),"?"))</f>
        <v/>
      </c>
      <c r="M959" s="46" t="str">
        <f aca="false">IF(I959="","",IF(OR(A959&lt;I_Parameter!$C$5,A959&gt;I_Parameter!$C$6),0,IF(B959="Aktual",1,IF(AND(B959="Rencana",A959&gt;=I_Parameter!$C$4),1,0))))</f>
        <v/>
      </c>
    </row>
    <row r="960" customFormat="false" ht="15" hidden="false" customHeight="false" outlineLevel="0" collapsed="false">
      <c r="A960" s="37"/>
      <c r="B960" s="44"/>
      <c r="C960" s="44"/>
      <c r="D960" s="44"/>
      <c r="E960" s="44"/>
      <c r="F960" s="44"/>
      <c r="G960" s="44"/>
      <c r="H960" s="34" t="str">
        <f aca="false">IF(G960&lt;&gt;"",G960,IF(F960="","",IFERROR(INDEX(I_Item!$C$6:$C$255,MATCH(F960,I_Item!$A$6:$A$255,0)),"KODE BARU")))</f>
        <v/>
      </c>
      <c r="I960" s="45"/>
      <c r="J960" s="42"/>
      <c r="K960" s="11" t="str">
        <f aca="false">IF(I960="","",I960*J960)</f>
        <v/>
      </c>
      <c r="L960" s="34" t="str">
        <f aca="false">IF(H960="","",IFERROR(INDEX(I_Master!$B$6:$B$85,MATCH(H960,I_Master!$A$6:$A$85,0)),"?"))</f>
        <v/>
      </c>
      <c r="M960" s="46" t="str">
        <f aca="false">IF(I960="","",IF(OR(A960&lt;I_Parameter!$C$5,A960&gt;I_Parameter!$C$6),0,IF(B960="Aktual",1,IF(AND(B960="Rencana",A960&gt;=I_Parameter!$C$4),1,0))))</f>
        <v/>
      </c>
    </row>
    <row r="961" customFormat="false" ht="15" hidden="false" customHeight="false" outlineLevel="0" collapsed="false">
      <c r="A961" s="37"/>
      <c r="B961" s="44"/>
      <c r="C961" s="44"/>
      <c r="D961" s="44"/>
      <c r="E961" s="44"/>
      <c r="F961" s="44"/>
      <c r="G961" s="44"/>
      <c r="H961" s="34" t="str">
        <f aca="false">IF(G961&lt;&gt;"",G961,IF(F961="","",IFERROR(INDEX(I_Item!$C$6:$C$255,MATCH(F961,I_Item!$A$6:$A$255,0)),"KODE BARU")))</f>
        <v/>
      </c>
      <c r="I961" s="45"/>
      <c r="J961" s="42"/>
      <c r="K961" s="11" t="str">
        <f aca="false">IF(I961="","",I961*J961)</f>
        <v/>
      </c>
      <c r="L961" s="34" t="str">
        <f aca="false">IF(H961="","",IFERROR(INDEX(I_Master!$B$6:$B$85,MATCH(H961,I_Master!$A$6:$A$85,0)),"?"))</f>
        <v/>
      </c>
      <c r="M961" s="46" t="str">
        <f aca="false">IF(I961="","",IF(OR(A961&lt;I_Parameter!$C$5,A961&gt;I_Parameter!$C$6),0,IF(B961="Aktual",1,IF(AND(B961="Rencana",A961&gt;=I_Parameter!$C$4),1,0))))</f>
        <v/>
      </c>
    </row>
    <row r="962" customFormat="false" ht="15" hidden="false" customHeight="false" outlineLevel="0" collapsed="false">
      <c r="A962" s="37"/>
      <c r="B962" s="44"/>
      <c r="C962" s="44"/>
      <c r="D962" s="44"/>
      <c r="E962" s="44"/>
      <c r="F962" s="44"/>
      <c r="G962" s="44"/>
      <c r="H962" s="34" t="str">
        <f aca="false">IF(G962&lt;&gt;"",G962,IF(F962="","",IFERROR(INDEX(I_Item!$C$6:$C$255,MATCH(F962,I_Item!$A$6:$A$255,0)),"KODE BARU")))</f>
        <v/>
      </c>
      <c r="I962" s="45"/>
      <c r="J962" s="42"/>
      <c r="K962" s="11" t="str">
        <f aca="false">IF(I962="","",I962*J962)</f>
        <v/>
      </c>
      <c r="L962" s="34" t="str">
        <f aca="false">IF(H962="","",IFERROR(INDEX(I_Master!$B$6:$B$85,MATCH(H962,I_Master!$A$6:$A$85,0)),"?"))</f>
        <v/>
      </c>
      <c r="M962" s="46" t="str">
        <f aca="false">IF(I962="","",IF(OR(A962&lt;I_Parameter!$C$5,A962&gt;I_Parameter!$C$6),0,IF(B962="Aktual",1,IF(AND(B962="Rencana",A962&gt;=I_Parameter!$C$4),1,0))))</f>
        <v/>
      </c>
    </row>
    <row r="963" customFormat="false" ht="15" hidden="false" customHeight="false" outlineLevel="0" collapsed="false">
      <c r="A963" s="37"/>
      <c r="B963" s="44"/>
      <c r="C963" s="44"/>
      <c r="D963" s="44"/>
      <c r="E963" s="44"/>
      <c r="F963" s="44"/>
      <c r="G963" s="44"/>
      <c r="H963" s="34" t="str">
        <f aca="false">IF(G963&lt;&gt;"",G963,IF(F963="","",IFERROR(INDEX(I_Item!$C$6:$C$255,MATCH(F963,I_Item!$A$6:$A$255,0)),"KODE BARU")))</f>
        <v/>
      </c>
      <c r="I963" s="45"/>
      <c r="J963" s="42"/>
      <c r="K963" s="11" t="str">
        <f aca="false">IF(I963="","",I963*J963)</f>
        <v/>
      </c>
      <c r="L963" s="34" t="str">
        <f aca="false">IF(H963="","",IFERROR(INDEX(I_Master!$B$6:$B$85,MATCH(H963,I_Master!$A$6:$A$85,0)),"?"))</f>
        <v/>
      </c>
      <c r="M963" s="46" t="str">
        <f aca="false">IF(I963="","",IF(OR(A963&lt;I_Parameter!$C$5,A963&gt;I_Parameter!$C$6),0,IF(B963="Aktual",1,IF(AND(B963="Rencana",A963&gt;=I_Parameter!$C$4),1,0))))</f>
        <v/>
      </c>
    </row>
    <row r="964" customFormat="false" ht="15" hidden="false" customHeight="false" outlineLevel="0" collapsed="false">
      <c r="A964" s="37"/>
      <c r="B964" s="44"/>
      <c r="C964" s="44"/>
      <c r="D964" s="44"/>
      <c r="E964" s="44"/>
      <c r="F964" s="44"/>
      <c r="G964" s="44"/>
      <c r="H964" s="34" t="str">
        <f aca="false">IF(G964&lt;&gt;"",G964,IF(F964="","",IFERROR(INDEX(I_Item!$C$6:$C$255,MATCH(F964,I_Item!$A$6:$A$255,0)),"KODE BARU")))</f>
        <v/>
      </c>
      <c r="I964" s="45"/>
      <c r="J964" s="42"/>
      <c r="K964" s="11" t="str">
        <f aca="false">IF(I964="","",I964*J964)</f>
        <v/>
      </c>
      <c r="L964" s="34" t="str">
        <f aca="false">IF(H964="","",IFERROR(INDEX(I_Master!$B$6:$B$85,MATCH(H964,I_Master!$A$6:$A$85,0)),"?"))</f>
        <v/>
      </c>
      <c r="M964" s="46" t="str">
        <f aca="false">IF(I964="","",IF(OR(A964&lt;I_Parameter!$C$5,A964&gt;I_Parameter!$C$6),0,IF(B964="Aktual",1,IF(AND(B964="Rencana",A964&gt;=I_Parameter!$C$4),1,0))))</f>
        <v/>
      </c>
    </row>
    <row r="965" customFormat="false" ht="15" hidden="false" customHeight="false" outlineLevel="0" collapsed="false">
      <c r="A965" s="37"/>
      <c r="B965" s="44"/>
      <c r="C965" s="44"/>
      <c r="D965" s="44"/>
      <c r="E965" s="44"/>
      <c r="F965" s="44"/>
      <c r="G965" s="44"/>
      <c r="H965" s="34" t="str">
        <f aca="false">IF(G965&lt;&gt;"",G965,IF(F965="","",IFERROR(INDEX(I_Item!$C$6:$C$255,MATCH(F965,I_Item!$A$6:$A$255,0)),"KODE BARU")))</f>
        <v/>
      </c>
      <c r="I965" s="45"/>
      <c r="J965" s="42"/>
      <c r="K965" s="11" t="str">
        <f aca="false">IF(I965="","",I965*J965)</f>
        <v/>
      </c>
      <c r="L965" s="34" t="str">
        <f aca="false">IF(H965="","",IFERROR(INDEX(I_Master!$B$6:$B$85,MATCH(H965,I_Master!$A$6:$A$85,0)),"?"))</f>
        <v/>
      </c>
      <c r="M965" s="46" t="str">
        <f aca="false">IF(I965="","",IF(OR(A965&lt;I_Parameter!$C$5,A965&gt;I_Parameter!$C$6),0,IF(B965="Aktual",1,IF(AND(B965="Rencana",A965&gt;=I_Parameter!$C$4),1,0))))</f>
        <v/>
      </c>
    </row>
    <row r="966" customFormat="false" ht="15" hidden="false" customHeight="false" outlineLevel="0" collapsed="false">
      <c r="A966" s="37"/>
      <c r="B966" s="44"/>
      <c r="C966" s="44"/>
      <c r="D966" s="44"/>
      <c r="E966" s="44"/>
      <c r="F966" s="44"/>
      <c r="G966" s="44"/>
      <c r="H966" s="34" t="str">
        <f aca="false">IF(G966&lt;&gt;"",G966,IF(F966="","",IFERROR(INDEX(I_Item!$C$6:$C$255,MATCH(F966,I_Item!$A$6:$A$255,0)),"KODE BARU")))</f>
        <v/>
      </c>
      <c r="I966" s="45"/>
      <c r="J966" s="42"/>
      <c r="K966" s="11" t="str">
        <f aca="false">IF(I966="","",I966*J966)</f>
        <v/>
      </c>
      <c r="L966" s="34" t="str">
        <f aca="false">IF(H966="","",IFERROR(INDEX(I_Master!$B$6:$B$85,MATCH(H966,I_Master!$A$6:$A$85,0)),"?"))</f>
        <v/>
      </c>
      <c r="M966" s="46" t="str">
        <f aca="false">IF(I966="","",IF(OR(A966&lt;I_Parameter!$C$5,A966&gt;I_Parameter!$C$6),0,IF(B966="Aktual",1,IF(AND(B966="Rencana",A966&gt;=I_Parameter!$C$4),1,0))))</f>
        <v/>
      </c>
    </row>
    <row r="967" customFormat="false" ht="15" hidden="false" customHeight="false" outlineLevel="0" collapsed="false">
      <c r="A967" s="37"/>
      <c r="B967" s="44"/>
      <c r="C967" s="44"/>
      <c r="D967" s="44"/>
      <c r="E967" s="44"/>
      <c r="F967" s="44"/>
      <c r="G967" s="44"/>
      <c r="H967" s="34" t="str">
        <f aca="false">IF(G967&lt;&gt;"",G967,IF(F967="","",IFERROR(INDEX(I_Item!$C$6:$C$255,MATCH(F967,I_Item!$A$6:$A$255,0)),"KODE BARU")))</f>
        <v/>
      </c>
      <c r="I967" s="45"/>
      <c r="J967" s="42"/>
      <c r="K967" s="11" t="str">
        <f aca="false">IF(I967="","",I967*J967)</f>
        <v/>
      </c>
      <c r="L967" s="34" t="str">
        <f aca="false">IF(H967="","",IFERROR(INDEX(I_Master!$B$6:$B$85,MATCH(H967,I_Master!$A$6:$A$85,0)),"?"))</f>
        <v/>
      </c>
      <c r="M967" s="46" t="str">
        <f aca="false">IF(I967="","",IF(OR(A967&lt;I_Parameter!$C$5,A967&gt;I_Parameter!$C$6),0,IF(B967="Aktual",1,IF(AND(B967="Rencana",A967&gt;=I_Parameter!$C$4),1,0))))</f>
        <v/>
      </c>
    </row>
    <row r="968" customFormat="false" ht="15" hidden="false" customHeight="false" outlineLevel="0" collapsed="false">
      <c r="A968" s="37"/>
      <c r="B968" s="44"/>
      <c r="C968" s="44"/>
      <c r="D968" s="44"/>
      <c r="E968" s="44"/>
      <c r="F968" s="44"/>
      <c r="G968" s="44"/>
      <c r="H968" s="34" t="str">
        <f aca="false">IF(G968&lt;&gt;"",G968,IF(F968="","",IFERROR(INDEX(I_Item!$C$6:$C$255,MATCH(F968,I_Item!$A$6:$A$255,0)),"KODE BARU")))</f>
        <v/>
      </c>
      <c r="I968" s="45"/>
      <c r="J968" s="42"/>
      <c r="K968" s="11" t="str">
        <f aca="false">IF(I968="","",I968*J968)</f>
        <v/>
      </c>
      <c r="L968" s="34" t="str">
        <f aca="false">IF(H968="","",IFERROR(INDEX(I_Master!$B$6:$B$85,MATCH(H968,I_Master!$A$6:$A$85,0)),"?"))</f>
        <v/>
      </c>
      <c r="M968" s="46" t="str">
        <f aca="false">IF(I968="","",IF(OR(A968&lt;I_Parameter!$C$5,A968&gt;I_Parameter!$C$6),0,IF(B968="Aktual",1,IF(AND(B968="Rencana",A968&gt;=I_Parameter!$C$4),1,0))))</f>
        <v/>
      </c>
    </row>
    <row r="969" customFormat="false" ht="15" hidden="false" customHeight="false" outlineLevel="0" collapsed="false">
      <c r="A969" s="37"/>
      <c r="B969" s="44"/>
      <c r="C969" s="44"/>
      <c r="D969" s="44"/>
      <c r="E969" s="44"/>
      <c r="F969" s="44"/>
      <c r="G969" s="44"/>
      <c r="H969" s="34" t="str">
        <f aca="false">IF(G969&lt;&gt;"",G969,IF(F969="","",IFERROR(INDEX(I_Item!$C$6:$C$255,MATCH(F969,I_Item!$A$6:$A$255,0)),"KODE BARU")))</f>
        <v/>
      </c>
      <c r="I969" s="45"/>
      <c r="J969" s="42"/>
      <c r="K969" s="11" t="str">
        <f aca="false">IF(I969="","",I969*J969)</f>
        <v/>
      </c>
      <c r="L969" s="34" t="str">
        <f aca="false">IF(H969="","",IFERROR(INDEX(I_Master!$B$6:$B$85,MATCH(H969,I_Master!$A$6:$A$85,0)),"?"))</f>
        <v/>
      </c>
      <c r="M969" s="46" t="str">
        <f aca="false">IF(I969="","",IF(OR(A969&lt;I_Parameter!$C$5,A969&gt;I_Parameter!$C$6),0,IF(B969="Aktual",1,IF(AND(B969="Rencana",A969&gt;=I_Parameter!$C$4),1,0))))</f>
        <v/>
      </c>
    </row>
    <row r="970" customFormat="false" ht="15" hidden="false" customHeight="false" outlineLevel="0" collapsed="false">
      <c r="A970" s="37"/>
      <c r="B970" s="44"/>
      <c r="C970" s="44"/>
      <c r="D970" s="44"/>
      <c r="E970" s="44"/>
      <c r="F970" s="44"/>
      <c r="G970" s="44"/>
      <c r="H970" s="34" t="str">
        <f aca="false">IF(G970&lt;&gt;"",G970,IF(F970="","",IFERROR(INDEX(I_Item!$C$6:$C$255,MATCH(F970,I_Item!$A$6:$A$255,0)),"KODE BARU")))</f>
        <v/>
      </c>
      <c r="I970" s="45"/>
      <c r="J970" s="42"/>
      <c r="K970" s="11" t="str">
        <f aca="false">IF(I970="","",I970*J970)</f>
        <v/>
      </c>
      <c r="L970" s="34" t="str">
        <f aca="false">IF(H970="","",IFERROR(INDEX(I_Master!$B$6:$B$85,MATCH(H970,I_Master!$A$6:$A$85,0)),"?"))</f>
        <v/>
      </c>
      <c r="M970" s="46" t="str">
        <f aca="false">IF(I970="","",IF(OR(A970&lt;I_Parameter!$C$5,A970&gt;I_Parameter!$C$6),0,IF(B970="Aktual",1,IF(AND(B970="Rencana",A970&gt;=I_Parameter!$C$4),1,0))))</f>
        <v/>
      </c>
    </row>
    <row r="971" customFormat="false" ht="15" hidden="false" customHeight="false" outlineLevel="0" collapsed="false">
      <c r="A971" s="37"/>
      <c r="B971" s="44"/>
      <c r="C971" s="44"/>
      <c r="D971" s="44"/>
      <c r="E971" s="44"/>
      <c r="F971" s="44"/>
      <c r="G971" s="44"/>
      <c r="H971" s="34" t="str">
        <f aca="false">IF(G971&lt;&gt;"",G971,IF(F971="","",IFERROR(INDEX(I_Item!$C$6:$C$255,MATCH(F971,I_Item!$A$6:$A$255,0)),"KODE BARU")))</f>
        <v/>
      </c>
      <c r="I971" s="45"/>
      <c r="J971" s="42"/>
      <c r="K971" s="11" t="str">
        <f aca="false">IF(I971="","",I971*J971)</f>
        <v/>
      </c>
      <c r="L971" s="34" t="str">
        <f aca="false">IF(H971="","",IFERROR(INDEX(I_Master!$B$6:$B$85,MATCH(H971,I_Master!$A$6:$A$85,0)),"?"))</f>
        <v/>
      </c>
      <c r="M971" s="46" t="str">
        <f aca="false">IF(I971="","",IF(OR(A971&lt;I_Parameter!$C$5,A971&gt;I_Parameter!$C$6),0,IF(B971="Aktual",1,IF(AND(B971="Rencana",A971&gt;=I_Parameter!$C$4),1,0))))</f>
        <v/>
      </c>
    </row>
    <row r="972" customFormat="false" ht="15" hidden="false" customHeight="false" outlineLevel="0" collapsed="false">
      <c r="A972" s="37"/>
      <c r="B972" s="44"/>
      <c r="C972" s="44"/>
      <c r="D972" s="44"/>
      <c r="E972" s="44"/>
      <c r="F972" s="44"/>
      <c r="G972" s="44"/>
      <c r="H972" s="34" t="str">
        <f aca="false">IF(G972&lt;&gt;"",G972,IF(F972="","",IFERROR(INDEX(I_Item!$C$6:$C$255,MATCH(F972,I_Item!$A$6:$A$255,0)),"KODE BARU")))</f>
        <v/>
      </c>
      <c r="I972" s="45"/>
      <c r="J972" s="42"/>
      <c r="K972" s="11" t="str">
        <f aca="false">IF(I972="","",I972*J972)</f>
        <v/>
      </c>
      <c r="L972" s="34" t="str">
        <f aca="false">IF(H972="","",IFERROR(INDEX(I_Master!$B$6:$B$85,MATCH(H972,I_Master!$A$6:$A$85,0)),"?"))</f>
        <v/>
      </c>
      <c r="M972" s="46" t="str">
        <f aca="false">IF(I972="","",IF(OR(A972&lt;I_Parameter!$C$5,A972&gt;I_Parameter!$C$6),0,IF(B972="Aktual",1,IF(AND(B972="Rencana",A972&gt;=I_Parameter!$C$4),1,0))))</f>
        <v/>
      </c>
    </row>
    <row r="973" customFormat="false" ht="15" hidden="false" customHeight="false" outlineLevel="0" collapsed="false">
      <c r="A973" s="37"/>
      <c r="B973" s="44"/>
      <c r="C973" s="44"/>
      <c r="D973" s="44"/>
      <c r="E973" s="44"/>
      <c r="F973" s="44"/>
      <c r="G973" s="44"/>
      <c r="H973" s="34" t="str">
        <f aca="false">IF(G973&lt;&gt;"",G973,IF(F973="","",IFERROR(INDEX(I_Item!$C$6:$C$255,MATCH(F973,I_Item!$A$6:$A$255,0)),"KODE BARU")))</f>
        <v/>
      </c>
      <c r="I973" s="45"/>
      <c r="J973" s="42"/>
      <c r="K973" s="11" t="str">
        <f aca="false">IF(I973="","",I973*J973)</f>
        <v/>
      </c>
      <c r="L973" s="34" t="str">
        <f aca="false">IF(H973="","",IFERROR(INDEX(I_Master!$B$6:$B$85,MATCH(H973,I_Master!$A$6:$A$85,0)),"?"))</f>
        <v/>
      </c>
      <c r="M973" s="46" t="str">
        <f aca="false">IF(I973="","",IF(OR(A973&lt;I_Parameter!$C$5,A973&gt;I_Parameter!$C$6),0,IF(B973="Aktual",1,IF(AND(B973="Rencana",A973&gt;=I_Parameter!$C$4),1,0))))</f>
        <v/>
      </c>
    </row>
    <row r="974" customFormat="false" ht="15" hidden="false" customHeight="false" outlineLevel="0" collapsed="false">
      <c r="A974" s="37"/>
      <c r="B974" s="44"/>
      <c r="C974" s="44"/>
      <c r="D974" s="44"/>
      <c r="E974" s="44"/>
      <c r="F974" s="44"/>
      <c r="G974" s="44"/>
      <c r="H974" s="34" t="str">
        <f aca="false">IF(G974&lt;&gt;"",G974,IF(F974="","",IFERROR(INDEX(I_Item!$C$6:$C$255,MATCH(F974,I_Item!$A$6:$A$255,0)),"KODE BARU")))</f>
        <v/>
      </c>
      <c r="I974" s="45"/>
      <c r="J974" s="42"/>
      <c r="K974" s="11" t="str">
        <f aca="false">IF(I974="","",I974*J974)</f>
        <v/>
      </c>
      <c r="L974" s="34" t="str">
        <f aca="false">IF(H974="","",IFERROR(INDEX(I_Master!$B$6:$B$85,MATCH(H974,I_Master!$A$6:$A$85,0)),"?"))</f>
        <v/>
      </c>
      <c r="M974" s="46" t="str">
        <f aca="false">IF(I974="","",IF(OR(A974&lt;I_Parameter!$C$5,A974&gt;I_Parameter!$C$6),0,IF(B974="Aktual",1,IF(AND(B974="Rencana",A974&gt;=I_Parameter!$C$4),1,0))))</f>
        <v/>
      </c>
    </row>
    <row r="975" customFormat="false" ht="15" hidden="false" customHeight="false" outlineLevel="0" collapsed="false">
      <c r="A975" s="37"/>
      <c r="B975" s="44"/>
      <c r="C975" s="44"/>
      <c r="D975" s="44"/>
      <c r="E975" s="44"/>
      <c r="F975" s="44"/>
      <c r="G975" s="44"/>
      <c r="H975" s="34" t="str">
        <f aca="false">IF(G975&lt;&gt;"",G975,IF(F975="","",IFERROR(INDEX(I_Item!$C$6:$C$255,MATCH(F975,I_Item!$A$6:$A$255,0)),"KODE BARU")))</f>
        <v/>
      </c>
      <c r="I975" s="45"/>
      <c r="J975" s="42"/>
      <c r="K975" s="11" t="str">
        <f aca="false">IF(I975="","",I975*J975)</f>
        <v/>
      </c>
      <c r="L975" s="34" t="str">
        <f aca="false">IF(H975="","",IFERROR(INDEX(I_Master!$B$6:$B$85,MATCH(H975,I_Master!$A$6:$A$85,0)),"?"))</f>
        <v/>
      </c>
      <c r="M975" s="46" t="str">
        <f aca="false">IF(I975="","",IF(OR(A975&lt;I_Parameter!$C$5,A975&gt;I_Parameter!$C$6),0,IF(B975="Aktual",1,IF(AND(B975="Rencana",A975&gt;=I_Parameter!$C$4),1,0))))</f>
        <v/>
      </c>
    </row>
    <row r="976" customFormat="false" ht="15" hidden="false" customHeight="false" outlineLevel="0" collapsed="false">
      <c r="A976" s="37"/>
      <c r="B976" s="44"/>
      <c r="C976" s="44"/>
      <c r="D976" s="44"/>
      <c r="E976" s="44"/>
      <c r="F976" s="44"/>
      <c r="G976" s="44"/>
      <c r="H976" s="34" t="str">
        <f aca="false">IF(G976&lt;&gt;"",G976,IF(F976="","",IFERROR(INDEX(I_Item!$C$6:$C$255,MATCH(F976,I_Item!$A$6:$A$255,0)),"KODE BARU")))</f>
        <v/>
      </c>
      <c r="I976" s="45"/>
      <c r="J976" s="42"/>
      <c r="K976" s="11" t="str">
        <f aca="false">IF(I976="","",I976*J976)</f>
        <v/>
      </c>
      <c r="L976" s="34" t="str">
        <f aca="false">IF(H976="","",IFERROR(INDEX(I_Master!$B$6:$B$85,MATCH(H976,I_Master!$A$6:$A$85,0)),"?"))</f>
        <v/>
      </c>
      <c r="M976" s="46" t="str">
        <f aca="false">IF(I976="","",IF(OR(A976&lt;I_Parameter!$C$5,A976&gt;I_Parameter!$C$6),0,IF(B976="Aktual",1,IF(AND(B976="Rencana",A976&gt;=I_Parameter!$C$4),1,0))))</f>
        <v/>
      </c>
    </row>
    <row r="977" customFormat="false" ht="15" hidden="false" customHeight="false" outlineLevel="0" collapsed="false">
      <c r="A977" s="37"/>
      <c r="B977" s="44"/>
      <c r="C977" s="44"/>
      <c r="D977" s="44"/>
      <c r="E977" s="44"/>
      <c r="F977" s="44"/>
      <c r="G977" s="44"/>
      <c r="H977" s="34" t="str">
        <f aca="false">IF(G977&lt;&gt;"",G977,IF(F977="","",IFERROR(INDEX(I_Item!$C$6:$C$255,MATCH(F977,I_Item!$A$6:$A$255,0)),"KODE BARU")))</f>
        <v/>
      </c>
      <c r="I977" s="45"/>
      <c r="J977" s="42"/>
      <c r="K977" s="11" t="str">
        <f aca="false">IF(I977="","",I977*J977)</f>
        <v/>
      </c>
      <c r="L977" s="34" t="str">
        <f aca="false">IF(H977="","",IFERROR(INDEX(I_Master!$B$6:$B$85,MATCH(H977,I_Master!$A$6:$A$85,0)),"?"))</f>
        <v/>
      </c>
      <c r="M977" s="46" t="str">
        <f aca="false">IF(I977="","",IF(OR(A977&lt;I_Parameter!$C$5,A977&gt;I_Parameter!$C$6),0,IF(B977="Aktual",1,IF(AND(B977="Rencana",A977&gt;=I_Parameter!$C$4),1,0))))</f>
        <v/>
      </c>
    </row>
    <row r="978" customFormat="false" ht="15" hidden="false" customHeight="false" outlineLevel="0" collapsed="false">
      <c r="A978" s="37"/>
      <c r="B978" s="44"/>
      <c r="C978" s="44"/>
      <c r="D978" s="44"/>
      <c r="E978" s="44"/>
      <c r="F978" s="44"/>
      <c r="G978" s="44"/>
      <c r="H978" s="34" t="str">
        <f aca="false">IF(G978&lt;&gt;"",G978,IF(F978="","",IFERROR(INDEX(I_Item!$C$6:$C$255,MATCH(F978,I_Item!$A$6:$A$255,0)),"KODE BARU")))</f>
        <v/>
      </c>
      <c r="I978" s="45"/>
      <c r="J978" s="42"/>
      <c r="K978" s="11" t="str">
        <f aca="false">IF(I978="","",I978*J978)</f>
        <v/>
      </c>
      <c r="L978" s="34" t="str">
        <f aca="false">IF(H978="","",IFERROR(INDEX(I_Master!$B$6:$B$85,MATCH(H978,I_Master!$A$6:$A$85,0)),"?"))</f>
        <v/>
      </c>
      <c r="M978" s="46" t="str">
        <f aca="false">IF(I978="","",IF(OR(A978&lt;I_Parameter!$C$5,A978&gt;I_Parameter!$C$6),0,IF(B978="Aktual",1,IF(AND(B978="Rencana",A978&gt;=I_Parameter!$C$4),1,0))))</f>
        <v/>
      </c>
    </row>
    <row r="979" customFormat="false" ht="15" hidden="false" customHeight="false" outlineLevel="0" collapsed="false">
      <c r="A979" s="37"/>
      <c r="B979" s="44"/>
      <c r="C979" s="44"/>
      <c r="D979" s="44"/>
      <c r="E979" s="44"/>
      <c r="F979" s="44"/>
      <c r="G979" s="44"/>
      <c r="H979" s="34" t="str">
        <f aca="false">IF(G979&lt;&gt;"",G979,IF(F979="","",IFERROR(INDEX(I_Item!$C$6:$C$255,MATCH(F979,I_Item!$A$6:$A$255,0)),"KODE BARU")))</f>
        <v/>
      </c>
      <c r="I979" s="45"/>
      <c r="J979" s="42"/>
      <c r="K979" s="11" t="str">
        <f aca="false">IF(I979="","",I979*J979)</f>
        <v/>
      </c>
      <c r="L979" s="34" t="str">
        <f aca="false">IF(H979="","",IFERROR(INDEX(I_Master!$B$6:$B$85,MATCH(H979,I_Master!$A$6:$A$85,0)),"?"))</f>
        <v/>
      </c>
      <c r="M979" s="46" t="str">
        <f aca="false">IF(I979="","",IF(OR(A979&lt;I_Parameter!$C$5,A979&gt;I_Parameter!$C$6),0,IF(B979="Aktual",1,IF(AND(B979="Rencana",A979&gt;=I_Parameter!$C$4),1,0))))</f>
        <v/>
      </c>
    </row>
    <row r="980" customFormat="false" ht="15" hidden="false" customHeight="false" outlineLevel="0" collapsed="false">
      <c r="A980" s="37"/>
      <c r="B980" s="44"/>
      <c r="C980" s="44"/>
      <c r="D980" s="44"/>
      <c r="E980" s="44"/>
      <c r="F980" s="44"/>
      <c r="G980" s="44"/>
      <c r="H980" s="34" t="str">
        <f aca="false">IF(G980&lt;&gt;"",G980,IF(F980="","",IFERROR(INDEX(I_Item!$C$6:$C$255,MATCH(F980,I_Item!$A$6:$A$255,0)),"KODE BARU")))</f>
        <v/>
      </c>
      <c r="I980" s="45"/>
      <c r="J980" s="42"/>
      <c r="K980" s="11" t="str">
        <f aca="false">IF(I980="","",I980*J980)</f>
        <v/>
      </c>
      <c r="L980" s="34" t="str">
        <f aca="false">IF(H980="","",IFERROR(INDEX(I_Master!$B$6:$B$85,MATCH(H980,I_Master!$A$6:$A$85,0)),"?"))</f>
        <v/>
      </c>
      <c r="M980" s="46" t="str">
        <f aca="false">IF(I980="","",IF(OR(A980&lt;I_Parameter!$C$5,A980&gt;I_Parameter!$C$6),0,IF(B980="Aktual",1,IF(AND(B980="Rencana",A980&gt;=I_Parameter!$C$4),1,0))))</f>
        <v/>
      </c>
    </row>
    <row r="981" customFormat="false" ht="15" hidden="false" customHeight="false" outlineLevel="0" collapsed="false">
      <c r="A981" s="37"/>
      <c r="B981" s="44"/>
      <c r="C981" s="44"/>
      <c r="D981" s="44"/>
      <c r="E981" s="44"/>
      <c r="F981" s="44"/>
      <c r="G981" s="44"/>
      <c r="H981" s="34" t="str">
        <f aca="false">IF(G981&lt;&gt;"",G981,IF(F981="","",IFERROR(INDEX(I_Item!$C$6:$C$255,MATCH(F981,I_Item!$A$6:$A$255,0)),"KODE BARU")))</f>
        <v/>
      </c>
      <c r="I981" s="45"/>
      <c r="J981" s="42"/>
      <c r="K981" s="11" t="str">
        <f aca="false">IF(I981="","",I981*J981)</f>
        <v/>
      </c>
      <c r="L981" s="34" t="str">
        <f aca="false">IF(H981="","",IFERROR(INDEX(I_Master!$B$6:$B$85,MATCH(H981,I_Master!$A$6:$A$85,0)),"?"))</f>
        <v/>
      </c>
      <c r="M981" s="46" t="str">
        <f aca="false">IF(I981="","",IF(OR(A981&lt;I_Parameter!$C$5,A981&gt;I_Parameter!$C$6),0,IF(B981="Aktual",1,IF(AND(B981="Rencana",A981&gt;=I_Parameter!$C$4),1,0))))</f>
        <v/>
      </c>
    </row>
    <row r="982" customFormat="false" ht="15" hidden="false" customHeight="false" outlineLevel="0" collapsed="false">
      <c r="A982" s="37"/>
      <c r="B982" s="44"/>
      <c r="C982" s="44"/>
      <c r="D982" s="44"/>
      <c r="E982" s="44"/>
      <c r="F982" s="44"/>
      <c r="G982" s="44"/>
      <c r="H982" s="34" t="str">
        <f aca="false">IF(G982&lt;&gt;"",G982,IF(F982="","",IFERROR(INDEX(I_Item!$C$6:$C$255,MATCH(F982,I_Item!$A$6:$A$255,0)),"KODE BARU")))</f>
        <v/>
      </c>
      <c r="I982" s="45"/>
      <c r="J982" s="42"/>
      <c r="K982" s="11" t="str">
        <f aca="false">IF(I982="","",I982*J982)</f>
        <v/>
      </c>
      <c r="L982" s="34" t="str">
        <f aca="false">IF(H982="","",IFERROR(INDEX(I_Master!$B$6:$B$85,MATCH(H982,I_Master!$A$6:$A$85,0)),"?"))</f>
        <v/>
      </c>
      <c r="M982" s="46" t="str">
        <f aca="false">IF(I982="","",IF(OR(A982&lt;I_Parameter!$C$5,A982&gt;I_Parameter!$C$6),0,IF(B982="Aktual",1,IF(AND(B982="Rencana",A982&gt;=I_Parameter!$C$4),1,0))))</f>
        <v/>
      </c>
    </row>
    <row r="983" customFormat="false" ht="15" hidden="false" customHeight="false" outlineLevel="0" collapsed="false">
      <c r="A983" s="37"/>
      <c r="B983" s="44"/>
      <c r="C983" s="44"/>
      <c r="D983" s="44"/>
      <c r="E983" s="44"/>
      <c r="F983" s="44"/>
      <c r="G983" s="44"/>
      <c r="H983" s="34" t="str">
        <f aca="false">IF(G983&lt;&gt;"",G983,IF(F983="","",IFERROR(INDEX(I_Item!$C$6:$C$255,MATCH(F983,I_Item!$A$6:$A$255,0)),"KODE BARU")))</f>
        <v/>
      </c>
      <c r="I983" s="45"/>
      <c r="J983" s="42"/>
      <c r="K983" s="11" t="str">
        <f aca="false">IF(I983="","",I983*J983)</f>
        <v/>
      </c>
      <c r="L983" s="34" t="str">
        <f aca="false">IF(H983="","",IFERROR(INDEX(I_Master!$B$6:$B$85,MATCH(H983,I_Master!$A$6:$A$85,0)),"?"))</f>
        <v/>
      </c>
      <c r="M983" s="46" t="str">
        <f aca="false">IF(I983="","",IF(OR(A983&lt;I_Parameter!$C$5,A983&gt;I_Parameter!$C$6),0,IF(B983="Aktual",1,IF(AND(B983="Rencana",A983&gt;=I_Parameter!$C$4),1,0))))</f>
        <v/>
      </c>
    </row>
    <row r="984" customFormat="false" ht="15" hidden="false" customHeight="false" outlineLevel="0" collapsed="false">
      <c r="A984" s="37"/>
      <c r="B984" s="44"/>
      <c r="C984" s="44"/>
      <c r="D984" s="44"/>
      <c r="E984" s="44"/>
      <c r="F984" s="44"/>
      <c r="G984" s="44"/>
      <c r="H984" s="34" t="str">
        <f aca="false">IF(G984&lt;&gt;"",G984,IF(F984="","",IFERROR(INDEX(I_Item!$C$6:$C$255,MATCH(F984,I_Item!$A$6:$A$255,0)),"KODE BARU")))</f>
        <v/>
      </c>
      <c r="I984" s="45"/>
      <c r="J984" s="42"/>
      <c r="K984" s="11" t="str">
        <f aca="false">IF(I984="","",I984*J984)</f>
        <v/>
      </c>
      <c r="L984" s="34" t="str">
        <f aca="false">IF(H984="","",IFERROR(INDEX(I_Master!$B$6:$B$85,MATCH(H984,I_Master!$A$6:$A$85,0)),"?"))</f>
        <v/>
      </c>
      <c r="M984" s="46" t="str">
        <f aca="false">IF(I984="","",IF(OR(A984&lt;I_Parameter!$C$5,A984&gt;I_Parameter!$C$6),0,IF(B984="Aktual",1,IF(AND(B984="Rencana",A984&gt;=I_Parameter!$C$4),1,0))))</f>
        <v/>
      </c>
    </row>
    <row r="985" customFormat="false" ht="15" hidden="false" customHeight="false" outlineLevel="0" collapsed="false">
      <c r="A985" s="37"/>
      <c r="B985" s="44"/>
      <c r="C985" s="44"/>
      <c r="D985" s="44"/>
      <c r="E985" s="44"/>
      <c r="F985" s="44"/>
      <c r="G985" s="44"/>
      <c r="H985" s="34" t="str">
        <f aca="false">IF(G985&lt;&gt;"",G985,IF(F985="","",IFERROR(INDEX(I_Item!$C$6:$C$255,MATCH(F985,I_Item!$A$6:$A$255,0)),"KODE BARU")))</f>
        <v/>
      </c>
      <c r="I985" s="45"/>
      <c r="J985" s="42"/>
      <c r="K985" s="11" t="str">
        <f aca="false">IF(I985="","",I985*J985)</f>
        <v/>
      </c>
      <c r="L985" s="34" t="str">
        <f aca="false">IF(H985="","",IFERROR(INDEX(I_Master!$B$6:$B$85,MATCH(H985,I_Master!$A$6:$A$85,0)),"?"))</f>
        <v/>
      </c>
      <c r="M985" s="46" t="str">
        <f aca="false">IF(I985="","",IF(OR(A985&lt;I_Parameter!$C$5,A985&gt;I_Parameter!$C$6),0,IF(B985="Aktual",1,IF(AND(B985="Rencana",A985&gt;=I_Parameter!$C$4),1,0))))</f>
        <v/>
      </c>
    </row>
    <row r="986" customFormat="false" ht="15" hidden="false" customHeight="false" outlineLevel="0" collapsed="false">
      <c r="A986" s="37"/>
      <c r="B986" s="44"/>
      <c r="C986" s="44"/>
      <c r="D986" s="44"/>
      <c r="E986" s="44"/>
      <c r="F986" s="44"/>
      <c r="G986" s="44"/>
      <c r="H986" s="34" t="str">
        <f aca="false">IF(G986&lt;&gt;"",G986,IF(F986="","",IFERROR(INDEX(I_Item!$C$6:$C$255,MATCH(F986,I_Item!$A$6:$A$255,0)),"KODE BARU")))</f>
        <v/>
      </c>
      <c r="I986" s="45"/>
      <c r="J986" s="42"/>
      <c r="K986" s="11" t="str">
        <f aca="false">IF(I986="","",I986*J986)</f>
        <v/>
      </c>
      <c r="L986" s="34" t="str">
        <f aca="false">IF(H986="","",IFERROR(INDEX(I_Master!$B$6:$B$85,MATCH(H986,I_Master!$A$6:$A$85,0)),"?"))</f>
        <v/>
      </c>
      <c r="M986" s="46" t="str">
        <f aca="false">IF(I986="","",IF(OR(A986&lt;I_Parameter!$C$5,A986&gt;I_Parameter!$C$6),0,IF(B986="Aktual",1,IF(AND(B986="Rencana",A986&gt;=I_Parameter!$C$4),1,0))))</f>
        <v/>
      </c>
    </row>
    <row r="987" customFormat="false" ht="15" hidden="false" customHeight="false" outlineLevel="0" collapsed="false">
      <c r="A987" s="37"/>
      <c r="B987" s="44"/>
      <c r="C987" s="44"/>
      <c r="D987" s="44"/>
      <c r="E987" s="44"/>
      <c r="F987" s="44"/>
      <c r="G987" s="44"/>
      <c r="H987" s="34" t="str">
        <f aca="false">IF(G987&lt;&gt;"",G987,IF(F987="","",IFERROR(INDEX(I_Item!$C$6:$C$255,MATCH(F987,I_Item!$A$6:$A$255,0)),"KODE BARU")))</f>
        <v/>
      </c>
      <c r="I987" s="45"/>
      <c r="J987" s="42"/>
      <c r="K987" s="11" t="str">
        <f aca="false">IF(I987="","",I987*J987)</f>
        <v/>
      </c>
      <c r="L987" s="34" t="str">
        <f aca="false">IF(H987="","",IFERROR(INDEX(I_Master!$B$6:$B$85,MATCH(H987,I_Master!$A$6:$A$85,0)),"?"))</f>
        <v/>
      </c>
      <c r="M987" s="46" t="str">
        <f aca="false">IF(I987="","",IF(OR(A987&lt;I_Parameter!$C$5,A987&gt;I_Parameter!$C$6),0,IF(B987="Aktual",1,IF(AND(B987="Rencana",A987&gt;=I_Parameter!$C$4),1,0))))</f>
        <v/>
      </c>
    </row>
    <row r="988" customFormat="false" ht="15" hidden="false" customHeight="false" outlineLevel="0" collapsed="false">
      <c r="A988" s="37"/>
      <c r="B988" s="44"/>
      <c r="C988" s="44"/>
      <c r="D988" s="44"/>
      <c r="E988" s="44"/>
      <c r="F988" s="44"/>
      <c r="G988" s="44"/>
      <c r="H988" s="34" t="str">
        <f aca="false">IF(G988&lt;&gt;"",G988,IF(F988="","",IFERROR(INDEX(I_Item!$C$6:$C$255,MATCH(F988,I_Item!$A$6:$A$255,0)),"KODE BARU")))</f>
        <v/>
      </c>
      <c r="I988" s="45"/>
      <c r="J988" s="42"/>
      <c r="K988" s="11" t="str">
        <f aca="false">IF(I988="","",I988*J988)</f>
        <v/>
      </c>
      <c r="L988" s="34" t="str">
        <f aca="false">IF(H988="","",IFERROR(INDEX(I_Master!$B$6:$B$85,MATCH(H988,I_Master!$A$6:$A$85,0)),"?"))</f>
        <v/>
      </c>
      <c r="M988" s="46" t="str">
        <f aca="false">IF(I988="","",IF(OR(A988&lt;I_Parameter!$C$5,A988&gt;I_Parameter!$C$6),0,IF(B988="Aktual",1,IF(AND(B988="Rencana",A988&gt;=I_Parameter!$C$4),1,0))))</f>
        <v/>
      </c>
    </row>
    <row r="989" customFormat="false" ht="15" hidden="false" customHeight="false" outlineLevel="0" collapsed="false">
      <c r="A989" s="37"/>
      <c r="B989" s="44"/>
      <c r="C989" s="44"/>
      <c r="D989" s="44"/>
      <c r="E989" s="44"/>
      <c r="F989" s="44"/>
      <c r="G989" s="44"/>
      <c r="H989" s="34" t="str">
        <f aca="false">IF(G989&lt;&gt;"",G989,IF(F989="","",IFERROR(INDEX(I_Item!$C$6:$C$255,MATCH(F989,I_Item!$A$6:$A$255,0)),"KODE BARU")))</f>
        <v/>
      </c>
      <c r="I989" s="45"/>
      <c r="J989" s="42"/>
      <c r="K989" s="11" t="str">
        <f aca="false">IF(I989="","",I989*J989)</f>
        <v/>
      </c>
      <c r="L989" s="34" t="str">
        <f aca="false">IF(H989="","",IFERROR(INDEX(I_Master!$B$6:$B$85,MATCH(H989,I_Master!$A$6:$A$85,0)),"?"))</f>
        <v/>
      </c>
      <c r="M989" s="46" t="str">
        <f aca="false">IF(I989="","",IF(OR(A989&lt;I_Parameter!$C$5,A989&gt;I_Parameter!$C$6),0,IF(B989="Aktual",1,IF(AND(B989="Rencana",A989&gt;=I_Parameter!$C$4),1,0))))</f>
        <v/>
      </c>
    </row>
    <row r="990" customFormat="false" ht="15" hidden="false" customHeight="false" outlineLevel="0" collapsed="false">
      <c r="A990" s="37"/>
      <c r="B990" s="44"/>
      <c r="C990" s="44"/>
      <c r="D990" s="44"/>
      <c r="E990" s="44"/>
      <c r="F990" s="44"/>
      <c r="G990" s="44"/>
      <c r="H990" s="34" t="str">
        <f aca="false">IF(G990&lt;&gt;"",G990,IF(F990="","",IFERROR(INDEX(I_Item!$C$6:$C$255,MATCH(F990,I_Item!$A$6:$A$255,0)),"KODE BARU")))</f>
        <v/>
      </c>
      <c r="I990" s="45"/>
      <c r="J990" s="42"/>
      <c r="K990" s="11" t="str">
        <f aca="false">IF(I990="","",I990*J990)</f>
        <v/>
      </c>
      <c r="L990" s="34" t="str">
        <f aca="false">IF(H990="","",IFERROR(INDEX(I_Master!$B$6:$B$85,MATCH(H990,I_Master!$A$6:$A$85,0)),"?"))</f>
        <v/>
      </c>
      <c r="M990" s="46" t="str">
        <f aca="false">IF(I990="","",IF(OR(A990&lt;I_Parameter!$C$5,A990&gt;I_Parameter!$C$6),0,IF(B990="Aktual",1,IF(AND(B990="Rencana",A990&gt;=I_Parameter!$C$4),1,0))))</f>
        <v/>
      </c>
    </row>
    <row r="991" customFormat="false" ht="15" hidden="false" customHeight="false" outlineLevel="0" collapsed="false">
      <c r="A991" s="37"/>
      <c r="B991" s="44"/>
      <c r="C991" s="44"/>
      <c r="D991" s="44"/>
      <c r="E991" s="44"/>
      <c r="F991" s="44"/>
      <c r="G991" s="44"/>
      <c r="H991" s="34" t="str">
        <f aca="false">IF(G991&lt;&gt;"",G991,IF(F991="","",IFERROR(INDEX(I_Item!$C$6:$C$255,MATCH(F991,I_Item!$A$6:$A$255,0)),"KODE BARU")))</f>
        <v/>
      </c>
      <c r="I991" s="45"/>
      <c r="J991" s="42"/>
      <c r="K991" s="11" t="str">
        <f aca="false">IF(I991="","",I991*J991)</f>
        <v/>
      </c>
      <c r="L991" s="34" t="str">
        <f aca="false">IF(H991="","",IFERROR(INDEX(I_Master!$B$6:$B$85,MATCH(H991,I_Master!$A$6:$A$85,0)),"?"))</f>
        <v/>
      </c>
      <c r="M991" s="46" t="str">
        <f aca="false">IF(I991="","",IF(OR(A991&lt;I_Parameter!$C$5,A991&gt;I_Parameter!$C$6),0,IF(B991="Aktual",1,IF(AND(B991="Rencana",A991&gt;=I_Parameter!$C$4),1,0))))</f>
        <v/>
      </c>
    </row>
    <row r="992" customFormat="false" ht="15" hidden="false" customHeight="false" outlineLevel="0" collapsed="false">
      <c r="A992" s="37"/>
      <c r="B992" s="44"/>
      <c r="C992" s="44"/>
      <c r="D992" s="44"/>
      <c r="E992" s="44"/>
      <c r="F992" s="44"/>
      <c r="G992" s="44"/>
      <c r="H992" s="34" t="str">
        <f aca="false">IF(G992&lt;&gt;"",G992,IF(F992="","",IFERROR(INDEX(I_Item!$C$6:$C$255,MATCH(F992,I_Item!$A$6:$A$255,0)),"KODE BARU")))</f>
        <v/>
      </c>
      <c r="I992" s="45"/>
      <c r="J992" s="42"/>
      <c r="K992" s="11" t="str">
        <f aca="false">IF(I992="","",I992*J992)</f>
        <v/>
      </c>
      <c r="L992" s="34" t="str">
        <f aca="false">IF(H992="","",IFERROR(INDEX(I_Master!$B$6:$B$85,MATCH(H992,I_Master!$A$6:$A$85,0)),"?"))</f>
        <v/>
      </c>
      <c r="M992" s="46" t="str">
        <f aca="false">IF(I992="","",IF(OR(A992&lt;I_Parameter!$C$5,A992&gt;I_Parameter!$C$6),0,IF(B992="Aktual",1,IF(AND(B992="Rencana",A992&gt;=I_Parameter!$C$4),1,0))))</f>
        <v/>
      </c>
    </row>
    <row r="993" customFormat="false" ht="15" hidden="false" customHeight="false" outlineLevel="0" collapsed="false">
      <c r="A993" s="37"/>
      <c r="B993" s="44"/>
      <c r="C993" s="44"/>
      <c r="D993" s="44"/>
      <c r="E993" s="44"/>
      <c r="F993" s="44"/>
      <c r="G993" s="44"/>
      <c r="H993" s="34" t="str">
        <f aca="false">IF(G993&lt;&gt;"",G993,IF(F993="","",IFERROR(INDEX(I_Item!$C$6:$C$255,MATCH(F993,I_Item!$A$6:$A$255,0)),"KODE BARU")))</f>
        <v/>
      </c>
      <c r="I993" s="45"/>
      <c r="J993" s="42"/>
      <c r="K993" s="11" t="str">
        <f aca="false">IF(I993="","",I993*J993)</f>
        <v/>
      </c>
      <c r="L993" s="34" t="str">
        <f aca="false">IF(H993="","",IFERROR(INDEX(I_Master!$B$6:$B$85,MATCH(H993,I_Master!$A$6:$A$85,0)),"?"))</f>
        <v/>
      </c>
      <c r="M993" s="46" t="str">
        <f aca="false">IF(I993="","",IF(OR(A993&lt;I_Parameter!$C$5,A993&gt;I_Parameter!$C$6),0,IF(B993="Aktual",1,IF(AND(B993="Rencana",A993&gt;=I_Parameter!$C$4),1,0))))</f>
        <v/>
      </c>
    </row>
    <row r="994" customFormat="false" ht="15" hidden="false" customHeight="false" outlineLevel="0" collapsed="false">
      <c r="A994" s="37"/>
      <c r="B994" s="44"/>
      <c r="C994" s="44"/>
      <c r="D994" s="44"/>
      <c r="E994" s="44"/>
      <c r="F994" s="44"/>
      <c r="G994" s="44"/>
      <c r="H994" s="34" t="str">
        <f aca="false">IF(G994&lt;&gt;"",G994,IF(F994="","",IFERROR(INDEX(I_Item!$C$6:$C$255,MATCH(F994,I_Item!$A$6:$A$255,0)),"KODE BARU")))</f>
        <v/>
      </c>
      <c r="I994" s="45"/>
      <c r="J994" s="42"/>
      <c r="K994" s="11" t="str">
        <f aca="false">IF(I994="","",I994*J994)</f>
        <v/>
      </c>
      <c r="L994" s="34" t="str">
        <f aca="false">IF(H994="","",IFERROR(INDEX(I_Master!$B$6:$B$85,MATCH(H994,I_Master!$A$6:$A$85,0)),"?"))</f>
        <v/>
      </c>
      <c r="M994" s="46" t="str">
        <f aca="false">IF(I994="","",IF(OR(A994&lt;I_Parameter!$C$5,A994&gt;I_Parameter!$C$6),0,IF(B994="Aktual",1,IF(AND(B994="Rencana",A994&gt;=I_Parameter!$C$4),1,0))))</f>
        <v/>
      </c>
    </row>
    <row r="995" customFormat="false" ht="15" hidden="false" customHeight="false" outlineLevel="0" collapsed="false">
      <c r="A995" s="37"/>
      <c r="B995" s="44"/>
      <c r="C995" s="44"/>
      <c r="D995" s="44"/>
      <c r="E995" s="44"/>
      <c r="F995" s="44"/>
      <c r="G995" s="44"/>
      <c r="H995" s="34" t="str">
        <f aca="false">IF(G995&lt;&gt;"",G995,IF(F995="","",IFERROR(INDEX(I_Item!$C$6:$C$255,MATCH(F995,I_Item!$A$6:$A$255,0)),"KODE BARU")))</f>
        <v/>
      </c>
      <c r="I995" s="45"/>
      <c r="J995" s="42"/>
      <c r="K995" s="11" t="str">
        <f aca="false">IF(I995="","",I995*J995)</f>
        <v/>
      </c>
      <c r="L995" s="34" t="str">
        <f aca="false">IF(H995="","",IFERROR(INDEX(I_Master!$B$6:$B$85,MATCH(H995,I_Master!$A$6:$A$85,0)),"?"))</f>
        <v/>
      </c>
      <c r="M995" s="46" t="str">
        <f aca="false">IF(I995="","",IF(OR(A995&lt;I_Parameter!$C$5,A995&gt;I_Parameter!$C$6),0,IF(B995="Aktual",1,IF(AND(B995="Rencana",A995&gt;=I_Parameter!$C$4),1,0))))</f>
        <v/>
      </c>
    </row>
    <row r="996" customFormat="false" ht="15" hidden="false" customHeight="false" outlineLevel="0" collapsed="false">
      <c r="A996" s="37"/>
      <c r="B996" s="44"/>
      <c r="C996" s="44"/>
      <c r="D996" s="44"/>
      <c r="E996" s="44"/>
      <c r="F996" s="44"/>
      <c r="G996" s="44"/>
      <c r="H996" s="34" t="str">
        <f aca="false">IF(G996&lt;&gt;"",G996,IF(F996="","",IFERROR(INDEX(I_Item!$C$6:$C$255,MATCH(F996,I_Item!$A$6:$A$255,0)),"KODE BARU")))</f>
        <v/>
      </c>
      <c r="I996" s="45"/>
      <c r="J996" s="42"/>
      <c r="K996" s="11" t="str">
        <f aca="false">IF(I996="","",I996*J996)</f>
        <v/>
      </c>
      <c r="L996" s="34" t="str">
        <f aca="false">IF(H996="","",IFERROR(INDEX(I_Master!$B$6:$B$85,MATCH(H996,I_Master!$A$6:$A$85,0)),"?"))</f>
        <v/>
      </c>
      <c r="M996" s="46" t="str">
        <f aca="false">IF(I996="","",IF(OR(A996&lt;I_Parameter!$C$5,A996&gt;I_Parameter!$C$6),0,IF(B996="Aktual",1,IF(AND(B996="Rencana",A996&gt;=I_Parameter!$C$4),1,0))))</f>
        <v/>
      </c>
    </row>
    <row r="997" customFormat="false" ht="15" hidden="false" customHeight="false" outlineLevel="0" collapsed="false">
      <c r="A997" s="37"/>
      <c r="B997" s="44"/>
      <c r="C997" s="44"/>
      <c r="D997" s="44"/>
      <c r="E997" s="44"/>
      <c r="F997" s="44"/>
      <c r="G997" s="44"/>
      <c r="H997" s="34" t="str">
        <f aca="false">IF(G997&lt;&gt;"",G997,IF(F997="","",IFERROR(INDEX(I_Item!$C$6:$C$255,MATCH(F997,I_Item!$A$6:$A$255,0)),"KODE BARU")))</f>
        <v/>
      </c>
      <c r="I997" s="45"/>
      <c r="J997" s="42"/>
      <c r="K997" s="11" t="str">
        <f aca="false">IF(I997="","",I997*J997)</f>
        <v/>
      </c>
      <c r="L997" s="34" t="str">
        <f aca="false">IF(H997="","",IFERROR(INDEX(I_Master!$B$6:$B$85,MATCH(H997,I_Master!$A$6:$A$85,0)),"?"))</f>
        <v/>
      </c>
      <c r="M997" s="46" t="str">
        <f aca="false">IF(I997="","",IF(OR(A997&lt;I_Parameter!$C$5,A997&gt;I_Parameter!$C$6),0,IF(B997="Aktual",1,IF(AND(B997="Rencana",A997&gt;=I_Parameter!$C$4),1,0))))</f>
        <v/>
      </c>
    </row>
    <row r="998" customFormat="false" ht="15" hidden="false" customHeight="false" outlineLevel="0" collapsed="false">
      <c r="A998" s="37"/>
      <c r="B998" s="44"/>
      <c r="C998" s="44"/>
      <c r="D998" s="44"/>
      <c r="E998" s="44"/>
      <c r="F998" s="44"/>
      <c r="G998" s="44"/>
      <c r="H998" s="34" t="str">
        <f aca="false">IF(G998&lt;&gt;"",G998,IF(F998="","",IFERROR(INDEX(I_Item!$C$6:$C$255,MATCH(F998,I_Item!$A$6:$A$255,0)),"KODE BARU")))</f>
        <v/>
      </c>
      <c r="I998" s="45"/>
      <c r="J998" s="42"/>
      <c r="K998" s="11" t="str">
        <f aca="false">IF(I998="","",I998*J998)</f>
        <v/>
      </c>
      <c r="L998" s="34" t="str">
        <f aca="false">IF(H998="","",IFERROR(INDEX(I_Master!$B$6:$B$85,MATCH(H998,I_Master!$A$6:$A$85,0)),"?"))</f>
        <v/>
      </c>
      <c r="M998" s="46" t="str">
        <f aca="false">IF(I998="","",IF(OR(A998&lt;I_Parameter!$C$5,A998&gt;I_Parameter!$C$6),0,IF(B998="Aktual",1,IF(AND(B998="Rencana",A998&gt;=I_Parameter!$C$4),1,0))))</f>
        <v/>
      </c>
    </row>
    <row r="999" customFormat="false" ht="15" hidden="false" customHeight="false" outlineLevel="0" collapsed="false">
      <c r="A999" s="37"/>
      <c r="B999" s="44"/>
      <c r="C999" s="44"/>
      <c r="D999" s="44"/>
      <c r="E999" s="44"/>
      <c r="F999" s="44"/>
      <c r="G999" s="44"/>
      <c r="H999" s="34" t="str">
        <f aca="false">IF(G999&lt;&gt;"",G999,IF(F999="","",IFERROR(INDEX(I_Item!$C$6:$C$255,MATCH(F999,I_Item!$A$6:$A$255,0)),"KODE BARU")))</f>
        <v/>
      </c>
      <c r="I999" s="45"/>
      <c r="J999" s="42"/>
      <c r="K999" s="11" t="str">
        <f aca="false">IF(I999="","",I999*J999)</f>
        <v/>
      </c>
      <c r="L999" s="34" t="str">
        <f aca="false">IF(H999="","",IFERROR(INDEX(I_Master!$B$6:$B$85,MATCH(H999,I_Master!$A$6:$A$85,0)),"?"))</f>
        <v/>
      </c>
      <c r="M999" s="46" t="str">
        <f aca="false">IF(I999="","",IF(OR(A999&lt;I_Parameter!$C$5,A999&gt;I_Parameter!$C$6),0,IF(B999="Aktual",1,IF(AND(B999="Rencana",A999&gt;=I_Parameter!$C$4),1,0))))</f>
        <v/>
      </c>
    </row>
    <row r="1000" customFormat="false" ht="15" hidden="false" customHeight="false" outlineLevel="0" collapsed="false">
      <c r="A1000" s="37"/>
      <c r="B1000" s="44"/>
      <c r="C1000" s="44"/>
      <c r="D1000" s="44"/>
      <c r="E1000" s="44"/>
      <c r="F1000" s="44"/>
      <c r="G1000" s="44"/>
      <c r="H1000" s="34" t="str">
        <f aca="false">IF(G1000&lt;&gt;"",G1000,IF(F1000="","",IFERROR(INDEX(I_Item!$C$6:$C$255,MATCH(F1000,I_Item!$A$6:$A$255,0)),"KODE BARU")))</f>
        <v/>
      </c>
      <c r="I1000" s="45"/>
      <c r="J1000" s="42"/>
      <c r="K1000" s="11" t="str">
        <f aca="false">IF(I1000="","",I1000*J1000)</f>
        <v/>
      </c>
      <c r="L1000" s="34" t="str">
        <f aca="false">IF(H1000="","",IFERROR(INDEX(I_Master!$B$6:$B$85,MATCH(H1000,I_Master!$A$6:$A$85,0)),"?"))</f>
        <v/>
      </c>
      <c r="M1000" s="46" t="str">
        <f aca="false">IF(I1000="","",IF(OR(A1000&lt;I_Parameter!$C$5,A1000&gt;I_Parameter!$C$6),0,IF(B1000="Aktual",1,IF(AND(B1000="Rencana",A1000&gt;=I_Parameter!$C$4),1,0))))</f>
        <v/>
      </c>
    </row>
    <row r="1001" customFormat="false" ht="15" hidden="false" customHeight="false" outlineLevel="0" collapsed="false">
      <c r="A1001" s="37"/>
      <c r="B1001" s="44"/>
      <c r="C1001" s="44"/>
      <c r="D1001" s="44"/>
      <c r="E1001" s="44"/>
      <c r="F1001" s="44"/>
      <c r="G1001" s="44"/>
      <c r="H1001" s="34" t="str">
        <f aca="false">IF(G1001&lt;&gt;"",G1001,IF(F1001="","",IFERROR(INDEX(I_Item!$C$6:$C$255,MATCH(F1001,I_Item!$A$6:$A$255,0)),"KODE BARU")))</f>
        <v/>
      </c>
      <c r="I1001" s="45"/>
      <c r="J1001" s="42"/>
      <c r="K1001" s="11" t="str">
        <f aca="false">IF(I1001="","",I1001*J1001)</f>
        <v/>
      </c>
      <c r="L1001" s="34" t="str">
        <f aca="false">IF(H1001="","",IFERROR(INDEX(I_Master!$B$6:$B$85,MATCH(H1001,I_Master!$A$6:$A$85,0)),"?"))</f>
        <v/>
      </c>
      <c r="M1001" s="46" t="str">
        <f aca="false">IF(I1001="","",IF(OR(A1001&lt;I_Parameter!$C$5,A1001&gt;I_Parameter!$C$6),0,IF(B1001="Aktual",1,IF(AND(B1001="Rencana",A1001&gt;=I_Parameter!$C$4),1,0))))</f>
        <v/>
      </c>
    </row>
    <row r="1002" customFormat="false" ht="15" hidden="false" customHeight="false" outlineLevel="0" collapsed="false">
      <c r="A1002" s="37"/>
      <c r="B1002" s="44"/>
      <c r="C1002" s="44"/>
      <c r="D1002" s="44"/>
      <c r="E1002" s="44"/>
      <c r="F1002" s="44"/>
      <c r="G1002" s="44"/>
      <c r="H1002" s="34" t="str">
        <f aca="false">IF(G1002&lt;&gt;"",G1002,IF(F1002="","",IFERROR(INDEX(I_Item!$C$6:$C$255,MATCH(F1002,I_Item!$A$6:$A$255,0)),"KODE BARU")))</f>
        <v/>
      </c>
      <c r="I1002" s="45"/>
      <c r="J1002" s="42"/>
      <c r="K1002" s="11" t="str">
        <f aca="false">IF(I1002="","",I1002*J1002)</f>
        <v/>
      </c>
      <c r="L1002" s="34" t="str">
        <f aca="false">IF(H1002="","",IFERROR(INDEX(I_Master!$B$6:$B$85,MATCH(H1002,I_Master!$A$6:$A$85,0)),"?"))</f>
        <v/>
      </c>
      <c r="M1002" s="46" t="str">
        <f aca="false">IF(I1002="","",IF(OR(A1002&lt;I_Parameter!$C$5,A1002&gt;I_Parameter!$C$6),0,IF(B1002="Aktual",1,IF(AND(B1002="Rencana",A1002&gt;=I_Parameter!$C$4),1,0))))</f>
        <v/>
      </c>
    </row>
    <row r="1003" customFormat="false" ht="15" hidden="false" customHeight="false" outlineLevel="0" collapsed="false">
      <c r="A1003" s="37"/>
      <c r="B1003" s="44"/>
      <c r="C1003" s="44"/>
      <c r="D1003" s="44"/>
      <c r="E1003" s="44"/>
      <c r="F1003" s="44"/>
      <c r="G1003" s="44"/>
      <c r="H1003" s="34" t="str">
        <f aca="false">IF(G1003&lt;&gt;"",G1003,IF(F1003="","",IFERROR(INDEX(I_Item!$C$6:$C$255,MATCH(F1003,I_Item!$A$6:$A$255,0)),"KODE BARU")))</f>
        <v/>
      </c>
      <c r="I1003" s="45"/>
      <c r="J1003" s="42"/>
      <c r="K1003" s="11" t="str">
        <f aca="false">IF(I1003="","",I1003*J1003)</f>
        <v/>
      </c>
      <c r="L1003" s="34" t="str">
        <f aca="false">IF(H1003="","",IFERROR(INDEX(I_Master!$B$6:$B$85,MATCH(H1003,I_Master!$A$6:$A$85,0)),"?"))</f>
        <v/>
      </c>
      <c r="M1003" s="46" t="str">
        <f aca="false">IF(I1003="","",IF(OR(A1003&lt;I_Parameter!$C$5,A1003&gt;I_Parameter!$C$6),0,IF(B1003="Aktual",1,IF(AND(B1003="Rencana",A1003&gt;=I_Parameter!$C$4),1,0))))</f>
        <v/>
      </c>
    </row>
    <row r="1004" customFormat="false" ht="15" hidden="false" customHeight="false" outlineLevel="0" collapsed="false">
      <c r="A1004" s="37"/>
      <c r="B1004" s="44"/>
      <c r="C1004" s="44"/>
      <c r="D1004" s="44"/>
      <c r="E1004" s="44"/>
      <c r="F1004" s="44"/>
      <c r="G1004" s="44"/>
      <c r="H1004" s="34" t="str">
        <f aca="false">IF(G1004&lt;&gt;"",G1004,IF(F1004="","",IFERROR(INDEX(I_Item!$C$6:$C$255,MATCH(F1004,I_Item!$A$6:$A$255,0)),"KODE BARU")))</f>
        <v/>
      </c>
      <c r="I1004" s="45"/>
      <c r="J1004" s="42"/>
      <c r="K1004" s="11" t="str">
        <f aca="false">IF(I1004="","",I1004*J1004)</f>
        <v/>
      </c>
      <c r="L1004" s="34" t="str">
        <f aca="false">IF(H1004="","",IFERROR(INDEX(I_Master!$B$6:$B$85,MATCH(H1004,I_Master!$A$6:$A$85,0)),"?"))</f>
        <v/>
      </c>
      <c r="M1004" s="46" t="str">
        <f aca="false">IF(I1004="","",IF(OR(A1004&lt;I_Parameter!$C$5,A1004&gt;I_Parameter!$C$6),0,IF(B1004="Aktual",1,IF(AND(B1004="Rencana",A1004&gt;=I_Parameter!$C$4),1,0))))</f>
        <v/>
      </c>
    </row>
    <row r="1005" customFormat="false" ht="15" hidden="false" customHeight="false" outlineLevel="0" collapsed="false">
      <c r="A1005" s="37"/>
      <c r="B1005" s="44"/>
      <c r="C1005" s="44"/>
      <c r="D1005" s="44"/>
      <c r="E1005" s="44"/>
      <c r="F1005" s="44"/>
      <c r="G1005" s="44"/>
      <c r="H1005" s="34" t="str">
        <f aca="false">IF(G1005&lt;&gt;"",G1005,IF(F1005="","",IFERROR(INDEX(I_Item!$C$6:$C$255,MATCH(F1005,I_Item!$A$6:$A$255,0)),"KODE BARU")))</f>
        <v/>
      </c>
      <c r="I1005" s="45"/>
      <c r="J1005" s="42"/>
      <c r="K1005" s="11" t="str">
        <f aca="false">IF(I1005="","",I1005*J1005)</f>
        <v/>
      </c>
      <c r="L1005" s="34" t="str">
        <f aca="false">IF(H1005="","",IFERROR(INDEX(I_Master!$B$6:$B$85,MATCH(H1005,I_Master!$A$6:$A$85,0)),"?"))</f>
        <v/>
      </c>
      <c r="M1005" s="46" t="str">
        <f aca="false">IF(I1005="","",IF(OR(A1005&lt;I_Parameter!$C$5,A1005&gt;I_Parameter!$C$6),0,IF(B1005="Aktual",1,IF(AND(B1005="Rencana",A1005&gt;=I_Parameter!$C$4),1,0))))</f>
        <v/>
      </c>
    </row>
  </sheetData>
  <autoFilter ref="A5:M1005"/>
  <dataValidations count="2">
    <dataValidation allowBlank="true" errorStyle="stop" operator="between" showDropDown="false" showErrorMessage="false" showInputMessage="false" sqref="B6:B1005" type="list">
      <formula1>"Aktual,Rencana"</formula1>
      <formula2>0</formula2>
    </dataValidation>
    <dataValidation allowBlank="true" errorStyle="stop" operator="between" showDropDown="false" showErrorMessage="false" showInputMessage="false" sqref="C6:C1005" type="list">
      <formula1>"Produksi RPA,Beli Trading"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5" min="12" style="0" width="9"/>
    <col collapsed="false" customWidth="true" hidden="false" outlineLevel="0" max="17" min="16" style="0" width="8"/>
    <col collapsed="false" customWidth="true" hidden="false" outlineLevel="0" max="19" min="18" style="0" width="14"/>
    <col collapsed="false" customWidth="true" hidden="false" outlineLevel="0" max="20" min="20" style="0" width="8"/>
    <col collapsed="false" customWidth="true" hidden="false" outlineLevel="0" max="21" min="21" style="0" width="11"/>
    <col collapsed="false" customWidth="true" hidden="false" outlineLevel="0" max="23" min="22" style="0" width="9"/>
    <col collapsed="false" customWidth="true" hidden="false" outlineLevel="0" max="24" min="24" style="0" width="8"/>
    <col collapsed="false" customWidth="true" hidden="false" outlineLevel="0" max="25" min="25" style="0" width="15"/>
    <col collapsed="false" customWidth="true" hidden="false" outlineLevel="0" max="26" min="26" style="0" width="14"/>
    <col collapsed="false" customWidth="true" hidden="false" outlineLevel="0" max="30" min="27" style="0" width="11"/>
  </cols>
  <sheetData>
    <row r="1" customFormat="false" ht="16.15" hidden="false" customHeight="false" outlineLevel="0" collapsed="false">
      <c r="A1" s="1" t="s">
        <v>535</v>
      </c>
    </row>
    <row r="2" customFormat="false" ht="15" hidden="false" customHeight="false" outlineLevel="0" collapsed="false">
      <c r="A2" s="6" t="s">
        <v>536</v>
      </c>
    </row>
    <row r="5" customFormat="false" ht="43.5" hidden="false" customHeight="true" outlineLevel="0" collapsed="false">
      <c r="A5" s="8" t="s">
        <v>537</v>
      </c>
      <c r="B5" s="8" t="s">
        <v>102</v>
      </c>
      <c r="C5" s="8" t="s">
        <v>538</v>
      </c>
      <c r="D5" s="8" t="s">
        <v>511</v>
      </c>
      <c r="E5" s="8" t="s">
        <v>539</v>
      </c>
      <c r="F5" s="8" t="s">
        <v>540</v>
      </c>
      <c r="G5" s="8" t="s">
        <v>541</v>
      </c>
      <c r="H5" s="8" t="s">
        <v>542</v>
      </c>
      <c r="I5" s="8" t="s">
        <v>543</v>
      </c>
      <c r="J5" s="8" t="s">
        <v>544</v>
      </c>
      <c r="K5" s="8" t="s">
        <v>545</v>
      </c>
      <c r="L5" s="8" t="s">
        <v>546</v>
      </c>
      <c r="M5" s="8" t="s">
        <v>547</v>
      </c>
      <c r="N5" s="8" t="s">
        <v>548</v>
      </c>
      <c r="O5" s="8" t="s">
        <v>549</v>
      </c>
      <c r="P5" s="8" t="s">
        <v>550</v>
      </c>
      <c r="Q5" s="8" t="s">
        <v>551</v>
      </c>
      <c r="R5" s="8" t="s">
        <v>552</v>
      </c>
      <c r="S5" s="8" t="s">
        <v>553</v>
      </c>
      <c r="T5" s="8" t="s">
        <v>120</v>
      </c>
      <c r="U5" s="8" t="s">
        <v>554</v>
      </c>
      <c r="V5" s="8" t="s">
        <v>555</v>
      </c>
      <c r="W5" s="8" t="s">
        <v>121</v>
      </c>
      <c r="X5" s="8" t="s">
        <v>556</v>
      </c>
      <c r="Y5" s="8" t="s">
        <v>557</v>
      </c>
      <c r="Z5" s="8" t="s">
        <v>558</v>
      </c>
      <c r="AA5" s="8" t="s">
        <v>124</v>
      </c>
      <c r="AB5" s="8" t="s">
        <v>559</v>
      </c>
      <c r="AC5" s="8" t="s">
        <v>125</v>
      </c>
      <c r="AD5" s="8" t="s">
        <v>126</v>
      </c>
    </row>
    <row r="6" customFormat="false" ht="15" hidden="false" customHeight="false" outlineLevel="0" collapsed="false">
      <c r="A6" s="37" t="n">
        <v>46259</v>
      </c>
      <c r="B6" s="44" t="s">
        <v>128</v>
      </c>
      <c r="C6" s="44" t="s">
        <v>515</v>
      </c>
      <c r="D6" s="44" t="s">
        <v>516</v>
      </c>
      <c r="E6" s="45" t="n">
        <v>12211.6</v>
      </c>
      <c r="F6" s="42" t="n">
        <v>23659.91</v>
      </c>
      <c r="G6" s="42" t="n">
        <v>25500000</v>
      </c>
      <c r="H6" s="42" t="n">
        <v>18666880</v>
      </c>
      <c r="I6" s="45" t="n">
        <v>11666.8</v>
      </c>
      <c r="J6" s="45" t="n">
        <v>6186.3</v>
      </c>
      <c r="K6" s="45" t="n">
        <v>2388.9</v>
      </c>
      <c r="L6" s="45" t="n">
        <v>491.5</v>
      </c>
      <c r="M6" s="45" t="n">
        <v>307.8</v>
      </c>
      <c r="N6" s="45" t="n">
        <v>501.1</v>
      </c>
      <c r="O6" s="45" t="n">
        <v>577</v>
      </c>
      <c r="P6" s="45" t="n">
        <v>43.3</v>
      </c>
      <c r="Q6" s="45" t="n">
        <v>0</v>
      </c>
      <c r="R6" s="11" t="n">
        <f aca="false">IF(E6="","",E6*F6)</f>
        <v>288925356.956</v>
      </c>
      <c r="S6" s="11" t="n">
        <f aca="false">IF(E6="","",R6+G6+H6)</f>
        <v>333092236.956</v>
      </c>
      <c r="T6" s="13" t="n">
        <f aca="false">IF(OR(E6="",I6=""),"",1-I6/E6)</f>
        <v>0.0446133184840645</v>
      </c>
      <c r="U6" s="47" t="n">
        <f aca="false">IF(E6="","",SUM(J6:Q6))</f>
        <v>10495.9</v>
      </c>
      <c r="V6" s="13" t="n">
        <f aca="false">IF(OR(E6="",I6=0,I6=""),"",U6/I6)</f>
        <v>0.899638289848116</v>
      </c>
      <c r="W6" s="13" t="n">
        <f aca="false">IF(OR(E6="",I6=0,I6=""),"",(J6+K6)/I6)</f>
        <v>0.735008742757226</v>
      </c>
      <c r="X6" s="13" t="n">
        <f aca="false">IF(OR(E6="",J6+K6=0),"",J6/(J6+K6))</f>
        <v>0.721417576266443</v>
      </c>
      <c r="Y6" s="10" t="n">
        <f aca="false">IF(E6="","",J6*I_Parameter!$C$28+K6*I_Parameter!$C$29+L6*I_Parameter!$C$30+M6*I_Parameter!$C$31+N6*I_Parameter!$C$32+O6*I_Parameter!$C$33+P6*I_Parameter!$C$34)</f>
        <v>310026684</v>
      </c>
      <c r="Z6" s="11" t="n">
        <f aca="false">IF(E6="","",Y6-S6)</f>
        <v>-23065552.956</v>
      </c>
      <c r="AA6" s="11" t="n">
        <f aca="false">IF(E6="","",Z6/E6)</f>
        <v>-1888.82316453209</v>
      </c>
      <c r="AB6" s="11" t="n">
        <f aca="false">IF(E6="","",(Y6-G6-H6)/E6)</f>
        <v>21771.0868354679</v>
      </c>
      <c r="AC6" s="11" t="n">
        <f aca="false">IF(OR(E6="",U6=0),"",S6/U6)</f>
        <v>31735.4621286407</v>
      </c>
      <c r="AD6" s="11" t="n">
        <f aca="false">IF(OR(E6="",U6=0),"",Y6/U6)</f>
        <v>29537.8846978344</v>
      </c>
    </row>
    <row r="7" customFormat="false" ht="15" hidden="false" customHeight="false" outlineLevel="0" collapsed="false">
      <c r="A7" s="37" t="n">
        <v>46260</v>
      </c>
      <c r="B7" s="44" t="s">
        <v>128</v>
      </c>
      <c r="C7" s="44" t="s">
        <v>528</v>
      </c>
      <c r="D7" s="44" t="s">
        <v>516</v>
      </c>
      <c r="E7" s="45" t="n">
        <v>12089.6</v>
      </c>
      <c r="F7" s="42" t="n">
        <v>24148.14</v>
      </c>
      <c r="G7" s="42" t="n">
        <v>13500000</v>
      </c>
      <c r="H7" s="42" t="n">
        <v>21762080</v>
      </c>
      <c r="I7" s="45" t="n">
        <v>11101.3</v>
      </c>
      <c r="J7" s="45" t="n">
        <v>5004.7</v>
      </c>
      <c r="K7" s="45" t="n">
        <v>3214.5</v>
      </c>
      <c r="L7" s="45" t="n">
        <v>518.4</v>
      </c>
      <c r="M7" s="45" t="n">
        <v>325.6</v>
      </c>
      <c r="N7" s="45" t="n">
        <v>514.9</v>
      </c>
      <c r="O7" s="45" t="n">
        <v>622.3</v>
      </c>
      <c r="P7" s="45" t="n">
        <v>28.8</v>
      </c>
      <c r="Q7" s="45" t="n">
        <v>0</v>
      </c>
      <c r="R7" s="11" t="n">
        <f aca="false">IF(E7="","",E7*F7)</f>
        <v>291941353.344</v>
      </c>
      <c r="S7" s="11" t="n">
        <f aca="false">IF(E7="","",R7+G7+H7)</f>
        <v>327203433.344</v>
      </c>
      <c r="T7" s="13" t="n">
        <f aca="false">IF(OR(E7="",I7=""),"",1-I7/E7)</f>
        <v>0.0817479486500795</v>
      </c>
      <c r="U7" s="47" t="n">
        <f aca="false">IF(E7="","",SUM(J7:Q7))</f>
        <v>10229.2</v>
      </c>
      <c r="V7" s="13" t="n">
        <f aca="false">IF(OR(E7="",I7=0,I7=""),"",U7/I7)</f>
        <v>0.921441632961905</v>
      </c>
      <c r="W7" s="13" t="n">
        <f aca="false">IF(OR(E7="",I7=0,I7=""),"",(J7+K7)/I7)</f>
        <v>0.740381757091512</v>
      </c>
      <c r="X7" s="13" t="n">
        <f aca="false">IF(OR(E7="",J7+K7=0),"",J7/(J7+K7))</f>
        <v>0.608903542923886</v>
      </c>
      <c r="Y7" s="10" t="n">
        <f aca="false">IF(E7="","",J7*I_Parameter!$C$28+K7*I_Parameter!$C$29+L7*I_Parameter!$C$30+M7*I_Parameter!$C$31+N7*I_Parameter!$C$32+O7*I_Parameter!$C$33+P7*I_Parameter!$C$34)</f>
        <v>292833708.2</v>
      </c>
      <c r="Z7" s="11" t="n">
        <f aca="false">IF(E7="","",Y7-S7)</f>
        <v>-34369725.1439999</v>
      </c>
      <c r="AA7" s="11" t="n">
        <f aca="false">IF(E7="","",Z7/E7)</f>
        <v>-2842.91665100582</v>
      </c>
      <c r="AB7" s="11" t="n">
        <f aca="false">IF(E7="","",(Y7-G7-H7)/E7)</f>
        <v>21305.2233489942</v>
      </c>
      <c r="AC7" s="11" t="n">
        <f aca="false">IF(OR(E7="",U7=0),"",S7/U7)</f>
        <v>31987.1967841082</v>
      </c>
      <c r="AD7" s="11" t="n">
        <f aca="false">IF(OR(E7="",U7=0),"",Y7/U7)</f>
        <v>28627.2346029015</v>
      </c>
    </row>
    <row r="8" customFormat="false" ht="15" hidden="false" customHeight="false" outlineLevel="0" collapsed="false">
      <c r="A8" s="37" t="n">
        <v>46261</v>
      </c>
      <c r="B8" s="44" t="s">
        <v>129</v>
      </c>
      <c r="C8" s="44" t="s">
        <v>533</v>
      </c>
      <c r="D8" s="44" t="s">
        <v>516</v>
      </c>
      <c r="E8" s="45" t="n">
        <v>11681.4</v>
      </c>
      <c r="F8" s="42" t="n">
        <v>24600</v>
      </c>
      <c r="G8" s="42" t="n">
        <v>14400000</v>
      </c>
      <c r="H8" s="42" t="n">
        <v>17489600</v>
      </c>
      <c r="I8" s="45" t="n">
        <v>10931</v>
      </c>
      <c r="J8" s="45" t="n">
        <v>5491.1</v>
      </c>
      <c r="K8" s="45" t="n">
        <v>2637.1</v>
      </c>
      <c r="L8" s="45" t="n">
        <v>489.9</v>
      </c>
      <c r="M8" s="45" t="n">
        <v>316.1</v>
      </c>
      <c r="N8" s="45" t="n">
        <v>517.4</v>
      </c>
      <c r="O8" s="45" t="n">
        <v>606.2</v>
      </c>
      <c r="P8" s="45" t="n">
        <v>17.9</v>
      </c>
      <c r="Q8" s="45" t="n">
        <v>0</v>
      </c>
      <c r="R8" s="11" t="n">
        <f aca="false">IF(E8="","",E8*F8)</f>
        <v>287362440</v>
      </c>
      <c r="S8" s="11" t="n">
        <f aca="false">IF(E8="","",R8+G8+H8)</f>
        <v>319252040</v>
      </c>
      <c r="T8" s="13" t="n">
        <f aca="false">IF(OR(E8="",I8=""),"",1-I8/E8)</f>
        <v>0.0642388754772544</v>
      </c>
      <c r="U8" s="47" t="n">
        <f aca="false">IF(E8="","",SUM(J8:Q8))</f>
        <v>10075.7</v>
      </c>
      <c r="V8" s="13" t="n">
        <f aca="false">IF(OR(E8="",I8=0,I8=""),"",U8/I8)</f>
        <v>0.921754642759125</v>
      </c>
      <c r="W8" s="13" t="n">
        <f aca="false">IF(OR(E8="",I8=0,I8=""),"",(J8+K8)/I8)</f>
        <v>0.74359162016284</v>
      </c>
      <c r="X8" s="13" t="n">
        <f aca="false">IF(OR(E8="",J8+K8=0),"",J8/(J8+K8))</f>
        <v>0.675561624960016</v>
      </c>
      <c r="Y8" s="10" t="n">
        <f aca="false">IF(E8="","",J8*I_Parameter!$C$28+K8*I_Parameter!$C$29+L8*I_Parameter!$C$30+M8*I_Parameter!$C$31+N8*I_Parameter!$C$32+O8*I_Parameter!$C$33+P8*I_Parameter!$C$34)</f>
        <v>291932863.5</v>
      </c>
      <c r="Z8" s="11" t="n">
        <f aca="false">IF(E8="","",Y8-S8)</f>
        <v>-27319176.4999999</v>
      </c>
      <c r="AA8" s="11" t="n">
        <f aca="false">IF(E8="","",Z8/E8)</f>
        <v>-2338.69026828976</v>
      </c>
      <c r="AB8" s="11" t="n">
        <f aca="false">IF(E8="","",(Y8-G8-H8)/E8)</f>
        <v>22261.3097317102</v>
      </c>
      <c r="AC8" s="11" t="n">
        <f aca="false">IF(OR(E8="",U8=0),"",S8/U8)</f>
        <v>31685.3459313001</v>
      </c>
      <c r="AD8" s="11" t="n">
        <f aca="false">IF(OR(E8="",U8=0),"",Y8/U8)</f>
        <v>28973.9535218397</v>
      </c>
    </row>
    <row r="9" customFormat="false" ht="15" hidden="false" customHeight="false" outlineLevel="0" collapsed="false">
      <c r="A9" s="37" t="n">
        <v>46262</v>
      </c>
      <c r="B9" s="44" t="s">
        <v>129</v>
      </c>
      <c r="C9" s="44" t="s">
        <v>534</v>
      </c>
      <c r="D9" s="44" t="s">
        <v>516</v>
      </c>
      <c r="E9" s="45" t="n">
        <v>15537.2</v>
      </c>
      <c r="F9" s="42" t="n">
        <v>25412.04</v>
      </c>
      <c r="G9" s="42" t="n">
        <v>15000000</v>
      </c>
      <c r="H9" s="42" t="n">
        <v>23472480</v>
      </c>
      <c r="I9" s="45" t="n">
        <v>14670.3</v>
      </c>
      <c r="J9" s="45" t="n">
        <v>4611.8</v>
      </c>
      <c r="K9" s="45" t="n">
        <v>6314.3</v>
      </c>
      <c r="L9" s="45" t="n">
        <v>665.8</v>
      </c>
      <c r="M9" s="45" t="n">
        <v>429.3</v>
      </c>
      <c r="N9" s="45" t="n">
        <v>640.6</v>
      </c>
      <c r="O9" s="45" t="n">
        <v>804.9</v>
      </c>
      <c r="P9" s="45" t="n">
        <v>66.6</v>
      </c>
      <c r="Q9" s="45" t="n">
        <v>0</v>
      </c>
      <c r="R9" s="11" t="n">
        <f aca="false">IF(E9="","",E9*F9)</f>
        <v>394831947.888</v>
      </c>
      <c r="S9" s="11" t="n">
        <f aca="false">IF(E9="","",R9+G9+H9)</f>
        <v>433304427.888</v>
      </c>
      <c r="T9" s="13" t="n">
        <f aca="false">IF(OR(E9="",I9=""),"",1-I9/E9)</f>
        <v>0.0557951239605593</v>
      </c>
      <c r="U9" s="47" t="n">
        <f aca="false">IF(E9="","",SUM(J9:Q9))</f>
        <v>13533.3</v>
      </c>
      <c r="V9" s="13" t="n">
        <f aca="false">IF(OR(E9="",I9=0,I9=""),"",U9/I9)</f>
        <v>0.922496472464776</v>
      </c>
      <c r="W9" s="13" t="n">
        <f aca="false">IF(OR(E9="",I9=0,I9=""),"",(J9+K9)/I9)</f>
        <v>0.744776862095526</v>
      </c>
      <c r="X9" s="13" t="n">
        <f aca="false">IF(OR(E9="",J9+K9=0),"",J9/(J9+K9))</f>
        <v>0.42209022432524</v>
      </c>
      <c r="Y9" s="10" t="n">
        <f aca="false">IF(E9="","",J9*I_Parameter!$C$28+K9*I_Parameter!$C$29+L9*I_Parameter!$C$30+M9*I_Parameter!$C$31+N9*I_Parameter!$C$32+O9*I_Parameter!$C$33+P9*I_Parameter!$C$34)</f>
        <v>379381419.4</v>
      </c>
      <c r="Z9" s="11" t="n">
        <f aca="false">IF(E9="","",Y9-S9)</f>
        <v>-53923008.488</v>
      </c>
      <c r="AA9" s="11" t="n">
        <f aca="false">IF(E9="","",Z9/E9)</f>
        <v>-3470.57439487167</v>
      </c>
      <c r="AB9" s="11" t="n">
        <f aca="false">IF(E9="","",(Y9-G9-H9)/E9)</f>
        <v>21941.4656051283</v>
      </c>
      <c r="AC9" s="11" t="n">
        <f aca="false">IF(OR(E9="",U9=0),"",S9/U9)</f>
        <v>32017.6474243533</v>
      </c>
      <c r="AD9" s="11" t="n">
        <f aca="false">IF(OR(E9="",U9=0),"",Y9/U9)</f>
        <v>28033.1788551203</v>
      </c>
    </row>
    <row r="10" customFormat="false" ht="15" hidden="false" customHeight="false" outlineLevel="0" collapsed="false">
      <c r="A10" s="37"/>
      <c r="B10" s="44"/>
      <c r="C10" s="44"/>
      <c r="D10" s="44"/>
      <c r="E10" s="45"/>
      <c r="F10" s="42"/>
      <c r="G10" s="42"/>
      <c r="H10" s="42"/>
      <c r="I10" s="45"/>
      <c r="J10" s="45"/>
      <c r="K10" s="45"/>
      <c r="L10" s="45"/>
      <c r="M10" s="45"/>
      <c r="N10" s="45"/>
      <c r="O10" s="45"/>
      <c r="P10" s="45"/>
      <c r="Q10" s="45"/>
      <c r="R10" s="11" t="str">
        <f aca="false">IF(E10="","",E10*F10)</f>
        <v/>
      </c>
      <c r="S10" s="11" t="str">
        <f aca="false">IF(E10="","",R10+G10+H10)</f>
        <v/>
      </c>
      <c r="T10" s="13" t="str">
        <f aca="false">IF(OR(E10="",I10=""),"",1-I10/E10)</f>
        <v/>
      </c>
      <c r="U10" s="47" t="str">
        <f aca="false">IF(E10="","",SUM(J10:Q10))</f>
        <v/>
      </c>
      <c r="V10" s="13" t="str">
        <f aca="false">IF(OR(E10="",I10=0,I10=""),"",U10/I10)</f>
        <v/>
      </c>
      <c r="W10" s="13" t="str">
        <f aca="false">IF(OR(E10="",I10=0,I10=""),"",(J10+K10)/I10)</f>
        <v/>
      </c>
      <c r="X10" s="13" t="str">
        <f aca="false">IF(OR(E10="",J10+K10=0),"",J10/(J10+K10))</f>
        <v/>
      </c>
      <c r="Y10" s="10" t="str">
        <f aca="false">IF(E10="","",J10*I_Parameter!$C$28+K10*I_Parameter!$C$29+L10*I_Parameter!$C$30+M10*I_Parameter!$C$31+N10*I_Parameter!$C$32+O10*I_Parameter!$C$33+P10*I_Parameter!$C$34)</f>
        <v/>
      </c>
      <c r="Z10" s="11" t="str">
        <f aca="false">IF(E10="","",Y10-S10)</f>
        <v/>
      </c>
      <c r="AA10" s="11" t="str">
        <f aca="false">IF(E10="","",Z10/E10)</f>
        <v/>
      </c>
      <c r="AB10" s="11" t="str">
        <f aca="false">IF(E10="","",(Y10-G10-H10)/E10)</f>
        <v/>
      </c>
      <c r="AC10" s="11" t="str">
        <f aca="false">IF(OR(E10="",U10=0),"",S10/U10)</f>
        <v/>
      </c>
      <c r="AD10" s="11" t="str">
        <f aca="false">IF(OR(E10="",U10=0),"",Y10/U10)</f>
        <v/>
      </c>
    </row>
    <row r="11" customFormat="false" ht="15" hidden="false" customHeight="false" outlineLevel="0" collapsed="false">
      <c r="A11" s="37"/>
      <c r="B11" s="44"/>
      <c r="C11" s="44"/>
      <c r="D11" s="44"/>
      <c r="E11" s="45"/>
      <c r="F11" s="42"/>
      <c r="G11" s="42"/>
      <c r="H11" s="42"/>
      <c r="I11" s="45"/>
      <c r="J11" s="45"/>
      <c r="K11" s="45"/>
      <c r="L11" s="45"/>
      <c r="M11" s="45"/>
      <c r="N11" s="45"/>
      <c r="O11" s="45"/>
      <c r="P11" s="45"/>
      <c r="Q11" s="45"/>
      <c r="R11" s="11" t="str">
        <f aca="false">IF(E11="","",E11*F11)</f>
        <v/>
      </c>
      <c r="S11" s="11" t="str">
        <f aca="false">IF(E11="","",R11+G11+H11)</f>
        <v/>
      </c>
      <c r="T11" s="13" t="str">
        <f aca="false">IF(OR(E11="",I11=""),"",1-I11/E11)</f>
        <v/>
      </c>
      <c r="U11" s="47" t="str">
        <f aca="false">IF(E11="","",SUM(J11:Q11))</f>
        <v/>
      </c>
      <c r="V11" s="13" t="str">
        <f aca="false">IF(OR(E11="",I11=0,I11=""),"",U11/I11)</f>
        <v/>
      </c>
      <c r="W11" s="13" t="str">
        <f aca="false">IF(OR(E11="",I11=0,I11=""),"",(J11+K11)/I11)</f>
        <v/>
      </c>
      <c r="X11" s="13" t="str">
        <f aca="false">IF(OR(E11="",J11+K11=0),"",J11/(J11+K11))</f>
        <v/>
      </c>
      <c r="Y11" s="10" t="str">
        <f aca="false">IF(E11="","",J11*I_Parameter!$C$28+K11*I_Parameter!$C$29+L11*I_Parameter!$C$30+M11*I_Parameter!$C$31+N11*I_Parameter!$C$32+O11*I_Parameter!$C$33+P11*I_Parameter!$C$34)</f>
        <v/>
      </c>
      <c r="Z11" s="11" t="str">
        <f aca="false">IF(E11="","",Y11-S11)</f>
        <v/>
      </c>
      <c r="AA11" s="11" t="str">
        <f aca="false">IF(E11="","",Z11/E11)</f>
        <v/>
      </c>
      <c r="AB11" s="11" t="str">
        <f aca="false">IF(E11="","",(Y11-G11-H11)/E11)</f>
        <v/>
      </c>
      <c r="AC11" s="11" t="str">
        <f aca="false">IF(OR(E11="",U11=0),"",S11/U11)</f>
        <v/>
      </c>
      <c r="AD11" s="11" t="str">
        <f aca="false">IF(OR(E11="",U11=0),"",Y11/U11)</f>
        <v/>
      </c>
    </row>
    <row r="12" customFormat="false" ht="15" hidden="false" customHeight="false" outlineLevel="0" collapsed="false">
      <c r="A12" s="37"/>
      <c r="B12" s="44"/>
      <c r="C12" s="44"/>
      <c r="D12" s="44"/>
      <c r="E12" s="45"/>
      <c r="F12" s="42"/>
      <c r="G12" s="42"/>
      <c r="H12" s="42"/>
      <c r="I12" s="45"/>
      <c r="J12" s="45"/>
      <c r="K12" s="45"/>
      <c r="L12" s="45"/>
      <c r="M12" s="45"/>
      <c r="N12" s="45"/>
      <c r="O12" s="45"/>
      <c r="P12" s="45"/>
      <c r="Q12" s="45"/>
      <c r="R12" s="11" t="str">
        <f aca="false">IF(E12="","",E12*F12)</f>
        <v/>
      </c>
      <c r="S12" s="11" t="str">
        <f aca="false">IF(E12="","",R12+G12+H12)</f>
        <v/>
      </c>
      <c r="T12" s="13" t="str">
        <f aca="false">IF(OR(E12="",I12=""),"",1-I12/E12)</f>
        <v/>
      </c>
      <c r="U12" s="47" t="str">
        <f aca="false">IF(E12="","",SUM(J12:Q12))</f>
        <v/>
      </c>
      <c r="V12" s="13" t="str">
        <f aca="false">IF(OR(E12="",I12=0,I12=""),"",U12/I12)</f>
        <v/>
      </c>
      <c r="W12" s="13" t="str">
        <f aca="false">IF(OR(E12="",I12=0,I12=""),"",(J12+K12)/I12)</f>
        <v/>
      </c>
      <c r="X12" s="13" t="str">
        <f aca="false">IF(OR(E12="",J12+K12=0),"",J12/(J12+K12))</f>
        <v/>
      </c>
      <c r="Y12" s="10" t="str">
        <f aca="false">IF(E12="","",J12*I_Parameter!$C$28+K12*I_Parameter!$C$29+L12*I_Parameter!$C$30+M12*I_Parameter!$C$31+N12*I_Parameter!$C$32+O12*I_Parameter!$C$33+P12*I_Parameter!$C$34)</f>
        <v/>
      </c>
      <c r="Z12" s="11" t="str">
        <f aca="false">IF(E12="","",Y12-S12)</f>
        <v/>
      </c>
      <c r="AA12" s="11" t="str">
        <f aca="false">IF(E12="","",Z12/E12)</f>
        <v/>
      </c>
      <c r="AB12" s="11" t="str">
        <f aca="false">IF(E12="","",(Y12-G12-H12)/E12)</f>
        <v/>
      </c>
      <c r="AC12" s="11" t="str">
        <f aca="false">IF(OR(E12="",U12=0),"",S12/U12)</f>
        <v/>
      </c>
      <c r="AD12" s="11" t="str">
        <f aca="false">IF(OR(E12="",U12=0),"",Y12/U12)</f>
        <v/>
      </c>
    </row>
    <row r="13" customFormat="false" ht="15" hidden="false" customHeight="false" outlineLevel="0" collapsed="false">
      <c r="A13" s="37"/>
      <c r="B13" s="44"/>
      <c r="C13" s="44"/>
      <c r="D13" s="44"/>
      <c r="E13" s="45"/>
      <c r="F13" s="42"/>
      <c r="G13" s="42"/>
      <c r="H13" s="42"/>
      <c r="I13" s="45"/>
      <c r="J13" s="45"/>
      <c r="K13" s="45"/>
      <c r="L13" s="45"/>
      <c r="M13" s="45"/>
      <c r="N13" s="45"/>
      <c r="O13" s="45"/>
      <c r="P13" s="45"/>
      <c r="Q13" s="45"/>
      <c r="R13" s="11" t="str">
        <f aca="false">IF(E13="","",E13*F13)</f>
        <v/>
      </c>
      <c r="S13" s="11" t="str">
        <f aca="false">IF(E13="","",R13+G13+H13)</f>
        <v/>
      </c>
      <c r="T13" s="13" t="str">
        <f aca="false">IF(OR(E13="",I13=""),"",1-I13/E13)</f>
        <v/>
      </c>
      <c r="U13" s="47" t="str">
        <f aca="false">IF(E13="","",SUM(J13:Q13))</f>
        <v/>
      </c>
      <c r="V13" s="13" t="str">
        <f aca="false">IF(OR(E13="",I13=0,I13=""),"",U13/I13)</f>
        <v/>
      </c>
      <c r="W13" s="13" t="str">
        <f aca="false">IF(OR(E13="",I13=0,I13=""),"",(J13+K13)/I13)</f>
        <v/>
      </c>
      <c r="X13" s="13" t="str">
        <f aca="false">IF(OR(E13="",J13+K13=0),"",J13/(J13+K13))</f>
        <v/>
      </c>
      <c r="Y13" s="10" t="str">
        <f aca="false">IF(E13="","",J13*I_Parameter!$C$28+K13*I_Parameter!$C$29+L13*I_Parameter!$C$30+M13*I_Parameter!$C$31+N13*I_Parameter!$C$32+O13*I_Parameter!$C$33+P13*I_Parameter!$C$34)</f>
        <v/>
      </c>
      <c r="Z13" s="11" t="str">
        <f aca="false">IF(E13="","",Y13-S13)</f>
        <v/>
      </c>
      <c r="AA13" s="11" t="str">
        <f aca="false">IF(E13="","",Z13/E13)</f>
        <v/>
      </c>
      <c r="AB13" s="11" t="str">
        <f aca="false">IF(E13="","",(Y13-G13-H13)/E13)</f>
        <v/>
      </c>
      <c r="AC13" s="11" t="str">
        <f aca="false">IF(OR(E13="",U13=0),"",S13/U13)</f>
        <v/>
      </c>
      <c r="AD13" s="11" t="str">
        <f aca="false">IF(OR(E13="",U13=0),"",Y13/U13)</f>
        <v/>
      </c>
    </row>
    <row r="14" customFormat="false" ht="15" hidden="false" customHeight="false" outlineLevel="0" collapsed="false">
      <c r="A14" s="37"/>
      <c r="B14" s="44"/>
      <c r="C14" s="44"/>
      <c r="D14" s="44"/>
      <c r="E14" s="45"/>
      <c r="F14" s="42"/>
      <c r="G14" s="42"/>
      <c r="H14" s="42"/>
      <c r="I14" s="45"/>
      <c r="J14" s="45"/>
      <c r="K14" s="45"/>
      <c r="L14" s="45"/>
      <c r="M14" s="45"/>
      <c r="N14" s="45"/>
      <c r="O14" s="45"/>
      <c r="P14" s="45"/>
      <c r="Q14" s="45"/>
      <c r="R14" s="11" t="str">
        <f aca="false">IF(E14="","",E14*F14)</f>
        <v/>
      </c>
      <c r="S14" s="11" t="str">
        <f aca="false">IF(E14="","",R14+G14+H14)</f>
        <v/>
      </c>
      <c r="T14" s="13" t="str">
        <f aca="false">IF(OR(E14="",I14=""),"",1-I14/E14)</f>
        <v/>
      </c>
      <c r="U14" s="47" t="str">
        <f aca="false">IF(E14="","",SUM(J14:Q14))</f>
        <v/>
      </c>
      <c r="V14" s="13" t="str">
        <f aca="false">IF(OR(E14="",I14=0,I14=""),"",U14/I14)</f>
        <v/>
      </c>
      <c r="W14" s="13" t="str">
        <f aca="false">IF(OR(E14="",I14=0,I14=""),"",(J14+K14)/I14)</f>
        <v/>
      </c>
      <c r="X14" s="13" t="str">
        <f aca="false">IF(OR(E14="",J14+K14=0),"",J14/(J14+K14))</f>
        <v/>
      </c>
      <c r="Y14" s="10" t="str">
        <f aca="false">IF(E14="","",J14*I_Parameter!$C$28+K14*I_Parameter!$C$29+L14*I_Parameter!$C$30+M14*I_Parameter!$C$31+N14*I_Parameter!$C$32+O14*I_Parameter!$C$33+P14*I_Parameter!$C$34)</f>
        <v/>
      </c>
      <c r="Z14" s="11" t="str">
        <f aca="false">IF(E14="","",Y14-S14)</f>
        <v/>
      </c>
      <c r="AA14" s="11" t="str">
        <f aca="false">IF(E14="","",Z14/E14)</f>
        <v/>
      </c>
      <c r="AB14" s="11" t="str">
        <f aca="false">IF(E14="","",(Y14-G14-H14)/E14)</f>
        <v/>
      </c>
      <c r="AC14" s="11" t="str">
        <f aca="false">IF(OR(E14="",U14=0),"",S14/U14)</f>
        <v/>
      </c>
      <c r="AD14" s="11" t="str">
        <f aca="false">IF(OR(E14="",U14=0),"",Y14/U14)</f>
        <v/>
      </c>
    </row>
    <row r="15" customFormat="false" ht="15" hidden="false" customHeight="false" outlineLevel="0" collapsed="false">
      <c r="A15" s="37"/>
      <c r="B15" s="44"/>
      <c r="C15" s="44"/>
      <c r="D15" s="44"/>
      <c r="E15" s="45"/>
      <c r="F15" s="42"/>
      <c r="G15" s="42"/>
      <c r="H15" s="42"/>
      <c r="I15" s="45"/>
      <c r="J15" s="45"/>
      <c r="K15" s="45"/>
      <c r="L15" s="45"/>
      <c r="M15" s="45"/>
      <c r="N15" s="45"/>
      <c r="O15" s="45"/>
      <c r="P15" s="45"/>
      <c r="Q15" s="45"/>
      <c r="R15" s="11" t="str">
        <f aca="false">IF(E15="","",E15*F15)</f>
        <v/>
      </c>
      <c r="S15" s="11" t="str">
        <f aca="false">IF(E15="","",R15+G15+H15)</f>
        <v/>
      </c>
      <c r="T15" s="13" t="str">
        <f aca="false">IF(OR(E15="",I15=""),"",1-I15/E15)</f>
        <v/>
      </c>
      <c r="U15" s="47" t="str">
        <f aca="false">IF(E15="","",SUM(J15:Q15))</f>
        <v/>
      </c>
      <c r="V15" s="13" t="str">
        <f aca="false">IF(OR(E15="",I15=0,I15=""),"",U15/I15)</f>
        <v/>
      </c>
      <c r="W15" s="13" t="str">
        <f aca="false">IF(OR(E15="",I15=0,I15=""),"",(J15+K15)/I15)</f>
        <v/>
      </c>
      <c r="X15" s="13" t="str">
        <f aca="false">IF(OR(E15="",J15+K15=0),"",J15/(J15+K15))</f>
        <v/>
      </c>
      <c r="Y15" s="10" t="str">
        <f aca="false">IF(E15="","",J15*I_Parameter!$C$28+K15*I_Parameter!$C$29+L15*I_Parameter!$C$30+M15*I_Parameter!$C$31+N15*I_Parameter!$C$32+O15*I_Parameter!$C$33+P15*I_Parameter!$C$34)</f>
        <v/>
      </c>
      <c r="Z15" s="11" t="str">
        <f aca="false">IF(E15="","",Y15-S15)</f>
        <v/>
      </c>
      <c r="AA15" s="11" t="str">
        <f aca="false">IF(E15="","",Z15/E15)</f>
        <v/>
      </c>
      <c r="AB15" s="11" t="str">
        <f aca="false">IF(E15="","",(Y15-G15-H15)/E15)</f>
        <v/>
      </c>
      <c r="AC15" s="11" t="str">
        <f aca="false">IF(OR(E15="",U15=0),"",S15/U15)</f>
        <v/>
      </c>
      <c r="AD15" s="11" t="str">
        <f aca="false">IF(OR(E15="",U15=0),"",Y15/U15)</f>
        <v/>
      </c>
    </row>
    <row r="16" customFormat="false" ht="15" hidden="false" customHeight="false" outlineLevel="0" collapsed="false">
      <c r="A16" s="37"/>
      <c r="B16" s="44"/>
      <c r="C16" s="44"/>
      <c r="D16" s="44"/>
      <c r="E16" s="45"/>
      <c r="F16" s="42"/>
      <c r="G16" s="42"/>
      <c r="H16" s="42"/>
      <c r="I16" s="45"/>
      <c r="J16" s="45"/>
      <c r="K16" s="45"/>
      <c r="L16" s="45"/>
      <c r="M16" s="45"/>
      <c r="N16" s="45"/>
      <c r="O16" s="45"/>
      <c r="P16" s="45"/>
      <c r="Q16" s="45"/>
      <c r="R16" s="11" t="str">
        <f aca="false">IF(E16="","",E16*F16)</f>
        <v/>
      </c>
      <c r="S16" s="11" t="str">
        <f aca="false">IF(E16="","",R16+G16+H16)</f>
        <v/>
      </c>
      <c r="T16" s="13" t="str">
        <f aca="false">IF(OR(E16="",I16=""),"",1-I16/E16)</f>
        <v/>
      </c>
      <c r="U16" s="47" t="str">
        <f aca="false">IF(E16="","",SUM(J16:Q16))</f>
        <v/>
      </c>
      <c r="V16" s="13" t="str">
        <f aca="false">IF(OR(E16="",I16=0,I16=""),"",U16/I16)</f>
        <v/>
      </c>
      <c r="W16" s="13" t="str">
        <f aca="false">IF(OR(E16="",I16=0,I16=""),"",(J16+K16)/I16)</f>
        <v/>
      </c>
      <c r="X16" s="13" t="str">
        <f aca="false">IF(OR(E16="",J16+K16=0),"",J16/(J16+K16))</f>
        <v/>
      </c>
      <c r="Y16" s="10" t="str">
        <f aca="false">IF(E16="","",J16*I_Parameter!$C$28+K16*I_Parameter!$C$29+L16*I_Parameter!$C$30+M16*I_Parameter!$C$31+N16*I_Parameter!$C$32+O16*I_Parameter!$C$33+P16*I_Parameter!$C$34)</f>
        <v/>
      </c>
      <c r="Z16" s="11" t="str">
        <f aca="false">IF(E16="","",Y16-S16)</f>
        <v/>
      </c>
      <c r="AA16" s="11" t="str">
        <f aca="false">IF(E16="","",Z16/E16)</f>
        <v/>
      </c>
      <c r="AB16" s="11" t="str">
        <f aca="false">IF(E16="","",(Y16-G16-H16)/E16)</f>
        <v/>
      </c>
      <c r="AC16" s="11" t="str">
        <f aca="false">IF(OR(E16="",U16=0),"",S16/U16)</f>
        <v/>
      </c>
      <c r="AD16" s="11" t="str">
        <f aca="false">IF(OR(E16="",U16=0),"",Y16/U16)</f>
        <v/>
      </c>
    </row>
    <row r="17" customFormat="false" ht="15" hidden="false" customHeight="false" outlineLevel="0" collapsed="false">
      <c r="A17" s="37"/>
      <c r="B17" s="44"/>
      <c r="C17" s="44"/>
      <c r="D17" s="44"/>
      <c r="E17" s="45"/>
      <c r="F17" s="42"/>
      <c r="G17" s="42"/>
      <c r="H17" s="42"/>
      <c r="I17" s="45"/>
      <c r="J17" s="45"/>
      <c r="K17" s="45"/>
      <c r="L17" s="45"/>
      <c r="M17" s="45"/>
      <c r="N17" s="45"/>
      <c r="O17" s="45"/>
      <c r="P17" s="45"/>
      <c r="Q17" s="45"/>
      <c r="R17" s="11" t="str">
        <f aca="false">IF(E17="","",E17*F17)</f>
        <v/>
      </c>
      <c r="S17" s="11" t="str">
        <f aca="false">IF(E17="","",R17+G17+H17)</f>
        <v/>
      </c>
      <c r="T17" s="13" t="str">
        <f aca="false">IF(OR(E17="",I17=""),"",1-I17/E17)</f>
        <v/>
      </c>
      <c r="U17" s="47" t="str">
        <f aca="false">IF(E17="","",SUM(J17:Q17))</f>
        <v/>
      </c>
      <c r="V17" s="13" t="str">
        <f aca="false">IF(OR(E17="",I17=0,I17=""),"",U17/I17)</f>
        <v/>
      </c>
      <c r="W17" s="13" t="str">
        <f aca="false">IF(OR(E17="",I17=0,I17=""),"",(J17+K17)/I17)</f>
        <v/>
      </c>
      <c r="X17" s="13" t="str">
        <f aca="false">IF(OR(E17="",J17+K17=0),"",J17/(J17+K17))</f>
        <v/>
      </c>
      <c r="Y17" s="10" t="str">
        <f aca="false">IF(E17="","",J17*I_Parameter!$C$28+K17*I_Parameter!$C$29+L17*I_Parameter!$C$30+M17*I_Parameter!$C$31+N17*I_Parameter!$C$32+O17*I_Parameter!$C$33+P17*I_Parameter!$C$34)</f>
        <v/>
      </c>
      <c r="Z17" s="11" t="str">
        <f aca="false">IF(E17="","",Y17-S17)</f>
        <v/>
      </c>
      <c r="AA17" s="11" t="str">
        <f aca="false">IF(E17="","",Z17/E17)</f>
        <v/>
      </c>
      <c r="AB17" s="11" t="str">
        <f aca="false">IF(E17="","",(Y17-G17-H17)/E17)</f>
        <v/>
      </c>
      <c r="AC17" s="11" t="str">
        <f aca="false">IF(OR(E17="",U17=0),"",S17/U17)</f>
        <v/>
      </c>
      <c r="AD17" s="11" t="str">
        <f aca="false">IF(OR(E17="",U17=0),"",Y17/U17)</f>
        <v/>
      </c>
    </row>
    <row r="18" customFormat="false" ht="15" hidden="false" customHeight="false" outlineLevel="0" collapsed="false">
      <c r="A18" s="37"/>
      <c r="B18" s="44"/>
      <c r="C18" s="44"/>
      <c r="D18" s="44"/>
      <c r="E18" s="45"/>
      <c r="F18" s="42"/>
      <c r="G18" s="42"/>
      <c r="H18" s="42"/>
      <c r="I18" s="45"/>
      <c r="J18" s="45"/>
      <c r="K18" s="45"/>
      <c r="L18" s="45"/>
      <c r="M18" s="45"/>
      <c r="N18" s="45"/>
      <c r="O18" s="45"/>
      <c r="P18" s="45"/>
      <c r="Q18" s="45"/>
      <c r="R18" s="11" t="str">
        <f aca="false">IF(E18="","",E18*F18)</f>
        <v/>
      </c>
      <c r="S18" s="11" t="str">
        <f aca="false">IF(E18="","",R18+G18+H18)</f>
        <v/>
      </c>
      <c r="T18" s="13" t="str">
        <f aca="false">IF(OR(E18="",I18=""),"",1-I18/E18)</f>
        <v/>
      </c>
      <c r="U18" s="47" t="str">
        <f aca="false">IF(E18="","",SUM(J18:Q18))</f>
        <v/>
      </c>
      <c r="V18" s="13" t="str">
        <f aca="false">IF(OR(E18="",I18=0,I18=""),"",U18/I18)</f>
        <v/>
      </c>
      <c r="W18" s="13" t="str">
        <f aca="false">IF(OR(E18="",I18=0,I18=""),"",(J18+K18)/I18)</f>
        <v/>
      </c>
      <c r="X18" s="13" t="str">
        <f aca="false">IF(OR(E18="",J18+K18=0),"",J18/(J18+K18))</f>
        <v/>
      </c>
      <c r="Y18" s="10" t="str">
        <f aca="false">IF(E18="","",J18*I_Parameter!$C$28+K18*I_Parameter!$C$29+L18*I_Parameter!$C$30+M18*I_Parameter!$C$31+N18*I_Parameter!$C$32+O18*I_Parameter!$C$33+P18*I_Parameter!$C$34)</f>
        <v/>
      </c>
      <c r="Z18" s="11" t="str">
        <f aca="false">IF(E18="","",Y18-S18)</f>
        <v/>
      </c>
      <c r="AA18" s="11" t="str">
        <f aca="false">IF(E18="","",Z18/E18)</f>
        <v/>
      </c>
      <c r="AB18" s="11" t="str">
        <f aca="false">IF(E18="","",(Y18-G18-H18)/E18)</f>
        <v/>
      </c>
      <c r="AC18" s="11" t="str">
        <f aca="false">IF(OR(E18="",U18=0),"",S18/U18)</f>
        <v/>
      </c>
      <c r="AD18" s="11" t="str">
        <f aca="false">IF(OR(E18="",U18=0),"",Y18/U18)</f>
        <v/>
      </c>
    </row>
    <row r="19" customFormat="false" ht="15" hidden="false" customHeight="false" outlineLevel="0" collapsed="false">
      <c r="A19" s="37"/>
      <c r="B19" s="44"/>
      <c r="C19" s="44"/>
      <c r="D19" s="44"/>
      <c r="E19" s="45"/>
      <c r="F19" s="42"/>
      <c r="G19" s="42"/>
      <c r="H19" s="42"/>
      <c r="I19" s="45"/>
      <c r="J19" s="45"/>
      <c r="K19" s="45"/>
      <c r="L19" s="45"/>
      <c r="M19" s="45"/>
      <c r="N19" s="45"/>
      <c r="O19" s="45"/>
      <c r="P19" s="45"/>
      <c r="Q19" s="45"/>
      <c r="R19" s="11" t="str">
        <f aca="false">IF(E19="","",E19*F19)</f>
        <v/>
      </c>
      <c r="S19" s="11" t="str">
        <f aca="false">IF(E19="","",R19+G19+H19)</f>
        <v/>
      </c>
      <c r="T19" s="13" t="str">
        <f aca="false">IF(OR(E19="",I19=""),"",1-I19/E19)</f>
        <v/>
      </c>
      <c r="U19" s="47" t="str">
        <f aca="false">IF(E19="","",SUM(J19:Q19))</f>
        <v/>
      </c>
      <c r="V19" s="13" t="str">
        <f aca="false">IF(OR(E19="",I19=0,I19=""),"",U19/I19)</f>
        <v/>
      </c>
      <c r="W19" s="13" t="str">
        <f aca="false">IF(OR(E19="",I19=0,I19=""),"",(J19+K19)/I19)</f>
        <v/>
      </c>
      <c r="X19" s="13" t="str">
        <f aca="false">IF(OR(E19="",J19+K19=0),"",J19/(J19+K19))</f>
        <v/>
      </c>
      <c r="Y19" s="10" t="str">
        <f aca="false">IF(E19="","",J19*I_Parameter!$C$28+K19*I_Parameter!$C$29+L19*I_Parameter!$C$30+M19*I_Parameter!$C$31+N19*I_Parameter!$C$32+O19*I_Parameter!$C$33+P19*I_Parameter!$C$34)</f>
        <v/>
      </c>
      <c r="Z19" s="11" t="str">
        <f aca="false">IF(E19="","",Y19-S19)</f>
        <v/>
      </c>
      <c r="AA19" s="11" t="str">
        <f aca="false">IF(E19="","",Z19/E19)</f>
        <v/>
      </c>
      <c r="AB19" s="11" t="str">
        <f aca="false">IF(E19="","",(Y19-G19-H19)/E19)</f>
        <v/>
      </c>
      <c r="AC19" s="11" t="str">
        <f aca="false">IF(OR(E19="",U19=0),"",S19/U19)</f>
        <v/>
      </c>
      <c r="AD19" s="11" t="str">
        <f aca="false">IF(OR(E19="",U19=0),"",Y19/U19)</f>
        <v/>
      </c>
    </row>
    <row r="20" customFormat="false" ht="15" hidden="false" customHeight="false" outlineLevel="0" collapsed="false">
      <c r="A20" s="37"/>
      <c r="B20" s="44"/>
      <c r="C20" s="44"/>
      <c r="D20" s="44"/>
      <c r="E20" s="45"/>
      <c r="F20" s="42"/>
      <c r="G20" s="42"/>
      <c r="H20" s="42"/>
      <c r="I20" s="45"/>
      <c r="J20" s="45"/>
      <c r="K20" s="45"/>
      <c r="L20" s="45"/>
      <c r="M20" s="45"/>
      <c r="N20" s="45"/>
      <c r="O20" s="45"/>
      <c r="P20" s="45"/>
      <c r="Q20" s="45"/>
      <c r="R20" s="11" t="str">
        <f aca="false">IF(E20="","",E20*F20)</f>
        <v/>
      </c>
      <c r="S20" s="11" t="str">
        <f aca="false">IF(E20="","",R20+G20+H20)</f>
        <v/>
      </c>
      <c r="T20" s="13" t="str">
        <f aca="false">IF(OR(E20="",I20=""),"",1-I20/E20)</f>
        <v/>
      </c>
      <c r="U20" s="47" t="str">
        <f aca="false">IF(E20="","",SUM(J20:Q20))</f>
        <v/>
      </c>
      <c r="V20" s="13" t="str">
        <f aca="false">IF(OR(E20="",I20=0,I20=""),"",U20/I20)</f>
        <v/>
      </c>
      <c r="W20" s="13" t="str">
        <f aca="false">IF(OR(E20="",I20=0,I20=""),"",(J20+K20)/I20)</f>
        <v/>
      </c>
      <c r="X20" s="13" t="str">
        <f aca="false">IF(OR(E20="",J20+K20=0),"",J20/(J20+K20))</f>
        <v/>
      </c>
      <c r="Y20" s="10" t="str">
        <f aca="false">IF(E20="","",J20*I_Parameter!$C$28+K20*I_Parameter!$C$29+L20*I_Parameter!$C$30+M20*I_Parameter!$C$31+N20*I_Parameter!$C$32+O20*I_Parameter!$C$33+P20*I_Parameter!$C$34)</f>
        <v/>
      </c>
      <c r="Z20" s="11" t="str">
        <f aca="false">IF(E20="","",Y20-S20)</f>
        <v/>
      </c>
      <c r="AA20" s="11" t="str">
        <f aca="false">IF(E20="","",Z20/E20)</f>
        <v/>
      </c>
      <c r="AB20" s="11" t="str">
        <f aca="false">IF(E20="","",(Y20-G20-H20)/E20)</f>
        <v/>
      </c>
      <c r="AC20" s="11" t="str">
        <f aca="false">IF(OR(E20="",U20=0),"",S20/U20)</f>
        <v/>
      </c>
      <c r="AD20" s="11" t="str">
        <f aca="false">IF(OR(E20="",U20=0),"",Y20/U20)</f>
        <v/>
      </c>
    </row>
    <row r="21" customFormat="false" ht="15" hidden="false" customHeight="false" outlineLevel="0" collapsed="false">
      <c r="A21" s="37"/>
      <c r="B21" s="44"/>
      <c r="C21" s="44"/>
      <c r="D21" s="44"/>
      <c r="E21" s="45"/>
      <c r="F21" s="42"/>
      <c r="G21" s="42"/>
      <c r="H21" s="42"/>
      <c r="I21" s="45"/>
      <c r="J21" s="45"/>
      <c r="K21" s="45"/>
      <c r="L21" s="45"/>
      <c r="M21" s="45"/>
      <c r="N21" s="45"/>
      <c r="O21" s="45"/>
      <c r="P21" s="45"/>
      <c r="Q21" s="45"/>
      <c r="R21" s="11" t="str">
        <f aca="false">IF(E21="","",E21*F21)</f>
        <v/>
      </c>
      <c r="S21" s="11" t="str">
        <f aca="false">IF(E21="","",R21+G21+H21)</f>
        <v/>
      </c>
      <c r="T21" s="13" t="str">
        <f aca="false">IF(OR(E21="",I21=""),"",1-I21/E21)</f>
        <v/>
      </c>
      <c r="U21" s="47" t="str">
        <f aca="false">IF(E21="","",SUM(J21:Q21))</f>
        <v/>
      </c>
      <c r="V21" s="13" t="str">
        <f aca="false">IF(OR(E21="",I21=0,I21=""),"",U21/I21)</f>
        <v/>
      </c>
      <c r="W21" s="13" t="str">
        <f aca="false">IF(OR(E21="",I21=0,I21=""),"",(J21+K21)/I21)</f>
        <v/>
      </c>
      <c r="X21" s="13" t="str">
        <f aca="false">IF(OR(E21="",J21+K21=0),"",J21/(J21+K21))</f>
        <v/>
      </c>
      <c r="Y21" s="10" t="str">
        <f aca="false">IF(E21="","",J21*I_Parameter!$C$28+K21*I_Parameter!$C$29+L21*I_Parameter!$C$30+M21*I_Parameter!$C$31+N21*I_Parameter!$C$32+O21*I_Parameter!$C$33+P21*I_Parameter!$C$34)</f>
        <v/>
      </c>
      <c r="Z21" s="11" t="str">
        <f aca="false">IF(E21="","",Y21-S21)</f>
        <v/>
      </c>
      <c r="AA21" s="11" t="str">
        <f aca="false">IF(E21="","",Z21/E21)</f>
        <v/>
      </c>
      <c r="AB21" s="11" t="str">
        <f aca="false">IF(E21="","",(Y21-G21-H21)/E21)</f>
        <v/>
      </c>
      <c r="AC21" s="11" t="str">
        <f aca="false">IF(OR(E21="",U21=0),"",S21/U21)</f>
        <v/>
      </c>
      <c r="AD21" s="11" t="str">
        <f aca="false">IF(OR(E21="",U21=0),"",Y21/U21)</f>
        <v/>
      </c>
    </row>
    <row r="22" customFormat="false" ht="15" hidden="false" customHeight="false" outlineLevel="0" collapsed="false">
      <c r="A22" s="37"/>
      <c r="B22" s="44"/>
      <c r="C22" s="44"/>
      <c r="D22" s="44"/>
      <c r="E22" s="45"/>
      <c r="F22" s="42"/>
      <c r="G22" s="42"/>
      <c r="H22" s="42"/>
      <c r="I22" s="45"/>
      <c r="J22" s="45"/>
      <c r="K22" s="45"/>
      <c r="L22" s="45"/>
      <c r="M22" s="45"/>
      <c r="N22" s="45"/>
      <c r="O22" s="45"/>
      <c r="P22" s="45"/>
      <c r="Q22" s="45"/>
      <c r="R22" s="11" t="str">
        <f aca="false">IF(E22="","",E22*F22)</f>
        <v/>
      </c>
      <c r="S22" s="11" t="str">
        <f aca="false">IF(E22="","",R22+G22+H22)</f>
        <v/>
      </c>
      <c r="T22" s="13" t="str">
        <f aca="false">IF(OR(E22="",I22=""),"",1-I22/E22)</f>
        <v/>
      </c>
      <c r="U22" s="47" t="str">
        <f aca="false">IF(E22="","",SUM(J22:Q22))</f>
        <v/>
      </c>
      <c r="V22" s="13" t="str">
        <f aca="false">IF(OR(E22="",I22=0,I22=""),"",U22/I22)</f>
        <v/>
      </c>
      <c r="W22" s="13" t="str">
        <f aca="false">IF(OR(E22="",I22=0,I22=""),"",(J22+K22)/I22)</f>
        <v/>
      </c>
      <c r="X22" s="13" t="str">
        <f aca="false">IF(OR(E22="",J22+K22=0),"",J22/(J22+K22))</f>
        <v/>
      </c>
      <c r="Y22" s="10" t="str">
        <f aca="false">IF(E22="","",J22*I_Parameter!$C$28+K22*I_Parameter!$C$29+L22*I_Parameter!$C$30+M22*I_Parameter!$C$31+N22*I_Parameter!$C$32+O22*I_Parameter!$C$33+P22*I_Parameter!$C$34)</f>
        <v/>
      </c>
      <c r="Z22" s="11" t="str">
        <f aca="false">IF(E22="","",Y22-S22)</f>
        <v/>
      </c>
      <c r="AA22" s="11" t="str">
        <f aca="false">IF(E22="","",Z22/E22)</f>
        <v/>
      </c>
      <c r="AB22" s="11" t="str">
        <f aca="false">IF(E22="","",(Y22-G22-H22)/E22)</f>
        <v/>
      </c>
      <c r="AC22" s="11" t="str">
        <f aca="false">IF(OR(E22="",U22=0),"",S22/U22)</f>
        <v/>
      </c>
      <c r="AD22" s="11" t="str">
        <f aca="false">IF(OR(E22="",U22=0),"",Y22/U22)</f>
        <v/>
      </c>
    </row>
    <row r="23" customFormat="false" ht="15" hidden="false" customHeight="false" outlineLevel="0" collapsed="false">
      <c r="A23" s="37"/>
      <c r="B23" s="44"/>
      <c r="C23" s="44"/>
      <c r="D23" s="44"/>
      <c r="E23" s="45"/>
      <c r="F23" s="42"/>
      <c r="G23" s="42"/>
      <c r="H23" s="42"/>
      <c r="I23" s="45"/>
      <c r="J23" s="45"/>
      <c r="K23" s="45"/>
      <c r="L23" s="45"/>
      <c r="M23" s="45"/>
      <c r="N23" s="45"/>
      <c r="O23" s="45"/>
      <c r="P23" s="45"/>
      <c r="Q23" s="45"/>
      <c r="R23" s="11" t="str">
        <f aca="false">IF(E23="","",E23*F23)</f>
        <v/>
      </c>
      <c r="S23" s="11" t="str">
        <f aca="false">IF(E23="","",R23+G23+H23)</f>
        <v/>
      </c>
      <c r="T23" s="13" t="str">
        <f aca="false">IF(OR(E23="",I23=""),"",1-I23/E23)</f>
        <v/>
      </c>
      <c r="U23" s="47" t="str">
        <f aca="false">IF(E23="","",SUM(J23:Q23))</f>
        <v/>
      </c>
      <c r="V23" s="13" t="str">
        <f aca="false">IF(OR(E23="",I23=0,I23=""),"",U23/I23)</f>
        <v/>
      </c>
      <c r="W23" s="13" t="str">
        <f aca="false">IF(OR(E23="",I23=0,I23=""),"",(J23+K23)/I23)</f>
        <v/>
      </c>
      <c r="X23" s="13" t="str">
        <f aca="false">IF(OR(E23="",J23+K23=0),"",J23/(J23+K23))</f>
        <v/>
      </c>
      <c r="Y23" s="10" t="str">
        <f aca="false">IF(E23="","",J23*I_Parameter!$C$28+K23*I_Parameter!$C$29+L23*I_Parameter!$C$30+M23*I_Parameter!$C$31+N23*I_Parameter!$C$32+O23*I_Parameter!$C$33+P23*I_Parameter!$C$34)</f>
        <v/>
      </c>
      <c r="Z23" s="11" t="str">
        <f aca="false">IF(E23="","",Y23-S23)</f>
        <v/>
      </c>
      <c r="AA23" s="11" t="str">
        <f aca="false">IF(E23="","",Z23/E23)</f>
        <v/>
      </c>
      <c r="AB23" s="11" t="str">
        <f aca="false">IF(E23="","",(Y23-G23-H23)/E23)</f>
        <v/>
      </c>
      <c r="AC23" s="11" t="str">
        <f aca="false">IF(OR(E23="",U23=0),"",S23/U23)</f>
        <v/>
      </c>
      <c r="AD23" s="11" t="str">
        <f aca="false">IF(OR(E23="",U23=0),"",Y23/U23)</f>
        <v/>
      </c>
    </row>
    <row r="24" customFormat="false" ht="15" hidden="false" customHeight="false" outlineLevel="0" collapsed="false">
      <c r="A24" s="37"/>
      <c r="B24" s="44"/>
      <c r="C24" s="44"/>
      <c r="D24" s="44"/>
      <c r="E24" s="45"/>
      <c r="F24" s="42"/>
      <c r="G24" s="42"/>
      <c r="H24" s="42"/>
      <c r="I24" s="45"/>
      <c r="J24" s="45"/>
      <c r="K24" s="45"/>
      <c r="L24" s="45"/>
      <c r="M24" s="45"/>
      <c r="N24" s="45"/>
      <c r="O24" s="45"/>
      <c r="P24" s="45"/>
      <c r="Q24" s="45"/>
      <c r="R24" s="11" t="str">
        <f aca="false">IF(E24="","",E24*F24)</f>
        <v/>
      </c>
      <c r="S24" s="11" t="str">
        <f aca="false">IF(E24="","",R24+G24+H24)</f>
        <v/>
      </c>
      <c r="T24" s="13" t="str">
        <f aca="false">IF(OR(E24="",I24=""),"",1-I24/E24)</f>
        <v/>
      </c>
      <c r="U24" s="47" t="str">
        <f aca="false">IF(E24="","",SUM(J24:Q24))</f>
        <v/>
      </c>
      <c r="V24" s="13" t="str">
        <f aca="false">IF(OR(E24="",I24=0,I24=""),"",U24/I24)</f>
        <v/>
      </c>
      <c r="W24" s="13" t="str">
        <f aca="false">IF(OR(E24="",I24=0,I24=""),"",(J24+K24)/I24)</f>
        <v/>
      </c>
      <c r="X24" s="13" t="str">
        <f aca="false">IF(OR(E24="",J24+K24=0),"",J24/(J24+K24))</f>
        <v/>
      </c>
      <c r="Y24" s="10" t="str">
        <f aca="false">IF(E24="","",J24*I_Parameter!$C$28+K24*I_Parameter!$C$29+L24*I_Parameter!$C$30+M24*I_Parameter!$C$31+N24*I_Parameter!$C$32+O24*I_Parameter!$C$33+P24*I_Parameter!$C$34)</f>
        <v/>
      </c>
      <c r="Z24" s="11" t="str">
        <f aca="false">IF(E24="","",Y24-S24)</f>
        <v/>
      </c>
      <c r="AA24" s="11" t="str">
        <f aca="false">IF(E24="","",Z24/E24)</f>
        <v/>
      </c>
      <c r="AB24" s="11" t="str">
        <f aca="false">IF(E24="","",(Y24-G24-H24)/E24)</f>
        <v/>
      </c>
      <c r="AC24" s="11" t="str">
        <f aca="false">IF(OR(E24="",U24=0),"",S24/U24)</f>
        <v/>
      </c>
      <c r="AD24" s="11" t="str">
        <f aca="false">IF(OR(E24="",U24=0),"",Y24/U24)</f>
        <v/>
      </c>
    </row>
    <row r="25" customFormat="false" ht="15" hidden="false" customHeight="false" outlineLevel="0" collapsed="false">
      <c r="A25" s="37"/>
      <c r="B25" s="44"/>
      <c r="C25" s="44"/>
      <c r="D25" s="44"/>
      <c r="E25" s="45"/>
      <c r="F25" s="42"/>
      <c r="G25" s="42"/>
      <c r="H25" s="42"/>
      <c r="I25" s="45"/>
      <c r="J25" s="45"/>
      <c r="K25" s="45"/>
      <c r="L25" s="45"/>
      <c r="M25" s="45"/>
      <c r="N25" s="45"/>
      <c r="O25" s="45"/>
      <c r="P25" s="45"/>
      <c r="Q25" s="45"/>
      <c r="R25" s="11" t="str">
        <f aca="false">IF(E25="","",E25*F25)</f>
        <v/>
      </c>
      <c r="S25" s="11" t="str">
        <f aca="false">IF(E25="","",R25+G25+H25)</f>
        <v/>
      </c>
      <c r="T25" s="13" t="str">
        <f aca="false">IF(OR(E25="",I25=""),"",1-I25/E25)</f>
        <v/>
      </c>
      <c r="U25" s="47" t="str">
        <f aca="false">IF(E25="","",SUM(J25:Q25))</f>
        <v/>
      </c>
      <c r="V25" s="13" t="str">
        <f aca="false">IF(OR(E25="",I25=0,I25=""),"",U25/I25)</f>
        <v/>
      </c>
      <c r="W25" s="13" t="str">
        <f aca="false">IF(OR(E25="",I25=0,I25=""),"",(J25+K25)/I25)</f>
        <v/>
      </c>
      <c r="X25" s="13" t="str">
        <f aca="false">IF(OR(E25="",J25+K25=0),"",J25/(J25+K25))</f>
        <v/>
      </c>
      <c r="Y25" s="10" t="str">
        <f aca="false">IF(E25="","",J25*I_Parameter!$C$28+K25*I_Parameter!$C$29+L25*I_Parameter!$C$30+M25*I_Parameter!$C$31+N25*I_Parameter!$C$32+O25*I_Parameter!$C$33+P25*I_Parameter!$C$34)</f>
        <v/>
      </c>
      <c r="Z25" s="11" t="str">
        <f aca="false">IF(E25="","",Y25-S25)</f>
        <v/>
      </c>
      <c r="AA25" s="11" t="str">
        <f aca="false">IF(E25="","",Z25/E25)</f>
        <v/>
      </c>
      <c r="AB25" s="11" t="str">
        <f aca="false">IF(E25="","",(Y25-G25-H25)/E25)</f>
        <v/>
      </c>
      <c r="AC25" s="11" t="str">
        <f aca="false">IF(OR(E25="",U25=0),"",S25/U25)</f>
        <v/>
      </c>
      <c r="AD25" s="11" t="str">
        <f aca="false">IF(OR(E25="",U25=0),"",Y25/U25)</f>
        <v/>
      </c>
    </row>
    <row r="26" customFormat="false" ht="15" hidden="false" customHeight="false" outlineLevel="0" collapsed="false">
      <c r="A26" s="37"/>
      <c r="B26" s="44"/>
      <c r="C26" s="44"/>
      <c r="D26" s="44"/>
      <c r="E26" s="45"/>
      <c r="F26" s="42"/>
      <c r="G26" s="42"/>
      <c r="H26" s="42"/>
      <c r="I26" s="45"/>
      <c r="J26" s="45"/>
      <c r="K26" s="45"/>
      <c r="L26" s="45"/>
      <c r="M26" s="45"/>
      <c r="N26" s="45"/>
      <c r="O26" s="45"/>
      <c r="P26" s="45"/>
      <c r="Q26" s="45"/>
      <c r="R26" s="11" t="str">
        <f aca="false">IF(E26="","",E26*F26)</f>
        <v/>
      </c>
      <c r="S26" s="11" t="str">
        <f aca="false">IF(E26="","",R26+G26+H26)</f>
        <v/>
      </c>
      <c r="T26" s="13" t="str">
        <f aca="false">IF(OR(E26="",I26=""),"",1-I26/E26)</f>
        <v/>
      </c>
      <c r="U26" s="47" t="str">
        <f aca="false">IF(E26="","",SUM(J26:Q26))</f>
        <v/>
      </c>
      <c r="V26" s="13" t="str">
        <f aca="false">IF(OR(E26="",I26=0,I26=""),"",U26/I26)</f>
        <v/>
      </c>
      <c r="W26" s="13" t="str">
        <f aca="false">IF(OR(E26="",I26=0,I26=""),"",(J26+K26)/I26)</f>
        <v/>
      </c>
      <c r="X26" s="13" t="str">
        <f aca="false">IF(OR(E26="",J26+K26=0),"",J26/(J26+K26))</f>
        <v/>
      </c>
      <c r="Y26" s="10" t="str">
        <f aca="false">IF(E26="","",J26*I_Parameter!$C$28+K26*I_Parameter!$C$29+L26*I_Parameter!$C$30+M26*I_Parameter!$C$31+N26*I_Parameter!$C$32+O26*I_Parameter!$C$33+P26*I_Parameter!$C$34)</f>
        <v/>
      </c>
      <c r="Z26" s="11" t="str">
        <f aca="false">IF(E26="","",Y26-S26)</f>
        <v/>
      </c>
      <c r="AA26" s="11" t="str">
        <f aca="false">IF(E26="","",Z26/E26)</f>
        <v/>
      </c>
      <c r="AB26" s="11" t="str">
        <f aca="false">IF(E26="","",(Y26-G26-H26)/E26)</f>
        <v/>
      </c>
      <c r="AC26" s="11" t="str">
        <f aca="false">IF(OR(E26="",U26=0),"",S26/U26)</f>
        <v/>
      </c>
      <c r="AD26" s="11" t="str">
        <f aca="false">IF(OR(E26="",U26=0),"",Y26/U26)</f>
        <v/>
      </c>
    </row>
    <row r="27" customFormat="false" ht="15" hidden="false" customHeight="false" outlineLevel="0" collapsed="false">
      <c r="A27" s="37"/>
      <c r="B27" s="44"/>
      <c r="C27" s="44"/>
      <c r="D27" s="44"/>
      <c r="E27" s="45"/>
      <c r="F27" s="42"/>
      <c r="G27" s="42"/>
      <c r="H27" s="42"/>
      <c r="I27" s="45"/>
      <c r="J27" s="45"/>
      <c r="K27" s="45"/>
      <c r="L27" s="45"/>
      <c r="M27" s="45"/>
      <c r="N27" s="45"/>
      <c r="O27" s="45"/>
      <c r="P27" s="45"/>
      <c r="Q27" s="45"/>
      <c r="R27" s="11" t="str">
        <f aca="false">IF(E27="","",E27*F27)</f>
        <v/>
      </c>
      <c r="S27" s="11" t="str">
        <f aca="false">IF(E27="","",R27+G27+H27)</f>
        <v/>
      </c>
      <c r="T27" s="13" t="str">
        <f aca="false">IF(OR(E27="",I27=""),"",1-I27/E27)</f>
        <v/>
      </c>
      <c r="U27" s="47" t="str">
        <f aca="false">IF(E27="","",SUM(J27:Q27))</f>
        <v/>
      </c>
      <c r="V27" s="13" t="str">
        <f aca="false">IF(OR(E27="",I27=0,I27=""),"",U27/I27)</f>
        <v/>
      </c>
      <c r="W27" s="13" t="str">
        <f aca="false">IF(OR(E27="",I27=0,I27=""),"",(J27+K27)/I27)</f>
        <v/>
      </c>
      <c r="X27" s="13" t="str">
        <f aca="false">IF(OR(E27="",J27+K27=0),"",J27/(J27+K27))</f>
        <v/>
      </c>
      <c r="Y27" s="10" t="str">
        <f aca="false">IF(E27="","",J27*I_Parameter!$C$28+K27*I_Parameter!$C$29+L27*I_Parameter!$C$30+M27*I_Parameter!$C$31+N27*I_Parameter!$C$32+O27*I_Parameter!$C$33+P27*I_Parameter!$C$34)</f>
        <v/>
      </c>
      <c r="Z27" s="11" t="str">
        <f aca="false">IF(E27="","",Y27-S27)</f>
        <v/>
      </c>
      <c r="AA27" s="11" t="str">
        <f aca="false">IF(E27="","",Z27/E27)</f>
        <v/>
      </c>
      <c r="AB27" s="11" t="str">
        <f aca="false">IF(E27="","",(Y27-G27-H27)/E27)</f>
        <v/>
      </c>
      <c r="AC27" s="11" t="str">
        <f aca="false">IF(OR(E27="",U27=0),"",S27/U27)</f>
        <v/>
      </c>
      <c r="AD27" s="11" t="str">
        <f aca="false">IF(OR(E27="",U27=0),"",Y27/U27)</f>
        <v/>
      </c>
    </row>
    <row r="28" customFormat="false" ht="15" hidden="false" customHeight="false" outlineLevel="0" collapsed="false">
      <c r="A28" s="37"/>
      <c r="B28" s="44"/>
      <c r="C28" s="44"/>
      <c r="D28" s="44"/>
      <c r="E28" s="45"/>
      <c r="F28" s="42"/>
      <c r="G28" s="42"/>
      <c r="H28" s="42"/>
      <c r="I28" s="45"/>
      <c r="J28" s="45"/>
      <c r="K28" s="45"/>
      <c r="L28" s="45"/>
      <c r="M28" s="45"/>
      <c r="N28" s="45"/>
      <c r="O28" s="45"/>
      <c r="P28" s="45"/>
      <c r="Q28" s="45"/>
      <c r="R28" s="11" t="str">
        <f aca="false">IF(E28="","",E28*F28)</f>
        <v/>
      </c>
      <c r="S28" s="11" t="str">
        <f aca="false">IF(E28="","",R28+G28+H28)</f>
        <v/>
      </c>
      <c r="T28" s="13" t="str">
        <f aca="false">IF(OR(E28="",I28=""),"",1-I28/E28)</f>
        <v/>
      </c>
      <c r="U28" s="47" t="str">
        <f aca="false">IF(E28="","",SUM(J28:Q28))</f>
        <v/>
      </c>
      <c r="V28" s="13" t="str">
        <f aca="false">IF(OR(E28="",I28=0,I28=""),"",U28/I28)</f>
        <v/>
      </c>
      <c r="W28" s="13" t="str">
        <f aca="false">IF(OR(E28="",I28=0,I28=""),"",(J28+K28)/I28)</f>
        <v/>
      </c>
      <c r="X28" s="13" t="str">
        <f aca="false">IF(OR(E28="",J28+K28=0),"",J28/(J28+K28))</f>
        <v/>
      </c>
      <c r="Y28" s="10" t="str">
        <f aca="false">IF(E28="","",J28*I_Parameter!$C$28+K28*I_Parameter!$C$29+L28*I_Parameter!$C$30+M28*I_Parameter!$C$31+N28*I_Parameter!$C$32+O28*I_Parameter!$C$33+P28*I_Parameter!$C$34)</f>
        <v/>
      </c>
      <c r="Z28" s="11" t="str">
        <f aca="false">IF(E28="","",Y28-S28)</f>
        <v/>
      </c>
      <c r="AA28" s="11" t="str">
        <f aca="false">IF(E28="","",Z28/E28)</f>
        <v/>
      </c>
      <c r="AB28" s="11" t="str">
        <f aca="false">IF(E28="","",(Y28-G28-H28)/E28)</f>
        <v/>
      </c>
      <c r="AC28" s="11" t="str">
        <f aca="false">IF(OR(E28="",U28=0),"",S28/U28)</f>
        <v/>
      </c>
      <c r="AD28" s="11" t="str">
        <f aca="false">IF(OR(E28="",U28=0),"",Y28/U28)</f>
        <v/>
      </c>
    </row>
    <row r="29" customFormat="false" ht="15" hidden="false" customHeight="false" outlineLevel="0" collapsed="false">
      <c r="A29" s="37"/>
      <c r="B29" s="44"/>
      <c r="C29" s="44"/>
      <c r="D29" s="44"/>
      <c r="E29" s="45"/>
      <c r="F29" s="42"/>
      <c r="G29" s="42"/>
      <c r="H29" s="42"/>
      <c r="I29" s="45"/>
      <c r="J29" s="45"/>
      <c r="K29" s="45"/>
      <c r="L29" s="45"/>
      <c r="M29" s="45"/>
      <c r="N29" s="45"/>
      <c r="O29" s="45"/>
      <c r="P29" s="45"/>
      <c r="Q29" s="45"/>
      <c r="R29" s="11" t="str">
        <f aca="false">IF(E29="","",E29*F29)</f>
        <v/>
      </c>
      <c r="S29" s="11" t="str">
        <f aca="false">IF(E29="","",R29+G29+H29)</f>
        <v/>
      </c>
      <c r="T29" s="13" t="str">
        <f aca="false">IF(OR(E29="",I29=""),"",1-I29/E29)</f>
        <v/>
      </c>
      <c r="U29" s="47" t="str">
        <f aca="false">IF(E29="","",SUM(J29:Q29))</f>
        <v/>
      </c>
      <c r="V29" s="13" t="str">
        <f aca="false">IF(OR(E29="",I29=0,I29=""),"",U29/I29)</f>
        <v/>
      </c>
      <c r="W29" s="13" t="str">
        <f aca="false">IF(OR(E29="",I29=0,I29=""),"",(J29+K29)/I29)</f>
        <v/>
      </c>
      <c r="X29" s="13" t="str">
        <f aca="false">IF(OR(E29="",J29+K29=0),"",J29/(J29+K29))</f>
        <v/>
      </c>
      <c r="Y29" s="10" t="str">
        <f aca="false">IF(E29="","",J29*I_Parameter!$C$28+K29*I_Parameter!$C$29+L29*I_Parameter!$C$30+M29*I_Parameter!$C$31+N29*I_Parameter!$C$32+O29*I_Parameter!$C$33+P29*I_Parameter!$C$34)</f>
        <v/>
      </c>
      <c r="Z29" s="11" t="str">
        <f aca="false">IF(E29="","",Y29-S29)</f>
        <v/>
      </c>
      <c r="AA29" s="11" t="str">
        <f aca="false">IF(E29="","",Z29/E29)</f>
        <v/>
      </c>
      <c r="AB29" s="11" t="str">
        <f aca="false">IF(E29="","",(Y29-G29-H29)/E29)</f>
        <v/>
      </c>
      <c r="AC29" s="11" t="str">
        <f aca="false">IF(OR(E29="",U29=0),"",S29/U29)</f>
        <v/>
      </c>
      <c r="AD29" s="11" t="str">
        <f aca="false">IF(OR(E29="",U29=0),"",Y29/U29)</f>
        <v/>
      </c>
    </row>
    <row r="30" customFormat="false" ht="15" hidden="false" customHeight="false" outlineLevel="0" collapsed="false">
      <c r="A30" s="37"/>
      <c r="B30" s="44"/>
      <c r="C30" s="44"/>
      <c r="D30" s="44"/>
      <c r="E30" s="45"/>
      <c r="F30" s="42"/>
      <c r="G30" s="42"/>
      <c r="H30" s="42"/>
      <c r="I30" s="45"/>
      <c r="J30" s="45"/>
      <c r="K30" s="45"/>
      <c r="L30" s="45"/>
      <c r="M30" s="45"/>
      <c r="N30" s="45"/>
      <c r="O30" s="45"/>
      <c r="P30" s="45"/>
      <c r="Q30" s="45"/>
      <c r="R30" s="11" t="str">
        <f aca="false">IF(E30="","",E30*F30)</f>
        <v/>
      </c>
      <c r="S30" s="11" t="str">
        <f aca="false">IF(E30="","",R30+G30+H30)</f>
        <v/>
      </c>
      <c r="T30" s="13" t="str">
        <f aca="false">IF(OR(E30="",I30=""),"",1-I30/E30)</f>
        <v/>
      </c>
      <c r="U30" s="47" t="str">
        <f aca="false">IF(E30="","",SUM(J30:Q30))</f>
        <v/>
      </c>
      <c r="V30" s="13" t="str">
        <f aca="false">IF(OR(E30="",I30=0,I30=""),"",U30/I30)</f>
        <v/>
      </c>
      <c r="W30" s="13" t="str">
        <f aca="false">IF(OR(E30="",I30=0,I30=""),"",(J30+K30)/I30)</f>
        <v/>
      </c>
      <c r="X30" s="13" t="str">
        <f aca="false">IF(OR(E30="",J30+K30=0),"",J30/(J30+K30))</f>
        <v/>
      </c>
      <c r="Y30" s="10" t="str">
        <f aca="false">IF(E30="","",J30*I_Parameter!$C$28+K30*I_Parameter!$C$29+L30*I_Parameter!$C$30+M30*I_Parameter!$C$31+N30*I_Parameter!$C$32+O30*I_Parameter!$C$33+P30*I_Parameter!$C$34)</f>
        <v/>
      </c>
      <c r="Z30" s="11" t="str">
        <f aca="false">IF(E30="","",Y30-S30)</f>
        <v/>
      </c>
      <c r="AA30" s="11" t="str">
        <f aca="false">IF(E30="","",Z30/E30)</f>
        <v/>
      </c>
      <c r="AB30" s="11" t="str">
        <f aca="false">IF(E30="","",(Y30-G30-H30)/E30)</f>
        <v/>
      </c>
      <c r="AC30" s="11" t="str">
        <f aca="false">IF(OR(E30="",U30=0),"",S30/U30)</f>
        <v/>
      </c>
      <c r="AD30" s="11" t="str">
        <f aca="false">IF(OR(E30="",U30=0),"",Y30/U30)</f>
        <v/>
      </c>
    </row>
    <row r="31" customFormat="false" ht="15" hidden="false" customHeight="false" outlineLevel="0" collapsed="false">
      <c r="A31" s="37"/>
      <c r="B31" s="44"/>
      <c r="C31" s="44"/>
      <c r="D31" s="44"/>
      <c r="E31" s="45"/>
      <c r="F31" s="42"/>
      <c r="G31" s="42"/>
      <c r="H31" s="42"/>
      <c r="I31" s="45"/>
      <c r="J31" s="45"/>
      <c r="K31" s="45"/>
      <c r="L31" s="45"/>
      <c r="M31" s="45"/>
      <c r="N31" s="45"/>
      <c r="O31" s="45"/>
      <c r="P31" s="45"/>
      <c r="Q31" s="45"/>
      <c r="R31" s="11" t="str">
        <f aca="false">IF(E31="","",E31*F31)</f>
        <v/>
      </c>
      <c r="S31" s="11" t="str">
        <f aca="false">IF(E31="","",R31+G31+H31)</f>
        <v/>
      </c>
      <c r="T31" s="13" t="str">
        <f aca="false">IF(OR(E31="",I31=""),"",1-I31/E31)</f>
        <v/>
      </c>
      <c r="U31" s="47" t="str">
        <f aca="false">IF(E31="","",SUM(J31:Q31))</f>
        <v/>
      </c>
      <c r="V31" s="13" t="str">
        <f aca="false">IF(OR(E31="",I31=0,I31=""),"",U31/I31)</f>
        <v/>
      </c>
      <c r="W31" s="13" t="str">
        <f aca="false">IF(OR(E31="",I31=0,I31=""),"",(J31+K31)/I31)</f>
        <v/>
      </c>
      <c r="X31" s="13" t="str">
        <f aca="false">IF(OR(E31="",J31+K31=0),"",J31/(J31+K31))</f>
        <v/>
      </c>
      <c r="Y31" s="10" t="str">
        <f aca="false">IF(E31="","",J31*I_Parameter!$C$28+K31*I_Parameter!$C$29+L31*I_Parameter!$C$30+M31*I_Parameter!$C$31+N31*I_Parameter!$C$32+O31*I_Parameter!$C$33+P31*I_Parameter!$C$34)</f>
        <v/>
      </c>
      <c r="Z31" s="11" t="str">
        <f aca="false">IF(E31="","",Y31-S31)</f>
        <v/>
      </c>
      <c r="AA31" s="11" t="str">
        <f aca="false">IF(E31="","",Z31/E31)</f>
        <v/>
      </c>
      <c r="AB31" s="11" t="str">
        <f aca="false">IF(E31="","",(Y31-G31-H31)/E31)</f>
        <v/>
      </c>
      <c r="AC31" s="11" t="str">
        <f aca="false">IF(OR(E31="",U31=0),"",S31/U31)</f>
        <v/>
      </c>
      <c r="AD31" s="11" t="str">
        <f aca="false">IF(OR(E31="",U31=0),"",Y31/U31)</f>
        <v/>
      </c>
    </row>
    <row r="32" customFormat="false" ht="15" hidden="false" customHeight="false" outlineLevel="0" collapsed="false">
      <c r="A32" s="37"/>
      <c r="B32" s="44"/>
      <c r="C32" s="44"/>
      <c r="D32" s="44"/>
      <c r="E32" s="45"/>
      <c r="F32" s="42"/>
      <c r="G32" s="42"/>
      <c r="H32" s="42"/>
      <c r="I32" s="45"/>
      <c r="J32" s="45"/>
      <c r="K32" s="45"/>
      <c r="L32" s="45"/>
      <c r="M32" s="45"/>
      <c r="N32" s="45"/>
      <c r="O32" s="45"/>
      <c r="P32" s="45"/>
      <c r="Q32" s="45"/>
      <c r="R32" s="11" t="str">
        <f aca="false">IF(E32="","",E32*F32)</f>
        <v/>
      </c>
      <c r="S32" s="11" t="str">
        <f aca="false">IF(E32="","",R32+G32+H32)</f>
        <v/>
      </c>
      <c r="T32" s="13" t="str">
        <f aca="false">IF(OR(E32="",I32=""),"",1-I32/E32)</f>
        <v/>
      </c>
      <c r="U32" s="47" t="str">
        <f aca="false">IF(E32="","",SUM(J32:Q32))</f>
        <v/>
      </c>
      <c r="V32" s="13" t="str">
        <f aca="false">IF(OR(E32="",I32=0,I32=""),"",U32/I32)</f>
        <v/>
      </c>
      <c r="W32" s="13" t="str">
        <f aca="false">IF(OR(E32="",I32=0,I32=""),"",(J32+K32)/I32)</f>
        <v/>
      </c>
      <c r="X32" s="13" t="str">
        <f aca="false">IF(OR(E32="",J32+K32=0),"",J32/(J32+K32))</f>
        <v/>
      </c>
      <c r="Y32" s="10" t="str">
        <f aca="false">IF(E32="","",J32*I_Parameter!$C$28+K32*I_Parameter!$C$29+L32*I_Parameter!$C$30+M32*I_Parameter!$C$31+N32*I_Parameter!$C$32+O32*I_Parameter!$C$33+P32*I_Parameter!$C$34)</f>
        <v/>
      </c>
      <c r="Z32" s="11" t="str">
        <f aca="false">IF(E32="","",Y32-S32)</f>
        <v/>
      </c>
      <c r="AA32" s="11" t="str">
        <f aca="false">IF(E32="","",Z32/E32)</f>
        <v/>
      </c>
      <c r="AB32" s="11" t="str">
        <f aca="false">IF(E32="","",(Y32-G32-H32)/E32)</f>
        <v/>
      </c>
      <c r="AC32" s="11" t="str">
        <f aca="false">IF(OR(E32="",U32=0),"",S32/U32)</f>
        <v/>
      </c>
      <c r="AD32" s="11" t="str">
        <f aca="false">IF(OR(E32="",U32=0),"",Y32/U32)</f>
        <v/>
      </c>
    </row>
    <row r="33" customFormat="false" ht="15" hidden="false" customHeight="false" outlineLevel="0" collapsed="false">
      <c r="A33" s="37"/>
      <c r="B33" s="44"/>
      <c r="C33" s="44"/>
      <c r="D33" s="44"/>
      <c r="E33" s="45"/>
      <c r="F33" s="42"/>
      <c r="G33" s="42"/>
      <c r="H33" s="42"/>
      <c r="I33" s="45"/>
      <c r="J33" s="45"/>
      <c r="K33" s="45"/>
      <c r="L33" s="45"/>
      <c r="M33" s="45"/>
      <c r="N33" s="45"/>
      <c r="O33" s="45"/>
      <c r="P33" s="45"/>
      <c r="Q33" s="45"/>
      <c r="R33" s="11" t="str">
        <f aca="false">IF(E33="","",E33*F33)</f>
        <v/>
      </c>
      <c r="S33" s="11" t="str">
        <f aca="false">IF(E33="","",R33+G33+H33)</f>
        <v/>
      </c>
      <c r="T33" s="13" t="str">
        <f aca="false">IF(OR(E33="",I33=""),"",1-I33/E33)</f>
        <v/>
      </c>
      <c r="U33" s="47" t="str">
        <f aca="false">IF(E33="","",SUM(J33:Q33))</f>
        <v/>
      </c>
      <c r="V33" s="13" t="str">
        <f aca="false">IF(OR(E33="",I33=0,I33=""),"",U33/I33)</f>
        <v/>
      </c>
      <c r="W33" s="13" t="str">
        <f aca="false">IF(OR(E33="",I33=0,I33=""),"",(J33+K33)/I33)</f>
        <v/>
      </c>
      <c r="X33" s="13" t="str">
        <f aca="false">IF(OR(E33="",J33+K33=0),"",J33/(J33+K33))</f>
        <v/>
      </c>
      <c r="Y33" s="10" t="str">
        <f aca="false">IF(E33="","",J33*I_Parameter!$C$28+K33*I_Parameter!$C$29+L33*I_Parameter!$C$30+M33*I_Parameter!$C$31+N33*I_Parameter!$C$32+O33*I_Parameter!$C$33+P33*I_Parameter!$C$34)</f>
        <v/>
      </c>
      <c r="Z33" s="11" t="str">
        <f aca="false">IF(E33="","",Y33-S33)</f>
        <v/>
      </c>
      <c r="AA33" s="11" t="str">
        <f aca="false">IF(E33="","",Z33/E33)</f>
        <v/>
      </c>
      <c r="AB33" s="11" t="str">
        <f aca="false">IF(E33="","",(Y33-G33-H33)/E33)</f>
        <v/>
      </c>
      <c r="AC33" s="11" t="str">
        <f aca="false">IF(OR(E33="",U33=0),"",S33/U33)</f>
        <v/>
      </c>
      <c r="AD33" s="11" t="str">
        <f aca="false">IF(OR(E33="",U33=0),"",Y33/U33)</f>
        <v/>
      </c>
    </row>
    <row r="34" customFormat="false" ht="15" hidden="false" customHeight="false" outlineLevel="0" collapsed="false">
      <c r="A34" s="37"/>
      <c r="B34" s="44"/>
      <c r="C34" s="44"/>
      <c r="D34" s="44"/>
      <c r="E34" s="45"/>
      <c r="F34" s="42"/>
      <c r="G34" s="42"/>
      <c r="H34" s="42"/>
      <c r="I34" s="45"/>
      <c r="J34" s="45"/>
      <c r="K34" s="45"/>
      <c r="L34" s="45"/>
      <c r="M34" s="45"/>
      <c r="N34" s="45"/>
      <c r="O34" s="45"/>
      <c r="P34" s="45"/>
      <c r="Q34" s="45"/>
      <c r="R34" s="11" t="str">
        <f aca="false">IF(E34="","",E34*F34)</f>
        <v/>
      </c>
      <c r="S34" s="11" t="str">
        <f aca="false">IF(E34="","",R34+G34+H34)</f>
        <v/>
      </c>
      <c r="T34" s="13" t="str">
        <f aca="false">IF(OR(E34="",I34=""),"",1-I34/E34)</f>
        <v/>
      </c>
      <c r="U34" s="47" t="str">
        <f aca="false">IF(E34="","",SUM(J34:Q34))</f>
        <v/>
      </c>
      <c r="V34" s="13" t="str">
        <f aca="false">IF(OR(E34="",I34=0,I34=""),"",U34/I34)</f>
        <v/>
      </c>
      <c r="W34" s="13" t="str">
        <f aca="false">IF(OR(E34="",I34=0,I34=""),"",(J34+K34)/I34)</f>
        <v/>
      </c>
      <c r="X34" s="13" t="str">
        <f aca="false">IF(OR(E34="",J34+K34=0),"",J34/(J34+K34))</f>
        <v/>
      </c>
      <c r="Y34" s="10" t="str">
        <f aca="false">IF(E34="","",J34*I_Parameter!$C$28+K34*I_Parameter!$C$29+L34*I_Parameter!$C$30+M34*I_Parameter!$C$31+N34*I_Parameter!$C$32+O34*I_Parameter!$C$33+P34*I_Parameter!$C$34)</f>
        <v/>
      </c>
      <c r="Z34" s="11" t="str">
        <f aca="false">IF(E34="","",Y34-S34)</f>
        <v/>
      </c>
      <c r="AA34" s="11" t="str">
        <f aca="false">IF(E34="","",Z34/E34)</f>
        <v/>
      </c>
      <c r="AB34" s="11" t="str">
        <f aca="false">IF(E34="","",(Y34-G34-H34)/E34)</f>
        <v/>
      </c>
      <c r="AC34" s="11" t="str">
        <f aca="false">IF(OR(E34="",U34=0),"",S34/U34)</f>
        <v/>
      </c>
      <c r="AD34" s="11" t="str">
        <f aca="false">IF(OR(E34="",U34=0),"",Y34/U34)</f>
        <v/>
      </c>
    </row>
    <row r="35" customFormat="false" ht="15" hidden="false" customHeight="false" outlineLevel="0" collapsed="false">
      <c r="A35" s="37"/>
      <c r="B35" s="44"/>
      <c r="C35" s="44"/>
      <c r="D35" s="44"/>
      <c r="E35" s="45"/>
      <c r="F35" s="42"/>
      <c r="G35" s="42"/>
      <c r="H35" s="42"/>
      <c r="I35" s="45"/>
      <c r="J35" s="45"/>
      <c r="K35" s="45"/>
      <c r="L35" s="45"/>
      <c r="M35" s="45"/>
      <c r="N35" s="45"/>
      <c r="O35" s="45"/>
      <c r="P35" s="45"/>
      <c r="Q35" s="45"/>
      <c r="R35" s="11" t="str">
        <f aca="false">IF(E35="","",E35*F35)</f>
        <v/>
      </c>
      <c r="S35" s="11" t="str">
        <f aca="false">IF(E35="","",R35+G35+H35)</f>
        <v/>
      </c>
      <c r="T35" s="13" t="str">
        <f aca="false">IF(OR(E35="",I35=""),"",1-I35/E35)</f>
        <v/>
      </c>
      <c r="U35" s="47" t="str">
        <f aca="false">IF(E35="","",SUM(J35:Q35))</f>
        <v/>
      </c>
      <c r="V35" s="13" t="str">
        <f aca="false">IF(OR(E35="",I35=0,I35=""),"",U35/I35)</f>
        <v/>
      </c>
      <c r="W35" s="13" t="str">
        <f aca="false">IF(OR(E35="",I35=0,I35=""),"",(J35+K35)/I35)</f>
        <v/>
      </c>
      <c r="X35" s="13" t="str">
        <f aca="false">IF(OR(E35="",J35+K35=0),"",J35/(J35+K35))</f>
        <v/>
      </c>
      <c r="Y35" s="10" t="str">
        <f aca="false">IF(E35="","",J35*I_Parameter!$C$28+K35*I_Parameter!$C$29+L35*I_Parameter!$C$30+M35*I_Parameter!$C$31+N35*I_Parameter!$C$32+O35*I_Parameter!$C$33+P35*I_Parameter!$C$34)</f>
        <v/>
      </c>
      <c r="Z35" s="11" t="str">
        <f aca="false">IF(E35="","",Y35-S35)</f>
        <v/>
      </c>
      <c r="AA35" s="11" t="str">
        <f aca="false">IF(E35="","",Z35/E35)</f>
        <v/>
      </c>
      <c r="AB35" s="11" t="str">
        <f aca="false">IF(E35="","",(Y35-G35-H35)/E35)</f>
        <v/>
      </c>
      <c r="AC35" s="11" t="str">
        <f aca="false">IF(OR(E35="",U35=0),"",S35/U35)</f>
        <v/>
      </c>
      <c r="AD35" s="11" t="str">
        <f aca="false">IF(OR(E35="",U35=0),"",Y35/U35)</f>
        <v/>
      </c>
    </row>
    <row r="36" customFormat="false" ht="15" hidden="false" customHeight="false" outlineLevel="0" collapsed="false">
      <c r="A36" s="37"/>
      <c r="B36" s="44"/>
      <c r="C36" s="44"/>
      <c r="D36" s="44"/>
      <c r="E36" s="45"/>
      <c r="F36" s="42"/>
      <c r="G36" s="42"/>
      <c r="H36" s="42"/>
      <c r="I36" s="45"/>
      <c r="J36" s="45"/>
      <c r="K36" s="45"/>
      <c r="L36" s="45"/>
      <c r="M36" s="45"/>
      <c r="N36" s="45"/>
      <c r="O36" s="45"/>
      <c r="P36" s="45"/>
      <c r="Q36" s="45"/>
      <c r="R36" s="11" t="str">
        <f aca="false">IF(E36="","",E36*F36)</f>
        <v/>
      </c>
      <c r="S36" s="11" t="str">
        <f aca="false">IF(E36="","",R36+G36+H36)</f>
        <v/>
      </c>
      <c r="T36" s="13" t="str">
        <f aca="false">IF(OR(E36="",I36=""),"",1-I36/E36)</f>
        <v/>
      </c>
      <c r="U36" s="47" t="str">
        <f aca="false">IF(E36="","",SUM(J36:Q36))</f>
        <v/>
      </c>
      <c r="V36" s="13" t="str">
        <f aca="false">IF(OR(E36="",I36=0,I36=""),"",U36/I36)</f>
        <v/>
      </c>
      <c r="W36" s="13" t="str">
        <f aca="false">IF(OR(E36="",I36=0,I36=""),"",(J36+K36)/I36)</f>
        <v/>
      </c>
      <c r="X36" s="13" t="str">
        <f aca="false">IF(OR(E36="",J36+K36=0),"",J36/(J36+K36))</f>
        <v/>
      </c>
      <c r="Y36" s="10" t="str">
        <f aca="false">IF(E36="","",J36*I_Parameter!$C$28+K36*I_Parameter!$C$29+L36*I_Parameter!$C$30+M36*I_Parameter!$C$31+N36*I_Parameter!$C$32+O36*I_Parameter!$C$33+P36*I_Parameter!$C$34)</f>
        <v/>
      </c>
      <c r="Z36" s="11" t="str">
        <f aca="false">IF(E36="","",Y36-S36)</f>
        <v/>
      </c>
      <c r="AA36" s="11" t="str">
        <f aca="false">IF(E36="","",Z36/E36)</f>
        <v/>
      </c>
      <c r="AB36" s="11" t="str">
        <f aca="false">IF(E36="","",(Y36-G36-H36)/E36)</f>
        <v/>
      </c>
      <c r="AC36" s="11" t="str">
        <f aca="false">IF(OR(E36="",U36=0),"",S36/U36)</f>
        <v/>
      </c>
      <c r="AD36" s="11" t="str">
        <f aca="false">IF(OR(E36="",U36=0),"",Y36/U36)</f>
        <v/>
      </c>
    </row>
    <row r="37" customFormat="false" ht="15" hidden="false" customHeight="false" outlineLevel="0" collapsed="false">
      <c r="A37" s="37"/>
      <c r="B37" s="44"/>
      <c r="C37" s="44"/>
      <c r="D37" s="44"/>
      <c r="E37" s="45"/>
      <c r="F37" s="42"/>
      <c r="G37" s="42"/>
      <c r="H37" s="42"/>
      <c r="I37" s="45"/>
      <c r="J37" s="45"/>
      <c r="K37" s="45"/>
      <c r="L37" s="45"/>
      <c r="M37" s="45"/>
      <c r="N37" s="45"/>
      <c r="O37" s="45"/>
      <c r="P37" s="45"/>
      <c r="Q37" s="45"/>
      <c r="R37" s="11" t="str">
        <f aca="false">IF(E37="","",E37*F37)</f>
        <v/>
      </c>
      <c r="S37" s="11" t="str">
        <f aca="false">IF(E37="","",R37+G37+H37)</f>
        <v/>
      </c>
      <c r="T37" s="13" t="str">
        <f aca="false">IF(OR(E37="",I37=""),"",1-I37/E37)</f>
        <v/>
      </c>
      <c r="U37" s="47" t="str">
        <f aca="false">IF(E37="","",SUM(J37:Q37))</f>
        <v/>
      </c>
      <c r="V37" s="13" t="str">
        <f aca="false">IF(OR(E37="",I37=0,I37=""),"",U37/I37)</f>
        <v/>
      </c>
      <c r="W37" s="13" t="str">
        <f aca="false">IF(OR(E37="",I37=0,I37=""),"",(J37+K37)/I37)</f>
        <v/>
      </c>
      <c r="X37" s="13" t="str">
        <f aca="false">IF(OR(E37="",J37+K37=0),"",J37/(J37+K37))</f>
        <v/>
      </c>
      <c r="Y37" s="10" t="str">
        <f aca="false">IF(E37="","",J37*I_Parameter!$C$28+K37*I_Parameter!$C$29+L37*I_Parameter!$C$30+M37*I_Parameter!$C$31+N37*I_Parameter!$C$32+O37*I_Parameter!$C$33+P37*I_Parameter!$C$34)</f>
        <v/>
      </c>
      <c r="Z37" s="11" t="str">
        <f aca="false">IF(E37="","",Y37-S37)</f>
        <v/>
      </c>
      <c r="AA37" s="11" t="str">
        <f aca="false">IF(E37="","",Z37/E37)</f>
        <v/>
      </c>
      <c r="AB37" s="11" t="str">
        <f aca="false">IF(E37="","",(Y37-G37-H37)/E37)</f>
        <v/>
      </c>
      <c r="AC37" s="11" t="str">
        <f aca="false">IF(OR(E37="",U37=0),"",S37/U37)</f>
        <v/>
      </c>
      <c r="AD37" s="11" t="str">
        <f aca="false">IF(OR(E37="",U37=0),"",Y37/U37)</f>
        <v/>
      </c>
    </row>
    <row r="38" customFormat="false" ht="15" hidden="false" customHeight="false" outlineLevel="0" collapsed="false">
      <c r="A38" s="37"/>
      <c r="B38" s="44"/>
      <c r="C38" s="44"/>
      <c r="D38" s="44"/>
      <c r="E38" s="45"/>
      <c r="F38" s="42"/>
      <c r="G38" s="42"/>
      <c r="H38" s="42"/>
      <c r="I38" s="45"/>
      <c r="J38" s="45"/>
      <c r="K38" s="45"/>
      <c r="L38" s="45"/>
      <c r="M38" s="45"/>
      <c r="N38" s="45"/>
      <c r="O38" s="45"/>
      <c r="P38" s="45"/>
      <c r="Q38" s="45"/>
      <c r="R38" s="11" t="str">
        <f aca="false">IF(E38="","",E38*F38)</f>
        <v/>
      </c>
      <c r="S38" s="11" t="str">
        <f aca="false">IF(E38="","",R38+G38+H38)</f>
        <v/>
      </c>
      <c r="T38" s="13" t="str">
        <f aca="false">IF(OR(E38="",I38=""),"",1-I38/E38)</f>
        <v/>
      </c>
      <c r="U38" s="47" t="str">
        <f aca="false">IF(E38="","",SUM(J38:Q38))</f>
        <v/>
      </c>
      <c r="V38" s="13" t="str">
        <f aca="false">IF(OR(E38="",I38=0,I38=""),"",U38/I38)</f>
        <v/>
      </c>
      <c r="W38" s="13" t="str">
        <f aca="false">IF(OR(E38="",I38=0,I38=""),"",(J38+K38)/I38)</f>
        <v/>
      </c>
      <c r="X38" s="13" t="str">
        <f aca="false">IF(OR(E38="",J38+K38=0),"",J38/(J38+K38))</f>
        <v/>
      </c>
      <c r="Y38" s="10" t="str">
        <f aca="false">IF(E38="","",J38*I_Parameter!$C$28+K38*I_Parameter!$C$29+L38*I_Parameter!$C$30+M38*I_Parameter!$C$31+N38*I_Parameter!$C$32+O38*I_Parameter!$C$33+P38*I_Parameter!$C$34)</f>
        <v/>
      </c>
      <c r="Z38" s="11" t="str">
        <f aca="false">IF(E38="","",Y38-S38)</f>
        <v/>
      </c>
      <c r="AA38" s="11" t="str">
        <f aca="false">IF(E38="","",Z38/E38)</f>
        <v/>
      </c>
      <c r="AB38" s="11" t="str">
        <f aca="false">IF(E38="","",(Y38-G38-H38)/E38)</f>
        <v/>
      </c>
      <c r="AC38" s="11" t="str">
        <f aca="false">IF(OR(E38="",U38=0),"",S38/U38)</f>
        <v/>
      </c>
      <c r="AD38" s="11" t="str">
        <f aca="false">IF(OR(E38="",U38=0),"",Y38/U38)</f>
        <v/>
      </c>
    </row>
    <row r="39" customFormat="false" ht="15" hidden="false" customHeight="false" outlineLevel="0" collapsed="false">
      <c r="A39" s="37"/>
      <c r="B39" s="44"/>
      <c r="C39" s="44"/>
      <c r="D39" s="44"/>
      <c r="E39" s="45"/>
      <c r="F39" s="42"/>
      <c r="G39" s="42"/>
      <c r="H39" s="42"/>
      <c r="I39" s="45"/>
      <c r="J39" s="45"/>
      <c r="K39" s="45"/>
      <c r="L39" s="45"/>
      <c r="M39" s="45"/>
      <c r="N39" s="45"/>
      <c r="O39" s="45"/>
      <c r="P39" s="45"/>
      <c r="Q39" s="45"/>
      <c r="R39" s="11" t="str">
        <f aca="false">IF(E39="","",E39*F39)</f>
        <v/>
      </c>
      <c r="S39" s="11" t="str">
        <f aca="false">IF(E39="","",R39+G39+H39)</f>
        <v/>
      </c>
      <c r="T39" s="13" t="str">
        <f aca="false">IF(OR(E39="",I39=""),"",1-I39/E39)</f>
        <v/>
      </c>
      <c r="U39" s="47" t="str">
        <f aca="false">IF(E39="","",SUM(J39:Q39))</f>
        <v/>
      </c>
      <c r="V39" s="13" t="str">
        <f aca="false">IF(OR(E39="",I39=0,I39=""),"",U39/I39)</f>
        <v/>
      </c>
      <c r="W39" s="13" t="str">
        <f aca="false">IF(OR(E39="",I39=0,I39=""),"",(J39+K39)/I39)</f>
        <v/>
      </c>
      <c r="X39" s="13" t="str">
        <f aca="false">IF(OR(E39="",J39+K39=0),"",J39/(J39+K39))</f>
        <v/>
      </c>
      <c r="Y39" s="10" t="str">
        <f aca="false">IF(E39="","",J39*I_Parameter!$C$28+K39*I_Parameter!$C$29+L39*I_Parameter!$C$30+M39*I_Parameter!$C$31+N39*I_Parameter!$C$32+O39*I_Parameter!$C$33+P39*I_Parameter!$C$34)</f>
        <v/>
      </c>
      <c r="Z39" s="11" t="str">
        <f aca="false">IF(E39="","",Y39-S39)</f>
        <v/>
      </c>
      <c r="AA39" s="11" t="str">
        <f aca="false">IF(E39="","",Z39/E39)</f>
        <v/>
      </c>
      <c r="AB39" s="11" t="str">
        <f aca="false">IF(E39="","",(Y39-G39-H39)/E39)</f>
        <v/>
      </c>
      <c r="AC39" s="11" t="str">
        <f aca="false">IF(OR(E39="",U39=0),"",S39/U39)</f>
        <v/>
      </c>
      <c r="AD39" s="11" t="str">
        <f aca="false">IF(OR(E39="",U39=0),"",Y39/U39)</f>
        <v/>
      </c>
    </row>
    <row r="40" customFormat="false" ht="15" hidden="false" customHeight="false" outlineLevel="0" collapsed="false">
      <c r="A40" s="37"/>
      <c r="B40" s="44"/>
      <c r="C40" s="44"/>
      <c r="D40" s="44"/>
      <c r="E40" s="45"/>
      <c r="F40" s="42"/>
      <c r="G40" s="42"/>
      <c r="H40" s="42"/>
      <c r="I40" s="45"/>
      <c r="J40" s="45"/>
      <c r="K40" s="45"/>
      <c r="L40" s="45"/>
      <c r="M40" s="45"/>
      <c r="N40" s="45"/>
      <c r="O40" s="45"/>
      <c r="P40" s="45"/>
      <c r="Q40" s="45"/>
      <c r="R40" s="11" t="str">
        <f aca="false">IF(E40="","",E40*F40)</f>
        <v/>
      </c>
      <c r="S40" s="11" t="str">
        <f aca="false">IF(E40="","",R40+G40+H40)</f>
        <v/>
      </c>
      <c r="T40" s="13" t="str">
        <f aca="false">IF(OR(E40="",I40=""),"",1-I40/E40)</f>
        <v/>
      </c>
      <c r="U40" s="47" t="str">
        <f aca="false">IF(E40="","",SUM(J40:Q40))</f>
        <v/>
      </c>
      <c r="V40" s="13" t="str">
        <f aca="false">IF(OR(E40="",I40=0,I40=""),"",U40/I40)</f>
        <v/>
      </c>
      <c r="W40" s="13" t="str">
        <f aca="false">IF(OR(E40="",I40=0,I40=""),"",(J40+K40)/I40)</f>
        <v/>
      </c>
      <c r="X40" s="13" t="str">
        <f aca="false">IF(OR(E40="",J40+K40=0),"",J40/(J40+K40))</f>
        <v/>
      </c>
      <c r="Y40" s="10" t="str">
        <f aca="false">IF(E40="","",J40*I_Parameter!$C$28+K40*I_Parameter!$C$29+L40*I_Parameter!$C$30+M40*I_Parameter!$C$31+N40*I_Parameter!$C$32+O40*I_Parameter!$C$33+P40*I_Parameter!$C$34)</f>
        <v/>
      </c>
      <c r="Z40" s="11" t="str">
        <f aca="false">IF(E40="","",Y40-S40)</f>
        <v/>
      </c>
      <c r="AA40" s="11" t="str">
        <f aca="false">IF(E40="","",Z40/E40)</f>
        <v/>
      </c>
      <c r="AB40" s="11" t="str">
        <f aca="false">IF(E40="","",(Y40-G40-H40)/E40)</f>
        <v/>
      </c>
      <c r="AC40" s="11" t="str">
        <f aca="false">IF(OR(E40="",U40=0),"",S40/U40)</f>
        <v/>
      </c>
      <c r="AD40" s="11" t="str">
        <f aca="false">IF(OR(E40="",U40=0),"",Y40/U40)</f>
        <v/>
      </c>
    </row>
    <row r="41" customFormat="false" ht="15" hidden="false" customHeight="false" outlineLevel="0" collapsed="false">
      <c r="A41" s="37"/>
      <c r="B41" s="44"/>
      <c r="C41" s="44"/>
      <c r="D41" s="44"/>
      <c r="E41" s="45"/>
      <c r="F41" s="42"/>
      <c r="G41" s="42"/>
      <c r="H41" s="42"/>
      <c r="I41" s="45"/>
      <c r="J41" s="45"/>
      <c r="K41" s="45"/>
      <c r="L41" s="45"/>
      <c r="M41" s="45"/>
      <c r="N41" s="45"/>
      <c r="O41" s="45"/>
      <c r="P41" s="45"/>
      <c r="Q41" s="45"/>
      <c r="R41" s="11" t="str">
        <f aca="false">IF(E41="","",E41*F41)</f>
        <v/>
      </c>
      <c r="S41" s="11" t="str">
        <f aca="false">IF(E41="","",R41+G41+H41)</f>
        <v/>
      </c>
      <c r="T41" s="13" t="str">
        <f aca="false">IF(OR(E41="",I41=""),"",1-I41/E41)</f>
        <v/>
      </c>
      <c r="U41" s="47" t="str">
        <f aca="false">IF(E41="","",SUM(J41:Q41))</f>
        <v/>
      </c>
      <c r="V41" s="13" t="str">
        <f aca="false">IF(OR(E41="",I41=0,I41=""),"",U41/I41)</f>
        <v/>
      </c>
      <c r="W41" s="13" t="str">
        <f aca="false">IF(OR(E41="",I41=0,I41=""),"",(J41+K41)/I41)</f>
        <v/>
      </c>
      <c r="X41" s="13" t="str">
        <f aca="false">IF(OR(E41="",J41+K41=0),"",J41/(J41+K41))</f>
        <v/>
      </c>
      <c r="Y41" s="10" t="str">
        <f aca="false">IF(E41="","",J41*I_Parameter!$C$28+K41*I_Parameter!$C$29+L41*I_Parameter!$C$30+M41*I_Parameter!$C$31+N41*I_Parameter!$C$32+O41*I_Parameter!$C$33+P41*I_Parameter!$C$34)</f>
        <v/>
      </c>
      <c r="Z41" s="11" t="str">
        <f aca="false">IF(E41="","",Y41-S41)</f>
        <v/>
      </c>
      <c r="AA41" s="11" t="str">
        <f aca="false">IF(E41="","",Z41/E41)</f>
        <v/>
      </c>
      <c r="AB41" s="11" t="str">
        <f aca="false">IF(E41="","",(Y41-G41-H41)/E41)</f>
        <v/>
      </c>
      <c r="AC41" s="11" t="str">
        <f aca="false">IF(OR(E41="",U41=0),"",S41/U41)</f>
        <v/>
      </c>
      <c r="AD41" s="11" t="str">
        <f aca="false">IF(OR(E41="",U41=0),"",Y41/U41)</f>
        <v/>
      </c>
    </row>
    <row r="42" customFormat="false" ht="15" hidden="false" customHeight="false" outlineLevel="0" collapsed="false">
      <c r="A42" s="37"/>
      <c r="B42" s="44"/>
      <c r="C42" s="44"/>
      <c r="D42" s="44"/>
      <c r="E42" s="45"/>
      <c r="F42" s="42"/>
      <c r="G42" s="42"/>
      <c r="H42" s="42"/>
      <c r="I42" s="45"/>
      <c r="J42" s="45"/>
      <c r="K42" s="45"/>
      <c r="L42" s="45"/>
      <c r="M42" s="45"/>
      <c r="N42" s="45"/>
      <c r="O42" s="45"/>
      <c r="P42" s="45"/>
      <c r="Q42" s="45"/>
      <c r="R42" s="11" t="str">
        <f aca="false">IF(E42="","",E42*F42)</f>
        <v/>
      </c>
      <c r="S42" s="11" t="str">
        <f aca="false">IF(E42="","",R42+G42+H42)</f>
        <v/>
      </c>
      <c r="T42" s="13" t="str">
        <f aca="false">IF(OR(E42="",I42=""),"",1-I42/E42)</f>
        <v/>
      </c>
      <c r="U42" s="47" t="str">
        <f aca="false">IF(E42="","",SUM(J42:Q42))</f>
        <v/>
      </c>
      <c r="V42" s="13" t="str">
        <f aca="false">IF(OR(E42="",I42=0,I42=""),"",U42/I42)</f>
        <v/>
      </c>
      <c r="W42" s="13" t="str">
        <f aca="false">IF(OR(E42="",I42=0,I42=""),"",(J42+K42)/I42)</f>
        <v/>
      </c>
      <c r="X42" s="13" t="str">
        <f aca="false">IF(OR(E42="",J42+K42=0),"",J42/(J42+K42))</f>
        <v/>
      </c>
      <c r="Y42" s="10" t="str">
        <f aca="false">IF(E42="","",J42*I_Parameter!$C$28+K42*I_Parameter!$C$29+L42*I_Parameter!$C$30+M42*I_Parameter!$C$31+N42*I_Parameter!$C$32+O42*I_Parameter!$C$33+P42*I_Parameter!$C$34)</f>
        <v/>
      </c>
      <c r="Z42" s="11" t="str">
        <f aca="false">IF(E42="","",Y42-S42)</f>
        <v/>
      </c>
      <c r="AA42" s="11" t="str">
        <f aca="false">IF(E42="","",Z42/E42)</f>
        <v/>
      </c>
      <c r="AB42" s="11" t="str">
        <f aca="false">IF(E42="","",(Y42-G42-H42)/E42)</f>
        <v/>
      </c>
      <c r="AC42" s="11" t="str">
        <f aca="false">IF(OR(E42="",U42=0),"",S42/U42)</f>
        <v/>
      </c>
      <c r="AD42" s="11" t="str">
        <f aca="false">IF(OR(E42="",U42=0),"",Y42/U42)</f>
        <v/>
      </c>
    </row>
    <row r="43" customFormat="false" ht="15" hidden="false" customHeight="false" outlineLevel="0" collapsed="false">
      <c r="A43" s="37"/>
      <c r="B43" s="44"/>
      <c r="C43" s="44"/>
      <c r="D43" s="44"/>
      <c r="E43" s="45"/>
      <c r="F43" s="42"/>
      <c r="G43" s="42"/>
      <c r="H43" s="42"/>
      <c r="I43" s="45"/>
      <c r="J43" s="45"/>
      <c r="K43" s="45"/>
      <c r="L43" s="45"/>
      <c r="M43" s="45"/>
      <c r="N43" s="45"/>
      <c r="O43" s="45"/>
      <c r="P43" s="45"/>
      <c r="Q43" s="45"/>
      <c r="R43" s="11" t="str">
        <f aca="false">IF(E43="","",E43*F43)</f>
        <v/>
      </c>
      <c r="S43" s="11" t="str">
        <f aca="false">IF(E43="","",R43+G43+H43)</f>
        <v/>
      </c>
      <c r="T43" s="13" t="str">
        <f aca="false">IF(OR(E43="",I43=""),"",1-I43/E43)</f>
        <v/>
      </c>
      <c r="U43" s="47" t="str">
        <f aca="false">IF(E43="","",SUM(J43:Q43))</f>
        <v/>
      </c>
      <c r="V43" s="13" t="str">
        <f aca="false">IF(OR(E43="",I43=0,I43=""),"",U43/I43)</f>
        <v/>
      </c>
      <c r="W43" s="13" t="str">
        <f aca="false">IF(OR(E43="",I43=0,I43=""),"",(J43+K43)/I43)</f>
        <v/>
      </c>
      <c r="X43" s="13" t="str">
        <f aca="false">IF(OR(E43="",J43+K43=0),"",J43/(J43+K43))</f>
        <v/>
      </c>
      <c r="Y43" s="10" t="str">
        <f aca="false">IF(E43="","",J43*I_Parameter!$C$28+K43*I_Parameter!$C$29+L43*I_Parameter!$C$30+M43*I_Parameter!$C$31+N43*I_Parameter!$C$32+O43*I_Parameter!$C$33+P43*I_Parameter!$C$34)</f>
        <v/>
      </c>
      <c r="Z43" s="11" t="str">
        <f aca="false">IF(E43="","",Y43-S43)</f>
        <v/>
      </c>
      <c r="AA43" s="11" t="str">
        <f aca="false">IF(E43="","",Z43/E43)</f>
        <v/>
      </c>
      <c r="AB43" s="11" t="str">
        <f aca="false">IF(E43="","",(Y43-G43-H43)/E43)</f>
        <v/>
      </c>
      <c r="AC43" s="11" t="str">
        <f aca="false">IF(OR(E43="",U43=0),"",S43/U43)</f>
        <v/>
      </c>
      <c r="AD43" s="11" t="str">
        <f aca="false">IF(OR(E43="",U43=0),"",Y43/U43)</f>
        <v/>
      </c>
    </row>
    <row r="44" customFormat="false" ht="15" hidden="false" customHeight="false" outlineLevel="0" collapsed="false">
      <c r="A44" s="37"/>
      <c r="B44" s="44"/>
      <c r="C44" s="44"/>
      <c r="D44" s="44"/>
      <c r="E44" s="45"/>
      <c r="F44" s="42"/>
      <c r="G44" s="42"/>
      <c r="H44" s="42"/>
      <c r="I44" s="45"/>
      <c r="J44" s="45"/>
      <c r="K44" s="45"/>
      <c r="L44" s="45"/>
      <c r="M44" s="45"/>
      <c r="N44" s="45"/>
      <c r="O44" s="45"/>
      <c r="P44" s="45"/>
      <c r="Q44" s="45"/>
      <c r="R44" s="11" t="str">
        <f aca="false">IF(E44="","",E44*F44)</f>
        <v/>
      </c>
      <c r="S44" s="11" t="str">
        <f aca="false">IF(E44="","",R44+G44+H44)</f>
        <v/>
      </c>
      <c r="T44" s="13" t="str">
        <f aca="false">IF(OR(E44="",I44=""),"",1-I44/E44)</f>
        <v/>
      </c>
      <c r="U44" s="47" t="str">
        <f aca="false">IF(E44="","",SUM(J44:Q44))</f>
        <v/>
      </c>
      <c r="V44" s="13" t="str">
        <f aca="false">IF(OR(E44="",I44=0,I44=""),"",U44/I44)</f>
        <v/>
      </c>
      <c r="W44" s="13" t="str">
        <f aca="false">IF(OR(E44="",I44=0,I44=""),"",(J44+K44)/I44)</f>
        <v/>
      </c>
      <c r="X44" s="13" t="str">
        <f aca="false">IF(OR(E44="",J44+K44=0),"",J44/(J44+K44))</f>
        <v/>
      </c>
      <c r="Y44" s="10" t="str">
        <f aca="false">IF(E44="","",J44*I_Parameter!$C$28+K44*I_Parameter!$C$29+L44*I_Parameter!$C$30+M44*I_Parameter!$C$31+N44*I_Parameter!$C$32+O44*I_Parameter!$C$33+P44*I_Parameter!$C$34)</f>
        <v/>
      </c>
      <c r="Z44" s="11" t="str">
        <f aca="false">IF(E44="","",Y44-S44)</f>
        <v/>
      </c>
      <c r="AA44" s="11" t="str">
        <f aca="false">IF(E44="","",Z44/E44)</f>
        <v/>
      </c>
      <c r="AB44" s="11" t="str">
        <f aca="false">IF(E44="","",(Y44-G44-H44)/E44)</f>
        <v/>
      </c>
      <c r="AC44" s="11" t="str">
        <f aca="false">IF(OR(E44="",U44=0),"",S44/U44)</f>
        <v/>
      </c>
      <c r="AD44" s="11" t="str">
        <f aca="false">IF(OR(E44="",U44=0),"",Y44/U44)</f>
        <v/>
      </c>
    </row>
    <row r="45" customFormat="false" ht="15" hidden="false" customHeight="false" outlineLevel="0" collapsed="false">
      <c r="A45" s="37"/>
      <c r="B45" s="44"/>
      <c r="C45" s="44"/>
      <c r="D45" s="44"/>
      <c r="E45" s="45"/>
      <c r="F45" s="42"/>
      <c r="G45" s="42"/>
      <c r="H45" s="42"/>
      <c r="I45" s="45"/>
      <c r="J45" s="45"/>
      <c r="K45" s="45"/>
      <c r="L45" s="45"/>
      <c r="M45" s="45"/>
      <c r="N45" s="45"/>
      <c r="O45" s="45"/>
      <c r="P45" s="45"/>
      <c r="Q45" s="45"/>
      <c r="R45" s="11" t="str">
        <f aca="false">IF(E45="","",E45*F45)</f>
        <v/>
      </c>
      <c r="S45" s="11" t="str">
        <f aca="false">IF(E45="","",R45+G45+H45)</f>
        <v/>
      </c>
      <c r="T45" s="13" t="str">
        <f aca="false">IF(OR(E45="",I45=""),"",1-I45/E45)</f>
        <v/>
      </c>
      <c r="U45" s="47" t="str">
        <f aca="false">IF(E45="","",SUM(J45:Q45))</f>
        <v/>
      </c>
      <c r="V45" s="13" t="str">
        <f aca="false">IF(OR(E45="",I45=0,I45=""),"",U45/I45)</f>
        <v/>
      </c>
      <c r="W45" s="13" t="str">
        <f aca="false">IF(OR(E45="",I45=0,I45=""),"",(J45+K45)/I45)</f>
        <v/>
      </c>
      <c r="X45" s="13" t="str">
        <f aca="false">IF(OR(E45="",J45+K45=0),"",J45/(J45+K45))</f>
        <v/>
      </c>
      <c r="Y45" s="10" t="str">
        <f aca="false">IF(E45="","",J45*I_Parameter!$C$28+K45*I_Parameter!$C$29+L45*I_Parameter!$C$30+M45*I_Parameter!$C$31+N45*I_Parameter!$C$32+O45*I_Parameter!$C$33+P45*I_Parameter!$C$34)</f>
        <v/>
      </c>
      <c r="Z45" s="11" t="str">
        <f aca="false">IF(E45="","",Y45-S45)</f>
        <v/>
      </c>
      <c r="AA45" s="11" t="str">
        <f aca="false">IF(E45="","",Z45/E45)</f>
        <v/>
      </c>
      <c r="AB45" s="11" t="str">
        <f aca="false">IF(E45="","",(Y45-G45-H45)/E45)</f>
        <v/>
      </c>
      <c r="AC45" s="11" t="str">
        <f aca="false">IF(OR(E45="",U45=0),"",S45/U45)</f>
        <v/>
      </c>
      <c r="AD45" s="11" t="str">
        <f aca="false">IF(OR(E45="",U45=0),"",Y45/U45)</f>
        <v/>
      </c>
    </row>
    <row r="46" customFormat="false" ht="15" hidden="false" customHeight="false" outlineLevel="0" collapsed="false">
      <c r="A46" s="37"/>
      <c r="B46" s="44"/>
      <c r="C46" s="44"/>
      <c r="D46" s="44"/>
      <c r="E46" s="45"/>
      <c r="F46" s="42"/>
      <c r="G46" s="42"/>
      <c r="H46" s="42"/>
      <c r="I46" s="45"/>
      <c r="J46" s="45"/>
      <c r="K46" s="45"/>
      <c r="L46" s="45"/>
      <c r="M46" s="45"/>
      <c r="N46" s="45"/>
      <c r="O46" s="45"/>
      <c r="P46" s="45"/>
      <c r="Q46" s="45"/>
      <c r="R46" s="11" t="str">
        <f aca="false">IF(E46="","",E46*F46)</f>
        <v/>
      </c>
      <c r="S46" s="11" t="str">
        <f aca="false">IF(E46="","",R46+G46+H46)</f>
        <v/>
      </c>
      <c r="T46" s="13" t="str">
        <f aca="false">IF(OR(E46="",I46=""),"",1-I46/E46)</f>
        <v/>
      </c>
      <c r="U46" s="47" t="str">
        <f aca="false">IF(E46="","",SUM(J46:Q46))</f>
        <v/>
      </c>
      <c r="V46" s="13" t="str">
        <f aca="false">IF(OR(E46="",I46=0,I46=""),"",U46/I46)</f>
        <v/>
      </c>
      <c r="W46" s="13" t="str">
        <f aca="false">IF(OR(E46="",I46=0,I46=""),"",(J46+K46)/I46)</f>
        <v/>
      </c>
      <c r="X46" s="13" t="str">
        <f aca="false">IF(OR(E46="",J46+K46=0),"",J46/(J46+K46))</f>
        <v/>
      </c>
      <c r="Y46" s="10" t="str">
        <f aca="false">IF(E46="","",J46*I_Parameter!$C$28+K46*I_Parameter!$C$29+L46*I_Parameter!$C$30+M46*I_Parameter!$C$31+N46*I_Parameter!$C$32+O46*I_Parameter!$C$33+P46*I_Parameter!$C$34)</f>
        <v/>
      </c>
      <c r="Z46" s="11" t="str">
        <f aca="false">IF(E46="","",Y46-S46)</f>
        <v/>
      </c>
      <c r="AA46" s="11" t="str">
        <f aca="false">IF(E46="","",Z46/E46)</f>
        <v/>
      </c>
      <c r="AB46" s="11" t="str">
        <f aca="false">IF(E46="","",(Y46-G46-H46)/E46)</f>
        <v/>
      </c>
      <c r="AC46" s="11" t="str">
        <f aca="false">IF(OR(E46="",U46=0),"",S46/U46)</f>
        <v/>
      </c>
      <c r="AD46" s="11" t="str">
        <f aca="false">IF(OR(E46="",U46=0),"",Y46/U46)</f>
        <v/>
      </c>
    </row>
    <row r="47" customFormat="false" ht="15" hidden="false" customHeight="false" outlineLevel="0" collapsed="false">
      <c r="A47" s="37"/>
      <c r="B47" s="44"/>
      <c r="C47" s="44"/>
      <c r="D47" s="44"/>
      <c r="E47" s="45"/>
      <c r="F47" s="42"/>
      <c r="G47" s="42"/>
      <c r="H47" s="42"/>
      <c r="I47" s="45"/>
      <c r="J47" s="45"/>
      <c r="K47" s="45"/>
      <c r="L47" s="45"/>
      <c r="M47" s="45"/>
      <c r="N47" s="45"/>
      <c r="O47" s="45"/>
      <c r="P47" s="45"/>
      <c r="Q47" s="45"/>
      <c r="R47" s="11" t="str">
        <f aca="false">IF(E47="","",E47*F47)</f>
        <v/>
      </c>
      <c r="S47" s="11" t="str">
        <f aca="false">IF(E47="","",R47+G47+H47)</f>
        <v/>
      </c>
      <c r="T47" s="13" t="str">
        <f aca="false">IF(OR(E47="",I47=""),"",1-I47/E47)</f>
        <v/>
      </c>
      <c r="U47" s="47" t="str">
        <f aca="false">IF(E47="","",SUM(J47:Q47))</f>
        <v/>
      </c>
      <c r="V47" s="13" t="str">
        <f aca="false">IF(OR(E47="",I47=0,I47=""),"",U47/I47)</f>
        <v/>
      </c>
      <c r="W47" s="13" t="str">
        <f aca="false">IF(OR(E47="",I47=0,I47=""),"",(J47+K47)/I47)</f>
        <v/>
      </c>
      <c r="X47" s="13" t="str">
        <f aca="false">IF(OR(E47="",J47+K47=0),"",J47/(J47+K47))</f>
        <v/>
      </c>
      <c r="Y47" s="10" t="str">
        <f aca="false">IF(E47="","",J47*I_Parameter!$C$28+K47*I_Parameter!$C$29+L47*I_Parameter!$C$30+M47*I_Parameter!$C$31+N47*I_Parameter!$C$32+O47*I_Parameter!$C$33+P47*I_Parameter!$C$34)</f>
        <v/>
      </c>
      <c r="Z47" s="11" t="str">
        <f aca="false">IF(E47="","",Y47-S47)</f>
        <v/>
      </c>
      <c r="AA47" s="11" t="str">
        <f aca="false">IF(E47="","",Z47/E47)</f>
        <v/>
      </c>
      <c r="AB47" s="11" t="str">
        <f aca="false">IF(E47="","",(Y47-G47-H47)/E47)</f>
        <v/>
      </c>
      <c r="AC47" s="11" t="str">
        <f aca="false">IF(OR(E47="",U47=0),"",S47/U47)</f>
        <v/>
      </c>
      <c r="AD47" s="11" t="str">
        <f aca="false">IF(OR(E47="",U47=0),"",Y47/U47)</f>
        <v/>
      </c>
    </row>
    <row r="48" customFormat="false" ht="15" hidden="false" customHeight="false" outlineLevel="0" collapsed="false">
      <c r="A48" s="37"/>
      <c r="B48" s="44"/>
      <c r="C48" s="44"/>
      <c r="D48" s="44"/>
      <c r="E48" s="45"/>
      <c r="F48" s="42"/>
      <c r="G48" s="42"/>
      <c r="H48" s="42"/>
      <c r="I48" s="45"/>
      <c r="J48" s="45"/>
      <c r="K48" s="45"/>
      <c r="L48" s="45"/>
      <c r="M48" s="45"/>
      <c r="N48" s="45"/>
      <c r="O48" s="45"/>
      <c r="P48" s="45"/>
      <c r="Q48" s="45"/>
      <c r="R48" s="11" t="str">
        <f aca="false">IF(E48="","",E48*F48)</f>
        <v/>
      </c>
      <c r="S48" s="11" t="str">
        <f aca="false">IF(E48="","",R48+G48+H48)</f>
        <v/>
      </c>
      <c r="T48" s="13" t="str">
        <f aca="false">IF(OR(E48="",I48=""),"",1-I48/E48)</f>
        <v/>
      </c>
      <c r="U48" s="47" t="str">
        <f aca="false">IF(E48="","",SUM(J48:Q48))</f>
        <v/>
      </c>
      <c r="V48" s="13" t="str">
        <f aca="false">IF(OR(E48="",I48=0,I48=""),"",U48/I48)</f>
        <v/>
      </c>
      <c r="W48" s="13" t="str">
        <f aca="false">IF(OR(E48="",I48=0,I48=""),"",(J48+K48)/I48)</f>
        <v/>
      </c>
      <c r="X48" s="13" t="str">
        <f aca="false">IF(OR(E48="",J48+K48=0),"",J48/(J48+K48))</f>
        <v/>
      </c>
      <c r="Y48" s="10" t="str">
        <f aca="false">IF(E48="","",J48*I_Parameter!$C$28+K48*I_Parameter!$C$29+L48*I_Parameter!$C$30+M48*I_Parameter!$C$31+N48*I_Parameter!$C$32+O48*I_Parameter!$C$33+P48*I_Parameter!$C$34)</f>
        <v/>
      </c>
      <c r="Z48" s="11" t="str">
        <f aca="false">IF(E48="","",Y48-S48)</f>
        <v/>
      </c>
      <c r="AA48" s="11" t="str">
        <f aca="false">IF(E48="","",Z48/E48)</f>
        <v/>
      </c>
      <c r="AB48" s="11" t="str">
        <f aca="false">IF(E48="","",(Y48-G48-H48)/E48)</f>
        <v/>
      </c>
      <c r="AC48" s="11" t="str">
        <f aca="false">IF(OR(E48="",U48=0),"",S48/U48)</f>
        <v/>
      </c>
      <c r="AD48" s="11" t="str">
        <f aca="false">IF(OR(E48="",U48=0),"",Y48/U48)</f>
        <v/>
      </c>
    </row>
    <row r="49" customFormat="false" ht="15" hidden="false" customHeight="false" outlineLevel="0" collapsed="false">
      <c r="A49" s="37"/>
      <c r="B49" s="44"/>
      <c r="C49" s="44"/>
      <c r="D49" s="44"/>
      <c r="E49" s="45"/>
      <c r="F49" s="42"/>
      <c r="G49" s="42"/>
      <c r="H49" s="42"/>
      <c r="I49" s="45"/>
      <c r="J49" s="45"/>
      <c r="K49" s="45"/>
      <c r="L49" s="45"/>
      <c r="M49" s="45"/>
      <c r="N49" s="45"/>
      <c r="O49" s="45"/>
      <c r="P49" s="45"/>
      <c r="Q49" s="45"/>
      <c r="R49" s="11" t="str">
        <f aca="false">IF(E49="","",E49*F49)</f>
        <v/>
      </c>
      <c r="S49" s="11" t="str">
        <f aca="false">IF(E49="","",R49+G49+H49)</f>
        <v/>
      </c>
      <c r="T49" s="13" t="str">
        <f aca="false">IF(OR(E49="",I49=""),"",1-I49/E49)</f>
        <v/>
      </c>
      <c r="U49" s="47" t="str">
        <f aca="false">IF(E49="","",SUM(J49:Q49))</f>
        <v/>
      </c>
      <c r="V49" s="13" t="str">
        <f aca="false">IF(OR(E49="",I49=0,I49=""),"",U49/I49)</f>
        <v/>
      </c>
      <c r="W49" s="13" t="str">
        <f aca="false">IF(OR(E49="",I49=0,I49=""),"",(J49+K49)/I49)</f>
        <v/>
      </c>
      <c r="X49" s="13" t="str">
        <f aca="false">IF(OR(E49="",J49+K49=0),"",J49/(J49+K49))</f>
        <v/>
      </c>
      <c r="Y49" s="10" t="str">
        <f aca="false">IF(E49="","",J49*I_Parameter!$C$28+K49*I_Parameter!$C$29+L49*I_Parameter!$C$30+M49*I_Parameter!$C$31+N49*I_Parameter!$C$32+O49*I_Parameter!$C$33+P49*I_Parameter!$C$34)</f>
        <v/>
      </c>
      <c r="Z49" s="11" t="str">
        <f aca="false">IF(E49="","",Y49-S49)</f>
        <v/>
      </c>
      <c r="AA49" s="11" t="str">
        <f aca="false">IF(E49="","",Z49/E49)</f>
        <v/>
      </c>
      <c r="AB49" s="11" t="str">
        <f aca="false">IF(E49="","",(Y49-G49-H49)/E49)</f>
        <v/>
      </c>
      <c r="AC49" s="11" t="str">
        <f aca="false">IF(OR(E49="",U49=0),"",S49/U49)</f>
        <v/>
      </c>
      <c r="AD49" s="11" t="str">
        <f aca="false">IF(OR(E49="",U49=0),"",Y49/U49)</f>
        <v/>
      </c>
    </row>
    <row r="50" customFormat="false" ht="15" hidden="false" customHeight="false" outlineLevel="0" collapsed="false">
      <c r="A50" s="37"/>
      <c r="B50" s="44"/>
      <c r="C50" s="44"/>
      <c r="D50" s="44"/>
      <c r="E50" s="45"/>
      <c r="F50" s="42"/>
      <c r="G50" s="42"/>
      <c r="H50" s="42"/>
      <c r="I50" s="45"/>
      <c r="J50" s="45"/>
      <c r="K50" s="45"/>
      <c r="L50" s="45"/>
      <c r="M50" s="45"/>
      <c r="N50" s="45"/>
      <c r="O50" s="45"/>
      <c r="P50" s="45"/>
      <c r="Q50" s="45"/>
      <c r="R50" s="11" t="str">
        <f aca="false">IF(E50="","",E50*F50)</f>
        <v/>
      </c>
      <c r="S50" s="11" t="str">
        <f aca="false">IF(E50="","",R50+G50+H50)</f>
        <v/>
      </c>
      <c r="T50" s="13" t="str">
        <f aca="false">IF(OR(E50="",I50=""),"",1-I50/E50)</f>
        <v/>
      </c>
      <c r="U50" s="47" t="str">
        <f aca="false">IF(E50="","",SUM(J50:Q50))</f>
        <v/>
      </c>
      <c r="V50" s="13" t="str">
        <f aca="false">IF(OR(E50="",I50=0,I50=""),"",U50/I50)</f>
        <v/>
      </c>
      <c r="W50" s="13" t="str">
        <f aca="false">IF(OR(E50="",I50=0,I50=""),"",(J50+K50)/I50)</f>
        <v/>
      </c>
      <c r="X50" s="13" t="str">
        <f aca="false">IF(OR(E50="",J50+K50=0),"",J50/(J50+K50))</f>
        <v/>
      </c>
      <c r="Y50" s="10" t="str">
        <f aca="false">IF(E50="","",J50*I_Parameter!$C$28+K50*I_Parameter!$C$29+L50*I_Parameter!$C$30+M50*I_Parameter!$C$31+N50*I_Parameter!$C$32+O50*I_Parameter!$C$33+P50*I_Parameter!$C$34)</f>
        <v/>
      </c>
      <c r="Z50" s="11" t="str">
        <f aca="false">IF(E50="","",Y50-S50)</f>
        <v/>
      </c>
      <c r="AA50" s="11" t="str">
        <f aca="false">IF(E50="","",Z50/E50)</f>
        <v/>
      </c>
      <c r="AB50" s="11" t="str">
        <f aca="false">IF(E50="","",(Y50-G50-H50)/E50)</f>
        <v/>
      </c>
      <c r="AC50" s="11" t="str">
        <f aca="false">IF(OR(E50="",U50=0),"",S50/U50)</f>
        <v/>
      </c>
      <c r="AD50" s="11" t="str">
        <f aca="false">IF(OR(E50="",U50=0),"",Y50/U50)</f>
        <v/>
      </c>
    </row>
    <row r="51" customFormat="false" ht="15" hidden="false" customHeight="false" outlineLevel="0" collapsed="false">
      <c r="A51" s="37"/>
      <c r="B51" s="44"/>
      <c r="C51" s="44"/>
      <c r="D51" s="44"/>
      <c r="E51" s="45"/>
      <c r="F51" s="42"/>
      <c r="G51" s="42"/>
      <c r="H51" s="42"/>
      <c r="I51" s="45"/>
      <c r="J51" s="45"/>
      <c r="K51" s="45"/>
      <c r="L51" s="45"/>
      <c r="M51" s="45"/>
      <c r="N51" s="45"/>
      <c r="O51" s="45"/>
      <c r="P51" s="45"/>
      <c r="Q51" s="45"/>
      <c r="R51" s="11" t="str">
        <f aca="false">IF(E51="","",E51*F51)</f>
        <v/>
      </c>
      <c r="S51" s="11" t="str">
        <f aca="false">IF(E51="","",R51+G51+H51)</f>
        <v/>
      </c>
      <c r="T51" s="13" t="str">
        <f aca="false">IF(OR(E51="",I51=""),"",1-I51/E51)</f>
        <v/>
      </c>
      <c r="U51" s="47" t="str">
        <f aca="false">IF(E51="","",SUM(J51:Q51))</f>
        <v/>
      </c>
      <c r="V51" s="13" t="str">
        <f aca="false">IF(OR(E51="",I51=0,I51=""),"",U51/I51)</f>
        <v/>
      </c>
      <c r="W51" s="13" t="str">
        <f aca="false">IF(OR(E51="",I51=0,I51=""),"",(J51+K51)/I51)</f>
        <v/>
      </c>
      <c r="X51" s="13" t="str">
        <f aca="false">IF(OR(E51="",J51+K51=0),"",J51/(J51+K51))</f>
        <v/>
      </c>
      <c r="Y51" s="10" t="str">
        <f aca="false">IF(E51="","",J51*I_Parameter!$C$28+K51*I_Parameter!$C$29+L51*I_Parameter!$C$30+M51*I_Parameter!$C$31+N51*I_Parameter!$C$32+O51*I_Parameter!$C$33+P51*I_Parameter!$C$34)</f>
        <v/>
      </c>
      <c r="Z51" s="11" t="str">
        <f aca="false">IF(E51="","",Y51-S51)</f>
        <v/>
      </c>
      <c r="AA51" s="11" t="str">
        <f aca="false">IF(E51="","",Z51/E51)</f>
        <v/>
      </c>
      <c r="AB51" s="11" t="str">
        <f aca="false">IF(E51="","",(Y51-G51-H51)/E51)</f>
        <v/>
      </c>
      <c r="AC51" s="11" t="str">
        <f aca="false">IF(OR(E51="",U51=0),"",S51/U51)</f>
        <v/>
      </c>
      <c r="AD51" s="11" t="str">
        <f aca="false">IF(OR(E51="",U51=0),"",Y51/U51)</f>
        <v/>
      </c>
    </row>
    <row r="52" customFormat="false" ht="15" hidden="false" customHeight="false" outlineLevel="0" collapsed="false">
      <c r="A52" s="37"/>
      <c r="B52" s="44"/>
      <c r="C52" s="44"/>
      <c r="D52" s="44"/>
      <c r="E52" s="45"/>
      <c r="F52" s="42"/>
      <c r="G52" s="42"/>
      <c r="H52" s="42"/>
      <c r="I52" s="45"/>
      <c r="J52" s="45"/>
      <c r="K52" s="45"/>
      <c r="L52" s="45"/>
      <c r="M52" s="45"/>
      <c r="N52" s="45"/>
      <c r="O52" s="45"/>
      <c r="P52" s="45"/>
      <c r="Q52" s="45"/>
      <c r="R52" s="11" t="str">
        <f aca="false">IF(E52="","",E52*F52)</f>
        <v/>
      </c>
      <c r="S52" s="11" t="str">
        <f aca="false">IF(E52="","",R52+G52+H52)</f>
        <v/>
      </c>
      <c r="T52" s="13" t="str">
        <f aca="false">IF(OR(E52="",I52=""),"",1-I52/E52)</f>
        <v/>
      </c>
      <c r="U52" s="47" t="str">
        <f aca="false">IF(E52="","",SUM(J52:Q52))</f>
        <v/>
      </c>
      <c r="V52" s="13" t="str">
        <f aca="false">IF(OR(E52="",I52=0,I52=""),"",U52/I52)</f>
        <v/>
      </c>
      <c r="W52" s="13" t="str">
        <f aca="false">IF(OR(E52="",I52=0,I52=""),"",(J52+K52)/I52)</f>
        <v/>
      </c>
      <c r="X52" s="13" t="str">
        <f aca="false">IF(OR(E52="",J52+K52=0),"",J52/(J52+K52))</f>
        <v/>
      </c>
      <c r="Y52" s="10" t="str">
        <f aca="false">IF(E52="","",J52*I_Parameter!$C$28+K52*I_Parameter!$C$29+L52*I_Parameter!$C$30+M52*I_Parameter!$C$31+N52*I_Parameter!$C$32+O52*I_Parameter!$C$33+P52*I_Parameter!$C$34)</f>
        <v/>
      </c>
      <c r="Z52" s="11" t="str">
        <f aca="false">IF(E52="","",Y52-S52)</f>
        <v/>
      </c>
      <c r="AA52" s="11" t="str">
        <f aca="false">IF(E52="","",Z52/E52)</f>
        <v/>
      </c>
      <c r="AB52" s="11" t="str">
        <f aca="false">IF(E52="","",(Y52-G52-H52)/E52)</f>
        <v/>
      </c>
      <c r="AC52" s="11" t="str">
        <f aca="false">IF(OR(E52="",U52=0),"",S52/U52)</f>
        <v/>
      </c>
      <c r="AD52" s="11" t="str">
        <f aca="false">IF(OR(E52="",U52=0),"",Y52/U52)</f>
        <v/>
      </c>
    </row>
    <row r="53" customFormat="false" ht="15" hidden="false" customHeight="false" outlineLevel="0" collapsed="false">
      <c r="A53" s="37"/>
      <c r="B53" s="44"/>
      <c r="C53" s="44"/>
      <c r="D53" s="44"/>
      <c r="E53" s="45"/>
      <c r="F53" s="42"/>
      <c r="G53" s="42"/>
      <c r="H53" s="42"/>
      <c r="I53" s="45"/>
      <c r="J53" s="45"/>
      <c r="K53" s="45"/>
      <c r="L53" s="45"/>
      <c r="M53" s="45"/>
      <c r="N53" s="45"/>
      <c r="O53" s="45"/>
      <c r="P53" s="45"/>
      <c r="Q53" s="45"/>
      <c r="R53" s="11" t="str">
        <f aca="false">IF(E53="","",E53*F53)</f>
        <v/>
      </c>
      <c r="S53" s="11" t="str">
        <f aca="false">IF(E53="","",R53+G53+H53)</f>
        <v/>
      </c>
      <c r="T53" s="13" t="str">
        <f aca="false">IF(OR(E53="",I53=""),"",1-I53/E53)</f>
        <v/>
      </c>
      <c r="U53" s="47" t="str">
        <f aca="false">IF(E53="","",SUM(J53:Q53))</f>
        <v/>
      </c>
      <c r="V53" s="13" t="str">
        <f aca="false">IF(OR(E53="",I53=0,I53=""),"",U53/I53)</f>
        <v/>
      </c>
      <c r="W53" s="13" t="str">
        <f aca="false">IF(OR(E53="",I53=0,I53=""),"",(J53+K53)/I53)</f>
        <v/>
      </c>
      <c r="X53" s="13" t="str">
        <f aca="false">IF(OR(E53="",J53+K53=0),"",J53/(J53+K53))</f>
        <v/>
      </c>
      <c r="Y53" s="10" t="str">
        <f aca="false">IF(E53="","",J53*I_Parameter!$C$28+K53*I_Parameter!$C$29+L53*I_Parameter!$C$30+M53*I_Parameter!$C$31+N53*I_Parameter!$C$32+O53*I_Parameter!$C$33+P53*I_Parameter!$C$34)</f>
        <v/>
      </c>
      <c r="Z53" s="11" t="str">
        <f aca="false">IF(E53="","",Y53-S53)</f>
        <v/>
      </c>
      <c r="AA53" s="11" t="str">
        <f aca="false">IF(E53="","",Z53/E53)</f>
        <v/>
      </c>
      <c r="AB53" s="11" t="str">
        <f aca="false">IF(E53="","",(Y53-G53-H53)/E53)</f>
        <v/>
      </c>
      <c r="AC53" s="11" t="str">
        <f aca="false">IF(OR(E53="",U53=0),"",S53/U53)</f>
        <v/>
      </c>
      <c r="AD53" s="11" t="str">
        <f aca="false">IF(OR(E53="",U53=0),"",Y53/U53)</f>
        <v/>
      </c>
    </row>
    <row r="54" customFormat="false" ht="15" hidden="false" customHeight="false" outlineLevel="0" collapsed="false">
      <c r="A54" s="37"/>
      <c r="B54" s="44"/>
      <c r="C54" s="44"/>
      <c r="D54" s="44"/>
      <c r="E54" s="45"/>
      <c r="F54" s="42"/>
      <c r="G54" s="42"/>
      <c r="H54" s="42"/>
      <c r="I54" s="45"/>
      <c r="J54" s="45"/>
      <c r="K54" s="45"/>
      <c r="L54" s="45"/>
      <c r="M54" s="45"/>
      <c r="N54" s="45"/>
      <c r="O54" s="45"/>
      <c r="P54" s="45"/>
      <c r="Q54" s="45"/>
      <c r="R54" s="11" t="str">
        <f aca="false">IF(E54="","",E54*F54)</f>
        <v/>
      </c>
      <c r="S54" s="11" t="str">
        <f aca="false">IF(E54="","",R54+G54+H54)</f>
        <v/>
      </c>
      <c r="T54" s="13" t="str">
        <f aca="false">IF(OR(E54="",I54=""),"",1-I54/E54)</f>
        <v/>
      </c>
      <c r="U54" s="47" t="str">
        <f aca="false">IF(E54="","",SUM(J54:Q54))</f>
        <v/>
      </c>
      <c r="V54" s="13" t="str">
        <f aca="false">IF(OR(E54="",I54=0,I54=""),"",U54/I54)</f>
        <v/>
      </c>
      <c r="W54" s="13" t="str">
        <f aca="false">IF(OR(E54="",I54=0,I54=""),"",(J54+K54)/I54)</f>
        <v/>
      </c>
      <c r="X54" s="13" t="str">
        <f aca="false">IF(OR(E54="",J54+K54=0),"",J54/(J54+K54))</f>
        <v/>
      </c>
      <c r="Y54" s="10" t="str">
        <f aca="false">IF(E54="","",J54*I_Parameter!$C$28+K54*I_Parameter!$C$29+L54*I_Parameter!$C$30+M54*I_Parameter!$C$31+N54*I_Parameter!$C$32+O54*I_Parameter!$C$33+P54*I_Parameter!$C$34)</f>
        <v/>
      </c>
      <c r="Z54" s="11" t="str">
        <f aca="false">IF(E54="","",Y54-S54)</f>
        <v/>
      </c>
      <c r="AA54" s="11" t="str">
        <f aca="false">IF(E54="","",Z54/E54)</f>
        <v/>
      </c>
      <c r="AB54" s="11" t="str">
        <f aca="false">IF(E54="","",(Y54-G54-H54)/E54)</f>
        <v/>
      </c>
      <c r="AC54" s="11" t="str">
        <f aca="false">IF(OR(E54="",U54=0),"",S54/U54)</f>
        <v/>
      </c>
      <c r="AD54" s="11" t="str">
        <f aca="false">IF(OR(E54="",U54=0),"",Y54/U54)</f>
        <v/>
      </c>
    </row>
    <row r="55" customFormat="false" ht="15" hidden="false" customHeight="false" outlineLevel="0" collapsed="false">
      <c r="A55" s="37"/>
      <c r="B55" s="44"/>
      <c r="C55" s="44"/>
      <c r="D55" s="44"/>
      <c r="E55" s="45"/>
      <c r="F55" s="42"/>
      <c r="G55" s="42"/>
      <c r="H55" s="42"/>
      <c r="I55" s="45"/>
      <c r="J55" s="45"/>
      <c r="K55" s="45"/>
      <c r="L55" s="45"/>
      <c r="M55" s="45"/>
      <c r="N55" s="45"/>
      <c r="O55" s="45"/>
      <c r="P55" s="45"/>
      <c r="Q55" s="45"/>
      <c r="R55" s="11" t="str">
        <f aca="false">IF(E55="","",E55*F55)</f>
        <v/>
      </c>
      <c r="S55" s="11" t="str">
        <f aca="false">IF(E55="","",R55+G55+H55)</f>
        <v/>
      </c>
      <c r="T55" s="13" t="str">
        <f aca="false">IF(OR(E55="",I55=""),"",1-I55/E55)</f>
        <v/>
      </c>
      <c r="U55" s="47" t="str">
        <f aca="false">IF(E55="","",SUM(J55:Q55))</f>
        <v/>
      </c>
      <c r="V55" s="13" t="str">
        <f aca="false">IF(OR(E55="",I55=0,I55=""),"",U55/I55)</f>
        <v/>
      </c>
      <c r="W55" s="13" t="str">
        <f aca="false">IF(OR(E55="",I55=0,I55=""),"",(J55+K55)/I55)</f>
        <v/>
      </c>
      <c r="X55" s="13" t="str">
        <f aca="false">IF(OR(E55="",J55+K55=0),"",J55/(J55+K55))</f>
        <v/>
      </c>
      <c r="Y55" s="10" t="str">
        <f aca="false">IF(E55="","",J55*I_Parameter!$C$28+K55*I_Parameter!$C$29+L55*I_Parameter!$C$30+M55*I_Parameter!$C$31+N55*I_Parameter!$C$32+O55*I_Parameter!$C$33+P55*I_Parameter!$C$34)</f>
        <v/>
      </c>
      <c r="Z55" s="11" t="str">
        <f aca="false">IF(E55="","",Y55-S55)</f>
        <v/>
      </c>
      <c r="AA55" s="11" t="str">
        <f aca="false">IF(E55="","",Z55/E55)</f>
        <v/>
      </c>
      <c r="AB55" s="11" t="str">
        <f aca="false">IF(E55="","",(Y55-G55-H55)/E55)</f>
        <v/>
      </c>
      <c r="AC55" s="11" t="str">
        <f aca="false">IF(OR(E55="",U55=0),"",S55/U55)</f>
        <v/>
      </c>
      <c r="AD55" s="11" t="str">
        <f aca="false">IF(OR(E55="",U55=0),"",Y55/U55)</f>
        <v/>
      </c>
    </row>
  </sheetData>
  <dataValidations count="1">
    <dataValidation allowBlank="true" errorStyle="stop" operator="between" showDropDown="false" showErrorMessage="false" showInputMessage="false" sqref="B6:B55" type="list">
      <formula1>"Aktual,Rencana"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15"/>
    <col collapsed="false" customWidth="true" hidden="false" outlineLevel="0" max="9" min="9" style="0" width="22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3" min="12" style="0" width="26"/>
    <col collapsed="false" customWidth="true" hidden="false" outlineLevel="0" max="14" min="14" style="0" width="5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11"/>
    <col collapsed="false" customWidth="true" hidden="false" outlineLevel="0" max="18" min="18" style="0" width="28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560</v>
      </c>
    </row>
    <row r="2" customFormat="false" ht="15" hidden="false" customHeight="false" outlineLevel="0" collapsed="false">
      <c r="A2" s="6" t="s">
        <v>561</v>
      </c>
    </row>
    <row r="5" customFormat="false" ht="33.75" hidden="false" customHeight="true" outlineLevel="0" collapsed="false">
      <c r="A5" s="8" t="s">
        <v>110</v>
      </c>
      <c r="B5" s="8" t="s">
        <v>562</v>
      </c>
      <c r="C5" s="8" t="s">
        <v>563</v>
      </c>
      <c r="D5" s="8" t="s">
        <v>564</v>
      </c>
      <c r="E5" s="8" t="s">
        <v>565</v>
      </c>
      <c r="F5" s="8" t="s">
        <v>346</v>
      </c>
      <c r="G5" s="8" t="s">
        <v>566</v>
      </c>
      <c r="H5" s="8" t="s">
        <v>567</v>
      </c>
      <c r="I5" s="8" t="s">
        <v>568</v>
      </c>
      <c r="J5" s="8" t="s">
        <v>569</v>
      </c>
      <c r="K5" s="8" t="s">
        <v>570</v>
      </c>
      <c r="L5" s="8" t="s">
        <v>571</v>
      </c>
      <c r="M5" s="8" t="s">
        <v>572</v>
      </c>
      <c r="N5" s="8" t="s">
        <v>573</v>
      </c>
      <c r="O5" s="8" t="s">
        <v>574</v>
      </c>
      <c r="P5" s="8" t="s">
        <v>575</v>
      </c>
      <c r="Q5" s="8" t="s">
        <v>576</v>
      </c>
      <c r="R5" s="8" t="s">
        <v>577</v>
      </c>
      <c r="S5" s="8" t="s">
        <v>578</v>
      </c>
    </row>
    <row r="6" customFormat="false" ht="15" hidden="false" customHeight="false" outlineLevel="0" collapsed="false">
      <c r="A6" s="37" t="n">
        <v>46235</v>
      </c>
      <c r="B6" s="44" t="s">
        <v>579</v>
      </c>
      <c r="C6" s="44" t="s">
        <v>580</v>
      </c>
      <c r="D6" s="44" t="n">
        <v>7200003</v>
      </c>
      <c r="E6" s="44" t="s">
        <v>581</v>
      </c>
      <c r="F6" s="44" t="s">
        <v>582</v>
      </c>
      <c r="G6" s="42" t="n">
        <v>100000</v>
      </c>
      <c r="H6" s="42"/>
      <c r="I6" s="44"/>
      <c r="J6" s="11" t="n">
        <f aca="false">IF(D6="","",N(G6)-N(H6))</f>
        <v>100000</v>
      </c>
      <c r="K6" s="34" t="str">
        <f aca="false">IF(D6="","",IFERROR(INDEX(I_COA!$C$6:$C$265,MATCH(D6,I_COA!$A$6:$A$265,0)),"AKUN BARU"))</f>
        <v>LabaRugi</v>
      </c>
      <c r="L6" s="34" t="str">
        <f aca="false">IF(K6="LabaRugi",INDEX(I_COA!$D$6:$D$265,MATCH(D6,I_COA!$A$6:$A$265,0)),"")</f>
        <v>Other Expense</v>
      </c>
      <c r="M6" s="34" t="str">
        <f aca="false">IF(K6="Neraca",INDEX(I_COA!$E$6:$E$265,MATCH(D6,I_COA!$A$6:$A$265,0)),"")</f>
        <v/>
      </c>
      <c r="N6" s="34" t="str">
        <f aca="false">IF(D6="","",IFERROR(INDEX(I_COA!$G$6:$G$265,MATCH(D6,I_COA!$A$6:$A$265,0)),"N"))</f>
        <v>N</v>
      </c>
      <c r="O6" s="11" t="n">
        <f aca="false">IF(N6="N",ABS(J6),"")</f>
        <v>100000</v>
      </c>
      <c r="P6" s="18" t="str">
        <f aca="false">IF(N6="N",B6&amp;"|"&amp;ROUND(O6,0),"")</f>
        <v>B5926080001|100000</v>
      </c>
      <c r="Q6" s="18" t="str">
        <f aca="false">IF(N6&lt;&gt;"Y","",IFERROR(INDEX($D$6:$D$4005,MATCH(B6&amp;"|"&amp;ROUND(_xlfn.MAXIFS($O$6:$O$4005,$B$6:$B$4005,B6,$N$6:$N$4005,"N"),0),$P$6:$P$4005,0)),"(tanpa lawan)"))</f>
        <v/>
      </c>
      <c r="R6" s="44"/>
      <c r="S6" s="9" t="str">
        <f aca="false">IF(N6&lt;&gt;"Y","",IF(R6&lt;&gt;"",R6,IF(Q6="(tanpa lawan)","Transfer antar rekening",IFERROR(INDEX(I_COA!$F$6:$F$265,MATCH(Q6,I_COA!$A$6:$A$265,0)),"?"))))</f>
        <v/>
      </c>
    </row>
    <row r="7" customFormat="false" ht="15" hidden="false" customHeight="false" outlineLevel="0" collapsed="false">
      <c r="A7" s="37" t="n">
        <v>46235</v>
      </c>
      <c r="B7" s="44" t="s">
        <v>579</v>
      </c>
      <c r="C7" s="44" t="s">
        <v>580</v>
      </c>
      <c r="D7" s="44" t="n">
        <v>1102003</v>
      </c>
      <c r="E7" s="44" t="s">
        <v>583</v>
      </c>
      <c r="F7" s="44" t="s">
        <v>582</v>
      </c>
      <c r="G7" s="42"/>
      <c r="H7" s="42" t="n">
        <v>100000</v>
      </c>
      <c r="I7" s="44"/>
      <c r="J7" s="11" t="n">
        <f aca="false">IF(D7="","",N(G7)-N(H7))</f>
        <v>-100000</v>
      </c>
      <c r="K7" s="34" t="str">
        <f aca="false">IF(D7="","",IFERROR(INDEX(I_COA!$C$6:$C$265,MATCH(D7,I_COA!$A$6:$A$265,0)),"AKUN BARU"))</f>
        <v>Neraca</v>
      </c>
      <c r="L7" s="34" t="str">
        <f aca="false">IF(K7="LabaRugi",INDEX(I_COA!$D$6:$D$265,MATCH(D7,I_COA!$A$6:$A$265,0)),"")</f>
        <v/>
      </c>
      <c r="M7" s="34" t="str">
        <f aca="false">IF(K7="Neraca",INDEX(I_COA!$E$6:$E$265,MATCH(D7,I_COA!$A$6:$A$265,0)),"")</f>
        <v>Cash and cash equivalents</v>
      </c>
      <c r="N7" s="34" t="str">
        <f aca="false">IF(D7="","",IFERROR(INDEX(I_COA!$G$6:$G$265,MATCH(D7,I_COA!$A$6:$A$265,0)),"N"))</f>
        <v>Y</v>
      </c>
      <c r="O7" s="11" t="str">
        <f aca="false">IF(N7="N",ABS(J7),"")</f>
        <v/>
      </c>
      <c r="P7" s="18" t="str">
        <f aca="false">IF(N7="N",B7&amp;"|"&amp;ROUND(O7,0),"")</f>
        <v/>
      </c>
      <c r="Q7" s="18" t="n">
        <f aca="false">IF(N7&lt;&gt;"Y","",IFERROR(INDEX($D$6:$D$4005,MATCH(B7&amp;"|"&amp;ROUND(_xlfn.MAXIFS($O$6:$O$4005,$B$6:$B$4005,B7,$N$6:$N$4005,"N"),0),$P$6:$P$4005,0)),"(tanpa lawan)"))</f>
        <v>7200003</v>
      </c>
      <c r="R7" s="44"/>
      <c r="S7" s="9" t="str">
        <f aca="false">IF(N7&lt;&gt;"Y","",IF(R7&lt;&gt;"",R7,IF(Q7="(tanpa lawan)","Transfer antar rekening",IFERROR(INDEX(I_COA!$F$6:$F$265,MATCH(Q7,I_COA!$A$6:$A$265,0)),"?"))))</f>
        <v>Bunga &amp; biaya bank</v>
      </c>
    </row>
    <row r="8" customFormat="false" ht="15" hidden="false" customHeight="false" outlineLevel="0" collapsed="false">
      <c r="A8" s="37" t="n">
        <v>46235</v>
      </c>
      <c r="B8" s="44" t="s">
        <v>584</v>
      </c>
      <c r="C8" s="44" t="s">
        <v>585</v>
      </c>
      <c r="D8" s="44" t="n">
        <v>1102001</v>
      </c>
      <c r="E8" s="44" t="s">
        <v>586</v>
      </c>
      <c r="F8" s="44" t="s">
        <v>587</v>
      </c>
      <c r="G8" s="42" t="n">
        <v>15421965</v>
      </c>
      <c r="H8" s="42"/>
      <c r="I8" s="44" t="s">
        <v>588</v>
      </c>
      <c r="J8" s="11" t="n">
        <f aca="false">IF(D8="","",N(G8)-N(H8))</f>
        <v>15421965</v>
      </c>
      <c r="K8" s="34" t="str">
        <f aca="false">IF(D8="","",IFERROR(INDEX(I_COA!$C$6:$C$265,MATCH(D8,I_COA!$A$6:$A$265,0)),"AKUN BARU"))</f>
        <v>Neraca</v>
      </c>
      <c r="L8" s="34" t="str">
        <f aca="false">IF(K8="LabaRugi",INDEX(I_COA!$D$6:$D$265,MATCH(D8,I_COA!$A$6:$A$265,0)),"")</f>
        <v/>
      </c>
      <c r="M8" s="34" t="str">
        <f aca="false">IF(K8="Neraca",INDEX(I_COA!$E$6:$E$265,MATCH(D8,I_COA!$A$6:$A$265,0)),"")</f>
        <v>Cash and cash equivalents</v>
      </c>
      <c r="N8" s="34" t="str">
        <f aca="false">IF(D8="","",IFERROR(INDEX(I_COA!$G$6:$G$265,MATCH(D8,I_COA!$A$6:$A$265,0)),"N"))</f>
        <v>Y</v>
      </c>
      <c r="O8" s="11" t="str">
        <f aca="false">IF(N8="N",ABS(J8),"")</f>
        <v/>
      </c>
      <c r="P8" s="18" t="str">
        <f aca="false">IF(N8="N",B8&amp;"|"&amp;ROUND(O8,0),"")</f>
        <v/>
      </c>
      <c r="Q8" s="18" t="n">
        <f aca="false">IF(N8&lt;&gt;"Y","",IFERROR(INDEX($D$6:$D$4005,MATCH(B8&amp;"|"&amp;ROUND(_xlfn.MAXIFS($O$6:$O$4005,$B$6:$B$4005,B8,$N$6:$N$4005,"N"),0),$P$6:$P$4005,0)),"(tanpa lawan)"))</f>
        <v>1103101</v>
      </c>
      <c r="R8" s="44"/>
      <c r="S8" s="9" t="str">
        <f aca="false">IF(N8&lt;&gt;"Y","",IF(R8&lt;&gt;"",R8,IF(Q8="(tanpa lawan)","Transfer antar rekening",IFERROR(INDEX(I_COA!$F$6:$F$265,MATCH(Q8,I_COA!$A$6:$A$265,0)),"?"))))</f>
        <v>Penerimaan dari pelanggan</v>
      </c>
    </row>
    <row r="9" customFormat="false" ht="15" hidden="false" customHeight="false" outlineLevel="0" collapsed="false">
      <c r="A9" s="37" t="n">
        <v>46235</v>
      </c>
      <c r="B9" s="44" t="s">
        <v>584</v>
      </c>
      <c r="C9" s="44" t="s">
        <v>585</v>
      </c>
      <c r="D9" s="44" t="n">
        <v>1103101</v>
      </c>
      <c r="E9" s="44" t="s">
        <v>589</v>
      </c>
      <c r="F9" s="44" t="s">
        <v>587</v>
      </c>
      <c r="G9" s="42"/>
      <c r="H9" s="42" t="n">
        <v>15421965</v>
      </c>
      <c r="I9" s="44" t="s">
        <v>588</v>
      </c>
      <c r="J9" s="11" t="n">
        <f aca="false">IF(D9="","",N(G9)-N(H9))</f>
        <v>-15421965</v>
      </c>
      <c r="K9" s="34" t="str">
        <f aca="false">IF(D9="","",IFERROR(INDEX(I_COA!$C$6:$C$265,MATCH(D9,I_COA!$A$6:$A$265,0)),"AKUN BARU"))</f>
        <v>Neraca</v>
      </c>
      <c r="L9" s="34" t="str">
        <f aca="false">IF(K9="LabaRugi",INDEX(I_COA!$D$6:$D$265,MATCH(D9,I_COA!$A$6:$A$265,0)),"")</f>
        <v/>
      </c>
      <c r="M9" s="34" t="str">
        <f aca="false">IF(K9="Neraca",INDEX(I_COA!$E$6:$E$265,MATCH(D9,I_COA!$A$6:$A$265,0)),"")</f>
        <v>Trade Receivables - Third Parties</v>
      </c>
      <c r="N9" s="34" t="str">
        <f aca="false">IF(D9="","",IFERROR(INDEX(I_COA!$G$6:$G$265,MATCH(D9,I_COA!$A$6:$A$265,0)),"N"))</f>
        <v>N</v>
      </c>
      <c r="O9" s="11" t="n">
        <f aca="false">IF(N9="N",ABS(J9),"")</f>
        <v>15421965</v>
      </c>
      <c r="P9" s="18" t="str">
        <f aca="false">IF(N9="N",B9&amp;"|"&amp;ROUND(O9,0),"")</f>
        <v>B7626080001|15421965</v>
      </c>
      <c r="Q9" s="18" t="str">
        <f aca="false">IF(N9&lt;&gt;"Y","",IFERROR(INDEX($D$6:$D$4005,MATCH(B9&amp;"|"&amp;ROUND(_xlfn.MAXIFS($O$6:$O$4005,$B$6:$B$4005,B9,$N$6:$N$4005,"N"),0),$P$6:$P$4005,0)),"(tanpa lawan)"))</f>
        <v/>
      </c>
      <c r="R9" s="44"/>
      <c r="S9" s="9" t="str">
        <f aca="false">IF(N9&lt;&gt;"Y","",IF(R9&lt;&gt;"",R9,IF(Q9="(tanpa lawan)","Transfer antar rekening",IFERROR(INDEX(I_COA!$F$6:$F$265,MATCH(Q9,I_COA!$A$6:$A$265,0)),"?"))))</f>
        <v/>
      </c>
    </row>
    <row r="10" customFormat="false" ht="15" hidden="false" customHeight="false" outlineLevel="0" collapsed="false">
      <c r="A10" s="37" t="n">
        <v>46235</v>
      </c>
      <c r="B10" s="44" t="s">
        <v>590</v>
      </c>
      <c r="C10" s="44" t="s">
        <v>585</v>
      </c>
      <c r="D10" s="44" t="n">
        <v>1102001</v>
      </c>
      <c r="E10" s="44" t="s">
        <v>586</v>
      </c>
      <c r="F10" s="44" t="s">
        <v>591</v>
      </c>
      <c r="G10" s="42" t="n">
        <v>81474860</v>
      </c>
      <c r="H10" s="42"/>
      <c r="I10" s="44" t="s">
        <v>592</v>
      </c>
      <c r="J10" s="11" t="n">
        <f aca="false">IF(D10="","",N(G10)-N(H10))</f>
        <v>81474860</v>
      </c>
      <c r="K10" s="34" t="str">
        <f aca="false">IF(D10="","",IFERROR(INDEX(I_COA!$C$6:$C$265,MATCH(D10,I_COA!$A$6:$A$265,0)),"AKUN BARU"))</f>
        <v>Neraca</v>
      </c>
      <c r="L10" s="34" t="str">
        <f aca="false">IF(K10="LabaRugi",INDEX(I_COA!$D$6:$D$265,MATCH(D10,I_COA!$A$6:$A$265,0)),"")</f>
        <v/>
      </c>
      <c r="M10" s="34" t="str">
        <f aca="false">IF(K10="Neraca",INDEX(I_COA!$E$6:$E$265,MATCH(D10,I_COA!$A$6:$A$265,0)),"")</f>
        <v>Cash and cash equivalents</v>
      </c>
      <c r="N10" s="34" t="str">
        <f aca="false">IF(D10="","",IFERROR(INDEX(I_COA!$G$6:$G$265,MATCH(D10,I_COA!$A$6:$A$265,0)),"N"))</f>
        <v>Y</v>
      </c>
      <c r="O10" s="11" t="str">
        <f aca="false">IF(N10="N",ABS(J10),"")</f>
        <v/>
      </c>
      <c r="P10" s="18" t="str">
        <f aca="false">IF(N10="N",B10&amp;"|"&amp;ROUND(O10,0),"")</f>
        <v/>
      </c>
      <c r="Q10" s="18" t="n">
        <f aca="false">IF(N10&lt;&gt;"Y","",IFERROR(INDEX($D$6:$D$4005,MATCH(B10&amp;"|"&amp;ROUND(_xlfn.MAXIFS($O$6:$O$4005,$B$6:$B$4005,B10,$N$6:$N$4005,"N"),0),$P$6:$P$4005,0)),"(tanpa lawan)"))</f>
        <v>1103101</v>
      </c>
      <c r="R10" s="44"/>
      <c r="S10" s="9" t="str">
        <f aca="false">IF(N10&lt;&gt;"Y","",IF(R10&lt;&gt;"",R10,IF(Q10="(tanpa lawan)","Transfer antar rekening",IFERROR(INDEX(I_COA!$F$6:$F$265,MATCH(Q10,I_COA!$A$6:$A$265,0)),"?"))))</f>
        <v>Penerimaan dari pelanggan</v>
      </c>
    </row>
    <row r="11" customFormat="false" ht="15" hidden="false" customHeight="false" outlineLevel="0" collapsed="false">
      <c r="A11" s="37" t="n">
        <v>46235</v>
      </c>
      <c r="B11" s="44" t="s">
        <v>590</v>
      </c>
      <c r="C11" s="44" t="s">
        <v>585</v>
      </c>
      <c r="D11" s="44" t="n">
        <v>1103101</v>
      </c>
      <c r="E11" s="44" t="s">
        <v>589</v>
      </c>
      <c r="F11" s="44" t="s">
        <v>591</v>
      </c>
      <c r="G11" s="42"/>
      <c r="H11" s="42" t="n">
        <v>81474860</v>
      </c>
      <c r="I11" s="44" t="s">
        <v>592</v>
      </c>
      <c r="J11" s="11" t="n">
        <f aca="false">IF(D11="","",N(G11)-N(H11))</f>
        <v>-81474860</v>
      </c>
      <c r="K11" s="34" t="str">
        <f aca="false">IF(D11="","",IFERROR(INDEX(I_COA!$C$6:$C$265,MATCH(D11,I_COA!$A$6:$A$265,0)),"AKUN BARU"))</f>
        <v>Neraca</v>
      </c>
      <c r="L11" s="34" t="str">
        <f aca="false">IF(K11="LabaRugi",INDEX(I_COA!$D$6:$D$265,MATCH(D11,I_COA!$A$6:$A$265,0)),"")</f>
        <v/>
      </c>
      <c r="M11" s="34" t="str">
        <f aca="false">IF(K11="Neraca",INDEX(I_COA!$E$6:$E$265,MATCH(D11,I_COA!$A$6:$A$265,0)),"")</f>
        <v>Trade Receivables - Third Parties</v>
      </c>
      <c r="N11" s="34" t="str">
        <f aca="false">IF(D11="","",IFERROR(INDEX(I_COA!$G$6:$G$265,MATCH(D11,I_COA!$A$6:$A$265,0)),"N"))</f>
        <v>N</v>
      </c>
      <c r="O11" s="11" t="n">
        <f aca="false">IF(N11="N",ABS(J11),"")</f>
        <v>81474860</v>
      </c>
      <c r="P11" s="18" t="str">
        <f aca="false">IF(N11="N",B11&amp;"|"&amp;ROUND(O11,0),"")</f>
        <v>B7626080002|81474860</v>
      </c>
      <c r="Q11" s="18" t="str">
        <f aca="false">IF(N11&lt;&gt;"Y","",IFERROR(INDEX($D$6:$D$4005,MATCH(B11&amp;"|"&amp;ROUND(_xlfn.MAXIFS($O$6:$O$4005,$B$6:$B$4005,B11,$N$6:$N$4005,"N"),0),$P$6:$P$4005,0)),"(tanpa lawan)"))</f>
        <v/>
      </c>
      <c r="R11" s="44"/>
      <c r="S11" s="9" t="str">
        <f aca="false">IF(N11&lt;&gt;"Y","",IF(R11&lt;&gt;"",R11,IF(Q11="(tanpa lawan)","Transfer antar rekening",IFERROR(INDEX(I_COA!$F$6:$F$265,MATCH(Q11,I_COA!$A$6:$A$265,0)),"?"))))</f>
        <v/>
      </c>
    </row>
    <row r="12" customFormat="false" ht="15" hidden="false" customHeight="false" outlineLevel="0" collapsed="false">
      <c r="A12" s="37" t="n">
        <v>46235</v>
      </c>
      <c r="B12" s="44" t="s">
        <v>593</v>
      </c>
      <c r="C12" s="44" t="s">
        <v>594</v>
      </c>
      <c r="D12" s="44" t="n">
        <v>2101001</v>
      </c>
      <c r="E12" s="44" t="s">
        <v>595</v>
      </c>
      <c r="F12" s="44" t="s">
        <v>596</v>
      </c>
      <c r="G12" s="42" t="n">
        <v>213190000</v>
      </c>
      <c r="H12" s="42"/>
      <c r="I12" s="44" t="s">
        <v>597</v>
      </c>
      <c r="J12" s="11" t="n">
        <f aca="false">IF(D12="","",N(G12)-N(H12))</f>
        <v>213190000</v>
      </c>
      <c r="K12" s="34" t="str">
        <f aca="false">IF(D12="","",IFERROR(INDEX(I_COA!$C$6:$C$265,MATCH(D12,I_COA!$A$6:$A$265,0)),"AKUN BARU"))</f>
        <v>Neraca</v>
      </c>
      <c r="L12" s="34" t="str">
        <f aca="false">IF(K12="LabaRugi",INDEX(I_COA!$D$6:$D$265,MATCH(D12,I_COA!$A$6:$A$265,0)),"")</f>
        <v/>
      </c>
      <c r="M12" s="34" t="str">
        <f aca="false">IF(K12="Neraca",INDEX(I_COA!$E$6:$E$265,MATCH(D12,I_COA!$A$6:$A$265,0)),"")</f>
        <v>Trade Payables - Third Parties</v>
      </c>
      <c r="N12" s="34" t="str">
        <f aca="false">IF(D12="","",IFERROR(INDEX(I_COA!$G$6:$G$265,MATCH(D12,I_COA!$A$6:$A$265,0)),"N"))</f>
        <v>N</v>
      </c>
      <c r="O12" s="11" t="n">
        <f aca="false">IF(N12="N",ABS(J12),"")</f>
        <v>213190000</v>
      </c>
      <c r="P12" s="18" t="str">
        <f aca="false">IF(N12="N",B12&amp;"|"&amp;ROUND(O12,0),"")</f>
        <v>B8526080001|213190000</v>
      </c>
      <c r="Q12" s="18" t="str">
        <f aca="false">IF(N12&lt;&gt;"Y","",IFERROR(INDEX($D$6:$D$4005,MATCH(B12&amp;"|"&amp;ROUND(_xlfn.MAXIFS($O$6:$O$4005,$B$6:$B$4005,B12,$N$6:$N$4005,"N"),0),$P$6:$P$4005,0)),"(tanpa lawan)"))</f>
        <v/>
      </c>
      <c r="R12" s="44"/>
      <c r="S12" s="9" t="str">
        <f aca="false">IF(N12&lt;&gt;"Y","",IF(R12&lt;&gt;"",R12,IF(Q12="(tanpa lawan)","Transfer antar rekening",IFERROR(INDEX(I_COA!$F$6:$F$265,MATCH(Q12,I_COA!$A$6:$A$265,0)),"?"))))</f>
        <v/>
      </c>
    </row>
    <row r="13" customFormat="false" ht="15" hidden="false" customHeight="false" outlineLevel="0" collapsed="false">
      <c r="A13" s="37" t="n">
        <v>46235</v>
      </c>
      <c r="B13" s="44" t="s">
        <v>593</v>
      </c>
      <c r="C13" s="44" t="s">
        <v>594</v>
      </c>
      <c r="D13" s="44" t="n">
        <v>1102002</v>
      </c>
      <c r="E13" s="44" t="s">
        <v>598</v>
      </c>
      <c r="F13" s="44" t="s">
        <v>596</v>
      </c>
      <c r="G13" s="42"/>
      <c r="H13" s="42" t="n">
        <v>213190000</v>
      </c>
      <c r="I13" s="44" t="s">
        <v>597</v>
      </c>
      <c r="J13" s="11" t="n">
        <f aca="false">IF(D13="","",N(G13)-N(H13))</f>
        <v>-213190000</v>
      </c>
      <c r="K13" s="34" t="str">
        <f aca="false">IF(D13="","",IFERROR(INDEX(I_COA!$C$6:$C$265,MATCH(D13,I_COA!$A$6:$A$265,0)),"AKUN BARU"))</f>
        <v>Neraca</v>
      </c>
      <c r="L13" s="34" t="str">
        <f aca="false">IF(K13="LabaRugi",INDEX(I_COA!$D$6:$D$265,MATCH(D13,I_COA!$A$6:$A$265,0)),"")</f>
        <v/>
      </c>
      <c r="M13" s="34" t="str">
        <f aca="false">IF(K13="Neraca",INDEX(I_COA!$E$6:$E$265,MATCH(D13,I_COA!$A$6:$A$265,0)),"")</f>
        <v>Cash and cash equivalents</v>
      </c>
      <c r="N13" s="34" t="str">
        <f aca="false">IF(D13="","",IFERROR(INDEX(I_COA!$G$6:$G$265,MATCH(D13,I_COA!$A$6:$A$265,0)),"N"))</f>
        <v>Y</v>
      </c>
      <c r="O13" s="11" t="str">
        <f aca="false">IF(N13="N",ABS(J13),"")</f>
        <v/>
      </c>
      <c r="P13" s="18" t="str">
        <f aca="false">IF(N13="N",B13&amp;"|"&amp;ROUND(O13,0),"")</f>
        <v/>
      </c>
      <c r="Q13" s="18" t="n">
        <f aca="false">IF(N13&lt;&gt;"Y","",IFERROR(INDEX($D$6:$D$4005,MATCH(B13&amp;"|"&amp;ROUND(_xlfn.MAXIFS($O$6:$O$4005,$B$6:$B$4005,B13,$N$6:$N$4005,"N"),0),$P$6:$P$4005,0)),"(tanpa lawan)"))</f>
        <v>2101001</v>
      </c>
      <c r="R13" s="44"/>
      <c r="S13" s="9" t="str">
        <f aca="false">IF(N13&lt;&gt;"Y","",IF(R13&lt;&gt;"",R13,IF(Q13="(tanpa lawan)","Transfer antar rekening",IFERROR(INDEX(I_COA!$F$6:$F$265,MATCH(Q13,I_COA!$A$6:$A$265,0)),"?"))))</f>
        <v>Bayar pemasok barang (live bird &amp; trading)</v>
      </c>
    </row>
    <row r="14" customFormat="false" ht="15" hidden="false" customHeight="false" outlineLevel="0" collapsed="false">
      <c r="A14" s="37" t="n">
        <v>46235</v>
      </c>
      <c r="B14" s="44" t="s">
        <v>599</v>
      </c>
      <c r="C14" s="44" t="s">
        <v>600</v>
      </c>
      <c r="D14" s="44" t="n">
        <v>1104002</v>
      </c>
      <c r="E14" s="44" t="s">
        <v>601</v>
      </c>
      <c r="F14" s="44" t="s">
        <v>602</v>
      </c>
      <c r="G14" s="42" t="n">
        <v>31087214.74</v>
      </c>
      <c r="H14" s="42"/>
      <c r="I14" s="44" t="s">
        <v>603</v>
      </c>
      <c r="J14" s="11" t="n">
        <f aca="false">IF(D14="","",N(G14)-N(H14))</f>
        <v>31087214.74</v>
      </c>
      <c r="K14" s="34" t="str">
        <f aca="false">IF(D14="","",IFERROR(INDEX(I_COA!$C$6:$C$265,MATCH(D14,I_COA!$A$6:$A$265,0)),"AKUN BARU"))</f>
        <v>Neraca</v>
      </c>
      <c r="L14" s="34" t="str">
        <f aca="false">IF(K14="LabaRugi",INDEX(I_COA!$D$6:$D$265,MATCH(D14,I_COA!$A$6:$A$265,0)),"")</f>
        <v/>
      </c>
      <c r="M14" s="34" t="str">
        <f aca="false">IF(K14="Neraca",INDEX(I_COA!$E$6:$E$265,MATCH(D14,I_COA!$A$6:$A$265,0)),"")</f>
        <v>Inventory - Product</v>
      </c>
      <c r="N14" s="34" t="str">
        <f aca="false">IF(D14="","",IFERROR(INDEX(I_COA!$G$6:$G$265,MATCH(D14,I_COA!$A$6:$A$265,0)),"N"))</f>
        <v>N</v>
      </c>
      <c r="O14" s="11" t="n">
        <f aca="false">IF(N14="N",ABS(J14),"")</f>
        <v>31087214.74</v>
      </c>
      <c r="P14" s="18" t="str">
        <f aca="false">IF(N14="N",B14&amp;"|"&amp;ROUND(O14,0),"")</f>
        <v>KGR26.00196A|31087215</v>
      </c>
      <c r="Q14" s="18" t="str">
        <f aca="false">IF(N14&lt;&gt;"Y","",IFERROR(INDEX($D$6:$D$4005,MATCH(B14&amp;"|"&amp;ROUND(_xlfn.MAXIFS($O$6:$O$4005,$B$6:$B$4005,B14,$N$6:$N$4005,"N"),0),$P$6:$P$4005,0)),"(tanpa lawan)"))</f>
        <v/>
      </c>
      <c r="R14" s="44"/>
      <c r="S14" s="9" t="str">
        <f aca="false">IF(N14&lt;&gt;"Y","",IF(R14&lt;&gt;"",R14,IF(Q14="(tanpa lawan)","Transfer antar rekening",IFERROR(INDEX(I_COA!$F$6:$F$265,MATCH(Q14,I_COA!$A$6:$A$265,0)),"?"))))</f>
        <v/>
      </c>
    </row>
    <row r="15" customFormat="false" ht="15" hidden="false" customHeight="false" outlineLevel="0" collapsed="false">
      <c r="A15" s="37" t="n">
        <v>46235</v>
      </c>
      <c r="B15" s="44" t="s">
        <v>599</v>
      </c>
      <c r="C15" s="44" t="s">
        <v>600</v>
      </c>
      <c r="D15" s="44" t="n">
        <v>1104006</v>
      </c>
      <c r="E15" s="44" t="s">
        <v>212</v>
      </c>
      <c r="F15" s="44" t="s">
        <v>602</v>
      </c>
      <c r="G15" s="42"/>
      <c r="H15" s="42" t="n">
        <v>31087214.74</v>
      </c>
      <c r="I15" s="44" t="s">
        <v>603</v>
      </c>
      <c r="J15" s="11" t="n">
        <f aca="false">IF(D15="","",N(G15)-N(H15))</f>
        <v>-31087214.74</v>
      </c>
      <c r="K15" s="34" t="str">
        <f aca="false">IF(D15="","",IFERROR(INDEX(I_COA!$C$6:$C$265,MATCH(D15,I_COA!$A$6:$A$265,0)),"AKUN BARU"))</f>
        <v>Neraca</v>
      </c>
      <c r="L15" s="34" t="str">
        <f aca="false">IF(K15="LabaRugi",INDEX(I_COA!$D$6:$D$265,MATCH(D15,I_COA!$A$6:$A$265,0)),"")</f>
        <v/>
      </c>
      <c r="M15" s="34" t="str">
        <f aca="false">IF(K15="Neraca",INDEX(I_COA!$E$6:$E$265,MATCH(D15,I_COA!$A$6:$A$265,0)),"")</f>
        <v>Inventory - Trading</v>
      </c>
      <c r="N15" s="34" t="str">
        <f aca="false">IF(D15="","",IFERROR(INDEX(I_COA!$G$6:$G$265,MATCH(D15,I_COA!$A$6:$A$265,0)),"N"))</f>
        <v>N</v>
      </c>
      <c r="O15" s="11" t="n">
        <f aca="false">IF(N15="N",ABS(J15),"")</f>
        <v>31087214.74</v>
      </c>
      <c r="P15" s="18" t="str">
        <f aca="false">IF(N15="N",B15&amp;"|"&amp;ROUND(O15,0),"")</f>
        <v>KGR26.00196A|31087215</v>
      </c>
      <c r="Q15" s="18" t="str">
        <f aca="false">IF(N15&lt;&gt;"Y","",IFERROR(INDEX($D$6:$D$4005,MATCH(B15&amp;"|"&amp;ROUND(_xlfn.MAXIFS($O$6:$O$4005,$B$6:$B$4005,B15,$N$6:$N$4005,"N"),0),$P$6:$P$4005,0)),"(tanpa lawan)"))</f>
        <v/>
      </c>
      <c r="R15" s="44"/>
      <c r="S15" s="9" t="str">
        <f aca="false">IF(N15&lt;&gt;"Y","",IF(R15&lt;&gt;"",R15,IF(Q15="(tanpa lawan)","Transfer antar rekening",IFERROR(INDEX(I_COA!$F$6:$F$265,MATCH(Q15,I_COA!$A$6:$A$265,0)),"?"))))</f>
        <v/>
      </c>
    </row>
    <row r="16" customFormat="false" ht="15" hidden="false" customHeight="false" outlineLevel="0" collapsed="false">
      <c r="A16" s="37" t="n">
        <v>46235</v>
      </c>
      <c r="B16" s="44" t="s">
        <v>604</v>
      </c>
      <c r="C16" s="44" t="s">
        <v>600</v>
      </c>
      <c r="D16" s="44" t="n">
        <v>1104002</v>
      </c>
      <c r="E16" s="44" t="s">
        <v>601</v>
      </c>
      <c r="F16" s="44" t="s">
        <v>605</v>
      </c>
      <c r="G16" s="42" t="n">
        <v>191772569.38</v>
      </c>
      <c r="H16" s="42"/>
      <c r="I16" s="44" t="s">
        <v>606</v>
      </c>
      <c r="J16" s="11" t="n">
        <f aca="false">IF(D16="","",N(G16)-N(H16))</f>
        <v>191772569.38</v>
      </c>
      <c r="K16" s="34" t="str">
        <f aca="false">IF(D16="","",IFERROR(INDEX(I_COA!$C$6:$C$265,MATCH(D16,I_COA!$A$6:$A$265,0)),"AKUN BARU"))</f>
        <v>Neraca</v>
      </c>
      <c r="L16" s="34" t="str">
        <f aca="false">IF(K16="LabaRugi",INDEX(I_COA!$D$6:$D$265,MATCH(D16,I_COA!$A$6:$A$265,0)),"")</f>
        <v/>
      </c>
      <c r="M16" s="34" t="str">
        <f aca="false">IF(K16="Neraca",INDEX(I_COA!$E$6:$E$265,MATCH(D16,I_COA!$A$6:$A$265,0)),"")</f>
        <v>Inventory - Product</v>
      </c>
      <c r="N16" s="34" t="str">
        <f aca="false">IF(D16="","",IFERROR(INDEX(I_COA!$G$6:$G$265,MATCH(D16,I_COA!$A$6:$A$265,0)),"N"))</f>
        <v>N</v>
      </c>
      <c r="O16" s="11" t="n">
        <f aca="false">IF(N16="N",ABS(J16),"")</f>
        <v>191772569.38</v>
      </c>
      <c r="P16" s="18" t="str">
        <f aca="false">IF(N16="N",B16&amp;"|"&amp;ROUND(O16,0),"")</f>
        <v>KGR26.00197|191772569</v>
      </c>
      <c r="Q16" s="18" t="str">
        <f aca="false">IF(N16&lt;&gt;"Y","",IFERROR(INDEX($D$6:$D$4005,MATCH(B16&amp;"|"&amp;ROUND(_xlfn.MAXIFS($O$6:$O$4005,$B$6:$B$4005,B16,$N$6:$N$4005,"N"),0),$P$6:$P$4005,0)),"(tanpa lawan)"))</f>
        <v/>
      </c>
      <c r="R16" s="44"/>
      <c r="S16" s="9" t="str">
        <f aca="false">IF(N16&lt;&gt;"Y","",IF(R16&lt;&gt;"",R16,IF(Q16="(tanpa lawan)","Transfer antar rekening",IFERROR(INDEX(I_COA!$F$6:$F$265,MATCH(Q16,I_COA!$A$6:$A$265,0)),"?"))))</f>
        <v/>
      </c>
    </row>
    <row r="17" customFormat="false" ht="15" hidden="false" customHeight="false" outlineLevel="0" collapsed="false">
      <c r="A17" s="37" t="n">
        <v>46235</v>
      </c>
      <c r="B17" s="44" t="s">
        <v>604</v>
      </c>
      <c r="C17" s="44" t="s">
        <v>600</v>
      </c>
      <c r="D17" s="44" t="n">
        <v>1104006</v>
      </c>
      <c r="E17" s="44" t="s">
        <v>212</v>
      </c>
      <c r="F17" s="44" t="s">
        <v>605</v>
      </c>
      <c r="G17" s="42"/>
      <c r="H17" s="42" t="n">
        <v>191772569.38</v>
      </c>
      <c r="I17" s="44" t="s">
        <v>606</v>
      </c>
      <c r="J17" s="11" t="n">
        <f aca="false">IF(D17="","",N(G17)-N(H17))</f>
        <v>-191772569.38</v>
      </c>
      <c r="K17" s="34" t="str">
        <f aca="false">IF(D17="","",IFERROR(INDEX(I_COA!$C$6:$C$265,MATCH(D17,I_COA!$A$6:$A$265,0)),"AKUN BARU"))</f>
        <v>Neraca</v>
      </c>
      <c r="L17" s="34" t="str">
        <f aca="false">IF(K17="LabaRugi",INDEX(I_COA!$D$6:$D$265,MATCH(D17,I_COA!$A$6:$A$265,0)),"")</f>
        <v/>
      </c>
      <c r="M17" s="34" t="str">
        <f aca="false">IF(K17="Neraca",INDEX(I_COA!$E$6:$E$265,MATCH(D17,I_COA!$A$6:$A$265,0)),"")</f>
        <v>Inventory - Trading</v>
      </c>
      <c r="N17" s="34" t="str">
        <f aca="false">IF(D17="","",IFERROR(INDEX(I_COA!$G$6:$G$265,MATCH(D17,I_COA!$A$6:$A$265,0)),"N"))</f>
        <v>N</v>
      </c>
      <c r="O17" s="11" t="n">
        <f aca="false">IF(N17="N",ABS(J17),"")</f>
        <v>191772569.38</v>
      </c>
      <c r="P17" s="18" t="str">
        <f aca="false">IF(N17="N",B17&amp;"|"&amp;ROUND(O17,0),"")</f>
        <v>KGR26.00197|191772569</v>
      </c>
      <c r="Q17" s="18" t="str">
        <f aca="false">IF(N17&lt;&gt;"Y","",IFERROR(INDEX($D$6:$D$4005,MATCH(B17&amp;"|"&amp;ROUND(_xlfn.MAXIFS($O$6:$O$4005,$B$6:$B$4005,B17,$N$6:$N$4005,"N"),0),$P$6:$P$4005,0)),"(tanpa lawan)"))</f>
        <v/>
      </c>
      <c r="R17" s="44"/>
      <c r="S17" s="9" t="str">
        <f aca="false">IF(N17&lt;&gt;"Y","",IF(R17&lt;&gt;"",R17,IF(Q17="(tanpa lawan)","Transfer antar rekening",IFERROR(INDEX(I_COA!$F$6:$F$265,MATCH(Q17,I_COA!$A$6:$A$265,0)),"?"))))</f>
        <v/>
      </c>
    </row>
    <row r="18" customFormat="false" ht="15" hidden="false" customHeight="false" outlineLevel="0" collapsed="false">
      <c r="A18" s="37" t="n">
        <v>46235</v>
      </c>
      <c r="B18" s="44" t="s">
        <v>607</v>
      </c>
      <c r="C18" s="44" t="s">
        <v>600</v>
      </c>
      <c r="D18" s="44" t="n">
        <v>1104002</v>
      </c>
      <c r="E18" s="44" t="s">
        <v>601</v>
      </c>
      <c r="F18" s="44" t="s">
        <v>608</v>
      </c>
      <c r="G18" s="42" t="n">
        <v>61517529.99</v>
      </c>
      <c r="H18" s="42"/>
      <c r="I18" s="44" t="s">
        <v>609</v>
      </c>
      <c r="J18" s="11" t="n">
        <f aca="false">IF(D18="","",N(G18)-N(H18))</f>
        <v>61517529.99</v>
      </c>
      <c r="K18" s="34" t="str">
        <f aca="false">IF(D18="","",IFERROR(INDEX(I_COA!$C$6:$C$265,MATCH(D18,I_COA!$A$6:$A$265,0)),"AKUN BARU"))</f>
        <v>Neraca</v>
      </c>
      <c r="L18" s="34" t="str">
        <f aca="false">IF(K18="LabaRugi",INDEX(I_COA!$D$6:$D$265,MATCH(D18,I_COA!$A$6:$A$265,0)),"")</f>
        <v/>
      </c>
      <c r="M18" s="34" t="str">
        <f aca="false">IF(K18="Neraca",INDEX(I_COA!$E$6:$E$265,MATCH(D18,I_COA!$A$6:$A$265,0)),"")</f>
        <v>Inventory - Product</v>
      </c>
      <c r="N18" s="34" t="str">
        <f aca="false">IF(D18="","",IFERROR(INDEX(I_COA!$G$6:$G$265,MATCH(D18,I_COA!$A$6:$A$265,0)),"N"))</f>
        <v>N</v>
      </c>
      <c r="O18" s="11" t="n">
        <f aca="false">IF(N18="N",ABS(J18),"")</f>
        <v>61517529.99</v>
      </c>
      <c r="P18" s="18" t="str">
        <f aca="false">IF(N18="N",B18&amp;"|"&amp;ROUND(O18,0),"")</f>
        <v>KGR26.00198|61517530</v>
      </c>
      <c r="Q18" s="18" t="str">
        <f aca="false">IF(N18&lt;&gt;"Y","",IFERROR(INDEX($D$6:$D$4005,MATCH(B18&amp;"|"&amp;ROUND(_xlfn.MAXIFS($O$6:$O$4005,$B$6:$B$4005,B18,$N$6:$N$4005,"N"),0),$P$6:$P$4005,0)),"(tanpa lawan)"))</f>
        <v/>
      </c>
      <c r="R18" s="44"/>
      <c r="S18" s="9" t="str">
        <f aca="false">IF(N18&lt;&gt;"Y","",IF(R18&lt;&gt;"",R18,IF(Q18="(tanpa lawan)","Transfer antar rekening",IFERROR(INDEX(I_COA!$F$6:$F$265,MATCH(Q18,I_COA!$A$6:$A$265,0)),"?"))))</f>
        <v/>
      </c>
    </row>
    <row r="19" customFormat="false" ht="15" hidden="false" customHeight="false" outlineLevel="0" collapsed="false">
      <c r="A19" s="37" t="n">
        <v>46235</v>
      </c>
      <c r="B19" s="44" t="s">
        <v>607</v>
      </c>
      <c r="C19" s="44" t="s">
        <v>600</v>
      </c>
      <c r="D19" s="44" t="n">
        <v>1104006</v>
      </c>
      <c r="E19" s="44" t="s">
        <v>212</v>
      </c>
      <c r="F19" s="44" t="s">
        <v>608</v>
      </c>
      <c r="G19" s="42"/>
      <c r="H19" s="42" t="n">
        <v>61517529.99</v>
      </c>
      <c r="I19" s="44" t="s">
        <v>609</v>
      </c>
      <c r="J19" s="11" t="n">
        <f aca="false">IF(D19="","",N(G19)-N(H19))</f>
        <v>-61517529.99</v>
      </c>
      <c r="K19" s="34" t="str">
        <f aca="false">IF(D19="","",IFERROR(INDEX(I_COA!$C$6:$C$265,MATCH(D19,I_COA!$A$6:$A$265,0)),"AKUN BARU"))</f>
        <v>Neraca</v>
      </c>
      <c r="L19" s="34" t="str">
        <f aca="false">IF(K19="LabaRugi",INDEX(I_COA!$D$6:$D$265,MATCH(D19,I_COA!$A$6:$A$265,0)),"")</f>
        <v/>
      </c>
      <c r="M19" s="34" t="str">
        <f aca="false">IF(K19="Neraca",INDEX(I_COA!$E$6:$E$265,MATCH(D19,I_COA!$A$6:$A$265,0)),"")</f>
        <v>Inventory - Trading</v>
      </c>
      <c r="N19" s="34" t="str">
        <f aca="false">IF(D19="","",IFERROR(INDEX(I_COA!$G$6:$G$265,MATCH(D19,I_COA!$A$6:$A$265,0)),"N"))</f>
        <v>N</v>
      </c>
      <c r="O19" s="11" t="n">
        <f aca="false">IF(N19="N",ABS(J19),"")</f>
        <v>61517529.99</v>
      </c>
      <c r="P19" s="18" t="str">
        <f aca="false">IF(N19="N",B19&amp;"|"&amp;ROUND(O19,0),"")</f>
        <v>KGR26.00198|61517530</v>
      </c>
      <c r="Q19" s="18" t="str">
        <f aca="false">IF(N19&lt;&gt;"Y","",IFERROR(INDEX($D$6:$D$4005,MATCH(B19&amp;"|"&amp;ROUND(_xlfn.MAXIFS($O$6:$O$4005,$B$6:$B$4005,B19,$N$6:$N$4005,"N"),0),$P$6:$P$4005,0)),"(tanpa lawan)"))</f>
        <v/>
      </c>
      <c r="R19" s="44"/>
      <c r="S19" s="9" t="str">
        <f aca="false">IF(N19&lt;&gt;"Y","",IF(R19&lt;&gt;"",R19,IF(Q19="(tanpa lawan)","Transfer antar rekening",IFERROR(INDEX(I_COA!$F$6:$F$265,MATCH(Q19,I_COA!$A$6:$A$265,0)),"?"))))</f>
        <v/>
      </c>
    </row>
    <row r="20" customFormat="false" ht="15" hidden="false" customHeight="false" outlineLevel="0" collapsed="false">
      <c r="A20" s="37" t="n">
        <v>46235</v>
      </c>
      <c r="B20" s="44" t="s">
        <v>610</v>
      </c>
      <c r="C20" s="44" t="s">
        <v>600</v>
      </c>
      <c r="D20" s="44" t="n">
        <v>1104002</v>
      </c>
      <c r="E20" s="44" t="s">
        <v>601</v>
      </c>
      <c r="F20" s="44" t="s">
        <v>611</v>
      </c>
      <c r="G20" s="42" t="n">
        <v>245868590.42</v>
      </c>
      <c r="H20" s="42"/>
      <c r="I20" s="44" t="s">
        <v>612</v>
      </c>
      <c r="J20" s="11" t="n">
        <f aca="false">IF(D20="","",N(G20)-N(H20))</f>
        <v>245868590.42</v>
      </c>
      <c r="K20" s="34" t="str">
        <f aca="false">IF(D20="","",IFERROR(INDEX(I_COA!$C$6:$C$265,MATCH(D20,I_COA!$A$6:$A$265,0)),"AKUN BARU"))</f>
        <v>Neraca</v>
      </c>
      <c r="L20" s="34" t="str">
        <f aca="false">IF(K20="LabaRugi",INDEX(I_COA!$D$6:$D$265,MATCH(D20,I_COA!$A$6:$A$265,0)),"")</f>
        <v/>
      </c>
      <c r="M20" s="34" t="str">
        <f aca="false">IF(K20="Neraca",INDEX(I_COA!$E$6:$E$265,MATCH(D20,I_COA!$A$6:$A$265,0)),"")</f>
        <v>Inventory - Product</v>
      </c>
      <c r="N20" s="34" t="str">
        <f aca="false">IF(D20="","",IFERROR(INDEX(I_COA!$G$6:$G$265,MATCH(D20,I_COA!$A$6:$A$265,0)),"N"))</f>
        <v>N</v>
      </c>
      <c r="O20" s="11" t="n">
        <f aca="false">IF(N20="N",ABS(J20),"")</f>
        <v>245868590.42</v>
      </c>
      <c r="P20" s="18" t="str">
        <f aca="false">IF(N20="N",B20&amp;"|"&amp;ROUND(O20,0),"")</f>
        <v>KGR26.00199|245868590</v>
      </c>
      <c r="Q20" s="18" t="str">
        <f aca="false">IF(N20&lt;&gt;"Y","",IFERROR(INDEX($D$6:$D$4005,MATCH(B20&amp;"|"&amp;ROUND(_xlfn.MAXIFS($O$6:$O$4005,$B$6:$B$4005,B20,$N$6:$N$4005,"N"),0),$P$6:$P$4005,0)),"(tanpa lawan)"))</f>
        <v/>
      </c>
      <c r="R20" s="44"/>
      <c r="S20" s="9" t="str">
        <f aca="false">IF(N20&lt;&gt;"Y","",IF(R20&lt;&gt;"",R20,IF(Q20="(tanpa lawan)","Transfer antar rekening",IFERROR(INDEX(I_COA!$F$6:$F$265,MATCH(Q20,I_COA!$A$6:$A$265,0)),"?"))))</f>
        <v/>
      </c>
    </row>
    <row r="21" customFormat="false" ht="15" hidden="false" customHeight="false" outlineLevel="0" collapsed="false">
      <c r="A21" s="37" t="n">
        <v>46235</v>
      </c>
      <c r="B21" s="44" t="s">
        <v>610</v>
      </c>
      <c r="C21" s="44" t="s">
        <v>600</v>
      </c>
      <c r="D21" s="44" t="n">
        <v>1104006</v>
      </c>
      <c r="E21" s="44" t="s">
        <v>212</v>
      </c>
      <c r="F21" s="44" t="s">
        <v>611</v>
      </c>
      <c r="G21" s="42"/>
      <c r="H21" s="42" t="n">
        <v>86529060.99</v>
      </c>
      <c r="I21" s="44" t="s">
        <v>612</v>
      </c>
      <c r="J21" s="11" t="n">
        <f aca="false">IF(D21="","",N(G21)-N(H21))</f>
        <v>-86529060.99</v>
      </c>
      <c r="K21" s="34" t="str">
        <f aca="false">IF(D21="","",IFERROR(INDEX(I_COA!$C$6:$C$265,MATCH(D21,I_COA!$A$6:$A$265,0)),"AKUN BARU"))</f>
        <v>Neraca</v>
      </c>
      <c r="L21" s="34" t="str">
        <f aca="false">IF(K21="LabaRugi",INDEX(I_COA!$D$6:$D$265,MATCH(D21,I_COA!$A$6:$A$265,0)),"")</f>
        <v/>
      </c>
      <c r="M21" s="34" t="str">
        <f aca="false">IF(K21="Neraca",INDEX(I_COA!$E$6:$E$265,MATCH(D21,I_COA!$A$6:$A$265,0)),"")</f>
        <v>Inventory - Trading</v>
      </c>
      <c r="N21" s="34" t="str">
        <f aca="false">IF(D21="","",IFERROR(INDEX(I_COA!$G$6:$G$265,MATCH(D21,I_COA!$A$6:$A$265,0)),"N"))</f>
        <v>N</v>
      </c>
      <c r="O21" s="11" t="n">
        <f aca="false">IF(N21="N",ABS(J21),"")</f>
        <v>86529060.99</v>
      </c>
      <c r="P21" s="18" t="str">
        <f aca="false">IF(N21="N",B21&amp;"|"&amp;ROUND(O21,0),"")</f>
        <v>KGR26.00199|86529061</v>
      </c>
      <c r="Q21" s="18" t="str">
        <f aca="false">IF(N21&lt;&gt;"Y","",IFERROR(INDEX($D$6:$D$4005,MATCH(B21&amp;"|"&amp;ROUND(_xlfn.MAXIFS($O$6:$O$4005,$B$6:$B$4005,B21,$N$6:$N$4005,"N"),0),$P$6:$P$4005,0)),"(tanpa lawan)"))</f>
        <v/>
      </c>
      <c r="R21" s="44"/>
      <c r="S21" s="9" t="str">
        <f aca="false">IF(N21&lt;&gt;"Y","",IF(R21&lt;&gt;"",R21,IF(Q21="(tanpa lawan)","Transfer antar rekening",IFERROR(INDEX(I_COA!$F$6:$F$265,MATCH(Q21,I_COA!$A$6:$A$265,0)),"?"))))</f>
        <v/>
      </c>
    </row>
    <row r="22" customFormat="false" ht="15" hidden="false" customHeight="false" outlineLevel="0" collapsed="false">
      <c r="A22" s="37" t="n">
        <v>46235</v>
      </c>
      <c r="B22" s="44" t="s">
        <v>610</v>
      </c>
      <c r="C22" s="44" t="s">
        <v>600</v>
      </c>
      <c r="D22" s="44" t="n">
        <v>1104003</v>
      </c>
      <c r="E22" s="44" t="s">
        <v>613</v>
      </c>
      <c r="F22" s="44" t="s">
        <v>611</v>
      </c>
      <c r="G22" s="42"/>
      <c r="H22" s="42" t="n">
        <v>159339529.42</v>
      </c>
      <c r="I22" s="44" t="s">
        <v>612</v>
      </c>
      <c r="J22" s="11" t="n">
        <f aca="false">IF(D22="","",N(G22)-N(H22))</f>
        <v>-159339529.42</v>
      </c>
      <c r="K22" s="34" t="str">
        <f aca="false">IF(D22="","",IFERROR(INDEX(I_COA!$C$6:$C$265,MATCH(D22,I_COA!$A$6:$A$265,0)),"AKUN BARU"))</f>
        <v>Neraca</v>
      </c>
      <c r="L22" s="34" t="str">
        <f aca="false">IF(K22="LabaRugi",INDEX(I_COA!$D$6:$D$265,MATCH(D22,I_COA!$A$6:$A$265,0)),"")</f>
        <v/>
      </c>
      <c r="M22" s="34" t="str">
        <f aca="false">IF(K22="Neraca",INDEX(I_COA!$E$6:$E$265,MATCH(D22,I_COA!$A$6:$A$265,0)),"")</f>
        <v>Inventory - Product</v>
      </c>
      <c r="N22" s="34" t="str">
        <f aca="false">IF(D22="","",IFERROR(INDEX(I_COA!$G$6:$G$265,MATCH(D22,I_COA!$A$6:$A$265,0)),"N"))</f>
        <v>N</v>
      </c>
      <c r="O22" s="11" t="n">
        <f aca="false">IF(N22="N",ABS(J22),"")</f>
        <v>159339529.42</v>
      </c>
      <c r="P22" s="18" t="str">
        <f aca="false">IF(N22="N",B22&amp;"|"&amp;ROUND(O22,0),"")</f>
        <v>KGR26.00199|159339529</v>
      </c>
      <c r="Q22" s="18" t="str">
        <f aca="false">IF(N22&lt;&gt;"Y","",IFERROR(INDEX($D$6:$D$4005,MATCH(B22&amp;"|"&amp;ROUND(_xlfn.MAXIFS($O$6:$O$4005,$B$6:$B$4005,B22,$N$6:$N$4005,"N"),0),$P$6:$P$4005,0)),"(tanpa lawan)"))</f>
        <v/>
      </c>
      <c r="R22" s="44"/>
      <c r="S22" s="9" t="str">
        <f aca="false">IF(N22&lt;&gt;"Y","",IF(R22&lt;&gt;"",R22,IF(Q22="(tanpa lawan)","Transfer antar rekening",IFERROR(INDEX(I_COA!$F$6:$F$265,MATCH(Q22,I_COA!$A$6:$A$265,0)),"?"))))</f>
        <v/>
      </c>
    </row>
    <row r="23" customFormat="false" ht="15" hidden="false" customHeight="false" outlineLevel="0" collapsed="false">
      <c r="A23" s="37" t="n">
        <v>46235</v>
      </c>
      <c r="B23" s="44" t="s">
        <v>614</v>
      </c>
      <c r="C23" s="44" t="s">
        <v>600</v>
      </c>
      <c r="D23" s="44" t="n">
        <v>1104002</v>
      </c>
      <c r="E23" s="44" t="s">
        <v>601</v>
      </c>
      <c r="F23" s="44" t="s">
        <v>615</v>
      </c>
      <c r="G23" s="42" t="n">
        <v>118865458.3</v>
      </c>
      <c r="H23" s="42"/>
      <c r="I23" s="44" t="s">
        <v>603</v>
      </c>
      <c r="J23" s="11" t="n">
        <f aca="false">IF(D23="","",N(G23)-N(H23))</f>
        <v>118865458.3</v>
      </c>
      <c r="K23" s="34" t="str">
        <f aca="false">IF(D23="","",IFERROR(INDEX(I_COA!$C$6:$C$265,MATCH(D23,I_COA!$A$6:$A$265,0)),"AKUN BARU"))</f>
        <v>Neraca</v>
      </c>
      <c r="L23" s="34" t="str">
        <f aca="false">IF(K23="LabaRugi",INDEX(I_COA!$D$6:$D$265,MATCH(D23,I_COA!$A$6:$A$265,0)),"")</f>
        <v/>
      </c>
      <c r="M23" s="34" t="str">
        <f aca="false">IF(K23="Neraca",INDEX(I_COA!$E$6:$E$265,MATCH(D23,I_COA!$A$6:$A$265,0)),"")</f>
        <v>Inventory - Product</v>
      </c>
      <c r="N23" s="34" t="str">
        <f aca="false">IF(D23="","",IFERROR(INDEX(I_COA!$G$6:$G$265,MATCH(D23,I_COA!$A$6:$A$265,0)),"N"))</f>
        <v>N</v>
      </c>
      <c r="O23" s="11" t="n">
        <f aca="false">IF(N23="N",ABS(J23),"")</f>
        <v>118865458.3</v>
      </c>
      <c r="P23" s="18" t="str">
        <f aca="false">IF(N23="N",B23&amp;"|"&amp;ROUND(O23,0),"")</f>
        <v>KGR26.00200|118865458</v>
      </c>
      <c r="Q23" s="18" t="str">
        <f aca="false">IF(N23&lt;&gt;"Y","",IFERROR(INDEX($D$6:$D$4005,MATCH(B23&amp;"|"&amp;ROUND(_xlfn.MAXIFS($O$6:$O$4005,$B$6:$B$4005,B23,$N$6:$N$4005,"N"),0),$P$6:$P$4005,0)),"(tanpa lawan)"))</f>
        <v/>
      </c>
      <c r="R23" s="44"/>
      <c r="S23" s="9" t="str">
        <f aca="false">IF(N23&lt;&gt;"Y","",IF(R23&lt;&gt;"",R23,IF(Q23="(tanpa lawan)","Transfer antar rekening",IFERROR(INDEX(I_COA!$F$6:$F$265,MATCH(Q23,I_COA!$A$6:$A$265,0)),"?"))))</f>
        <v/>
      </c>
    </row>
    <row r="24" customFormat="false" ht="15" hidden="false" customHeight="false" outlineLevel="0" collapsed="false">
      <c r="A24" s="37" t="n">
        <v>46235</v>
      </c>
      <c r="B24" s="44" t="s">
        <v>614</v>
      </c>
      <c r="C24" s="44" t="s">
        <v>600</v>
      </c>
      <c r="D24" s="44" t="n">
        <v>1104006</v>
      </c>
      <c r="E24" s="44" t="s">
        <v>212</v>
      </c>
      <c r="F24" s="44" t="s">
        <v>615</v>
      </c>
      <c r="G24" s="42"/>
      <c r="H24" s="42" t="n">
        <v>118865458.3</v>
      </c>
      <c r="I24" s="44" t="s">
        <v>603</v>
      </c>
      <c r="J24" s="11" t="n">
        <f aca="false">IF(D24="","",N(G24)-N(H24))</f>
        <v>-118865458.3</v>
      </c>
      <c r="K24" s="34" t="str">
        <f aca="false">IF(D24="","",IFERROR(INDEX(I_COA!$C$6:$C$265,MATCH(D24,I_COA!$A$6:$A$265,0)),"AKUN BARU"))</f>
        <v>Neraca</v>
      </c>
      <c r="L24" s="34" t="str">
        <f aca="false">IF(K24="LabaRugi",INDEX(I_COA!$D$6:$D$265,MATCH(D24,I_COA!$A$6:$A$265,0)),"")</f>
        <v/>
      </c>
      <c r="M24" s="34" t="str">
        <f aca="false">IF(K24="Neraca",INDEX(I_COA!$E$6:$E$265,MATCH(D24,I_COA!$A$6:$A$265,0)),"")</f>
        <v>Inventory - Trading</v>
      </c>
      <c r="N24" s="34" t="str">
        <f aca="false">IF(D24="","",IFERROR(INDEX(I_COA!$G$6:$G$265,MATCH(D24,I_COA!$A$6:$A$265,0)),"N"))</f>
        <v>N</v>
      </c>
      <c r="O24" s="11" t="n">
        <f aca="false">IF(N24="N",ABS(J24),"")</f>
        <v>118865458.3</v>
      </c>
      <c r="P24" s="18" t="str">
        <f aca="false">IF(N24="N",B24&amp;"|"&amp;ROUND(O24,0),"")</f>
        <v>KGR26.00200|118865458</v>
      </c>
      <c r="Q24" s="18" t="str">
        <f aca="false">IF(N24&lt;&gt;"Y","",IFERROR(INDEX($D$6:$D$4005,MATCH(B24&amp;"|"&amp;ROUND(_xlfn.MAXIFS($O$6:$O$4005,$B$6:$B$4005,B24,$N$6:$N$4005,"N"),0),$P$6:$P$4005,0)),"(tanpa lawan)"))</f>
        <v/>
      </c>
      <c r="R24" s="44"/>
      <c r="S24" s="9" t="str">
        <f aca="false">IF(N24&lt;&gt;"Y","",IF(R24&lt;&gt;"",R24,IF(Q24="(tanpa lawan)","Transfer antar rekening",IFERROR(INDEX(I_COA!$F$6:$F$265,MATCH(Q24,I_COA!$A$6:$A$265,0)),"?"))))</f>
        <v/>
      </c>
    </row>
    <row r="25" customFormat="false" ht="15" hidden="false" customHeight="false" outlineLevel="0" collapsed="false">
      <c r="A25" s="37" t="n">
        <v>46235</v>
      </c>
      <c r="B25" s="44" t="s">
        <v>616</v>
      </c>
      <c r="C25" s="44" t="s">
        <v>617</v>
      </c>
      <c r="D25" s="44" t="n">
        <v>1103101</v>
      </c>
      <c r="E25" s="44" t="s">
        <v>589</v>
      </c>
      <c r="F25" s="44" t="s">
        <v>618</v>
      </c>
      <c r="G25" s="42" t="n">
        <v>41620330</v>
      </c>
      <c r="H25" s="42"/>
      <c r="I25" s="44" t="s">
        <v>603</v>
      </c>
      <c r="J25" s="11" t="n">
        <f aca="false">IF(D25="","",N(G25)-N(H25))</f>
        <v>41620330</v>
      </c>
      <c r="K25" s="34" t="str">
        <f aca="false">IF(D25="","",IFERROR(INDEX(I_COA!$C$6:$C$265,MATCH(D25,I_COA!$A$6:$A$265,0)),"AKUN BARU"))</f>
        <v>Neraca</v>
      </c>
      <c r="L25" s="34" t="str">
        <f aca="false">IF(K25="LabaRugi",INDEX(I_COA!$D$6:$D$265,MATCH(D25,I_COA!$A$6:$A$265,0)),"")</f>
        <v/>
      </c>
      <c r="M25" s="34" t="str">
        <f aca="false">IF(K25="Neraca",INDEX(I_COA!$E$6:$E$265,MATCH(D25,I_COA!$A$6:$A$265,0)),"")</f>
        <v>Trade Receivables - Third Parties</v>
      </c>
      <c r="N25" s="34" t="str">
        <f aca="false">IF(D25="","",IFERROR(INDEX(I_COA!$G$6:$G$265,MATCH(D25,I_COA!$A$6:$A$265,0)),"N"))</f>
        <v>N</v>
      </c>
      <c r="O25" s="11" t="n">
        <f aca="false">IF(N25="N",ABS(J25),"")</f>
        <v>41620330</v>
      </c>
      <c r="P25" s="18" t="str">
        <f aca="false">IF(N25="N",B25&amp;"|"&amp;ROUND(O25,0),"")</f>
        <v>KGR26/0196A|41620330</v>
      </c>
      <c r="Q25" s="18" t="str">
        <f aca="false">IF(N25&lt;&gt;"Y","",IFERROR(INDEX($D$6:$D$4005,MATCH(B25&amp;"|"&amp;ROUND(_xlfn.MAXIFS($O$6:$O$4005,$B$6:$B$4005,B25,$N$6:$N$4005,"N"),0),$P$6:$P$4005,0)),"(tanpa lawan)"))</f>
        <v/>
      </c>
      <c r="R25" s="44"/>
      <c r="S25" s="9" t="str">
        <f aca="false">IF(N25&lt;&gt;"Y","",IF(R25&lt;&gt;"",R25,IF(Q25="(tanpa lawan)","Transfer antar rekening",IFERROR(INDEX(I_COA!$F$6:$F$265,MATCH(Q25,I_COA!$A$6:$A$265,0)),"?"))))</f>
        <v/>
      </c>
    </row>
    <row r="26" customFormat="false" ht="15" hidden="false" customHeight="false" outlineLevel="0" collapsed="false">
      <c r="A26" s="37" t="n">
        <v>46235</v>
      </c>
      <c r="B26" s="44" t="s">
        <v>616</v>
      </c>
      <c r="C26" s="44" t="s">
        <v>617</v>
      </c>
      <c r="D26" s="44" t="n">
        <v>4101012</v>
      </c>
      <c r="E26" s="44" t="s">
        <v>619</v>
      </c>
      <c r="F26" s="44" t="s">
        <v>618</v>
      </c>
      <c r="G26" s="42"/>
      <c r="H26" s="42" t="n">
        <v>41620330</v>
      </c>
      <c r="I26" s="44" t="s">
        <v>603</v>
      </c>
      <c r="J26" s="11" t="n">
        <f aca="false">IF(D26="","",N(G26)-N(H26))</f>
        <v>-41620330</v>
      </c>
      <c r="K26" s="34" t="str">
        <f aca="false">IF(D26="","",IFERROR(INDEX(I_COA!$C$6:$C$265,MATCH(D26,I_COA!$A$6:$A$265,0)),"AKUN BARU"))</f>
        <v>LabaRugi</v>
      </c>
      <c r="L26" s="34" t="str">
        <f aca="false">IF(K26="LabaRugi",INDEX(I_COA!$D$6:$D$265,MATCH(D26,I_COA!$A$6:$A$265,0)),"")</f>
        <v>Revenue - Trading</v>
      </c>
      <c r="M26" s="34" t="str">
        <f aca="false">IF(K26="Neraca",INDEX(I_COA!$E$6:$E$265,MATCH(D26,I_COA!$A$6:$A$265,0)),"")</f>
        <v/>
      </c>
      <c r="N26" s="34" t="str">
        <f aca="false">IF(D26="","",IFERROR(INDEX(I_COA!$G$6:$G$265,MATCH(D26,I_COA!$A$6:$A$265,0)),"N"))</f>
        <v>N</v>
      </c>
      <c r="O26" s="11" t="n">
        <f aca="false">IF(N26="N",ABS(J26),"")</f>
        <v>41620330</v>
      </c>
      <c r="P26" s="18" t="str">
        <f aca="false">IF(N26="N",B26&amp;"|"&amp;ROUND(O26,0),"")</f>
        <v>KGR26/0196A|41620330</v>
      </c>
      <c r="Q26" s="18" t="str">
        <f aca="false">IF(N26&lt;&gt;"Y","",IFERROR(INDEX($D$6:$D$4005,MATCH(B26&amp;"|"&amp;ROUND(_xlfn.MAXIFS($O$6:$O$4005,$B$6:$B$4005,B26,$N$6:$N$4005,"N"),0),$P$6:$P$4005,0)),"(tanpa lawan)"))</f>
        <v/>
      </c>
      <c r="R26" s="44"/>
      <c r="S26" s="9" t="str">
        <f aca="false">IF(N26&lt;&gt;"Y","",IF(R26&lt;&gt;"",R26,IF(Q26="(tanpa lawan)","Transfer antar rekening",IFERROR(INDEX(I_COA!$F$6:$F$265,MATCH(Q26,I_COA!$A$6:$A$265,0)),"?"))))</f>
        <v/>
      </c>
    </row>
    <row r="27" customFormat="false" ht="15" hidden="false" customHeight="false" outlineLevel="0" collapsed="false">
      <c r="A27" s="37" t="n">
        <v>46235</v>
      </c>
      <c r="B27" s="44" t="s">
        <v>616</v>
      </c>
      <c r="C27" s="44" t="s">
        <v>617</v>
      </c>
      <c r="D27" s="44" t="n">
        <v>5100011</v>
      </c>
      <c r="E27" s="44" t="s">
        <v>166</v>
      </c>
      <c r="F27" s="44" t="s">
        <v>618</v>
      </c>
      <c r="G27" s="42" t="n">
        <v>31087214.74</v>
      </c>
      <c r="H27" s="42"/>
      <c r="I27" s="44" t="s">
        <v>603</v>
      </c>
      <c r="J27" s="11" t="n">
        <f aca="false">IF(D27="","",N(G27)-N(H27))</f>
        <v>31087214.74</v>
      </c>
      <c r="K27" s="34" t="str">
        <f aca="false">IF(D27="","",IFERROR(INDEX(I_COA!$C$6:$C$265,MATCH(D27,I_COA!$A$6:$A$265,0)),"AKUN BARU"))</f>
        <v>LabaRugi</v>
      </c>
      <c r="L27" s="34" t="str">
        <f aca="false">IF(K27="LabaRugi",INDEX(I_COA!$D$6:$D$265,MATCH(D27,I_COA!$A$6:$A$265,0)),"")</f>
        <v>COGS - Trading</v>
      </c>
      <c r="M27" s="34" t="str">
        <f aca="false">IF(K27="Neraca",INDEX(I_COA!$E$6:$E$265,MATCH(D27,I_COA!$A$6:$A$265,0)),"")</f>
        <v/>
      </c>
      <c r="N27" s="34" t="str">
        <f aca="false">IF(D27="","",IFERROR(INDEX(I_COA!$G$6:$G$265,MATCH(D27,I_COA!$A$6:$A$265,0)),"N"))</f>
        <v>N</v>
      </c>
      <c r="O27" s="11" t="n">
        <f aca="false">IF(N27="N",ABS(J27),"")</f>
        <v>31087214.74</v>
      </c>
      <c r="P27" s="18" t="str">
        <f aca="false">IF(N27="N",B27&amp;"|"&amp;ROUND(O27,0),"")</f>
        <v>KGR26/0196A|31087215</v>
      </c>
      <c r="Q27" s="18" t="str">
        <f aca="false">IF(N27&lt;&gt;"Y","",IFERROR(INDEX($D$6:$D$4005,MATCH(B27&amp;"|"&amp;ROUND(_xlfn.MAXIFS($O$6:$O$4005,$B$6:$B$4005,B27,$N$6:$N$4005,"N"),0),$P$6:$P$4005,0)),"(tanpa lawan)"))</f>
        <v/>
      </c>
      <c r="R27" s="44"/>
      <c r="S27" s="9" t="str">
        <f aca="false">IF(N27&lt;&gt;"Y","",IF(R27&lt;&gt;"",R27,IF(Q27="(tanpa lawan)","Transfer antar rekening",IFERROR(INDEX(I_COA!$F$6:$F$265,MATCH(Q27,I_COA!$A$6:$A$265,0)),"?"))))</f>
        <v/>
      </c>
    </row>
    <row r="28" customFormat="false" ht="15" hidden="false" customHeight="false" outlineLevel="0" collapsed="false">
      <c r="A28" s="37" t="n">
        <v>46235</v>
      </c>
      <c r="B28" s="44" t="s">
        <v>616</v>
      </c>
      <c r="C28" s="44" t="s">
        <v>617</v>
      </c>
      <c r="D28" s="44" t="n">
        <v>1104002</v>
      </c>
      <c r="E28" s="44" t="s">
        <v>601</v>
      </c>
      <c r="F28" s="44" t="s">
        <v>618</v>
      </c>
      <c r="G28" s="42"/>
      <c r="H28" s="42" t="n">
        <v>31087214.74</v>
      </c>
      <c r="I28" s="44" t="s">
        <v>603</v>
      </c>
      <c r="J28" s="11" t="n">
        <f aca="false">IF(D28="","",N(G28)-N(H28))</f>
        <v>-31087214.74</v>
      </c>
      <c r="K28" s="34" t="str">
        <f aca="false">IF(D28="","",IFERROR(INDEX(I_COA!$C$6:$C$265,MATCH(D28,I_COA!$A$6:$A$265,0)),"AKUN BARU"))</f>
        <v>Neraca</v>
      </c>
      <c r="L28" s="34" t="str">
        <f aca="false">IF(K28="LabaRugi",INDEX(I_COA!$D$6:$D$265,MATCH(D28,I_COA!$A$6:$A$265,0)),"")</f>
        <v/>
      </c>
      <c r="M28" s="34" t="str">
        <f aca="false">IF(K28="Neraca",INDEX(I_COA!$E$6:$E$265,MATCH(D28,I_COA!$A$6:$A$265,0)),"")</f>
        <v>Inventory - Product</v>
      </c>
      <c r="N28" s="34" t="str">
        <f aca="false">IF(D28="","",IFERROR(INDEX(I_COA!$G$6:$G$265,MATCH(D28,I_COA!$A$6:$A$265,0)),"N"))</f>
        <v>N</v>
      </c>
      <c r="O28" s="11" t="n">
        <f aca="false">IF(N28="N",ABS(J28),"")</f>
        <v>31087214.74</v>
      </c>
      <c r="P28" s="18" t="str">
        <f aca="false">IF(N28="N",B28&amp;"|"&amp;ROUND(O28,0),"")</f>
        <v>KGR26/0196A|31087215</v>
      </c>
      <c r="Q28" s="18" t="str">
        <f aca="false">IF(N28&lt;&gt;"Y","",IFERROR(INDEX($D$6:$D$4005,MATCH(B28&amp;"|"&amp;ROUND(_xlfn.MAXIFS($O$6:$O$4005,$B$6:$B$4005,B28,$N$6:$N$4005,"N"),0),$P$6:$P$4005,0)),"(tanpa lawan)"))</f>
        <v/>
      </c>
      <c r="R28" s="44"/>
      <c r="S28" s="9" t="str">
        <f aca="false">IF(N28&lt;&gt;"Y","",IF(R28&lt;&gt;"",R28,IF(Q28="(tanpa lawan)","Transfer antar rekening",IFERROR(INDEX(I_COA!$F$6:$F$265,MATCH(Q28,I_COA!$A$6:$A$265,0)),"?"))))</f>
        <v/>
      </c>
    </row>
    <row r="29" customFormat="false" ht="15" hidden="false" customHeight="false" outlineLevel="0" collapsed="false">
      <c r="A29" s="37" t="n">
        <v>46235</v>
      </c>
      <c r="B29" s="44" t="s">
        <v>620</v>
      </c>
      <c r="C29" s="44" t="s">
        <v>617</v>
      </c>
      <c r="D29" s="44" t="n">
        <v>1103101</v>
      </c>
      <c r="E29" s="44" t="s">
        <v>589</v>
      </c>
      <c r="F29" s="44" t="s">
        <v>621</v>
      </c>
      <c r="G29" s="42" t="n">
        <v>222712572</v>
      </c>
      <c r="H29" s="42"/>
      <c r="I29" s="44" t="s">
        <v>606</v>
      </c>
      <c r="J29" s="11" t="n">
        <f aca="false">IF(D29="","",N(G29)-N(H29))</f>
        <v>222712572</v>
      </c>
      <c r="K29" s="34" t="str">
        <f aca="false">IF(D29="","",IFERROR(INDEX(I_COA!$C$6:$C$265,MATCH(D29,I_COA!$A$6:$A$265,0)),"AKUN BARU"))</f>
        <v>Neraca</v>
      </c>
      <c r="L29" s="34" t="str">
        <f aca="false">IF(K29="LabaRugi",INDEX(I_COA!$D$6:$D$265,MATCH(D29,I_COA!$A$6:$A$265,0)),"")</f>
        <v/>
      </c>
      <c r="M29" s="34" t="str">
        <f aca="false">IF(K29="Neraca",INDEX(I_COA!$E$6:$E$265,MATCH(D29,I_COA!$A$6:$A$265,0)),"")</f>
        <v>Trade Receivables - Third Parties</v>
      </c>
      <c r="N29" s="34" t="str">
        <f aca="false">IF(D29="","",IFERROR(INDEX(I_COA!$G$6:$G$265,MATCH(D29,I_COA!$A$6:$A$265,0)),"N"))</f>
        <v>N</v>
      </c>
      <c r="O29" s="11" t="n">
        <f aca="false">IF(N29="N",ABS(J29),"")</f>
        <v>222712572</v>
      </c>
      <c r="P29" s="18" t="str">
        <f aca="false">IF(N29="N",B29&amp;"|"&amp;ROUND(O29,0),"")</f>
        <v>KGR26/0197|222712572</v>
      </c>
      <c r="Q29" s="18" t="str">
        <f aca="false">IF(N29&lt;&gt;"Y","",IFERROR(INDEX($D$6:$D$4005,MATCH(B29&amp;"|"&amp;ROUND(_xlfn.MAXIFS($O$6:$O$4005,$B$6:$B$4005,B29,$N$6:$N$4005,"N"),0),$P$6:$P$4005,0)),"(tanpa lawan)"))</f>
        <v/>
      </c>
      <c r="R29" s="44"/>
      <c r="S29" s="9" t="str">
        <f aca="false">IF(N29&lt;&gt;"Y","",IF(R29&lt;&gt;"",R29,IF(Q29="(tanpa lawan)","Transfer antar rekening",IFERROR(INDEX(I_COA!$F$6:$F$265,MATCH(Q29,I_COA!$A$6:$A$265,0)),"?"))))</f>
        <v/>
      </c>
    </row>
    <row r="30" customFormat="false" ht="15" hidden="false" customHeight="false" outlineLevel="0" collapsed="false">
      <c r="A30" s="37" t="n">
        <v>46235</v>
      </c>
      <c r="B30" s="44" t="s">
        <v>620</v>
      </c>
      <c r="C30" s="44" t="s">
        <v>617</v>
      </c>
      <c r="D30" s="44" t="n">
        <v>4101012</v>
      </c>
      <c r="E30" s="44" t="s">
        <v>619</v>
      </c>
      <c r="F30" s="44" t="s">
        <v>621</v>
      </c>
      <c r="G30" s="42"/>
      <c r="H30" s="42" t="n">
        <v>222712572</v>
      </c>
      <c r="I30" s="44" t="s">
        <v>606</v>
      </c>
      <c r="J30" s="11" t="n">
        <f aca="false">IF(D30="","",N(G30)-N(H30))</f>
        <v>-222712572</v>
      </c>
      <c r="K30" s="34" t="str">
        <f aca="false">IF(D30="","",IFERROR(INDEX(I_COA!$C$6:$C$265,MATCH(D30,I_COA!$A$6:$A$265,0)),"AKUN BARU"))</f>
        <v>LabaRugi</v>
      </c>
      <c r="L30" s="34" t="str">
        <f aca="false">IF(K30="LabaRugi",INDEX(I_COA!$D$6:$D$265,MATCH(D30,I_COA!$A$6:$A$265,0)),"")</f>
        <v>Revenue - Trading</v>
      </c>
      <c r="M30" s="34" t="str">
        <f aca="false">IF(K30="Neraca",INDEX(I_COA!$E$6:$E$265,MATCH(D30,I_COA!$A$6:$A$265,0)),"")</f>
        <v/>
      </c>
      <c r="N30" s="34" t="str">
        <f aca="false">IF(D30="","",IFERROR(INDEX(I_COA!$G$6:$G$265,MATCH(D30,I_COA!$A$6:$A$265,0)),"N"))</f>
        <v>N</v>
      </c>
      <c r="O30" s="11" t="n">
        <f aca="false">IF(N30="N",ABS(J30),"")</f>
        <v>222712572</v>
      </c>
      <c r="P30" s="18" t="str">
        <f aca="false">IF(N30="N",B30&amp;"|"&amp;ROUND(O30,0),"")</f>
        <v>KGR26/0197|222712572</v>
      </c>
      <c r="Q30" s="18" t="str">
        <f aca="false">IF(N30&lt;&gt;"Y","",IFERROR(INDEX($D$6:$D$4005,MATCH(B30&amp;"|"&amp;ROUND(_xlfn.MAXIFS($O$6:$O$4005,$B$6:$B$4005,B30,$N$6:$N$4005,"N"),0),$P$6:$P$4005,0)),"(tanpa lawan)"))</f>
        <v/>
      </c>
      <c r="R30" s="44"/>
      <c r="S30" s="9" t="str">
        <f aca="false">IF(N30&lt;&gt;"Y","",IF(R30&lt;&gt;"",R30,IF(Q30="(tanpa lawan)","Transfer antar rekening",IFERROR(INDEX(I_COA!$F$6:$F$265,MATCH(Q30,I_COA!$A$6:$A$265,0)),"?"))))</f>
        <v/>
      </c>
    </row>
    <row r="31" customFormat="false" ht="15" hidden="false" customHeight="false" outlineLevel="0" collapsed="false">
      <c r="A31" s="37" t="n">
        <v>46235</v>
      </c>
      <c r="B31" s="44" t="s">
        <v>620</v>
      </c>
      <c r="C31" s="44" t="s">
        <v>617</v>
      </c>
      <c r="D31" s="44" t="n">
        <v>5100011</v>
      </c>
      <c r="E31" s="44" t="s">
        <v>166</v>
      </c>
      <c r="F31" s="44" t="s">
        <v>621</v>
      </c>
      <c r="G31" s="42" t="n">
        <v>191772569.38</v>
      </c>
      <c r="H31" s="42"/>
      <c r="I31" s="44" t="s">
        <v>606</v>
      </c>
      <c r="J31" s="11" t="n">
        <f aca="false">IF(D31="","",N(G31)-N(H31))</f>
        <v>191772569.38</v>
      </c>
      <c r="K31" s="34" t="str">
        <f aca="false">IF(D31="","",IFERROR(INDEX(I_COA!$C$6:$C$265,MATCH(D31,I_COA!$A$6:$A$265,0)),"AKUN BARU"))</f>
        <v>LabaRugi</v>
      </c>
      <c r="L31" s="34" t="str">
        <f aca="false">IF(K31="LabaRugi",INDEX(I_COA!$D$6:$D$265,MATCH(D31,I_COA!$A$6:$A$265,0)),"")</f>
        <v>COGS - Trading</v>
      </c>
      <c r="M31" s="34" t="str">
        <f aca="false">IF(K31="Neraca",INDEX(I_COA!$E$6:$E$265,MATCH(D31,I_COA!$A$6:$A$265,0)),"")</f>
        <v/>
      </c>
      <c r="N31" s="34" t="str">
        <f aca="false">IF(D31="","",IFERROR(INDEX(I_COA!$G$6:$G$265,MATCH(D31,I_COA!$A$6:$A$265,0)),"N"))</f>
        <v>N</v>
      </c>
      <c r="O31" s="11" t="n">
        <f aca="false">IF(N31="N",ABS(J31),"")</f>
        <v>191772569.38</v>
      </c>
      <c r="P31" s="18" t="str">
        <f aca="false">IF(N31="N",B31&amp;"|"&amp;ROUND(O31,0),"")</f>
        <v>KGR26/0197|191772569</v>
      </c>
      <c r="Q31" s="18" t="str">
        <f aca="false">IF(N31&lt;&gt;"Y","",IFERROR(INDEX($D$6:$D$4005,MATCH(B31&amp;"|"&amp;ROUND(_xlfn.MAXIFS($O$6:$O$4005,$B$6:$B$4005,B31,$N$6:$N$4005,"N"),0),$P$6:$P$4005,0)),"(tanpa lawan)"))</f>
        <v/>
      </c>
      <c r="R31" s="44"/>
      <c r="S31" s="9" t="str">
        <f aca="false">IF(N31&lt;&gt;"Y","",IF(R31&lt;&gt;"",R31,IF(Q31="(tanpa lawan)","Transfer antar rekening",IFERROR(INDEX(I_COA!$F$6:$F$265,MATCH(Q31,I_COA!$A$6:$A$265,0)),"?"))))</f>
        <v/>
      </c>
    </row>
    <row r="32" customFormat="false" ht="15" hidden="false" customHeight="false" outlineLevel="0" collapsed="false">
      <c r="A32" s="37" t="n">
        <v>46235</v>
      </c>
      <c r="B32" s="44" t="s">
        <v>620</v>
      </c>
      <c r="C32" s="44" t="s">
        <v>617</v>
      </c>
      <c r="D32" s="44" t="n">
        <v>1104002</v>
      </c>
      <c r="E32" s="44" t="s">
        <v>601</v>
      </c>
      <c r="F32" s="44" t="s">
        <v>621</v>
      </c>
      <c r="G32" s="42"/>
      <c r="H32" s="42" t="n">
        <v>191772569.38</v>
      </c>
      <c r="I32" s="44" t="s">
        <v>606</v>
      </c>
      <c r="J32" s="11" t="n">
        <f aca="false">IF(D32="","",N(G32)-N(H32))</f>
        <v>-191772569.38</v>
      </c>
      <c r="K32" s="34" t="str">
        <f aca="false">IF(D32="","",IFERROR(INDEX(I_COA!$C$6:$C$265,MATCH(D32,I_COA!$A$6:$A$265,0)),"AKUN BARU"))</f>
        <v>Neraca</v>
      </c>
      <c r="L32" s="34" t="str">
        <f aca="false">IF(K32="LabaRugi",INDEX(I_COA!$D$6:$D$265,MATCH(D32,I_COA!$A$6:$A$265,0)),"")</f>
        <v/>
      </c>
      <c r="M32" s="34" t="str">
        <f aca="false">IF(K32="Neraca",INDEX(I_COA!$E$6:$E$265,MATCH(D32,I_COA!$A$6:$A$265,0)),"")</f>
        <v>Inventory - Product</v>
      </c>
      <c r="N32" s="34" t="str">
        <f aca="false">IF(D32="","",IFERROR(INDEX(I_COA!$G$6:$G$265,MATCH(D32,I_COA!$A$6:$A$265,0)),"N"))</f>
        <v>N</v>
      </c>
      <c r="O32" s="11" t="n">
        <f aca="false">IF(N32="N",ABS(J32),"")</f>
        <v>191772569.38</v>
      </c>
      <c r="P32" s="18" t="str">
        <f aca="false">IF(N32="N",B32&amp;"|"&amp;ROUND(O32,0),"")</f>
        <v>KGR26/0197|191772569</v>
      </c>
      <c r="Q32" s="18" t="str">
        <f aca="false">IF(N32&lt;&gt;"Y","",IFERROR(INDEX($D$6:$D$4005,MATCH(B32&amp;"|"&amp;ROUND(_xlfn.MAXIFS($O$6:$O$4005,$B$6:$B$4005,B32,$N$6:$N$4005,"N"),0),$P$6:$P$4005,0)),"(tanpa lawan)"))</f>
        <v/>
      </c>
      <c r="R32" s="44"/>
      <c r="S32" s="9" t="str">
        <f aca="false">IF(N32&lt;&gt;"Y","",IF(R32&lt;&gt;"",R32,IF(Q32="(tanpa lawan)","Transfer antar rekening",IFERROR(INDEX(I_COA!$F$6:$F$265,MATCH(Q32,I_COA!$A$6:$A$265,0)),"?"))))</f>
        <v/>
      </c>
    </row>
    <row r="33" customFormat="false" ht="15" hidden="false" customHeight="false" outlineLevel="0" collapsed="false">
      <c r="A33" s="37" t="n">
        <v>46235</v>
      </c>
      <c r="B33" s="44" t="s">
        <v>622</v>
      </c>
      <c r="C33" s="44" t="s">
        <v>617</v>
      </c>
      <c r="D33" s="44" t="n">
        <v>1103101</v>
      </c>
      <c r="E33" s="44" t="s">
        <v>589</v>
      </c>
      <c r="F33" s="44" t="s">
        <v>623</v>
      </c>
      <c r="G33" s="42" t="n">
        <v>83011970</v>
      </c>
      <c r="H33" s="42"/>
      <c r="I33" s="44" t="s">
        <v>609</v>
      </c>
      <c r="J33" s="11" t="n">
        <f aca="false">IF(D33="","",N(G33)-N(H33))</f>
        <v>83011970</v>
      </c>
      <c r="K33" s="34" t="str">
        <f aca="false">IF(D33="","",IFERROR(INDEX(I_COA!$C$6:$C$265,MATCH(D33,I_COA!$A$6:$A$265,0)),"AKUN BARU"))</f>
        <v>Neraca</v>
      </c>
      <c r="L33" s="34" t="str">
        <f aca="false">IF(K33="LabaRugi",INDEX(I_COA!$D$6:$D$265,MATCH(D33,I_COA!$A$6:$A$265,0)),"")</f>
        <v/>
      </c>
      <c r="M33" s="34" t="str">
        <f aca="false">IF(K33="Neraca",INDEX(I_COA!$E$6:$E$265,MATCH(D33,I_COA!$A$6:$A$265,0)),"")</f>
        <v>Trade Receivables - Third Parties</v>
      </c>
      <c r="N33" s="34" t="str">
        <f aca="false">IF(D33="","",IFERROR(INDEX(I_COA!$G$6:$G$265,MATCH(D33,I_COA!$A$6:$A$265,0)),"N"))</f>
        <v>N</v>
      </c>
      <c r="O33" s="11" t="n">
        <f aca="false">IF(N33="N",ABS(J33),"")</f>
        <v>83011970</v>
      </c>
      <c r="P33" s="18" t="str">
        <f aca="false">IF(N33="N",B33&amp;"|"&amp;ROUND(O33,0),"")</f>
        <v>KGR26/0198|83011970</v>
      </c>
      <c r="Q33" s="18" t="str">
        <f aca="false">IF(N33&lt;&gt;"Y","",IFERROR(INDEX($D$6:$D$4005,MATCH(B33&amp;"|"&amp;ROUND(_xlfn.MAXIFS($O$6:$O$4005,$B$6:$B$4005,B33,$N$6:$N$4005,"N"),0),$P$6:$P$4005,0)),"(tanpa lawan)"))</f>
        <v/>
      </c>
      <c r="R33" s="44"/>
      <c r="S33" s="9" t="str">
        <f aca="false">IF(N33&lt;&gt;"Y","",IF(R33&lt;&gt;"",R33,IF(Q33="(tanpa lawan)","Transfer antar rekening",IFERROR(INDEX(I_COA!$F$6:$F$265,MATCH(Q33,I_COA!$A$6:$A$265,0)),"?"))))</f>
        <v/>
      </c>
    </row>
    <row r="34" customFormat="false" ht="15" hidden="false" customHeight="false" outlineLevel="0" collapsed="false">
      <c r="A34" s="37" t="n">
        <v>46235</v>
      </c>
      <c r="B34" s="44" t="s">
        <v>622</v>
      </c>
      <c r="C34" s="44" t="s">
        <v>617</v>
      </c>
      <c r="D34" s="44" t="n">
        <v>4101012</v>
      </c>
      <c r="E34" s="44" t="s">
        <v>619</v>
      </c>
      <c r="F34" s="44" t="s">
        <v>623</v>
      </c>
      <c r="G34" s="42"/>
      <c r="H34" s="42" t="n">
        <v>83011970</v>
      </c>
      <c r="I34" s="44" t="s">
        <v>609</v>
      </c>
      <c r="J34" s="11" t="n">
        <f aca="false">IF(D34="","",N(G34)-N(H34))</f>
        <v>-83011970</v>
      </c>
      <c r="K34" s="34" t="str">
        <f aca="false">IF(D34="","",IFERROR(INDEX(I_COA!$C$6:$C$265,MATCH(D34,I_COA!$A$6:$A$265,0)),"AKUN BARU"))</f>
        <v>LabaRugi</v>
      </c>
      <c r="L34" s="34" t="str">
        <f aca="false">IF(K34="LabaRugi",INDEX(I_COA!$D$6:$D$265,MATCH(D34,I_COA!$A$6:$A$265,0)),"")</f>
        <v>Revenue - Trading</v>
      </c>
      <c r="M34" s="34" t="str">
        <f aca="false">IF(K34="Neraca",INDEX(I_COA!$E$6:$E$265,MATCH(D34,I_COA!$A$6:$A$265,0)),"")</f>
        <v/>
      </c>
      <c r="N34" s="34" t="str">
        <f aca="false">IF(D34="","",IFERROR(INDEX(I_COA!$G$6:$G$265,MATCH(D34,I_COA!$A$6:$A$265,0)),"N"))</f>
        <v>N</v>
      </c>
      <c r="O34" s="11" t="n">
        <f aca="false">IF(N34="N",ABS(J34),"")</f>
        <v>83011970</v>
      </c>
      <c r="P34" s="18" t="str">
        <f aca="false">IF(N34="N",B34&amp;"|"&amp;ROUND(O34,0),"")</f>
        <v>KGR26/0198|83011970</v>
      </c>
      <c r="Q34" s="18" t="str">
        <f aca="false">IF(N34&lt;&gt;"Y","",IFERROR(INDEX($D$6:$D$4005,MATCH(B34&amp;"|"&amp;ROUND(_xlfn.MAXIFS($O$6:$O$4005,$B$6:$B$4005,B34,$N$6:$N$4005,"N"),0),$P$6:$P$4005,0)),"(tanpa lawan)"))</f>
        <v/>
      </c>
      <c r="R34" s="44"/>
      <c r="S34" s="9" t="str">
        <f aca="false">IF(N34&lt;&gt;"Y","",IF(R34&lt;&gt;"",R34,IF(Q34="(tanpa lawan)","Transfer antar rekening",IFERROR(INDEX(I_COA!$F$6:$F$265,MATCH(Q34,I_COA!$A$6:$A$265,0)),"?"))))</f>
        <v/>
      </c>
    </row>
    <row r="35" customFormat="false" ht="15" hidden="false" customHeight="false" outlineLevel="0" collapsed="false">
      <c r="A35" s="37" t="n">
        <v>46235</v>
      </c>
      <c r="B35" s="44" t="s">
        <v>622</v>
      </c>
      <c r="C35" s="44" t="s">
        <v>617</v>
      </c>
      <c r="D35" s="44" t="n">
        <v>5100011</v>
      </c>
      <c r="E35" s="44" t="s">
        <v>166</v>
      </c>
      <c r="F35" s="44" t="s">
        <v>623</v>
      </c>
      <c r="G35" s="42" t="n">
        <v>61517529.99</v>
      </c>
      <c r="H35" s="42"/>
      <c r="I35" s="44" t="s">
        <v>609</v>
      </c>
      <c r="J35" s="11" t="n">
        <f aca="false">IF(D35="","",N(G35)-N(H35))</f>
        <v>61517529.99</v>
      </c>
      <c r="K35" s="34" t="str">
        <f aca="false">IF(D35="","",IFERROR(INDEX(I_COA!$C$6:$C$265,MATCH(D35,I_COA!$A$6:$A$265,0)),"AKUN BARU"))</f>
        <v>LabaRugi</v>
      </c>
      <c r="L35" s="34" t="str">
        <f aca="false">IF(K35="LabaRugi",INDEX(I_COA!$D$6:$D$265,MATCH(D35,I_COA!$A$6:$A$265,0)),"")</f>
        <v>COGS - Trading</v>
      </c>
      <c r="M35" s="34" t="str">
        <f aca="false">IF(K35="Neraca",INDEX(I_COA!$E$6:$E$265,MATCH(D35,I_COA!$A$6:$A$265,0)),"")</f>
        <v/>
      </c>
      <c r="N35" s="34" t="str">
        <f aca="false">IF(D35="","",IFERROR(INDEX(I_COA!$G$6:$G$265,MATCH(D35,I_COA!$A$6:$A$265,0)),"N"))</f>
        <v>N</v>
      </c>
      <c r="O35" s="11" t="n">
        <f aca="false">IF(N35="N",ABS(J35),"")</f>
        <v>61517529.99</v>
      </c>
      <c r="P35" s="18" t="str">
        <f aca="false">IF(N35="N",B35&amp;"|"&amp;ROUND(O35,0),"")</f>
        <v>KGR26/0198|61517530</v>
      </c>
      <c r="Q35" s="18" t="str">
        <f aca="false">IF(N35&lt;&gt;"Y","",IFERROR(INDEX($D$6:$D$4005,MATCH(B35&amp;"|"&amp;ROUND(_xlfn.MAXIFS($O$6:$O$4005,$B$6:$B$4005,B35,$N$6:$N$4005,"N"),0),$P$6:$P$4005,0)),"(tanpa lawan)"))</f>
        <v/>
      </c>
      <c r="R35" s="44"/>
      <c r="S35" s="9" t="str">
        <f aca="false">IF(N35&lt;&gt;"Y","",IF(R35&lt;&gt;"",R35,IF(Q35="(tanpa lawan)","Transfer antar rekening",IFERROR(INDEX(I_COA!$F$6:$F$265,MATCH(Q35,I_COA!$A$6:$A$265,0)),"?"))))</f>
        <v/>
      </c>
    </row>
    <row r="36" customFormat="false" ht="15" hidden="false" customHeight="false" outlineLevel="0" collapsed="false">
      <c r="A36" s="37" t="n">
        <v>46235</v>
      </c>
      <c r="B36" s="44" t="s">
        <v>622</v>
      </c>
      <c r="C36" s="44" t="s">
        <v>617</v>
      </c>
      <c r="D36" s="44" t="n">
        <v>1104002</v>
      </c>
      <c r="E36" s="44" t="s">
        <v>601</v>
      </c>
      <c r="F36" s="44" t="s">
        <v>623</v>
      </c>
      <c r="G36" s="42"/>
      <c r="H36" s="42" t="n">
        <v>61517529.99</v>
      </c>
      <c r="I36" s="44" t="s">
        <v>609</v>
      </c>
      <c r="J36" s="11" t="n">
        <f aca="false">IF(D36="","",N(G36)-N(H36))</f>
        <v>-61517529.99</v>
      </c>
      <c r="K36" s="34" t="str">
        <f aca="false">IF(D36="","",IFERROR(INDEX(I_COA!$C$6:$C$265,MATCH(D36,I_COA!$A$6:$A$265,0)),"AKUN BARU"))</f>
        <v>Neraca</v>
      </c>
      <c r="L36" s="34" t="str">
        <f aca="false">IF(K36="LabaRugi",INDEX(I_COA!$D$6:$D$265,MATCH(D36,I_COA!$A$6:$A$265,0)),"")</f>
        <v/>
      </c>
      <c r="M36" s="34" t="str">
        <f aca="false">IF(K36="Neraca",INDEX(I_COA!$E$6:$E$265,MATCH(D36,I_COA!$A$6:$A$265,0)),"")</f>
        <v>Inventory - Product</v>
      </c>
      <c r="N36" s="34" t="str">
        <f aca="false">IF(D36="","",IFERROR(INDEX(I_COA!$G$6:$G$265,MATCH(D36,I_COA!$A$6:$A$265,0)),"N"))</f>
        <v>N</v>
      </c>
      <c r="O36" s="11" t="n">
        <f aca="false">IF(N36="N",ABS(J36),"")</f>
        <v>61517529.99</v>
      </c>
      <c r="P36" s="18" t="str">
        <f aca="false">IF(N36="N",B36&amp;"|"&amp;ROUND(O36,0),"")</f>
        <v>KGR26/0198|61517530</v>
      </c>
      <c r="Q36" s="18" t="str">
        <f aca="false">IF(N36&lt;&gt;"Y","",IFERROR(INDEX($D$6:$D$4005,MATCH(B36&amp;"|"&amp;ROUND(_xlfn.MAXIFS($O$6:$O$4005,$B$6:$B$4005,B36,$N$6:$N$4005,"N"),0),$P$6:$P$4005,0)),"(tanpa lawan)"))</f>
        <v/>
      </c>
      <c r="R36" s="44"/>
      <c r="S36" s="9" t="str">
        <f aca="false">IF(N36&lt;&gt;"Y","",IF(R36&lt;&gt;"",R36,IF(Q36="(tanpa lawan)","Transfer antar rekening",IFERROR(INDEX(I_COA!$F$6:$F$265,MATCH(Q36,I_COA!$A$6:$A$265,0)),"?"))))</f>
        <v/>
      </c>
    </row>
    <row r="37" customFormat="false" ht="15" hidden="false" customHeight="false" outlineLevel="0" collapsed="false">
      <c r="A37" s="37" t="n">
        <v>46235</v>
      </c>
      <c r="B37" s="44" t="s">
        <v>624</v>
      </c>
      <c r="C37" s="44" t="s">
        <v>617</v>
      </c>
      <c r="D37" s="44" t="n">
        <v>1103101</v>
      </c>
      <c r="E37" s="44" t="s">
        <v>589</v>
      </c>
      <c r="F37" s="44" t="s">
        <v>625</v>
      </c>
      <c r="G37" s="42" t="n">
        <v>298355700</v>
      </c>
      <c r="H37" s="42"/>
      <c r="I37" s="44" t="s">
        <v>612</v>
      </c>
      <c r="J37" s="11" t="n">
        <f aca="false">IF(D37="","",N(G37)-N(H37))</f>
        <v>298355700</v>
      </c>
      <c r="K37" s="34" t="str">
        <f aca="false">IF(D37="","",IFERROR(INDEX(I_COA!$C$6:$C$265,MATCH(D37,I_COA!$A$6:$A$265,0)),"AKUN BARU"))</f>
        <v>Neraca</v>
      </c>
      <c r="L37" s="34" t="str">
        <f aca="false">IF(K37="LabaRugi",INDEX(I_COA!$D$6:$D$265,MATCH(D37,I_COA!$A$6:$A$265,0)),"")</f>
        <v/>
      </c>
      <c r="M37" s="34" t="str">
        <f aca="false">IF(K37="Neraca",INDEX(I_COA!$E$6:$E$265,MATCH(D37,I_COA!$A$6:$A$265,0)),"")</f>
        <v>Trade Receivables - Third Parties</v>
      </c>
      <c r="N37" s="34" t="str">
        <f aca="false">IF(D37="","",IFERROR(INDEX(I_COA!$G$6:$G$265,MATCH(D37,I_COA!$A$6:$A$265,0)),"N"))</f>
        <v>N</v>
      </c>
      <c r="O37" s="11" t="n">
        <f aca="false">IF(N37="N",ABS(J37),"")</f>
        <v>298355700</v>
      </c>
      <c r="P37" s="18" t="str">
        <f aca="false">IF(N37="N",B37&amp;"|"&amp;ROUND(O37,0),"")</f>
        <v>KGR26/0199|298355700</v>
      </c>
      <c r="Q37" s="18" t="str">
        <f aca="false">IF(N37&lt;&gt;"Y","",IFERROR(INDEX($D$6:$D$4005,MATCH(B37&amp;"|"&amp;ROUND(_xlfn.MAXIFS($O$6:$O$4005,$B$6:$B$4005,B37,$N$6:$N$4005,"N"),0),$P$6:$P$4005,0)),"(tanpa lawan)"))</f>
        <v/>
      </c>
      <c r="R37" s="44"/>
      <c r="S37" s="9" t="str">
        <f aca="false">IF(N37&lt;&gt;"Y","",IF(R37&lt;&gt;"",R37,IF(Q37="(tanpa lawan)","Transfer antar rekening",IFERROR(INDEX(I_COA!$F$6:$F$265,MATCH(Q37,I_COA!$A$6:$A$265,0)),"?"))))</f>
        <v/>
      </c>
    </row>
    <row r="38" customFormat="false" ht="15" hidden="false" customHeight="false" outlineLevel="0" collapsed="false">
      <c r="A38" s="37" t="n">
        <v>46235</v>
      </c>
      <c r="B38" s="44" t="s">
        <v>624</v>
      </c>
      <c r="C38" s="44" t="s">
        <v>617</v>
      </c>
      <c r="D38" s="44" t="n">
        <v>4101012</v>
      </c>
      <c r="E38" s="44" t="s">
        <v>619</v>
      </c>
      <c r="F38" s="44" t="s">
        <v>625</v>
      </c>
      <c r="G38" s="42"/>
      <c r="H38" s="42" t="n">
        <v>117285930</v>
      </c>
      <c r="I38" s="44" t="s">
        <v>612</v>
      </c>
      <c r="J38" s="11" t="n">
        <f aca="false">IF(D38="","",N(G38)-N(H38))</f>
        <v>-117285930</v>
      </c>
      <c r="K38" s="34" t="str">
        <f aca="false">IF(D38="","",IFERROR(INDEX(I_COA!$C$6:$C$265,MATCH(D38,I_COA!$A$6:$A$265,0)),"AKUN BARU"))</f>
        <v>LabaRugi</v>
      </c>
      <c r="L38" s="34" t="str">
        <f aca="false">IF(K38="LabaRugi",INDEX(I_COA!$D$6:$D$265,MATCH(D38,I_COA!$A$6:$A$265,0)),"")</f>
        <v>Revenue - Trading</v>
      </c>
      <c r="M38" s="34" t="str">
        <f aca="false">IF(K38="Neraca",INDEX(I_COA!$E$6:$E$265,MATCH(D38,I_COA!$A$6:$A$265,0)),"")</f>
        <v/>
      </c>
      <c r="N38" s="34" t="str">
        <f aca="false">IF(D38="","",IFERROR(INDEX(I_COA!$G$6:$G$265,MATCH(D38,I_COA!$A$6:$A$265,0)),"N"))</f>
        <v>N</v>
      </c>
      <c r="O38" s="11" t="n">
        <f aca="false">IF(N38="N",ABS(J38),"")</f>
        <v>117285930</v>
      </c>
      <c r="P38" s="18" t="str">
        <f aca="false">IF(N38="N",B38&amp;"|"&amp;ROUND(O38,0),"")</f>
        <v>KGR26/0199|117285930</v>
      </c>
      <c r="Q38" s="18" t="str">
        <f aca="false">IF(N38&lt;&gt;"Y","",IFERROR(INDEX($D$6:$D$4005,MATCH(B38&amp;"|"&amp;ROUND(_xlfn.MAXIFS($O$6:$O$4005,$B$6:$B$4005,B38,$N$6:$N$4005,"N"),0),$P$6:$P$4005,0)),"(tanpa lawan)"))</f>
        <v/>
      </c>
      <c r="R38" s="44"/>
      <c r="S38" s="9" t="str">
        <f aca="false">IF(N38&lt;&gt;"Y","",IF(R38&lt;&gt;"",R38,IF(Q38="(tanpa lawan)","Transfer antar rekening",IFERROR(INDEX(I_COA!$F$6:$F$265,MATCH(Q38,I_COA!$A$6:$A$265,0)),"?"))))</f>
        <v/>
      </c>
    </row>
    <row r="39" customFormat="false" ht="15" hidden="false" customHeight="false" outlineLevel="0" collapsed="false">
      <c r="A39" s="37" t="n">
        <v>46235</v>
      </c>
      <c r="B39" s="44" t="s">
        <v>624</v>
      </c>
      <c r="C39" s="44" t="s">
        <v>617</v>
      </c>
      <c r="D39" s="44" t="n">
        <v>5100011</v>
      </c>
      <c r="E39" s="44" t="s">
        <v>166</v>
      </c>
      <c r="F39" s="44" t="s">
        <v>625</v>
      </c>
      <c r="G39" s="42" t="n">
        <v>86529060.99</v>
      </c>
      <c r="H39" s="42"/>
      <c r="I39" s="44" t="s">
        <v>612</v>
      </c>
      <c r="J39" s="11" t="n">
        <f aca="false">IF(D39="","",N(G39)-N(H39))</f>
        <v>86529060.99</v>
      </c>
      <c r="K39" s="34" t="str">
        <f aca="false">IF(D39="","",IFERROR(INDEX(I_COA!$C$6:$C$265,MATCH(D39,I_COA!$A$6:$A$265,0)),"AKUN BARU"))</f>
        <v>LabaRugi</v>
      </c>
      <c r="L39" s="34" t="str">
        <f aca="false">IF(K39="LabaRugi",INDEX(I_COA!$D$6:$D$265,MATCH(D39,I_COA!$A$6:$A$265,0)),"")</f>
        <v>COGS - Trading</v>
      </c>
      <c r="M39" s="34" t="str">
        <f aca="false">IF(K39="Neraca",INDEX(I_COA!$E$6:$E$265,MATCH(D39,I_COA!$A$6:$A$265,0)),"")</f>
        <v/>
      </c>
      <c r="N39" s="34" t="str">
        <f aca="false">IF(D39="","",IFERROR(INDEX(I_COA!$G$6:$G$265,MATCH(D39,I_COA!$A$6:$A$265,0)),"N"))</f>
        <v>N</v>
      </c>
      <c r="O39" s="11" t="n">
        <f aca="false">IF(N39="N",ABS(J39),"")</f>
        <v>86529060.99</v>
      </c>
      <c r="P39" s="18" t="str">
        <f aca="false">IF(N39="N",B39&amp;"|"&amp;ROUND(O39,0),"")</f>
        <v>KGR26/0199|86529061</v>
      </c>
      <c r="Q39" s="18" t="str">
        <f aca="false">IF(N39&lt;&gt;"Y","",IFERROR(INDEX($D$6:$D$4005,MATCH(B39&amp;"|"&amp;ROUND(_xlfn.MAXIFS($O$6:$O$4005,$B$6:$B$4005,B39,$N$6:$N$4005,"N"),0),$P$6:$P$4005,0)),"(tanpa lawan)"))</f>
        <v/>
      </c>
      <c r="R39" s="44"/>
      <c r="S39" s="9" t="str">
        <f aca="false">IF(N39&lt;&gt;"Y","",IF(R39&lt;&gt;"",R39,IF(Q39="(tanpa lawan)","Transfer antar rekening",IFERROR(INDEX(I_COA!$F$6:$F$265,MATCH(Q39,I_COA!$A$6:$A$265,0)),"?"))))</f>
        <v/>
      </c>
    </row>
    <row r="40" customFormat="false" ht="15" hidden="false" customHeight="false" outlineLevel="0" collapsed="false">
      <c r="A40" s="37" t="n">
        <v>46235</v>
      </c>
      <c r="B40" s="44" t="s">
        <v>624</v>
      </c>
      <c r="C40" s="44" t="s">
        <v>617</v>
      </c>
      <c r="D40" s="44" t="n">
        <v>1104002</v>
      </c>
      <c r="E40" s="44" t="s">
        <v>601</v>
      </c>
      <c r="F40" s="44" t="s">
        <v>625</v>
      </c>
      <c r="G40" s="42"/>
      <c r="H40" s="42" t="n">
        <v>245868590.42</v>
      </c>
      <c r="I40" s="44" t="s">
        <v>612</v>
      </c>
      <c r="J40" s="11" t="n">
        <f aca="false">IF(D40="","",N(G40)-N(H40))</f>
        <v>-245868590.42</v>
      </c>
      <c r="K40" s="34" t="str">
        <f aca="false">IF(D40="","",IFERROR(INDEX(I_COA!$C$6:$C$265,MATCH(D40,I_COA!$A$6:$A$265,0)),"AKUN BARU"))</f>
        <v>Neraca</v>
      </c>
      <c r="L40" s="34" t="str">
        <f aca="false">IF(K40="LabaRugi",INDEX(I_COA!$D$6:$D$265,MATCH(D40,I_COA!$A$6:$A$265,0)),"")</f>
        <v/>
      </c>
      <c r="M40" s="34" t="str">
        <f aca="false">IF(K40="Neraca",INDEX(I_COA!$E$6:$E$265,MATCH(D40,I_COA!$A$6:$A$265,0)),"")</f>
        <v>Inventory - Product</v>
      </c>
      <c r="N40" s="34" t="str">
        <f aca="false">IF(D40="","",IFERROR(INDEX(I_COA!$G$6:$G$265,MATCH(D40,I_COA!$A$6:$A$265,0)),"N"))</f>
        <v>N</v>
      </c>
      <c r="O40" s="11" t="n">
        <f aca="false">IF(N40="N",ABS(J40),"")</f>
        <v>245868590.42</v>
      </c>
      <c r="P40" s="18" t="str">
        <f aca="false">IF(N40="N",B40&amp;"|"&amp;ROUND(O40,0),"")</f>
        <v>KGR26/0199|245868590</v>
      </c>
      <c r="Q40" s="18" t="str">
        <f aca="false">IF(N40&lt;&gt;"Y","",IFERROR(INDEX($D$6:$D$4005,MATCH(B40&amp;"|"&amp;ROUND(_xlfn.MAXIFS($O$6:$O$4005,$B$6:$B$4005,B40,$N$6:$N$4005,"N"),0),$P$6:$P$4005,0)),"(tanpa lawan)"))</f>
        <v/>
      </c>
      <c r="R40" s="44"/>
      <c r="S40" s="9" t="str">
        <f aca="false">IF(N40&lt;&gt;"Y","",IF(R40&lt;&gt;"",R40,IF(Q40="(tanpa lawan)","Transfer antar rekening",IFERROR(INDEX(I_COA!$F$6:$F$265,MATCH(Q40,I_COA!$A$6:$A$265,0)),"?"))))</f>
        <v/>
      </c>
    </row>
    <row r="41" customFormat="false" ht="15" hidden="false" customHeight="false" outlineLevel="0" collapsed="false">
      <c r="A41" s="37" t="n">
        <v>46235</v>
      </c>
      <c r="B41" s="44" t="s">
        <v>624</v>
      </c>
      <c r="C41" s="44" t="s">
        <v>617</v>
      </c>
      <c r="D41" s="44" t="n">
        <v>4101006</v>
      </c>
      <c r="E41" s="44" t="s">
        <v>626</v>
      </c>
      <c r="F41" s="44" t="s">
        <v>625</v>
      </c>
      <c r="G41" s="42"/>
      <c r="H41" s="42" t="n">
        <v>181069770</v>
      </c>
      <c r="I41" s="44" t="s">
        <v>612</v>
      </c>
      <c r="J41" s="11" t="n">
        <f aca="false">IF(D41="","",N(G41)-N(H41))</f>
        <v>-181069770</v>
      </c>
      <c r="K41" s="34" t="str">
        <f aca="false">IF(D41="","",IFERROR(INDEX(I_COA!$C$6:$C$265,MATCH(D41,I_COA!$A$6:$A$265,0)),"AKUN BARU"))</f>
        <v>LabaRugi</v>
      </c>
      <c r="L41" s="34" t="str">
        <f aca="false">IF(K41="LabaRugi",INDEX(I_COA!$D$6:$D$265,MATCH(D41,I_COA!$A$6:$A$265,0)),"")</f>
        <v>Revenue - LB Main Product</v>
      </c>
      <c r="M41" s="34" t="str">
        <f aca="false">IF(K41="Neraca",INDEX(I_COA!$E$6:$E$265,MATCH(D41,I_COA!$A$6:$A$265,0)),"")</f>
        <v/>
      </c>
      <c r="N41" s="34" t="str">
        <f aca="false">IF(D41="","",IFERROR(INDEX(I_COA!$G$6:$G$265,MATCH(D41,I_COA!$A$6:$A$265,0)),"N"))</f>
        <v>N</v>
      </c>
      <c r="O41" s="11" t="n">
        <f aca="false">IF(N41="N",ABS(J41),"")</f>
        <v>181069770</v>
      </c>
      <c r="P41" s="18" t="str">
        <f aca="false">IF(N41="N",B41&amp;"|"&amp;ROUND(O41,0),"")</f>
        <v>KGR26/0199|181069770</v>
      </c>
      <c r="Q41" s="18" t="str">
        <f aca="false">IF(N41&lt;&gt;"Y","",IFERROR(INDEX($D$6:$D$4005,MATCH(B41&amp;"|"&amp;ROUND(_xlfn.MAXIFS($O$6:$O$4005,$B$6:$B$4005,B41,$N$6:$N$4005,"N"),0),$P$6:$P$4005,0)),"(tanpa lawan)"))</f>
        <v/>
      </c>
      <c r="R41" s="44"/>
      <c r="S41" s="9" t="str">
        <f aca="false">IF(N41&lt;&gt;"Y","",IF(R41&lt;&gt;"",R41,IF(Q41="(tanpa lawan)","Transfer antar rekening",IFERROR(INDEX(I_COA!$F$6:$F$265,MATCH(Q41,I_COA!$A$6:$A$265,0)),"?"))))</f>
        <v/>
      </c>
    </row>
    <row r="42" customFormat="false" ht="15" hidden="false" customHeight="false" outlineLevel="0" collapsed="false">
      <c r="A42" s="37" t="n">
        <v>46235</v>
      </c>
      <c r="B42" s="44" t="s">
        <v>624</v>
      </c>
      <c r="C42" s="44" t="s">
        <v>617</v>
      </c>
      <c r="D42" s="44" t="n">
        <v>5100004</v>
      </c>
      <c r="E42" s="44" t="s">
        <v>627</v>
      </c>
      <c r="F42" s="44" t="s">
        <v>625</v>
      </c>
      <c r="G42" s="42" t="n">
        <v>159339529.42</v>
      </c>
      <c r="H42" s="42"/>
      <c r="I42" s="44" t="s">
        <v>612</v>
      </c>
      <c r="J42" s="11" t="n">
        <f aca="false">IF(D42="","",N(G42)-N(H42))</f>
        <v>159339529.42</v>
      </c>
      <c r="K42" s="34" t="str">
        <f aca="false">IF(D42="","",IFERROR(INDEX(I_COA!$C$6:$C$265,MATCH(D42,I_COA!$A$6:$A$265,0)),"AKUN BARU"))</f>
        <v>LabaRugi</v>
      </c>
      <c r="L42" s="34" t="str">
        <f aca="false">IF(K42="LabaRugi",INDEX(I_COA!$D$6:$D$265,MATCH(D42,I_COA!$A$6:$A$265,0)),"")</f>
        <v>COGS - Live Bird</v>
      </c>
      <c r="M42" s="34" t="str">
        <f aca="false">IF(K42="Neraca",INDEX(I_COA!$E$6:$E$265,MATCH(D42,I_COA!$A$6:$A$265,0)),"")</f>
        <v/>
      </c>
      <c r="N42" s="34" t="str">
        <f aca="false">IF(D42="","",IFERROR(INDEX(I_COA!$G$6:$G$265,MATCH(D42,I_COA!$A$6:$A$265,0)),"N"))</f>
        <v>N</v>
      </c>
      <c r="O42" s="11" t="n">
        <f aca="false">IF(N42="N",ABS(J42),"")</f>
        <v>159339529.42</v>
      </c>
      <c r="P42" s="18" t="str">
        <f aca="false">IF(N42="N",B42&amp;"|"&amp;ROUND(O42,0),"")</f>
        <v>KGR26/0199|159339529</v>
      </c>
      <c r="Q42" s="18" t="str">
        <f aca="false">IF(N42&lt;&gt;"Y","",IFERROR(INDEX($D$6:$D$4005,MATCH(B42&amp;"|"&amp;ROUND(_xlfn.MAXIFS($O$6:$O$4005,$B$6:$B$4005,B42,$N$6:$N$4005,"N"),0),$P$6:$P$4005,0)),"(tanpa lawan)"))</f>
        <v/>
      </c>
      <c r="R42" s="44"/>
      <c r="S42" s="9" t="str">
        <f aca="false">IF(N42&lt;&gt;"Y","",IF(R42&lt;&gt;"",R42,IF(Q42="(tanpa lawan)","Transfer antar rekening",IFERROR(INDEX(I_COA!$F$6:$F$265,MATCH(Q42,I_COA!$A$6:$A$265,0)),"?"))))</f>
        <v/>
      </c>
    </row>
    <row r="43" customFormat="false" ht="15" hidden="false" customHeight="false" outlineLevel="0" collapsed="false">
      <c r="A43" s="37" t="n">
        <v>46235</v>
      </c>
      <c r="B43" s="44" t="s">
        <v>628</v>
      </c>
      <c r="C43" s="44" t="s">
        <v>617</v>
      </c>
      <c r="D43" s="44" t="n">
        <v>1103101</v>
      </c>
      <c r="E43" s="44" t="s">
        <v>589</v>
      </c>
      <c r="F43" s="44" t="s">
        <v>629</v>
      </c>
      <c r="G43" s="42" t="n">
        <v>163304600</v>
      </c>
      <c r="H43" s="42"/>
      <c r="I43" s="44" t="s">
        <v>603</v>
      </c>
      <c r="J43" s="11" t="n">
        <f aca="false">IF(D43="","",N(G43)-N(H43))</f>
        <v>163304600</v>
      </c>
      <c r="K43" s="34" t="str">
        <f aca="false">IF(D43="","",IFERROR(INDEX(I_COA!$C$6:$C$265,MATCH(D43,I_COA!$A$6:$A$265,0)),"AKUN BARU"))</f>
        <v>Neraca</v>
      </c>
      <c r="L43" s="34" t="str">
        <f aca="false">IF(K43="LabaRugi",INDEX(I_COA!$D$6:$D$265,MATCH(D43,I_COA!$A$6:$A$265,0)),"")</f>
        <v/>
      </c>
      <c r="M43" s="34" t="str">
        <f aca="false">IF(K43="Neraca",INDEX(I_COA!$E$6:$E$265,MATCH(D43,I_COA!$A$6:$A$265,0)),"")</f>
        <v>Trade Receivables - Third Parties</v>
      </c>
      <c r="N43" s="34" t="str">
        <f aca="false">IF(D43="","",IFERROR(INDEX(I_COA!$G$6:$G$265,MATCH(D43,I_COA!$A$6:$A$265,0)),"N"))</f>
        <v>N</v>
      </c>
      <c r="O43" s="11" t="n">
        <f aca="false">IF(N43="N",ABS(J43),"")</f>
        <v>163304600</v>
      </c>
      <c r="P43" s="18" t="str">
        <f aca="false">IF(N43="N",B43&amp;"|"&amp;ROUND(O43,0),"")</f>
        <v>KGR26/0200|163304600</v>
      </c>
      <c r="Q43" s="18" t="str">
        <f aca="false">IF(N43&lt;&gt;"Y","",IFERROR(INDEX($D$6:$D$4005,MATCH(B43&amp;"|"&amp;ROUND(_xlfn.MAXIFS($O$6:$O$4005,$B$6:$B$4005,B43,$N$6:$N$4005,"N"),0),$P$6:$P$4005,0)),"(tanpa lawan)"))</f>
        <v/>
      </c>
      <c r="R43" s="44"/>
      <c r="S43" s="9" t="str">
        <f aca="false">IF(N43&lt;&gt;"Y","",IF(R43&lt;&gt;"",R43,IF(Q43="(tanpa lawan)","Transfer antar rekening",IFERROR(INDEX(I_COA!$F$6:$F$265,MATCH(Q43,I_COA!$A$6:$A$265,0)),"?"))))</f>
        <v/>
      </c>
    </row>
    <row r="44" customFormat="false" ht="15" hidden="false" customHeight="false" outlineLevel="0" collapsed="false">
      <c r="A44" s="37" t="n">
        <v>46235</v>
      </c>
      <c r="B44" s="44" t="s">
        <v>628</v>
      </c>
      <c r="C44" s="44" t="s">
        <v>617</v>
      </c>
      <c r="D44" s="44" t="n">
        <v>4101012</v>
      </c>
      <c r="E44" s="44" t="s">
        <v>619</v>
      </c>
      <c r="F44" s="44" t="s">
        <v>629</v>
      </c>
      <c r="G44" s="42"/>
      <c r="H44" s="42" t="n">
        <v>163304600</v>
      </c>
      <c r="I44" s="44" t="s">
        <v>603</v>
      </c>
      <c r="J44" s="11" t="n">
        <f aca="false">IF(D44="","",N(G44)-N(H44))</f>
        <v>-163304600</v>
      </c>
      <c r="K44" s="34" t="str">
        <f aca="false">IF(D44="","",IFERROR(INDEX(I_COA!$C$6:$C$265,MATCH(D44,I_COA!$A$6:$A$265,0)),"AKUN BARU"))</f>
        <v>LabaRugi</v>
      </c>
      <c r="L44" s="34" t="str">
        <f aca="false">IF(K44="LabaRugi",INDEX(I_COA!$D$6:$D$265,MATCH(D44,I_COA!$A$6:$A$265,0)),"")</f>
        <v>Revenue - Trading</v>
      </c>
      <c r="M44" s="34" t="str">
        <f aca="false">IF(K44="Neraca",INDEX(I_COA!$E$6:$E$265,MATCH(D44,I_COA!$A$6:$A$265,0)),"")</f>
        <v/>
      </c>
      <c r="N44" s="34" t="str">
        <f aca="false">IF(D44="","",IFERROR(INDEX(I_COA!$G$6:$G$265,MATCH(D44,I_COA!$A$6:$A$265,0)),"N"))</f>
        <v>N</v>
      </c>
      <c r="O44" s="11" t="n">
        <f aca="false">IF(N44="N",ABS(J44),"")</f>
        <v>163304600</v>
      </c>
      <c r="P44" s="18" t="str">
        <f aca="false">IF(N44="N",B44&amp;"|"&amp;ROUND(O44,0),"")</f>
        <v>KGR26/0200|163304600</v>
      </c>
      <c r="Q44" s="18" t="str">
        <f aca="false">IF(N44&lt;&gt;"Y","",IFERROR(INDEX($D$6:$D$4005,MATCH(B44&amp;"|"&amp;ROUND(_xlfn.MAXIFS($O$6:$O$4005,$B$6:$B$4005,B44,$N$6:$N$4005,"N"),0),$P$6:$P$4005,0)),"(tanpa lawan)"))</f>
        <v/>
      </c>
      <c r="R44" s="44"/>
      <c r="S44" s="9" t="str">
        <f aca="false">IF(N44&lt;&gt;"Y","",IF(R44&lt;&gt;"",R44,IF(Q44="(tanpa lawan)","Transfer antar rekening",IFERROR(INDEX(I_COA!$F$6:$F$265,MATCH(Q44,I_COA!$A$6:$A$265,0)),"?"))))</f>
        <v/>
      </c>
    </row>
    <row r="45" customFormat="false" ht="15" hidden="false" customHeight="false" outlineLevel="0" collapsed="false">
      <c r="A45" s="37" t="n">
        <v>46235</v>
      </c>
      <c r="B45" s="44" t="s">
        <v>628</v>
      </c>
      <c r="C45" s="44" t="s">
        <v>617</v>
      </c>
      <c r="D45" s="44" t="n">
        <v>5100011</v>
      </c>
      <c r="E45" s="44" t="s">
        <v>166</v>
      </c>
      <c r="F45" s="44" t="s">
        <v>629</v>
      </c>
      <c r="G45" s="42" t="n">
        <v>118865458.3</v>
      </c>
      <c r="H45" s="42"/>
      <c r="I45" s="44" t="s">
        <v>603</v>
      </c>
      <c r="J45" s="11" t="n">
        <f aca="false">IF(D45="","",N(G45)-N(H45))</f>
        <v>118865458.3</v>
      </c>
      <c r="K45" s="34" t="str">
        <f aca="false">IF(D45="","",IFERROR(INDEX(I_COA!$C$6:$C$265,MATCH(D45,I_COA!$A$6:$A$265,0)),"AKUN BARU"))</f>
        <v>LabaRugi</v>
      </c>
      <c r="L45" s="34" t="str">
        <f aca="false">IF(K45="LabaRugi",INDEX(I_COA!$D$6:$D$265,MATCH(D45,I_COA!$A$6:$A$265,0)),"")</f>
        <v>COGS - Trading</v>
      </c>
      <c r="M45" s="34" t="str">
        <f aca="false">IF(K45="Neraca",INDEX(I_COA!$E$6:$E$265,MATCH(D45,I_COA!$A$6:$A$265,0)),"")</f>
        <v/>
      </c>
      <c r="N45" s="34" t="str">
        <f aca="false">IF(D45="","",IFERROR(INDEX(I_COA!$G$6:$G$265,MATCH(D45,I_COA!$A$6:$A$265,0)),"N"))</f>
        <v>N</v>
      </c>
      <c r="O45" s="11" t="n">
        <f aca="false">IF(N45="N",ABS(J45),"")</f>
        <v>118865458.3</v>
      </c>
      <c r="P45" s="18" t="str">
        <f aca="false">IF(N45="N",B45&amp;"|"&amp;ROUND(O45,0),"")</f>
        <v>KGR26/0200|118865458</v>
      </c>
      <c r="Q45" s="18" t="str">
        <f aca="false">IF(N45&lt;&gt;"Y","",IFERROR(INDEX($D$6:$D$4005,MATCH(B45&amp;"|"&amp;ROUND(_xlfn.MAXIFS($O$6:$O$4005,$B$6:$B$4005,B45,$N$6:$N$4005,"N"),0),$P$6:$P$4005,0)),"(tanpa lawan)"))</f>
        <v/>
      </c>
      <c r="R45" s="44"/>
      <c r="S45" s="9" t="str">
        <f aca="false">IF(N45&lt;&gt;"Y","",IF(R45&lt;&gt;"",R45,IF(Q45="(tanpa lawan)","Transfer antar rekening",IFERROR(INDEX(I_COA!$F$6:$F$265,MATCH(Q45,I_COA!$A$6:$A$265,0)),"?"))))</f>
        <v/>
      </c>
    </row>
    <row r="46" customFormat="false" ht="15" hidden="false" customHeight="false" outlineLevel="0" collapsed="false">
      <c r="A46" s="37" t="n">
        <v>46235</v>
      </c>
      <c r="B46" s="44" t="s">
        <v>628</v>
      </c>
      <c r="C46" s="44" t="s">
        <v>617</v>
      </c>
      <c r="D46" s="44" t="n">
        <v>1104002</v>
      </c>
      <c r="E46" s="44" t="s">
        <v>601</v>
      </c>
      <c r="F46" s="44" t="s">
        <v>629</v>
      </c>
      <c r="G46" s="42"/>
      <c r="H46" s="42" t="n">
        <v>118865458.3</v>
      </c>
      <c r="I46" s="44" t="s">
        <v>603</v>
      </c>
      <c r="J46" s="11" t="n">
        <f aca="false">IF(D46="","",N(G46)-N(H46))</f>
        <v>-118865458.3</v>
      </c>
      <c r="K46" s="34" t="str">
        <f aca="false">IF(D46="","",IFERROR(INDEX(I_COA!$C$6:$C$265,MATCH(D46,I_COA!$A$6:$A$265,0)),"AKUN BARU"))</f>
        <v>Neraca</v>
      </c>
      <c r="L46" s="34" t="str">
        <f aca="false">IF(K46="LabaRugi",INDEX(I_COA!$D$6:$D$265,MATCH(D46,I_COA!$A$6:$A$265,0)),"")</f>
        <v/>
      </c>
      <c r="M46" s="34" t="str">
        <f aca="false">IF(K46="Neraca",INDEX(I_COA!$E$6:$E$265,MATCH(D46,I_COA!$A$6:$A$265,0)),"")</f>
        <v>Inventory - Product</v>
      </c>
      <c r="N46" s="34" t="str">
        <f aca="false">IF(D46="","",IFERROR(INDEX(I_COA!$G$6:$G$265,MATCH(D46,I_COA!$A$6:$A$265,0)),"N"))</f>
        <v>N</v>
      </c>
      <c r="O46" s="11" t="n">
        <f aca="false">IF(N46="N",ABS(J46),"")</f>
        <v>118865458.3</v>
      </c>
      <c r="P46" s="18" t="str">
        <f aca="false">IF(N46="N",B46&amp;"|"&amp;ROUND(O46,0),"")</f>
        <v>KGR26/0200|118865458</v>
      </c>
      <c r="Q46" s="18" t="str">
        <f aca="false">IF(N46&lt;&gt;"Y","",IFERROR(INDEX($D$6:$D$4005,MATCH(B46&amp;"|"&amp;ROUND(_xlfn.MAXIFS($O$6:$O$4005,$B$6:$B$4005,B46,$N$6:$N$4005,"N"),0),$P$6:$P$4005,0)),"(tanpa lawan)"))</f>
        <v/>
      </c>
      <c r="R46" s="44"/>
      <c r="S46" s="9" t="str">
        <f aca="false">IF(N46&lt;&gt;"Y","",IF(R46&lt;&gt;"",R46,IF(Q46="(tanpa lawan)","Transfer antar rekening",IFERROR(INDEX(I_COA!$F$6:$F$265,MATCH(Q46,I_COA!$A$6:$A$265,0)),"?"))))</f>
        <v/>
      </c>
    </row>
    <row r="47" customFormat="false" ht="15" hidden="false" customHeight="false" outlineLevel="0" collapsed="false">
      <c r="A47" s="37" t="n">
        <v>46235</v>
      </c>
      <c r="B47" s="44" t="s">
        <v>630</v>
      </c>
      <c r="C47" s="44" t="s">
        <v>580</v>
      </c>
      <c r="D47" s="44" t="n">
        <v>5100013</v>
      </c>
      <c r="E47" s="44" t="s">
        <v>631</v>
      </c>
      <c r="F47" s="44" t="s">
        <v>632</v>
      </c>
      <c r="G47" s="42" t="n">
        <v>102565</v>
      </c>
      <c r="H47" s="42"/>
      <c r="I47" s="44"/>
      <c r="J47" s="11" t="n">
        <f aca="false">IF(D47="","",N(G47)-N(H47))</f>
        <v>102565</v>
      </c>
      <c r="K47" s="34" t="str">
        <f aca="false">IF(D47="","",IFERROR(INDEX(I_COA!$C$6:$C$265,MATCH(D47,I_COA!$A$6:$A$265,0)),"AKUN BARU"))</f>
        <v>LabaRugi</v>
      </c>
      <c r="L47" s="34" t="str">
        <f aca="false">IF(K47="LabaRugi",INDEX(I_COA!$D$6:$D$265,MATCH(D47,I_COA!$A$6:$A$265,0)),"")</f>
        <v>Storage Expenses</v>
      </c>
      <c r="M47" s="34" t="str">
        <f aca="false">IF(K47="Neraca",INDEX(I_COA!$E$6:$E$265,MATCH(D47,I_COA!$A$6:$A$265,0)),"")</f>
        <v/>
      </c>
      <c r="N47" s="34" t="str">
        <f aca="false">IF(D47="","",IFERROR(INDEX(I_COA!$G$6:$G$265,MATCH(D47,I_COA!$A$6:$A$265,0)),"N"))</f>
        <v>N</v>
      </c>
      <c r="O47" s="11" t="n">
        <f aca="false">IF(N47="N",ABS(J47),"")</f>
        <v>102565</v>
      </c>
      <c r="P47" s="18" t="str">
        <f aca="false">IF(N47="N",B47&amp;"|"&amp;ROUND(O47,0),"")</f>
        <v>MJ26080001|102565</v>
      </c>
      <c r="Q47" s="18" t="str">
        <f aca="false">IF(N47&lt;&gt;"Y","",IFERROR(INDEX($D$6:$D$4005,MATCH(B47&amp;"|"&amp;ROUND(_xlfn.MAXIFS($O$6:$O$4005,$B$6:$B$4005,B47,$N$6:$N$4005,"N"),0),$P$6:$P$4005,0)),"(tanpa lawan)"))</f>
        <v/>
      </c>
      <c r="R47" s="44"/>
      <c r="S47" s="9" t="str">
        <f aca="false">IF(N47&lt;&gt;"Y","",IF(R47&lt;&gt;"",R47,IF(Q47="(tanpa lawan)","Transfer antar rekening",IFERROR(INDEX(I_COA!$F$6:$F$265,MATCH(Q47,I_COA!$A$6:$A$265,0)),"?"))))</f>
        <v/>
      </c>
    </row>
    <row r="48" customFormat="false" ht="15" hidden="false" customHeight="false" outlineLevel="0" collapsed="false">
      <c r="A48" s="37" t="n">
        <v>46235</v>
      </c>
      <c r="B48" s="44" t="s">
        <v>630</v>
      </c>
      <c r="C48" s="44" t="s">
        <v>580</v>
      </c>
      <c r="D48" s="44" t="n">
        <v>2102002</v>
      </c>
      <c r="E48" s="44" t="s">
        <v>633</v>
      </c>
      <c r="F48" s="44" t="s">
        <v>634</v>
      </c>
      <c r="G48" s="42"/>
      <c r="H48" s="42" t="n">
        <v>2565</v>
      </c>
      <c r="I48" s="44"/>
      <c r="J48" s="11" t="n">
        <f aca="false">IF(D48="","",N(G48)-N(H48))</f>
        <v>-2565</v>
      </c>
      <c r="K48" s="34" t="str">
        <f aca="false">IF(D48="","",IFERROR(INDEX(I_COA!$C$6:$C$265,MATCH(D48,I_COA!$A$6:$A$265,0)),"AKUN BARU"))</f>
        <v>Neraca</v>
      </c>
      <c r="L48" s="34" t="str">
        <f aca="false">IF(K48="LabaRugi",INDEX(I_COA!$D$6:$D$265,MATCH(D48,I_COA!$A$6:$A$265,0)),"")</f>
        <v/>
      </c>
      <c r="M48" s="34" t="str">
        <f aca="false">IF(K48="Neraca",INDEX(I_COA!$E$6:$E$265,MATCH(D48,I_COA!$A$6:$A$265,0)),"")</f>
        <v>Taxes Payable</v>
      </c>
      <c r="N48" s="34" t="str">
        <f aca="false">IF(D48="","",IFERROR(INDEX(I_COA!$G$6:$G$265,MATCH(D48,I_COA!$A$6:$A$265,0)),"N"))</f>
        <v>N</v>
      </c>
      <c r="O48" s="11" t="n">
        <f aca="false">IF(N48="N",ABS(J48),"")</f>
        <v>2565</v>
      </c>
      <c r="P48" s="18" t="str">
        <f aca="false">IF(N48="N",B48&amp;"|"&amp;ROUND(O48,0),"")</f>
        <v>MJ26080001|2565</v>
      </c>
      <c r="Q48" s="18" t="str">
        <f aca="false">IF(N48&lt;&gt;"Y","",IFERROR(INDEX($D$6:$D$4005,MATCH(B48&amp;"|"&amp;ROUND(_xlfn.MAXIFS($O$6:$O$4005,$B$6:$B$4005,B48,$N$6:$N$4005,"N"),0),$P$6:$P$4005,0)),"(tanpa lawan)"))</f>
        <v/>
      </c>
      <c r="R48" s="44"/>
      <c r="S48" s="9" t="str">
        <f aca="false">IF(N48&lt;&gt;"Y","",IF(R48&lt;&gt;"",R48,IF(Q48="(tanpa lawan)","Transfer antar rekening",IFERROR(INDEX(I_COA!$F$6:$F$265,MATCH(Q48,I_COA!$A$6:$A$265,0)),"?"))))</f>
        <v/>
      </c>
    </row>
    <row r="49" customFormat="false" ht="15" hidden="false" customHeight="false" outlineLevel="0" collapsed="false">
      <c r="A49" s="37" t="n">
        <v>46235</v>
      </c>
      <c r="B49" s="44" t="s">
        <v>630</v>
      </c>
      <c r="C49" s="44" t="s">
        <v>580</v>
      </c>
      <c r="D49" s="44" t="n">
        <v>6100005</v>
      </c>
      <c r="E49" s="44" t="s">
        <v>635</v>
      </c>
      <c r="F49" s="44" t="s">
        <v>636</v>
      </c>
      <c r="G49" s="42" t="n">
        <v>962000</v>
      </c>
      <c r="H49" s="42"/>
      <c r="I49" s="44"/>
      <c r="J49" s="11" t="n">
        <f aca="false">IF(D49="","",N(G49)-N(H49))</f>
        <v>962000</v>
      </c>
      <c r="K49" s="34" t="str">
        <f aca="false">IF(D49="","",IFERROR(INDEX(I_COA!$C$6:$C$265,MATCH(D49,I_COA!$A$6:$A$265,0)),"AKUN BARU"))</f>
        <v>LabaRugi</v>
      </c>
      <c r="L49" s="34" t="str">
        <f aca="false">IF(K49="LabaRugi",INDEX(I_COA!$D$6:$D$265,MATCH(D49,I_COA!$A$6:$A$265,0)),"")</f>
        <v>Commission Expenses</v>
      </c>
      <c r="M49" s="34" t="str">
        <f aca="false">IF(K49="Neraca",INDEX(I_COA!$E$6:$E$265,MATCH(D49,I_COA!$A$6:$A$265,0)),"")</f>
        <v/>
      </c>
      <c r="N49" s="34" t="str">
        <f aca="false">IF(D49="","",IFERROR(INDEX(I_COA!$G$6:$G$265,MATCH(D49,I_COA!$A$6:$A$265,0)),"N"))</f>
        <v>N</v>
      </c>
      <c r="O49" s="11" t="n">
        <f aca="false">IF(N49="N",ABS(J49),"")</f>
        <v>962000</v>
      </c>
      <c r="P49" s="18" t="str">
        <f aca="false">IF(N49="N",B49&amp;"|"&amp;ROUND(O49,0),"")</f>
        <v>MJ26080001|962000</v>
      </c>
      <c r="Q49" s="18" t="str">
        <f aca="false">IF(N49&lt;&gt;"Y","",IFERROR(INDEX($D$6:$D$4005,MATCH(B49&amp;"|"&amp;ROUND(_xlfn.MAXIFS($O$6:$O$4005,$B$6:$B$4005,B49,$N$6:$N$4005,"N"),0),$P$6:$P$4005,0)),"(tanpa lawan)"))</f>
        <v/>
      </c>
      <c r="R49" s="44"/>
      <c r="S49" s="9" t="str">
        <f aca="false">IF(N49&lt;&gt;"Y","",IF(R49&lt;&gt;"",R49,IF(Q49="(tanpa lawan)","Transfer antar rekening",IFERROR(INDEX(I_COA!$F$6:$F$265,MATCH(Q49,I_COA!$A$6:$A$265,0)),"?"))))</f>
        <v/>
      </c>
    </row>
    <row r="50" customFormat="false" ht="15" hidden="false" customHeight="false" outlineLevel="0" collapsed="false">
      <c r="A50" s="37" t="n">
        <v>46235</v>
      </c>
      <c r="B50" s="44" t="s">
        <v>630</v>
      </c>
      <c r="C50" s="44" t="s">
        <v>580</v>
      </c>
      <c r="D50" s="44" t="n">
        <v>2102002</v>
      </c>
      <c r="E50" s="44" t="s">
        <v>633</v>
      </c>
      <c r="F50" s="44" t="s">
        <v>637</v>
      </c>
      <c r="G50" s="42"/>
      <c r="H50" s="42" t="n">
        <v>24050</v>
      </c>
      <c r="I50" s="44"/>
      <c r="J50" s="11" t="n">
        <f aca="false">IF(D50="","",N(G50)-N(H50))</f>
        <v>-24050</v>
      </c>
      <c r="K50" s="34" t="str">
        <f aca="false">IF(D50="","",IFERROR(INDEX(I_COA!$C$6:$C$265,MATCH(D50,I_COA!$A$6:$A$265,0)),"AKUN BARU"))</f>
        <v>Neraca</v>
      </c>
      <c r="L50" s="34" t="str">
        <f aca="false">IF(K50="LabaRugi",INDEX(I_COA!$D$6:$D$265,MATCH(D50,I_COA!$A$6:$A$265,0)),"")</f>
        <v/>
      </c>
      <c r="M50" s="34" t="str">
        <f aca="false">IF(K50="Neraca",INDEX(I_COA!$E$6:$E$265,MATCH(D50,I_COA!$A$6:$A$265,0)),"")</f>
        <v>Taxes Payable</v>
      </c>
      <c r="N50" s="34" t="str">
        <f aca="false">IF(D50="","",IFERROR(INDEX(I_COA!$G$6:$G$265,MATCH(D50,I_COA!$A$6:$A$265,0)),"N"))</f>
        <v>N</v>
      </c>
      <c r="O50" s="11" t="n">
        <f aca="false">IF(N50="N",ABS(J50),"")</f>
        <v>24050</v>
      </c>
      <c r="P50" s="18" t="str">
        <f aca="false">IF(N50="N",B50&amp;"|"&amp;ROUND(O50,0),"")</f>
        <v>MJ26080001|24050</v>
      </c>
      <c r="Q50" s="18" t="str">
        <f aca="false">IF(N50&lt;&gt;"Y","",IFERROR(INDEX($D$6:$D$4005,MATCH(B50&amp;"|"&amp;ROUND(_xlfn.MAXIFS($O$6:$O$4005,$B$6:$B$4005,B50,$N$6:$N$4005,"N"),0),$P$6:$P$4005,0)),"(tanpa lawan)"))</f>
        <v/>
      </c>
      <c r="R50" s="44"/>
      <c r="S50" s="9" t="str">
        <f aca="false">IF(N50&lt;&gt;"Y","",IF(R50&lt;&gt;"",R50,IF(Q50="(tanpa lawan)","Transfer antar rekening",IFERROR(INDEX(I_COA!$F$6:$F$265,MATCH(Q50,I_COA!$A$6:$A$265,0)),"?"))))</f>
        <v/>
      </c>
    </row>
    <row r="51" customFormat="false" ht="15" hidden="false" customHeight="false" outlineLevel="0" collapsed="false">
      <c r="A51" s="37" t="n">
        <v>46235</v>
      </c>
      <c r="B51" s="44" t="s">
        <v>630</v>
      </c>
      <c r="C51" s="44" t="s">
        <v>580</v>
      </c>
      <c r="D51" s="44" t="n">
        <v>5100013</v>
      </c>
      <c r="E51" s="44" t="s">
        <v>631</v>
      </c>
      <c r="F51" s="44" t="s">
        <v>638</v>
      </c>
      <c r="G51" s="42" t="n">
        <v>615400</v>
      </c>
      <c r="H51" s="42"/>
      <c r="I51" s="44"/>
      <c r="J51" s="11" t="n">
        <f aca="false">IF(D51="","",N(G51)-N(H51))</f>
        <v>615400</v>
      </c>
      <c r="K51" s="34" t="str">
        <f aca="false">IF(D51="","",IFERROR(INDEX(I_COA!$C$6:$C$265,MATCH(D51,I_COA!$A$6:$A$265,0)),"AKUN BARU"))</f>
        <v>LabaRugi</v>
      </c>
      <c r="L51" s="34" t="str">
        <f aca="false">IF(K51="LabaRugi",INDEX(I_COA!$D$6:$D$265,MATCH(D51,I_COA!$A$6:$A$265,0)),"")</f>
        <v>Storage Expenses</v>
      </c>
      <c r="M51" s="34" t="str">
        <f aca="false">IF(K51="Neraca",INDEX(I_COA!$E$6:$E$265,MATCH(D51,I_COA!$A$6:$A$265,0)),"")</f>
        <v/>
      </c>
      <c r="N51" s="34" t="str">
        <f aca="false">IF(D51="","",IFERROR(INDEX(I_COA!$G$6:$G$265,MATCH(D51,I_COA!$A$6:$A$265,0)),"N"))</f>
        <v>N</v>
      </c>
      <c r="O51" s="11" t="n">
        <f aca="false">IF(N51="N",ABS(J51),"")</f>
        <v>615400</v>
      </c>
      <c r="P51" s="18" t="str">
        <f aca="false">IF(N51="N",B51&amp;"|"&amp;ROUND(O51,0),"")</f>
        <v>MJ26080001|615400</v>
      </c>
      <c r="Q51" s="18" t="str">
        <f aca="false">IF(N51&lt;&gt;"Y","",IFERROR(INDEX($D$6:$D$4005,MATCH(B51&amp;"|"&amp;ROUND(_xlfn.MAXIFS($O$6:$O$4005,$B$6:$B$4005,B51,$N$6:$N$4005,"N"),0),$P$6:$P$4005,0)),"(tanpa lawan)"))</f>
        <v/>
      </c>
      <c r="R51" s="44"/>
      <c r="S51" s="9" t="str">
        <f aca="false">IF(N51&lt;&gt;"Y","",IF(R51&lt;&gt;"",R51,IF(Q51="(tanpa lawan)","Transfer antar rekening",IFERROR(INDEX(I_COA!$F$6:$F$265,MATCH(Q51,I_COA!$A$6:$A$265,0)),"?"))))</f>
        <v/>
      </c>
    </row>
    <row r="52" customFormat="false" ht="15" hidden="false" customHeight="false" outlineLevel="0" collapsed="false">
      <c r="A52" s="37" t="n">
        <v>46235</v>
      </c>
      <c r="B52" s="44" t="s">
        <v>630</v>
      </c>
      <c r="C52" s="44" t="s">
        <v>580</v>
      </c>
      <c r="D52" s="44" t="n">
        <v>2102002</v>
      </c>
      <c r="E52" s="44" t="s">
        <v>633</v>
      </c>
      <c r="F52" s="44" t="s">
        <v>639</v>
      </c>
      <c r="G52" s="42"/>
      <c r="H52" s="42" t="n">
        <v>15400</v>
      </c>
      <c r="I52" s="44"/>
      <c r="J52" s="11" t="n">
        <f aca="false">IF(D52="","",N(G52)-N(H52))</f>
        <v>-15400</v>
      </c>
      <c r="K52" s="34" t="str">
        <f aca="false">IF(D52="","",IFERROR(INDEX(I_COA!$C$6:$C$265,MATCH(D52,I_COA!$A$6:$A$265,0)),"AKUN BARU"))</f>
        <v>Neraca</v>
      </c>
      <c r="L52" s="34" t="str">
        <f aca="false">IF(K52="LabaRugi",INDEX(I_COA!$D$6:$D$265,MATCH(D52,I_COA!$A$6:$A$265,0)),"")</f>
        <v/>
      </c>
      <c r="M52" s="34" t="str">
        <f aca="false">IF(K52="Neraca",INDEX(I_COA!$E$6:$E$265,MATCH(D52,I_COA!$A$6:$A$265,0)),"")</f>
        <v>Taxes Payable</v>
      </c>
      <c r="N52" s="34" t="str">
        <f aca="false">IF(D52="","",IFERROR(INDEX(I_COA!$G$6:$G$265,MATCH(D52,I_COA!$A$6:$A$265,0)),"N"))</f>
        <v>N</v>
      </c>
      <c r="O52" s="11" t="n">
        <f aca="false">IF(N52="N",ABS(J52),"")</f>
        <v>15400</v>
      </c>
      <c r="P52" s="18" t="str">
        <f aca="false">IF(N52="N",B52&amp;"|"&amp;ROUND(O52,0),"")</f>
        <v>MJ26080001|15400</v>
      </c>
      <c r="Q52" s="18" t="str">
        <f aca="false">IF(N52&lt;&gt;"Y","",IFERROR(INDEX($D$6:$D$4005,MATCH(B52&amp;"|"&amp;ROUND(_xlfn.MAXIFS($O$6:$O$4005,$B$6:$B$4005,B52,$N$6:$N$4005,"N"),0),$P$6:$P$4005,0)),"(tanpa lawan)"))</f>
        <v/>
      </c>
      <c r="R52" s="44"/>
      <c r="S52" s="9" t="str">
        <f aca="false">IF(N52&lt;&gt;"Y","",IF(R52&lt;&gt;"",R52,IF(Q52="(tanpa lawan)","Transfer antar rekening",IFERROR(INDEX(I_COA!$F$6:$F$265,MATCH(Q52,I_COA!$A$6:$A$265,0)),"?"))))</f>
        <v/>
      </c>
    </row>
    <row r="53" customFormat="false" ht="15" hidden="false" customHeight="false" outlineLevel="0" collapsed="false">
      <c r="A53" s="37" t="n">
        <v>46235</v>
      </c>
      <c r="B53" s="44" t="s">
        <v>630</v>
      </c>
      <c r="C53" s="44" t="s">
        <v>580</v>
      </c>
      <c r="D53" s="44" t="n">
        <v>1103120</v>
      </c>
      <c r="E53" s="44" t="s">
        <v>640</v>
      </c>
      <c r="F53" s="44" t="s">
        <v>641</v>
      </c>
      <c r="G53" s="42"/>
      <c r="H53" s="42" t="n">
        <v>1637950</v>
      </c>
      <c r="I53" s="44" t="s">
        <v>642</v>
      </c>
      <c r="J53" s="11" t="n">
        <f aca="false">IF(D53="","",N(G53)-N(H53))</f>
        <v>-1637950</v>
      </c>
      <c r="K53" s="34" t="str">
        <f aca="false">IF(D53="","",IFERROR(INDEX(I_COA!$C$6:$C$265,MATCH(D53,I_COA!$A$6:$A$265,0)),"AKUN BARU"))</f>
        <v>Neraca</v>
      </c>
      <c r="L53" s="34" t="str">
        <f aca="false">IF(K53="LabaRugi",INDEX(I_COA!$D$6:$D$265,MATCH(D53,I_COA!$A$6:$A$265,0)),"")</f>
        <v/>
      </c>
      <c r="M53" s="34" t="str">
        <f aca="false">IF(K53="Neraca",INDEX(I_COA!$E$6:$E$265,MATCH(D53,I_COA!$A$6:$A$265,0)),"")</f>
        <v>Advance Payment</v>
      </c>
      <c r="N53" s="34" t="str">
        <f aca="false">IF(D53="","",IFERROR(INDEX(I_COA!$G$6:$G$265,MATCH(D53,I_COA!$A$6:$A$265,0)),"N"))</f>
        <v>N</v>
      </c>
      <c r="O53" s="11" t="n">
        <f aca="false">IF(N53="N",ABS(J53),"")</f>
        <v>1637950</v>
      </c>
      <c r="P53" s="18" t="str">
        <f aca="false">IF(N53="N",B53&amp;"|"&amp;ROUND(O53,0),"")</f>
        <v>MJ26080001|1637950</v>
      </c>
      <c r="Q53" s="18" t="str">
        <f aca="false">IF(N53&lt;&gt;"Y","",IFERROR(INDEX($D$6:$D$4005,MATCH(B53&amp;"|"&amp;ROUND(_xlfn.MAXIFS($O$6:$O$4005,$B$6:$B$4005,B53,$N$6:$N$4005,"N"),0),$P$6:$P$4005,0)),"(tanpa lawan)"))</f>
        <v/>
      </c>
      <c r="R53" s="44"/>
      <c r="S53" s="9" t="str">
        <f aca="false">IF(N53&lt;&gt;"Y","",IF(R53&lt;&gt;"",R53,IF(Q53="(tanpa lawan)","Transfer antar rekening",IFERROR(INDEX(I_COA!$F$6:$F$265,MATCH(Q53,I_COA!$A$6:$A$265,0)),"?"))))</f>
        <v/>
      </c>
    </row>
    <row r="54" customFormat="false" ht="15" hidden="false" customHeight="false" outlineLevel="0" collapsed="false">
      <c r="A54" s="37" t="n">
        <v>46235</v>
      </c>
      <c r="B54" s="44" t="s">
        <v>643</v>
      </c>
      <c r="C54" s="44" t="s">
        <v>580</v>
      </c>
      <c r="D54" s="44" t="n">
        <v>5100013</v>
      </c>
      <c r="E54" s="44" t="s">
        <v>631</v>
      </c>
      <c r="F54" s="44" t="s">
        <v>644</v>
      </c>
      <c r="G54" s="42" t="n">
        <v>205130</v>
      </c>
      <c r="H54" s="42"/>
      <c r="I54" s="44"/>
      <c r="J54" s="11" t="n">
        <f aca="false">IF(D54="","",N(G54)-N(H54))</f>
        <v>205130</v>
      </c>
      <c r="K54" s="34" t="str">
        <f aca="false">IF(D54="","",IFERROR(INDEX(I_COA!$C$6:$C$265,MATCH(D54,I_COA!$A$6:$A$265,0)),"AKUN BARU"))</f>
        <v>LabaRugi</v>
      </c>
      <c r="L54" s="34" t="str">
        <f aca="false">IF(K54="LabaRugi",INDEX(I_COA!$D$6:$D$265,MATCH(D54,I_COA!$A$6:$A$265,0)),"")</f>
        <v>Storage Expenses</v>
      </c>
      <c r="M54" s="34" t="str">
        <f aca="false">IF(K54="Neraca",INDEX(I_COA!$E$6:$E$265,MATCH(D54,I_COA!$A$6:$A$265,0)),"")</f>
        <v/>
      </c>
      <c r="N54" s="34" t="str">
        <f aca="false">IF(D54="","",IFERROR(INDEX(I_COA!$G$6:$G$265,MATCH(D54,I_COA!$A$6:$A$265,0)),"N"))</f>
        <v>N</v>
      </c>
      <c r="O54" s="11" t="n">
        <f aca="false">IF(N54="N",ABS(J54),"")</f>
        <v>205130</v>
      </c>
      <c r="P54" s="18" t="str">
        <f aca="false">IF(N54="N",B54&amp;"|"&amp;ROUND(O54,0),"")</f>
        <v>MJ26080002|205130</v>
      </c>
      <c r="Q54" s="18" t="str">
        <f aca="false">IF(N54&lt;&gt;"Y","",IFERROR(INDEX($D$6:$D$4005,MATCH(B54&amp;"|"&amp;ROUND(_xlfn.MAXIFS($O$6:$O$4005,$B$6:$B$4005,B54,$N$6:$N$4005,"N"),0),$P$6:$P$4005,0)),"(tanpa lawan)"))</f>
        <v/>
      </c>
      <c r="R54" s="44"/>
      <c r="S54" s="9" t="str">
        <f aca="false">IF(N54&lt;&gt;"Y","",IF(R54&lt;&gt;"",R54,IF(Q54="(tanpa lawan)","Transfer antar rekening",IFERROR(INDEX(I_COA!$F$6:$F$265,MATCH(Q54,I_COA!$A$6:$A$265,0)),"?"))))</f>
        <v/>
      </c>
    </row>
    <row r="55" customFormat="false" ht="15" hidden="false" customHeight="false" outlineLevel="0" collapsed="false">
      <c r="A55" s="37" t="n">
        <v>46235</v>
      </c>
      <c r="B55" s="44" t="s">
        <v>643</v>
      </c>
      <c r="C55" s="44" t="s">
        <v>580</v>
      </c>
      <c r="D55" s="44" t="n">
        <v>2102002</v>
      </c>
      <c r="E55" s="44" t="s">
        <v>633</v>
      </c>
      <c r="F55" s="44" t="s">
        <v>645</v>
      </c>
      <c r="G55" s="42"/>
      <c r="H55" s="42" t="n">
        <v>5130</v>
      </c>
      <c r="I55" s="44"/>
      <c r="J55" s="11" t="n">
        <f aca="false">IF(D55="","",N(G55)-N(H55))</f>
        <v>-5130</v>
      </c>
      <c r="K55" s="34" t="str">
        <f aca="false">IF(D55="","",IFERROR(INDEX(I_COA!$C$6:$C$265,MATCH(D55,I_COA!$A$6:$A$265,0)),"AKUN BARU"))</f>
        <v>Neraca</v>
      </c>
      <c r="L55" s="34" t="str">
        <f aca="false">IF(K55="LabaRugi",INDEX(I_COA!$D$6:$D$265,MATCH(D55,I_COA!$A$6:$A$265,0)),"")</f>
        <v/>
      </c>
      <c r="M55" s="34" t="str">
        <f aca="false">IF(K55="Neraca",INDEX(I_COA!$E$6:$E$265,MATCH(D55,I_COA!$A$6:$A$265,0)),"")</f>
        <v>Taxes Payable</v>
      </c>
      <c r="N55" s="34" t="str">
        <f aca="false">IF(D55="","",IFERROR(INDEX(I_COA!$G$6:$G$265,MATCH(D55,I_COA!$A$6:$A$265,0)),"N"))</f>
        <v>N</v>
      </c>
      <c r="O55" s="11" t="n">
        <f aca="false">IF(N55="N",ABS(J55),"")</f>
        <v>5130</v>
      </c>
      <c r="P55" s="18" t="str">
        <f aca="false">IF(N55="N",B55&amp;"|"&amp;ROUND(O55,0),"")</f>
        <v>MJ26080002|5130</v>
      </c>
      <c r="Q55" s="18" t="str">
        <f aca="false">IF(N55&lt;&gt;"Y","",IFERROR(INDEX($D$6:$D$4005,MATCH(B55&amp;"|"&amp;ROUND(_xlfn.MAXIFS($O$6:$O$4005,$B$6:$B$4005,B55,$N$6:$N$4005,"N"),0),$P$6:$P$4005,0)),"(tanpa lawan)"))</f>
        <v/>
      </c>
      <c r="R55" s="44"/>
      <c r="S55" s="9" t="str">
        <f aca="false">IF(N55&lt;&gt;"Y","",IF(R55&lt;&gt;"",R55,IF(Q55="(tanpa lawan)","Transfer antar rekening",IFERROR(INDEX(I_COA!$F$6:$F$265,MATCH(Q55,I_COA!$A$6:$A$265,0)),"?"))))</f>
        <v/>
      </c>
    </row>
    <row r="56" customFormat="false" ht="15" hidden="false" customHeight="false" outlineLevel="0" collapsed="false">
      <c r="A56" s="37" t="n">
        <v>46235</v>
      </c>
      <c r="B56" s="44" t="s">
        <v>643</v>
      </c>
      <c r="C56" s="44" t="s">
        <v>580</v>
      </c>
      <c r="D56" s="44" t="n">
        <v>1103120</v>
      </c>
      <c r="E56" s="44" t="s">
        <v>640</v>
      </c>
      <c r="F56" s="44" t="s">
        <v>646</v>
      </c>
      <c r="G56" s="42"/>
      <c r="H56" s="42" t="n">
        <v>200000</v>
      </c>
      <c r="I56" s="44" t="s">
        <v>642</v>
      </c>
      <c r="J56" s="11" t="n">
        <f aca="false">IF(D56="","",N(G56)-N(H56))</f>
        <v>-200000</v>
      </c>
      <c r="K56" s="34" t="str">
        <f aca="false">IF(D56="","",IFERROR(INDEX(I_COA!$C$6:$C$265,MATCH(D56,I_COA!$A$6:$A$265,0)),"AKUN BARU"))</f>
        <v>Neraca</v>
      </c>
      <c r="L56" s="34" t="str">
        <f aca="false">IF(K56="LabaRugi",INDEX(I_COA!$D$6:$D$265,MATCH(D56,I_COA!$A$6:$A$265,0)),"")</f>
        <v/>
      </c>
      <c r="M56" s="34" t="str">
        <f aca="false">IF(K56="Neraca",INDEX(I_COA!$E$6:$E$265,MATCH(D56,I_COA!$A$6:$A$265,0)),"")</f>
        <v>Advance Payment</v>
      </c>
      <c r="N56" s="34" t="str">
        <f aca="false">IF(D56="","",IFERROR(INDEX(I_COA!$G$6:$G$265,MATCH(D56,I_COA!$A$6:$A$265,0)),"N"))</f>
        <v>N</v>
      </c>
      <c r="O56" s="11" t="n">
        <f aca="false">IF(N56="N",ABS(J56),"")</f>
        <v>200000</v>
      </c>
      <c r="P56" s="18" t="str">
        <f aca="false">IF(N56="N",B56&amp;"|"&amp;ROUND(O56,0),"")</f>
        <v>MJ26080002|200000</v>
      </c>
      <c r="Q56" s="18" t="str">
        <f aca="false">IF(N56&lt;&gt;"Y","",IFERROR(INDEX($D$6:$D$4005,MATCH(B56&amp;"|"&amp;ROUND(_xlfn.MAXIFS($O$6:$O$4005,$B$6:$B$4005,B56,$N$6:$N$4005,"N"),0),$P$6:$P$4005,0)),"(tanpa lawan)"))</f>
        <v/>
      </c>
      <c r="R56" s="44"/>
      <c r="S56" s="9" t="str">
        <f aca="false">IF(N56&lt;&gt;"Y","",IF(R56&lt;&gt;"",R56,IF(Q56="(tanpa lawan)","Transfer antar rekening",IFERROR(INDEX(I_COA!$F$6:$F$265,MATCH(Q56,I_COA!$A$6:$A$265,0)),"?"))))</f>
        <v/>
      </c>
    </row>
    <row r="57" customFormat="false" ht="15" hidden="false" customHeight="false" outlineLevel="0" collapsed="false">
      <c r="A57" s="37" t="n">
        <v>46235</v>
      </c>
      <c r="B57" s="44" t="s">
        <v>647</v>
      </c>
      <c r="C57" s="44" t="s">
        <v>580</v>
      </c>
      <c r="D57" s="44" t="n">
        <v>2103006</v>
      </c>
      <c r="E57" s="44" t="s">
        <v>648</v>
      </c>
      <c r="F57" s="44" t="s">
        <v>649</v>
      </c>
      <c r="G57" s="42" t="n">
        <v>3104200</v>
      </c>
      <c r="H57" s="42"/>
      <c r="I57" s="44"/>
      <c r="J57" s="11" t="n">
        <f aca="false">IF(D57="","",N(G57)-N(H57))</f>
        <v>3104200</v>
      </c>
      <c r="K57" s="34" t="str">
        <f aca="false">IF(D57="","",IFERROR(INDEX(I_COA!$C$6:$C$265,MATCH(D57,I_COA!$A$6:$A$265,0)),"AKUN BARU"))</f>
        <v>Neraca</v>
      </c>
      <c r="L57" s="34" t="str">
        <f aca="false">IF(K57="LabaRugi",INDEX(I_COA!$D$6:$D$265,MATCH(D57,I_COA!$A$6:$A$265,0)),"")</f>
        <v/>
      </c>
      <c r="M57" s="34" t="str">
        <f aca="false">IF(K57="Neraca",INDEX(I_COA!$E$6:$E$265,MATCH(D57,I_COA!$A$6:$A$265,0)),"")</f>
        <v>Accrued Expenses - Third Parties</v>
      </c>
      <c r="N57" s="34" t="str">
        <f aca="false">IF(D57="","",IFERROR(INDEX(I_COA!$G$6:$G$265,MATCH(D57,I_COA!$A$6:$A$265,0)),"N"))</f>
        <v>N</v>
      </c>
      <c r="O57" s="11" t="n">
        <f aca="false">IF(N57="N",ABS(J57),"")</f>
        <v>3104200</v>
      </c>
      <c r="P57" s="18" t="str">
        <f aca="false">IF(N57="N",B57&amp;"|"&amp;ROUND(O57,0),"")</f>
        <v>MJ26080003|3104200</v>
      </c>
      <c r="Q57" s="18" t="str">
        <f aca="false">IF(N57&lt;&gt;"Y","",IFERROR(INDEX($D$6:$D$4005,MATCH(B57&amp;"|"&amp;ROUND(_xlfn.MAXIFS($O$6:$O$4005,$B$6:$B$4005,B57,$N$6:$N$4005,"N"),0),$P$6:$P$4005,0)),"(tanpa lawan)"))</f>
        <v/>
      </c>
      <c r="R57" s="44"/>
      <c r="S57" s="9" t="str">
        <f aca="false">IF(N57&lt;&gt;"Y","",IF(R57&lt;&gt;"",R57,IF(Q57="(tanpa lawan)","Transfer antar rekening",IFERROR(INDEX(I_COA!$F$6:$F$265,MATCH(Q57,I_COA!$A$6:$A$265,0)),"?"))))</f>
        <v/>
      </c>
    </row>
    <row r="58" customFormat="false" ht="15" hidden="false" customHeight="false" outlineLevel="0" collapsed="false">
      <c r="A58" s="37" t="n">
        <v>46235</v>
      </c>
      <c r="B58" s="44" t="s">
        <v>647</v>
      </c>
      <c r="C58" s="44" t="s">
        <v>580</v>
      </c>
      <c r="D58" s="44" t="n">
        <v>1103120</v>
      </c>
      <c r="E58" s="44" t="s">
        <v>640</v>
      </c>
      <c r="F58" s="44" t="s">
        <v>649</v>
      </c>
      <c r="G58" s="42"/>
      <c r="H58" s="42" t="n">
        <v>3104200</v>
      </c>
      <c r="I58" s="44" t="s">
        <v>642</v>
      </c>
      <c r="J58" s="11" t="n">
        <f aca="false">IF(D58="","",N(G58)-N(H58))</f>
        <v>-3104200</v>
      </c>
      <c r="K58" s="34" t="str">
        <f aca="false">IF(D58="","",IFERROR(INDEX(I_COA!$C$6:$C$265,MATCH(D58,I_COA!$A$6:$A$265,0)),"AKUN BARU"))</f>
        <v>Neraca</v>
      </c>
      <c r="L58" s="34" t="str">
        <f aca="false">IF(K58="LabaRugi",INDEX(I_COA!$D$6:$D$265,MATCH(D58,I_COA!$A$6:$A$265,0)),"")</f>
        <v/>
      </c>
      <c r="M58" s="34" t="str">
        <f aca="false">IF(K58="Neraca",INDEX(I_COA!$E$6:$E$265,MATCH(D58,I_COA!$A$6:$A$265,0)),"")</f>
        <v>Advance Payment</v>
      </c>
      <c r="N58" s="34" t="str">
        <f aca="false">IF(D58="","",IFERROR(INDEX(I_COA!$G$6:$G$265,MATCH(D58,I_COA!$A$6:$A$265,0)),"N"))</f>
        <v>N</v>
      </c>
      <c r="O58" s="11" t="n">
        <f aca="false">IF(N58="N",ABS(J58),"")</f>
        <v>3104200</v>
      </c>
      <c r="P58" s="18" t="str">
        <f aca="false">IF(N58="N",B58&amp;"|"&amp;ROUND(O58,0),"")</f>
        <v>MJ26080003|3104200</v>
      </c>
      <c r="Q58" s="18" t="str">
        <f aca="false">IF(N58&lt;&gt;"Y","",IFERROR(INDEX($D$6:$D$4005,MATCH(B58&amp;"|"&amp;ROUND(_xlfn.MAXIFS($O$6:$O$4005,$B$6:$B$4005,B58,$N$6:$N$4005,"N"),0),$P$6:$P$4005,0)),"(tanpa lawan)"))</f>
        <v/>
      </c>
      <c r="R58" s="44"/>
      <c r="S58" s="9" t="str">
        <f aca="false">IF(N58&lt;&gt;"Y","",IF(R58&lt;&gt;"",R58,IF(Q58="(tanpa lawan)","Transfer antar rekening",IFERROR(INDEX(I_COA!$F$6:$F$265,MATCH(Q58,I_COA!$A$6:$A$265,0)),"?"))))</f>
        <v/>
      </c>
    </row>
    <row r="59" customFormat="false" ht="15" hidden="false" customHeight="false" outlineLevel="0" collapsed="false">
      <c r="A59" s="37" t="n">
        <v>46235</v>
      </c>
      <c r="B59" s="44" t="s">
        <v>650</v>
      </c>
      <c r="C59" s="44" t="s">
        <v>580</v>
      </c>
      <c r="D59" s="44" t="n">
        <v>2103012</v>
      </c>
      <c r="E59" s="44" t="s">
        <v>651</v>
      </c>
      <c r="F59" s="44" t="s">
        <v>652</v>
      </c>
      <c r="G59" s="42" t="n">
        <v>133000000</v>
      </c>
      <c r="H59" s="42"/>
      <c r="I59" s="44"/>
      <c r="J59" s="11" t="n">
        <f aca="false">IF(D59="","",N(G59)-N(H59))</f>
        <v>133000000</v>
      </c>
      <c r="K59" s="34" t="str">
        <f aca="false">IF(D59="","",IFERROR(INDEX(I_COA!$C$6:$C$265,MATCH(D59,I_COA!$A$6:$A$265,0)),"AKUN BARU"))</f>
        <v>Neraca</v>
      </c>
      <c r="L59" s="34" t="str">
        <f aca="false">IF(K59="LabaRugi",INDEX(I_COA!$D$6:$D$265,MATCH(D59,I_COA!$A$6:$A$265,0)),"")</f>
        <v/>
      </c>
      <c r="M59" s="34" t="str">
        <f aca="false">IF(K59="Neraca",INDEX(I_COA!$E$6:$E$265,MATCH(D59,I_COA!$A$6:$A$265,0)),"")</f>
        <v>Accrued Expenses - Third Parties</v>
      </c>
      <c r="N59" s="34" t="str">
        <f aca="false">IF(D59="","",IFERROR(INDEX(I_COA!$G$6:$G$265,MATCH(D59,I_COA!$A$6:$A$265,0)),"N"))</f>
        <v>N</v>
      </c>
      <c r="O59" s="11" t="n">
        <f aca="false">IF(N59="N",ABS(J59),"")</f>
        <v>133000000</v>
      </c>
      <c r="P59" s="18" t="str">
        <f aca="false">IF(N59="N",B59&amp;"|"&amp;ROUND(O59,0),"")</f>
        <v>MJ26080014|133000000</v>
      </c>
      <c r="Q59" s="18" t="str">
        <f aca="false">IF(N59&lt;&gt;"Y","",IFERROR(INDEX($D$6:$D$4005,MATCH(B59&amp;"|"&amp;ROUND(_xlfn.MAXIFS($O$6:$O$4005,$B$6:$B$4005,B59,$N$6:$N$4005,"N"),0),$P$6:$P$4005,0)),"(tanpa lawan)"))</f>
        <v/>
      </c>
      <c r="R59" s="44"/>
      <c r="S59" s="9" t="str">
        <f aca="false">IF(N59&lt;&gt;"Y","",IF(R59&lt;&gt;"",R59,IF(Q59="(tanpa lawan)","Transfer antar rekening",IFERROR(INDEX(I_COA!$F$6:$F$265,MATCH(Q59,I_COA!$A$6:$A$265,0)),"?"))))</f>
        <v/>
      </c>
    </row>
    <row r="60" customFormat="false" ht="15" hidden="false" customHeight="false" outlineLevel="0" collapsed="false">
      <c r="A60" s="37" t="n">
        <v>46235</v>
      </c>
      <c r="B60" s="44" t="s">
        <v>650</v>
      </c>
      <c r="C60" s="44" t="s">
        <v>580</v>
      </c>
      <c r="D60" s="44" t="n">
        <v>2101020</v>
      </c>
      <c r="E60" s="44" t="s">
        <v>653</v>
      </c>
      <c r="F60" s="44" t="s">
        <v>652</v>
      </c>
      <c r="G60" s="42"/>
      <c r="H60" s="42" t="n">
        <v>133000000</v>
      </c>
      <c r="I60" s="44" t="s">
        <v>603</v>
      </c>
      <c r="J60" s="11" t="n">
        <f aca="false">IF(D60="","",N(G60)-N(H60))</f>
        <v>-133000000</v>
      </c>
      <c r="K60" s="34" t="str">
        <f aca="false">IF(D60="","",IFERROR(INDEX(I_COA!$C$6:$C$265,MATCH(D60,I_COA!$A$6:$A$265,0)),"AKUN BARU"))</f>
        <v>Neraca</v>
      </c>
      <c r="L60" s="34" t="str">
        <f aca="false">IF(K60="LabaRugi",INDEX(I_COA!$D$6:$D$265,MATCH(D60,I_COA!$A$6:$A$265,0)),"")</f>
        <v/>
      </c>
      <c r="M60" s="34" t="str">
        <f aca="false">IF(K60="Neraca",INDEX(I_COA!$E$6:$E$265,MATCH(D60,I_COA!$A$6:$A$265,0)),"")</f>
        <v>Unearned Revenue</v>
      </c>
      <c r="N60" s="34" t="str">
        <f aca="false">IF(D60="","",IFERROR(INDEX(I_COA!$G$6:$G$265,MATCH(D60,I_COA!$A$6:$A$265,0)),"N"))</f>
        <v>N</v>
      </c>
      <c r="O60" s="11" t="n">
        <f aca="false">IF(N60="N",ABS(J60),"")</f>
        <v>133000000</v>
      </c>
      <c r="P60" s="18" t="str">
        <f aca="false">IF(N60="N",B60&amp;"|"&amp;ROUND(O60,0),"")</f>
        <v>MJ26080014|133000000</v>
      </c>
      <c r="Q60" s="18" t="str">
        <f aca="false">IF(N60&lt;&gt;"Y","",IFERROR(INDEX($D$6:$D$4005,MATCH(B60&amp;"|"&amp;ROUND(_xlfn.MAXIFS($O$6:$O$4005,$B$6:$B$4005,B60,$N$6:$N$4005,"N"),0),$P$6:$P$4005,0)),"(tanpa lawan)"))</f>
        <v/>
      </c>
      <c r="R60" s="44"/>
      <c r="S60" s="9" t="str">
        <f aca="false">IF(N60&lt;&gt;"Y","",IF(R60&lt;&gt;"",R60,IF(Q60="(tanpa lawan)","Transfer antar rekening",IFERROR(INDEX(I_COA!$F$6:$F$265,MATCH(Q60,I_COA!$A$6:$A$265,0)),"?"))))</f>
        <v/>
      </c>
    </row>
    <row r="61" customFormat="false" ht="15" hidden="false" customHeight="false" outlineLevel="0" collapsed="false">
      <c r="A61" s="37" t="n">
        <v>46236</v>
      </c>
      <c r="B61" s="44" t="s">
        <v>654</v>
      </c>
      <c r="C61" s="44" t="s">
        <v>585</v>
      </c>
      <c r="D61" s="44" t="n">
        <v>1102001</v>
      </c>
      <c r="E61" s="44" t="s">
        <v>586</v>
      </c>
      <c r="F61" s="44" t="s">
        <v>655</v>
      </c>
      <c r="G61" s="42" t="n">
        <v>299219600</v>
      </c>
      <c r="H61" s="42"/>
      <c r="I61" s="44" t="s">
        <v>603</v>
      </c>
      <c r="J61" s="11" t="n">
        <f aca="false">IF(D61="","",N(G61)-N(H61))</f>
        <v>299219600</v>
      </c>
      <c r="K61" s="34" t="str">
        <f aca="false">IF(D61="","",IFERROR(INDEX(I_COA!$C$6:$C$265,MATCH(D61,I_COA!$A$6:$A$265,0)),"AKUN BARU"))</f>
        <v>Neraca</v>
      </c>
      <c r="L61" s="34" t="str">
        <f aca="false">IF(K61="LabaRugi",INDEX(I_COA!$D$6:$D$265,MATCH(D61,I_COA!$A$6:$A$265,0)),"")</f>
        <v/>
      </c>
      <c r="M61" s="34" t="str">
        <f aca="false">IF(K61="Neraca",INDEX(I_COA!$E$6:$E$265,MATCH(D61,I_COA!$A$6:$A$265,0)),"")</f>
        <v>Cash and cash equivalents</v>
      </c>
      <c r="N61" s="34" t="str">
        <f aca="false">IF(D61="","",IFERROR(INDEX(I_COA!$G$6:$G$265,MATCH(D61,I_COA!$A$6:$A$265,0)),"N"))</f>
        <v>Y</v>
      </c>
      <c r="O61" s="11" t="str">
        <f aca="false">IF(N61="N",ABS(J61),"")</f>
        <v/>
      </c>
      <c r="P61" s="18" t="str">
        <f aca="false">IF(N61="N",B61&amp;"|"&amp;ROUND(O61,0),"")</f>
        <v/>
      </c>
      <c r="Q61" s="18" t="n">
        <f aca="false">IF(N61&lt;&gt;"Y","",IFERROR(INDEX($D$6:$D$4005,MATCH(B61&amp;"|"&amp;ROUND(_xlfn.MAXIFS($O$6:$O$4005,$B$6:$B$4005,B61,$N$6:$N$4005,"N"),0),$P$6:$P$4005,0)),"(tanpa lawan)"))</f>
        <v>1103101</v>
      </c>
      <c r="R61" s="44"/>
      <c r="S61" s="9" t="str">
        <f aca="false">IF(N61&lt;&gt;"Y","",IF(R61&lt;&gt;"",R61,IF(Q61="(tanpa lawan)","Transfer antar rekening",IFERROR(INDEX(I_COA!$F$6:$F$265,MATCH(Q61,I_COA!$A$6:$A$265,0)),"?"))))</f>
        <v>Penerimaan dari pelanggan</v>
      </c>
    </row>
    <row r="62" customFormat="false" ht="15" hidden="false" customHeight="false" outlineLevel="0" collapsed="false">
      <c r="A62" s="37" t="n">
        <v>46236</v>
      </c>
      <c r="B62" s="44" t="s">
        <v>654</v>
      </c>
      <c r="C62" s="44" t="s">
        <v>585</v>
      </c>
      <c r="D62" s="44" t="n">
        <v>1103101</v>
      </c>
      <c r="E62" s="44" t="s">
        <v>589</v>
      </c>
      <c r="F62" s="44" t="s">
        <v>655</v>
      </c>
      <c r="G62" s="42"/>
      <c r="H62" s="42" t="n">
        <v>135915000</v>
      </c>
      <c r="I62" s="44" t="s">
        <v>603</v>
      </c>
      <c r="J62" s="11" t="n">
        <f aca="false">IF(D62="","",N(G62)-N(H62))</f>
        <v>-135915000</v>
      </c>
      <c r="K62" s="34" t="str">
        <f aca="false">IF(D62="","",IFERROR(INDEX(I_COA!$C$6:$C$265,MATCH(D62,I_COA!$A$6:$A$265,0)),"AKUN BARU"))</f>
        <v>Neraca</v>
      </c>
      <c r="L62" s="34" t="str">
        <f aca="false">IF(K62="LabaRugi",INDEX(I_COA!$D$6:$D$265,MATCH(D62,I_COA!$A$6:$A$265,0)),"")</f>
        <v/>
      </c>
      <c r="M62" s="34" t="str">
        <f aca="false">IF(K62="Neraca",INDEX(I_COA!$E$6:$E$265,MATCH(D62,I_COA!$A$6:$A$265,0)),"")</f>
        <v>Trade Receivables - Third Parties</v>
      </c>
      <c r="N62" s="34" t="str">
        <f aca="false">IF(D62="","",IFERROR(INDEX(I_COA!$G$6:$G$265,MATCH(D62,I_COA!$A$6:$A$265,0)),"N"))</f>
        <v>N</v>
      </c>
      <c r="O62" s="11" t="n">
        <f aca="false">IF(N62="N",ABS(J62),"")</f>
        <v>135915000</v>
      </c>
      <c r="P62" s="18" t="str">
        <f aca="false">IF(N62="N",B62&amp;"|"&amp;ROUND(O62,0),"")</f>
        <v>B7626080003|135915000</v>
      </c>
      <c r="Q62" s="18" t="str">
        <f aca="false">IF(N62&lt;&gt;"Y","",IFERROR(INDEX($D$6:$D$4005,MATCH(B62&amp;"|"&amp;ROUND(_xlfn.MAXIFS($O$6:$O$4005,$B$6:$B$4005,B62,$N$6:$N$4005,"N"),0),$P$6:$P$4005,0)),"(tanpa lawan)"))</f>
        <v/>
      </c>
      <c r="R62" s="44"/>
      <c r="S62" s="9" t="str">
        <f aca="false">IF(N62&lt;&gt;"Y","",IF(R62&lt;&gt;"",R62,IF(Q62="(tanpa lawan)","Transfer antar rekening",IFERROR(INDEX(I_COA!$F$6:$F$265,MATCH(Q62,I_COA!$A$6:$A$265,0)),"?"))))</f>
        <v/>
      </c>
    </row>
    <row r="63" customFormat="false" ht="15" hidden="false" customHeight="false" outlineLevel="0" collapsed="false">
      <c r="A63" s="37" t="n">
        <v>46236</v>
      </c>
      <c r="B63" s="44" t="s">
        <v>654</v>
      </c>
      <c r="C63" s="44" t="s">
        <v>585</v>
      </c>
      <c r="D63" s="44" t="n">
        <v>1103101</v>
      </c>
      <c r="E63" s="44" t="s">
        <v>589</v>
      </c>
      <c r="F63" s="44" t="s">
        <v>655</v>
      </c>
      <c r="G63" s="42"/>
      <c r="H63" s="42" t="n">
        <v>163304600</v>
      </c>
      <c r="I63" s="44" t="s">
        <v>603</v>
      </c>
      <c r="J63" s="11" t="n">
        <f aca="false">IF(D63="","",N(G63)-N(H63))</f>
        <v>-163304600</v>
      </c>
      <c r="K63" s="34" t="str">
        <f aca="false">IF(D63="","",IFERROR(INDEX(I_COA!$C$6:$C$265,MATCH(D63,I_COA!$A$6:$A$265,0)),"AKUN BARU"))</f>
        <v>Neraca</v>
      </c>
      <c r="L63" s="34" t="str">
        <f aca="false">IF(K63="LabaRugi",INDEX(I_COA!$D$6:$D$265,MATCH(D63,I_COA!$A$6:$A$265,0)),"")</f>
        <v/>
      </c>
      <c r="M63" s="34" t="str">
        <f aca="false">IF(K63="Neraca",INDEX(I_COA!$E$6:$E$265,MATCH(D63,I_COA!$A$6:$A$265,0)),"")</f>
        <v>Trade Receivables - Third Parties</v>
      </c>
      <c r="N63" s="34" t="str">
        <f aca="false">IF(D63="","",IFERROR(INDEX(I_COA!$G$6:$G$265,MATCH(D63,I_COA!$A$6:$A$265,0)),"N"))</f>
        <v>N</v>
      </c>
      <c r="O63" s="11" t="n">
        <f aca="false">IF(N63="N",ABS(J63),"")</f>
        <v>163304600</v>
      </c>
      <c r="P63" s="18" t="str">
        <f aca="false">IF(N63="N",B63&amp;"|"&amp;ROUND(O63,0),"")</f>
        <v>B7626080003|163304600</v>
      </c>
      <c r="Q63" s="18" t="str">
        <f aca="false">IF(N63&lt;&gt;"Y","",IFERROR(INDEX($D$6:$D$4005,MATCH(B63&amp;"|"&amp;ROUND(_xlfn.MAXIFS($O$6:$O$4005,$B$6:$B$4005,B63,$N$6:$N$4005,"N"),0),$P$6:$P$4005,0)),"(tanpa lawan)"))</f>
        <v/>
      </c>
      <c r="R63" s="44"/>
      <c r="S63" s="9" t="str">
        <f aca="false">IF(N63&lt;&gt;"Y","",IF(R63&lt;&gt;"",R63,IF(Q63="(tanpa lawan)","Transfer antar rekening",IFERROR(INDEX(I_COA!$F$6:$F$265,MATCH(Q63,I_COA!$A$6:$A$265,0)),"?"))))</f>
        <v/>
      </c>
    </row>
    <row r="64" customFormat="false" ht="15" hidden="false" customHeight="false" outlineLevel="0" collapsed="false">
      <c r="A64" s="37" t="n">
        <v>46236</v>
      </c>
      <c r="B64" s="44" t="s">
        <v>656</v>
      </c>
      <c r="C64" s="44" t="s">
        <v>585</v>
      </c>
      <c r="D64" s="44" t="n">
        <v>1102001</v>
      </c>
      <c r="E64" s="44" t="s">
        <v>586</v>
      </c>
      <c r="F64" s="44" t="s">
        <v>657</v>
      </c>
      <c r="G64" s="42" t="n">
        <v>83011970</v>
      </c>
      <c r="H64" s="42"/>
      <c r="I64" s="44" t="s">
        <v>609</v>
      </c>
      <c r="J64" s="11" t="n">
        <f aca="false">IF(D64="","",N(G64)-N(H64))</f>
        <v>83011970</v>
      </c>
      <c r="K64" s="34" t="str">
        <f aca="false">IF(D64="","",IFERROR(INDEX(I_COA!$C$6:$C$265,MATCH(D64,I_COA!$A$6:$A$265,0)),"AKUN BARU"))</f>
        <v>Neraca</v>
      </c>
      <c r="L64" s="34" t="str">
        <f aca="false">IF(K64="LabaRugi",INDEX(I_COA!$D$6:$D$265,MATCH(D64,I_COA!$A$6:$A$265,0)),"")</f>
        <v/>
      </c>
      <c r="M64" s="34" t="str">
        <f aca="false">IF(K64="Neraca",INDEX(I_COA!$E$6:$E$265,MATCH(D64,I_COA!$A$6:$A$265,0)),"")</f>
        <v>Cash and cash equivalents</v>
      </c>
      <c r="N64" s="34" t="str">
        <f aca="false">IF(D64="","",IFERROR(INDEX(I_COA!$G$6:$G$265,MATCH(D64,I_COA!$A$6:$A$265,0)),"N"))</f>
        <v>Y</v>
      </c>
      <c r="O64" s="11" t="str">
        <f aca="false">IF(N64="N",ABS(J64),"")</f>
        <v/>
      </c>
      <c r="P64" s="18" t="str">
        <f aca="false">IF(N64="N",B64&amp;"|"&amp;ROUND(O64,0),"")</f>
        <v/>
      </c>
      <c r="Q64" s="18" t="n">
        <f aca="false">IF(N64&lt;&gt;"Y","",IFERROR(INDEX($D$6:$D$4005,MATCH(B64&amp;"|"&amp;ROUND(_xlfn.MAXIFS($O$6:$O$4005,$B$6:$B$4005,B64,$N$6:$N$4005,"N"),0),$P$6:$P$4005,0)),"(tanpa lawan)"))</f>
        <v>1103101</v>
      </c>
      <c r="R64" s="44"/>
      <c r="S64" s="9" t="str">
        <f aca="false">IF(N64&lt;&gt;"Y","",IF(R64&lt;&gt;"",R64,IF(Q64="(tanpa lawan)","Transfer antar rekening",IFERROR(INDEX(I_COA!$F$6:$F$265,MATCH(Q64,I_COA!$A$6:$A$265,0)),"?"))))</f>
        <v>Penerimaan dari pelanggan</v>
      </c>
    </row>
    <row r="65" customFormat="false" ht="15" hidden="false" customHeight="false" outlineLevel="0" collapsed="false">
      <c r="A65" s="37" t="n">
        <v>46236</v>
      </c>
      <c r="B65" s="44" t="s">
        <v>656</v>
      </c>
      <c r="C65" s="44" t="s">
        <v>585</v>
      </c>
      <c r="D65" s="44" t="n">
        <v>1103101</v>
      </c>
      <c r="E65" s="44" t="s">
        <v>589</v>
      </c>
      <c r="F65" s="44" t="s">
        <v>657</v>
      </c>
      <c r="G65" s="42"/>
      <c r="H65" s="42" t="n">
        <v>83011970</v>
      </c>
      <c r="I65" s="44" t="s">
        <v>609</v>
      </c>
      <c r="J65" s="11" t="n">
        <f aca="false">IF(D65="","",N(G65)-N(H65))</f>
        <v>-83011970</v>
      </c>
      <c r="K65" s="34" t="str">
        <f aca="false">IF(D65="","",IFERROR(INDEX(I_COA!$C$6:$C$265,MATCH(D65,I_COA!$A$6:$A$265,0)),"AKUN BARU"))</f>
        <v>Neraca</v>
      </c>
      <c r="L65" s="34" t="str">
        <f aca="false">IF(K65="LabaRugi",INDEX(I_COA!$D$6:$D$265,MATCH(D65,I_COA!$A$6:$A$265,0)),"")</f>
        <v/>
      </c>
      <c r="M65" s="34" t="str">
        <f aca="false">IF(K65="Neraca",INDEX(I_COA!$E$6:$E$265,MATCH(D65,I_COA!$A$6:$A$265,0)),"")</f>
        <v>Trade Receivables - Third Parties</v>
      </c>
      <c r="N65" s="34" t="str">
        <f aca="false">IF(D65="","",IFERROR(INDEX(I_COA!$G$6:$G$265,MATCH(D65,I_COA!$A$6:$A$265,0)),"N"))</f>
        <v>N</v>
      </c>
      <c r="O65" s="11" t="n">
        <f aca="false">IF(N65="N",ABS(J65),"")</f>
        <v>83011970</v>
      </c>
      <c r="P65" s="18" t="str">
        <f aca="false">IF(N65="N",B65&amp;"|"&amp;ROUND(O65,0),"")</f>
        <v>B7626080004|83011970</v>
      </c>
      <c r="Q65" s="18" t="str">
        <f aca="false">IF(N65&lt;&gt;"Y","",IFERROR(INDEX($D$6:$D$4005,MATCH(B65&amp;"|"&amp;ROUND(_xlfn.MAXIFS($O$6:$O$4005,$B$6:$B$4005,B65,$N$6:$N$4005,"N"),0),$P$6:$P$4005,0)),"(tanpa lawan)"))</f>
        <v/>
      </c>
      <c r="R65" s="44"/>
      <c r="S65" s="9" t="str">
        <f aca="false">IF(N65&lt;&gt;"Y","",IF(R65&lt;&gt;"",R65,IF(Q65="(tanpa lawan)","Transfer antar rekening",IFERROR(INDEX(I_COA!$F$6:$F$265,MATCH(Q65,I_COA!$A$6:$A$265,0)),"?"))))</f>
        <v/>
      </c>
    </row>
    <row r="66" customFormat="false" ht="15" hidden="false" customHeight="false" outlineLevel="0" collapsed="false">
      <c r="A66" s="37" t="n">
        <v>46236</v>
      </c>
      <c r="B66" s="44" t="s">
        <v>658</v>
      </c>
      <c r="C66" s="44" t="s">
        <v>580</v>
      </c>
      <c r="D66" s="44" t="n">
        <v>1102001</v>
      </c>
      <c r="E66" s="44" t="s">
        <v>586</v>
      </c>
      <c r="F66" s="44" t="s">
        <v>659</v>
      </c>
      <c r="G66" s="42" t="n">
        <v>112350000</v>
      </c>
      <c r="H66" s="42"/>
      <c r="I66" s="44"/>
      <c r="J66" s="11" t="n">
        <f aca="false">IF(D66="","",N(G66)-N(H66))</f>
        <v>112350000</v>
      </c>
      <c r="K66" s="34" t="str">
        <f aca="false">IF(D66="","",IFERROR(INDEX(I_COA!$C$6:$C$265,MATCH(D66,I_COA!$A$6:$A$265,0)),"AKUN BARU"))</f>
        <v>Neraca</v>
      </c>
      <c r="L66" s="34" t="str">
        <f aca="false">IF(K66="LabaRugi",INDEX(I_COA!$D$6:$D$265,MATCH(D66,I_COA!$A$6:$A$265,0)),"")</f>
        <v/>
      </c>
      <c r="M66" s="34" t="str">
        <f aca="false">IF(K66="Neraca",INDEX(I_COA!$E$6:$E$265,MATCH(D66,I_COA!$A$6:$A$265,0)),"")</f>
        <v>Cash and cash equivalents</v>
      </c>
      <c r="N66" s="34" t="str">
        <f aca="false">IF(D66="","",IFERROR(INDEX(I_COA!$G$6:$G$265,MATCH(D66,I_COA!$A$6:$A$265,0)),"N"))</f>
        <v>Y</v>
      </c>
      <c r="O66" s="11" t="str">
        <f aca="false">IF(N66="N",ABS(J66),"")</f>
        <v/>
      </c>
      <c r="P66" s="18" t="str">
        <f aca="false">IF(N66="N",B66&amp;"|"&amp;ROUND(O66,0),"")</f>
        <v/>
      </c>
      <c r="Q66" s="18" t="n">
        <f aca="false">IF(N66&lt;&gt;"Y","",IFERROR(INDEX($D$6:$D$4005,MATCH(B66&amp;"|"&amp;ROUND(_xlfn.MAXIFS($O$6:$O$4005,$B$6:$B$4005,B66,$N$6:$N$4005,"N"),0),$P$6:$P$4005,0)),"(tanpa lawan)"))</f>
        <v>2101020</v>
      </c>
      <c r="R66" s="44"/>
      <c r="S66" s="9" t="str">
        <f aca="false">IF(N66&lt;&gt;"Y","",IF(R66&lt;&gt;"",R66,IF(Q66="(tanpa lawan)","Transfer antar rekening",IFERROR(INDEX(I_COA!$F$6:$F$265,MATCH(Q66,I_COA!$A$6:$A$265,0)),"?"))))</f>
        <v>Penerimaan dari pelanggan</v>
      </c>
    </row>
    <row r="67" customFormat="false" ht="15" hidden="false" customHeight="false" outlineLevel="0" collapsed="false">
      <c r="A67" s="37" t="n">
        <v>46236</v>
      </c>
      <c r="B67" s="44" t="s">
        <v>658</v>
      </c>
      <c r="C67" s="44" t="s">
        <v>580</v>
      </c>
      <c r="D67" s="44" t="n">
        <v>2101020</v>
      </c>
      <c r="E67" s="44" t="s">
        <v>653</v>
      </c>
      <c r="F67" s="44" t="s">
        <v>659</v>
      </c>
      <c r="G67" s="42"/>
      <c r="H67" s="42" t="n">
        <v>112350000</v>
      </c>
      <c r="I67" s="44" t="s">
        <v>660</v>
      </c>
      <c r="J67" s="11" t="n">
        <f aca="false">IF(D67="","",N(G67)-N(H67))</f>
        <v>-112350000</v>
      </c>
      <c r="K67" s="34" t="str">
        <f aca="false">IF(D67="","",IFERROR(INDEX(I_COA!$C$6:$C$265,MATCH(D67,I_COA!$A$6:$A$265,0)),"AKUN BARU"))</f>
        <v>Neraca</v>
      </c>
      <c r="L67" s="34" t="str">
        <f aca="false">IF(K67="LabaRugi",INDEX(I_COA!$D$6:$D$265,MATCH(D67,I_COA!$A$6:$A$265,0)),"")</f>
        <v/>
      </c>
      <c r="M67" s="34" t="str">
        <f aca="false">IF(K67="Neraca",INDEX(I_COA!$E$6:$E$265,MATCH(D67,I_COA!$A$6:$A$265,0)),"")</f>
        <v>Unearned Revenue</v>
      </c>
      <c r="N67" s="34" t="str">
        <f aca="false">IF(D67="","",IFERROR(INDEX(I_COA!$G$6:$G$265,MATCH(D67,I_COA!$A$6:$A$265,0)),"N"))</f>
        <v>N</v>
      </c>
      <c r="O67" s="11" t="n">
        <f aca="false">IF(N67="N",ABS(J67),"")</f>
        <v>112350000</v>
      </c>
      <c r="P67" s="18" t="str">
        <f aca="false">IF(N67="N",B67&amp;"|"&amp;ROUND(O67,0),"")</f>
        <v>B7626080005|112350000</v>
      </c>
      <c r="Q67" s="18" t="str">
        <f aca="false">IF(N67&lt;&gt;"Y","",IFERROR(INDEX($D$6:$D$4005,MATCH(B67&amp;"|"&amp;ROUND(_xlfn.MAXIFS($O$6:$O$4005,$B$6:$B$4005,B67,$N$6:$N$4005,"N"),0),$P$6:$P$4005,0)),"(tanpa lawan)"))</f>
        <v/>
      </c>
      <c r="R67" s="44"/>
      <c r="S67" s="9" t="str">
        <f aca="false">IF(N67&lt;&gt;"Y","",IF(R67&lt;&gt;"",R67,IF(Q67="(tanpa lawan)","Transfer antar rekening",IFERROR(INDEX(I_COA!$F$6:$F$265,MATCH(Q67,I_COA!$A$6:$A$265,0)),"?"))))</f>
        <v/>
      </c>
    </row>
    <row r="68" customFormat="false" ht="15" hidden="false" customHeight="false" outlineLevel="0" collapsed="false">
      <c r="A68" s="37" t="n">
        <v>46236</v>
      </c>
      <c r="B68" s="44" t="s">
        <v>661</v>
      </c>
      <c r="C68" s="44" t="s">
        <v>580</v>
      </c>
      <c r="D68" s="44" t="n">
        <v>7200003</v>
      </c>
      <c r="E68" s="44" t="s">
        <v>581</v>
      </c>
      <c r="F68" s="44" t="s">
        <v>662</v>
      </c>
      <c r="G68" s="42" t="n">
        <v>30000</v>
      </c>
      <c r="H68" s="42"/>
      <c r="I68" s="44"/>
      <c r="J68" s="11" t="n">
        <f aca="false">IF(D68="","",N(G68)-N(H68))</f>
        <v>30000</v>
      </c>
      <c r="K68" s="34" t="str">
        <f aca="false">IF(D68="","",IFERROR(INDEX(I_COA!$C$6:$C$265,MATCH(D68,I_COA!$A$6:$A$265,0)),"AKUN BARU"))</f>
        <v>LabaRugi</v>
      </c>
      <c r="L68" s="34" t="str">
        <f aca="false">IF(K68="LabaRugi",INDEX(I_COA!$D$6:$D$265,MATCH(D68,I_COA!$A$6:$A$265,0)),"")</f>
        <v>Other Expense</v>
      </c>
      <c r="M68" s="34" t="str">
        <f aca="false">IF(K68="Neraca",INDEX(I_COA!$E$6:$E$265,MATCH(D68,I_COA!$A$6:$A$265,0)),"")</f>
        <v/>
      </c>
      <c r="N68" s="34" t="str">
        <f aca="false">IF(D68="","",IFERROR(INDEX(I_COA!$G$6:$G$265,MATCH(D68,I_COA!$A$6:$A$265,0)),"N"))</f>
        <v>N</v>
      </c>
      <c r="O68" s="11" t="n">
        <f aca="false">IF(N68="N",ABS(J68),"")</f>
        <v>30000</v>
      </c>
      <c r="P68" s="18" t="str">
        <f aca="false">IF(N68="N",B68&amp;"|"&amp;ROUND(O68,0),"")</f>
        <v>B7726080001|30000</v>
      </c>
      <c r="Q68" s="18" t="str">
        <f aca="false">IF(N68&lt;&gt;"Y","",IFERROR(INDEX($D$6:$D$4005,MATCH(B68&amp;"|"&amp;ROUND(_xlfn.MAXIFS($O$6:$O$4005,$B$6:$B$4005,B68,$N$6:$N$4005,"N"),0),$P$6:$P$4005,0)),"(tanpa lawan)"))</f>
        <v/>
      </c>
      <c r="R68" s="44"/>
      <c r="S68" s="9" t="str">
        <f aca="false">IF(N68&lt;&gt;"Y","",IF(R68&lt;&gt;"",R68,IF(Q68="(tanpa lawan)","Transfer antar rekening",IFERROR(INDEX(I_COA!$F$6:$F$265,MATCH(Q68,I_COA!$A$6:$A$265,0)),"?"))))</f>
        <v/>
      </c>
    </row>
    <row r="69" customFormat="false" ht="15" hidden="false" customHeight="false" outlineLevel="0" collapsed="false">
      <c r="A69" s="37" t="n">
        <v>46236</v>
      </c>
      <c r="B69" s="44" t="s">
        <v>661</v>
      </c>
      <c r="C69" s="44" t="s">
        <v>580</v>
      </c>
      <c r="D69" s="44" t="n">
        <v>1102001</v>
      </c>
      <c r="E69" s="44" t="s">
        <v>586</v>
      </c>
      <c r="F69" s="44" t="s">
        <v>663</v>
      </c>
      <c r="G69" s="42"/>
      <c r="H69" s="42" t="n">
        <v>30000</v>
      </c>
      <c r="I69" s="44"/>
      <c r="J69" s="11" t="n">
        <f aca="false">IF(D69="","",N(G69)-N(H69))</f>
        <v>-30000</v>
      </c>
      <c r="K69" s="34" t="str">
        <f aca="false">IF(D69="","",IFERROR(INDEX(I_COA!$C$6:$C$265,MATCH(D69,I_COA!$A$6:$A$265,0)),"AKUN BARU"))</f>
        <v>Neraca</v>
      </c>
      <c r="L69" s="34" t="str">
        <f aca="false">IF(K69="LabaRugi",INDEX(I_COA!$D$6:$D$265,MATCH(D69,I_COA!$A$6:$A$265,0)),"")</f>
        <v/>
      </c>
      <c r="M69" s="34" t="str">
        <f aca="false">IF(K69="Neraca",INDEX(I_COA!$E$6:$E$265,MATCH(D69,I_COA!$A$6:$A$265,0)),"")</f>
        <v>Cash and cash equivalents</v>
      </c>
      <c r="N69" s="34" t="str">
        <f aca="false">IF(D69="","",IFERROR(INDEX(I_COA!$G$6:$G$265,MATCH(D69,I_COA!$A$6:$A$265,0)),"N"))</f>
        <v>Y</v>
      </c>
      <c r="O69" s="11" t="str">
        <f aca="false">IF(N69="N",ABS(J69),"")</f>
        <v/>
      </c>
      <c r="P69" s="18" t="str">
        <f aca="false">IF(N69="N",B69&amp;"|"&amp;ROUND(O69,0),"")</f>
        <v/>
      </c>
      <c r="Q69" s="18" t="n">
        <f aca="false">IF(N69&lt;&gt;"Y","",IFERROR(INDEX($D$6:$D$4005,MATCH(B69&amp;"|"&amp;ROUND(_xlfn.MAXIFS($O$6:$O$4005,$B$6:$B$4005,B69,$N$6:$N$4005,"N"),0),$P$6:$P$4005,0)),"(tanpa lawan)"))</f>
        <v>7200003</v>
      </c>
      <c r="R69" s="44"/>
      <c r="S69" s="9" t="str">
        <f aca="false">IF(N69&lt;&gt;"Y","",IF(R69&lt;&gt;"",R69,IF(Q69="(tanpa lawan)","Transfer antar rekening",IFERROR(INDEX(I_COA!$F$6:$F$265,MATCH(Q69,I_COA!$A$6:$A$265,0)),"?"))))</f>
        <v>Bunga &amp; biaya bank</v>
      </c>
    </row>
    <row r="70" customFormat="false" ht="15" hidden="false" customHeight="false" outlineLevel="0" collapsed="false">
      <c r="A70" s="37" t="n">
        <v>46237</v>
      </c>
      <c r="B70" s="44" t="s">
        <v>664</v>
      </c>
      <c r="C70" s="44" t="s">
        <v>580</v>
      </c>
      <c r="D70" s="44" t="n">
        <v>1102001</v>
      </c>
      <c r="E70" s="44" t="s">
        <v>586</v>
      </c>
      <c r="F70" s="44" t="s">
        <v>665</v>
      </c>
      <c r="G70" s="42" t="n">
        <v>44000</v>
      </c>
      <c r="H70" s="42"/>
      <c r="I70" s="44"/>
      <c r="J70" s="11" t="n">
        <f aca="false">IF(D70="","",N(G70)-N(H70))</f>
        <v>44000</v>
      </c>
      <c r="K70" s="34" t="str">
        <f aca="false">IF(D70="","",IFERROR(INDEX(I_COA!$C$6:$C$265,MATCH(D70,I_COA!$A$6:$A$265,0)),"AKUN BARU"))</f>
        <v>Neraca</v>
      </c>
      <c r="L70" s="34" t="str">
        <f aca="false">IF(K70="LabaRugi",INDEX(I_COA!$D$6:$D$265,MATCH(D70,I_COA!$A$6:$A$265,0)),"")</f>
        <v/>
      </c>
      <c r="M70" s="34" t="str">
        <f aca="false">IF(K70="Neraca",INDEX(I_COA!$E$6:$E$265,MATCH(D70,I_COA!$A$6:$A$265,0)),"")</f>
        <v>Cash and cash equivalents</v>
      </c>
      <c r="N70" s="34" t="str">
        <f aca="false">IF(D70="","",IFERROR(INDEX(I_COA!$G$6:$G$265,MATCH(D70,I_COA!$A$6:$A$265,0)),"N"))</f>
        <v>Y</v>
      </c>
      <c r="O70" s="11" t="str">
        <f aca="false">IF(N70="N",ABS(J70),"")</f>
        <v/>
      </c>
      <c r="P70" s="18" t="str">
        <f aca="false">IF(N70="N",B70&amp;"|"&amp;ROUND(O70,0),"")</f>
        <v/>
      </c>
      <c r="Q70" s="18" t="n">
        <f aca="false">IF(N70&lt;&gt;"Y","",IFERROR(INDEX($D$6:$D$4005,MATCH(B70&amp;"|"&amp;ROUND(_xlfn.MAXIFS($O$6:$O$4005,$B$6:$B$4005,B70,$N$6:$N$4005,"N"),0),$P$6:$P$4005,0)),"(tanpa lawan)"))</f>
        <v>1103120</v>
      </c>
      <c r="R70" s="44"/>
      <c r="S70" s="9" t="str">
        <f aca="false">IF(N70&lt;&gt;"Y","",IF(R70&lt;&gt;"",R70,IF(Q70="(tanpa lawan)","Transfer antar rekening",IFERROR(INDEX(I_COA!$F$6:$F$265,MATCH(Q70,I_COA!$A$6:$A$265,0)),"?"))))</f>
        <v>Bayar biaya operasional lain</v>
      </c>
    </row>
    <row r="71" customFormat="false" ht="15" hidden="false" customHeight="false" outlineLevel="0" collapsed="false">
      <c r="A71" s="37" t="n">
        <v>46237</v>
      </c>
      <c r="B71" s="44" t="s">
        <v>664</v>
      </c>
      <c r="C71" s="44" t="s">
        <v>580</v>
      </c>
      <c r="D71" s="44" t="n">
        <v>1103120</v>
      </c>
      <c r="E71" s="44" t="s">
        <v>640</v>
      </c>
      <c r="F71" s="44" t="s">
        <v>665</v>
      </c>
      <c r="G71" s="42"/>
      <c r="H71" s="42" t="n">
        <v>44000</v>
      </c>
      <c r="I71" s="44" t="s">
        <v>660</v>
      </c>
      <c r="J71" s="11" t="n">
        <f aca="false">IF(D71="","",N(G71)-N(H71))</f>
        <v>-44000</v>
      </c>
      <c r="K71" s="34" t="str">
        <f aca="false">IF(D71="","",IFERROR(INDEX(I_COA!$C$6:$C$265,MATCH(D71,I_COA!$A$6:$A$265,0)),"AKUN BARU"))</f>
        <v>Neraca</v>
      </c>
      <c r="L71" s="34" t="str">
        <f aca="false">IF(K71="LabaRugi",INDEX(I_COA!$D$6:$D$265,MATCH(D71,I_COA!$A$6:$A$265,0)),"")</f>
        <v/>
      </c>
      <c r="M71" s="34" t="str">
        <f aca="false">IF(K71="Neraca",INDEX(I_COA!$E$6:$E$265,MATCH(D71,I_COA!$A$6:$A$265,0)),"")</f>
        <v>Advance Payment</v>
      </c>
      <c r="N71" s="34" t="str">
        <f aca="false">IF(D71="","",IFERROR(INDEX(I_COA!$G$6:$G$265,MATCH(D71,I_COA!$A$6:$A$265,0)),"N"))</f>
        <v>N</v>
      </c>
      <c r="O71" s="11" t="n">
        <f aca="false">IF(N71="N",ABS(J71),"")</f>
        <v>44000</v>
      </c>
      <c r="P71" s="18" t="str">
        <f aca="false">IF(N71="N",B71&amp;"|"&amp;ROUND(O71,0),"")</f>
        <v>B7626080006|44000</v>
      </c>
      <c r="Q71" s="18" t="str">
        <f aca="false">IF(N71&lt;&gt;"Y","",IFERROR(INDEX($D$6:$D$4005,MATCH(B71&amp;"|"&amp;ROUND(_xlfn.MAXIFS($O$6:$O$4005,$B$6:$B$4005,B71,$N$6:$N$4005,"N"),0),$P$6:$P$4005,0)),"(tanpa lawan)"))</f>
        <v/>
      </c>
      <c r="R71" s="44"/>
      <c r="S71" s="9" t="str">
        <f aca="false">IF(N71&lt;&gt;"Y","",IF(R71&lt;&gt;"",R71,IF(Q71="(tanpa lawan)","Transfer antar rekening",IFERROR(INDEX(I_COA!$F$6:$F$265,MATCH(Q71,I_COA!$A$6:$A$265,0)),"?"))))</f>
        <v/>
      </c>
    </row>
    <row r="72" customFormat="false" ht="15" hidden="false" customHeight="false" outlineLevel="0" collapsed="false">
      <c r="A72" s="37" t="n">
        <v>46237</v>
      </c>
      <c r="B72" s="44" t="s">
        <v>666</v>
      </c>
      <c r="C72" s="44" t="s">
        <v>585</v>
      </c>
      <c r="D72" s="44" t="n">
        <v>1102001</v>
      </c>
      <c r="E72" s="44" t="s">
        <v>586</v>
      </c>
      <c r="F72" s="44" t="s">
        <v>667</v>
      </c>
      <c r="G72" s="42" t="n">
        <v>222712572</v>
      </c>
      <c r="H72" s="42"/>
      <c r="I72" s="44" t="s">
        <v>606</v>
      </c>
      <c r="J72" s="11" t="n">
        <f aca="false">IF(D72="","",N(G72)-N(H72))</f>
        <v>222712572</v>
      </c>
      <c r="K72" s="34" t="str">
        <f aca="false">IF(D72="","",IFERROR(INDEX(I_COA!$C$6:$C$265,MATCH(D72,I_COA!$A$6:$A$265,0)),"AKUN BARU"))</f>
        <v>Neraca</v>
      </c>
      <c r="L72" s="34" t="str">
        <f aca="false">IF(K72="LabaRugi",INDEX(I_COA!$D$6:$D$265,MATCH(D72,I_COA!$A$6:$A$265,0)),"")</f>
        <v/>
      </c>
      <c r="M72" s="34" t="str">
        <f aca="false">IF(K72="Neraca",INDEX(I_COA!$E$6:$E$265,MATCH(D72,I_COA!$A$6:$A$265,0)),"")</f>
        <v>Cash and cash equivalents</v>
      </c>
      <c r="N72" s="34" t="str">
        <f aca="false">IF(D72="","",IFERROR(INDEX(I_COA!$G$6:$G$265,MATCH(D72,I_COA!$A$6:$A$265,0)),"N"))</f>
        <v>Y</v>
      </c>
      <c r="O72" s="11" t="str">
        <f aca="false">IF(N72="N",ABS(J72),"")</f>
        <v/>
      </c>
      <c r="P72" s="18" t="str">
        <f aca="false">IF(N72="N",B72&amp;"|"&amp;ROUND(O72,0),"")</f>
        <v/>
      </c>
      <c r="Q72" s="18" t="n">
        <f aca="false">IF(N72&lt;&gt;"Y","",IFERROR(INDEX($D$6:$D$4005,MATCH(B72&amp;"|"&amp;ROUND(_xlfn.MAXIFS($O$6:$O$4005,$B$6:$B$4005,B72,$N$6:$N$4005,"N"),0),$P$6:$P$4005,0)),"(tanpa lawan)"))</f>
        <v>1103101</v>
      </c>
      <c r="R72" s="44"/>
      <c r="S72" s="9" t="str">
        <f aca="false">IF(N72&lt;&gt;"Y","",IF(R72&lt;&gt;"",R72,IF(Q72="(tanpa lawan)","Transfer antar rekening",IFERROR(INDEX(I_COA!$F$6:$F$265,MATCH(Q72,I_COA!$A$6:$A$265,0)),"?"))))</f>
        <v>Penerimaan dari pelanggan</v>
      </c>
    </row>
    <row r="73" customFormat="false" ht="15" hidden="false" customHeight="false" outlineLevel="0" collapsed="false">
      <c r="A73" s="37" t="n">
        <v>46237</v>
      </c>
      <c r="B73" s="44" t="s">
        <v>666</v>
      </c>
      <c r="C73" s="44" t="s">
        <v>585</v>
      </c>
      <c r="D73" s="44" t="n">
        <v>1103101</v>
      </c>
      <c r="E73" s="44" t="s">
        <v>589</v>
      </c>
      <c r="F73" s="44" t="s">
        <v>667</v>
      </c>
      <c r="G73" s="42"/>
      <c r="H73" s="42" t="n">
        <v>222712572</v>
      </c>
      <c r="I73" s="44" t="s">
        <v>606</v>
      </c>
      <c r="J73" s="11" t="n">
        <f aca="false">IF(D73="","",N(G73)-N(H73))</f>
        <v>-222712572</v>
      </c>
      <c r="K73" s="34" t="str">
        <f aca="false">IF(D73="","",IFERROR(INDEX(I_COA!$C$6:$C$265,MATCH(D73,I_COA!$A$6:$A$265,0)),"AKUN BARU"))</f>
        <v>Neraca</v>
      </c>
      <c r="L73" s="34" t="str">
        <f aca="false">IF(K73="LabaRugi",INDEX(I_COA!$D$6:$D$265,MATCH(D73,I_COA!$A$6:$A$265,0)),"")</f>
        <v/>
      </c>
      <c r="M73" s="34" t="str">
        <f aca="false">IF(K73="Neraca",INDEX(I_COA!$E$6:$E$265,MATCH(D73,I_COA!$A$6:$A$265,0)),"")</f>
        <v>Trade Receivables - Third Parties</v>
      </c>
      <c r="N73" s="34" t="str">
        <f aca="false">IF(D73="","",IFERROR(INDEX(I_COA!$G$6:$G$265,MATCH(D73,I_COA!$A$6:$A$265,0)),"N"))</f>
        <v>N</v>
      </c>
      <c r="O73" s="11" t="n">
        <f aca="false">IF(N73="N",ABS(J73),"")</f>
        <v>222712572</v>
      </c>
      <c r="P73" s="18" t="str">
        <f aca="false">IF(N73="N",B73&amp;"|"&amp;ROUND(O73,0),"")</f>
        <v>B7626080007|222712572</v>
      </c>
      <c r="Q73" s="18" t="str">
        <f aca="false">IF(N73&lt;&gt;"Y","",IFERROR(INDEX($D$6:$D$4005,MATCH(B73&amp;"|"&amp;ROUND(_xlfn.MAXIFS($O$6:$O$4005,$B$6:$B$4005,B73,$N$6:$N$4005,"N"),0),$P$6:$P$4005,0)),"(tanpa lawan)"))</f>
        <v/>
      </c>
      <c r="R73" s="44"/>
      <c r="S73" s="9" t="str">
        <f aca="false">IF(N73&lt;&gt;"Y","",IF(R73&lt;&gt;"",R73,IF(Q73="(tanpa lawan)","Transfer antar rekening",IFERROR(INDEX(I_COA!$F$6:$F$265,MATCH(Q73,I_COA!$A$6:$A$265,0)),"?"))))</f>
        <v/>
      </c>
    </row>
    <row r="74" customFormat="false" ht="15" hidden="false" customHeight="false" outlineLevel="0" collapsed="false">
      <c r="A74" s="37" t="n">
        <v>46237</v>
      </c>
      <c r="B74" s="44" t="s">
        <v>668</v>
      </c>
      <c r="C74" s="44" t="s">
        <v>585</v>
      </c>
      <c r="D74" s="44" t="n">
        <v>1102001</v>
      </c>
      <c r="E74" s="44" t="s">
        <v>586</v>
      </c>
      <c r="F74" s="44" t="s">
        <v>669</v>
      </c>
      <c r="G74" s="42" t="n">
        <v>33474000</v>
      </c>
      <c r="H74" s="42"/>
      <c r="I74" s="44" t="s">
        <v>670</v>
      </c>
      <c r="J74" s="11" t="n">
        <f aca="false">IF(D74="","",N(G74)-N(H74))</f>
        <v>33474000</v>
      </c>
      <c r="K74" s="34" t="str">
        <f aca="false">IF(D74="","",IFERROR(INDEX(I_COA!$C$6:$C$265,MATCH(D74,I_COA!$A$6:$A$265,0)),"AKUN BARU"))</f>
        <v>Neraca</v>
      </c>
      <c r="L74" s="34" t="str">
        <f aca="false">IF(K74="LabaRugi",INDEX(I_COA!$D$6:$D$265,MATCH(D74,I_COA!$A$6:$A$265,0)),"")</f>
        <v/>
      </c>
      <c r="M74" s="34" t="str">
        <f aca="false">IF(K74="Neraca",INDEX(I_COA!$E$6:$E$265,MATCH(D74,I_COA!$A$6:$A$265,0)),"")</f>
        <v>Cash and cash equivalents</v>
      </c>
      <c r="N74" s="34" t="str">
        <f aca="false">IF(D74="","",IFERROR(INDEX(I_COA!$G$6:$G$265,MATCH(D74,I_COA!$A$6:$A$265,0)),"N"))</f>
        <v>Y</v>
      </c>
      <c r="O74" s="11" t="str">
        <f aca="false">IF(N74="N",ABS(J74),"")</f>
        <v/>
      </c>
      <c r="P74" s="18" t="str">
        <f aca="false">IF(N74="N",B74&amp;"|"&amp;ROUND(O74,0),"")</f>
        <v/>
      </c>
      <c r="Q74" s="18" t="n">
        <f aca="false">IF(N74&lt;&gt;"Y","",IFERROR(INDEX($D$6:$D$4005,MATCH(B74&amp;"|"&amp;ROUND(_xlfn.MAXIFS($O$6:$O$4005,$B$6:$B$4005,B74,$N$6:$N$4005,"N"),0),$P$6:$P$4005,0)),"(tanpa lawan)"))</f>
        <v>1103101</v>
      </c>
      <c r="R74" s="44"/>
      <c r="S74" s="9" t="str">
        <f aca="false">IF(N74&lt;&gt;"Y","",IF(R74&lt;&gt;"",R74,IF(Q74="(tanpa lawan)","Transfer antar rekening",IFERROR(INDEX(I_COA!$F$6:$F$265,MATCH(Q74,I_COA!$A$6:$A$265,0)),"?"))))</f>
        <v>Penerimaan dari pelanggan</v>
      </c>
    </row>
    <row r="75" customFormat="false" ht="15" hidden="false" customHeight="false" outlineLevel="0" collapsed="false">
      <c r="A75" s="37" t="n">
        <v>46237</v>
      </c>
      <c r="B75" s="44" t="s">
        <v>668</v>
      </c>
      <c r="C75" s="44" t="s">
        <v>585</v>
      </c>
      <c r="D75" s="44" t="n">
        <v>1103101</v>
      </c>
      <c r="E75" s="44" t="s">
        <v>589</v>
      </c>
      <c r="F75" s="44" t="s">
        <v>669</v>
      </c>
      <c r="G75" s="42"/>
      <c r="H75" s="42" t="n">
        <v>33474000</v>
      </c>
      <c r="I75" s="44" t="s">
        <v>670</v>
      </c>
      <c r="J75" s="11" t="n">
        <f aca="false">IF(D75="","",N(G75)-N(H75))</f>
        <v>-33474000</v>
      </c>
      <c r="K75" s="34" t="str">
        <f aca="false">IF(D75="","",IFERROR(INDEX(I_COA!$C$6:$C$265,MATCH(D75,I_COA!$A$6:$A$265,0)),"AKUN BARU"))</f>
        <v>Neraca</v>
      </c>
      <c r="L75" s="34" t="str">
        <f aca="false">IF(K75="LabaRugi",INDEX(I_COA!$D$6:$D$265,MATCH(D75,I_COA!$A$6:$A$265,0)),"")</f>
        <v/>
      </c>
      <c r="M75" s="34" t="str">
        <f aca="false">IF(K75="Neraca",INDEX(I_COA!$E$6:$E$265,MATCH(D75,I_COA!$A$6:$A$265,0)),"")</f>
        <v>Trade Receivables - Third Parties</v>
      </c>
      <c r="N75" s="34" t="str">
        <f aca="false">IF(D75="","",IFERROR(INDEX(I_COA!$G$6:$G$265,MATCH(D75,I_COA!$A$6:$A$265,0)),"N"))</f>
        <v>N</v>
      </c>
      <c r="O75" s="11" t="n">
        <f aca="false">IF(N75="N",ABS(J75),"")</f>
        <v>33474000</v>
      </c>
      <c r="P75" s="18" t="str">
        <f aca="false">IF(N75="N",B75&amp;"|"&amp;ROUND(O75,0),"")</f>
        <v>B7626080008|33474000</v>
      </c>
      <c r="Q75" s="18" t="str">
        <f aca="false">IF(N75&lt;&gt;"Y","",IFERROR(INDEX($D$6:$D$4005,MATCH(B75&amp;"|"&amp;ROUND(_xlfn.MAXIFS($O$6:$O$4005,$B$6:$B$4005,B75,$N$6:$N$4005,"N"),0),$P$6:$P$4005,0)),"(tanpa lawan)"))</f>
        <v/>
      </c>
      <c r="R75" s="44"/>
      <c r="S75" s="9" t="str">
        <f aca="false">IF(N75&lt;&gt;"Y","",IF(R75&lt;&gt;"",R75,IF(Q75="(tanpa lawan)","Transfer antar rekening",IFERROR(INDEX(I_COA!$F$6:$F$265,MATCH(Q75,I_COA!$A$6:$A$265,0)),"?"))))</f>
        <v/>
      </c>
    </row>
    <row r="76" customFormat="false" ht="15" hidden="false" customHeight="false" outlineLevel="0" collapsed="false">
      <c r="A76" s="37" t="n">
        <v>46237</v>
      </c>
      <c r="B76" s="44" t="s">
        <v>671</v>
      </c>
      <c r="C76" s="44" t="s">
        <v>585</v>
      </c>
      <c r="D76" s="44" t="n">
        <v>1102001</v>
      </c>
      <c r="E76" s="44" t="s">
        <v>586</v>
      </c>
      <c r="F76" s="44" t="s">
        <v>672</v>
      </c>
      <c r="G76" s="42" t="n">
        <v>298355700</v>
      </c>
      <c r="H76" s="42"/>
      <c r="I76" s="44" t="s">
        <v>612</v>
      </c>
      <c r="J76" s="11" t="n">
        <f aca="false">IF(D76="","",N(G76)-N(H76))</f>
        <v>298355700</v>
      </c>
      <c r="K76" s="34" t="str">
        <f aca="false">IF(D76="","",IFERROR(INDEX(I_COA!$C$6:$C$265,MATCH(D76,I_COA!$A$6:$A$265,0)),"AKUN BARU"))</f>
        <v>Neraca</v>
      </c>
      <c r="L76" s="34" t="str">
        <f aca="false">IF(K76="LabaRugi",INDEX(I_COA!$D$6:$D$265,MATCH(D76,I_COA!$A$6:$A$265,0)),"")</f>
        <v/>
      </c>
      <c r="M76" s="34" t="str">
        <f aca="false">IF(K76="Neraca",INDEX(I_COA!$E$6:$E$265,MATCH(D76,I_COA!$A$6:$A$265,0)),"")</f>
        <v>Cash and cash equivalents</v>
      </c>
      <c r="N76" s="34" t="str">
        <f aca="false">IF(D76="","",IFERROR(INDEX(I_COA!$G$6:$G$265,MATCH(D76,I_COA!$A$6:$A$265,0)),"N"))</f>
        <v>Y</v>
      </c>
      <c r="O76" s="11" t="str">
        <f aca="false">IF(N76="N",ABS(J76),"")</f>
        <v/>
      </c>
      <c r="P76" s="18" t="str">
        <f aca="false">IF(N76="N",B76&amp;"|"&amp;ROUND(O76,0),"")</f>
        <v/>
      </c>
      <c r="Q76" s="18" t="n">
        <f aca="false">IF(N76&lt;&gt;"Y","",IFERROR(INDEX($D$6:$D$4005,MATCH(B76&amp;"|"&amp;ROUND(_xlfn.MAXIFS($O$6:$O$4005,$B$6:$B$4005,B76,$N$6:$N$4005,"N"),0),$P$6:$P$4005,0)),"(tanpa lawan)"))</f>
        <v>1103101</v>
      </c>
      <c r="R76" s="44"/>
      <c r="S76" s="9" t="str">
        <f aca="false">IF(N76&lt;&gt;"Y","",IF(R76&lt;&gt;"",R76,IF(Q76="(tanpa lawan)","Transfer antar rekening",IFERROR(INDEX(I_COA!$F$6:$F$265,MATCH(Q76,I_COA!$A$6:$A$265,0)),"?"))))</f>
        <v>Penerimaan dari pelanggan</v>
      </c>
    </row>
    <row r="77" customFormat="false" ht="15" hidden="false" customHeight="false" outlineLevel="0" collapsed="false">
      <c r="A77" s="37" t="n">
        <v>46237</v>
      </c>
      <c r="B77" s="44" t="s">
        <v>671</v>
      </c>
      <c r="C77" s="44" t="s">
        <v>585</v>
      </c>
      <c r="D77" s="44" t="n">
        <v>1103101</v>
      </c>
      <c r="E77" s="44" t="s">
        <v>589</v>
      </c>
      <c r="F77" s="44" t="s">
        <v>672</v>
      </c>
      <c r="G77" s="42"/>
      <c r="H77" s="42" t="n">
        <v>298355700</v>
      </c>
      <c r="I77" s="44" t="s">
        <v>612</v>
      </c>
      <c r="J77" s="11" t="n">
        <f aca="false">IF(D77="","",N(G77)-N(H77))</f>
        <v>-298355700</v>
      </c>
      <c r="K77" s="34" t="str">
        <f aca="false">IF(D77="","",IFERROR(INDEX(I_COA!$C$6:$C$265,MATCH(D77,I_COA!$A$6:$A$265,0)),"AKUN BARU"))</f>
        <v>Neraca</v>
      </c>
      <c r="L77" s="34" t="str">
        <f aca="false">IF(K77="LabaRugi",INDEX(I_COA!$D$6:$D$265,MATCH(D77,I_COA!$A$6:$A$265,0)),"")</f>
        <v/>
      </c>
      <c r="M77" s="34" t="str">
        <f aca="false">IF(K77="Neraca",INDEX(I_COA!$E$6:$E$265,MATCH(D77,I_COA!$A$6:$A$265,0)),"")</f>
        <v>Trade Receivables - Third Parties</v>
      </c>
      <c r="N77" s="34" t="str">
        <f aca="false">IF(D77="","",IFERROR(INDEX(I_COA!$G$6:$G$265,MATCH(D77,I_COA!$A$6:$A$265,0)),"N"))</f>
        <v>N</v>
      </c>
      <c r="O77" s="11" t="n">
        <f aca="false">IF(N77="N",ABS(J77),"")</f>
        <v>298355700</v>
      </c>
      <c r="P77" s="18" t="str">
        <f aca="false">IF(N77="N",B77&amp;"|"&amp;ROUND(O77,0),"")</f>
        <v>B7626080009|298355700</v>
      </c>
      <c r="Q77" s="18" t="str">
        <f aca="false">IF(N77&lt;&gt;"Y","",IFERROR(INDEX($D$6:$D$4005,MATCH(B77&amp;"|"&amp;ROUND(_xlfn.MAXIFS($O$6:$O$4005,$B$6:$B$4005,B77,$N$6:$N$4005,"N"),0),$P$6:$P$4005,0)),"(tanpa lawan)"))</f>
        <v/>
      </c>
      <c r="R77" s="44"/>
      <c r="S77" s="9" t="str">
        <f aca="false">IF(N77&lt;&gt;"Y","",IF(R77&lt;&gt;"",R77,IF(Q77="(tanpa lawan)","Transfer antar rekening",IFERROR(INDEX(I_COA!$F$6:$F$265,MATCH(Q77,I_COA!$A$6:$A$265,0)),"?"))))</f>
        <v/>
      </c>
    </row>
    <row r="78" customFormat="false" ht="15" hidden="false" customHeight="false" outlineLevel="0" collapsed="false">
      <c r="A78" s="37" t="n">
        <v>46237</v>
      </c>
      <c r="B78" s="44" t="s">
        <v>673</v>
      </c>
      <c r="C78" s="44" t="s">
        <v>585</v>
      </c>
      <c r="D78" s="44" t="n">
        <v>1102001</v>
      </c>
      <c r="E78" s="44" t="s">
        <v>586</v>
      </c>
      <c r="F78" s="44" t="s">
        <v>674</v>
      </c>
      <c r="G78" s="42" t="n">
        <v>42686700</v>
      </c>
      <c r="H78" s="42"/>
      <c r="I78" s="44" t="s">
        <v>675</v>
      </c>
      <c r="J78" s="11" t="n">
        <f aca="false">IF(D78="","",N(G78)-N(H78))</f>
        <v>42686700</v>
      </c>
      <c r="K78" s="34" t="str">
        <f aca="false">IF(D78="","",IFERROR(INDEX(I_COA!$C$6:$C$265,MATCH(D78,I_COA!$A$6:$A$265,0)),"AKUN BARU"))</f>
        <v>Neraca</v>
      </c>
      <c r="L78" s="34" t="str">
        <f aca="false">IF(K78="LabaRugi",INDEX(I_COA!$D$6:$D$265,MATCH(D78,I_COA!$A$6:$A$265,0)),"")</f>
        <v/>
      </c>
      <c r="M78" s="34" t="str">
        <f aca="false">IF(K78="Neraca",INDEX(I_COA!$E$6:$E$265,MATCH(D78,I_COA!$A$6:$A$265,0)),"")</f>
        <v>Cash and cash equivalents</v>
      </c>
      <c r="N78" s="34" t="str">
        <f aca="false">IF(D78="","",IFERROR(INDEX(I_COA!$G$6:$G$265,MATCH(D78,I_COA!$A$6:$A$265,0)),"N"))</f>
        <v>Y</v>
      </c>
      <c r="O78" s="11" t="str">
        <f aca="false">IF(N78="N",ABS(J78),"")</f>
        <v/>
      </c>
      <c r="P78" s="18" t="str">
        <f aca="false">IF(N78="N",B78&amp;"|"&amp;ROUND(O78,0),"")</f>
        <v/>
      </c>
      <c r="Q78" s="18" t="n">
        <f aca="false">IF(N78&lt;&gt;"Y","",IFERROR(INDEX($D$6:$D$4005,MATCH(B78&amp;"|"&amp;ROUND(_xlfn.MAXIFS($O$6:$O$4005,$B$6:$B$4005,B78,$N$6:$N$4005,"N"),0),$P$6:$P$4005,0)),"(tanpa lawan)"))</f>
        <v>1103101</v>
      </c>
      <c r="R78" s="44"/>
      <c r="S78" s="9" t="str">
        <f aca="false">IF(N78&lt;&gt;"Y","",IF(R78&lt;&gt;"",R78,IF(Q78="(tanpa lawan)","Transfer antar rekening",IFERROR(INDEX(I_COA!$F$6:$F$265,MATCH(Q78,I_COA!$A$6:$A$265,0)),"?"))))</f>
        <v>Penerimaan dari pelanggan</v>
      </c>
    </row>
    <row r="79" customFormat="false" ht="15" hidden="false" customHeight="false" outlineLevel="0" collapsed="false">
      <c r="A79" s="37" t="n">
        <v>46237</v>
      </c>
      <c r="B79" s="44" t="s">
        <v>673</v>
      </c>
      <c r="C79" s="44" t="s">
        <v>585</v>
      </c>
      <c r="D79" s="44" t="n">
        <v>1103101</v>
      </c>
      <c r="E79" s="44" t="s">
        <v>589</v>
      </c>
      <c r="F79" s="44" t="s">
        <v>674</v>
      </c>
      <c r="G79" s="42"/>
      <c r="H79" s="42" t="n">
        <v>42686700</v>
      </c>
      <c r="I79" s="44" t="s">
        <v>675</v>
      </c>
      <c r="J79" s="11" t="n">
        <f aca="false">IF(D79="","",N(G79)-N(H79))</f>
        <v>-42686700</v>
      </c>
      <c r="K79" s="34" t="str">
        <f aca="false">IF(D79="","",IFERROR(INDEX(I_COA!$C$6:$C$265,MATCH(D79,I_COA!$A$6:$A$265,0)),"AKUN BARU"))</f>
        <v>Neraca</v>
      </c>
      <c r="L79" s="34" t="str">
        <f aca="false">IF(K79="LabaRugi",INDEX(I_COA!$D$6:$D$265,MATCH(D79,I_COA!$A$6:$A$265,0)),"")</f>
        <v/>
      </c>
      <c r="M79" s="34" t="str">
        <f aca="false">IF(K79="Neraca",INDEX(I_COA!$E$6:$E$265,MATCH(D79,I_COA!$A$6:$A$265,0)),"")</f>
        <v>Trade Receivables - Third Parties</v>
      </c>
      <c r="N79" s="34" t="str">
        <f aca="false">IF(D79="","",IFERROR(INDEX(I_COA!$G$6:$G$265,MATCH(D79,I_COA!$A$6:$A$265,0)),"N"))</f>
        <v>N</v>
      </c>
      <c r="O79" s="11" t="n">
        <f aca="false">IF(N79="N",ABS(J79),"")</f>
        <v>42686700</v>
      </c>
      <c r="P79" s="18" t="str">
        <f aca="false">IF(N79="N",B79&amp;"|"&amp;ROUND(O79,0),"")</f>
        <v>B7626080010|42686700</v>
      </c>
      <c r="Q79" s="18" t="str">
        <f aca="false">IF(N79&lt;&gt;"Y","",IFERROR(INDEX($D$6:$D$4005,MATCH(B79&amp;"|"&amp;ROUND(_xlfn.MAXIFS($O$6:$O$4005,$B$6:$B$4005,B79,$N$6:$N$4005,"N"),0),$P$6:$P$4005,0)),"(tanpa lawan)"))</f>
        <v/>
      </c>
      <c r="R79" s="44"/>
      <c r="S79" s="9" t="str">
        <f aca="false">IF(N79&lt;&gt;"Y","",IF(R79&lt;&gt;"",R79,IF(Q79="(tanpa lawan)","Transfer antar rekening",IFERROR(INDEX(I_COA!$F$6:$F$265,MATCH(Q79,I_COA!$A$6:$A$265,0)),"?"))))</f>
        <v/>
      </c>
    </row>
    <row r="80" customFormat="false" ht="15" hidden="false" customHeight="false" outlineLevel="0" collapsed="false">
      <c r="A80" s="37" t="n">
        <v>46237</v>
      </c>
      <c r="B80" s="44" t="s">
        <v>676</v>
      </c>
      <c r="C80" s="44" t="s">
        <v>580</v>
      </c>
      <c r="D80" s="44" t="n">
        <v>7200003</v>
      </c>
      <c r="E80" s="44" t="s">
        <v>581</v>
      </c>
      <c r="F80" s="44" t="s">
        <v>677</v>
      </c>
      <c r="G80" s="42" t="n">
        <v>30000</v>
      </c>
      <c r="H80" s="42"/>
      <c r="I80" s="44"/>
      <c r="J80" s="11" t="n">
        <f aca="false">IF(D80="","",N(G80)-N(H80))</f>
        <v>30000</v>
      </c>
      <c r="K80" s="34" t="str">
        <f aca="false">IF(D80="","",IFERROR(INDEX(I_COA!$C$6:$C$265,MATCH(D80,I_COA!$A$6:$A$265,0)),"AKUN BARU"))</f>
        <v>LabaRugi</v>
      </c>
      <c r="L80" s="34" t="str">
        <f aca="false">IF(K80="LabaRugi",INDEX(I_COA!$D$6:$D$265,MATCH(D80,I_COA!$A$6:$A$265,0)),"")</f>
        <v>Other Expense</v>
      </c>
      <c r="M80" s="34" t="str">
        <f aca="false">IF(K80="Neraca",INDEX(I_COA!$E$6:$E$265,MATCH(D80,I_COA!$A$6:$A$265,0)),"")</f>
        <v/>
      </c>
      <c r="N80" s="34" t="str">
        <f aca="false">IF(D80="","",IFERROR(INDEX(I_COA!$G$6:$G$265,MATCH(D80,I_COA!$A$6:$A$265,0)),"N"))</f>
        <v>N</v>
      </c>
      <c r="O80" s="11" t="n">
        <f aca="false">IF(N80="N",ABS(J80),"")</f>
        <v>30000</v>
      </c>
      <c r="P80" s="18" t="str">
        <f aca="false">IF(N80="N",B80&amp;"|"&amp;ROUND(O80,0),"")</f>
        <v>B8526080002|30000</v>
      </c>
      <c r="Q80" s="18" t="str">
        <f aca="false">IF(N80&lt;&gt;"Y","",IFERROR(INDEX($D$6:$D$4005,MATCH(B80&amp;"|"&amp;ROUND(_xlfn.MAXIFS($O$6:$O$4005,$B$6:$B$4005,B80,$N$6:$N$4005,"N"),0),$P$6:$P$4005,0)),"(tanpa lawan)"))</f>
        <v/>
      </c>
      <c r="R80" s="44"/>
      <c r="S80" s="9" t="str">
        <f aca="false">IF(N80&lt;&gt;"Y","",IF(R80&lt;&gt;"",R80,IF(Q80="(tanpa lawan)","Transfer antar rekening",IFERROR(INDEX(I_COA!$F$6:$F$265,MATCH(Q80,I_COA!$A$6:$A$265,0)),"?"))))</f>
        <v/>
      </c>
    </row>
    <row r="81" customFormat="false" ht="15" hidden="false" customHeight="false" outlineLevel="0" collapsed="false">
      <c r="A81" s="37" t="n">
        <v>46237</v>
      </c>
      <c r="B81" s="44" t="s">
        <v>676</v>
      </c>
      <c r="C81" s="44" t="s">
        <v>580</v>
      </c>
      <c r="D81" s="44" t="n">
        <v>1102002</v>
      </c>
      <c r="E81" s="44" t="s">
        <v>598</v>
      </c>
      <c r="F81" s="44" t="s">
        <v>677</v>
      </c>
      <c r="G81" s="42"/>
      <c r="H81" s="42" t="n">
        <v>30000</v>
      </c>
      <c r="I81" s="44"/>
      <c r="J81" s="11" t="n">
        <f aca="false">IF(D81="","",N(G81)-N(H81))</f>
        <v>-30000</v>
      </c>
      <c r="K81" s="34" t="str">
        <f aca="false">IF(D81="","",IFERROR(INDEX(I_COA!$C$6:$C$265,MATCH(D81,I_COA!$A$6:$A$265,0)),"AKUN BARU"))</f>
        <v>Neraca</v>
      </c>
      <c r="L81" s="34" t="str">
        <f aca="false">IF(K81="LabaRugi",INDEX(I_COA!$D$6:$D$265,MATCH(D81,I_COA!$A$6:$A$265,0)),"")</f>
        <v/>
      </c>
      <c r="M81" s="34" t="str">
        <f aca="false">IF(K81="Neraca",INDEX(I_COA!$E$6:$E$265,MATCH(D81,I_COA!$A$6:$A$265,0)),"")</f>
        <v>Cash and cash equivalents</v>
      </c>
      <c r="N81" s="34" t="str">
        <f aca="false">IF(D81="","",IFERROR(INDEX(I_COA!$G$6:$G$265,MATCH(D81,I_COA!$A$6:$A$265,0)),"N"))</f>
        <v>Y</v>
      </c>
      <c r="O81" s="11" t="str">
        <f aca="false">IF(N81="N",ABS(J81),"")</f>
        <v/>
      </c>
      <c r="P81" s="18" t="str">
        <f aca="false">IF(N81="N",B81&amp;"|"&amp;ROUND(O81,0),"")</f>
        <v/>
      </c>
      <c r="Q81" s="18" t="n">
        <f aca="false">IF(N81&lt;&gt;"Y","",IFERROR(INDEX($D$6:$D$4005,MATCH(B81&amp;"|"&amp;ROUND(_xlfn.MAXIFS($O$6:$O$4005,$B$6:$B$4005,B81,$N$6:$N$4005,"N"),0),$P$6:$P$4005,0)),"(tanpa lawan)"))</f>
        <v>7200003</v>
      </c>
      <c r="R81" s="44"/>
      <c r="S81" s="9" t="str">
        <f aca="false">IF(N81&lt;&gt;"Y","",IF(R81&lt;&gt;"",R81,IF(Q81="(tanpa lawan)","Transfer antar rekening",IFERROR(INDEX(I_COA!$F$6:$F$265,MATCH(Q81,I_COA!$A$6:$A$265,0)),"?"))))</f>
        <v>Bunga &amp; biaya bank</v>
      </c>
    </row>
    <row r="82" customFormat="false" ht="15" hidden="false" customHeight="false" outlineLevel="0" collapsed="false">
      <c r="A82" s="37" t="n">
        <v>46237</v>
      </c>
      <c r="B82" s="44" t="s">
        <v>678</v>
      </c>
      <c r="C82" s="44" t="s">
        <v>594</v>
      </c>
      <c r="D82" s="44" t="n">
        <v>2101003</v>
      </c>
      <c r="E82" s="44" t="s">
        <v>679</v>
      </c>
      <c r="F82" s="44" t="s">
        <v>680</v>
      </c>
      <c r="G82" s="42" t="n">
        <v>8368000</v>
      </c>
      <c r="H82" s="42"/>
      <c r="I82" s="44" t="s">
        <v>681</v>
      </c>
      <c r="J82" s="11" t="n">
        <f aca="false">IF(D82="","",N(G82)-N(H82))</f>
        <v>8368000</v>
      </c>
      <c r="K82" s="34" t="str">
        <f aca="false">IF(D82="","",IFERROR(INDEX(I_COA!$C$6:$C$265,MATCH(D82,I_COA!$A$6:$A$265,0)),"AKUN BARU"))</f>
        <v>Neraca</v>
      </c>
      <c r="L82" s="34" t="str">
        <f aca="false">IF(K82="LabaRugi",INDEX(I_COA!$D$6:$D$265,MATCH(D82,I_COA!$A$6:$A$265,0)),"")</f>
        <v/>
      </c>
      <c r="M82" s="34" t="str">
        <f aca="false">IF(K82="Neraca",INDEX(I_COA!$E$6:$E$265,MATCH(D82,I_COA!$A$6:$A$265,0)),"")</f>
        <v>Other Payable - Third Parties</v>
      </c>
      <c r="N82" s="34" t="str">
        <f aca="false">IF(D82="","",IFERROR(INDEX(I_COA!$G$6:$G$265,MATCH(D82,I_COA!$A$6:$A$265,0)),"N"))</f>
        <v>N</v>
      </c>
      <c r="O82" s="11" t="n">
        <f aca="false">IF(N82="N",ABS(J82),"")</f>
        <v>8368000</v>
      </c>
      <c r="P82" s="18" t="str">
        <f aca="false">IF(N82="N",B82&amp;"|"&amp;ROUND(O82,0),"")</f>
        <v>B8526080003A|8368000</v>
      </c>
      <c r="Q82" s="18" t="str">
        <f aca="false">IF(N82&lt;&gt;"Y","",IFERROR(INDEX($D$6:$D$4005,MATCH(B82&amp;"|"&amp;ROUND(_xlfn.MAXIFS($O$6:$O$4005,$B$6:$B$4005,B82,$N$6:$N$4005,"N"),0),$P$6:$P$4005,0)),"(tanpa lawan)"))</f>
        <v/>
      </c>
      <c r="R82" s="44"/>
      <c r="S82" s="9" t="str">
        <f aca="false">IF(N82&lt;&gt;"Y","",IF(R82&lt;&gt;"",R82,IF(Q82="(tanpa lawan)","Transfer antar rekening",IFERROR(INDEX(I_COA!$F$6:$F$265,MATCH(Q82,I_COA!$A$6:$A$265,0)),"?"))))</f>
        <v/>
      </c>
    </row>
    <row r="83" customFormat="false" ht="15" hidden="false" customHeight="false" outlineLevel="0" collapsed="false">
      <c r="A83" s="37" t="n">
        <v>46237</v>
      </c>
      <c r="B83" s="44" t="s">
        <v>678</v>
      </c>
      <c r="C83" s="44" t="s">
        <v>594</v>
      </c>
      <c r="D83" s="44" t="n">
        <v>1102002</v>
      </c>
      <c r="E83" s="44" t="s">
        <v>598</v>
      </c>
      <c r="F83" s="44" t="s">
        <v>680</v>
      </c>
      <c r="G83" s="42"/>
      <c r="H83" s="42" t="n">
        <v>8368000</v>
      </c>
      <c r="I83" s="44" t="s">
        <v>681</v>
      </c>
      <c r="J83" s="11" t="n">
        <f aca="false">IF(D83="","",N(G83)-N(H83))</f>
        <v>-8368000</v>
      </c>
      <c r="K83" s="34" t="str">
        <f aca="false">IF(D83="","",IFERROR(INDEX(I_COA!$C$6:$C$265,MATCH(D83,I_COA!$A$6:$A$265,0)),"AKUN BARU"))</f>
        <v>Neraca</v>
      </c>
      <c r="L83" s="34" t="str">
        <f aca="false">IF(K83="LabaRugi",INDEX(I_COA!$D$6:$D$265,MATCH(D83,I_COA!$A$6:$A$265,0)),"")</f>
        <v/>
      </c>
      <c r="M83" s="34" t="str">
        <f aca="false">IF(K83="Neraca",INDEX(I_COA!$E$6:$E$265,MATCH(D83,I_COA!$A$6:$A$265,0)),"")</f>
        <v>Cash and cash equivalents</v>
      </c>
      <c r="N83" s="34" t="str">
        <f aca="false">IF(D83="","",IFERROR(INDEX(I_COA!$G$6:$G$265,MATCH(D83,I_COA!$A$6:$A$265,0)),"N"))</f>
        <v>Y</v>
      </c>
      <c r="O83" s="11" t="str">
        <f aca="false">IF(N83="N",ABS(J83),"")</f>
        <v/>
      </c>
      <c r="P83" s="18" t="str">
        <f aca="false">IF(N83="N",B83&amp;"|"&amp;ROUND(O83,0),"")</f>
        <v/>
      </c>
      <c r="Q83" s="18" t="n">
        <f aca="false">IF(N83&lt;&gt;"Y","",IFERROR(INDEX($D$6:$D$4005,MATCH(B83&amp;"|"&amp;ROUND(_xlfn.MAXIFS($O$6:$O$4005,$B$6:$B$4005,B83,$N$6:$N$4005,"N"),0),$P$6:$P$4005,0)),"(tanpa lawan)"))</f>
        <v>2101003</v>
      </c>
      <c r="R83" s="44"/>
      <c r="S83" s="9" t="str">
        <f aca="false">IF(N83&lt;&gt;"Y","",IF(R83&lt;&gt;"",R83,IF(Q83="(tanpa lawan)","Transfer antar rekening",IFERROR(INDEX(I_COA!$F$6:$F$265,MATCH(Q83,I_COA!$A$6:$A$265,0)),"?"))))</f>
        <v>Bayar jasa (maklon, angkut, cold storage, sewa)</v>
      </c>
    </row>
    <row r="84" customFormat="false" ht="15" hidden="false" customHeight="false" outlineLevel="0" collapsed="false">
      <c r="A84" s="37" t="n">
        <v>46237</v>
      </c>
      <c r="B84" s="44" t="s">
        <v>682</v>
      </c>
      <c r="C84" s="44" t="s">
        <v>594</v>
      </c>
      <c r="D84" s="44" t="n">
        <v>2101003</v>
      </c>
      <c r="E84" s="44" t="s">
        <v>679</v>
      </c>
      <c r="F84" s="44" t="s">
        <v>680</v>
      </c>
      <c r="G84" s="42" t="n">
        <v>150000</v>
      </c>
      <c r="H84" s="42"/>
      <c r="I84" s="44" t="s">
        <v>681</v>
      </c>
      <c r="J84" s="11" t="n">
        <f aca="false">IF(D84="","",N(G84)-N(H84))</f>
        <v>150000</v>
      </c>
      <c r="K84" s="34" t="str">
        <f aca="false">IF(D84="","",IFERROR(INDEX(I_COA!$C$6:$C$265,MATCH(D84,I_COA!$A$6:$A$265,0)),"AKUN BARU"))</f>
        <v>Neraca</v>
      </c>
      <c r="L84" s="34" t="str">
        <f aca="false">IF(K84="LabaRugi",INDEX(I_COA!$D$6:$D$265,MATCH(D84,I_COA!$A$6:$A$265,0)),"")</f>
        <v/>
      </c>
      <c r="M84" s="34" t="str">
        <f aca="false">IF(K84="Neraca",INDEX(I_COA!$E$6:$E$265,MATCH(D84,I_COA!$A$6:$A$265,0)),"")</f>
        <v>Other Payable - Third Parties</v>
      </c>
      <c r="N84" s="34" t="str">
        <f aca="false">IF(D84="","",IFERROR(INDEX(I_COA!$G$6:$G$265,MATCH(D84,I_COA!$A$6:$A$265,0)),"N"))</f>
        <v>N</v>
      </c>
      <c r="O84" s="11" t="n">
        <f aca="false">IF(N84="N",ABS(J84),"")</f>
        <v>150000</v>
      </c>
      <c r="P84" s="18" t="str">
        <f aca="false">IF(N84="N",B84&amp;"|"&amp;ROUND(O84,0),"")</f>
        <v>B8526080003B|150000</v>
      </c>
      <c r="Q84" s="18" t="str">
        <f aca="false">IF(N84&lt;&gt;"Y","",IFERROR(INDEX($D$6:$D$4005,MATCH(B84&amp;"|"&amp;ROUND(_xlfn.MAXIFS($O$6:$O$4005,$B$6:$B$4005,B84,$N$6:$N$4005,"N"),0),$P$6:$P$4005,0)),"(tanpa lawan)"))</f>
        <v/>
      </c>
      <c r="R84" s="44"/>
      <c r="S84" s="9" t="str">
        <f aca="false">IF(N84&lt;&gt;"Y","",IF(R84&lt;&gt;"",R84,IF(Q84="(tanpa lawan)","Transfer antar rekening",IFERROR(INDEX(I_COA!$F$6:$F$265,MATCH(Q84,I_COA!$A$6:$A$265,0)),"?"))))</f>
        <v/>
      </c>
    </row>
    <row r="85" customFormat="false" ht="15" hidden="false" customHeight="false" outlineLevel="0" collapsed="false">
      <c r="A85" s="37" t="n">
        <v>46237</v>
      </c>
      <c r="B85" s="44" t="s">
        <v>682</v>
      </c>
      <c r="C85" s="44" t="s">
        <v>594</v>
      </c>
      <c r="D85" s="44" t="n">
        <v>7200008</v>
      </c>
      <c r="E85" s="44" t="s">
        <v>683</v>
      </c>
      <c r="F85" s="44" t="s">
        <v>680</v>
      </c>
      <c r="G85" s="42"/>
      <c r="H85" s="42" t="n">
        <v>150000</v>
      </c>
      <c r="I85" s="44" t="s">
        <v>681</v>
      </c>
      <c r="J85" s="11" t="n">
        <f aca="false">IF(D85="","",N(G85)-N(H85))</f>
        <v>-150000</v>
      </c>
      <c r="K85" s="34" t="str">
        <f aca="false">IF(D85="","",IFERROR(INDEX(I_COA!$C$6:$C$265,MATCH(D85,I_COA!$A$6:$A$265,0)),"AKUN BARU"))</f>
        <v>LabaRugi</v>
      </c>
      <c r="L85" s="34" t="str">
        <f aca="false">IF(K85="LabaRugi",INDEX(I_COA!$D$6:$D$265,MATCH(D85,I_COA!$A$6:$A$265,0)),"")</f>
        <v>Other Expense</v>
      </c>
      <c r="M85" s="34" t="str">
        <f aca="false">IF(K85="Neraca",INDEX(I_COA!$E$6:$E$265,MATCH(D85,I_COA!$A$6:$A$265,0)),"")</f>
        <v/>
      </c>
      <c r="N85" s="34" t="str">
        <f aca="false">IF(D85="","",IFERROR(INDEX(I_COA!$G$6:$G$265,MATCH(D85,I_COA!$A$6:$A$265,0)),"N"))</f>
        <v>N</v>
      </c>
      <c r="O85" s="11" t="n">
        <f aca="false">IF(N85="N",ABS(J85),"")</f>
        <v>150000</v>
      </c>
      <c r="P85" s="18" t="str">
        <f aca="false">IF(N85="N",B85&amp;"|"&amp;ROUND(O85,0),"")</f>
        <v>B8526080003B|150000</v>
      </c>
      <c r="Q85" s="18" t="str">
        <f aca="false">IF(N85&lt;&gt;"Y","",IFERROR(INDEX($D$6:$D$4005,MATCH(B85&amp;"|"&amp;ROUND(_xlfn.MAXIFS($O$6:$O$4005,$B$6:$B$4005,B85,$N$6:$N$4005,"N"),0),$P$6:$P$4005,0)),"(tanpa lawan)"))</f>
        <v/>
      </c>
      <c r="R85" s="44"/>
      <c r="S85" s="9" t="str">
        <f aca="false">IF(N85&lt;&gt;"Y","",IF(R85&lt;&gt;"",R85,IF(Q85="(tanpa lawan)","Transfer antar rekening",IFERROR(INDEX(I_COA!$F$6:$F$265,MATCH(Q85,I_COA!$A$6:$A$265,0)),"?"))))</f>
        <v/>
      </c>
    </row>
    <row r="86" customFormat="false" ht="15" hidden="false" customHeight="false" outlineLevel="0" collapsed="false">
      <c r="A86" s="37" t="n">
        <v>46237</v>
      </c>
      <c r="B86" s="44" t="s">
        <v>684</v>
      </c>
      <c r="C86" s="44" t="s">
        <v>594</v>
      </c>
      <c r="D86" s="44" t="n">
        <v>2101003</v>
      </c>
      <c r="E86" s="44" t="s">
        <v>679</v>
      </c>
      <c r="F86" s="44" t="s">
        <v>680</v>
      </c>
      <c r="G86" s="42" t="n">
        <v>42000</v>
      </c>
      <c r="H86" s="42"/>
      <c r="I86" s="44" t="s">
        <v>681</v>
      </c>
      <c r="J86" s="11" t="n">
        <f aca="false">IF(D86="","",N(G86)-N(H86))</f>
        <v>42000</v>
      </c>
      <c r="K86" s="34" t="str">
        <f aca="false">IF(D86="","",IFERROR(INDEX(I_COA!$C$6:$C$265,MATCH(D86,I_COA!$A$6:$A$265,0)),"AKUN BARU"))</f>
        <v>Neraca</v>
      </c>
      <c r="L86" s="34" t="str">
        <f aca="false">IF(K86="LabaRugi",INDEX(I_COA!$D$6:$D$265,MATCH(D86,I_COA!$A$6:$A$265,0)),"")</f>
        <v/>
      </c>
      <c r="M86" s="34" t="str">
        <f aca="false">IF(K86="Neraca",INDEX(I_COA!$E$6:$E$265,MATCH(D86,I_COA!$A$6:$A$265,0)),"")</f>
        <v>Other Payable - Third Parties</v>
      </c>
      <c r="N86" s="34" t="str">
        <f aca="false">IF(D86="","",IFERROR(INDEX(I_COA!$G$6:$G$265,MATCH(D86,I_COA!$A$6:$A$265,0)),"N"))</f>
        <v>N</v>
      </c>
      <c r="O86" s="11" t="n">
        <f aca="false">IF(N86="N",ABS(J86),"")</f>
        <v>42000</v>
      </c>
      <c r="P86" s="18" t="str">
        <f aca="false">IF(N86="N",B86&amp;"|"&amp;ROUND(O86,0),"")</f>
        <v>B8526080003C|42000</v>
      </c>
      <c r="Q86" s="18" t="str">
        <f aca="false">IF(N86&lt;&gt;"Y","",IFERROR(INDEX($D$6:$D$4005,MATCH(B86&amp;"|"&amp;ROUND(_xlfn.MAXIFS($O$6:$O$4005,$B$6:$B$4005,B86,$N$6:$N$4005,"N"),0),$P$6:$P$4005,0)),"(tanpa lawan)"))</f>
        <v/>
      </c>
      <c r="R86" s="44"/>
      <c r="S86" s="9" t="str">
        <f aca="false">IF(N86&lt;&gt;"Y","",IF(R86&lt;&gt;"",R86,IF(Q86="(tanpa lawan)","Transfer antar rekening",IFERROR(INDEX(I_COA!$F$6:$F$265,MATCH(Q86,I_COA!$A$6:$A$265,0)),"?"))))</f>
        <v/>
      </c>
    </row>
    <row r="87" customFormat="false" ht="15" hidden="false" customHeight="false" outlineLevel="0" collapsed="false">
      <c r="A87" s="37" t="n">
        <v>46237</v>
      </c>
      <c r="B87" s="44" t="s">
        <v>684</v>
      </c>
      <c r="C87" s="44" t="s">
        <v>594</v>
      </c>
      <c r="D87" s="44" t="n">
        <v>1103121</v>
      </c>
      <c r="E87" s="44" t="s">
        <v>685</v>
      </c>
      <c r="F87" s="44" t="s">
        <v>680</v>
      </c>
      <c r="G87" s="42"/>
      <c r="H87" s="42" t="n">
        <v>42000</v>
      </c>
      <c r="I87" s="44" t="s">
        <v>681</v>
      </c>
      <c r="J87" s="11" t="n">
        <f aca="false">IF(D87="","",N(G87)-N(H87))</f>
        <v>-42000</v>
      </c>
      <c r="K87" s="34" t="str">
        <f aca="false">IF(D87="","",IFERROR(INDEX(I_COA!$C$6:$C$265,MATCH(D87,I_COA!$A$6:$A$265,0)),"AKUN BARU"))</f>
        <v>Neraca</v>
      </c>
      <c r="L87" s="34" t="str">
        <f aca="false">IF(K87="LabaRugi",INDEX(I_COA!$D$6:$D$265,MATCH(D87,I_COA!$A$6:$A$265,0)),"")</f>
        <v/>
      </c>
      <c r="M87" s="34" t="str">
        <f aca="false">IF(K87="Neraca",INDEX(I_COA!$E$6:$E$265,MATCH(D87,I_COA!$A$6:$A$265,0)),"")</f>
        <v>Advance Payment</v>
      </c>
      <c r="N87" s="34" t="str">
        <f aca="false">IF(D87="","",IFERROR(INDEX(I_COA!$G$6:$G$265,MATCH(D87,I_COA!$A$6:$A$265,0)),"N"))</f>
        <v>N</v>
      </c>
      <c r="O87" s="11" t="n">
        <f aca="false">IF(N87="N",ABS(J87),"")</f>
        <v>42000</v>
      </c>
      <c r="P87" s="18" t="str">
        <f aca="false">IF(N87="N",B87&amp;"|"&amp;ROUND(O87,0),"")</f>
        <v>B8526080003C|42000</v>
      </c>
      <c r="Q87" s="18" t="str">
        <f aca="false">IF(N87&lt;&gt;"Y","",IFERROR(INDEX($D$6:$D$4005,MATCH(B87&amp;"|"&amp;ROUND(_xlfn.MAXIFS($O$6:$O$4005,$B$6:$B$4005,B87,$N$6:$N$4005,"N"),0),$P$6:$P$4005,0)),"(tanpa lawan)"))</f>
        <v/>
      </c>
      <c r="R87" s="44"/>
      <c r="S87" s="9" t="str">
        <f aca="false">IF(N87&lt;&gt;"Y","",IF(R87&lt;&gt;"",R87,IF(Q87="(tanpa lawan)","Transfer antar rekening",IFERROR(INDEX(I_COA!$F$6:$F$265,MATCH(Q87,I_COA!$A$6:$A$265,0)),"?"))))</f>
        <v/>
      </c>
    </row>
    <row r="88" customFormat="false" ht="15" hidden="false" customHeight="false" outlineLevel="0" collapsed="false">
      <c r="A88" s="37" t="n">
        <v>46237</v>
      </c>
      <c r="B88" s="44" t="s">
        <v>686</v>
      </c>
      <c r="C88" s="44" t="s">
        <v>594</v>
      </c>
      <c r="D88" s="44" t="n">
        <v>2101003</v>
      </c>
      <c r="E88" s="44" t="s">
        <v>679</v>
      </c>
      <c r="F88" s="44" t="s">
        <v>687</v>
      </c>
      <c r="G88" s="42" t="n">
        <v>20000</v>
      </c>
      <c r="H88" s="42"/>
      <c r="I88" s="44" t="s">
        <v>681</v>
      </c>
      <c r="J88" s="11" t="n">
        <f aca="false">IF(D88="","",N(G88)-N(H88))</f>
        <v>20000</v>
      </c>
      <c r="K88" s="34" t="str">
        <f aca="false">IF(D88="","",IFERROR(INDEX(I_COA!$C$6:$C$265,MATCH(D88,I_COA!$A$6:$A$265,0)),"AKUN BARU"))</f>
        <v>Neraca</v>
      </c>
      <c r="L88" s="34" t="str">
        <f aca="false">IF(K88="LabaRugi",INDEX(I_COA!$D$6:$D$265,MATCH(D88,I_COA!$A$6:$A$265,0)),"")</f>
        <v/>
      </c>
      <c r="M88" s="34" t="str">
        <f aca="false">IF(K88="Neraca",INDEX(I_COA!$E$6:$E$265,MATCH(D88,I_COA!$A$6:$A$265,0)),"")</f>
        <v>Other Payable - Third Parties</v>
      </c>
      <c r="N88" s="34" t="str">
        <f aca="false">IF(D88="","",IFERROR(INDEX(I_COA!$G$6:$G$265,MATCH(D88,I_COA!$A$6:$A$265,0)),"N"))</f>
        <v>N</v>
      </c>
      <c r="O88" s="11" t="n">
        <f aca="false">IF(N88="N",ABS(J88),"")</f>
        <v>20000</v>
      </c>
      <c r="P88" s="18" t="str">
        <f aca="false">IF(N88="N",B88&amp;"|"&amp;ROUND(O88,0),"")</f>
        <v>B8526080003D|20000</v>
      </c>
      <c r="Q88" s="18" t="str">
        <f aca="false">IF(N88&lt;&gt;"Y","",IFERROR(INDEX($D$6:$D$4005,MATCH(B88&amp;"|"&amp;ROUND(_xlfn.MAXIFS($O$6:$O$4005,$B$6:$B$4005,B88,$N$6:$N$4005,"N"),0),$P$6:$P$4005,0)),"(tanpa lawan)"))</f>
        <v/>
      </c>
      <c r="R88" s="44"/>
      <c r="S88" s="9" t="str">
        <f aca="false">IF(N88&lt;&gt;"Y","",IF(R88&lt;&gt;"",R88,IF(Q88="(tanpa lawan)","Transfer antar rekening",IFERROR(INDEX(I_COA!$F$6:$F$265,MATCH(Q88,I_COA!$A$6:$A$265,0)),"?"))))</f>
        <v/>
      </c>
    </row>
    <row r="89" customFormat="false" ht="15" hidden="false" customHeight="false" outlineLevel="0" collapsed="false">
      <c r="A89" s="37" t="n">
        <v>46237</v>
      </c>
      <c r="B89" s="44" t="s">
        <v>686</v>
      </c>
      <c r="C89" s="44" t="s">
        <v>594</v>
      </c>
      <c r="D89" s="44" t="n">
        <v>6200023</v>
      </c>
      <c r="E89" s="44" t="s">
        <v>688</v>
      </c>
      <c r="F89" s="44" t="s">
        <v>687</v>
      </c>
      <c r="G89" s="42"/>
      <c r="H89" s="42" t="n">
        <v>20000</v>
      </c>
      <c r="I89" s="44" t="s">
        <v>681</v>
      </c>
      <c r="J89" s="11" t="n">
        <f aca="false">IF(D89="","",N(G89)-N(H89))</f>
        <v>-20000</v>
      </c>
      <c r="K89" s="34" t="str">
        <f aca="false">IF(D89="","",IFERROR(INDEX(I_COA!$C$6:$C$265,MATCH(D89,I_COA!$A$6:$A$265,0)),"AKUN BARU"))</f>
        <v>LabaRugi</v>
      </c>
      <c r="L89" s="34" t="str">
        <f aca="false">IF(K89="LabaRugi",INDEX(I_COA!$D$6:$D$265,MATCH(D89,I_COA!$A$6:$A$265,0)),"")</f>
        <v>Tax expenses</v>
      </c>
      <c r="M89" s="34" t="str">
        <f aca="false">IF(K89="Neraca",INDEX(I_COA!$E$6:$E$265,MATCH(D89,I_COA!$A$6:$A$265,0)),"")</f>
        <v/>
      </c>
      <c r="N89" s="34" t="str">
        <f aca="false">IF(D89="","",IFERROR(INDEX(I_COA!$G$6:$G$265,MATCH(D89,I_COA!$A$6:$A$265,0)),"N"))</f>
        <v>N</v>
      </c>
      <c r="O89" s="11" t="n">
        <f aca="false">IF(N89="N",ABS(J89),"")</f>
        <v>20000</v>
      </c>
      <c r="P89" s="18" t="str">
        <f aca="false">IF(N89="N",B89&amp;"|"&amp;ROUND(O89,0),"")</f>
        <v>B8526080003D|20000</v>
      </c>
      <c r="Q89" s="18" t="str">
        <f aca="false">IF(N89&lt;&gt;"Y","",IFERROR(INDEX($D$6:$D$4005,MATCH(B89&amp;"|"&amp;ROUND(_xlfn.MAXIFS($O$6:$O$4005,$B$6:$B$4005,B89,$N$6:$N$4005,"N"),0),$P$6:$P$4005,0)),"(tanpa lawan)"))</f>
        <v/>
      </c>
      <c r="R89" s="44"/>
      <c r="S89" s="9" t="str">
        <f aca="false">IF(N89&lt;&gt;"Y","",IF(R89&lt;&gt;"",R89,IF(Q89="(tanpa lawan)","Transfer antar rekening",IFERROR(INDEX(I_COA!$F$6:$F$265,MATCH(Q89,I_COA!$A$6:$A$265,0)),"?"))))</f>
        <v/>
      </c>
    </row>
    <row r="90" customFormat="false" ht="15" hidden="false" customHeight="false" outlineLevel="0" collapsed="false">
      <c r="A90" s="37" t="n">
        <v>46237</v>
      </c>
      <c r="B90" s="44" t="s">
        <v>689</v>
      </c>
      <c r="C90" s="44" t="s">
        <v>690</v>
      </c>
      <c r="D90" s="44" t="n">
        <v>1104006</v>
      </c>
      <c r="E90" s="44" t="s">
        <v>212</v>
      </c>
      <c r="F90" s="44" t="s">
        <v>691</v>
      </c>
      <c r="G90" s="42" t="n">
        <v>348672500</v>
      </c>
      <c r="H90" s="42"/>
      <c r="I90" s="44" t="s">
        <v>692</v>
      </c>
      <c r="J90" s="11" t="n">
        <f aca="false">IF(D90="","",N(G90)-N(H90))</f>
        <v>348672500</v>
      </c>
      <c r="K90" s="34" t="str">
        <f aca="false">IF(D90="","",IFERROR(INDEX(I_COA!$C$6:$C$265,MATCH(D90,I_COA!$A$6:$A$265,0)),"AKUN BARU"))</f>
        <v>Neraca</v>
      </c>
      <c r="L90" s="34" t="str">
        <f aca="false">IF(K90="LabaRugi",INDEX(I_COA!$D$6:$D$265,MATCH(D90,I_COA!$A$6:$A$265,0)),"")</f>
        <v/>
      </c>
      <c r="M90" s="34" t="str">
        <f aca="false">IF(K90="Neraca",INDEX(I_COA!$E$6:$E$265,MATCH(D90,I_COA!$A$6:$A$265,0)),"")</f>
        <v>Inventory - Trading</v>
      </c>
      <c r="N90" s="34" t="str">
        <f aca="false">IF(D90="","",IFERROR(INDEX(I_COA!$G$6:$G$265,MATCH(D90,I_COA!$A$6:$A$265,0)),"N"))</f>
        <v>N</v>
      </c>
      <c r="O90" s="11" t="n">
        <f aca="false">IF(N90="N",ABS(J90),"")</f>
        <v>348672500</v>
      </c>
      <c r="P90" s="18" t="str">
        <f aca="false">IF(N90="N",B90&amp;"|"&amp;ROUND(O90,0),"")</f>
        <v>GR26080001|348672500</v>
      </c>
      <c r="Q90" s="18" t="str">
        <f aca="false">IF(N90&lt;&gt;"Y","",IFERROR(INDEX($D$6:$D$4005,MATCH(B90&amp;"|"&amp;ROUND(_xlfn.MAXIFS($O$6:$O$4005,$B$6:$B$4005,B90,$N$6:$N$4005,"N"),0),$P$6:$P$4005,0)),"(tanpa lawan)"))</f>
        <v/>
      </c>
      <c r="R90" s="44"/>
      <c r="S90" s="9" t="str">
        <f aca="false">IF(N90&lt;&gt;"Y","",IF(R90&lt;&gt;"",R90,IF(Q90="(tanpa lawan)","Transfer antar rekening",IFERROR(INDEX(I_COA!$F$6:$F$265,MATCH(Q90,I_COA!$A$6:$A$265,0)),"?"))))</f>
        <v/>
      </c>
    </row>
    <row r="91" customFormat="false" ht="15" hidden="false" customHeight="false" outlineLevel="0" collapsed="false">
      <c r="A91" s="37" t="n">
        <v>46237</v>
      </c>
      <c r="B91" s="44" t="s">
        <v>689</v>
      </c>
      <c r="C91" s="44" t="s">
        <v>690</v>
      </c>
      <c r="D91" s="44" t="n">
        <v>2103011</v>
      </c>
      <c r="E91" s="44" t="s">
        <v>693</v>
      </c>
      <c r="F91" s="44" t="s">
        <v>691</v>
      </c>
      <c r="G91" s="42"/>
      <c r="H91" s="42" t="n">
        <v>348672500</v>
      </c>
      <c r="I91" s="44" t="s">
        <v>692</v>
      </c>
      <c r="J91" s="11" t="n">
        <f aca="false">IF(D91="","",N(G91)-N(H91))</f>
        <v>-348672500</v>
      </c>
      <c r="K91" s="34" t="str">
        <f aca="false">IF(D91="","",IFERROR(INDEX(I_COA!$C$6:$C$265,MATCH(D91,I_COA!$A$6:$A$265,0)),"AKUN BARU"))</f>
        <v>Neraca</v>
      </c>
      <c r="L91" s="34" t="str">
        <f aca="false">IF(K91="LabaRugi",INDEX(I_COA!$D$6:$D$265,MATCH(D91,I_COA!$A$6:$A$265,0)),"")</f>
        <v/>
      </c>
      <c r="M91" s="34" t="str">
        <f aca="false">IF(K91="Neraca",INDEX(I_COA!$E$6:$E$265,MATCH(D91,I_COA!$A$6:$A$265,0)),"")</f>
        <v>Accrued Expenses - Third Parties</v>
      </c>
      <c r="N91" s="34" t="str">
        <f aca="false">IF(D91="","",IFERROR(INDEX(I_COA!$G$6:$G$265,MATCH(D91,I_COA!$A$6:$A$265,0)),"N"))</f>
        <v>N</v>
      </c>
      <c r="O91" s="11" t="n">
        <f aca="false">IF(N91="N",ABS(J91),"")</f>
        <v>348672500</v>
      </c>
      <c r="P91" s="18" t="str">
        <f aca="false">IF(N91="N",B91&amp;"|"&amp;ROUND(O91,0),"")</f>
        <v>GR26080001|348672500</v>
      </c>
      <c r="Q91" s="18" t="str">
        <f aca="false">IF(N91&lt;&gt;"Y","",IFERROR(INDEX($D$6:$D$4005,MATCH(B91&amp;"|"&amp;ROUND(_xlfn.MAXIFS($O$6:$O$4005,$B$6:$B$4005,B91,$N$6:$N$4005,"N"),0),$P$6:$P$4005,0)),"(tanpa lawan)"))</f>
        <v/>
      </c>
      <c r="R91" s="44"/>
      <c r="S91" s="9" t="str">
        <f aca="false">IF(N91&lt;&gt;"Y","",IF(R91&lt;&gt;"",R91,IF(Q91="(tanpa lawan)","Transfer antar rekening",IFERROR(INDEX(I_COA!$F$6:$F$265,MATCH(Q91,I_COA!$A$6:$A$265,0)),"?"))))</f>
        <v/>
      </c>
    </row>
    <row r="92" customFormat="false" ht="15" hidden="false" customHeight="false" outlineLevel="0" collapsed="false">
      <c r="A92" s="37" t="n">
        <v>46237</v>
      </c>
      <c r="B92" s="44" t="s">
        <v>694</v>
      </c>
      <c r="C92" s="44" t="s">
        <v>600</v>
      </c>
      <c r="D92" s="44" t="n">
        <v>1104002</v>
      </c>
      <c r="E92" s="44" t="s">
        <v>601</v>
      </c>
      <c r="F92" s="44" t="s">
        <v>695</v>
      </c>
      <c r="G92" s="42" t="n">
        <v>136207236.03</v>
      </c>
      <c r="H92" s="42"/>
      <c r="I92" s="44" t="s">
        <v>606</v>
      </c>
      <c r="J92" s="11" t="n">
        <f aca="false">IF(D92="","",N(G92)-N(H92))</f>
        <v>136207236.03</v>
      </c>
      <c r="K92" s="34" t="str">
        <f aca="false">IF(D92="","",IFERROR(INDEX(I_COA!$C$6:$C$265,MATCH(D92,I_COA!$A$6:$A$265,0)),"AKUN BARU"))</f>
        <v>Neraca</v>
      </c>
      <c r="L92" s="34" t="str">
        <f aca="false">IF(K92="LabaRugi",INDEX(I_COA!$D$6:$D$265,MATCH(D92,I_COA!$A$6:$A$265,0)),"")</f>
        <v/>
      </c>
      <c r="M92" s="34" t="str">
        <f aca="false">IF(K92="Neraca",INDEX(I_COA!$E$6:$E$265,MATCH(D92,I_COA!$A$6:$A$265,0)),"")</f>
        <v>Inventory - Product</v>
      </c>
      <c r="N92" s="34" t="str">
        <f aca="false">IF(D92="","",IFERROR(INDEX(I_COA!$G$6:$G$265,MATCH(D92,I_COA!$A$6:$A$265,0)),"N"))</f>
        <v>N</v>
      </c>
      <c r="O92" s="11" t="n">
        <f aca="false">IF(N92="N",ABS(J92),"")</f>
        <v>136207236.03</v>
      </c>
      <c r="P92" s="18" t="str">
        <f aca="false">IF(N92="N",B92&amp;"|"&amp;ROUND(O92,0),"")</f>
        <v>KGR26.00202|136207236</v>
      </c>
      <c r="Q92" s="18" t="str">
        <f aca="false">IF(N92&lt;&gt;"Y","",IFERROR(INDEX($D$6:$D$4005,MATCH(B92&amp;"|"&amp;ROUND(_xlfn.MAXIFS($O$6:$O$4005,$B$6:$B$4005,B92,$N$6:$N$4005,"N"),0),$P$6:$P$4005,0)),"(tanpa lawan)"))</f>
        <v/>
      </c>
      <c r="R92" s="44"/>
      <c r="S92" s="9" t="str">
        <f aca="false">IF(N92&lt;&gt;"Y","",IF(R92&lt;&gt;"",R92,IF(Q92="(tanpa lawan)","Transfer antar rekening",IFERROR(INDEX(I_COA!$F$6:$F$265,MATCH(Q92,I_COA!$A$6:$A$265,0)),"?"))))</f>
        <v/>
      </c>
    </row>
    <row r="93" customFormat="false" ht="15" hidden="false" customHeight="false" outlineLevel="0" collapsed="false">
      <c r="A93" s="37" t="n">
        <v>46237</v>
      </c>
      <c r="B93" s="44" t="s">
        <v>694</v>
      </c>
      <c r="C93" s="44" t="s">
        <v>600</v>
      </c>
      <c r="D93" s="44" t="n">
        <v>1104006</v>
      </c>
      <c r="E93" s="44" t="s">
        <v>212</v>
      </c>
      <c r="F93" s="44" t="s">
        <v>695</v>
      </c>
      <c r="G93" s="42"/>
      <c r="H93" s="42" t="n">
        <v>136207236.03</v>
      </c>
      <c r="I93" s="44" t="s">
        <v>606</v>
      </c>
      <c r="J93" s="11" t="n">
        <f aca="false">IF(D93="","",N(G93)-N(H93))</f>
        <v>-136207236.03</v>
      </c>
      <c r="K93" s="34" t="str">
        <f aca="false">IF(D93="","",IFERROR(INDEX(I_COA!$C$6:$C$265,MATCH(D93,I_COA!$A$6:$A$265,0)),"AKUN BARU"))</f>
        <v>Neraca</v>
      </c>
      <c r="L93" s="34" t="str">
        <f aca="false">IF(K93="LabaRugi",INDEX(I_COA!$D$6:$D$265,MATCH(D93,I_COA!$A$6:$A$265,0)),"")</f>
        <v/>
      </c>
      <c r="M93" s="34" t="str">
        <f aca="false">IF(K93="Neraca",INDEX(I_COA!$E$6:$E$265,MATCH(D93,I_COA!$A$6:$A$265,0)),"")</f>
        <v>Inventory - Trading</v>
      </c>
      <c r="N93" s="34" t="str">
        <f aca="false">IF(D93="","",IFERROR(INDEX(I_COA!$G$6:$G$265,MATCH(D93,I_COA!$A$6:$A$265,0)),"N"))</f>
        <v>N</v>
      </c>
      <c r="O93" s="11" t="n">
        <f aca="false">IF(N93="N",ABS(J93),"")</f>
        <v>136207236.03</v>
      </c>
      <c r="P93" s="18" t="str">
        <f aca="false">IF(N93="N",B93&amp;"|"&amp;ROUND(O93,0),"")</f>
        <v>KGR26.00202|136207236</v>
      </c>
      <c r="Q93" s="18" t="str">
        <f aca="false">IF(N93&lt;&gt;"Y","",IFERROR(INDEX($D$6:$D$4005,MATCH(B93&amp;"|"&amp;ROUND(_xlfn.MAXIFS($O$6:$O$4005,$B$6:$B$4005,B93,$N$6:$N$4005,"N"),0),$P$6:$P$4005,0)),"(tanpa lawan)"))</f>
        <v/>
      </c>
      <c r="R93" s="44"/>
      <c r="S93" s="9" t="str">
        <f aca="false">IF(N93&lt;&gt;"Y","",IF(R93&lt;&gt;"",R93,IF(Q93="(tanpa lawan)","Transfer antar rekening",IFERROR(INDEX(I_COA!$F$6:$F$265,MATCH(Q93,I_COA!$A$6:$A$265,0)),"?"))))</f>
        <v/>
      </c>
    </row>
    <row r="94" customFormat="false" ht="15" hidden="false" customHeight="false" outlineLevel="0" collapsed="false">
      <c r="A94" s="37" t="n">
        <v>46237</v>
      </c>
      <c r="B94" s="44" t="s">
        <v>696</v>
      </c>
      <c r="C94" s="44" t="s">
        <v>600</v>
      </c>
      <c r="D94" s="44" t="n">
        <v>1104002</v>
      </c>
      <c r="E94" s="44" t="s">
        <v>601</v>
      </c>
      <c r="F94" s="44" t="s">
        <v>697</v>
      </c>
      <c r="G94" s="42" t="n">
        <v>31124575.86</v>
      </c>
      <c r="H94" s="42"/>
      <c r="I94" s="44" t="s">
        <v>675</v>
      </c>
      <c r="J94" s="11" t="n">
        <f aca="false">IF(D94="","",N(G94)-N(H94))</f>
        <v>31124575.86</v>
      </c>
      <c r="K94" s="34" t="str">
        <f aca="false">IF(D94="","",IFERROR(INDEX(I_COA!$C$6:$C$265,MATCH(D94,I_COA!$A$6:$A$265,0)),"AKUN BARU"))</f>
        <v>Neraca</v>
      </c>
      <c r="L94" s="34" t="str">
        <f aca="false">IF(K94="LabaRugi",INDEX(I_COA!$D$6:$D$265,MATCH(D94,I_COA!$A$6:$A$265,0)),"")</f>
        <v/>
      </c>
      <c r="M94" s="34" t="str">
        <f aca="false">IF(K94="Neraca",INDEX(I_COA!$E$6:$E$265,MATCH(D94,I_COA!$A$6:$A$265,0)),"")</f>
        <v>Inventory - Product</v>
      </c>
      <c r="N94" s="34" t="str">
        <f aca="false">IF(D94="","",IFERROR(INDEX(I_COA!$G$6:$G$265,MATCH(D94,I_COA!$A$6:$A$265,0)),"N"))</f>
        <v>N</v>
      </c>
      <c r="O94" s="11" t="n">
        <f aca="false">IF(N94="N",ABS(J94),"")</f>
        <v>31124575.86</v>
      </c>
      <c r="P94" s="18" t="str">
        <f aca="false">IF(N94="N",B94&amp;"|"&amp;ROUND(O94,0),"")</f>
        <v>KGR26.00203|31124576</v>
      </c>
      <c r="Q94" s="18" t="str">
        <f aca="false">IF(N94&lt;&gt;"Y","",IFERROR(INDEX($D$6:$D$4005,MATCH(B94&amp;"|"&amp;ROUND(_xlfn.MAXIFS($O$6:$O$4005,$B$6:$B$4005,B94,$N$6:$N$4005,"N"),0),$P$6:$P$4005,0)),"(tanpa lawan)"))</f>
        <v/>
      </c>
      <c r="R94" s="44"/>
      <c r="S94" s="9" t="str">
        <f aca="false">IF(N94&lt;&gt;"Y","",IF(R94&lt;&gt;"",R94,IF(Q94="(tanpa lawan)","Transfer antar rekening",IFERROR(INDEX(I_COA!$F$6:$F$265,MATCH(Q94,I_COA!$A$6:$A$265,0)),"?"))))</f>
        <v/>
      </c>
    </row>
    <row r="95" customFormat="false" ht="15" hidden="false" customHeight="false" outlineLevel="0" collapsed="false">
      <c r="A95" s="37" t="n">
        <v>46237</v>
      </c>
      <c r="B95" s="44" t="s">
        <v>696</v>
      </c>
      <c r="C95" s="44" t="s">
        <v>600</v>
      </c>
      <c r="D95" s="44" t="n">
        <v>1104006</v>
      </c>
      <c r="E95" s="44" t="s">
        <v>212</v>
      </c>
      <c r="F95" s="44" t="s">
        <v>697</v>
      </c>
      <c r="G95" s="42"/>
      <c r="H95" s="42" t="n">
        <v>31124575.86</v>
      </c>
      <c r="I95" s="44" t="s">
        <v>675</v>
      </c>
      <c r="J95" s="11" t="n">
        <f aca="false">IF(D95="","",N(G95)-N(H95))</f>
        <v>-31124575.86</v>
      </c>
      <c r="K95" s="34" t="str">
        <f aca="false">IF(D95="","",IFERROR(INDEX(I_COA!$C$6:$C$265,MATCH(D95,I_COA!$A$6:$A$265,0)),"AKUN BARU"))</f>
        <v>Neraca</v>
      </c>
      <c r="L95" s="34" t="str">
        <f aca="false">IF(K95="LabaRugi",INDEX(I_COA!$D$6:$D$265,MATCH(D95,I_COA!$A$6:$A$265,0)),"")</f>
        <v/>
      </c>
      <c r="M95" s="34" t="str">
        <f aca="false">IF(K95="Neraca",INDEX(I_COA!$E$6:$E$265,MATCH(D95,I_COA!$A$6:$A$265,0)),"")</f>
        <v>Inventory - Trading</v>
      </c>
      <c r="N95" s="34" t="str">
        <f aca="false">IF(D95="","",IFERROR(INDEX(I_COA!$G$6:$G$265,MATCH(D95,I_COA!$A$6:$A$265,0)),"N"))</f>
        <v>N</v>
      </c>
      <c r="O95" s="11" t="n">
        <f aca="false">IF(N95="N",ABS(J95),"")</f>
        <v>31124575.86</v>
      </c>
      <c r="P95" s="18" t="str">
        <f aca="false">IF(N95="N",B95&amp;"|"&amp;ROUND(O95,0),"")</f>
        <v>KGR26.00203|31124576</v>
      </c>
      <c r="Q95" s="18" t="str">
        <f aca="false">IF(N95&lt;&gt;"Y","",IFERROR(INDEX($D$6:$D$4005,MATCH(B95&amp;"|"&amp;ROUND(_xlfn.MAXIFS($O$6:$O$4005,$B$6:$B$4005,B95,$N$6:$N$4005,"N"),0),$P$6:$P$4005,0)),"(tanpa lawan)"))</f>
        <v/>
      </c>
      <c r="R95" s="44"/>
      <c r="S95" s="9" t="str">
        <f aca="false">IF(N95&lt;&gt;"Y","",IF(R95&lt;&gt;"",R95,IF(Q95="(tanpa lawan)","Transfer antar rekening",IFERROR(INDEX(I_COA!$F$6:$F$265,MATCH(Q95,I_COA!$A$6:$A$265,0)),"?"))))</f>
        <v/>
      </c>
    </row>
    <row r="96" customFormat="false" ht="15" hidden="false" customHeight="false" outlineLevel="0" collapsed="false">
      <c r="A96" s="37" t="n">
        <v>46237</v>
      </c>
      <c r="B96" s="44" t="s">
        <v>698</v>
      </c>
      <c r="C96" s="44" t="s">
        <v>600</v>
      </c>
      <c r="D96" s="44" t="n">
        <v>1104002</v>
      </c>
      <c r="E96" s="44" t="s">
        <v>601</v>
      </c>
      <c r="F96" s="44" t="s">
        <v>699</v>
      </c>
      <c r="G96" s="42" t="n">
        <v>26125605.42</v>
      </c>
      <c r="H96" s="42"/>
      <c r="I96" s="44" t="s">
        <v>670</v>
      </c>
      <c r="J96" s="11" t="n">
        <f aca="false">IF(D96="","",N(G96)-N(H96))</f>
        <v>26125605.42</v>
      </c>
      <c r="K96" s="34" t="str">
        <f aca="false">IF(D96="","",IFERROR(INDEX(I_COA!$C$6:$C$265,MATCH(D96,I_COA!$A$6:$A$265,0)),"AKUN BARU"))</f>
        <v>Neraca</v>
      </c>
      <c r="L96" s="34" t="str">
        <f aca="false">IF(K96="LabaRugi",INDEX(I_COA!$D$6:$D$265,MATCH(D96,I_COA!$A$6:$A$265,0)),"")</f>
        <v/>
      </c>
      <c r="M96" s="34" t="str">
        <f aca="false">IF(K96="Neraca",INDEX(I_COA!$E$6:$E$265,MATCH(D96,I_COA!$A$6:$A$265,0)),"")</f>
        <v>Inventory - Product</v>
      </c>
      <c r="N96" s="34" t="str">
        <f aca="false">IF(D96="","",IFERROR(INDEX(I_COA!$G$6:$G$265,MATCH(D96,I_COA!$A$6:$A$265,0)),"N"))</f>
        <v>N</v>
      </c>
      <c r="O96" s="11" t="n">
        <f aca="false">IF(N96="N",ABS(J96),"")</f>
        <v>26125605.42</v>
      </c>
      <c r="P96" s="18" t="str">
        <f aca="false">IF(N96="N",B96&amp;"|"&amp;ROUND(O96,0),"")</f>
        <v>KGR26.00204|26125605</v>
      </c>
      <c r="Q96" s="18" t="str">
        <f aca="false">IF(N96&lt;&gt;"Y","",IFERROR(INDEX($D$6:$D$4005,MATCH(B96&amp;"|"&amp;ROUND(_xlfn.MAXIFS($O$6:$O$4005,$B$6:$B$4005,B96,$N$6:$N$4005,"N"),0),$P$6:$P$4005,0)),"(tanpa lawan)"))</f>
        <v/>
      </c>
      <c r="R96" s="44"/>
      <c r="S96" s="9" t="str">
        <f aca="false">IF(N96&lt;&gt;"Y","",IF(R96&lt;&gt;"",R96,IF(Q96="(tanpa lawan)","Transfer antar rekening",IFERROR(INDEX(I_COA!$F$6:$F$265,MATCH(Q96,I_COA!$A$6:$A$265,0)),"?"))))</f>
        <v/>
      </c>
    </row>
    <row r="97" customFormat="false" ht="15" hidden="false" customHeight="false" outlineLevel="0" collapsed="false">
      <c r="A97" s="37" t="n">
        <v>46237</v>
      </c>
      <c r="B97" s="44" t="s">
        <v>698</v>
      </c>
      <c r="C97" s="44" t="s">
        <v>600</v>
      </c>
      <c r="D97" s="44" t="n">
        <v>1104006</v>
      </c>
      <c r="E97" s="44" t="s">
        <v>212</v>
      </c>
      <c r="F97" s="44" t="s">
        <v>699</v>
      </c>
      <c r="G97" s="42"/>
      <c r="H97" s="42" t="n">
        <v>26125605.42</v>
      </c>
      <c r="I97" s="44" t="s">
        <v>670</v>
      </c>
      <c r="J97" s="11" t="n">
        <f aca="false">IF(D97="","",N(G97)-N(H97))</f>
        <v>-26125605.42</v>
      </c>
      <c r="K97" s="34" t="str">
        <f aca="false">IF(D97="","",IFERROR(INDEX(I_COA!$C$6:$C$265,MATCH(D97,I_COA!$A$6:$A$265,0)),"AKUN BARU"))</f>
        <v>Neraca</v>
      </c>
      <c r="L97" s="34" t="str">
        <f aca="false">IF(K97="LabaRugi",INDEX(I_COA!$D$6:$D$265,MATCH(D97,I_COA!$A$6:$A$265,0)),"")</f>
        <v/>
      </c>
      <c r="M97" s="34" t="str">
        <f aca="false">IF(K97="Neraca",INDEX(I_COA!$E$6:$E$265,MATCH(D97,I_COA!$A$6:$A$265,0)),"")</f>
        <v>Inventory - Trading</v>
      </c>
      <c r="N97" s="34" t="str">
        <f aca="false">IF(D97="","",IFERROR(INDEX(I_COA!$G$6:$G$265,MATCH(D97,I_COA!$A$6:$A$265,0)),"N"))</f>
        <v>N</v>
      </c>
      <c r="O97" s="11" t="n">
        <f aca="false">IF(N97="N",ABS(J97),"")</f>
        <v>26125605.42</v>
      </c>
      <c r="P97" s="18" t="str">
        <f aca="false">IF(N97="N",B97&amp;"|"&amp;ROUND(O97,0),"")</f>
        <v>KGR26.00204|26125605</v>
      </c>
      <c r="Q97" s="18" t="str">
        <f aca="false">IF(N97&lt;&gt;"Y","",IFERROR(INDEX($D$6:$D$4005,MATCH(B97&amp;"|"&amp;ROUND(_xlfn.MAXIFS($O$6:$O$4005,$B$6:$B$4005,B97,$N$6:$N$4005,"N"),0),$P$6:$P$4005,0)),"(tanpa lawan)"))</f>
        <v/>
      </c>
      <c r="R97" s="44"/>
      <c r="S97" s="9" t="str">
        <f aca="false">IF(N97&lt;&gt;"Y","",IF(R97&lt;&gt;"",R97,IF(Q97="(tanpa lawan)","Transfer antar rekening",IFERROR(INDEX(I_COA!$F$6:$F$265,MATCH(Q97,I_COA!$A$6:$A$265,0)),"?"))))</f>
        <v/>
      </c>
    </row>
    <row r="98" customFormat="false" ht="15" hidden="false" customHeight="false" outlineLevel="0" collapsed="false">
      <c r="A98" s="37" t="n">
        <v>46237</v>
      </c>
      <c r="B98" s="44" t="s">
        <v>700</v>
      </c>
      <c r="C98" s="44" t="s">
        <v>617</v>
      </c>
      <c r="D98" s="44" t="n">
        <v>1103101</v>
      </c>
      <c r="E98" s="44" t="s">
        <v>589</v>
      </c>
      <c r="F98" s="44" t="s">
        <v>701</v>
      </c>
      <c r="G98" s="42" t="n">
        <v>157778684</v>
      </c>
      <c r="H98" s="42"/>
      <c r="I98" s="44" t="s">
        <v>606</v>
      </c>
      <c r="J98" s="11" t="n">
        <f aca="false">IF(D98="","",N(G98)-N(H98))</f>
        <v>157778684</v>
      </c>
      <c r="K98" s="34" t="str">
        <f aca="false">IF(D98="","",IFERROR(INDEX(I_COA!$C$6:$C$265,MATCH(D98,I_COA!$A$6:$A$265,0)),"AKUN BARU"))</f>
        <v>Neraca</v>
      </c>
      <c r="L98" s="34" t="str">
        <f aca="false">IF(K98="LabaRugi",INDEX(I_COA!$D$6:$D$265,MATCH(D98,I_COA!$A$6:$A$265,0)),"")</f>
        <v/>
      </c>
      <c r="M98" s="34" t="str">
        <f aca="false">IF(K98="Neraca",INDEX(I_COA!$E$6:$E$265,MATCH(D98,I_COA!$A$6:$A$265,0)),"")</f>
        <v>Trade Receivables - Third Parties</v>
      </c>
      <c r="N98" s="34" t="str">
        <f aca="false">IF(D98="","",IFERROR(INDEX(I_COA!$G$6:$G$265,MATCH(D98,I_COA!$A$6:$A$265,0)),"N"))</f>
        <v>N</v>
      </c>
      <c r="O98" s="11" t="n">
        <f aca="false">IF(N98="N",ABS(J98),"")</f>
        <v>157778684</v>
      </c>
      <c r="P98" s="18" t="str">
        <f aca="false">IF(N98="N",B98&amp;"|"&amp;ROUND(O98,0),"")</f>
        <v>KGR26/0202|157778684</v>
      </c>
      <c r="Q98" s="18" t="str">
        <f aca="false">IF(N98&lt;&gt;"Y","",IFERROR(INDEX($D$6:$D$4005,MATCH(B98&amp;"|"&amp;ROUND(_xlfn.MAXIFS($O$6:$O$4005,$B$6:$B$4005,B98,$N$6:$N$4005,"N"),0),$P$6:$P$4005,0)),"(tanpa lawan)"))</f>
        <v/>
      </c>
      <c r="R98" s="44"/>
      <c r="S98" s="9" t="str">
        <f aca="false">IF(N98&lt;&gt;"Y","",IF(R98&lt;&gt;"",R98,IF(Q98="(tanpa lawan)","Transfer antar rekening",IFERROR(INDEX(I_COA!$F$6:$F$265,MATCH(Q98,I_COA!$A$6:$A$265,0)),"?"))))</f>
        <v/>
      </c>
    </row>
    <row r="99" customFormat="false" ht="15" hidden="false" customHeight="false" outlineLevel="0" collapsed="false">
      <c r="A99" s="37" t="n">
        <v>46237</v>
      </c>
      <c r="B99" s="44" t="s">
        <v>700</v>
      </c>
      <c r="C99" s="44" t="s">
        <v>617</v>
      </c>
      <c r="D99" s="44" t="n">
        <v>4101012</v>
      </c>
      <c r="E99" s="44" t="s">
        <v>619</v>
      </c>
      <c r="F99" s="44" t="s">
        <v>701</v>
      </c>
      <c r="G99" s="42"/>
      <c r="H99" s="42" t="n">
        <v>157778684</v>
      </c>
      <c r="I99" s="44" t="s">
        <v>606</v>
      </c>
      <c r="J99" s="11" t="n">
        <f aca="false">IF(D99="","",N(G99)-N(H99))</f>
        <v>-157778684</v>
      </c>
      <c r="K99" s="34" t="str">
        <f aca="false">IF(D99="","",IFERROR(INDEX(I_COA!$C$6:$C$265,MATCH(D99,I_COA!$A$6:$A$265,0)),"AKUN BARU"))</f>
        <v>LabaRugi</v>
      </c>
      <c r="L99" s="34" t="str">
        <f aca="false">IF(K99="LabaRugi",INDEX(I_COA!$D$6:$D$265,MATCH(D99,I_COA!$A$6:$A$265,0)),"")</f>
        <v>Revenue - Trading</v>
      </c>
      <c r="M99" s="34" t="str">
        <f aca="false">IF(K99="Neraca",INDEX(I_COA!$E$6:$E$265,MATCH(D99,I_COA!$A$6:$A$265,0)),"")</f>
        <v/>
      </c>
      <c r="N99" s="34" t="str">
        <f aca="false">IF(D99="","",IFERROR(INDEX(I_COA!$G$6:$G$265,MATCH(D99,I_COA!$A$6:$A$265,0)),"N"))</f>
        <v>N</v>
      </c>
      <c r="O99" s="11" t="n">
        <f aca="false">IF(N99="N",ABS(J99),"")</f>
        <v>157778684</v>
      </c>
      <c r="P99" s="18" t="str">
        <f aca="false">IF(N99="N",B99&amp;"|"&amp;ROUND(O99,0),"")</f>
        <v>KGR26/0202|157778684</v>
      </c>
      <c r="Q99" s="18" t="str">
        <f aca="false">IF(N99&lt;&gt;"Y","",IFERROR(INDEX($D$6:$D$4005,MATCH(B99&amp;"|"&amp;ROUND(_xlfn.MAXIFS($O$6:$O$4005,$B$6:$B$4005,B99,$N$6:$N$4005,"N"),0),$P$6:$P$4005,0)),"(tanpa lawan)"))</f>
        <v/>
      </c>
      <c r="R99" s="44"/>
      <c r="S99" s="9" t="str">
        <f aca="false">IF(N99&lt;&gt;"Y","",IF(R99&lt;&gt;"",R99,IF(Q99="(tanpa lawan)","Transfer antar rekening",IFERROR(INDEX(I_COA!$F$6:$F$265,MATCH(Q99,I_COA!$A$6:$A$265,0)),"?"))))</f>
        <v/>
      </c>
    </row>
    <row r="100" customFormat="false" ht="15" hidden="false" customHeight="false" outlineLevel="0" collapsed="false">
      <c r="A100" s="37" t="n">
        <v>46237</v>
      </c>
      <c r="B100" s="44" t="s">
        <v>700</v>
      </c>
      <c r="C100" s="44" t="s">
        <v>617</v>
      </c>
      <c r="D100" s="44" t="n">
        <v>5100011</v>
      </c>
      <c r="E100" s="44" t="s">
        <v>166</v>
      </c>
      <c r="F100" s="44" t="s">
        <v>701</v>
      </c>
      <c r="G100" s="42" t="n">
        <v>136207236.03</v>
      </c>
      <c r="H100" s="42"/>
      <c r="I100" s="44" t="s">
        <v>606</v>
      </c>
      <c r="J100" s="11" t="n">
        <f aca="false">IF(D100="","",N(G100)-N(H100))</f>
        <v>136207236.03</v>
      </c>
      <c r="K100" s="34" t="str">
        <f aca="false">IF(D100="","",IFERROR(INDEX(I_COA!$C$6:$C$265,MATCH(D100,I_COA!$A$6:$A$265,0)),"AKUN BARU"))</f>
        <v>LabaRugi</v>
      </c>
      <c r="L100" s="34" t="str">
        <f aca="false">IF(K100="LabaRugi",INDEX(I_COA!$D$6:$D$265,MATCH(D100,I_COA!$A$6:$A$265,0)),"")</f>
        <v>COGS - Trading</v>
      </c>
      <c r="M100" s="34" t="str">
        <f aca="false">IF(K100="Neraca",INDEX(I_COA!$E$6:$E$265,MATCH(D100,I_COA!$A$6:$A$265,0)),"")</f>
        <v/>
      </c>
      <c r="N100" s="34" t="str">
        <f aca="false">IF(D100="","",IFERROR(INDEX(I_COA!$G$6:$G$265,MATCH(D100,I_COA!$A$6:$A$265,0)),"N"))</f>
        <v>N</v>
      </c>
      <c r="O100" s="11" t="n">
        <f aca="false">IF(N100="N",ABS(J100),"")</f>
        <v>136207236.03</v>
      </c>
      <c r="P100" s="18" t="str">
        <f aca="false">IF(N100="N",B100&amp;"|"&amp;ROUND(O100,0),"")</f>
        <v>KGR26/0202|136207236</v>
      </c>
      <c r="Q100" s="18" t="str">
        <f aca="false">IF(N100&lt;&gt;"Y","",IFERROR(INDEX($D$6:$D$4005,MATCH(B100&amp;"|"&amp;ROUND(_xlfn.MAXIFS($O$6:$O$4005,$B$6:$B$4005,B100,$N$6:$N$4005,"N"),0),$P$6:$P$4005,0)),"(tanpa lawan)"))</f>
        <v/>
      </c>
      <c r="R100" s="44"/>
      <c r="S100" s="9" t="str">
        <f aca="false">IF(N100&lt;&gt;"Y","",IF(R100&lt;&gt;"",R100,IF(Q100="(tanpa lawan)","Transfer antar rekening",IFERROR(INDEX(I_COA!$F$6:$F$265,MATCH(Q100,I_COA!$A$6:$A$265,0)),"?"))))</f>
        <v/>
      </c>
    </row>
    <row r="101" customFormat="false" ht="15" hidden="false" customHeight="false" outlineLevel="0" collapsed="false">
      <c r="A101" s="37" t="n">
        <v>46237</v>
      </c>
      <c r="B101" s="44" t="s">
        <v>700</v>
      </c>
      <c r="C101" s="44" t="s">
        <v>617</v>
      </c>
      <c r="D101" s="44" t="n">
        <v>1104002</v>
      </c>
      <c r="E101" s="44" t="s">
        <v>601</v>
      </c>
      <c r="F101" s="44" t="s">
        <v>701</v>
      </c>
      <c r="G101" s="42"/>
      <c r="H101" s="42" t="n">
        <v>136207236.03</v>
      </c>
      <c r="I101" s="44" t="s">
        <v>606</v>
      </c>
      <c r="J101" s="11" t="n">
        <f aca="false">IF(D101="","",N(G101)-N(H101))</f>
        <v>-136207236.03</v>
      </c>
      <c r="K101" s="34" t="str">
        <f aca="false">IF(D101="","",IFERROR(INDEX(I_COA!$C$6:$C$265,MATCH(D101,I_COA!$A$6:$A$265,0)),"AKUN BARU"))</f>
        <v>Neraca</v>
      </c>
      <c r="L101" s="34" t="str">
        <f aca="false">IF(K101="LabaRugi",INDEX(I_COA!$D$6:$D$265,MATCH(D101,I_COA!$A$6:$A$265,0)),"")</f>
        <v/>
      </c>
      <c r="M101" s="34" t="str">
        <f aca="false">IF(K101="Neraca",INDEX(I_COA!$E$6:$E$265,MATCH(D101,I_COA!$A$6:$A$265,0)),"")</f>
        <v>Inventory - Product</v>
      </c>
      <c r="N101" s="34" t="str">
        <f aca="false">IF(D101="","",IFERROR(INDEX(I_COA!$G$6:$G$265,MATCH(D101,I_COA!$A$6:$A$265,0)),"N"))</f>
        <v>N</v>
      </c>
      <c r="O101" s="11" t="n">
        <f aca="false">IF(N101="N",ABS(J101),"")</f>
        <v>136207236.03</v>
      </c>
      <c r="P101" s="18" t="str">
        <f aca="false">IF(N101="N",B101&amp;"|"&amp;ROUND(O101,0),"")</f>
        <v>KGR26/0202|136207236</v>
      </c>
      <c r="Q101" s="18" t="str">
        <f aca="false">IF(N101&lt;&gt;"Y","",IFERROR(INDEX($D$6:$D$4005,MATCH(B101&amp;"|"&amp;ROUND(_xlfn.MAXIFS($O$6:$O$4005,$B$6:$B$4005,B101,$N$6:$N$4005,"N"),0),$P$6:$P$4005,0)),"(tanpa lawan)"))</f>
        <v/>
      </c>
      <c r="R101" s="44"/>
      <c r="S101" s="9" t="str">
        <f aca="false">IF(N101&lt;&gt;"Y","",IF(R101&lt;&gt;"",R101,IF(Q101="(tanpa lawan)","Transfer antar rekening",IFERROR(INDEX(I_COA!$F$6:$F$265,MATCH(Q101,I_COA!$A$6:$A$265,0)),"?"))))</f>
        <v/>
      </c>
    </row>
    <row r="102" customFormat="false" ht="15" hidden="false" customHeight="false" outlineLevel="0" collapsed="false">
      <c r="A102" s="37" t="n">
        <v>46237</v>
      </c>
      <c r="B102" s="44" t="s">
        <v>702</v>
      </c>
      <c r="C102" s="44" t="s">
        <v>617</v>
      </c>
      <c r="D102" s="44" t="n">
        <v>1103101</v>
      </c>
      <c r="E102" s="44" t="s">
        <v>589</v>
      </c>
      <c r="F102" s="44" t="s">
        <v>703</v>
      </c>
      <c r="G102" s="42" t="n">
        <v>42686700</v>
      </c>
      <c r="H102" s="42"/>
      <c r="I102" s="44" t="s">
        <v>675</v>
      </c>
      <c r="J102" s="11" t="n">
        <f aca="false">IF(D102="","",N(G102)-N(H102))</f>
        <v>42686700</v>
      </c>
      <c r="K102" s="34" t="str">
        <f aca="false">IF(D102="","",IFERROR(INDEX(I_COA!$C$6:$C$265,MATCH(D102,I_COA!$A$6:$A$265,0)),"AKUN BARU"))</f>
        <v>Neraca</v>
      </c>
      <c r="L102" s="34" t="str">
        <f aca="false">IF(K102="LabaRugi",INDEX(I_COA!$D$6:$D$265,MATCH(D102,I_COA!$A$6:$A$265,0)),"")</f>
        <v/>
      </c>
      <c r="M102" s="34" t="str">
        <f aca="false">IF(K102="Neraca",INDEX(I_COA!$E$6:$E$265,MATCH(D102,I_COA!$A$6:$A$265,0)),"")</f>
        <v>Trade Receivables - Third Parties</v>
      </c>
      <c r="N102" s="34" t="str">
        <f aca="false">IF(D102="","",IFERROR(INDEX(I_COA!$G$6:$G$265,MATCH(D102,I_COA!$A$6:$A$265,0)),"N"))</f>
        <v>N</v>
      </c>
      <c r="O102" s="11" t="n">
        <f aca="false">IF(N102="N",ABS(J102),"")</f>
        <v>42686700</v>
      </c>
      <c r="P102" s="18" t="str">
        <f aca="false">IF(N102="N",B102&amp;"|"&amp;ROUND(O102,0),"")</f>
        <v>KGR26/0203|42686700</v>
      </c>
      <c r="Q102" s="18" t="str">
        <f aca="false">IF(N102&lt;&gt;"Y","",IFERROR(INDEX($D$6:$D$4005,MATCH(B102&amp;"|"&amp;ROUND(_xlfn.MAXIFS($O$6:$O$4005,$B$6:$B$4005,B102,$N$6:$N$4005,"N"),0),$P$6:$P$4005,0)),"(tanpa lawan)"))</f>
        <v/>
      </c>
      <c r="R102" s="44"/>
      <c r="S102" s="9" t="str">
        <f aca="false">IF(N102&lt;&gt;"Y","",IF(R102&lt;&gt;"",R102,IF(Q102="(tanpa lawan)","Transfer antar rekening",IFERROR(INDEX(I_COA!$F$6:$F$265,MATCH(Q102,I_COA!$A$6:$A$265,0)),"?"))))</f>
        <v/>
      </c>
    </row>
    <row r="103" customFormat="false" ht="15" hidden="false" customHeight="false" outlineLevel="0" collapsed="false">
      <c r="A103" s="37" t="n">
        <v>46237</v>
      </c>
      <c r="B103" s="44" t="s">
        <v>702</v>
      </c>
      <c r="C103" s="44" t="s">
        <v>617</v>
      </c>
      <c r="D103" s="44" t="n">
        <v>4101012</v>
      </c>
      <c r="E103" s="44" t="s">
        <v>619</v>
      </c>
      <c r="F103" s="44" t="s">
        <v>703</v>
      </c>
      <c r="G103" s="42"/>
      <c r="H103" s="42" t="n">
        <v>42686700</v>
      </c>
      <c r="I103" s="44" t="s">
        <v>675</v>
      </c>
      <c r="J103" s="11" t="n">
        <f aca="false">IF(D103="","",N(G103)-N(H103))</f>
        <v>-42686700</v>
      </c>
      <c r="K103" s="34" t="str">
        <f aca="false">IF(D103="","",IFERROR(INDEX(I_COA!$C$6:$C$265,MATCH(D103,I_COA!$A$6:$A$265,0)),"AKUN BARU"))</f>
        <v>LabaRugi</v>
      </c>
      <c r="L103" s="34" t="str">
        <f aca="false">IF(K103="LabaRugi",INDEX(I_COA!$D$6:$D$265,MATCH(D103,I_COA!$A$6:$A$265,0)),"")</f>
        <v>Revenue - Trading</v>
      </c>
      <c r="M103" s="34" t="str">
        <f aca="false">IF(K103="Neraca",INDEX(I_COA!$E$6:$E$265,MATCH(D103,I_COA!$A$6:$A$265,0)),"")</f>
        <v/>
      </c>
      <c r="N103" s="34" t="str">
        <f aca="false">IF(D103="","",IFERROR(INDEX(I_COA!$G$6:$G$265,MATCH(D103,I_COA!$A$6:$A$265,0)),"N"))</f>
        <v>N</v>
      </c>
      <c r="O103" s="11" t="n">
        <f aca="false">IF(N103="N",ABS(J103),"")</f>
        <v>42686700</v>
      </c>
      <c r="P103" s="18" t="str">
        <f aca="false">IF(N103="N",B103&amp;"|"&amp;ROUND(O103,0),"")</f>
        <v>KGR26/0203|42686700</v>
      </c>
      <c r="Q103" s="18" t="str">
        <f aca="false">IF(N103&lt;&gt;"Y","",IFERROR(INDEX($D$6:$D$4005,MATCH(B103&amp;"|"&amp;ROUND(_xlfn.MAXIFS($O$6:$O$4005,$B$6:$B$4005,B103,$N$6:$N$4005,"N"),0),$P$6:$P$4005,0)),"(tanpa lawan)"))</f>
        <v/>
      </c>
      <c r="R103" s="44"/>
      <c r="S103" s="9" t="str">
        <f aca="false">IF(N103&lt;&gt;"Y","",IF(R103&lt;&gt;"",R103,IF(Q103="(tanpa lawan)","Transfer antar rekening",IFERROR(INDEX(I_COA!$F$6:$F$265,MATCH(Q103,I_COA!$A$6:$A$265,0)),"?"))))</f>
        <v/>
      </c>
    </row>
    <row r="104" customFormat="false" ht="15" hidden="false" customHeight="false" outlineLevel="0" collapsed="false">
      <c r="A104" s="37" t="n">
        <v>46237</v>
      </c>
      <c r="B104" s="44" t="s">
        <v>702</v>
      </c>
      <c r="C104" s="44" t="s">
        <v>617</v>
      </c>
      <c r="D104" s="44" t="n">
        <v>5100011</v>
      </c>
      <c r="E104" s="44" t="s">
        <v>166</v>
      </c>
      <c r="F104" s="44" t="s">
        <v>703</v>
      </c>
      <c r="G104" s="42" t="n">
        <v>31124575.86</v>
      </c>
      <c r="H104" s="42"/>
      <c r="I104" s="44" t="s">
        <v>675</v>
      </c>
      <c r="J104" s="11" t="n">
        <f aca="false">IF(D104="","",N(G104)-N(H104))</f>
        <v>31124575.86</v>
      </c>
      <c r="K104" s="34" t="str">
        <f aca="false">IF(D104="","",IFERROR(INDEX(I_COA!$C$6:$C$265,MATCH(D104,I_COA!$A$6:$A$265,0)),"AKUN BARU"))</f>
        <v>LabaRugi</v>
      </c>
      <c r="L104" s="34" t="str">
        <f aca="false">IF(K104="LabaRugi",INDEX(I_COA!$D$6:$D$265,MATCH(D104,I_COA!$A$6:$A$265,0)),"")</f>
        <v>COGS - Trading</v>
      </c>
      <c r="M104" s="34" t="str">
        <f aca="false">IF(K104="Neraca",INDEX(I_COA!$E$6:$E$265,MATCH(D104,I_COA!$A$6:$A$265,0)),"")</f>
        <v/>
      </c>
      <c r="N104" s="34" t="str">
        <f aca="false">IF(D104="","",IFERROR(INDEX(I_COA!$G$6:$G$265,MATCH(D104,I_COA!$A$6:$A$265,0)),"N"))</f>
        <v>N</v>
      </c>
      <c r="O104" s="11" t="n">
        <f aca="false">IF(N104="N",ABS(J104),"")</f>
        <v>31124575.86</v>
      </c>
      <c r="P104" s="18" t="str">
        <f aca="false">IF(N104="N",B104&amp;"|"&amp;ROUND(O104,0),"")</f>
        <v>KGR26/0203|31124576</v>
      </c>
      <c r="Q104" s="18" t="str">
        <f aca="false">IF(N104&lt;&gt;"Y","",IFERROR(INDEX($D$6:$D$4005,MATCH(B104&amp;"|"&amp;ROUND(_xlfn.MAXIFS($O$6:$O$4005,$B$6:$B$4005,B104,$N$6:$N$4005,"N"),0),$P$6:$P$4005,0)),"(tanpa lawan)"))</f>
        <v/>
      </c>
      <c r="R104" s="44"/>
      <c r="S104" s="9" t="str">
        <f aca="false">IF(N104&lt;&gt;"Y","",IF(R104&lt;&gt;"",R104,IF(Q104="(tanpa lawan)","Transfer antar rekening",IFERROR(INDEX(I_COA!$F$6:$F$265,MATCH(Q104,I_COA!$A$6:$A$265,0)),"?"))))</f>
        <v/>
      </c>
    </row>
    <row r="105" customFormat="false" ht="15" hidden="false" customHeight="false" outlineLevel="0" collapsed="false">
      <c r="A105" s="37" t="n">
        <v>46237</v>
      </c>
      <c r="B105" s="44" t="s">
        <v>702</v>
      </c>
      <c r="C105" s="44" t="s">
        <v>617</v>
      </c>
      <c r="D105" s="44" t="n">
        <v>1104002</v>
      </c>
      <c r="E105" s="44" t="s">
        <v>601</v>
      </c>
      <c r="F105" s="44" t="s">
        <v>703</v>
      </c>
      <c r="G105" s="42"/>
      <c r="H105" s="42" t="n">
        <v>31124575.86</v>
      </c>
      <c r="I105" s="44" t="s">
        <v>675</v>
      </c>
      <c r="J105" s="11" t="n">
        <f aca="false">IF(D105="","",N(G105)-N(H105))</f>
        <v>-31124575.86</v>
      </c>
      <c r="K105" s="34" t="str">
        <f aca="false">IF(D105="","",IFERROR(INDEX(I_COA!$C$6:$C$265,MATCH(D105,I_COA!$A$6:$A$265,0)),"AKUN BARU"))</f>
        <v>Neraca</v>
      </c>
      <c r="L105" s="34" t="str">
        <f aca="false">IF(K105="LabaRugi",INDEX(I_COA!$D$6:$D$265,MATCH(D105,I_COA!$A$6:$A$265,0)),"")</f>
        <v/>
      </c>
      <c r="M105" s="34" t="str">
        <f aca="false">IF(K105="Neraca",INDEX(I_COA!$E$6:$E$265,MATCH(D105,I_COA!$A$6:$A$265,0)),"")</f>
        <v>Inventory - Product</v>
      </c>
      <c r="N105" s="34" t="str">
        <f aca="false">IF(D105="","",IFERROR(INDEX(I_COA!$G$6:$G$265,MATCH(D105,I_COA!$A$6:$A$265,0)),"N"))</f>
        <v>N</v>
      </c>
      <c r="O105" s="11" t="n">
        <f aca="false">IF(N105="N",ABS(J105),"")</f>
        <v>31124575.86</v>
      </c>
      <c r="P105" s="18" t="str">
        <f aca="false">IF(N105="N",B105&amp;"|"&amp;ROUND(O105,0),"")</f>
        <v>KGR26/0203|31124576</v>
      </c>
      <c r="Q105" s="18" t="str">
        <f aca="false">IF(N105&lt;&gt;"Y","",IFERROR(INDEX($D$6:$D$4005,MATCH(B105&amp;"|"&amp;ROUND(_xlfn.MAXIFS($O$6:$O$4005,$B$6:$B$4005,B105,$N$6:$N$4005,"N"),0),$P$6:$P$4005,0)),"(tanpa lawan)"))</f>
        <v/>
      </c>
      <c r="R105" s="44"/>
      <c r="S105" s="9" t="str">
        <f aca="false">IF(N105&lt;&gt;"Y","",IF(R105&lt;&gt;"",R105,IF(Q105="(tanpa lawan)","Transfer antar rekening",IFERROR(INDEX(I_COA!$F$6:$F$265,MATCH(Q105,I_COA!$A$6:$A$265,0)),"?"))))</f>
        <v/>
      </c>
    </row>
    <row r="106" customFormat="false" ht="15" hidden="false" customHeight="false" outlineLevel="0" collapsed="false">
      <c r="A106" s="37" t="n">
        <v>46237</v>
      </c>
      <c r="B106" s="44" t="s">
        <v>704</v>
      </c>
      <c r="C106" s="44" t="s">
        <v>617</v>
      </c>
      <c r="D106" s="44" t="n">
        <v>1103101</v>
      </c>
      <c r="E106" s="44" t="s">
        <v>589</v>
      </c>
      <c r="F106" s="44" t="s">
        <v>705</v>
      </c>
      <c r="G106" s="42" t="n">
        <v>33474000</v>
      </c>
      <c r="H106" s="42"/>
      <c r="I106" s="44" t="s">
        <v>670</v>
      </c>
      <c r="J106" s="11" t="n">
        <f aca="false">IF(D106="","",N(G106)-N(H106))</f>
        <v>33474000</v>
      </c>
      <c r="K106" s="34" t="str">
        <f aca="false">IF(D106="","",IFERROR(INDEX(I_COA!$C$6:$C$265,MATCH(D106,I_COA!$A$6:$A$265,0)),"AKUN BARU"))</f>
        <v>Neraca</v>
      </c>
      <c r="L106" s="34" t="str">
        <f aca="false">IF(K106="LabaRugi",INDEX(I_COA!$D$6:$D$265,MATCH(D106,I_COA!$A$6:$A$265,0)),"")</f>
        <v/>
      </c>
      <c r="M106" s="34" t="str">
        <f aca="false">IF(K106="Neraca",INDEX(I_COA!$E$6:$E$265,MATCH(D106,I_COA!$A$6:$A$265,0)),"")</f>
        <v>Trade Receivables - Third Parties</v>
      </c>
      <c r="N106" s="34" t="str">
        <f aca="false">IF(D106="","",IFERROR(INDEX(I_COA!$G$6:$G$265,MATCH(D106,I_COA!$A$6:$A$265,0)),"N"))</f>
        <v>N</v>
      </c>
      <c r="O106" s="11" t="n">
        <f aca="false">IF(N106="N",ABS(J106),"")</f>
        <v>33474000</v>
      </c>
      <c r="P106" s="18" t="str">
        <f aca="false">IF(N106="N",B106&amp;"|"&amp;ROUND(O106,0),"")</f>
        <v>KGR26/0204|33474000</v>
      </c>
      <c r="Q106" s="18" t="str">
        <f aca="false">IF(N106&lt;&gt;"Y","",IFERROR(INDEX($D$6:$D$4005,MATCH(B106&amp;"|"&amp;ROUND(_xlfn.MAXIFS($O$6:$O$4005,$B$6:$B$4005,B106,$N$6:$N$4005,"N"),0),$P$6:$P$4005,0)),"(tanpa lawan)"))</f>
        <v/>
      </c>
      <c r="R106" s="44"/>
      <c r="S106" s="9" t="str">
        <f aca="false">IF(N106&lt;&gt;"Y","",IF(R106&lt;&gt;"",R106,IF(Q106="(tanpa lawan)","Transfer antar rekening",IFERROR(INDEX(I_COA!$F$6:$F$265,MATCH(Q106,I_COA!$A$6:$A$265,0)),"?"))))</f>
        <v/>
      </c>
    </row>
    <row r="107" customFormat="false" ht="15" hidden="false" customHeight="false" outlineLevel="0" collapsed="false">
      <c r="A107" s="37" t="n">
        <v>46237</v>
      </c>
      <c r="B107" s="44" t="s">
        <v>704</v>
      </c>
      <c r="C107" s="44" t="s">
        <v>617</v>
      </c>
      <c r="D107" s="44" t="n">
        <v>4101012</v>
      </c>
      <c r="E107" s="44" t="s">
        <v>619</v>
      </c>
      <c r="F107" s="44" t="s">
        <v>705</v>
      </c>
      <c r="G107" s="42"/>
      <c r="H107" s="42" t="n">
        <v>33474000</v>
      </c>
      <c r="I107" s="44" t="s">
        <v>670</v>
      </c>
      <c r="J107" s="11" t="n">
        <f aca="false">IF(D107="","",N(G107)-N(H107))</f>
        <v>-33474000</v>
      </c>
      <c r="K107" s="34" t="str">
        <f aca="false">IF(D107="","",IFERROR(INDEX(I_COA!$C$6:$C$265,MATCH(D107,I_COA!$A$6:$A$265,0)),"AKUN BARU"))</f>
        <v>LabaRugi</v>
      </c>
      <c r="L107" s="34" t="str">
        <f aca="false">IF(K107="LabaRugi",INDEX(I_COA!$D$6:$D$265,MATCH(D107,I_COA!$A$6:$A$265,0)),"")</f>
        <v>Revenue - Trading</v>
      </c>
      <c r="M107" s="34" t="str">
        <f aca="false">IF(K107="Neraca",INDEX(I_COA!$E$6:$E$265,MATCH(D107,I_COA!$A$6:$A$265,0)),"")</f>
        <v/>
      </c>
      <c r="N107" s="34" t="str">
        <f aca="false">IF(D107="","",IFERROR(INDEX(I_COA!$G$6:$G$265,MATCH(D107,I_COA!$A$6:$A$265,0)),"N"))</f>
        <v>N</v>
      </c>
      <c r="O107" s="11" t="n">
        <f aca="false">IF(N107="N",ABS(J107),"")</f>
        <v>33474000</v>
      </c>
      <c r="P107" s="18" t="str">
        <f aca="false">IF(N107="N",B107&amp;"|"&amp;ROUND(O107,0),"")</f>
        <v>KGR26/0204|33474000</v>
      </c>
      <c r="Q107" s="18" t="str">
        <f aca="false">IF(N107&lt;&gt;"Y","",IFERROR(INDEX($D$6:$D$4005,MATCH(B107&amp;"|"&amp;ROUND(_xlfn.MAXIFS($O$6:$O$4005,$B$6:$B$4005,B107,$N$6:$N$4005,"N"),0),$P$6:$P$4005,0)),"(tanpa lawan)"))</f>
        <v/>
      </c>
      <c r="R107" s="44"/>
      <c r="S107" s="9" t="str">
        <f aca="false">IF(N107&lt;&gt;"Y","",IF(R107&lt;&gt;"",R107,IF(Q107="(tanpa lawan)","Transfer antar rekening",IFERROR(INDEX(I_COA!$F$6:$F$265,MATCH(Q107,I_COA!$A$6:$A$265,0)),"?"))))</f>
        <v/>
      </c>
    </row>
    <row r="108" customFormat="false" ht="15" hidden="false" customHeight="false" outlineLevel="0" collapsed="false">
      <c r="A108" s="37" t="n">
        <v>46237</v>
      </c>
      <c r="B108" s="44" t="s">
        <v>704</v>
      </c>
      <c r="C108" s="44" t="s">
        <v>617</v>
      </c>
      <c r="D108" s="44" t="n">
        <v>5100011</v>
      </c>
      <c r="E108" s="44" t="s">
        <v>166</v>
      </c>
      <c r="F108" s="44" t="s">
        <v>705</v>
      </c>
      <c r="G108" s="42" t="n">
        <v>26125605.42</v>
      </c>
      <c r="H108" s="42"/>
      <c r="I108" s="44" t="s">
        <v>670</v>
      </c>
      <c r="J108" s="11" t="n">
        <f aca="false">IF(D108="","",N(G108)-N(H108))</f>
        <v>26125605.42</v>
      </c>
      <c r="K108" s="34" t="str">
        <f aca="false">IF(D108="","",IFERROR(INDEX(I_COA!$C$6:$C$265,MATCH(D108,I_COA!$A$6:$A$265,0)),"AKUN BARU"))</f>
        <v>LabaRugi</v>
      </c>
      <c r="L108" s="34" t="str">
        <f aca="false">IF(K108="LabaRugi",INDEX(I_COA!$D$6:$D$265,MATCH(D108,I_COA!$A$6:$A$265,0)),"")</f>
        <v>COGS - Trading</v>
      </c>
      <c r="M108" s="34" t="str">
        <f aca="false">IF(K108="Neraca",INDEX(I_COA!$E$6:$E$265,MATCH(D108,I_COA!$A$6:$A$265,0)),"")</f>
        <v/>
      </c>
      <c r="N108" s="34" t="str">
        <f aca="false">IF(D108="","",IFERROR(INDEX(I_COA!$G$6:$G$265,MATCH(D108,I_COA!$A$6:$A$265,0)),"N"))</f>
        <v>N</v>
      </c>
      <c r="O108" s="11" t="n">
        <f aca="false">IF(N108="N",ABS(J108),"")</f>
        <v>26125605.42</v>
      </c>
      <c r="P108" s="18" t="str">
        <f aca="false">IF(N108="N",B108&amp;"|"&amp;ROUND(O108,0),"")</f>
        <v>KGR26/0204|26125605</v>
      </c>
      <c r="Q108" s="18" t="str">
        <f aca="false">IF(N108&lt;&gt;"Y","",IFERROR(INDEX($D$6:$D$4005,MATCH(B108&amp;"|"&amp;ROUND(_xlfn.MAXIFS($O$6:$O$4005,$B$6:$B$4005,B108,$N$6:$N$4005,"N"),0),$P$6:$P$4005,0)),"(tanpa lawan)"))</f>
        <v/>
      </c>
      <c r="R108" s="44"/>
      <c r="S108" s="9" t="str">
        <f aca="false">IF(N108&lt;&gt;"Y","",IF(R108&lt;&gt;"",R108,IF(Q108="(tanpa lawan)","Transfer antar rekening",IFERROR(INDEX(I_COA!$F$6:$F$265,MATCH(Q108,I_COA!$A$6:$A$265,0)),"?"))))</f>
        <v/>
      </c>
    </row>
    <row r="109" customFormat="false" ht="15" hidden="false" customHeight="false" outlineLevel="0" collapsed="false">
      <c r="A109" s="37" t="n">
        <v>46237</v>
      </c>
      <c r="B109" s="44" t="s">
        <v>704</v>
      </c>
      <c r="C109" s="44" t="s">
        <v>617</v>
      </c>
      <c r="D109" s="44" t="n">
        <v>1104002</v>
      </c>
      <c r="E109" s="44" t="s">
        <v>601</v>
      </c>
      <c r="F109" s="44" t="s">
        <v>705</v>
      </c>
      <c r="G109" s="42"/>
      <c r="H109" s="42" t="n">
        <v>26125605.42</v>
      </c>
      <c r="I109" s="44" t="s">
        <v>670</v>
      </c>
      <c r="J109" s="11" t="n">
        <f aca="false">IF(D109="","",N(G109)-N(H109))</f>
        <v>-26125605.42</v>
      </c>
      <c r="K109" s="34" t="str">
        <f aca="false">IF(D109="","",IFERROR(INDEX(I_COA!$C$6:$C$265,MATCH(D109,I_COA!$A$6:$A$265,0)),"AKUN BARU"))</f>
        <v>Neraca</v>
      </c>
      <c r="L109" s="34" t="str">
        <f aca="false">IF(K109="LabaRugi",INDEX(I_COA!$D$6:$D$265,MATCH(D109,I_COA!$A$6:$A$265,0)),"")</f>
        <v/>
      </c>
      <c r="M109" s="34" t="str">
        <f aca="false">IF(K109="Neraca",INDEX(I_COA!$E$6:$E$265,MATCH(D109,I_COA!$A$6:$A$265,0)),"")</f>
        <v>Inventory - Product</v>
      </c>
      <c r="N109" s="34" t="str">
        <f aca="false">IF(D109="","",IFERROR(INDEX(I_COA!$G$6:$G$265,MATCH(D109,I_COA!$A$6:$A$265,0)),"N"))</f>
        <v>N</v>
      </c>
      <c r="O109" s="11" t="n">
        <f aca="false">IF(N109="N",ABS(J109),"")</f>
        <v>26125605.42</v>
      </c>
      <c r="P109" s="18" t="str">
        <f aca="false">IF(N109="N",B109&amp;"|"&amp;ROUND(O109,0),"")</f>
        <v>KGR26/0204|26125605</v>
      </c>
      <c r="Q109" s="18" t="str">
        <f aca="false">IF(N109&lt;&gt;"Y","",IFERROR(INDEX($D$6:$D$4005,MATCH(B109&amp;"|"&amp;ROUND(_xlfn.MAXIFS($O$6:$O$4005,$B$6:$B$4005,B109,$N$6:$N$4005,"N"),0),$P$6:$P$4005,0)),"(tanpa lawan)"))</f>
        <v/>
      </c>
      <c r="R109" s="44"/>
      <c r="S109" s="9" t="str">
        <f aca="false">IF(N109&lt;&gt;"Y","",IF(R109&lt;&gt;"",R109,IF(Q109="(tanpa lawan)","Transfer antar rekening",IFERROR(INDEX(I_COA!$F$6:$F$265,MATCH(Q109,I_COA!$A$6:$A$265,0)),"?"))))</f>
        <v/>
      </c>
    </row>
    <row r="110" customFormat="false" ht="15" hidden="false" customHeight="false" outlineLevel="0" collapsed="false">
      <c r="A110" s="37" t="n">
        <v>46237</v>
      </c>
      <c r="B110" s="44" t="s">
        <v>706</v>
      </c>
      <c r="C110" s="44" t="s">
        <v>707</v>
      </c>
      <c r="D110" s="44" t="n">
        <v>5100007</v>
      </c>
      <c r="E110" s="44" t="s">
        <v>708</v>
      </c>
      <c r="F110" s="44" t="s">
        <v>709</v>
      </c>
      <c r="G110" s="42" t="n">
        <v>8800000</v>
      </c>
      <c r="H110" s="42"/>
      <c r="I110" s="44" t="s">
        <v>681</v>
      </c>
      <c r="J110" s="11" t="n">
        <f aca="false">IF(D110="","",N(G110)-N(H110))</f>
        <v>8800000</v>
      </c>
      <c r="K110" s="34" t="str">
        <f aca="false">IF(D110="","",IFERROR(INDEX(I_COA!$C$6:$C$265,MATCH(D110,I_COA!$A$6:$A$265,0)),"AKUN BARU"))</f>
        <v>LabaRugi</v>
      </c>
      <c r="L110" s="34" t="str">
        <f aca="false">IF(K110="LabaRugi",INDEX(I_COA!$D$6:$D$265,MATCH(D110,I_COA!$A$6:$A$265,0)),"")</f>
        <v>Other COGS - Expedition</v>
      </c>
      <c r="M110" s="34" t="str">
        <f aca="false">IF(K110="Neraca",INDEX(I_COA!$E$6:$E$265,MATCH(D110,I_COA!$A$6:$A$265,0)),"")</f>
        <v/>
      </c>
      <c r="N110" s="34" t="str">
        <f aca="false">IF(D110="","",IFERROR(INDEX(I_COA!$G$6:$G$265,MATCH(D110,I_COA!$A$6:$A$265,0)),"N"))</f>
        <v>N</v>
      </c>
      <c r="O110" s="11" t="n">
        <f aca="false">IF(N110="N",ABS(J110),"")</f>
        <v>8800000</v>
      </c>
      <c r="P110" s="18" t="str">
        <f aca="false">IF(N110="N",B110&amp;"|"&amp;ROUND(O110,0),"")</f>
        <v>PI26080001|8800000</v>
      </c>
      <c r="Q110" s="18" t="str">
        <f aca="false">IF(N110&lt;&gt;"Y","",IFERROR(INDEX($D$6:$D$4005,MATCH(B110&amp;"|"&amp;ROUND(_xlfn.MAXIFS($O$6:$O$4005,$B$6:$B$4005,B110,$N$6:$N$4005,"N"),0),$P$6:$P$4005,0)),"(tanpa lawan)"))</f>
        <v/>
      </c>
      <c r="R110" s="44"/>
      <c r="S110" s="9" t="str">
        <f aca="false">IF(N110&lt;&gt;"Y","",IF(R110&lt;&gt;"",R110,IF(Q110="(tanpa lawan)","Transfer antar rekening",IFERROR(INDEX(I_COA!$F$6:$F$265,MATCH(Q110,I_COA!$A$6:$A$265,0)),"?"))))</f>
        <v/>
      </c>
    </row>
    <row r="111" customFormat="false" ht="15" hidden="false" customHeight="false" outlineLevel="0" collapsed="false">
      <c r="A111" s="37" t="n">
        <v>46237</v>
      </c>
      <c r="B111" s="44" t="s">
        <v>706</v>
      </c>
      <c r="C111" s="44" t="s">
        <v>707</v>
      </c>
      <c r="D111" s="44" t="n">
        <v>2102002</v>
      </c>
      <c r="E111" s="44" t="s">
        <v>633</v>
      </c>
      <c r="F111" s="44" t="s">
        <v>710</v>
      </c>
      <c r="G111" s="42"/>
      <c r="H111" s="42" t="n">
        <v>220000</v>
      </c>
      <c r="I111" s="44" t="s">
        <v>681</v>
      </c>
      <c r="J111" s="11" t="n">
        <f aca="false">IF(D111="","",N(G111)-N(H111))</f>
        <v>-220000</v>
      </c>
      <c r="K111" s="34" t="str">
        <f aca="false">IF(D111="","",IFERROR(INDEX(I_COA!$C$6:$C$265,MATCH(D111,I_COA!$A$6:$A$265,0)),"AKUN BARU"))</f>
        <v>Neraca</v>
      </c>
      <c r="L111" s="34" t="str">
        <f aca="false">IF(K111="LabaRugi",INDEX(I_COA!$D$6:$D$265,MATCH(D111,I_COA!$A$6:$A$265,0)),"")</f>
        <v/>
      </c>
      <c r="M111" s="34" t="str">
        <f aca="false">IF(K111="Neraca",INDEX(I_COA!$E$6:$E$265,MATCH(D111,I_COA!$A$6:$A$265,0)),"")</f>
        <v>Taxes Payable</v>
      </c>
      <c r="N111" s="34" t="str">
        <f aca="false">IF(D111="","",IFERROR(INDEX(I_COA!$G$6:$G$265,MATCH(D111,I_COA!$A$6:$A$265,0)),"N"))</f>
        <v>N</v>
      </c>
      <c r="O111" s="11" t="n">
        <f aca="false">IF(N111="N",ABS(J111),"")</f>
        <v>220000</v>
      </c>
      <c r="P111" s="18" t="str">
        <f aca="false">IF(N111="N",B111&amp;"|"&amp;ROUND(O111,0),"")</f>
        <v>PI26080001|220000</v>
      </c>
      <c r="Q111" s="18" t="str">
        <f aca="false">IF(N111&lt;&gt;"Y","",IFERROR(INDEX($D$6:$D$4005,MATCH(B111&amp;"|"&amp;ROUND(_xlfn.MAXIFS($O$6:$O$4005,$B$6:$B$4005,B111,$N$6:$N$4005,"N"),0),$P$6:$P$4005,0)),"(tanpa lawan)"))</f>
        <v/>
      </c>
      <c r="R111" s="44"/>
      <c r="S111" s="9" t="str">
        <f aca="false">IF(N111&lt;&gt;"Y","",IF(R111&lt;&gt;"",R111,IF(Q111="(tanpa lawan)","Transfer antar rekening",IFERROR(INDEX(I_COA!$F$6:$F$265,MATCH(Q111,I_COA!$A$6:$A$265,0)),"?"))))</f>
        <v/>
      </c>
    </row>
    <row r="112" customFormat="false" ht="15" hidden="false" customHeight="false" outlineLevel="0" collapsed="false">
      <c r="A112" s="37" t="n">
        <v>46237</v>
      </c>
      <c r="B112" s="44" t="s">
        <v>706</v>
      </c>
      <c r="C112" s="44" t="s">
        <v>707</v>
      </c>
      <c r="D112" s="44" t="n">
        <v>2101003</v>
      </c>
      <c r="E112" s="44" t="s">
        <v>679</v>
      </c>
      <c r="F112" s="44" t="s">
        <v>709</v>
      </c>
      <c r="G112" s="42"/>
      <c r="H112" s="42" t="n">
        <v>8580000</v>
      </c>
      <c r="I112" s="44" t="s">
        <v>681</v>
      </c>
      <c r="J112" s="11" t="n">
        <f aca="false">IF(D112="","",N(G112)-N(H112))</f>
        <v>-8580000</v>
      </c>
      <c r="K112" s="34" t="str">
        <f aca="false">IF(D112="","",IFERROR(INDEX(I_COA!$C$6:$C$265,MATCH(D112,I_COA!$A$6:$A$265,0)),"AKUN BARU"))</f>
        <v>Neraca</v>
      </c>
      <c r="L112" s="34" t="str">
        <f aca="false">IF(K112="LabaRugi",INDEX(I_COA!$D$6:$D$265,MATCH(D112,I_COA!$A$6:$A$265,0)),"")</f>
        <v/>
      </c>
      <c r="M112" s="34" t="str">
        <f aca="false">IF(K112="Neraca",INDEX(I_COA!$E$6:$E$265,MATCH(D112,I_COA!$A$6:$A$265,0)),"")</f>
        <v>Other Payable - Third Parties</v>
      </c>
      <c r="N112" s="34" t="str">
        <f aca="false">IF(D112="","",IFERROR(INDEX(I_COA!$G$6:$G$265,MATCH(D112,I_COA!$A$6:$A$265,0)),"N"))</f>
        <v>N</v>
      </c>
      <c r="O112" s="11" t="n">
        <f aca="false">IF(N112="N",ABS(J112),"")</f>
        <v>8580000</v>
      </c>
      <c r="P112" s="18" t="str">
        <f aca="false">IF(N112="N",B112&amp;"|"&amp;ROUND(O112,0),"")</f>
        <v>PI26080001|8580000</v>
      </c>
      <c r="Q112" s="18" t="str">
        <f aca="false">IF(N112&lt;&gt;"Y","",IFERROR(INDEX($D$6:$D$4005,MATCH(B112&amp;"|"&amp;ROUND(_xlfn.MAXIFS($O$6:$O$4005,$B$6:$B$4005,B112,$N$6:$N$4005,"N"),0),$P$6:$P$4005,0)),"(tanpa lawan)"))</f>
        <v/>
      </c>
      <c r="R112" s="44"/>
      <c r="S112" s="9" t="str">
        <f aca="false">IF(N112&lt;&gt;"Y","",IF(R112&lt;&gt;"",R112,IF(Q112="(tanpa lawan)","Transfer antar rekening",IFERROR(INDEX(I_COA!$F$6:$F$265,MATCH(Q112,I_COA!$A$6:$A$265,0)),"?"))))</f>
        <v/>
      </c>
    </row>
    <row r="113" customFormat="false" ht="15" hidden="false" customHeight="false" outlineLevel="0" collapsed="false">
      <c r="A113" s="37" t="n">
        <v>46237</v>
      </c>
      <c r="B113" s="44" t="s">
        <v>711</v>
      </c>
      <c r="C113" s="44" t="s">
        <v>707</v>
      </c>
      <c r="D113" s="44" t="n">
        <v>2103011</v>
      </c>
      <c r="E113" s="44" t="s">
        <v>693</v>
      </c>
      <c r="F113" s="44" t="s">
        <v>691</v>
      </c>
      <c r="G113" s="42" t="n">
        <v>348672500</v>
      </c>
      <c r="H113" s="42"/>
      <c r="I113" s="44" t="s">
        <v>692</v>
      </c>
      <c r="J113" s="11" t="n">
        <f aca="false">IF(D113="","",N(G113)-N(H113))</f>
        <v>348672500</v>
      </c>
      <c r="K113" s="34" t="str">
        <f aca="false">IF(D113="","",IFERROR(INDEX(I_COA!$C$6:$C$265,MATCH(D113,I_COA!$A$6:$A$265,0)),"AKUN BARU"))</f>
        <v>Neraca</v>
      </c>
      <c r="L113" s="34" t="str">
        <f aca="false">IF(K113="LabaRugi",INDEX(I_COA!$D$6:$D$265,MATCH(D113,I_COA!$A$6:$A$265,0)),"")</f>
        <v/>
      </c>
      <c r="M113" s="34" t="str">
        <f aca="false">IF(K113="Neraca",INDEX(I_COA!$E$6:$E$265,MATCH(D113,I_COA!$A$6:$A$265,0)),"")</f>
        <v>Accrued Expenses - Third Parties</v>
      </c>
      <c r="N113" s="34" t="str">
        <f aca="false">IF(D113="","",IFERROR(INDEX(I_COA!$G$6:$G$265,MATCH(D113,I_COA!$A$6:$A$265,0)),"N"))</f>
        <v>N</v>
      </c>
      <c r="O113" s="11" t="n">
        <f aca="false">IF(N113="N",ABS(J113),"")</f>
        <v>348672500</v>
      </c>
      <c r="P113" s="18" t="str">
        <f aca="false">IF(N113="N",B113&amp;"|"&amp;ROUND(O113,0),"")</f>
        <v>PI26080002|348672500</v>
      </c>
      <c r="Q113" s="18" t="str">
        <f aca="false">IF(N113&lt;&gt;"Y","",IFERROR(INDEX($D$6:$D$4005,MATCH(B113&amp;"|"&amp;ROUND(_xlfn.MAXIFS($O$6:$O$4005,$B$6:$B$4005,B113,$N$6:$N$4005,"N"),0),$P$6:$P$4005,0)),"(tanpa lawan)"))</f>
        <v/>
      </c>
      <c r="R113" s="44"/>
      <c r="S113" s="9" t="str">
        <f aca="false">IF(N113&lt;&gt;"Y","",IF(R113&lt;&gt;"",R113,IF(Q113="(tanpa lawan)","Transfer antar rekening",IFERROR(INDEX(I_COA!$F$6:$F$265,MATCH(Q113,I_COA!$A$6:$A$265,0)),"?"))))</f>
        <v/>
      </c>
    </row>
    <row r="114" customFormat="false" ht="15" hidden="false" customHeight="false" outlineLevel="0" collapsed="false">
      <c r="A114" s="37" t="n">
        <v>46237</v>
      </c>
      <c r="B114" s="44" t="s">
        <v>711</v>
      </c>
      <c r="C114" s="44" t="s">
        <v>707</v>
      </c>
      <c r="D114" s="44" t="n">
        <v>1103121</v>
      </c>
      <c r="E114" s="44" t="s">
        <v>685</v>
      </c>
      <c r="F114" s="44" t="s">
        <v>691</v>
      </c>
      <c r="G114" s="42"/>
      <c r="H114" s="42" t="n">
        <v>348672500</v>
      </c>
      <c r="I114" s="44" t="s">
        <v>692</v>
      </c>
      <c r="J114" s="11" t="n">
        <f aca="false">IF(D114="","",N(G114)-N(H114))</f>
        <v>-348672500</v>
      </c>
      <c r="K114" s="34" t="str">
        <f aca="false">IF(D114="","",IFERROR(INDEX(I_COA!$C$6:$C$265,MATCH(D114,I_COA!$A$6:$A$265,0)),"AKUN BARU"))</f>
        <v>Neraca</v>
      </c>
      <c r="L114" s="34" t="str">
        <f aca="false">IF(K114="LabaRugi",INDEX(I_COA!$D$6:$D$265,MATCH(D114,I_COA!$A$6:$A$265,0)),"")</f>
        <v/>
      </c>
      <c r="M114" s="34" t="str">
        <f aca="false">IF(K114="Neraca",INDEX(I_COA!$E$6:$E$265,MATCH(D114,I_COA!$A$6:$A$265,0)),"")</f>
        <v>Advance Payment</v>
      </c>
      <c r="N114" s="34" t="str">
        <f aca="false">IF(D114="","",IFERROR(INDEX(I_COA!$G$6:$G$265,MATCH(D114,I_COA!$A$6:$A$265,0)),"N"))</f>
        <v>N</v>
      </c>
      <c r="O114" s="11" t="n">
        <f aca="false">IF(N114="N",ABS(J114),"")</f>
        <v>348672500</v>
      </c>
      <c r="P114" s="18" t="str">
        <f aca="false">IF(N114="N",B114&amp;"|"&amp;ROUND(O114,0),"")</f>
        <v>PI26080002|348672500</v>
      </c>
      <c r="Q114" s="18" t="str">
        <f aca="false">IF(N114&lt;&gt;"Y","",IFERROR(INDEX($D$6:$D$4005,MATCH(B114&amp;"|"&amp;ROUND(_xlfn.MAXIFS($O$6:$O$4005,$B$6:$B$4005,B114,$N$6:$N$4005,"N"),0),$P$6:$P$4005,0)),"(tanpa lawan)"))</f>
        <v/>
      </c>
      <c r="R114" s="44"/>
      <c r="S114" s="9" t="str">
        <f aca="false">IF(N114&lt;&gt;"Y","",IF(R114&lt;&gt;"",R114,IF(Q114="(tanpa lawan)","Transfer antar rekening",IFERROR(INDEX(I_COA!$F$6:$F$265,MATCH(Q114,I_COA!$A$6:$A$265,0)),"?"))))</f>
        <v/>
      </c>
    </row>
    <row r="115" customFormat="false" ht="15" hidden="false" customHeight="false" outlineLevel="0" collapsed="false">
      <c r="A115" s="37" t="n">
        <v>46237</v>
      </c>
      <c r="B115" s="44" t="s">
        <v>712</v>
      </c>
      <c r="C115" s="44" t="s">
        <v>707</v>
      </c>
      <c r="D115" s="44" t="n">
        <v>5100008</v>
      </c>
      <c r="E115" s="44" t="s">
        <v>713</v>
      </c>
      <c r="F115" s="44" t="s">
        <v>714</v>
      </c>
      <c r="G115" s="42" t="n">
        <v>3611540</v>
      </c>
      <c r="H115" s="42"/>
      <c r="I115" s="44" t="s">
        <v>429</v>
      </c>
      <c r="J115" s="11" t="n">
        <f aca="false">IF(D115="","",N(G115)-N(H115))</f>
        <v>3611540</v>
      </c>
      <c r="K115" s="34" t="str">
        <f aca="false">IF(D115="","",IFERROR(INDEX(I_COA!$C$6:$C$265,MATCH(D115,I_COA!$A$6:$A$265,0)),"AKUN BARU"))</f>
        <v>LabaRugi</v>
      </c>
      <c r="L115" s="34" t="str">
        <f aca="false">IF(K115="LabaRugi",INDEX(I_COA!$D$6:$D$265,MATCH(D115,I_COA!$A$6:$A$265,0)),"")</f>
        <v>Packaging</v>
      </c>
      <c r="M115" s="34" t="str">
        <f aca="false">IF(K115="Neraca",INDEX(I_COA!$E$6:$E$265,MATCH(D115,I_COA!$A$6:$A$265,0)),"")</f>
        <v/>
      </c>
      <c r="N115" s="34" t="str">
        <f aca="false">IF(D115="","",IFERROR(INDEX(I_COA!$G$6:$G$265,MATCH(D115,I_COA!$A$6:$A$265,0)),"N"))</f>
        <v>N</v>
      </c>
      <c r="O115" s="11" t="n">
        <f aca="false">IF(N115="N",ABS(J115),"")</f>
        <v>3611540</v>
      </c>
      <c r="P115" s="18" t="str">
        <f aca="false">IF(N115="N",B115&amp;"|"&amp;ROUND(O115,0),"")</f>
        <v>PI26080003|3611540</v>
      </c>
      <c r="Q115" s="18" t="str">
        <f aca="false">IF(N115&lt;&gt;"Y","",IFERROR(INDEX($D$6:$D$4005,MATCH(B115&amp;"|"&amp;ROUND(_xlfn.MAXIFS($O$6:$O$4005,$B$6:$B$4005,B115,$N$6:$N$4005,"N"),0),$P$6:$P$4005,0)),"(tanpa lawan)"))</f>
        <v/>
      </c>
      <c r="R115" s="44"/>
      <c r="S115" s="9" t="str">
        <f aca="false">IF(N115&lt;&gt;"Y","",IF(R115&lt;&gt;"",R115,IF(Q115="(tanpa lawan)","Transfer antar rekening",IFERROR(INDEX(I_COA!$F$6:$F$265,MATCH(Q115,I_COA!$A$6:$A$265,0)),"?"))))</f>
        <v/>
      </c>
    </row>
    <row r="116" customFormat="false" ht="15" hidden="false" customHeight="false" outlineLevel="0" collapsed="false">
      <c r="A116" s="37" t="n">
        <v>46237</v>
      </c>
      <c r="B116" s="44" t="s">
        <v>712</v>
      </c>
      <c r="C116" s="44" t="s">
        <v>707</v>
      </c>
      <c r="D116" s="44" t="n">
        <v>2102002</v>
      </c>
      <c r="E116" s="44" t="s">
        <v>633</v>
      </c>
      <c r="F116" s="44" t="s">
        <v>715</v>
      </c>
      <c r="G116" s="42"/>
      <c r="H116" s="42" t="n">
        <v>90288.5</v>
      </c>
      <c r="I116" s="44" t="s">
        <v>429</v>
      </c>
      <c r="J116" s="11" t="n">
        <f aca="false">IF(D116="","",N(G116)-N(H116))</f>
        <v>-90288.5</v>
      </c>
      <c r="K116" s="34" t="str">
        <f aca="false">IF(D116="","",IFERROR(INDEX(I_COA!$C$6:$C$265,MATCH(D116,I_COA!$A$6:$A$265,0)),"AKUN BARU"))</f>
        <v>Neraca</v>
      </c>
      <c r="L116" s="34" t="str">
        <f aca="false">IF(K116="LabaRugi",INDEX(I_COA!$D$6:$D$265,MATCH(D116,I_COA!$A$6:$A$265,0)),"")</f>
        <v/>
      </c>
      <c r="M116" s="34" t="str">
        <f aca="false">IF(K116="Neraca",INDEX(I_COA!$E$6:$E$265,MATCH(D116,I_COA!$A$6:$A$265,0)),"")</f>
        <v>Taxes Payable</v>
      </c>
      <c r="N116" s="34" t="str">
        <f aca="false">IF(D116="","",IFERROR(INDEX(I_COA!$G$6:$G$265,MATCH(D116,I_COA!$A$6:$A$265,0)),"N"))</f>
        <v>N</v>
      </c>
      <c r="O116" s="11" t="n">
        <f aca="false">IF(N116="N",ABS(J116),"")</f>
        <v>90288.5</v>
      </c>
      <c r="P116" s="18" t="str">
        <f aca="false">IF(N116="N",B116&amp;"|"&amp;ROUND(O116,0),"")</f>
        <v>PI26080003|90289</v>
      </c>
      <c r="Q116" s="18" t="str">
        <f aca="false">IF(N116&lt;&gt;"Y","",IFERROR(INDEX($D$6:$D$4005,MATCH(B116&amp;"|"&amp;ROUND(_xlfn.MAXIFS($O$6:$O$4005,$B$6:$B$4005,B116,$N$6:$N$4005,"N"),0),$P$6:$P$4005,0)),"(tanpa lawan)"))</f>
        <v/>
      </c>
      <c r="R116" s="44"/>
      <c r="S116" s="9" t="str">
        <f aca="false">IF(N116&lt;&gt;"Y","",IF(R116&lt;&gt;"",R116,IF(Q116="(tanpa lawan)","Transfer antar rekening",IFERROR(INDEX(I_COA!$F$6:$F$265,MATCH(Q116,I_COA!$A$6:$A$265,0)),"?"))))</f>
        <v/>
      </c>
    </row>
    <row r="117" customFormat="false" ht="15" hidden="false" customHeight="false" outlineLevel="0" collapsed="false">
      <c r="A117" s="37" t="n">
        <v>46237</v>
      </c>
      <c r="B117" s="44" t="s">
        <v>712</v>
      </c>
      <c r="C117" s="44" t="s">
        <v>707</v>
      </c>
      <c r="D117" s="44" t="n">
        <v>2101003</v>
      </c>
      <c r="E117" s="44" t="s">
        <v>679</v>
      </c>
      <c r="F117" s="44" t="s">
        <v>714</v>
      </c>
      <c r="G117" s="42"/>
      <c r="H117" s="42" t="n">
        <v>3521251.5</v>
      </c>
      <c r="I117" s="44" t="s">
        <v>429</v>
      </c>
      <c r="J117" s="11" t="n">
        <f aca="false">IF(D117="","",N(G117)-N(H117))</f>
        <v>-3521251.5</v>
      </c>
      <c r="K117" s="34" t="str">
        <f aca="false">IF(D117="","",IFERROR(INDEX(I_COA!$C$6:$C$265,MATCH(D117,I_COA!$A$6:$A$265,0)),"AKUN BARU"))</f>
        <v>Neraca</v>
      </c>
      <c r="L117" s="34" t="str">
        <f aca="false">IF(K117="LabaRugi",INDEX(I_COA!$D$6:$D$265,MATCH(D117,I_COA!$A$6:$A$265,0)),"")</f>
        <v/>
      </c>
      <c r="M117" s="34" t="str">
        <f aca="false">IF(K117="Neraca",INDEX(I_COA!$E$6:$E$265,MATCH(D117,I_COA!$A$6:$A$265,0)),"")</f>
        <v>Other Payable - Third Parties</v>
      </c>
      <c r="N117" s="34" t="str">
        <f aca="false">IF(D117="","",IFERROR(INDEX(I_COA!$G$6:$G$265,MATCH(D117,I_COA!$A$6:$A$265,0)),"N"))</f>
        <v>N</v>
      </c>
      <c r="O117" s="11" t="n">
        <f aca="false">IF(N117="N",ABS(J117),"")</f>
        <v>3521251.5</v>
      </c>
      <c r="P117" s="18" t="str">
        <f aca="false">IF(N117="N",B117&amp;"|"&amp;ROUND(O117,0),"")</f>
        <v>PI26080003|3521252</v>
      </c>
      <c r="Q117" s="18" t="str">
        <f aca="false">IF(N117&lt;&gt;"Y","",IFERROR(INDEX($D$6:$D$4005,MATCH(B117&amp;"|"&amp;ROUND(_xlfn.MAXIFS($O$6:$O$4005,$B$6:$B$4005,B117,$N$6:$N$4005,"N"),0),$P$6:$P$4005,0)),"(tanpa lawan)"))</f>
        <v/>
      </c>
      <c r="R117" s="44"/>
      <c r="S117" s="9" t="str">
        <f aca="false">IF(N117&lt;&gt;"Y","",IF(R117&lt;&gt;"",R117,IF(Q117="(tanpa lawan)","Transfer antar rekening",IFERROR(INDEX(I_COA!$F$6:$F$265,MATCH(Q117,I_COA!$A$6:$A$265,0)),"?"))))</f>
        <v/>
      </c>
    </row>
    <row r="118" customFormat="false" ht="15" hidden="false" customHeight="false" outlineLevel="0" collapsed="false">
      <c r="A118" s="37" t="n">
        <v>46237</v>
      </c>
      <c r="B118" s="44" t="s">
        <v>716</v>
      </c>
      <c r="C118" s="44" t="s">
        <v>707</v>
      </c>
      <c r="D118" s="44" t="n">
        <v>6100006</v>
      </c>
      <c r="E118" s="44" t="s">
        <v>717</v>
      </c>
      <c r="F118" s="44" t="s">
        <v>718</v>
      </c>
      <c r="G118" s="42" t="n">
        <v>10450000</v>
      </c>
      <c r="H118" s="42"/>
      <c r="I118" s="44" t="s">
        <v>719</v>
      </c>
      <c r="J118" s="11" t="n">
        <f aca="false">IF(D118="","",N(G118)-N(H118))</f>
        <v>10450000</v>
      </c>
      <c r="K118" s="34" t="str">
        <f aca="false">IF(D118="","",IFERROR(INDEX(I_COA!$C$6:$C$265,MATCH(D118,I_COA!$A$6:$A$265,0)),"AKUN BARU"))</f>
        <v>LabaRugi</v>
      </c>
      <c r="L118" s="34" t="str">
        <f aca="false">IF(K118="LabaRugi",INDEX(I_COA!$D$6:$D$265,MATCH(D118,I_COA!$A$6:$A$265,0)),"")</f>
        <v>Delivery Expenses</v>
      </c>
      <c r="M118" s="34" t="str">
        <f aca="false">IF(K118="Neraca",INDEX(I_COA!$E$6:$E$265,MATCH(D118,I_COA!$A$6:$A$265,0)),"")</f>
        <v/>
      </c>
      <c r="N118" s="34" t="str">
        <f aca="false">IF(D118="","",IFERROR(INDEX(I_COA!$G$6:$G$265,MATCH(D118,I_COA!$A$6:$A$265,0)),"N"))</f>
        <v>N</v>
      </c>
      <c r="O118" s="11" t="n">
        <f aca="false">IF(N118="N",ABS(J118),"")</f>
        <v>10450000</v>
      </c>
      <c r="P118" s="18" t="str">
        <f aca="false">IF(N118="N",B118&amp;"|"&amp;ROUND(O118,0),"")</f>
        <v>PI26080007|10450000</v>
      </c>
      <c r="Q118" s="18" t="str">
        <f aca="false">IF(N118&lt;&gt;"Y","",IFERROR(INDEX($D$6:$D$4005,MATCH(B118&amp;"|"&amp;ROUND(_xlfn.MAXIFS($O$6:$O$4005,$B$6:$B$4005,B118,$N$6:$N$4005,"N"),0),$P$6:$P$4005,0)),"(tanpa lawan)"))</f>
        <v/>
      </c>
      <c r="R118" s="44"/>
      <c r="S118" s="9" t="str">
        <f aca="false">IF(N118&lt;&gt;"Y","",IF(R118&lt;&gt;"",R118,IF(Q118="(tanpa lawan)","Transfer antar rekening",IFERROR(INDEX(I_COA!$F$6:$F$265,MATCH(Q118,I_COA!$A$6:$A$265,0)),"?"))))</f>
        <v/>
      </c>
    </row>
    <row r="119" customFormat="false" ht="15" hidden="false" customHeight="false" outlineLevel="0" collapsed="false">
      <c r="A119" s="37" t="n">
        <v>46237</v>
      </c>
      <c r="B119" s="44" t="s">
        <v>716</v>
      </c>
      <c r="C119" s="44" t="s">
        <v>707</v>
      </c>
      <c r="D119" s="44" t="n">
        <v>1106001</v>
      </c>
      <c r="E119" s="44" t="s">
        <v>720</v>
      </c>
      <c r="F119" s="44" t="s">
        <v>721</v>
      </c>
      <c r="G119" s="42" t="n">
        <v>1149500</v>
      </c>
      <c r="H119" s="42"/>
      <c r="I119" s="44" t="s">
        <v>719</v>
      </c>
      <c r="J119" s="11" t="n">
        <f aca="false">IF(D119="","",N(G119)-N(H119))</f>
        <v>1149500</v>
      </c>
      <c r="K119" s="34" t="str">
        <f aca="false">IF(D119="","",IFERROR(INDEX(I_COA!$C$6:$C$265,MATCH(D119,I_COA!$A$6:$A$265,0)),"AKUN BARU"))</f>
        <v>Neraca</v>
      </c>
      <c r="L119" s="34" t="str">
        <f aca="false">IF(K119="LabaRugi",INDEX(I_COA!$D$6:$D$265,MATCH(D119,I_COA!$A$6:$A$265,0)),"")</f>
        <v/>
      </c>
      <c r="M119" s="34" t="str">
        <f aca="false">IF(K119="Neraca",INDEX(I_COA!$E$6:$E$265,MATCH(D119,I_COA!$A$6:$A$265,0)),"")</f>
        <v>Prepaid Tax</v>
      </c>
      <c r="N119" s="34" t="str">
        <f aca="false">IF(D119="","",IFERROR(INDEX(I_COA!$G$6:$G$265,MATCH(D119,I_COA!$A$6:$A$265,0)),"N"))</f>
        <v>N</v>
      </c>
      <c r="O119" s="11" t="n">
        <f aca="false">IF(N119="N",ABS(J119),"")</f>
        <v>1149500</v>
      </c>
      <c r="P119" s="18" t="str">
        <f aca="false">IF(N119="N",B119&amp;"|"&amp;ROUND(O119,0),"")</f>
        <v>PI26080007|1149500</v>
      </c>
      <c r="Q119" s="18" t="str">
        <f aca="false">IF(N119&lt;&gt;"Y","",IFERROR(INDEX($D$6:$D$4005,MATCH(B119&amp;"|"&amp;ROUND(_xlfn.MAXIFS($O$6:$O$4005,$B$6:$B$4005,B119,$N$6:$N$4005,"N"),0),$P$6:$P$4005,0)),"(tanpa lawan)"))</f>
        <v/>
      </c>
      <c r="R119" s="44"/>
      <c r="S119" s="9" t="str">
        <f aca="false">IF(N119&lt;&gt;"Y","",IF(R119&lt;&gt;"",R119,IF(Q119="(tanpa lawan)","Transfer antar rekening",IFERROR(INDEX(I_COA!$F$6:$F$265,MATCH(Q119,I_COA!$A$6:$A$265,0)),"?"))))</f>
        <v/>
      </c>
    </row>
    <row r="120" customFormat="false" ht="15" hidden="false" customHeight="false" outlineLevel="0" collapsed="false">
      <c r="A120" s="37" t="n">
        <v>46237</v>
      </c>
      <c r="B120" s="44" t="s">
        <v>716</v>
      </c>
      <c r="C120" s="44" t="s">
        <v>707</v>
      </c>
      <c r="D120" s="44" t="n">
        <v>2102003</v>
      </c>
      <c r="E120" s="44" t="s">
        <v>722</v>
      </c>
      <c r="F120" s="44" t="s">
        <v>723</v>
      </c>
      <c r="G120" s="42"/>
      <c r="H120" s="42" t="n">
        <v>209000</v>
      </c>
      <c r="I120" s="44" t="s">
        <v>719</v>
      </c>
      <c r="J120" s="11" t="n">
        <f aca="false">IF(D120="","",N(G120)-N(H120))</f>
        <v>-209000</v>
      </c>
      <c r="K120" s="34" t="str">
        <f aca="false">IF(D120="","",IFERROR(INDEX(I_COA!$C$6:$C$265,MATCH(D120,I_COA!$A$6:$A$265,0)),"AKUN BARU"))</f>
        <v>Neraca</v>
      </c>
      <c r="L120" s="34" t="str">
        <f aca="false">IF(K120="LabaRugi",INDEX(I_COA!$D$6:$D$265,MATCH(D120,I_COA!$A$6:$A$265,0)),"")</f>
        <v/>
      </c>
      <c r="M120" s="34" t="str">
        <f aca="false">IF(K120="Neraca",INDEX(I_COA!$E$6:$E$265,MATCH(D120,I_COA!$A$6:$A$265,0)),"")</f>
        <v>Taxes Payable</v>
      </c>
      <c r="N120" s="34" t="str">
        <f aca="false">IF(D120="","",IFERROR(INDEX(I_COA!$G$6:$G$265,MATCH(D120,I_COA!$A$6:$A$265,0)),"N"))</f>
        <v>N</v>
      </c>
      <c r="O120" s="11" t="n">
        <f aca="false">IF(N120="N",ABS(J120),"")</f>
        <v>209000</v>
      </c>
      <c r="P120" s="18" t="str">
        <f aca="false">IF(N120="N",B120&amp;"|"&amp;ROUND(O120,0),"")</f>
        <v>PI26080007|209000</v>
      </c>
      <c r="Q120" s="18" t="str">
        <f aca="false">IF(N120&lt;&gt;"Y","",IFERROR(INDEX($D$6:$D$4005,MATCH(B120&amp;"|"&amp;ROUND(_xlfn.MAXIFS($O$6:$O$4005,$B$6:$B$4005,B120,$N$6:$N$4005,"N"),0),$P$6:$P$4005,0)),"(tanpa lawan)"))</f>
        <v/>
      </c>
      <c r="R120" s="44"/>
      <c r="S120" s="9" t="str">
        <f aca="false">IF(N120&lt;&gt;"Y","",IF(R120&lt;&gt;"",R120,IF(Q120="(tanpa lawan)","Transfer antar rekening",IFERROR(INDEX(I_COA!$F$6:$F$265,MATCH(Q120,I_COA!$A$6:$A$265,0)),"?"))))</f>
        <v/>
      </c>
    </row>
    <row r="121" customFormat="false" ht="15" hidden="false" customHeight="false" outlineLevel="0" collapsed="false">
      <c r="A121" s="37" t="n">
        <v>46237</v>
      </c>
      <c r="B121" s="44" t="s">
        <v>716</v>
      </c>
      <c r="C121" s="44" t="s">
        <v>707</v>
      </c>
      <c r="D121" s="44" t="n">
        <v>2101003</v>
      </c>
      <c r="E121" s="44" t="s">
        <v>679</v>
      </c>
      <c r="F121" s="44" t="s">
        <v>724</v>
      </c>
      <c r="G121" s="42"/>
      <c r="H121" s="42" t="n">
        <v>11390500</v>
      </c>
      <c r="I121" s="44" t="s">
        <v>719</v>
      </c>
      <c r="J121" s="11" t="n">
        <f aca="false">IF(D121="","",N(G121)-N(H121))</f>
        <v>-11390500</v>
      </c>
      <c r="K121" s="34" t="str">
        <f aca="false">IF(D121="","",IFERROR(INDEX(I_COA!$C$6:$C$265,MATCH(D121,I_COA!$A$6:$A$265,0)),"AKUN BARU"))</f>
        <v>Neraca</v>
      </c>
      <c r="L121" s="34" t="str">
        <f aca="false">IF(K121="LabaRugi",INDEX(I_COA!$D$6:$D$265,MATCH(D121,I_COA!$A$6:$A$265,0)),"")</f>
        <v/>
      </c>
      <c r="M121" s="34" t="str">
        <f aca="false">IF(K121="Neraca",INDEX(I_COA!$E$6:$E$265,MATCH(D121,I_COA!$A$6:$A$265,0)),"")</f>
        <v>Other Payable - Third Parties</v>
      </c>
      <c r="N121" s="34" t="str">
        <f aca="false">IF(D121="","",IFERROR(INDEX(I_COA!$G$6:$G$265,MATCH(D121,I_COA!$A$6:$A$265,0)),"N"))</f>
        <v>N</v>
      </c>
      <c r="O121" s="11" t="n">
        <f aca="false">IF(N121="N",ABS(J121),"")</f>
        <v>11390500</v>
      </c>
      <c r="P121" s="18" t="str">
        <f aca="false">IF(N121="N",B121&amp;"|"&amp;ROUND(O121,0),"")</f>
        <v>PI26080007|11390500</v>
      </c>
      <c r="Q121" s="18" t="str">
        <f aca="false">IF(N121&lt;&gt;"Y","",IFERROR(INDEX($D$6:$D$4005,MATCH(B121&amp;"|"&amp;ROUND(_xlfn.MAXIFS($O$6:$O$4005,$B$6:$B$4005,B121,$N$6:$N$4005,"N"),0),$P$6:$P$4005,0)),"(tanpa lawan)"))</f>
        <v/>
      </c>
      <c r="R121" s="44"/>
      <c r="S121" s="9" t="str">
        <f aca="false">IF(N121&lt;&gt;"Y","",IF(R121&lt;&gt;"",R121,IF(Q121="(tanpa lawan)","Transfer antar rekening",IFERROR(INDEX(I_COA!$F$6:$F$265,MATCH(Q121,I_COA!$A$6:$A$265,0)),"?"))))</f>
        <v/>
      </c>
    </row>
    <row r="122" customFormat="false" ht="15" hidden="false" customHeight="false" outlineLevel="0" collapsed="false">
      <c r="A122" s="37" t="n">
        <v>46238</v>
      </c>
      <c r="B122" s="44" t="s">
        <v>725</v>
      </c>
      <c r="C122" s="44" t="s">
        <v>585</v>
      </c>
      <c r="D122" s="44" t="n">
        <v>1102001</v>
      </c>
      <c r="E122" s="44" t="s">
        <v>586</v>
      </c>
      <c r="F122" s="44" t="s">
        <v>726</v>
      </c>
      <c r="G122" s="42" t="n">
        <v>70425000</v>
      </c>
      <c r="H122" s="42"/>
      <c r="I122" s="44" t="s">
        <v>432</v>
      </c>
      <c r="J122" s="11" t="n">
        <f aca="false">IF(D122="","",N(G122)-N(H122))</f>
        <v>70425000</v>
      </c>
      <c r="K122" s="34" t="str">
        <f aca="false">IF(D122="","",IFERROR(INDEX(I_COA!$C$6:$C$265,MATCH(D122,I_COA!$A$6:$A$265,0)),"AKUN BARU"))</f>
        <v>Neraca</v>
      </c>
      <c r="L122" s="34" t="str">
        <f aca="false">IF(K122="LabaRugi",INDEX(I_COA!$D$6:$D$265,MATCH(D122,I_COA!$A$6:$A$265,0)),"")</f>
        <v/>
      </c>
      <c r="M122" s="34" t="str">
        <f aca="false">IF(K122="Neraca",INDEX(I_COA!$E$6:$E$265,MATCH(D122,I_COA!$A$6:$A$265,0)),"")</f>
        <v>Cash and cash equivalents</v>
      </c>
      <c r="N122" s="34" t="str">
        <f aca="false">IF(D122="","",IFERROR(INDEX(I_COA!$G$6:$G$265,MATCH(D122,I_COA!$A$6:$A$265,0)),"N"))</f>
        <v>Y</v>
      </c>
      <c r="O122" s="11" t="str">
        <f aca="false">IF(N122="N",ABS(J122),"")</f>
        <v/>
      </c>
      <c r="P122" s="18" t="str">
        <f aca="false">IF(N122="N",B122&amp;"|"&amp;ROUND(O122,0),"")</f>
        <v/>
      </c>
      <c r="Q122" s="18" t="n">
        <f aca="false">IF(N122&lt;&gt;"Y","",IFERROR(INDEX($D$6:$D$4005,MATCH(B122&amp;"|"&amp;ROUND(_xlfn.MAXIFS($O$6:$O$4005,$B$6:$B$4005,B122,$N$6:$N$4005,"N"),0),$P$6:$P$4005,0)),"(tanpa lawan)"))</f>
        <v>1103101</v>
      </c>
      <c r="R122" s="44"/>
      <c r="S122" s="9" t="str">
        <f aca="false">IF(N122&lt;&gt;"Y","",IF(R122&lt;&gt;"",R122,IF(Q122="(tanpa lawan)","Transfer antar rekening",IFERROR(INDEX(I_COA!$F$6:$F$265,MATCH(Q122,I_COA!$A$6:$A$265,0)),"?"))))</f>
        <v>Penerimaan dari pelanggan</v>
      </c>
    </row>
    <row r="123" customFormat="false" ht="15" hidden="false" customHeight="false" outlineLevel="0" collapsed="false">
      <c r="A123" s="37" t="n">
        <v>46238</v>
      </c>
      <c r="B123" s="44" t="s">
        <v>725</v>
      </c>
      <c r="C123" s="44" t="s">
        <v>585</v>
      </c>
      <c r="D123" s="44" t="n">
        <v>1103101</v>
      </c>
      <c r="E123" s="44" t="s">
        <v>589</v>
      </c>
      <c r="F123" s="44" t="s">
        <v>726</v>
      </c>
      <c r="G123" s="42"/>
      <c r="H123" s="42" t="n">
        <v>70425000</v>
      </c>
      <c r="I123" s="44" t="s">
        <v>432</v>
      </c>
      <c r="J123" s="11" t="n">
        <f aca="false">IF(D123="","",N(G123)-N(H123))</f>
        <v>-70425000</v>
      </c>
      <c r="K123" s="34" t="str">
        <f aca="false">IF(D123="","",IFERROR(INDEX(I_COA!$C$6:$C$265,MATCH(D123,I_COA!$A$6:$A$265,0)),"AKUN BARU"))</f>
        <v>Neraca</v>
      </c>
      <c r="L123" s="34" t="str">
        <f aca="false">IF(K123="LabaRugi",INDEX(I_COA!$D$6:$D$265,MATCH(D123,I_COA!$A$6:$A$265,0)),"")</f>
        <v/>
      </c>
      <c r="M123" s="34" t="str">
        <f aca="false">IF(K123="Neraca",INDEX(I_COA!$E$6:$E$265,MATCH(D123,I_COA!$A$6:$A$265,0)),"")</f>
        <v>Trade Receivables - Third Parties</v>
      </c>
      <c r="N123" s="34" t="str">
        <f aca="false">IF(D123="","",IFERROR(INDEX(I_COA!$G$6:$G$265,MATCH(D123,I_COA!$A$6:$A$265,0)),"N"))</f>
        <v>N</v>
      </c>
      <c r="O123" s="11" t="n">
        <f aca="false">IF(N123="N",ABS(J123),"")</f>
        <v>70425000</v>
      </c>
      <c r="P123" s="18" t="str">
        <f aca="false">IF(N123="N",B123&amp;"|"&amp;ROUND(O123,0),"")</f>
        <v>B7626080011|70425000</v>
      </c>
      <c r="Q123" s="18" t="str">
        <f aca="false">IF(N123&lt;&gt;"Y","",IFERROR(INDEX($D$6:$D$4005,MATCH(B123&amp;"|"&amp;ROUND(_xlfn.MAXIFS($O$6:$O$4005,$B$6:$B$4005,B123,$N$6:$N$4005,"N"),0),$P$6:$P$4005,0)),"(tanpa lawan)"))</f>
        <v/>
      </c>
      <c r="R123" s="44"/>
      <c r="S123" s="9" t="str">
        <f aca="false">IF(N123&lt;&gt;"Y","",IF(R123&lt;&gt;"",R123,IF(Q123="(tanpa lawan)","Transfer antar rekening",IFERROR(INDEX(I_COA!$F$6:$F$265,MATCH(Q123,I_COA!$A$6:$A$265,0)),"?"))))</f>
        <v/>
      </c>
    </row>
    <row r="124" customFormat="false" ht="15" hidden="false" customHeight="false" outlineLevel="0" collapsed="false">
      <c r="A124" s="37" t="n">
        <v>46238</v>
      </c>
      <c r="B124" s="44" t="s">
        <v>727</v>
      </c>
      <c r="C124" s="44" t="s">
        <v>585</v>
      </c>
      <c r="D124" s="44" t="n">
        <v>1102001</v>
      </c>
      <c r="E124" s="44" t="s">
        <v>586</v>
      </c>
      <c r="F124" s="44" t="s">
        <v>728</v>
      </c>
      <c r="G124" s="42" t="n">
        <v>157778684</v>
      </c>
      <c r="H124" s="42"/>
      <c r="I124" s="44" t="s">
        <v>606</v>
      </c>
      <c r="J124" s="11" t="n">
        <f aca="false">IF(D124="","",N(G124)-N(H124))</f>
        <v>157778684</v>
      </c>
      <c r="K124" s="34" t="str">
        <f aca="false">IF(D124="","",IFERROR(INDEX(I_COA!$C$6:$C$265,MATCH(D124,I_COA!$A$6:$A$265,0)),"AKUN BARU"))</f>
        <v>Neraca</v>
      </c>
      <c r="L124" s="34" t="str">
        <f aca="false">IF(K124="LabaRugi",INDEX(I_COA!$D$6:$D$265,MATCH(D124,I_COA!$A$6:$A$265,0)),"")</f>
        <v/>
      </c>
      <c r="M124" s="34" t="str">
        <f aca="false">IF(K124="Neraca",INDEX(I_COA!$E$6:$E$265,MATCH(D124,I_COA!$A$6:$A$265,0)),"")</f>
        <v>Cash and cash equivalents</v>
      </c>
      <c r="N124" s="34" t="str">
        <f aca="false">IF(D124="","",IFERROR(INDEX(I_COA!$G$6:$G$265,MATCH(D124,I_COA!$A$6:$A$265,0)),"N"))</f>
        <v>Y</v>
      </c>
      <c r="O124" s="11" t="str">
        <f aca="false">IF(N124="N",ABS(J124),"")</f>
        <v/>
      </c>
      <c r="P124" s="18" t="str">
        <f aca="false">IF(N124="N",B124&amp;"|"&amp;ROUND(O124,0),"")</f>
        <v/>
      </c>
      <c r="Q124" s="18" t="n">
        <f aca="false">IF(N124&lt;&gt;"Y","",IFERROR(INDEX($D$6:$D$4005,MATCH(B124&amp;"|"&amp;ROUND(_xlfn.MAXIFS($O$6:$O$4005,$B$6:$B$4005,B124,$N$6:$N$4005,"N"),0),$P$6:$P$4005,0)),"(tanpa lawan)"))</f>
        <v>1103101</v>
      </c>
      <c r="R124" s="44"/>
      <c r="S124" s="9" t="str">
        <f aca="false">IF(N124&lt;&gt;"Y","",IF(R124&lt;&gt;"",R124,IF(Q124="(tanpa lawan)","Transfer antar rekening",IFERROR(INDEX(I_COA!$F$6:$F$265,MATCH(Q124,I_COA!$A$6:$A$265,0)),"?"))))</f>
        <v>Penerimaan dari pelanggan</v>
      </c>
    </row>
    <row r="125" customFormat="false" ht="15" hidden="false" customHeight="false" outlineLevel="0" collapsed="false">
      <c r="A125" s="37" t="n">
        <v>46238</v>
      </c>
      <c r="B125" s="44" t="s">
        <v>727</v>
      </c>
      <c r="C125" s="44" t="s">
        <v>585</v>
      </c>
      <c r="D125" s="44" t="n">
        <v>1103101</v>
      </c>
      <c r="E125" s="44" t="s">
        <v>589</v>
      </c>
      <c r="F125" s="44" t="s">
        <v>728</v>
      </c>
      <c r="G125" s="42"/>
      <c r="H125" s="42" t="n">
        <v>157778684</v>
      </c>
      <c r="I125" s="44" t="s">
        <v>606</v>
      </c>
      <c r="J125" s="11" t="n">
        <f aca="false">IF(D125="","",N(G125)-N(H125))</f>
        <v>-157778684</v>
      </c>
      <c r="K125" s="34" t="str">
        <f aca="false">IF(D125="","",IFERROR(INDEX(I_COA!$C$6:$C$265,MATCH(D125,I_COA!$A$6:$A$265,0)),"AKUN BARU"))</f>
        <v>Neraca</v>
      </c>
      <c r="L125" s="34" t="str">
        <f aca="false">IF(K125="LabaRugi",INDEX(I_COA!$D$6:$D$265,MATCH(D125,I_COA!$A$6:$A$265,0)),"")</f>
        <v/>
      </c>
      <c r="M125" s="34" t="str">
        <f aca="false">IF(K125="Neraca",INDEX(I_COA!$E$6:$E$265,MATCH(D125,I_COA!$A$6:$A$265,0)),"")</f>
        <v>Trade Receivables - Third Parties</v>
      </c>
      <c r="N125" s="34" t="str">
        <f aca="false">IF(D125="","",IFERROR(INDEX(I_COA!$G$6:$G$265,MATCH(D125,I_COA!$A$6:$A$265,0)),"N"))</f>
        <v>N</v>
      </c>
      <c r="O125" s="11" t="n">
        <f aca="false">IF(N125="N",ABS(J125),"")</f>
        <v>157778684</v>
      </c>
      <c r="P125" s="18" t="str">
        <f aca="false">IF(N125="N",B125&amp;"|"&amp;ROUND(O125,0),"")</f>
        <v>B7626080012|157778684</v>
      </c>
      <c r="Q125" s="18" t="str">
        <f aca="false">IF(N125&lt;&gt;"Y","",IFERROR(INDEX($D$6:$D$4005,MATCH(B125&amp;"|"&amp;ROUND(_xlfn.MAXIFS($O$6:$O$4005,$B$6:$B$4005,B125,$N$6:$N$4005,"N"),0),$P$6:$P$4005,0)),"(tanpa lawan)"))</f>
        <v/>
      </c>
      <c r="R125" s="44"/>
      <c r="S125" s="9" t="str">
        <f aca="false">IF(N125&lt;&gt;"Y","",IF(R125&lt;&gt;"",R125,IF(Q125="(tanpa lawan)","Transfer antar rekening",IFERROR(INDEX(I_COA!$F$6:$F$265,MATCH(Q125,I_COA!$A$6:$A$265,0)),"?"))))</f>
        <v/>
      </c>
    </row>
    <row r="126" customFormat="false" ht="15" hidden="false" customHeight="false" outlineLevel="0" collapsed="false">
      <c r="A126" s="37" t="n">
        <v>46238</v>
      </c>
      <c r="B126" s="44" t="s">
        <v>729</v>
      </c>
      <c r="C126" s="44" t="s">
        <v>585</v>
      </c>
      <c r="D126" s="44" t="n">
        <v>1102001</v>
      </c>
      <c r="E126" s="44" t="s">
        <v>586</v>
      </c>
      <c r="F126" s="44" t="s">
        <v>730</v>
      </c>
      <c r="G126" s="42" t="n">
        <v>29789100</v>
      </c>
      <c r="H126" s="42"/>
      <c r="I126" s="44" t="s">
        <v>432</v>
      </c>
      <c r="J126" s="11" t="n">
        <f aca="false">IF(D126="","",N(G126)-N(H126))</f>
        <v>29789100</v>
      </c>
      <c r="K126" s="34" t="str">
        <f aca="false">IF(D126="","",IFERROR(INDEX(I_COA!$C$6:$C$265,MATCH(D126,I_COA!$A$6:$A$265,0)),"AKUN BARU"))</f>
        <v>Neraca</v>
      </c>
      <c r="L126" s="34" t="str">
        <f aca="false">IF(K126="LabaRugi",INDEX(I_COA!$D$6:$D$265,MATCH(D126,I_COA!$A$6:$A$265,0)),"")</f>
        <v/>
      </c>
      <c r="M126" s="34" t="str">
        <f aca="false">IF(K126="Neraca",INDEX(I_COA!$E$6:$E$265,MATCH(D126,I_COA!$A$6:$A$265,0)),"")</f>
        <v>Cash and cash equivalents</v>
      </c>
      <c r="N126" s="34" t="str">
        <f aca="false">IF(D126="","",IFERROR(INDEX(I_COA!$G$6:$G$265,MATCH(D126,I_COA!$A$6:$A$265,0)),"N"))</f>
        <v>Y</v>
      </c>
      <c r="O126" s="11" t="str">
        <f aca="false">IF(N126="N",ABS(J126),"")</f>
        <v/>
      </c>
      <c r="P126" s="18" t="str">
        <f aca="false">IF(N126="N",B126&amp;"|"&amp;ROUND(O126,0),"")</f>
        <v/>
      </c>
      <c r="Q126" s="18" t="n">
        <f aca="false">IF(N126&lt;&gt;"Y","",IFERROR(INDEX($D$6:$D$4005,MATCH(B126&amp;"|"&amp;ROUND(_xlfn.MAXIFS($O$6:$O$4005,$B$6:$B$4005,B126,$N$6:$N$4005,"N"),0),$P$6:$P$4005,0)),"(tanpa lawan)"))</f>
        <v>1103101</v>
      </c>
      <c r="R126" s="44"/>
      <c r="S126" s="9" t="str">
        <f aca="false">IF(N126&lt;&gt;"Y","",IF(R126&lt;&gt;"",R126,IF(Q126="(tanpa lawan)","Transfer antar rekening",IFERROR(INDEX(I_COA!$F$6:$F$265,MATCH(Q126,I_COA!$A$6:$A$265,0)),"?"))))</f>
        <v>Penerimaan dari pelanggan</v>
      </c>
    </row>
    <row r="127" customFormat="false" ht="15" hidden="false" customHeight="false" outlineLevel="0" collapsed="false">
      <c r="A127" s="37" t="n">
        <v>46238</v>
      </c>
      <c r="B127" s="44" t="s">
        <v>729</v>
      </c>
      <c r="C127" s="44" t="s">
        <v>585</v>
      </c>
      <c r="D127" s="44" t="n">
        <v>1103101</v>
      </c>
      <c r="E127" s="44" t="s">
        <v>589</v>
      </c>
      <c r="F127" s="44" t="s">
        <v>730</v>
      </c>
      <c r="G127" s="42"/>
      <c r="H127" s="42" t="n">
        <v>29789100</v>
      </c>
      <c r="I127" s="44" t="s">
        <v>432</v>
      </c>
      <c r="J127" s="11" t="n">
        <f aca="false">IF(D127="","",N(G127)-N(H127))</f>
        <v>-29789100</v>
      </c>
      <c r="K127" s="34" t="str">
        <f aca="false">IF(D127="","",IFERROR(INDEX(I_COA!$C$6:$C$265,MATCH(D127,I_COA!$A$6:$A$265,0)),"AKUN BARU"))</f>
        <v>Neraca</v>
      </c>
      <c r="L127" s="34" t="str">
        <f aca="false">IF(K127="LabaRugi",INDEX(I_COA!$D$6:$D$265,MATCH(D127,I_COA!$A$6:$A$265,0)),"")</f>
        <v/>
      </c>
      <c r="M127" s="34" t="str">
        <f aca="false">IF(K127="Neraca",INDEX(I_COA!$E$6:$E$265,MATCH(D127,I_COA!$A$6:$A$265,0)),"")</f>
        <v>Trade Receivables - Third Parties</v>
      </c>
      <c r="N127" s="34" t="str">
        <f aca="false">IF(D127="","",IFERROR(INDEX(I_COA!$G$6:$G$265,MATCH(D127,I_COA!$A$6:$A$265,0)),"N"))</f>
        <v>N</v>
      </c>
      <c r="O127" s="11" t="n">
        <f aca="false">IF(N127="N",ABS(J127),"")</f>
        <v>29789100</v>
      </c>
      <c r="P127" s="18" t="str">
        <f aca="false">IF(N127="N",B127&amp;"|"&amp;ROUND(O127,0),"")</f>
        <v>B7626080013|29789100</v>
      </c>
      <c r="Q127" s="18" t="str">
        <f aca="false">IF(N127&lt;&gt;"Y","",IFERROR(INDEX($D$6:$D$4005,MATCH(B127&amp;"|"&amp;ROUND(_xlfn.MAXIFS($O$6:$O$4005,$B$6:$B$4005,B127,$N$6:$N$4005,"N"),0),$P$6:$P$4005,0)),"(tanpa lawan)"))</f>
        <v/>
      </c>
      <c r="R127" s="44"/>
      <c r="S127" s="9" t="str">
        <f aca="false">IF(N127&lt;&gt;"Y","",IF(R127&lt;&gt;"",R127,IF(Q127="(tanpa lawan)","Transfer antar rekening",IFERROR(INDEX(I_COA!$F$6:$F$265,MATCH(Q127,I_COA!$A$6:$A$265,0)),"?"))))</f>
        <v/>
      </c>
    </row>
    <row r="128" customFormat="false" ht="15" hidden="false" customHeight="false" outlineLevel="0" collapsed="false">
      <c r="A128" s="37" t="n">
        <v>46238</v>
      </c>
      <c r="B128" s="44" t="s">
        <v>731</v>
      </c>
      <c r="C128" s="44" t="s">
        <v>580</v>
      </c>
      <c r="D128" s="44" t="n">
        <v>6200005</v>
      </c>
      <c r="E128" s="44" t="s">
        <v>732</v>
      </c>
      <c r="F128" s="44" t="s">
        <v>733</v>
      </c>
      <c r="G128" s="42" t="n">
        <v>200000</v>
      </c>
      <c r="H128" s="42"/>
      <c r="I128" s="44"/>
      <c r="J128" s="11" t="n">
        <f aca="false">IF(D128="","",N(G128)-N(H128))</f>
        <v>200000</v>
      </c>
      <c r="K128" s="34" t="str">
        <f aca="false">IF(D128="","",IFERROR(INDEX(I_COA!$C$6:$C$265,MATCH(D128,I_COA!$A$6:$A$265,0)),"AKUN BARU"))</f>
        <v>LabaRugi</v>
      </c>
      <c r="L128" s="34" t="str">
        <f aca="false">IF(K128="LabaRugi",INDEX(I_COA!$D$6:$D$265,MATCH(D128,I_COA!$A$6:$A$265,0)),"")</f>
        <v>Office Transportation expenses</v>
      </c>
      <c r="M128" s="34" t="str">
        <f aca="false">IF(K128="Neraca",INDEX(I_COA!$E$6:$E$265,MATCH(D128,I_COA!$A$6:$A$265,0)),"")</f>
        <v/>
      </c>
      <c r="N128" s="34" t="str">
        <f aca="false">IF(D128="","",IFERROR(INDEX(I_COA!$G$6:$G$265,MATCH(D128,I_COA!$A$6:$A$265,0)),"N"))</f>
        <v>N</v>
      </c>
      <c r="O128" s="11" t="n">
        <f aca="false">IF(N128="N",ABS(J128),"")</f>
        <v>200000</v>
      </c>
      <c r="P128" s="18" t="str">
        <f aca="false">IF(N128="N",B128&amp;"|"&amp;ROUND(O128,0),"")</f>
        <v>B8526080004|200000</v>
      </c>
      <c r="Q128" s="18" t="str">
        <f aca="false">IF(N128&lt;&gt;"Y","",IFERROR(INDEX($D$6:$D$4005,MATCH(B128&amp;"|"&amp;ROUND(_xlfn.MAXIFS($O$6:$O$4005,$B$6:$B$4005,B128,$N$6:$N$4005,"N"),0),$P$6:$P$4005,0)),"(tanpa lawan)"))</f>
        <v/>
      </c>
      <c r="R128" s="44"/>
      <c r="S128" s="9" t="str">
        <f aca="false">IF(N128&lt;&gt;"Y","",IF(R128&lt;&gt;"",R128,IF(Q128="(tanpa lawan)","Transfer antar rekening",IFERROR(INDEX(I_COA!$F$6:$F$265,MATCH(Q128,I_COA!$A$6:$A$265,0)),"?"))))</f>
        <v/>
      </c>
    </row>
    <row r="129" customFormat="false" ht="15" hidden="false" customHeight="false" outlineLevel="0" collapsed="false">
      <c r="A129" s="37" t="n">
        <v>46238</v>
      </c>
      <c r="B129" s="44" t="s">
        <v>731</v>
      </c>
      <c r="C129" s="44" t="s">
        <v>580</v>
      </c>
      <c r="D129" s="44" t="n">
        <v>6200005</v>
      </c>
      <c r="E129" s="44" t="s">
        <v>732</v>
      </c>
      <c r="F129" s="44" t="s">
        <v>734</v>
      </c>
      <c r="G129" s="42" t="n">
        <v>90000</v>
      </c>
      <c r="H129" s="42"/>
      <c r="I129" s="44"/>
      <c r="J129" s="11" t="n">
        <f aca="false">IF(D129="","",N(G129)-N(H129))</f>
        <v>90000</v>
      </c>
      <c r="K129" s="34" t="str">
        <f aca="false">IF(D129="","",IFERROR(INDEX(I_COA!$C$6:$C$265,MATCH(D129,I_COA!$A$6:$A$265,0)),"AKUN BARU"))</f>
        <v>LabaRugi</v>
      </c>
      <c r="L129" s="34" t="str">
        <f aca="false">IF(K129="LabaRugi",INDEX(I_COA!$D$6:$D$265,MATCH(D129,I_COA!$A$6:$A$265,0)),"")</f>
        <v>Office Transportation expenses</v>
      </c>
      <c r="M129" s="34" t="str">
        <f aca="false">IF(K129="Neraca",INDEX(I_COA!$E$6:$E$265,MATCH(D129,I_COA!$A$6:$A$265,0)),"")</f>
        <v/>
      </c>
      <c r="N129" s="34" t="str">
        <f aca="false">IF(D129="","",IFERROR(INDEX(I_COA!$G$6:$G$265,MATCH(D129,I_COA!$A$6:$A$265,0)),"N"))</f>
        <v>N</v>
      </c>
      <c r="O129" s="11" t="n">
        <f aca="false">IF(N129="N",ABS(J129),"")</f>
        <v>90000</v>
      </c>
      <c r="P129" s="18" t="str">
        <f aca="false">IF(N129="N",B129&amp;"|"&amp;ROUND(O129,0),"")</f>
        <v>B8526080004|90000</v>
      </c>
      <c r="Q129" s="18" t="str">
        <f aca="false">IF(N129&lt;&gt;"Y","",IFERROR(INDEX($D$6:$D$4005,MATCH(B129&amp;"|"&amp;ROUND(_xlfn.MAXIFS($O$6:$O$4005,$B$6:$B$4005,B129,$N$6:$N$4005,"N"),0),$P$6:$P$4005,0)),"(tanpa lawan)"))</f>
        <v/>
      </c>
      <c r="R129" s="44"/>
      <c r="S129" s="9" t="str">
        <f aca="false">IF(N129&lt;&gt;"Y","",IF(R129&lt;&gt;"",R129,IF(Q129="(tanpa lawan)","Transfer antar rekening",IFERROR(INDEX(I_COA!$F$6:$F$265,MATCH(Q129,I_COA!$A$6:$A$265,0)),"?"))))</f>
        <v/>
      </c>
    </row>
    <row r="130" customFormat="false" ht="15" hidden="false" customHeight="false" outlineLevel="0" collapsed="false">
      <c r="A130" s="37" t="n">
        <v>46238</v>
      </c>
      <c r="B130" s="44" t="s">
        <v>731</v>
      </c>
      <c r="C130" s="44" t="s">
        <v>580</v>
      </c>
      <c r="D130" s="44" t="n">
        <v>6200005</v>
      </c>
      <c r="E130" s="44" t="s">
        <v>732</v>
      </c>
      <c r="F130" s="44" t="s">
        <v>735</v>
      </c>
      <c r="G130" s="42" t="n">
        <v>105000</v>
      </c>
      <c r="H130" s="42"/>
      <c r="I130" s="44"/>
      <c r="J130" s="11" t="n">
        <f aca="false">IF(D130="","",N(G130)-N(H130))</f>
        <v>105000</v>
      </c>
      <c r="K130" s="34" t="str">
        <f aca="false">IF(D130="","",IFERROR(INDEX(I_COA!$C$6:$C$265,MATCH(D130,I_COA!$A$6:$A$265,0)),"AKUN BARU"))</f>
        <v>LabaRugi</v>
      </c>
      <c r="L130" s="34" t="str">
        <f aca="false">IF(K130="LabaRugi",INDEX(I_COA!$D$6:$D$265,MATCH(D130,I_COA!$A$6:$A$265,0)),"")</f>
        <v>Office Transportation expenses</v>
      </c>
      <c r="M130" s="34" t="str">
        <f aca="false">IF(K130="Neraca",INDEX(I_COA!$E$6:$E$265,MATCH(D130,I_COA!$A$6:$A$265,0)),"")</f>
        <v/>
      </c>
      <c r="N130" s="34" t="str">
        <f aca="false">IF(D130="","",IFERROR(INDEX(I_COA!$G$6:$G$265,MATCH(D130,I_COA!$A$6:$A$265,0)),"N"))</f>
        <v>N</v>
      </c>
      <c r="O130" s="11" t="n">
        <f aca="false">IF(N130="N",ABS(J130),"")</f>
        <v>105000</v>
      </c>
      <c r="P130" s="18" t="str">
        <f aca="false">IF(N130="N",B130&amp;"|"&amp;ROUND(O130,0),"")</f>
        <v>B8526080004|105000</v>
      </c>
      <c r="Q130" s="18" t="str">
        <f aca="false">IF(N130&lt;&gt;"Y","",IFERROR(INDEX($D$6:$D$4005,MATCH(B130&amp;"|"&amp;ROUND(_xlfn.MAXIFS($O$6:$O$4005,$B$6:$B$4005,B130,$N$6:$N$4005,"N"),0),$P$6:$P$4005,0)),"(tanpa lawan)"))</f>
        <v/>
      </c>
      <c r="R130" s="44"/>
      <c r="S130" s="9" t="str">
        <f aca="false">IF(N130&lt;&gt;"Y","",IF(R130&lt;&gt;"",R130,IF(Q130="(tanpa lawan)","Transfer antar rekening",IFERROR(INDEX(I_COA!$F$6:$F$265,MATCH(Q130,I_COA!$A$6:$A$265,0)),"?"))))</f>
        <v/>
      </c>
    </row>
    <row r="131" customFormat="false" ht="15" hidden="false" customHeight="false" outlineLevel="0" collapsed="false">
      <c r="A131" s="37" t="n">
        <v>46238</v>
      </c>
      <c r="B131" s="44" t="s">
        <v>731</v>
      </c>
      <c r="C131" s="44" t="s">
        <v>580</v>
      </c>
      <c r="D131" s="44" t="n">
        <v>6200005</v>
      </c>
      <c r="E131" s="44" t="s">
        <v>732</v>
      </c>
      <c r="F131" s="44" t="s">
        <v>735</v>
      </c>
      <c r="G131" s="42" t="n">
        <v>671500</v>
      </c>
      <c r="H131" s="42"/>
      <c r="I131" s="44"/>
      <c r="J131" s="11" t="n">
        <f aca="false">IF(D131="","",N(G131)-N(H131))</f>
        <v>671500</v>
      </c>
      <c r="K131" s="34" t="str">
        <f aca="false">IF(D131="","",IFERROR(INDEX(I_COA!$C$6:$C$265,MATCH(D131,I_COA!$A$6:$A$265,0)),"AKUN BARU"))</f>
        <v>LabaRugi</v>
      </c>
      <c r="L131" s="34" t="str">
        <f aca="false">IF(K131="LabaRugi",INDEX(I_COA!$D$6:$D$265,MATCH(D131,I_COA!$A$6:$A$265,0)),"")</f>
        <v>Office Transportation expenses</v>
      </c>
      <c r="M131" s="34" t="str">
        <f aca="false">IF(K131="Neraca",INDEX(I_COA!$E$6:$E$265,MATCH(D131,I_COA!$A$6:$A$265,0)),"")</f>
        <v/>
      </c>
      <c r="N131" s="34" t="str">
        <f aca="false">IF(D131="","",IFERROR(INDEX(I_COA!$G$6:$G$265,MATCH(D131,I_COA!$A$6:$A$265,0)),"N"))</f>
        <v>N</v>
      </c>
      <c r="O131" s="11" t="n">
        <f aca="false">IF(N131="N",ABS(J131),"")</f>
        <v>671500</v>
      </c>
      <c r="P131" s="18" t="str">
        <f aca="false">IF(N131="N",B131&amp;"|"&amp;ROUND(O131,0),"")</f>
        <v>B8526080004|671500</v>
      </c>
      <c r="Q131" s="18" t="str">
        <f aca="false">IF(N131&lt;&gt;"Y","",IFERROR(INDEX($D$6:$D$4005,MATCH(B131&amp;"|"&amp;ROUND(_xlfn.MAXIFS($O$6:$O$4005,$B$6:$B$4005,B131,$N$6:$N$4005,"N"),0),$P$6:$P$4005,0)),"(tanpa lawan)"))</f>
        <v/>
      </c>
      <c r="R131" s="44"/>
      <c r="S131" s="9" t="str">
        <f aca="false">IF(N131&lt;&gt;"Y","",IF(R131&lt;&gt;"",R131,IF(Q131="(tanpa lawan)","Transfer antar rekening",IFERROR(INDEX(I_COA!$F$6:$F$265,MATCH(Q131,I_COA!$A$6:$A$265,0)),"?"))))</f>
        <v/>
      </c>
    </row>
    <row r="132" customFormat="false" ht="15" hidden="false" customHeight="false" outlineLevel="0" collapsed="false">
      <c r="A132" s="37" t="n">
        <v>46238</v>
      </c>
      <c r="B132" s="44" t="s">
        <v>731</v>
      </c>
      <c r="C132" s="44" t="s">
        <v>580</v>
      </c>
      <c r="D132" s="44" t="n">
        <v>6200005</v>
      </c>
      <c r="E132" s="44" t="s">
        <v>732</v>
      </c>
      <c r="F132" s="44" t="s">
        <v>735</v>
      </c>
      <c r="G132" s="42" t="n">
        <v>484064</v>
      </c>
      <c r="H132" s="42"/>
      <c r="I132" s="44"/>
      <c r="J132" s="11" t="n">
        <f aca="false">IF(D132="","",N(G132)-N(H132))</f>
        <v>484064</v>
      </c>
      <c r="K132" s="34" t="str">
        <f aca="false">IF(D132="","",IFERROR(INDEX(I_COA!$C$6:$C$265,MATCH(D132,I_COA!$A$6:$A$265,0)),"AKUN BARU"))</f>
        <v>LabaRugi</v>
      </c>
      <c r="L132" s="34" t="str">
        <f aca="false">IF(K132="LabaRugi",INDEX(I_COA!$D$6:$D$265,MATCH(D132,I_COA!$A$6:$A$265,0)),"")</f>
        <v>Office Transportation expenses</v>
      </c>
      <c r="M132" s="34" t="str">
        <f aca="false">IF(K132="Neraca",INDEX(I_COA!$E$6:$E$265,MATCH(D132,I_COA!$A$6:$A$265,0)),"")</f>
        <v/>
      </c>
      <c r="N132" s="34" t="str">
        <f aca="false">IF(D132="","",IFERROR(INDEX(I_COA!$G$6:$G$265,MATCH(D132,I_COA!$A$6:$A$265,0)),"N"))</f>
        <v>N</v>
      </c>
      <c r="O132" s="11" t="n">
        <f aca="false">IF(N132="N",ABS(J132),"")</f>
        <v>484064</v>
      </c>
      <c r="P132" s="18" t="str">
        <f aca="false">IF(N132="N",B132&amp;"|"&amp;ROUND(O132,0),"")</f>
        <v>B8526080004|484064</v>
      </c>
      <c r="Q132" s="18" t="str">
        <f aca="false">IF(N132&lt;&gt;"Y","",IFERROR(INDEX($D$6:$D$4005,MATCH(B132&amp;"|"&amp;ROUND(_xlfn.MAXIFS($O$6:$O$4005,$B$6:$B$4005,B132,$N$6:$N$4005,"N"),0),$P$6:$P$4005,0)),"(tanpa lawan)"))</f>
        <v/>
      </c>
      <c r="R132" s="44"/>
      <c r="S132" s="9" t="str">
        <f aca="false">IF(N132&lt;&gt;"Y","",IF(R132&lt;&gt;"",R132,IF(Q132="(tanpa lawan)","Transfer antar rekening",IFERROR(INDEX(I_COA!$F$6:$F$265,MATCH(Q132,I_COA!$A$6:$A$265,0)),"?"))))</f>
        <v/>
      </c>
    </row>
    <row r="133" customFormat="false" ht="15" hidden="false" customHeight="false" outlineLevel="0" collapsed="false">
      <c r="A133" s="37" t="n">
        <v>46238</v>
      </c>
      <c r="B133" s="44" t="s">
        <v>731</v>
      </c>
      <c r="C133" s="44" t="s">
        <v>580</v>
      </c>
      <c r="D133" s="44" t="n">
        <v>6200005</v>
      </c>
      <c r="E133" s="44" t="s">
        <v>732</v>
      </c>
      <c r="F133" s="44" t="s">
        <v>735</v>
      </c>
      <c r="G133" s="42" t="n">
        <v>573500</v>
      </c>
      <c r="H133" s="42"/>
      <c r="I133" s="44"/>
      <c r="J133" s="11" t="n">
        <f aca="false">IF(D133="","",N(G133)-N(H133))</f>
        <v>573500</v>
      </c>
      <c r="K133" s="34" t="str">
        <f aca="false">IF(D133="","",IFERROR(INDEX(I_COA!$C$6:$C$265,MATCH(D133,I_COA!$A$6:$A$265,0)),"AKUN BARU"))</f>
        <v>LabaRugi</v>
      </c>
      <c r="L133" s="34" t="str">
        <f aca="false">IF(K133="LabaRugi",INDEX(I_COA!$D$6:$D$265,MATCH(D133,I_COA!$A$6:$A$265,0)),"")</f>
        <v>Office Transportation expenses</v>
      </c>
      <c r="M133" s="34" t="str">
        <f aca="false">IF(K133="Neraca",INDEX(I_COA!$E$6:$E$265,MATCH(D133,I_COA!$A$6:$A$265,0)),"")</f>
        <v/>
      </c>
      <c r="N133" s="34" t="str">
        <f aca="false">IF(D133="","",IFERROR(INDEX(I_COA!$G$6:$G$265,MATCH(D133,I_COA!$A$6:$A$265,0)),"N"))</f>
        <v>N</v>
      </c>
      <c r="O133" s="11" t="n">
        <f aca="false">IF(N133="N",ABS(J133),"")</f>
        <v>573500</v>
      </c>
      <c r="P133" s="18" t="str">
        <f aca="false">IF(N133="N",B133&amp;"|"&amp;ROUND(O133,0),"")</f>
        <v>B8526080004|573500</v>
      </c>
      <c r="Q133" s="18" t="str">
        <f aca="false">IF(N133&lt;&gt;"Y","",IFERROR(INDEX($D$6:$D$4005,MATCH(B133&amp;"|"&amp;ROUND(_xlfn.MAXIFS($O$6:$O$4005,$B$6:$B$4005,B133,$N$6:$N$4005,"N"),0),$P$6:$P$4005,0)),"(tanpa lawan)"))</f>
        <v/>
      </c>
      <c r="R133" s="44"/>
      <c r="S133" s="9" t="str">
        <f aca="false">IF(N133&lt;&gt;"Y","",IF(R133&lt;&gt;"",R133,IF(Q133="(tanpa lawan)","Transfer antar rekening",IFERROR(INDEX(I_COA!$F$6:$F$265,MATCH(Q133,I_COA!$A$6:$A$265,0)),"?"))))</f>
        <v/>
      </c>
    </row>
    <row r="134" customFormat="false" ht="15" hidden="false" customHeight="false" outlineLevel="0" collapsed="false">
      <c r="A134" s="37" t="n">
        <v>46238</v>
      </c>
      <c r="B134" s="44" t="s">
        <v>731</v>
      </c>
      <c r="C134" s="44" t="s">
        <v>580</v>
      </c>
      <c r="D134" s="44" t="n">
        <v>6200005</v>
      </c>
      <c r="E134" s="44" t="s">
        <v>732</v>
      </c>
      <c r="F134" s="44" t="s">
        <v>735</v>
      </c>
      <c r="G134" s="42" t="n">
        <v>963456</v>
      </c>
      <c r="H134" s="42"/>
      <c r="I134" s="44"/>
      <c r="J134" s="11" t="n">
        <f aca="false">IF(D134="","",N(G134)-N(H134))</f>
        <v>963456</v>
      </c>
      <c r="K134" s="34" t="str">
        <f aca="false">IF(D134="","",IFERROR(INDEX(I_COA!$C$6:$C$265,MATCH(D134,I_COA!$A$6:$A$265,0)),"AKUN BARU"))</f>
        <v>LabaRugi</v>
      </c>
      <c r="L134" s="34" t="str">
        <f aca="false">IF(K134="LabaRugi",INDEX(I_COA!$D$6:$D$265,MATCH(D134,I_COA!$A$6:$A$265,0)),"")</f>
        <v>Office Transportation expenses</v>
      </c>
      <c r="M134" s="34" t="str">
        <f aca="false">IF(K134="Neraca",INDEX(I_COA!$E$6:$E$265,MATCH(D134,I_COA!$A$6:$A$265,0)),"")</f>
        <v/>
      </c>
      <c r="N134" s="34" t="str">
        <f aca="false">IF(D134="","",IFERROR(INDEX(I_COA!$G$6:$G$265,MATCH(D134,I_COA!$A$6:$A$265,0)),"N"))</f>
        <v>N</v>
      </c>
      <c r="O134" s="11" t="n">
        <f aca="false">IF(N134="N",ABS(J134),"")</f>
        <v>963456</v>
      </c>
      <c r="P134" s="18" t="str">
        <f aca="false">IF(N134="N",B134&amp;"|"&amp;ROUND(O134,0),"")</f>
        <v>B8526080004|963456</v>
      </c>
      <c r="Q134" s="18" t="str">
        <f aca="false">IF(N134&lt;&gt;"Y","",IFERROR(INDEX($D$6:$D$4005,MATCH(B134&amp;"|"&amp;ROUND(_xlfn.MAXIFS($O$6:$O$4005,$B$6:$B$4005,B134,$N$6:$N$4005,"N"),0),$P$6:$P$4005,0)),"(tanpa lawan)"))</f>
        <v/>
      </c>
      <c r="R134" s="44"/>
      <c r="S134" s="9" t="str">
        <f aca="false">IF(N134&lt;&gt;"Y","",IF(R134&lt;&gt;"",R134,IF(Q134="(tanpa lawan)","Transfer antar rekening",IFERROR(INDEX(I_COA!$F$6:$F$265,MATCH(Q134,I_COA!$A$6:$A$265,0)),"?"))))</f>
        <v/>
      </c>
    </row>
    <row r="135" customFormat="false" ht="15" hidden="false" customHeight="false" outlineLevel="0" collapsed="false">
      <c r="A135" s="37" t="n">
        <v>46238</v>
      </c>
      <c r="B135" s="44" t="s">
        <v>731</v>
      </c>
      <c r="C135" s="44" t="s">
        <v>580</v>
      </c>
      <c r="D135" s="44" t="n">
        <v>6200005</v>
      </c>
      <c r="E135" s="44" t="s">
        <v>732</v>
      </c>
      <c r="F135" s="44" t="s">
        <v>736</v>
      </c>
      <c r="G135" s="42" t="n">
        <v>374500</v>
      </c>
      <c r="H135" s="42"/>
      <c r="I135" s="44"/>
      <c r="J135" s="11" t="n">
        <f aca="false">IF(D135="","",N(G135)-N(H135))</f>
        <v>374500</v>
      </c>
      <c r="K135" s="34" t="str">
        <f aca="false">IF(D135="","",IFERROR(INDEX(I_COA!$C$6:$C$265,MATCH(D135,I_COA!$A$6:$A$265,0)),"AKUN BARU"))</f>
        <v>LabaRugi</v>
      </c>
      <c r="L135" s="34" t="str">
        <f aca="false">IF(K135="LabaRugi",INDEX(I_COA!$D$6:$D$265,MATCH(D135,I_COA!$A$6:$A$265,0)),"")</f>
        <v>Office Transportation expenses</v>
      </c>
      <c r="M135" s="34" t="str">
        <f aca="false">IF(K135="Neraca",INDEX(I_COA!$E$6:$E$265,MATCH(D135,I_COA!$A$6:$A$265,0)),"")</f>
        <v/>
      </c>
      <c r="N135" s="34" t="str">
        <f aca="false">IF(D135="","",IFERROR(INDEX(I_COA!$G$6:$G$265,MATCH(D135,I_COA!$A$6:$A$265,0)),"N"))</f>
        <v>N</v>
      </c>
      <c r="O135" s="11" t="n">
        <f aca="false">IF(N135="N",ABS(J135),"")</f>
        <v>374500</v>
      </c>
      <c r="P135" s="18" t="str">
        <f aca="false">IF(N135="N",B135&amp;"|"&amp;ROUND(O135,0),"")</f>
        <v>B8526080004|374500</v>
      </c>
      <c r="Q135" s="18" t="str">
        <f aca="false">IF(N135&lt;&gt;"Y","",IFERROR(INDEX($D$6:$D$4005,MATCH(B135&amp;"|"&amp;ROUND(_xlfn.MAXIFS($O$6:$O$4005,$B$6:$B$4005,B135,$N$6:$N$4005,"N"),0),$P$6:$P$4005,0)),"(tanpa lawan)"))</f>
        <v/>
      </c>
      <c r="R135" s="44"/>
      <c r="S135" s="9" t="str">
        <f aca="false">IF(N135&lt;&gt;"Y","",IF(R135&lt;&gt;"",R135,IF(Q135="(tanpa lawan)","Transfer antar rekening",IFERROR(INDEX(I_COA!$F$6:$F$265,MATCH(Q135,I_COA!$A$6:$A$265,0)),"?"))))</f>
        <v/>
      </c>
    </row>
    <row r="136" customFormat="false" ht="15" hidden="false" customHeight="false" outlineLevel="0" collapsed="false">
      <c r="A136" s="37" t="n">
        <v>46238</v>
      </c>
      <c r="B136" s="44" t="s">
        <v>731</v>
      </c>
      <c r="C136" s="44" t="s">
        <v>580</v>
      </c>
      <c r="D136" s="44" t="n">
        <v>6200012</v>
      </c>
      <c r="E136" s="44" t="s">
        <v>737</v>
      </c>
      <c r="F136" s="44" t="s">
        <v>738</v>
      </c>
      <c r="G136" s="42" t="n">
        <v>600000</v>
      </c>
      <c r="H136" s="42"/>
      <c r="I136" s="44"/>
      <c r="J136" s="11" t="n">
        <f aca="false">IF(D136="","",N(G136)-N(H136))</f>
        <v>600000</v>
      </c>
      <c r="K136" s="34" t="str">
        <f aca="false">IF(D136="","",IFERROR(INDEX(I_COA!$C$6:$C$265,MATCH(D136,I_COA!$A$6:$A$265,0)),"AKUN BARU"))</f>
        <v>LabaRugi</v>
      </c>
      <c r="L136" s="34" t="str">
        <f aca="false">IF(K136="LabaRugi",INDEX(I_COA!$D$6:$D$265,MATCH(D136,I_COA!$A$6:$A$265,0)),"")</f>
        <v>Office Supplies &amp; Utilities</v>
      </c>
      <c r="M136" s="34" t="str">
        <f aca="false">IF(K136="Neraca",INDEX(I_COA!$E$6:$E$265,MATCH(D136,I_COA!$A$6:$A$265,0)),"")</f>
        <v/>
      </c>
      <c r="N136" s="34" t="str">
        <f aca="false">IF(D136="","",IFERROR(INDEX(I_COA!$G$6:$G$265,MATCH(D136,I_COA!$A$6:$A$265,0)),"N"))</f>
        <v>N</v>
      </c>
      <c r="O136" s="11" t="n">
        <f aca="false">IF(N136="N",ABS(J136),"")</f>
        <v>600000</v>
      </c>
      <c r="P136" s="18" t="str">
        <f aca="false">IF(N136="N",B136&amp;"|"&amp;ROUND(O136,0),"")</f>
        <v>B8526080004|600000</v>
      </c>
      <c r="Q136" s="18" t="str">
        <f aca="false">IF(N136&lt;&gt;"Y","",IFERROR(INDEX($D$6:$D$4005,MATCH(B136&amp;"|"&amp;ROUND(_xlfn.MAXIFS($O$6:$O$4005,$B$6:$B$4005,B136,$N$6:$N$4005,"N"),0),$P$6:$P$4005,0)),"(tanpa lawan)"))</f>
        <v/>
      </c>
      <c r="R136" s="44"/>
      <c r="S136" s="9" t="str">
        <f aca="false">IF(N136&lt;&gt;"Y","",IF(R136&lt;&gt;"",R136,IF(Q136="(tanpa lawan)","Transfer antar rekening",IFERROR(INDEX(I_COA!$F$6:$F$265,MATCH(Q136,I_COA!$A$6:$A$265,0)),"?"))))</f>
        <v/>
      </c>
    </row>
    <row r="137" customFormat="false" ht="15" hidden="false" customHeight="false" outlineLevel="0" collapsed="false">
      <c r="A137" s="37" t="n">
        <v>46238</v>
      </c>
      <c r="B137" s="44" t="s">
        <v>731</v>
      </c>
      <c r="C137" s="44" t="s">
        <v>580</v>
      </c>
      <c r="D137" s="44" t="n">
        <v>6200005</v>
      </c>
      <c r="E137" s="44" t="s">
        <v>732</v>
      </c>
      <c r="F137" s="44" t="s">
        <v>735</v>
      </c>
      <c r="G137" s="42" t="n">
        <v>763000</v>
      </c>
      <c r="H137" s="42"/>
      <c r="I137" s="44"/>
      <c r="J137" s="11" t="n">
        <f aca="false">IF(D137="","",N(G137)-N(H137))</f>
        <v>763000</v>
      </c>
      <c r="K137" s="34" t="str">
        <f aca="false">IF(D137="","",IFERROR(INDEX(I_COA!$C$6:$C$265,MATCH(D137,I_COA!$A$6:$A$265,0)),"AKUN BARU"))</f>
        <v>LabaRugi</v>
      </c>
      <c r="L137" s="34" t="str">
        <f aca="false">IF(K137="LabaRugi",INDEX(I_COA!$D$6:$D$265,MATCH(D137,I_COA!$A$6:$A$265,0)),"")</f>
        <v>Office Transportation expenses</v>
      </c>
      <c r="M137" s="34" t="str">
        <f aca="false">IF(K137="Neraca",INDEX(I_COA!$E$6:$E$265,MATCH(D137,I_COA!$A$6:$A$265,0)),"")</f>
        <v/>
      </c>
      <c r="N137" s="34" t="str">
        <f aca="false">IF(D137="","",IFERROR(INDEX(I_COA!$G$6:$G$265,MATCH(D137,I_COA!$A$6:$A$265,0)),"N"))</f>
        <v>N</v>
      </c>
      <c r="O137" s="11" t="n">
        <f aca="false">IF(N137="N",ABS(J137),"")</f>
        <v>763000</v>
      </c>
      <c r="P137" s="18" t="str">
        <f aca="false">IF(N137="N",B137&amp;"|"&amp;ROUND(O137,0),"")</f>
        <v>B8526080004|763000</v>
      </c>
      <c r="Q137" s="18" t="str">
        <f aca="false">IF(N137&lt;&gt;"Y","",IFERROR(INDEX($D$6:$D$4005,MATCH(B137&amp;"|"&amp;ROUND(_xlfn.MAXIFS($O$6:$O$4005,$B$6:$B$4005,B137,$N$6:$N$4005,"N"),0),$P$6:$P$4005,0)),"(tanpa lawan)"))</f>
        <v/>
      </c>
      <c r="R137" s="44"/>
      <c r="S137" s="9" t="str">
        <f aca="false">IF(N137&lt;&gt;"Y","",IF(R137&lt;&gt;"",R137,IF(Q137="(tanpa lawan)","Transfer antar rekening",IFERROR(INDEX(I_COA!$F$6:$F$265,MATCH(Q137,I_COA!$A$6:$A$265,0)),"?"))))</f>
        <v/>
      </c>
    </row>
    <row r="138" customFormat="false" ht="15" hidden="false" customHeight="false" outlineLevel="0" collapsed="false">
      <c r="A138" s="37" t="n">
        <v>46238</v>
      </c>
      <c r="B138" s="44" t="s">
        <v>731</v>
      </c>
      <c r="C138" s="44" t="s">
        <v>580</v>
      </c>
      <c r="D138" s="44" t="n">
        <v>6200005</v>
      </c>
      <c r="E138" s="44" t="s">
        <v>732</v>
      </c>
      <c r="F138" s="44" t="s">
        <v>734</v>
      </c>
      <c r="G138" s="42" t="n">
        <v>132000</v>
      </c>
      <c r="H138" s="42"/>
      <c r="I138" s="44"/>
      <c r="J138" s="11" t="n">
        <f aca="false">IF(D138="","",N(G138)-N(H138))</f>
        <v>132000</v>
      </c>
      <c r="K138" s="34" t="str">
        <f aca="false">IF(D138="","",IFERROR(INDEX(I_COA!$C$6:$C$265,MATCH(D138,I_COA!$A$6:$A$265,0)),"AKUN BARU"))</f>
        <v>LabaRugi</v>
      </c>
      <c r="L138" s="34" t="str">
        <f aca="false">IF(K138="LabaRugi",INDEX(I_COA!$D$6:$D$265,MATCH(D138,I_COA!$A$6:$A$265,0)),"")</f>
        <v>Office Transportation expenses</v>
      </c>
      <c r="M138" s="34" t="str">
        <f aca="false">IF(K138="Neraca",INDEX(I_COA!$E$6:$E$265,MATCH(D138,I_COA!$A$6:$A$265,0)),"")</f>
        <v/>
      </c>
      <c r="N138" s="34" t="str">
        <f aca="false">IF(D138="","",IFERROR(INDEX(I_COA!$G$6:$G$265,MATCH(D138,I_COA!$A$6:$A$265,0)),"N"))</f>
        <v>N</v>
      </c>
      <c r="O138" s="11" t="n">
        <f aca="false">IF(N138="N",ABS(J138),"")</f>
        <v>132000</v>
      </c>
      <c r="P138" s="18" t="str">
        <f aca="false">IF(N138="N",B138&amp;"|"&amp;ROUND(O138,0),"")</f>
        <v>B8526080004|132000</v>
      </c>
      <c r="Q138" s="18" t="str">
        <f aca="false">IF(N138&lt;&gt;"Y","",IFERROR(INDEX($D$6:$D$4005,MATCH(B138&amp;"|"&amp;ROUND(_xlfn.MAXIFS($O$6:$O$4005,$B$6:$B$4005,B138,$N$6:$N$4005,"N"),0),$P$6:$P$4005,0)),"(tanpa lawan)"))</f>
        <v/>
      </c>
      <c r="R138" s="44"/>
      <c r="S138" s="9" t="str">
        <f aca="false">IF(N138&lt;&gt;"Y","",IF(R138&lt;&gt;"",R138,IF(Q138="(tanpa lawan)","Transfer antar rekening",IFERROR(INDEX(I_COA!$F$6:$F$265,MATCH(Q138,I_COA!$A$6:$A$265,0)),"?"))))</f>
        <v/>
      </c>
    </row>
    <row r="139" customFormat="false" ht="15" hidden="false" customHeight="false" outlineLevel="0" collapsed="false">
      <c r="A139" s="37" t="n">
        <v>46238</v>
      </c>
      <c r="B139" s="44" t="s">
        <v>731</v>
      </c>
      <c r="C139" s="44" t="s">
        <v>580</v>
      </c>
      <c r="D139" s="44" t="n">
        <v>6200005</v>
      </c>
      <c r="E139" s="44" t="s">
        <v>732</v>
      </c>
      <c r="F139" s="44" t="s">
        <v>735</v>
      </c>
      <c r="G139" s="42" t="n">
        <v>726243</v>
      </c>
      <c r="H139" s="42"/>
      <c r="I139" s="44"/>
      <c r="J139" s="11" t="n">
        <f aca="false">IF(D139="","",N(G139)-N(H139))</f>
        <v>726243</v>
      </c>
      <c r="K139" s="34" t="str">
        <f aca="false">IF(D139="","",IFERROR(INDEX(I_COA!$C$6:$C$265,MATCH(D139,I_COA!$A$6:$A$265,0)),"AKUN BARU"))</f>
        <v>LabaRugi</v>
      </c>
      <c r="L139" s="34" t="str">
        <f aca="false">IF(K139="LabaRugi",INDEX(I_COA!$D$6:$D$265,MATCH(D139,I_COA!$A$6:$A$265,0)),"")</f>
        <v>Office Transportation expenses</v>
      </c>
      <c r="M139" s="34" t="str">
        <f aca="false">IF(K139="Neraca",INDEX(I_COA!$E$6:$E$265,MATCH(D139,I_COA!$A$6:$A$265,0)),"")</f>
        <v/>
      </c>
      <c r="N139" s="34" t="str">
        <f aca="false">IF(D139="","",IFERROR(INDEX(I_COA!$G$6:$G$265,MATCH(D139,I_COA!$A$6:$A$265,0)),"N"))</f>
        <v>N</v>
      </c>
      <c r="O139" s="11" t="n">
        <f aca="false">IF(N139="N",ABS(J139),"")</f>
        <v>726243</v>
      </c>
      <c r="P139" s="18" t="str">
        <f aca="false">IF(N139="N",B139&amp;"|"&amp;ROUND(O139,0),"")</f>
        <v>B8526080004|726243</v>
      </c>
      <c r="Q139" s="18" t="str">
        <f aca="false">IF(N139&lt;&gt;"Y","",IFERROR(INDEX($D$6:$D$4005,MATCH(B139&amp;"|"&amp;ROUND(_xlfn.MAXIFS($O$6:$O$4005,$B$6:$B$4005,B139,$N$6:$N$4005,"N"),0),$P$6:$P$4005,0)),"(tanpa lawan)"))</f>
        <v/>
      </c>
      <c r="R139" s="44"/>
      <c r="S139" s="9" t="str">
        <f aca="false">IF(N139&lt;&gt;"Y","",IF(R139&lt;&gt;"",R139,IF(Q139="(tanpa lawan)","Transfer antar rekening",IFERROR(INDEX(I_COA!$F$6:$F$265,MATCH(Q139,I_COA!$A$6:$A$265,0)),"?"))))</f>
        <v/>
      </c>
    </row>
    <row r="140" customFormat="false" ht="15" hidden="false" customHeight="false" outlineLevel="0" collapsed="false">
      <c r="A140" s="37" t="n">
        <v>46238</v>
      </c>
      <c r="B140" s="44" t="s">
        <v>731</v>
      </c>
      <c r="C140" s="44" t="s">
        <v>580</v>
      </c>
      <c r="D140" s="44" t="n">
        <v>6200012</v>
      </c>
      <c r="E140" s="44" t="s">
        <v>737</v>
      </c>
      <c r="F140" s="44" t="s">
        <v>738</v>
      </c>
      <c r="G140" s="42" t="n">
        <v>700000</v>
      </c>
      <c r="H140" s="42"/>
      <c r="I140" s="44"/>
      <c r="J140" s="11" t="n">
        <f aca="false">IF(D140="","",N(G140)-N(H140))</f>
        <v>700000</v>
      </c>
      <c r="K140" s="34" t="str">
        <f aca="false">IF(D140="","",IFERROR(INDEX(I_COA!$C$6:$C$265,MATCH(D140,I_COA!$A$6:$A$265,0)),"AKUN BARU"))</f>
        <v>LabaRugi</v>
      </c>
      <c r="L140" s="34" t="str">
        <f aca="false">IF(K140="LabaRugi",INDEX(I_COA!$D$6:$D$265,MATCH(D140,I_COA!$A$6:$A$265,0)),"")</f>
        <v>Office Supplies &amp; Utilities</v>
      </c>
      <c r="M140" s="34" t="str">
        <f aca="false">IF(K140="Neraca",INDEX(I_COA!$E$6:$E$265,MATCH(D140,I_COA!$A$6:$A$265,0)),"")</f>
        <v/>
      </c>
      <c r="N140" s="34" t="str">
        <f aca="false">IF(D140="","",IFERROR(INDEX(I_COA!$G$6:$G$265,MATCH(D140,I_COA!$A$6:$A$265,0)),"N"))</f>
        <v>N</v>
      </c>
      <c r="O140" s="11" t="n">
        <f aca="false">IF(N140="N",ABS(J140),"")</f>
        <v>700000</v>
      </c>
      <c r="P140" s="18" t="str">
        <f aca="false">IF(N140="N",B140&amp;"|"&amp;ROUND(O140,0),"")</f>
        <v>B8526080004|700000</v>
      </c>
      <c r="Q140" s="18" t="str">
        <f aca="false">IF(N140&lt;&gt;"Y","",IFERROR(INDEX($D$6:$D$4005,MATCH(B140&amp;"|"&amp;ROUND(_xlfn.MAXIFS($O$6:$O$4005,$B$6:$B$4005,B140,$N$6:$N$4005,"N"),0),$P$6:$P$4005,0)),"(tanpa lawan)"))</f>
        <v/>
      </c>
      <c r="R140" s="44"/>
      <c r="S140" s="9" t="str">
        <f aca="false">IF(N140&lt;&gt;"Y","",IF(R140&lt;&gt;"",R140,IF(Q140="(tanpa lawan)","Transfer antar rekening",IFERROR(INDEX(I_COA!$F$6:$F$265,MATCH(Q140,I_COA!$A$6:$A$265,0)),"?"))))</f>
        <v/>
      </c>
    </row>
    <row r="141" customFormat="false" ht="15" hidden="false" customHeight="false" outlineLevel="0" collapsed="false">
      <c r="A141" s="37" t="n">
        <v>46238</v>
      </c>
      <c r="B141" s="44" t="s">
        <v>731</v>
      </c>
      <c r="C141" s="44" t="s">
        <v>580</v>
      </c>
      <c r="D141" s="44" t="n">
        <v>6200005</v>
      </c>
      <c r="E141" s="44" t="s">
        <v>732</v>
      </c>
      <c r="F141" s="44" t="s">
        <v>734</v>
      </c>
      <c r="G141" s="42" t="n">
        <v>114500</v>
      </c>
      <c r="H141" s="42"/>
      <c r="I141" s="44"/>
      <c r="J141" s="11" t="n">
        <f aca="false">IF(D141="","",N(G141)-N(H141))</f>
        <v>114500</v>
      </c>
      <c r="K141" s="34" t="str">
        <f aca="false">IF(D141="","",IFERROR(INDEX(I_COA!$C$6:$C$265,MATCH(D141,I_COA!$A$6:$A$265,0)),"AKUN BARU"))</f>
        <v>LabaRugi</v>
      </c>
      <c r="L141" s="34" t="str">
        <f aca="false">IF(K141="LabaRugi",INDEX(I_COA!$D$6:$D$265,MATCH(D141,I_COA!$A$6:$A$265,0)),"")</f>
        <v>Office Transportation expenses</v>
      </c>
      <c r="M141" s="34" t="str">
        <f aca="false">IF(K141="Neraca",INDEX(I_COA!$E$6:$E$265,MATCH(D141,I_COA!$A$6:$A$265,0)),"")</f>
        <v/>
      </c>
      <c r="N141" s="34" t="str">
        <f aca="false">IF(D141="","",IFERROR(INDEX(I_COA!$G$6:$G$265,MATCH(D141,I_COA!$A$6:$A$265,0)),"N"))</f>
        <v>N</v>
      </c>
      <c r="O141" s="11" t="n">
        <f aca="false">IF(N141="N",ABS(J141),"")</f>
        <v>114500</v>
      </c>
      <c r="P141" s="18" t="str">
        <f aca="false">IF(N141="N",B141&amp;"|"&amp;ROUND(O141,0),"")</f>
        <v>B8526080004|114500</v>
      </c>
      <c r="Q141" s="18" t="str">
        <f aca="false">IF(N141&lt;&gt;"Y","",IFERROR(INDEX($D$6:$D$4005,MATCH(B141&amp;"|"&amp;ROUND(_xlfn.MAXIFS($O$6:$O$4005,$B$6:$B$4005,B141,$N$6:$N$4005,"N"),0),$P$6:$P$4005,0)),"(tanpa lawan)"))</f>
        <v/>
      </c>
      <c r="R141" s="44"/>
      <c r="S141" s="9" t="str">
        <f aca="false">IF(N141&lt;&gt;"Y","",IF(R141&lt;&gt;"",R141,IF(Q141="(tanpa lawan)","Transfer antar rekening",IFERROR(INDEX(I_COA!$F$6:$F$265,MATCH(Q141,I_COA!$A$6:$A$265,0)),"?"))))</f>
        <v/>
      </c>
    </row>
    <row r="142" customFormat="false" ht="15" hidden="false" customHeight="false" outlineLevel="0" collapsed="false">
      <c r="A142" s="37" t="n">
        <v>46238</v>
      </c>
      <c r="B142" s="44" t="s">
        <v>731</v>
      </c>
      <c r="C142" s="44" t="s">
        <v>580</v>
      </c>
      <c r="D142" s="44" t="n">
        <v>1103120</v>
      </c>
      <c r="E142" s="44" t="s">
        <v>640</v>
      </c>
      <c r="F142" s="44" t="s">
        <v>739</v>
      </c>
      <c r="G142" s="42" t="n">
        <v>200000</v>
      </c>
      <c r="H142" s="42"/>
      <c r="I142" s="44" t="s">
        <v>660</v>
      </c>
      <c r="J142" s="11" t="n">
        <f aca="false">IF(D142="","",N(G142)-N(H142))</f>
        <v>200000</v>
      </c>
      <c r="K142" s="34" t="str">
        <f aca="false">IF(D142="","",IFERROR(INDEX(I_COA!$C$6:$C$265,MATCH(D142,I_COA!$A$6:$A$265,0)),"AKUN BARU"))</f>
        <v>Neraca</v>
      </c>
      <c r="L142" s="34" t="str">
        <f aca="false">IF(K142="LabaRugi",INDEX(I_COA!$D$6:$D$265,MATCH(D142,I_COA!$A$6:$A$265,0)),"")</f>
        <v/>
      </c>
      <c r="M142" s="34" t="str">
        <f aca="false">IF(K142="Neraca",INDEX(I_COA!$E$6:$E$265,MATCH(D142,I_COA!$A$6:$A$265,0)),"")</f>
        <v>Advance Payment</v>
      </c>
      <c r="N142" s="34" t="str">
        <f aca="false">IF(D142="","",IFERROR(INDEX(I_COA!$G$6:$G$265,MATCH(D142,I_COA!$A$6:$A$265,0)),"N"))</f>
        <v>N</v>
      </c>
      <c r="O142" s="11" t="n">
        <f aca="false">IF(N142="N",ABS(J142),"")</f>
        <v>200000</v>
      </c>
      <c r="P142" s="18" t="str">
        <f aca="false">IF(N142="N",B142&amp;"|"&amp;ROUND(O142,0),"")</f>
        <v>B8526080004|200000</v>
      </c>
      <c r="Q142" s="18" t="str">
        <f aca="false">IF(N142&lt;&gt;"Y","",IFERROR(INDEX($D$6:$D$4005,MATCH(B142&amp;"|"&amp;ROUND(_xlfn.MAXIFS($O$6:$O$4005,$B$6:$B$4005,B142,$N$6:$N$4005,"N"),0),$P$6:$P$4005,0)),"(tanpa lawan)"))</f>
        <v/>
      </c>
      <c r="R142" s="44"/>
      <c r="S142" s="9" t="str">
        <f aca="false">IF(N142&lt;&gt;"Y","",IF(R142&lt;&gt;"",R142,IF(Q142="(tanpa lawan)","Transfer antar rekening",IFERROR(INDEX(I_COA!$F$6:$F$265,MATCH(Q142,I_COA!$A$6:$A$265,0)),"?"))))</f>
        <v/>
      </c>
    </row>
    <row r="143" customFormat="false" ht="15" hidden="false" customHeight="false" outlineLevel="0" collapsed="false">
      <c r="A143" s="37" t="n">
        <v>46238</v>
      </c>
      <c r="B143" s="44" t="s">
        <v>731</v>
      </c>
      <c r="C143" s="44" t="s">
        <v>580</v>
      </c>
      <c r="D143" s="44" t="n">
        <v>6200005</v>
      </c>
      <c r="E143" s="44" t="s">
        <v>732</v>
      </c>
      <c r="F143" s="44" t="s">
        <v>735</v>
      </c>
      <c r="G143" s="42" t="n">
        <v>260500</v>
      </c>
      <c r="H143" s="42"/>
      <c r="I143" s="44"/>
      <c r="J143" s="11" t="n">
        <f aca="false">IF(D143="","",N(G143)-N(H143))</f>
        <v>260500</v>
      </c>
      <c r="K143" s="34" t="str">
        <f aca="false">IF(D143="","",IFERROR(INDEX(I_COA!$C$6:$C$265,MATCH(D143,I_COA!$A$6:$A$265,0)),"AKUN BARU"))</f>
        <v>LabaRugi</v>
      </c>
      <c r="L143" s="34" t="str">
        <f aca="false">IF(K143="LabaRugi",INDEX(I_COA!$D$6:$D$265,MATCH(D143,I_COA!$A$6:$A$265,0)),"")</f>
        <v>Office Transportation expenses</v>
      </c>
      <c r="M143" s="34" t="str">
        <f aca="false">IF(K143="Neraca",INDEX(I_COA!$E$6:$E$265,MATCH(D143,I_COA!$A$6:$A$265,0)),"")</f>
        <v/>
      </c>
      <c r="N143" s="34" t="str">
        <f aca="false">IF(D143="","",IFERROR(INDEX(I_COA!$G$6:$G$265,MATCH(D143,I_COA!$A$6:$A$265,0)),"N"))</f>
        <v>N</v>
      </c>
      <c r="O143" s="11" t="n">
        <f aca="false">IF(N143="N",ABS(J143),"")</f>
        <v>260500</v>
      </c>
      <c r="P143" s="18" t="str">
        <f aca="false">IF(N143="N",B143&amp;"|"&amp;ROUND(O143,0),"")</f>
        <v>B8526080004|260500</v>
      </c>
      <c r="Q143" s="18" t="str">
        <f aca="false">IF(N143&lt;&gt;"Y","",IFERROR(INDEX($D$6:$D$4005,MATCH(B143&amp;"|"&amp;ROUND(_xlfn.MAXIFS($O$6:$O$4005,$B$6:$B$4005,B143,$N$6:$N$4005,"N"),0),$P$6:$P$4005,0)),"(tanpa lawan)"))</f>
        <v/>
      </c>
      <c r="R143" s="44"/>
      <c r="S143" s="9" t="str">
        <f aca="false">IF(N143&lt;&gt;"Y","",IF(R143&lt;&gt;"",R143,IF(Q143="(tanpa lawan)","Transfer antar rekening",IFERROR(INDEX(I_COA!$F$6:$F$265,MATCH(Q143,I_COA!$A$6:$A$265,0)),"?"))))</f>
        <v/>
      </c>
    </row>
    <row r="144" customFormat="false" ht="15" hidden="false" customHeight="false" outlineLevel="0" collapsed="false">
      <c r="A144" s="37" t="n">
        <v>46238</v>
      </c>
      <c r="B144" s="44" t="s">
        <v>731</v>
      </c>
      <c r="C144" s="44" t="s">
        <v>580</v>
      </c>
      <c r="D144" s="44" t="n">
        <v>1102002</v>
      </c>
      <c r="E144" s="44" t="s">
        <v>598</v>
      </c>
      <c r="F144" s="44" t="s">
        <v>740</v>
      </c>
      <c r="G144" s="42"/>
      <c r="H144" s="42" t="n">
        <v>6958263</v>
      </c>
      <c r="I144" s="44"/>
      <c r="J144" s="11" t="n">
        <f aca="false">IF(D144="","",N(G144)-N(H144))</f>
        <v>-6958263</v>
      </c>
      <c r="K144" s="34" t="str">
        <f aca="false">IF(D144="","",IFERROR(INDEX(I_COA!$C$6:$C$265,MATCH(D144,I_COA!$A$6:$A$265,0)),"AKUN BARU"))</f>
        <v>Neraca</v>
      </c>
      <c r="L144" s="34" t="str">
        <f aca="false">IF(K144="LabaRugi",INDEX(I_COA!$D$6:$D$265,MATCH(D144,I_COA!$A$6:$A$265,0)),"")</f>
        <v/>
      </c>
      <c r="M144" s="34" t="str">
        <f aca="false">IF(K144="Neraca",INDEX(I_COA!$E$6:$E$265,MATCH(D144,I_COA!$A$6:$A$265,0)),"")</f>
        <v>Cash and cash equivalents</v>
      </c>
      <c r="N144" s="34" t="str">
        <f aca="false">IF(D144="","",IFERROR(INDEX(I_COA!$G$6:$G$265,MATCH(D144,I_COA!$A$6:$A$265,0)),"N"))</f>
        <v>Y</v>
      </c>
      <c r="O144" s="11" t="str">
        <f aca="false">IF(N144="N",ABS(J144),"")</f>
        <v/>
      </c>
      <c r="P144" s="18" t="str">
        <f aca="false">IF(N144="N",B144&amp;"|"&amp;ROUND(O144,0),"")</f>
        <v/>
      </c>
      <c r="Q144" s="18" t="n">
        <f aca="false">IF(N144&lt;&gt;"Y","",IFERROR(INDEX($D$6:$D$4005,MATCH(B144&amp;"|"&amp;ROUND(_xlfn.MAXIFS($O$6:$O$4005,$B$6:$B$4005,B144,$N$6:$N$4005,"N"),0),$P$6:$P$4005,0)),"(tanpa lawan)"))</f>
        <v>6200005</v>
      </c>
      <c r="R144" s="44"/>
      <c r="S144" s="9" t="str">
        <f aca="false">IF(N144&lt;&gt;"Y","",IF(R144&lt;&gt;"",R144,IF(Q144="(tanpa lawan)","Transfer antar rekening",IFERROR(INDEX(I_COA!$F$6:$F$265,MATCH(Q144,I_COA!$A$6:$A$265,0)),"?"))))</f>
        <v>Bayar biaya operasional lain</v>
      </c>
    </row>
    <row r="145" customFormat="false" ht="15" hidden="false" customHeight="false" outlineLevel="0" collapsed="false">
      <c r="A145" s="37" t="n">
        <v>46238</v>
      </c>
      <c r="B145" s="44" t="s">
        <v>741</v>
      </c>
      <c r="C145" s="44" t="s">
        <v>594</v>
      </c>
      <c r="D145" s="44" t="n">
        <v>2101001</v>
      </c>
      <c r="E145" s="44" t="s">
        <v>595</v>
      </c>
      <c r="F145" s="44" t="s">
        <v>742</v>
      </c>
      <c r="G145" s="42" t="n">
        <v>54233350</v>
      </c>
      <c r="H145" s="42"/>
      <c r="I145" s="44" t="s">
        <v>597</v>
      </c>
      <c r="J145" s="11" t="n">
        <f aca="false">IF(D145="","",N(G145)-N(H145))</f>
        <v>54233350</v>
      </c>
      <c r="K145" s="34" t="str">
        <f aca="false">IF(D145="","",IFERROR(INDEX(I_COA!$C$6:$C$265,MATCH(D145,I_COA!$A$6:$A$265,0)),"AKUN BARU"))</f>
        <v>Neraca</v>
      </c>
      <c r="L145" s="34" t="str">
        <f aca="false">IF(K145="LabaRugi",INDEX(I_COA!$D$6:$D$265,MATCH(D145,I_COA!$A$6:$A$265,0)),"")</f>
        <v/>
      </c>
      <c r="M145" s="34" t="str">
        <f aca="false">IF(K145="Neraca",INDEX(I_COA!$E$6:$E$265,MATCH(D145,I_COA!$A$6:$A$265,0)),"")</f>
        <v>Trade Payables - Third Parties</v>
      </c>
      <c r="N145" s="34" t="str">
        <f aca="false">IF(D145="","",IFERROR(INDEX(I_COA!$G$6:$G$265,MATCH(D145,I_COA!$A$6:$A$265,0)),"N"))</f>
        <v>N</v>
      </c>
      <c r="O145" s="11" t="n">
        <f aca="false">IF(N145="N",ABS(J145),"")</f>
        <v>54233350</v>
      </c>
      <c r="P145" s="18" t="str">
        <f aca="false">IF(N145="N",B145&amp;"|"&amp;ROUND(O145,0),"")</f>
        <v>B8526080005|54233350</v>
      </c>
      <c r="Q145" s="18" t="str">
        <f aca="false">IF(N145&lt;&gt;"Y","",IFERROR(INDEX($D$6:$D$4005,MATCH(B145&amp;"|"&amp;ROUND(_xlfn.MAXIFS($O$6:$O$4005,$B$6:$B$4005,B145,$N$6:$N$4005,"N"),0),$P$6:$P$4005,0)),"(tanpa lawan)"))</f>
        <v/>
      </c>
      <c r="R145" s="44"/>
      <c r="S145" s="9" t="str">
        <f aca="false">IF(N145&lt;&gt;"Y","",IF(R145&lt;&gt;"",R145,IF(Q145="(tanpa lawan)","Transfer antar rekening",IFERROR(INDEX(I_COA!$F$6:$F$265,MATCH(Q145,I_COA!$A$6:$A$265,0)),"?"))))</f>
        <v/>
      </c>
    </row>
    <row r="146" customFormat="false" ht="15" hidden="false" customHeight="false" outlineLevel="0" collapsed="false">
      <c r="A146" s="37" t="n">
        <v>46238</v>
      </c>
      <c r="B146" s="44" t="s">
        <v>741</v>
      </c>
      <c r="C146" s="44" t="s">
        <v>594</v>
      </c>
      <c r="D146" s="44" t="n">
        <v>2101001</v>
      </c>
      <c r="E146" s="44" t="s">
        <v>595</v>
      </c>
      <c r="F146" s="44" t="s">
        <v>742</v>
      </c>
      <c r="G146" s="42" t="n">
        <v>140755</v>
      </c>
      <c r="H146" s="42"/>
      <c r="I146" s="44" t="s">
        <v>597</v>
      </c>
      <c r="J146" s="11" t="n">
        <f aca="false">IF(D146="","",N(G146)-N(H146))</f>
        <v>140755</v>
      </c>
      <c r="K146" s="34" t="str">
        <f aca="false">IF(D146="","",IFERROR(INDEX(I_COA!$C$6:$C$265,MATCH(D146,I_COA!$A$6:$A$265,0)),"AKUN BARU"))</f>
        <v>Neraca</v>
      </c>
      <c r="L146" s="34" t="str">
        <f aca="false">IF(K146="LabaRugi",INDEX(I_COA!$D$6:$D$265,MATCH(D146,I_COA!$A$6:$A$265,0)),"")</f>
        <v/>
      </c>
      <c r="M146" s="34" t="str">
        <f aca="false">IF(K146="Neraca",INDEX(I_COA!$E$6:$E$265,MATCH(D146,I_COA!$A$6:$A$265,0)),"")</f>
        <v>Trade Payables - Third Parties</v>
      </c>
      <c r="N146" s="34" t="str">
        <f aca="false">IF(D146="","",IFERROR(INDEX(I_COA!$G$6:$G$265,MATCH(D146,I_COA!$A$6:$A$265,0)),"N"))</f>
        <v>N</v>
      </c>
      <c r="O146" s="11" t="n">
        <f aca="false">IF(N146="N",ABS(J146),"")</f>
        <v>140755</v>
      </c>
      <c r="P146" s="18" t="str">
        <f aca="false">IF(N146="N",B146&amp;"|"&amp;ROUND(O146,0),"")</f>
        <v>B8526080005|140755</v>
      </c>
      <c r="Q146" s="18" t="str">
        <f aca="false">IF(N146&lt;&gt;"Y","",IFERROR(INDEX($D$6:$D$4005,MATCH(B146&amp;"|"&amp;ROUND(_xlfn.MAXIFS($O$6:$O$4005,$B$6:$B$4005,B146,$N$6:$N$4005,"N"),0),$P$6:$P$4005,0)),"(tanpa lawan)"))</f>
        <v/>
      </c>
      <c r="R146" s="44"/>
      <c r="S146" s="9" t="str">
        <f aca="false">IF(N146&lt;&gt;"Y","",IF(R146&lt;&gt;"",R146,IF(Q146="(tanpa lawan)","Transfer antar rekening",IFERROR(INDEX(I_COA!$F$6:$F$265,MATCH(Q146,I_COA!$A$6:$A$265,0)),"?"))))</f>
        <v/>
      </c>
    </row>
    <row r="147" customFormat="false" ht="15" hidden="false" customHeight="false" outlineLevel="0" collapsed="false">
      <c r="A147" s="37" t="n">
        <v>46238</v>
      </c>
      <c r="B147" s="44" t="s">
        <v>741</v>
      </c>
      <c r="C147" s="44" t="s">
        <v>594</v>
      </c>
      <c r="D147" s="44" t="n">
        <v>1102002</v>
      </c>
      <c r="E147" s="44" t="s">
        <v>598</v>
      </c>
      <c r="F147" s="44" t="s">
        <v>742</v>
      </c>
      <c r="G147" s="42"/>
      <c r="H147" s="42" t="n">
        <v>54374105</v>
      </c>
      <c r="I147" s="44" t="s">
        <v>597</v>
      </c>
      <c r="J147" s="11" t="n">
        <f aca="false">IF(D147="","",N(G147)-N(H147))</f>
        <v>-54374105</v>
      </c>
      <c r="K147" s="34" t="str">
        <f aca="false">IF(D147="","",IFERROR(INDEX(I_COA!$C$6:$C$265,MATCH(D147,I_COA!$A$6:$A$265,0)),"AKUN BARU"))</f>
        <v>Neraca</v>
      </c>
      <c r="L147" s="34" t="str">
        <f aca="false">IF(K147="LabaRugi",INDEX(I_COA!$D$6:$D$265,MATCH(D147,I_COA!$A$6:$A$265,0)),"")</f>
        <v/>
      </c>
      <c r="M147" s="34" t="str">
        <f aca="false">IF(K147="Neraca",INDEX(I_COA!$E$6:$E$265,MATCH(D147,I_COA!$A$6:$A$265,0)),"")</f>
        <v>Cash and cash equivalents</v>
      </c>
      <c r="N147" s="34" t="str">
        <f aca="false">IF(D147="","",IFERROR(INDEX(I_COA!$G$6:$G$265,MATCH(D147,I_COA!$A$6:$A$265,0)),"N"))</f>
        <v>Y</v>
      </c>
      <c r="O147" s="11" t="str">
        <f aca="false">IF(N147="N",ABS(J147),"")</f>
        <v/>
      </c>
      <c r="P147" s="18" t="str">
        <f aca="false">IF(N147="N",B147&amp;"|"&amp;ROUND(O147,0),"")</f>
        <v/>
      </c>
      <c r="Q147" s="18" t="n">
        <f aca="false">IF(N147&lt;&gt;"Y","",IFERROR(INDEX($D$6:$D$4005,MATCH(B147&amp;"|"&amp;ROUND(_xlfn.MAXIFS($O$6:$O$4005,$B$6:$B$4005,B147,$N$6:$N$4005,"N"),0),$P$6:$P$4005,0)),"(tanpa lawan)"))</f>
        <v>2101001</v>
      </c>
      <c r="R147" s="44"/>
      <c r="S147" s="9" t="str">
        <f aca="false">IF(N147&lt;&gt;"Y","",IF(R147&lt;&gt;"",R147,IF(Q147="(tanpa lawan)","Transfer antar rekening",IFERROR(INDEX(I_COA!$F$6:$F$265,MATCH(Q147,I_COA!$A$6:$A$265,0)),"?"))))</f>
        <v>Bayar pemasok barang (live bird &amp; trading)</v>
      </c>
    </row>
    <row r="148" customFormat="false" ht="15" hidden="false" customHeight="false" outlineLevel="0" collapsed="false">
      <c r="A148" s="37" t="n">
        <v>46238</v>
      </c>
      <c r="B148" s="44" t="s">
        <v>743</v>
      </c>
      <c r="C148" s="44" t="s">
        <v>690</v>
      </c>
      <c r="D148" s="44" t="n">
        <v>1104006</v>
      </c>
      <c r="E148" s="44" t="s">
        <v>212</v>
      </c>
      <c r="F148" s="44" t="s">
        <v>744</v>
      </c>
      <c r="G148" s="42" t="n">
        <v>1120223350</v>
      </c>
      <c r="H148" s="42"/>
      <c r="I148" s="44" t="s">
        <v>597</v>
      </c>
      <c r="J148" s="11" t="n">
        <f aca="false">IF(D148="","",N(G148)-N(H148))</f>
        <v>1120223350</v>
      </c>
      <c r="K148" s="34" t="str">
        <f aca="false">IF(D148="","",IFERROR(INDEX(I_COA!$C$6:$C$265,MATCH(D148,I_COA!$A$6:$A$265,0)),"AKUN BARU"))</f>
        <v>Neraca</v>
      </c>
      <c r="L148" s="34" t="str">
        <f aca="false">IF(K148="LabaRugi",INDEX(I_COA!$D$6:$D$265,MATCH(D148,I_COA!$A$6:$A$265,0)),"")</f>
        <v/>
      </c>
      <c r="M148" s="34" t="str">
        <f aca="false">IF(K148="Neraca",INDEX(I_COA!$E$6:$E$265,MATCH(D148,I_COA!$A$6:$A$265,0)),"")</f>
        <v>Inventory - Trading</v>
      </c>
      <c r="N148" s="34" t="str">
        <f aca="false">IF(D148="","",IFERROR(INDEX(I_COA!$G$6:$G$265,MATCH(D148,I_COA!$A$6:$A$265,0)),"N"))</f>
        <v>N</v>
      </c>
      <c r="O148" s="11" t="n">
        <f aca="false">IF(N148="N",ABS(J148),"")</f>
        <v>1120223350</v>
      </c>
      <c r="P148" s="18" t="str">
        <f aca="false">IF(N148="N",B148&amp;"|"&amp;ROUND(O148,0),"")</f>
        <v>GR26080002|1120223350</v>
      </c>
      <c r="Q148" s="18" t="str">
        <f aca="false">IF(N148&lt;&gt;"Y","",IFERROR(INDEX($D$6:$D$4005,MATCH(B148&amp;"|"&amp;ROUND(_xlfn.MAXIFS($O$6:$O$4005,$B$6:$B$4005,B148,$N$6:$N$4005,"N"),0),$P$6:$P$4005,0)),"(tanpa lawan)"))</f>
        <v/>
      </c>
      <c r="R148" s="44"/>
      <c r="S148" s="9" t="str">
        <f aca="false">IF(N148&lt;&gt;"Y","",IF(R148&lt;&gt;"",R148,IF(Q148="(tanpa lawan)","Transfer antar rekening",IFERROR(INDEX(I_COA!$F$6:$F$265,MATCH(Q148,I_COA!$A$6:$A$265,0)),"?"))))</f>
        <v/>
      </c>
    </row>
    <row r="149" customFormat="false" ht="15" hidden="false" customHeight="false" outlineLevel="0" collapsed="false">
      <c r="A149" s="37" t="n">
        <v>46238</v>
      </c>
      <c r="B149" s="44" t="s">
        <v>743</v>
      </c>
      <c r="C149" s="44" t="s">
        <v>690</v>
      </c>
      <c r="D149" s="44" t="n">
        <v>2103011</v>
      </c>
      <c r="E149" s="44" t="s">
        <v>693</v>
      </c>
      <c r="F149" s="44" t="s">
        <v>744</v>
      </c>
      <c r="G149" s="42"/>
      <c r="H149" s="42" t="n">
        <v>1120223350</v>
      </c>
      <c r="I149" s="44" t="s">
        <v>597</v>
      </c>
      <c r="J149" s="11" t="n">
        <f aca="false">IF(D149="","",N(G149)-N(H149))</f>
        <v>-1120223350</v>
      </c>
      <c r="K149" s="34" t="str">
        <f aca="false">IF(D149="","",IFERROR(INDEX(I_COA!$C$6:$C$265,MATCH(D149,I_COA!$A$6:$A$265,0)),"AKUN BARU"))</f>
        <v>Neraca</v>
      </c>
      <c r="L149" s="34" t="str">
        <f aca="false">IF(K149="LabaRugi",INDEX(I_COA!$D$6:$D$265,MATCH(D149,I_COA!$A$6:$A$265,0)),"")</f>
        <v/>
      </c>
      <c r="M149" s="34" t="str">
        <f aca="false">IF(K149="Neraca",INDEX(I_COA!$E$6:$E$265,MATCH(D149,I_COA!$A$6:$A$265,0)),"")</f>
        <v>Accrued Expenses - Third Parties</v>
      </c>
      <c r="N149" s="34" t="str">
        <f aca="false">IF(D149="","",IFERROR(INDEX(I_COA!$G$6:$G$265,MATCH(D149,I_COA!$A$6:$A$265,0)),"N"))</f>
        <v>N</v>
      </c>
      <c r="O149" s="11" t="n">
        <f aca="false">IF(N149="N",ABS(J149),"")</f>
        <v>1120223350</v>
      </c>
      <c r="P149" s="18" t="str">
        <f aca="false">IF(N149="N",B149&amp;"|"&amp;ROUND(O149,0),"")</f>
        <v>GR26080002|1120223350</v>
      </c>
      <c r="Q149" s="18" t="str">
        <f aca="false">IF(N149&lt;&gt;"Y","",IFERROR(INDEX($D$6:$D$4005,MATCH(B149&amp;"|"&amp;ROUND(_xlfn.MAXIFS($O$6:$O$4005,$B$6:$B$4005,B149,$N$6:$N$4005,"N"),0),$P$6:$P$4005,0)),"(tanpa lawan)"))</f>
        <v/>
      </c>
      <c r="R149" s="44"/>
      <c r="S149" s="9" t="str">
        <f aca="false">IF(N149&lt;&gt;"Y","",IF(R149&lt;&gt;"",R149,IF(Q149="(tanpa lawan)","Transfer antar rekening",IFERROR(INDEX(I_COA!$F$6:$F$265,MATCH(Q149,I_COA!$A$6:$A$265,0)),"?"))))</f>
        <v/>
      </c>
    </row>
    <row r="150" customFormat="false" ht="15" hidden="false" customHeight="false" outlineLevel="0" collapsed="false">
      <c r="A150" s="37" t="n">
        <v>46238</v>
      </c>
      <c r="B150" s="44" t="s">
        <v>745</v>
      </c>
      <c r="C150" s="44" t="s">
        <v>600</v>
      </c>
      <c r="D150" s="44" t="n">
        <v>1104002</v>
      </c>
      <c r="E150" s="44" t="s">
        <v>601</v>
      </c>
      <c r="F150" s="44" t="s">
        <v>746</v>
      </c>
      <c r="G150" s="42" t="n">
        <v>96965332.31</v>
      </c>
      <c r="H150" s="42"/>
      <c r="I150" s="44" t="s">
        <v>432</v>
      </c>
      <c r="J150" s="11" t="n">
        <f aca="false">IF(D150="","",N(G150)-N(H150))</f>
        <v>96965332.31</v>
      </c>
      <c r="K150" s="34" t="str">
        <f aca="false">IF(D150="","",IFERROR(INDEX(I_COA!$C$6:$C$265,MATCH(D150,I_COA!$A$6:$A$265,0)),"AKUN BARU"))</f>
        <v>Neraca</v>
      </c>
      <c r="L150" s="34" t="str">
        <f aca="false">IF(K150="LabaRugi",INDEX(I_COA!$D$6:$D$265,MATCH(D150,I_COA!$A$6:$A$265,0)),"")</f>
        <v/>
      </c>
      <c r="M150" s="34" t="str">
        <f aca="false">IF(K150="Neraca",INDEX(I_COA!$E$6:$E$265,MATCH(D150,I_COA!$A$6:$A$265,0)),"")</f>
        <v>Inventory - Product</v>
      </c>
      <c r="N150" s="34" t="str">
        <f aca="false">IF(D150="","",IFERROR(INDEX(I_COA!$G$6:$G$265,MATCH(D150,I_COA!$A$6:$A$265,0)),"N"))</f>
        <v>N</v>
      </c>
      <c r="O150" s="11" t="n">
        <f aca="false">IF(N150="N",ABS(J150),"")</f>
        <v>96965332.31</v>
      </c>
      <c r="P150" s="18" t="str">
        <f aca="false">IF(N150="N",B150&amp;"|"&amp;ROUND(O150,0),"")</f>
        <v>KGR26.00205A|96965332</v>
      </c>
      <c r="Q150" s="18" t="str">
        <f aca="false">IF(N150&lt;&gt;"Y","",IFERROR(INDEX($D$6:$D$4005,MATCH(B150&amp;"|"&amp;ROUND(_xlfn.MAXIFS($O$6:$O$4005,$B$6:$B$4005,B150,$N$6:$N$4005,"N"),0),$P$6:$P$4005,0)),"(tanpa lawan)"))</f>
        <v/>
      </c>
      <c r="R150" s="44"/>
      <c r="S150" s="9" t="str">
        <f aca="false">IF(N150&lt;&gt;"Y","",IF(R150&lt;&gt;"",R150,IF(Q150="(tanpa lawan)","Transfer antar rekening",IFERROR(INDEX(I_COA!$F$6:$F$265,MATCH(Q150,I_COA!$A$6:$A$265,0)),"?"))))</f>
        <v/>
      </c>
    </row>
    <row r="151" customFormat="false" ht="15" hidden="false" customHeight="false" outlineLevel="0" collapsed="false">
      <c r="A151" s="37" t="n">
        <v>46238</v>
      </c>
      <c r="B151" s="44" t="s">
        <v>745</v>
      </c>
      <c r="C151" s="44" t="s">
        <v>600</v>
      </c>
      <c r="D151" s="44" t="n">
        <v>1104006</v>
      </c>
      <c r="E151" s="44" t="s">
        <v>212</v>
      </c>
      <c r="F151" s="44" t="s">
        <v>746</v>
      </c>
      <c r="G151" s="42"/>
      <c r="H151" s="42" t="n">
        <v>96965332.31</v>
      </c>
      <c r="I151" s="44" t="s">
        <v>432</v>
      </c>
      <c r="J151" s="11" t="n">
        <f aca="false">IF(D151="","",N(G151)-N(H151))</f>
        <v>-96965332.31</v>
      </c>
      <c r="K151" s="34" t="str">
        <f aca="false">IF(D151="","",IFERROR(INDEX(I_COA!$C$6:$C$265,MATCH(D151,I_COA!$A$6:$A$265,0)),"AKUN BARU"))</f>
        <v>Neraca</v>
      </c>
      <c r="L151" s="34" t="str">
        <f aca="false">IF(K151="LabaRugi",INDEX(I_COA!$D$6:$D$265,MATCH(D151,I_COA!$A$6:$A$265,0)),"")</f>
        <v/>
      </c>
      <c r="M151" s="34" t="str">
        <f aca="false">IF(K151="Neraca",INDEX(I_COA!$E$6:$E$265,MATCH(D151,I_COA!$A$6:$A$265,0)),"")</f>
        <v>Inventory - Trading</v>
      </c>
      <c r="N151" s="34" t="str">
        <f aca="false">IF(D151="","",IFERROR(INDEX(I_COA!$G$6:$G$265,MATCH(D151,I_COA!$A$6:$A$265,0)),"N"))</f>
        <v>N</v>
      </c>
      <c r="O151" s="11" t="n">
        <f aca="false">IF(N151="N",ABS(J151),"")</f>
        <v>96965332.31</v>
      </c>
      <c r="P151" s="18" t="str">
        <f aca="false">IF(N151="N",B151&amp;"|"&amp;ROUND(O151,0),"")</f>
        <v>KGR26.00205A|96965332</v>
      </c>
      <c r="Q151" s="18" t="str">
        <f aca="false">IF(N151&lt;&gt;"Y","",IFERROR(INDEX($D$6:$D$4005,MATCH(B151&amp;"|"&amp;ROUND(_xlfn.MAXIFS($O$6:$O$4005,$B$6:$B$4005,B151,$N$6:$N$4005,"N"),0),$P$6:$P$4005,0)),"(tanpa lawan)"))</f>
        <v/>
      </c>
      <c r="R151" s="44"/>
      <c r="S151" s="9" t="str">
        <f aca="false">IF(N151&lt;&gt;"Y","",IF(R151&lt;&gt;"",R151,IF(Q151="(tanpa lawan)","Transfer antar rekening",IFERROR(INDEX(I_COA!$F$6:$F$265,MATCH(Q151,I_COA!$A$6:$A$265,0)),"?"))))</f>
        <v/>
      </c>
    </row>
    <row r="152" customFormat="false" ht="15" hidden="false" customHeight="false" outlineLevel="0" collapsed="false">
      <c r="A152" s="37" t="n">
        <v>46238</v>
      </c>
      <c r="B152" s="44" t="s">
        <v>747</v>
      </c>
      <c r="C152" s="44" t="s">
        <v>600</v>
      </c>
      <c r="D152" s="44" t="n">
        <v>1104002</v>
      </c>
      <c r="E152" s="44" t="s">
        <v>601</v>
      </c>
      <c r="F152" s="44" t="s">
        <v>748</v>
      </c>
      <c r="G152" s="42" t="n">
        <v>80517647.81</v>
      </c>
      <c r="H152" s="42"/>
      <c r="I152" s="44" t="s">
        <v>437</v>
      </c>
      <c r="J152" s="11" t="n">
        <f aca="false">IF(D152="","",N(G152)-N(H152))</f>
        <v>80517647.81</v>
      </c>
      <c r="K152" s="34" t="str">
        <f aca="false">IF(D152="","",IFERROR(INDEX(I_COA!$C$6:$C$265,MATCH(D152,I_COA!$A$6:$A$265,0)),"AKUN BARU"))</f>
        <v>Neraca</v>
      </c>
      <c r="L152" s="34" t="str">
        <f aca="false">IF(K152="LabaRugi",INDEX(I_COA!$D$6:$D$265,MATCH(D152,I_COA!$A$6:$A$265,0)),"")</f>
        <v/>
      </c>
      <c r="M152" s="34" t="str">
        <f aca="false">IF(K152="Neraca",INDEX(I_COA!$E$6:$E$265,MATCH(D152,I_COA!$A$6:$A$265,0)),"")</f>
        <v>Inventory - Product</v>
      </c>
      <c r="N152" s="34" t="str">
        <f aca="false">IF(D152="","",IFERROR(INDEX(I_COA!$G$6:$G$265,MATCH(D152,I_COA!$A$6:$A$265,0)),"N"))</f>
        <v>N</v>
      </c>
      <c r="O152" s="11" t="n">
        <f aca="false">IF(N152="N",ABS(J152),"")</f>
        <v>80517647.81</v>
      </c>
      <c r="P152" s="18" t="str">
        <f aca="false">IF(N152="N",B152&amp;"|"&amp;ROUND(O152,0),"")</f>
        <v>KGR26.00206|80517648</v>
      </c>
      <c r="Q152" s="18" t="str">
        <f aca="false">IF(N152&lt;&gt;"Y","",IFERROR(INDEX($D$6:$D$4005,MATCH(B152&amp;"|"&amp;ROUND(_xlfn.MAXIFS($O$6:$O$4005,$B$6:$B$4005,B152,$N$6:$N$4005,"N"),0),$P$6:$P$4005,0)),"(tanpa lawan)"))</f>
        <v/>
      </c>
      <c r="R152" s="44"/>
      <c r="S152" s="9" t="str">
        <f aca="false">IF(N152&lt;&gt;"Y","",IF(R152&lt;&gt;"",R152,IF(Q152="(tanpa lawan)","Transfer antar rekening",IFERROR(INDEX(I_COA!$F$6:$F$265,MATCH(Q152,I_COA!$A$6:$A$265,0)),"?"))))</f>
        <v/>
      </c>
    </row>
    <row r="153" customFormat="false" ht="15" hidden="false" customHeight="false" outlineLevel="0" collapsed="false">
      <c r="A153" s="37" t="n">
        <v>46238</v>
      </c>
      <c r="B153" s="44" t="s">
        <v>747</v>
      </c>
      <c r="C153" s="44" t="s">
        <v>600</v>
      </c>
      <c r="D153" s="44" t="n">
        <v>1104006</v>
      </c>
      <c r="E153" s="44" t="s">
        <v>212</v>
      </c>
      <c r="F153" s="44" t="s">
        <v>748</v>
      </c>
      <c r="G153" s="42"/>
      <c r="H153" s="42" t="n">
        <v>80517647.81</v>
      </c>
      <c r="I153" s="44" t="s">
        <v>437</v>
      </c>
      <c r="J153" s="11" t="n">
        <f aca="false">IF(D153="","",N(G153)-N(H153))</f>
        <v>-80517647.81</v>
      </c>
      <c r="K153" s="34" t="str">
        <f aca="false">IF(D153="","",IFERROR(INDEX(I_COA!$C$6:$C$265,MATCH(D153,I_COA!$A$6:$A$265,0)),"AKUN BARU"))</f>
        <v>Neraca</v>
      </c>
      <c r="L153" s="34" t="str">
        <f aca="false">IF(K153="LabaRugi",INDEX(I_COA!$D$6:$D$265,MATCH(D153,I_COA!$A$6:$A$265,0)),"")</f>
        <v/>
      </c>
      <c r="M153" s="34" t="str">
        <f aca="false">IF(K153="Neraca",INDEX(I_COA!$E$6:$E$265,MATCH(D153,I_COA!$A$6:$A$265,0)),"")</f>
        <v>Inventory - Trading</v>
      </c>
      <c r="N153" s="34" t="str">
        <f aca="false">IF(D153="","",IFERROR(INDEX(I_COA!$G$6:$G$265,MATCH(D153,I_COA!$A$6:$A$265,0)),"N"))</f>
        <v>N</v>
      </c>
      <c r="O153" s="11" t="n">
        <f aca="false">IF(N153="N",ABS(J153),"")</f>
        <v>80517647.81</v>
      </c>
      <c r="P153" s="18" t="str">
        <f aca="false">IF(N153="N",B153&amp;"|"&amp;ROUND(O153,0),"")</f>
        <v>KGR26.00206|80517648</v>
      </c>
      <c r="Q153" s="18" t="str">
        <f aca="false">IF(N153&lt;&gt;"Y","",IFERROR(INDEX($D$6:$D$4005,MATCH(B153&amp;"|"&amp;ROUND(_xlfn.MAXIFS($O$6:$O$4005,$B$6:$B$4005,B153,$N$6:$N$4005,"N"),0),$P$6:$P$4005,0)),"(tanpa lawan)"))</f>
        <v/>
      </c>
      <c r="R153" s="44"/>
      <c r="S153" s="9" t="str">
        <f aca="false">IF(N153&lt;&gt;"Y","",IF(R153&lt;&gt;"",R153,IF(Q153="(tanpa lawan)","Transfer antar rekening",IFERROR(INDEX(I_COA!$F$6:$F$265,MATCH(Q153,I_COA!$A$6:$A$265,0)),"?"))))</f>
        <v/>
      </c>
    </row>
    <row r="154" customFormat="false" ht="15" hidden="false" customHeight="false" outlineLevel="0" collapsed="false">
      <c r="A154" s="37" t="n">
        <v>46238</v>
      </c>
      <c r="B154" s="44" t="s">
        <v>749</v>
      </c>
      <c r="C154" s="44" t="s">
        <v>600</v>
      </c>
      <c r="D154" s="44" t="n">
        <v>1104002</v>
      </c>
      <c r="E154" s="44" t="s">
        <v>601</v>
      </c>
      <c r="F154" s="44" t="s">
        <v>750</v>
      </c>
      <c r="G154" s="42" t="n">
        <v>32400606.29</v>
      </c>
      <c r="H154" s="42"/>
      <c r="I154" s="44" t="s">
        <v>432</v>
      </c>
      <c r="J154" s="11" t="n">
        <f aca="false">IF(D154="","",N(G154)-N(H154))</f>
        <v>32400606.29</v>
      </c>
      <c r="K154" s="34" t="str">
        <f aca="false">IF(D154="","",IFERROR(INDEX(I_COA!$C$6:$C$265,MATCH(D154,I_COA!$A$6:$A$265,0)),"AKUN BARU"))</f>
        <v>Neraca</v>
      </c>
      <c r="L154" s="34" t="str">
        <f aca="false">IF(K154="LabaRugi",INDEX(I_COA!$D$6:$D$265,MATCH(D154,I_COA!$A$6:$A$265,0)),"")</f>
        <v/>
      </c>
      <c r="M154" s="34" t="str">
        <f aca="false">IF(K154="Neraca",INDEX(I_COA!$E$6:$E$265,MATCH(D154,I_COA!$A$6:$A$265,0)),"")</f>
        <v>Inventory - Product</v>
      </c>
      <c r="N154" s="34" t="str">
        <f aca="false">IF(D154="","",IFERROR(INDEX(I_COA!$G$6:$G$265,MATCH(D154,I_COA!$A$6:$A$265,0)),"N"))</f>
        <v>N</v>
      </c>
      <c r="O154" s="11" t="n">
        <f aca="false">IF(N154="N",ABS(J154),"")</f>
        <v>32400606.29</v>
      </c>
      <c r="P154" s="18" t="str">
        <f aca="false">IF(N154="N",B154&amp;"|"&amp;ROUND(O154,0),"")</f>
        <v>KGR26.00207|32400606</v>
      </c>
      <c r="Q154" s="18" t="str">
        <f aca="false">IF(N154&lt;&gt;"Y","",IFERROR(INDEX($D$6:$D$4005,MATCH(B154&amp;"|"&amp;ROUND(_xlfn.MAXIFS($O$6:$O$4005,$B$6:$B$4005,B154,$N$6:$N$4005,"N"),0),$P$6:$P$4005,0)),"(tanpa lawan)"))</f>
        <v/>
      </c>
      <c r="R154" s="44"/>
      <c r="S154" s="9" t="str">
        <f aca="false">IF(N154&lt;&gt;"Y","",IF(R154&lt;&gt;"",R154,IF(Q154="(tanpa lawan)","Transfer antar rekening",IFERROR(INDEX(I_COA!$F$6:$F$265,MATCH(Q154,I_COA!$A$6:$A$265,0)),"?"))))</f>
        <v/>
      </c>
    </row>
    <row r="155" customFormat="false" ht="15" hidden="false" customHeight="false" outlineLevel="0" collapsed="false">
      <c r="A155" s="37" t="n">
        <v>46238</v>
      </c>
      <c r="B155" s="44" t="s">
        <v>749</v>
      </c>
      <c r="C155" s="44" t="s">
        <v>600</v>
      </c>
      <c r="D155" s="44" t="n">
        <v>1104006</v>
      </c>
      <c r="E155" s="44" t="s">
        <v>212</v>
      </c>
      <c r="F155" s="44" t="s">
        <v>750</v>
      </c>
      <c r="G155" s="42"/>
      <c r="H155" s="42" t="n">
        <v>32400606.29</v>
      </c>
      <c r="I155" s="44" t="s">
        <v>432</v>
      </c>
      <c r="J155" s="11" t="n">
        <f aca="false">IF(D155="","",N(G155)-N(H155))</f>
        <v>-32400606.29</v>
      </c>
      <c r="K155" s="34" t="str">
        <f aca="false">IF(D155="","",IFERROR(INDEX(I_COA!$C$6:$C$265,MATCH(D155,I_COA!$A$6:$A$265,0)),"AKUN BARU"))</f>
        <v>Neraca</v>
      </c>
      <c r="L155" s="34" t="str">
        <f aca="false">IF(K155="LabaRugi",INDEX(I_COA!$D$6:$D$265,MATCH(D155,I_COA!$A$6:$A$265,0)),"")</f>
        <v/>
      </c>
      <c r="M155" s="34" t="str">
        <f aca="false">IF(K155="Neraca",INDEX(I_COA!$E$6:$E$265,MATCH(D155,I_COA!$A$6:$A$265,0)),"")</f>
        <v>Inventory - Trading</v>
      </c>
      <c r="N155" s="34" t="str">
        <f aca="false">IF(D155="","",IFERROR(INDEX(I_COA!$G$6:$G$265,MATCH(D155,I_COA!$A$6:$A$265,0)),"N"))</f>
        <v>N</v>
      </c>
      <c r="O155" s="11" t="n">
        <f aca="false">IF(N155="N",ABS(J155),"")</f>
        <v>32400606.29</v>
      </c>
      <c r="P155" s="18" t="str">
        <f aca="false">IF(N155="N",B155&amp;"|"&amp;ROUND(O155,0),"")</f>
        <v>KGR26.00207|32400606</v>
      </c>
      <c r="Q155" s="18" t="str">
        <f aca="false">IF(N155&lt;&gt;"Y","",IFERROR(INDEX($D$6:$D$4005,MATCH(B155&amp;"|"&amp;ROUND(_xlfn.MAXIFS($O$6:$O$4005,$B$6:$B$4005,B155,$N$6:$N$4005,"N"),0),$P$6:$P$4005,0)),"(tanpa lawan)"))</f>
        <v/>
      </c>
      <c r="R155" s="44"/>
      <c r="S155" s="9" t="str">
        <f aca="false">IF(N155&lt;&gt;"Y","",IF(R155&lt;&gt;"",R155,IF(Q155="(tanpa lawan)","Transfer antar rekening",IFERROR(INDEX(I_COA!$F$6:$F$265,MATCH(Q155,I_COA!$A$6:$A$265,0)),"?"))))</f>
        <v/>
      </c>
    </row>
    <row r="156" customFormat="false" ht="15" hidden="false" customHeight="false" outlineLevel="0" collapsed="false">
      <c r="A156" s="37" t="n">
        <v>46238</v>
      </c>
      <c r="B156" s="44" t="s">
        <v>751</v>
      </c>
      <c r="C156" s="44" t="s">
        <v>600</v>
      </c>
      <c r="D156" s="44" t="n">
        <v>1104002</v>
      </c>
      <c r="E156" s="44" t="s">
        <v>601</v>
      </c>
      <c r="F156" s="44" t="s">
        <v>752</v>
      </c>
      <c r="G156" s="42" t="n">
        <v>64318121.64</v>
      </c>
      <c r="H156" s="42"/>
      <c r="I156" s="44" t="s">
        <v>603</v>
      </c>
      <c r="J156" s="11" t="n">
        <f aca="false">IF(D156="","",N(G156)-N(H156))</f>
        <v>64318121.64</v>
      </c>
      <c r="K156" s="34" t="str">
        <f aca="false">IF(D156="","",IFERROR(INDEX(I_COA!$C$6:$C$265,MATCH(D156,I_COA!$A$6:$A$265,0)),"AKUN BARU"))</f>
        <v>Neraca</v>
      </c>
      <c r="L156" s="34" t="str">
        <f aca="false">IF(K156="LabaRugi",INDEX(I_COA!$D$6:$D$265,MATCH(D156,I_COA!$A$6:$A$265,0)),"")</f>
        <v/>
      </c>
      <c r="M156" s="34" t="str">
        <f aca="false">IF(K156="Neraca",INDEX(I_COA!$E$6:$E$265,MATCH(D156,I_COA!$A$6:$A$265,0)),"")</f>
        <v>Inventory - Product</v>
      </c>
      <c r="N156" s="34" t="str">
        <f aca="false">IF(D156="","",IFERROR(INDEX(I_COA!$G$6:$G$265,MATCH(D156,I_COA!$A$6:$A$265,0)),"N"))</f>
        <v>N</v>
      </c>
      <c r="O156" s="11" t="n">
        <f aca="false">IF(N156="N",ABS(J156),"")</f>
        <v>64318121.64</v>
      </c>
      <c r="P156" s="18" t="str">
        <f aca="false">IF(N156="N",B156&amp;"|"&amp;ROUND(O156,0),"")</f>
        <v>KGR26.00208|64318122</v>
      </c>
      <c r="Q156" s="18" t="str">
        <f aca="false">IF(N156&lt;&gt;"Y","",IFERROR(INDEX($D$6:$D$4005,MATCH(B156&amp;"|"&amp;ROUND(_xlfn.MAXIFS($O$6:$O$4005,$B$6:$B$4005,B156,$N$6:$N$4005,"N"),0),$P$6:$P$4005,0)),"(tanpa lawan)"))</f>
        <v/>
      </c>
      <c r="R156" s="44"/>
      <c r="S156" s="9" t="str">
        <f aca="false">IF(N156&lt;&gt;"Y","",IF(R156&lt;&gt;"",R156,IF(Q156="(tanpa lawan)","Transfer antar rekening",IFERROR(INDEX(I_COA!$F$6:$F$265,MATCH(Q156,I_COA!$A$6:$A$265,0)),"?"))))</f>
        <v/>
      </c>
    </row>
    <row r="157" customFormat="false" ht="15" hidden="false" customHeight="false" outlineLevel="0" collapsed="false">
      <c r="A157" s="37" t="n">
        <v>46238</v>
      </c>
      <c r="B157" s="44" t="s">
        <v>751</v>
      </c>
      <c r="C157" s="44" t="s">
        <v>600</v>
      </c>
      <c r="D157" s="44" t="n">
        <v>1104006</v>
      </c>
      <c r="E157" s="44" t="s">
        <v>212</v>
      </c>
      <c r="F157" s="44" t="s">
        <v>752</v>
      </c>
      <c r="G157" s="42"/>
      <c r="H157" s="42" t="n">
        <v>64318121.64</v>
      </c>
      <c r="I157" s="44" t="s">
        <v>603</v>
      </c>
      <c r="J157" s="11" t="n">
        <f aca="false">IF(D157="","",N(G157)-N(H157))</f>
        <v>-64318121.64</v>
      </c>
      <c r="K157" s="34" t="str">
        <f aca="false">IF(D157="","",IFERROR(INDEX(I_COA!$C$6:$C$265,MATCH(D157,I_COA!$A$6:$A$265,0)),"AKUN BARU"))</f>
        <v>Neraca</v>
      </c>
      <c r="L157" s="34" t="str">
        <f aca="false">IF(K157="LabaRugi",INDEX(I_COA!$D$6:$D$265,MATCH(D157,I_COA!$A$6:$A$265,0)),"")</f>
        <v/>
      </c>
      <c r="M157" s="34" t="str">
        <f aca="false">IF(K157="Neraca",INDEX(I_COA!$E$6:$E$265,MATCH(D157,I_COA!$A$6:$A$265,0)),"")</f>
        <v>Inventory - Trading</v>
      </c>
      <c r="N157" s="34" t="str">
        <f aca="false">IF(D157="","",IFERROR(INDEX(I_COA!$G$6:$G$265,MATCH(D157,I_COA!$A$6:$A$265,0)),"N"))</f>
        <v>N</v>
      </c>
      <c r="O157" s="11" t="n">
        <f aca="false">IF(N157="N",ABS(J157),"")</f>
        <v>64318121.64</v>
      </c>
      <c r="P157" s="18" t="str">
        <f aca="false">IF(N157="N",B157&amp;"|"&amp;ROUND(O157,0),"")</f>
        <v>KGR26.00208|64318122</v>
      </c>
      <c r="Q157" s="18" t="str">
        <f aca="false">IF(N157&lt;&gt;"Y","",IFERROR(INDEX($D$6:$D$4005,MATCH(B157&amp;"|"&amp;ROUND(_xlfn.MAXIFS($O$6:$O$4005,$B$6:$B$4005,B157,$N$6:$N$4005,"N"),0),$P$6:$P$4005,0)),"(tanpa lawan)"))</f>
        <v/>
      </c>
      <c r="R157" s="44"/>
      <c r="S157" s="9" t="str">
        <f aca="false">IF(N157&lt;&gt;"Y","",IF(R157&lt;&gt;"",R157,IF(Q157="(tanpa lawan)","Transfer antar rekening",IFERROR(INDEX(I_COA!$F$6:$F$265,MATCH(Q157,I_COA!$A$6:$A$265,0)),"?"))))</f>
        <v/>
      </c>
    </row>
    <row r="158" customFormat="false" ht="15" hidden="false" customHeight="false" outlineLevel="0" collapsed="false">
      <c r="A158" s="37" t="n">
        <v>46238</v>
      </c>
      <c r="B158" s="44" t="s">
        <v>753</v>
      </c>
      <c r="C158" s="44" t="s">
        <v>617</v>
      </c>
      <c r="D158" s="44" t="n">
        <v>1103101</v>
      </c>
      <c r="E158" s="44" t="s">
        <v>589</v>
      </c>
      <c r="F158" s="44" t="s">
        <v>754</v>
      </c>
      <c r="G158" s="42" t="n">
        <v>91450000</v>
      </c>
      <c r="H158" s="42"/>
      <c r="I158" s="44" t="s">
        <v>432</v>
      </c>
      <c r="J158" s="11" t="n">
        <f aca="false">IF(D158="","",N(G158)-N(H158))</f>
        <v>91450000</v>
      </c>
      <c r="K158" s="34" t="str">
        <f aca="false">IF(D158="","",IFERROR(INDEX(I_COA!$C$6:$C$265,MATCH(D158,I_COA!$A$6:$A$265,0)),"AKUN BARU"))</f>
        <v>Neraca</v>
      </c>
      <c r="L158" s="34" t="str">
        <f aca="false">IF(K158="LabaRugi",INDEX(I_COA!$D$6:$D$265,MATCH(D158,I_COA!$A$6:$A$265,0)),"")</f>
        <v/>
      </c>
      <c r="M158" s="34" t="str">
        <f aca="false">IF(K158="Neraca",INDEX(I_COA!$E$6:$E$265,MATCH(D158,I_COA!$A$6:$A$265,0)),"")</f>
        <v>Trade Receivables - Third Parties</v>
      </c>
      <c r="N158" s="34" t="str">
        <f aca="false">IF(D158="","",IFERROR(INDEX(I_COA!$G$6:$G$265,MATCH(D158,I_COA!$A$6:$A$265,0)),"N"))</f>
        <v>N</v>
      </c>
      <c r="O158" s="11" t="n">
        <f aca="false">IF(N158="N",ABS(J158),"")</f>
        <v>91450000</v>
      </c>
      <c r="P158" s="18" t="str">
        <f aca="false">IF(N158="N",B158&amp;"|"&amp;ROUND(O158,0),"")</f>
        <v>KGR26/0205A|91450000</v>
      </c>
      <c r="Q158" s="18" t="str">
        <f aca="false">IF(N158&lt;&gt;"Y","",IFERROR(INDEX($D$6:$D$4005,MATCH(B158&amp;"|"&amp;ROUND(_xlfn.MAXIFS($O$6:$O$4005,$B$6:$B$4005,B158,$N$6:$N$4005,"N"),0),$P$6:$P$4005,0)),"(tanpa lawan)"))</f>
        <v/>
      </c>
      <c r="R158" s="44"/>
      <c r="S158" s="9" t="str">
        <f aca="false">IF(N158&lt;&gt;"Y","",IF(R158&lt;&gt;"",R158,IF(Q158="(tanpa lawan)","Transfer antar rekening",IFERROR(INDEX(I_COA!$F$6:$F$265,MATCH(Q158,I_COA!$A$6:$A$265,0)),"?"))))</f>
        <v/>
      </c>
    </row>
    <row r="159" customFormat="false" ht="15" hidden="false" customHeight="false" outlineLevel="0" collapsed="false">
      <c r="A159" s="37" t="n">
        <v>46238</v>
      </c>
      <c r="B159" s="44" t="s">
        <v>753</v>
      </c>
      <c r="C159" s="44" t="s">
        <v>617</v>
      </c>
      <c r="D159" s="44" t="n">
        <v>4101004</v>
      </c>
      <c r="E159" s="44" t="s">
        <v>755</v>
      </c>
      <c r="F159" s="44" t="s">
        <v>754</v>
      </c>
      <c r="G159" s="42" t="n">
        <v>625400</v>
      </c>
      <c r="H159" s="42"/>
      <c r="I159" s="44" t="s">
        <v>432</v>
      </c>
      <c r="J159" s="11" t="n">
        <f aca="false">IF(D159="","",N(G159)-N(H159))</f>
        <v>625400</v>
      </c>
      <c r="K159" s="34" t="str">
        <f aca="false">IF(D159="","",IFERROR(INDEX(I_COA!$C$6:$C$265,MATCH(D159,I_COA!$A$6:$A$265,0)),"AKUN BARU"))</f>
        <v>LabaRugi</v>
      </c>
      <c r="L159" s="34" t="str">
        <f aca="false">IF(K159="LabaRugi",INDEX(I_COA!$D$6:$D$265,MATCH(D159,I_COA!$A$6:$A$265,0)),"")</f>
        <v>Revenue - Trading</v>
      </c>
      <c r="M159" s="34" t="str">
        <f aca="false">IF(K159="Neraca",INDEX(I_COA!$E$6:$E$265,MATCH(D159,I_COA!$A$6:$A$265,0)),"")</f>
        <v/>
      </c>
      <c r="N159" s="34" t="str">
        <f aca="false">IF(D159="","",IFERROR(INDEX(I_COA!$G$6:$G$265,MATCH(D159,I_COA!$A$6:$A$265,0)),"N"))</f>
        <v>N</v>
      </c>
      <c r="O159" s="11" t="n">
        <f aca="false">IF(N159="N",ABS(J159),"")</f>
        <v>625400</v>
      </c>
      <c r="P159" s="18" t="str">
        <f aca="false">IF(N159="N",B159&amp;"|"&amp;ROUND(O159,0),"")</f>
        <v>KGR26/0205A|625400</v>
      </c>
      <c r="Q159" s="18" t="str">
        <f aca="false">IF(N159&lt;&gt;"Y","",IFERROR(INDEX($D$6:$D$4005,MATCH(B159&amp;"|"&amp;ROUND(_xlfn.MAXIFS($O$6:$O$4005,$B$6:$B$4005,B159,$N$6:$N$4005,"N"),0),$P$6:$P$4005,0)),"(tanpa lawan)"))</f>
        <v/>
      </c>
      <c r="R159" s="44"/>
      <c r="S159" s="9" t="str">
        <f aca="false">IF(N159&lt;&gt;"Y","",IF(R159&lt;&gt;"",R159,IF(Q159="(tanpa lawan)","Transfer antar rekening",IFERROR(INDEX(I_COA!$F$6:$F$265,MATCH(Q159,I_COA!$A$6:$A$265,0)),"?"))))</f>
        <v/>
      </c>
    </row>
    <row r="160" customFormat="false" ht="15" hidden="false" customHeight="false" outlineLevel="0" collapsed="false">
      <c r="A160" s="37" t="n">
        <v>46238</v>
      </c>
      <c r="B160" s="44" t="s">
        <v>753</v>
      </c>
      <c r="C160" s="44" t="s">
        <v>617</v>
      </c>
      <c r="D160" s="44" t="n">
        <v>4101012</v>
      </c>
      <c r="E160" s="44" t="s">
        <v>619</v>
      </c>
      <c r="F160" s="44" t="s">
        <v>754</v>
      </c>
      <c r="G160" s="42"/>
      <c r="H160" s="42" t="n">
        <v>92075400</v>
      </c>
      <c r="I160" s="44" t="s">
        <v>432</v>
      </c>
      <c r="J160" s="11" t="n">
        <f aca="false">IF(D160="","",N(G160)-N(H160))</f>
        <v>-92075400</v>
      </c>
      <c r="K160" s="34" t="str">
        <f aca="false">IF(D160="","",IFERROR(INDEX(I_COA!$C$6:$C$265,MATCH(D160,I_COA!$A$6:$A$265,0)),"AKUN BARU"))</f>
        <v>LabaRugi</v>
      </c>
      <c r="L160" s="34" t="str">
        <f aca="false">IF(K160="LabaRugi",INDEX(I_COA!$D$6:$D$265,MATCH(D160,I_COA!$A$6:$A$265,0)),"")</f>
        <v>Revenue - Trading</v>
      </c>
      <c r="M160" s="34" t="str">
        <f aca="false">IF(K160="Neraca",INDEX(I_COA!$E$6:$E$265,MATCH(D160,I_COA!$A$6:$A$265,0)),"")</f>
        <v/>
      </c>
      <c r="N160" s="34" t="str">
        <f aca="false">IF(D160="","",IFERROR(INDEX(I_COA!$G$6:$G$265,MATCH(D160,I_COA!$A$6:$A$265,0)),"N"))</f>
        <v>N</v>
      </c>
      <c r="O160" s="11" t="n">
        <f aca="false">IF(N160="N",ABS(J160),"")</f>
        <v>92075400</v>
      </c>
      <c r="P160" s="18" t="str">
        <f aca="false">IF(N160="N",B160&amp;"|"&amp;ROUND(O160,0),"")</f>
        <v>KGR26/0205A|92075400</v>
      </c>
      <c r="Q160" s="18" t="str">
        <f aca="false">IF(N160&lt;&gt;"Y","",IFERROR(INDEX($D$6:$D$4005,MATCH(B160&amp;"|"&amp;ROUND(_xlfn.MAXIFS($O$6:$O$4005,$B$6:$B$4005,B160,$N$6:$N$4005,"N"),0),$P$6:$P$4005,0)),"(tanpa lawan)"))</f>
        <v/>
      </c>
      <c r="R160" s="44"/>
      <c r="S160" s="9" t="str">
        <f aca="false">IF(N160&lt;&gt;"Y","",IF(R160&lt;&gt;"",R160,IF(Q160="(tanpa lawan)","Transfer antar rekening",IFERROR(INDEX(I_COA!$F$6:$F$265,MATCH(Q160,I_COA!$A$6:$A$265,0)),"?"))))</f>
        <v/>
      </c>
    </row>
    <row r="161" customFormat="false" ht="15" hidden="false" customHeight="false" outlineLevel="0" collapsed="false">
      <c r="A161" s="37" t="n">
        <v>46238</v>
      </c>
      <c r="B161" s="44" t="s">
        <v>753</v>
      </c>
      <c r="C161" s="44" t="s">
        <v>617</v>
      </c>
      <c r="D161" s="44" t="n">
        <v>5100011</v>
      </c>
      <c r="E161" s="44" t="s">
        <v>166</v>
      </c>
      <c r="F161" s="44" t="s">
        <v>754</v>
      </c>
      <c r="G161" s="42" t="n">
        <v>96965332.31</v>
      </c>
      <c r="H161" s="42"/>
      <c r="I161" s="44" t="s">
        <v>432</v>
      </c>
      <c r="J161" s="11" t="n">
        <f aca="false">IF(D161="","",N(G161)-N(H161))</f>
        <v>96965332.31</v>
      </c>
      <c r="K161" s="34" t="str">
        <f aca="false">IF(D161="","",IFERROR(INDEX(I_COA!$C$6:$C$265,MATCH(D161,I_COA!$A$6:$A$265,0)),"AKUN BARU"))</f>
        <v>LabaRugi</v>
      </c>
      <c r="L161" s="34" t="str">
        <f aca="false">IF(K161="LabaRugi",INDEX(I_COA!$D$6:$D$265,MATCH(D161,I_COA!$A$6:$A$265,0)),"")</f>
        <v>COGS - Trading</v>
      </c>
      <c r="M161" s="34" t="str">
        <f aca="false">IF(K161="Neraca",INDEX(I_COA!$E$6:$E$265,MATCH(D161,I_COA!$A$6:$A$265,0)),"")</f>
        <v/>
      </c>
      <c r="N161" s="34" t="str">
        <f aca="false">IF(D161="","",IFERROR(INDEX(I_COA!$G$6:$G$265,MATCH(D161,I_COA!$A$6:$A$265,0)),"N"))</f>
        <v>N</v>
      </c>
      <c r="O161" s="11" t="n">
        <f aca="false">IF(N161="N",ABS(J161),"")</f>
        <v>96965332.31</v>
      </c>
      <c r="P161" s="18" t="str">
        <f aca="false">IF(N161="N",B161&amp;"|"&amp;ROUND(O161,0),"")</f>
        <v>KGR26/0205A|96965332</v>
      </c>
      <c r="Q161" s="18" t="str">
        <f aca="false">IF(N161&lt;&gt;"Y","",IFERROR(INDEX($D$6:$D$4005,MATCH(B161&amp;"|"&amp;ROUND(_xlfn.MAXIFS($O$6:$O$4005,$B$6:$B$4005,B161,$N$6:$N$4005,"N"),0),$P$6:$P$4005,0)),"(tanpa lawan)"))</f>
        <v/>
      </c>
      <c r="R161" s="44"/>
      <c r="S161" s="9" t="str">
        <f aca="false">IF(N161&lt;&gt;"Y","",IF(R161&lt;&gt;"",R161,IF(Q161="(tanpa lawan)","Transfer antar rekening",IFERROR(INDEX(I_COA!$F$6:$F$265,MATCH(Q161,I_COA!$A$6:$A$265,0)),"?"))))</f>
        <v/>
      </c>
    </row>
    <row r="162" customFormat="false" ht="15" hidden="false" customHeight="false" outlineLevel="0" collapsed="false">
      <c r="A162" s="37" t="n">
        <v>46238</v>
      </c>
      <c r="B162" s="44" t="s">
        <v>753</v>
      </c>
      <c r="C162" s="44" t="s">
        <v>617</v>
      </c>
      <c r="D162" s="44" t="n">
        <v>1104002</v>
      </c>
      <c r="E162" s="44" t="s">
        <v>601</v>
      </c>
      <c r="F162" s="44" t="s">
        <v>754</v>
      </c>
      <c r="G162" s="42"/>
      <c r="H162" s="42" t="n">
        <v>96965332.31</v>
      </c>
      <c r="I162" s="44" t="s">
        <v>432</v>
      </c>
      <c r="J162" s="11" t="n">
        <f aca="false">IF(D162="","",N(G162)-N(H162))</f>
        <v>-96965332.31</v>
      </c>
      <c r="K162" s="34" t="str">
        <f aca="false">IF(D162="","",IFERROR(INDEX(I_COA!$C$6:$C$265,MATCH(D162,I_COA!$A$6:$A$265,0)),"AKUN BARU"))</f>
        <v>Neraca</v>
      </c>
      <c r="L162" s="34" t="str">
        <f aca="false">IF(K162="LabaRugi",INDEX(I_COA!$D$6:$D$265,MATCH(D162,I_COA!$A$6:$A$265,0)),"")</f>
        <v/>
      </c>
      <c r="M162" s="34" t="str">
        <f aca="false">IF(K162="Neraca",INDEX(I_COA!$E$6:$E$265,MATCH(D162,I_COA!$A$6:$A$265,0)),"")</f>
        <v>Inventory - Product</v>
      </c>
      <c r="N162" s="34" t="str">
        <f aca="false">IF(D162="","",IFERROR(INDEX(I_COA!$G$6:$G$265,MATCH(D162,I_COA!$A$6:$A$265,0)),"N"))</f>
        <v>N</v>
      </c>
      <c r="O162" s="11" t="n">
        <f aca="false">IF(N162="N",ABS(J162),"")</f>
        <v>96965332.31</v>
      </c>
      <c r="P162" s="18" t="str">
        <f aca="false">IF(N162="N",B162&amp;"|"&amp;ROUND(O162,0),"")</f>
        <v>KGR26/0205A|96965332</v>
      </c>
      <c r="Q162" s="18" t="str">
        <f aca="false">IF(N162&lt;&gt;"Y","",IFERROR(INDEX($D$6:$D$4005,MATCH(B162&amp;"|"&amp;ROUND(_xlfn.MAXIFS($O$6:$O$4005,$B$6:$B$4005,B162,$N$6:$N$4005,"N"),0),$P$6:$P$4005,0)),"(tanpa lawan)"))</f>
        <v/>
      </c>
      <c r="R162" s="44"/>
      <c r="S162" s="9" t="str">
        <f aca="false">IF(N162&lt;&gt;"Y","",IF(R162&lt;&gt;"",R162,IF(Q162="(tanpa lawan)","Transfer antar rekening",IFERROR(INDEX(I_COA!$F$6:$F$265,MATCH(Q162,I_COA!$A$6:$A$265,0)),"?"))))</f>
        <v/>
      </c>
    </row>
    <row r="163" customFormat="false" ht="15" hidden="false" customHeight="false" outlineLevel="0" collapsed="false">
      <c r="A163" s="37" t="n">
        <v>46238</v>
      </c>
      <c r="B163" s="44" t="s">
        <v>756</v>
      </c>
      <c r="C163" s="44" t="s">
        <v>617</v>
      </c>
      <c r="D163" s="44" t="n">
        <v>1103101</v>
      </c>
      <c r="E163" s="44" t="s">
        <v>589</v>
      </c>
      <c r="F163" s="44" t="s">
        <v>757</v>
      </c>
      <c r="G163" s="42" t="n">
        <v>76323200</v>
      </c>
      <c r="H163" s="42"/>
      <c r="I163" s="44" t="s">
        <v>437</v>
      </c>
      <c r="J163" s="11" t="n">
        <f aca="false">IF(D163="","",N(G163)-N(H163))</f>
        <v>76323200</v>
      </c>
      <c r="K163" s="34" t="str">
        <f aca="false">IF(D163="","",IFERROR(INDEX(I_COA!$C$6:$C$265,MATCH(D163,I_COA!$A$6:$A$265,0)),"AKUN BARU"))</f>
        <v>Neraca</v>
      </c>
      <c r="L163" s="34" t="str">
        <f aca="false">IF(K163="LabaRugi",INDEX(I_COA!$D$6:$D$265,MATCH(D163,I_COA!$A$6:$A$265,0)),"")</f>
        <v/>
      </c>
      <c r="M163" s="34" t="str">
        <f aca="false">IF(K163="Neraca",INDEX(I_COA!$E$6:$E$265,MATCH(D163,I_COA!$A$6:$A$265,0)),"")</f>
        <v>Trade Receivables - Third Parties</v>
      </c>
      <c r="N163" s="34" t="str">
        <f aca="false">IF(D163="","",IFERROR(INDEX(I_COA!$G$6:$G$265,MATCH(D163,I_COA!$A$6:$A$265,0)),"N"))</f>
        <v>N</v>
      </c>
      <c r="O163" s="11" t="n">
        <f aca="false">IF(N163="N",ABS(J163),"")</f>
        <v>76323200</v>
      </c>
      <c r="P163" s="18" t="str">
        <f aca="false">IF(N163="N",B163&amp;"|"&amp;ROUND(O163,0),"")</f>
        <v>KGR26/0206|76323200</v>
      </c>
      <c r="Q163" s="18" t="str">
        <f aca="false">IF(N163&lt;&gt;"Y","",IFERROR(INDEX($D$6:$D$4005,MATCH(B163&amp;"|"&amp;ROUND(_xlfn.MAXIFS($O$6:$O$4005,$B$6:$B$4005,B163,$N$6:$N$4005,"N"),0),$P$6:$P$4005,0)),"(tanpa lawan)"))</f>
        <v/>
      </c>
      <c r="R163" s="44"/>
      <c r="S163" s="9" t="str">
        <f aca="false">IF(N163&lt;&gt;"Y","",IF(R163&lt;&gt;"",R163,IF(Q163="(tanpa lawan)","Transfer antar rekening",IFERROR(INDEX(I_COA!$F$6:$F$265,MATCH(Q163,I_COA!$A$6:$A$265,0)),"?"))))</f>
        <v/>
      </c>
    </row>
    <row r="164" customFormat="false" ht="15" hidden="false" customHeight="false" outlineLevel="0" collapsed="false">
      <c r="A164" s="37" t="n">
        <v>46238</v>
      </c>
      <c r="B164" s="44" t="s">
        <v>756</v>
      </c>
      <c r="C164" s="44" t="s">
        <v>617</v>
      </c>
      <c r="D164" s="44" t="n">
        <v>4101012</v>
      </c>
      <c r="E164" s="44" t="s">
        <v>619</v>
      </c>
      <c r="F164" s="44" t="s">
        <v>757</v>
      </c>
      <c r="G164" s="42"/>
      <c r="H164" s="42" t="n">
        <v>76323200</v>
      </c>
      <c r="I164" s="44" t="s">
        <v>437</v>
      </c>
      <c r="J164" s="11" t="n">
        <f aca="false">IF(D164="","",N(G164)-N(H164))</f>
        <v>-76323200</v>
      </c>
      <c r="K164" s="34" t="str">
        <f aca="false">IF(D164="","",IFERROR(INDEX(I_COA!$C$6:$C$265,MATCH(D164,I_COA!$A$6:$A$265,0)),"AKUN BARU"))</f>
        <v>LabaRugi</v>
      </c>
      <c r="L164" s="34" t="str">
        <f aca="false">IF(K164="LabaRugi",INDEX(I_COA!$D$6:$D$265,MATCH(D164,I_COA!$A$6:$A$265,0)),"")</f>
        <v>Revenue - Trading</v>
      </c>
      <c r="M164" s="34" t="str">
        <f aca="false">IF(K164="Neraca",INDEX(I_COA!$E$6:$E$265,MATCH(D164,I_COA!$A$6:$A$265,0)),"")</f>
        <v/>
      </c>
      <c r="N164" s="34" t="str">
        <f aca="false">IF(D164="","",IFERROR(INDEX(I_COA!$G$6:$G$265,MATCH(D164,I_COA!$A$6:$A$265,0)),"N"))</f>
        <v>N</v>
      </c>
      <c r="O164" s="11" t="n">
        <f aca="false">IF(N164="N",ABS(J164),"")</f>
        <v>76323200</v>
      </c>
      <c r="P164" s="18" t="str">
        <f aca="false">IF(N164="N",B164&amp;"|"&amp;ROUND(O164,0),"")</f>
        <v>KGR26/0206|76323200</v>
      </c>
      <c r="Q164" s="18" t="str">
        <f aca="false">IF(N164&lt;&gt;"Y","",IFERROR(INDEX($D$6:$D$4005,MATCH(B164&amp;"|"&amp;ROUND(_xlfn.MAXIFS($O$6:$O$4005,$B$6:$B$4005,B164,$N$6:$N$4005,"N"),0),$P$6:$P$4005,0)),"(tanpa lawan)"))</f>
        <v/>
      </c>
      <c r="R164" s="44"/>
      <c r="S164" s="9" t="str">
        <f aca="false">IF(N164&lt;&gt;"Y","",IF(R164&lt;&gt;"",R164,IF(Q164="(tanpa lawan)","Transfer antar rekening",IFERROR(INDEX(I_COA!$F$6:$F$265,MATCH(Q164,I_COA!$A$6:$A$265,0)),"?"))))</f>
        <v/>
      </c>
    </row>
    <row r="165" customFormat="false" ht="15" hidden="false" customHeight="false" outlineLevel="0" collapsed="false">
      <c r="A165" s="37" t="n">
        <v>46238</v>
      </c>
      <c r="B165" s="44" t="s">
        <v>756</v>
      </c>
      <c r="C165" s="44" t="s">
        <v>617</v>
      </c>
      <c r="D165" s="44" t="n">
        <v>5100011</v>
      </c>
      <c r="E165" s="44" t="s">
        <v>166</v>
      </c>
      <c r="F165" s="44" t="s">
        <v>757</v>
      </c>
      <c r="G165" s="42" t="n">
        <v>80517647.81</v>
      </c>
      <c r="H165" s="42"/>
      <c r="I165" s="44" t="s">
        <v>437</v>
      </c>
      <c r="J165" s="11" t="n">
        <f aca="false">IF(D165="","",N(G165)-N(H165))</f>
        <v>80517647.81</v>
      </c>
      <c r="K165" s="34" t="str">
        <f aca="false">IF(D165="","",IFERROR(INDEX(I_COA!$C$6:$C$265,MATCH(D165,I_COA!$A$6:$A$265,0)),"AKUN BARU"))</f>
        <v>LabaRugi</v>
      </c>
      <c r="L165" s="34" t="str">
        <f aca="false">IF(K165="LabaRugi",INDEX(I_COA!$D$6:$D$265,MATCH(D165,I_COA!$A$6:$A$265,0)),"")</f>
        <v>COGS - Trading</v>
      </c>
      <c r="M165" s="34" t="str">
        <f aca="false">IF(K165="Neraca",INDEX(I_COA!$E$6:$E$265,MATCH(D165,I_COA!$A$6:$A$265,0)),"")</f>
        <v/>
      </c>
      <c r="N165" s="34" t="str">
        <f aca="false">IF(D165="","",IFERROR(INDEX(I_COA!$G$6:$G$265,MATCH(D165,I_COA!$A$6:$A$265,0)),"N"))</f>
        <v>N</v>
      </c>
      <c r="O165" s="11" t="n">
        <f aca="false">IF(N165="N",ABS(J165),"")</f>
        <v>80517647.81</v>
      </c>
      <c r="P165" s="18" t="str">
        <f aca="false">IF(N165="N",B165&amp;"|"&amp;ROUND(O165,0),"")</f>
        <v>KGR26/0206|80517648</v>
      </c>
      <c r="Q165" s="18" t="str">
        <f aca="false">IF(N165&lt;&gt;"Y","",IFERROR(INDEX($D$6:$D$4005,MATCH(B165&amp;"|"&amp;ROUND(_xlfn.MAXIFS($O$6:$O$4005,$B$6:$B$4005,B165,$N$6:$N$4005,"N"),0),$P$6:$P$4005,0)),"(tanpa lawan)"))</f>
        <v/>
      </c>
      <c r="R165" s="44"/>
      <c r="S165" s="9" t="str">
        <f aca="false">IF(N165&lt;&gt;"Y","",IF(R165&lt;&gt;"",R165,IF(Q165="(tanpa lawan)","Transfer antar rekening",IFERROR(INDEX(I_COA!$F$6:$F$265,MATCH(Q165,I_COA!$A$6:$A$265,0)),"?"))))</f>
        <v/>
      </c>
    </row>
    <row r="166" customFormat="false" ht="15" hidden="false" customHeight="false" outlineLevel="0" collapsed="false">
      <c r="A166" s="37" t="n">
        <v>46238</v>
      </c>
      <c r="B166" s="44" t="s">
        <v>756</v>
      </c>
      <c r="C166" s="44" t="s">
        <v>617</v>
      </c>
      <c r="D166" s="44" t="n">
        <v>1104002</v>
      </c>
      <c r="E166" s="44" t="s">
        <v>601</v>
      </c>
      <c r="F166" s="44" t="s">
        <v>757</v>
      </c>
      <c r="G166" s="42"/>
      <c r="H166" s="42" t="n">
        <v>80517647.81</v>
      </c>
      <c r="I166" s="44" t="s">
        <v>437</v>
      </c>
      <c r="J166" s="11" t="n">
        <f aca="false">IF(D166="","",N(G166)-N(H166))</f>
        <v>-80517647.81</v>
      </c>
      <c r="K166" s="34" t="str">
        <f aca="false">IF(D166="","",IFERROR(INDEX(I_COA!$C$6:$C$265,MATCH(D166,I_COA!$A$6:$A$265,0)),"AKUN BARU"))</f>
        <v>Neraca</v>
      </c>
      <c r="L166" s="34" t="str">
        <f aca="false">IF(K166="LabaRugi",INDEX(I_COA!$D$6:$D$265,MATCH(D166,I_COA!$A$6:$A$265,0)),"")</f>
        <v/>
      </c>
      <c r="M166" s="34" t="str">
        <f aca="false">IF(K166="Neraca",INDEX(I_COA!$E$6:$E$265,MATCH(D166,I_COA!$A$6:$A$265,0)),"")</f>
        <v>Inventory - Product</v>
      </c>
      <c r="N166" s="34" t="str">
        <f aca="false">IF(D166="","",IFERROR(INDEX(I_COA!$G$6:$G$265,MATCH(D166,I_COA!$A$6:$A$265,0)),"N"))</f>
        <v>N</v>
      </c>
      <c r="O166" s="11" t="n">
        <f aca="false">IF(N166="N",ABS(J166),"")</f>
        <v>80517647.81</v>
      </c>
      <c r="P166" s="18" t="str">
        <f aca="false">IF(N166="N",B166&amp;"|"&amp;ROUND(O166,0),"")</f>
        <v>KGR26/0206|80517648</v>
      </c>
      <c r="Q166" s="18" t="str">
        <f aca="false">IF(N166&lt;&gt;"Y","",IFERROR(INDEX($D$6:$D$4005,MATCH(B166&amp;"|"&amp;ROUND(_xlfn.MAXIFS($O$6:$O$4005,$B$6:$B$4005,B166,$N$6:$N$4005,"N"),0),$P$6:$P$4005,0)),"(tanpa lawan)"))</f>
        <v/>
      </c>
      <c r="R166" s="44"/>
      <c r="S166" s="9" t="str">
        <f aca="false">IF(N166&lt;&gt;"Y","",IF(R166&lt;&gt;"",R166,IF(Q166="(tanpa lawan)","Transfer antar rekening",IFERROR(INDEX(I_COA!$F$6:$F$265,MATCH(Q166,I_COA!$A$6:$A$265,0)),"?"))))</f>
        <v/>
      </c>
    </row>
    <row r="167" customFormat="false" ht="15" hidden="false" customHeight="false" outlineLevel="0" collapsed="false">
      <c r="A167" s="37" t="n">
        <v>46238</v>
      </c>
      <c r="B167" s="44" t="s">
        <v>758</v>
      </c>
      <c r="C167" s="44" t="s">
        <v>617</v>
      </c>
      <c r="D167" s="44" t="n">
        <v>1103101</v>
      </c>
      <c r="E167" s="44" t="s">
        <v>589</v>
      </c>
      <c r="F167" s="44" t="s">
        <v>759</v>
      </c>
      <c r="G167" s="42" t="n">
        <v>29789100</v>
      </c>
      <c r="H167" s="42"/>
      <c r="I167" s="44" t="s">
        <v>432</v>
      </c>
      <c r="J167" s="11" t="n">
        <f aca="false">IF(D167="","",N(G167)-N(H167))</f>
        <v>29789100</v>
      </c>
      <c r="K167" s="34" t="str">
        <f aca="false">IF(D167="","",IFERROR(INDEX(I_COA!$C$6:$C$265,MATCH(D167,I_COA!$A$6:$A$265,0)),"AKUN BARU"))</f>
        <v>Neraca</v>
      </c>
      <c r="L167" s="34" t="str">
        <f aca="false">IF(K167="LabaRugi",INDEX(I_COA!$D$6:$D$265,MATCH(D167,I_COA!$A$6:$A$265,0)),"")</f>
        <v/>
      </c>
      <c r="M167" s="34" t="str">
        <f aca="false">IF(K167="Neraca",INDEX(I_COA!$E$6:$E$265,MATCH(D167,I_COA!$A$6:$A$265,0)),"")</f>
        <v>Trade Receivables - Third Parties</v>
      </c>
      <c r="N167" s="34" t="str">
        <f aca="false">IF(D167="","",IFERROR(INDEX(I_COA!$G$6:$G$265,MATCH(D167,I_COA!$A$6:$A$265,0)),"N"))</f>
        <v>N</v>
      </c>
      <c r="O167" s="11" t="n">
        <f aca="false">IF(N167="N",ABS(J167),"")</f>
        <v>29789100</v>
      </c>
      <c r="P167" s="18" t="str">
        <f aca="false">IF(N167="N",B167&amp;"|"&amp;ROUND(O167,0),"")</f>
        <v>KGR26/0207|29789100</v>
      </c>
      <c r="Q167" s="18" t="str">
        <f aca="false">IF(N167&lt;&gt;"Y","",IFERROR(INDEX($D$6:$D$4005,MATCH(B167&amp;"|"&amp;ROUND(_xlfn.MAXIFS($O$6:$O$4005,$B$6:$B$4005,B167,$N$6:$N$4005,"N"),0),$P$6:$P$4005,0)),"(tanpa lawan)"))</f>
        <v/>
      </c>
      <c r="R167" s="44"/>
      <c r="S167" s="9" t="str">
        <f aca="false">IF(N167&lt;&gt;"Y","",IF(R167&lt;&gt;"",R167,IF(Q167="(tanpa lawan)","Transfer antar rekening",IFERROR(INDEX(I_COA!$F$6:$F$265,MATCH(Q167,I_COA!$A$6:$A$265,0)),"?"))))</f>
        <v/>
      </c>
    </row>
    <row r="168" customFormat="false" ht="15" hidden="false" customHeight="false" outlineLevel="0" collapsed="false">
      <c r="A168" s="37" t="n">
        <v>46238</v>
      </c>
      <c r="B168" s="44" t="s">
        <v>758</v>
      </c>
      <c r="C168" s="44" t="s">
        <v>617</v>
      </c>
      <c r="D168" s="44" t="n">
        <v>4101012</v>
      </c>
      <c r="E168" s="44" t="s">
        <v>619</v>
      </c>
      <c r="F168" s="44" t="s">
        <v>759</v>
      </c>
      <c r="G168" s="42"/>
      <c r="H168" s="42" t="n">
        <v>29789100</v>
      </c>
      <c r="I168" s="44" t="s">
        <v>432</v>
      </c>
      <c r="J168" s="11" t="n">
        <f aca="false">IF(D168="","",N(G168)-N(H168))</f>
        <v>-29789100</v>
      </c>
      <c r="K168" s="34" t="str">
        <f aca="false">IF(D168="","",IFERROR(INDEX(I_COA!$C$6:$C$265,MATCH(D168,I_COA!$A$6:$A$265,0)),"AKUN BARU"))</f>
        <v>LabaRugi</v>
      </c>
      <c r="L168" s="34" t="str">
        <f aca="false">IF(K168="LabaRugi",INDEX(I_COA!$D$6:$D$265,MATCH(D168,I_COA!$A$6:$A$265,0)),"")</f>
        <v>Revenue - Trading</v>
      </c>
      <c r="M168" s="34" t="str">
        <f aca="false">IF(K168="Neraca",INDEX(I_COA!$E$6:$E$265,MATCH(D168,I_COA!$A$6:$A$265,0)),"")</f>
        <v/>
      </c>
      <c r="N168" s="34" t="str">
        <f aca="false">IF(D168="","",IFERROR(INDEX(I_COA!$G$6:$G$265,MATCH(D168,I_COA!$A$6:$A$265,0)),"N"))</f>
        <v>N</v>
      </c>
      <c r="O168" s="11" t="n">
        <f aca="false">IF(N168="N",ABS(J168),"")</f>
        <v>29789100</v>
      </c>
      <c r="P168" s="18" t="str">
        <f aca="false">IF(N168="N",B168&amp;"|"&amp;ROUND(O168,0),"")</f>
        <v>KGR26/0207|29789100</v>
      </c>
      <c r="Q168" s="18" t="str">
        <f aca="false">IF(N168&lt;&gt;"Y","",IFERROR(INDEX($D$6:$D$4005,MATCH(B168&amp;"|"&amp;ROUND(_xlfn.MAXIFS($O$6:$O$4005,$B$6:$B$4005,B168,$N$6:$N$4005,"N"),0),$P$6:$P$4005,0)),"(tanpa lawan)"))</f>
        <v/>
      </c>
      <c r="R168" s="44"/>
      <c r="S168" s="9" t="str">
        <f aca="false">IF(N168&lt;&gt;"Y","",IF(R168&lt;&gt;"",R168,IF(Q168="(tanpa lawan)","Transfer antar rekening",IFERROR(INDEX(I_COA!$F$6:$F$265,MATCH(Q168,I_COA!$A$6:$A$265,0)),"?"))))</f>
        <v/>
      </c>
    </row>
    <row r="169" customFormat="false" ht="15" hidden="false" customHeight="false" outlineLevel="0" collapsed="false">
      <c r="A169" s="37" t="n">
        <v>46238</v>
      </c>
      <c r="B169" s="44" t="s">
        <v>758</v>
      </c>
      <c r="C169" s="44" t="s">
        <v>617</v>
      </c>
      <c r="D169" s="44" t="n">
        <v>5100011</v>
      </c>
      <c r="E169" s="44" t="s">
        <v>166</v>
      </c>
      <c r="F169" s="44" t="s">
        <v>759</v>
      </c>
      <c r="G169" s="42" t="n">
        <v>32400606.29</v>
      </c>
      <c r="H169" s="42"/>
      <c r="I169" s="44" t="s">
        <v>432</v>
      </c>
      <c r="J169" s="11" t="n">
        <f aca="false">IF(D169="","",N(G169)-N(H169))</f>
        <v>32400606.29</v>
      </c>
      <c r="K169" s="34" t="str">
        <f aca="false">IF(D169="","",IFERROR(INDEX(I_COA!$C$6:$C$265,MATCH(D169,I_COA!$A$6:$A$265,0)),"AKUN BARU"))</f>
        <v>LabaRugi</v>
      </c>
      <c r="L169" s="34" t="str">
        <f aca="false">IF(K169="LabaRugi",INDEX(I_COA!$D$6:$D$265,MATCH(D169,I_COA!$A$6:$A$265,0)),"")</f>
        <v>COGS - Trading</v>
      </c>
      <c r="M169" s="34" t="str">
        <f aca="false">IF(K169="Neraca",INDEX(I_COA!$E$6:$E$265,MATCH(D169,I_COA!$A$6:$A$265,0)),"")</f>
        <v/>
      </c>
      <c r="N169" s="34" t="str">
        <f aca="false">IF(D169="","",IFERROR(INDEX(I_COA!$G$6:$G$265,MATCH(D169,I_COA!$A$6:$A$265,0)),"N"))</f>
        <v>N</v>
      </c>
      <c r="O169" s="11" t="n">
        <f aca="false">IF(N169="N",ABS(J169),"")</f>
        <v>32400606.29</v>
      </c>
      <c r="P169" s="18" t="str">
        <f aca="false">IF(N169="N",B169&amp;"|"&amp;ROUND(O169,0),"")</f>
        <v>KGR26/0207|32400606</v>
      </c>
      <c r="Q169" s="18" t="str">
        <f aca="false">IF(N169&lt;&gt;"Y","",IFERROR(INDEX($D$6:$D$4005,MATCH(B169&amp;"|"&amp;ROUND(_xlfn.MAXIFS($O$6:$O$4005,$B$6:$B$4005,B169,$N$6:$N$4005,"N"),0),$P$6:$P$4005,0)),"(tanpa lawan)"))</f>
        <v/>
      </c>
      <c r="R169" s="44"/>
      <c r="S169" s="9" t="str">
        <f aca="false">IF(N169&lt;&gt;"Y","",IF(R169&lt;&gt;"",R169,IF(Q169="(tanpa lawan)","Transfer antar rekening",IFERROR(INDEX(I_COA!$F$6:$F$265,MATCH(Q169,I_COA!$A$6:$A$265,0)),"?"))))</f>
        <v/>
      </c>
    </row>
    <row r="170" customFormat="false" ht="15" hidden="false" customHeight="false" outlineLevel="0" collapsed="false">
      <c r="A170" s="37" t="n">
        <v>46238</v>
      </c>
      <c r="B170" s="44" t="s">
        <v>758</v>
      </c>
      <c r="C170" s="44" t="s">
        <v>617</v>
      </c>
      <c r="D170" s="44" t="n">
        <v>1104002</v>
      </c>
      <c r="E170" s="44" t="s">
        <v>601</v>
      </c>
      <c r="F170" s="44" t="s">
        <v>759</v>
      </c>
      <c r="G170" s="42"/>
      <c r="H170" s="42" t="n">
        <v>32400606.29</v>
      </c>
      <c r="I170" s="44" t="s">
        <v>432</v>
      </c>
      <c r="J170" s="11" t="n">
        <f aca="false">IF(D170="","",N(G170)-N(H170))</f>
        <v>-32400606.29</v>
      </c>
      <c r="K170" s="34" t="str">
        <f aca="false">IF(D170="","",IFERROR(INDEX(I_COA!$C$6:$C$265,MATCH(D170,I_COA!$A$6:$A$265,0)),"AKUN BARU"))</f>
        <v>Neraca</v>
      </c>
      <c r="L170" s="34" t="str">
        <f aca="false">IF(K170="LabaRugi",INDEX(I_COA!$D$6:$D$265,MATCH(D170,I_COA!$A$6:$A$265,0)),"")</f>
        <v/>
      </c>
      <c r="M170" s="34" t="str">
        <f aca="false">IF(K170="Neraca",INDEX(I_COA!$E$6:$E$265,MATCH(D170,I_COA!$A$6:$A$265,0)),"")</f>
        <v>Inventory - Product</v>
      </c>
      <c r="N170" s="34" t="str">
        <f aca="false">IF(D170="","",IFERROR(INDEX(I_COA!$G$6:$G$265,MATCH(D170,I_COA!$A$6:$A$265,0)),"N"))</f>
        <v>N</v>
      </c>
      <c r="O170" s="11" t="n">
        <f aca="false">IF(N170="N",ABS(J170),"")</f>
        <v>32400606.29</v>
      </c>
      <c r="P170" s="18" t="str">
        <f aca="false">IF(N170="N",B170&amp;"|"&amp;ROUND(O170,0),"")</f>
        <v>KGR26/0207|32400606</v>
      </c>
      <c r="Q170" s="18" t="str">
        <f aca="false">IF(N170&lt;&gt;"Y","",IFERROR(INDEX($D$6:$D$4005,MATCH(B170&amp;"|"&amp;ROUND(_xlfn.MAXIFS($O$6:$O$4005,$B$6:$B$4005,B170,$N$6:$N$4005,"N"),0),$P$6:$P$4005,0)),"(tanpa lawan)"))</f>
        <v/>
      </c>
      <c r="R170" s="44"/>
      <c r="S170" s="9" t="str">
        <f aca="false">IF(N170&lt;&gt;"Y","",IF(R170&lt;&gt;"",R170,IF(Q170="(tanpa lawan)","Transfer antar rekening",IFERROR(INDEX(I_COA!$F$6:$F$265,MATCH(Q170,I_COA!$A$6:$A$265,0)),"?"))))</f>
        <v/>
      </c>
    </row>
    <row r="171" customFormat="false" ht="15" hidden="false" customHeight="false" outlineLevel="0" collapsed="false">
      <c r="A171" s="37" t="n">
        <v>46238</v>
      </c>
      <c r="B171" s="44" t="s">
        <v>760</v>
      </c>
      <c r="C171" s="44" t="s">
        <v>617</v>
      </c>
      <c r="D171" s="44" t="n">
        <v>1103101</v>
      </c>
      <c r="E171" s="44" t="s">
        <v>589</v>
      </c>
      <c r="F171" s="44" t="s">
        <v>761</v>
      </c>
      <c r="G171" s="42" t="n">
        <v>76064320</v>
      </c>
      <c r="H171" s="42"/>
      <c r="I171" s="44" t="s">
        <v>603</v>
      </c>
      <c r="J171" s="11" t="n">
        <f aca="false">IF(D171="","",N(G171)-N(H171))</f>
        <v>76064320</v>
      </c>
      <c r="K171" s="34" t="str">
        <f aca="false">IF(D171="","",IFERROR(INDEX(I_COA!$C$6:$C$265,MATCH(D171,I_COA!$A$6:$A$265,0)),"AKUN BARU"))</f>
        <v>Neraca</v>
      </c>
      <c r="L171" s="34" t="str">
        <f aca="false">IF(K171="LabaRugi",INDEX(I_COA!$D$6:$D$265,MATCH(D171,I_COA!$A$6:$A$265,0)),"")</f>
        <v/>
      </c>
      <c r="M171" s="34" t="str">
        <f aca="false">IF(K171="Neraca",INDEX(I_COA!$E$6:$E$265,MATCH(D171,I_COA!$A$6:$A$265,0)),"")</f>
        <v>Trade Receivables - Third Parties</v>
      </c>
      <c r="N171" s="34" t="str">
        <f aca="false">IF(D171="","",IFERROR(INDEX(I_COA!$G$6:$G$265,MATCH(D171,I_COA!$A$6:$A$265,0)),"N"))</f>
        <v>N</v>
      </c>
      <c r="O171" s="11" t="n">
        <f aca="false">IF(N171="N",ABS(J171),"")</f>
        <v>76064320</v>
      </c>
      <c r="P171" s="18" t="str">
        <f aca="false">IF(N171="N",B171&amp;"|"&amp;ROUND(O171,0),"")</f>
        <v>KGR26/0208|76064320</v>
      </c>
      <c r="Q171" s="18" t="str">
        <f aca="false">IF(N171&lt;&gt;"Y","",IFERROR(INDEX($D$6:$D$4005,MATCH(B171&amp;"|"&amp;ROUND(_xlfn.MAXIFS($O$6:$O$4005,$B$6:$B$4005,B171,$N$6:$N$4005,"N"),0),$P$6:$P$4005,0)),"(tanpa lawan)"))</f>
        <v/>
      </c>
      <c r="R171" s="44"/>
      <c r="S171" s="9" t="str">
        <f aca="false">IF(N171&lt;&gt;"Y","",IF(R171&lt;&gt;"",R171,IF(Q171="(tanpa lawan)","Transfer antar rekening",IFERROR(INDEX(I_COA!$F$6:$F$265,MATCH(Q171,I_COA!$A$6:$A$265,0)),"?"))))</f>
        <v/>
      </c>
    </row>
    <row r="172" customFormat="false" ht="15" hidden="false" customHeight="false" outlineLevel="0" collapsed="false">
      <c r="A172" s="37" t="n">
        <v>46238</v>
      </c>
      <c r="B172" s="44" t="s">
        <v>760</v>
      </c>
      <c r="C172" s="44" t="s">
        <v>617</v>
      </c>
      <c r="D172" s="44" t="n">
        <v>4101012</v>
      </c>
      <c r="E172" s="44" t="s">
        <v>619</v>
      </c>
      <c r="F172" s="44" t="s">
        <v>761</v>
      </c>
      <c r="G172" s="42"/>
      <c r="H172" s="42" t="n">
        <v>76064320</v>
      </c>
      <c r="I172" s="44" t="s">
        <v>603</v>
      </c>
      <c r="J172" s="11" t="n">
        <f aca="false">IF(D172="","",N(G172)-N(H172))</f>
        <v>-76064320</v>
      </c>
      <c r="K172" s="34" t="str">
        <f aca="false">IF(D172="","",IFERROR(INDEX(I_COA!$C$6:$C$265,MATCH(D172,I_COA!$A$6:$A$265,0)),"AKUN BARU"))</f>
        <v>LabaRugi</v>
      </c>
      <c r="L172" s="34" t="str">
        <f aca="false">IF(K172="LabaRugi",INDEX(I_COA!$D$6:$D$265,MATCH(D172,I_COA!$A$6:$A$265,0)),"")</f>
        <v>Revenue - Trading</v>
      </c>
      <c r="M172" s="34" t="str">
        <f aca="false">IF(K172="Neraca",INDEX(I_COA!$E$6:$E$265,MATCH(D172,I_COA!$A$6:$A$265,0)),"")</f>
        <v/>
      </c>
      <c r="N172" s="34" t="str">
        <f aca="false">IF(D172="","",IFERROR(INDEX(I_COA!$G$6:$G$265,MATCH(D172,I_COA!$A$6:$A$265,0)),"N"))</f>
        <v>N</v>
      </c>
      <c r="O172" s="11" t="n">
        <f aca="false">IF(N172="N",ABS(J172),"")</f>
        <v>76064320</v>
      </c>
      <c r="P172" s="18" t="str">
        <f aca="false">IF(N172="N",B172&amp;"|"&amp;ROUND(O172,0),"")</f>
        <v>KGR26/0208|76064320</v>
      </c>
      <c r="Q172" s="18" t="str">
        <f aca="false">IF(N172&lt;&gt;"Y","",IFERROR(INDEX($D$6:$D$4005,MATCH(B172&amp;"|"&amp;ROUND(_xlfn.MAXIFS($O$6:$O$4005,$B$6:$B$4005,B172,$N$6:$N$4005,"N"),0),$P$6:$P$4005,0)),"(tanpa lawan)"))</f>
        <v/>
      </c>
      <c r="R172" s="44"/>
      <c r="S172" s="9" t="str">
        <f aca="false">IF(N172&lt;&gt;"Y","",IF(R172&lt;&gt;"",R172,IF(Q172="(tanpa lawan)","Transfer antar rekening",IFERROR(INDEX(I_COA!$F$6:$F$265,MATCH(Q172,I_COA!$A$6:$A$265,0)),"?"))))</f>
        <v/>
      </c>
    </row>
    <row r="173" customFormat="false" ht="15" hidden="false" customHeight="false" outlineLevel="0" collapsed="false">
      <c r="A173" s="37" t="n">
        <v>46238</v>
      </c>
      <c r="B173" s="44" t="s">
        <v>760</v>
      </c>
      <c r="C173" s="44" t="s">
        <v>617</v>
      </c>
      <c r="D173" s="44" t="n">
        <v>5100011</v>
      </c>
      <c r="E173" s="44" t="s">
        <v>166</v>
      </c>
      <c r="F173" s="44" t="s">
        <v>761</v>
      </c>
      <c r="G173" s="42" t="n">
        <v>64318121.64</v>
      </c>
      <c r="H173" s="42"/>
      <c r="I173" s="44" t="s">
        <v>603</v>
      </c>
      <c r="J173" s="11" t="n">
        <f aca="false">IF(D173="","",N(G173)-N(H173))</f>
        <v>64318121.64</v>
      </c>
      <c r="K173" s="34" t="str">
        <f aca="false">IF(D173="","",IFERROR(INDEX(I_COA!$C$6:$C$265,MATCH(D173,I_COA!$A$6:$A$265,0)),"AKUN BARU"))</f>
        <v>LabaRugi</v>
      </c>
      <c r="L173" s="34" t="str">
        <f aca="false">IF(K173="LabaRugi",INDEX(I_COA!$D$6:$D$265,MATCH(D173,I_COA!$A$6:$A$265,0)),"")</f>
        <v>COGS - Trading</v>
      </c>
      <c r="M173" s="34" t="str">
        <f aca="false">IF(K173="Neraca",INDEX(I_COA!$E$6:$E$265,MATCH(D173,I_COA!$A$6:$A$265,0)),"")</f>
        <v/>
      </c>
      <c r="N173" s="34" t="str">
        <f aca="false">IF(D173="","",IFERROR(INDEX(I_COA!$G$6:$G$265,MATCH(D173,I_COA!$A$6:$A$265,0)),"N"))</f>
        <v>N</v>
      </c>
      <c r="O173" s="11" t="n">
        <f aca="false">IF(N173="N",ABS(J173),"")</f>
        <v>64318121.64</v>
      </c>
      <c r="P173" s="18" t="str">
        <f aca="false">IF(N173="N",B173&amp;"|"&amp;ROUND(O173,0),"")</f>
        <v>KGR26/0208|64318122</v>
      </c>
      <c r="Q173" s="18" t="str">
        <f aca="false">IF(N173&lt;&gt;"Y","",IFERROR(INDEX($D$6:$D$4005,MATCH(B173&amp;"|"&amp;ROUND(_xlfn.MAXIFS($O$6:$O$4005,$B$6:$B$4005,B173,$N$6:$N$4005,"N"),0),$P$6:$P$4005,0)),"(tanpa lawan)"))</f>
        <v/>
      </c>
      <c r="R173" s="44"/>
      <c r="S173" s="9" t="str">
        <f aca="false">IF(N173&lt;&gt;"Y","",IF(R173&lt;&gt;"",R173,IF(Q173="(tanpa lawan)","Transfer antar rekening",IFERROR(INDEX(I_COA!$F$6:$F$265,MATCH(Q173,I_COA!$A$6:$A$265,0)),"?"))))</f>
        <v/>
      </c>
    </row>
    <row r="174" customFormat="false" ht="15" hidden="false" customHeight="false" outlineLevel="0" collapsed="false">
      <c r="A174" s="37" t="n">
        <v>46238</v>
      </c>
      <c r="B174" s="44" t="s">
        <v>760</v>
      </c>
      <c r="C174" s="44" t="s">
        <v>617</v>
      </c>
      <c r="D174" s="44" t="n">
        <v>1104002</v>
      </c>
      <c r="E174" s="44" t="s">
        <v>601</v>
      </c>
      <c r="F174" s="44" t="s">
        <v>761</v>
      </c>
      <c r="G174" s="42"/>
      <c r="H174" s="42" t="n">
        <v>64318121.64</v>
      </c>
      <c r="I174" s="44" t="s">
        <v>603</v>
      </c>
      <c r="J174" s="11" t="n">
        <f aca="false">IF(D174="","",N(G174)-N(H174))</f>
        <v>-64318121.64</v>
      </c>
      <c r="K174" s="34" t="str">
        <f aca="false">IF(D174="","",IFERROR(INDEX(I_COA!$C$6:$C$265,MATCH(D174,I_COA!$A$6:$A$265,0)),"AKUN BARU"))</f>
        <v>Neraca</v>
      </c>
      <c r="L174" s="34" t="str">
        <f aca="false">IF(K174="LabaRugi",INDEX(I_COA!$D$6:$D$265,MATCH(D174,I_COA!$A$6:$A$265,0)),"")</f>
        <v/>
      </c>
      <c r="M174" s="34" t="str">
        <f aca="false">IF(K174="Neraca",INDEX(I_COA!$E$6:$E$265,MATCH(D174,I_COA!$A$6:$A$265,0)),"")</f>
        <v>Inventory - Product</v>
      </c>
      <c r="N174" s="34" t="str">
        <f aca="false">IF(D174="","",IFERROR(INDEX(I_COA!$G$6:$G$265,MATCH(D174,I_COA!$A$6:$A$265,0)),"N"))</f>
        <v>N</v>
      </c>
      <c r="O174" s="11" t="n">
        <f aca="false">IF(N174="N",ABS(J174),"")</f>
        <v>64318121.64</v>
      </c>
      <c r="P174" s="18" t="str">
        <f aca="false">IF(N174="N",B174&amp;"|"&amp;ROUND(O174,0),"")</f>
        <v>KGR26/0208|64318122</v>
      </c>
      <c r="Q174" s="18" t="str">
        <f aca="false">IF(N174&lt;&gt;"Y","",IFERROR(INDEX($D$6:$D$4005,MATCH(B174&amp;"|"&amp;ROUND(_xlfn.MAXIFS($O$6:$O$4005,$B$6:$B$4005,B174,$N$6:$N$4005,"N"),0),$P$6:$P$4005,0)),"(tanpa lawan)"))</f>
        <v/>
      </c>
      <c r="R174" s="44"/>
      <c r="S174" s="9" t="str">
        <f aca="false">IF(N174&lt;&gt;"Y","",IF(R174&lt;&gt;"",R174,IF(Q174="(tanpa lawan)","Transfer antar rekening",IFERROR(INDEX(I_COA!$F$6:$F$265,MATCH(Q174,I_COA!$A$6:$A$265,0)),"?"))))</f>
        <v/>
      </c>
    </row>
    <row r="175" customFormat="false" ht="15" hidden="false" customHeight="false" outlineLevel="0" collapsed="false">
      <c r="A175" s="37" t="n">
        <v>46238</v>
      </c>
      <c r="B175" s="44" t="s">
        <v>762</v>
      </c>
      <c r="C175" s="44" t="s">
        <v>707</v>
      </c>
      <c r="D175" s="44" t="n">
        <v>2103011</v>
      </c>
      <c r="E175" s="44" t="s">
        <v>693</v>
      </c>
      <c r="F175" s="44" t="s">
        <v>744</v>
      </c>
      <c r="G175" s="42" t="n">
        <v>1120223350</v>
      </c>
      <c r="H175" s="42"/>
      <c r="I175" s="44" t="s">
        <v>597</v>
      </c>
      <c r="J175" s="11" t="n">
        <f aca="false">IF(D175="","",N(G175)-N(H175))</f>
        <v>1120223350</v>
      </c>
      <c r="K175" s="34" t="str">
        <f aca="false">IF(D175="","",IFERROR(INDEX(I_COA!$C$6:$C$265,MATCH(D175,I_COA!$A$6:$A$265,0)),"AKUN BARU"))</f>
        <v>Neraca</v>
      </c>
      <c r="L175" s="34" t="str">
        <f aca="false">IF(K175="LabaRugi",INDEX(I_COA!$D$6:$D$265,MATCH(D175,I_COA!$A$6:$A$265,0)),"")</f>
        <v/>
      </c>
      <c r="M175" s="34" t="str">
        <f aca="false">IF(K175="Neraca",INDEX(I_COA!$E$6:$E$265,MATCH(D175,I_COA!$A$6:$A$265,0)),"")</f>
        <v>Accrued Expenses - Third Parties</v>
      </c>
      <c r="N175" s="34" t="str">
        <f aca="false">IF(D175="","",IFERROR(INDEX(I_COA!$G$6:$G$265,MATCH(D175,I_COA!$A$6:$A$265,0)),"N"))</f>
        <v>N</v>
      </c>
      <c r="O175" s="11" t="n">
        <f aca="false">IF(N175="N",ABS(J175),"")</f>
        <v>1120223350</v>
      </c>
      <c r="P175" s="18" t="str">
        <f aca="false">IF(N175="N",B175&amp;"|"&amp;ROUND(O175,0),"")</f>
        <v>PI26080005|1120223350</v>
      </c>
      <c r="Q175" s="18" t="str">
        <f aca="false">IF(N175&lt;&gt;"Y","",IFERROR(INDEX($D$6:$D$4005,MATCH(B175&amp;"|"&amp;ROUND(_xlfn.MAXIFS($O$6:$O$4005,$B$6:$B$4005,B175,$N$6:$N$4005,"N"),0),$P$6:$P$4005,0)),"(tanpa lawan)"))</f>
        <v/>
      </c>
      <c r="R175" s="44"/>
      <c r="S175" s="9" t="str">
        <f aca="false">IF(N175&lt;&gt;"Y","",IF(R175&lt;&gt;"",R175,IF(Q175="(tanpa lawan)","Transfer antar rekening",IFERROR(INDEX(I_COA!$F$6:$F$265,MATCH(Q175,I_COA!$A$6:$A$265,0)),"?"))))</f>
        <v/>
      </c>
    </row>
    <row r="176" customFormat="false" ht="15" hidden="false" customHeight="false" outlineLevel="0" collapsed="false">
      <c r="A176" s="37" t="n">
        <v>46238</v>
      </c>
      <c r="B176" s="44" t="s">
        <v>762</v>
      </c>
      <c r="C176" s="44" t="s">
        <v>707</v>
      </c>
      <c r="D176" s="44" t="n">
        <v>1103121</v>
      </c>
      <c r="E176" s="44" t="s">
        <v>685</v>
      </c>
      <c r="F176" s="44" t="s">
        <v>744</v>
      </c>
      <c r="G176" s="42"/>
      <c r="H176" s="42" t="n">
        <v>852800000</v>
      </c>
      <c r="I176" s="44" t="s">
        <v>597</v>
      </c>
      <c r="J176" s="11" t="n">
        <f aca="false">IF(D176="","",N(G176)-N(H176))</f>
        <v>-852800000</v>
      </c>
      <c r="K176" s="34" t="str">
        <f aca="false">IF(D176="","",IFERROR(INDEX(I_COA!$C$6:$C$265,MATCH(D176,I_COA!$A$6:$A$265,0)),"AKUN BARU"))</f>
        <v>Neraca</v>
      </c>
      <c r="L176" s="34" t="str">
        <f aca="false">IF(K176="LabaRugi",INDEX(I_COA!$D$6:$D$265,MATCH(D176,I_COA!$A$6:$A$265,0)),"")</f>
        <v/>
      </c>
      <c r="M176" s="34" t="str">
        <f aca="false">IF(K176="Neraca",INDEX(I_COA!$E$6:$E$265,MATCH(D176,I_COA!$A$6:$A$265,0)),"")</f>
        <v>Advance Payment</v>
      </c>
      <c r="N176" s="34" t="str">
        <f aca="false">IF(D176="","",IFERROR(INDEX(I_COA!$G$6:$G$265,MATCH(D176,I_COA!$A$6:$A$265,0)),"N"))</f>
        <v>N</v>
      </c>
      <c r="O176" s="11" t="n">
        <f aca="false">IF(N176="N",ABS(J176),"")</f>
        <v>852800000</v>
      </c>
      <c r="P176" s="18" t="str">
        <f aca="false">IF(N176="N",B176&amp;"|"&amp;ROUND(O176,0),"")</f>
        <v>PI26080005|852800000</v>
      </c>
      <c r="Q176" s="18" t="str">
        <f aca="false">IF(N176&lt;&gt;"Y","",IFERROR(INDEX($D$6:$D$4005,MATCH(B176&amp;"|"&amp;ROUND(_xlfn.MAXIFS($O$6:$O$4005,$B$6:$B$4005,B176,$N$6:$N$4005,"N"),0),$P$6:$P$4005,0)),"(tanpa lawan)"))</f>
        <v/>
      </c>
      <c r="R176" s="44"/>
      <c r="S176" s="9" t="str">
        <f aca="false">IF(N176&lt;&gt;"Y","",IF(R176&lt;&gt;"",R176,IF(Q176="(tanpa lawan)","Transfer antar rekening",IFERROR(INDEX(I_COA!$F$6:$F$265,MATCH(Q176,I_COA!$A$6:$A$265,0)),"?"))))</f>
        <v/>
      </c>
    </row>
    <row r="177" customFormat="false" ht="15" hidden="false" customHeight="false" outlineLevel="0" collapsed="false">
      <c r="A177" s="37" t="n">
        <v>46238</v>
      </c>
      <c r="B177" s="44" t="s">
        <v>762</v>
      </c>
      <c r="C177" s="44" t="s">
        <v>707</v>
      </c>
      <c r="D177" s="44" t="n">
        <v>2101001</v>
      </c>
      <c r="E177" s="44" t="s">
        <v>595</v>
      </c>
      <c r="F177" s="44" t="s">
        <v>744</v>
      </c>
      <c r="G177" s="42"/>
      <c r="H177" s="42" t="n">
        <v>267423350</v>
      </c>
      <c r="I177" s="44" t="s">
        <v>597</v>
      </c>
      <c r="J177" s="11" t="n">
        <f aca="false">IF(D177="","",N(G177)-N(H177))</f>
        <v>-267423350</v>
      </c>
      <c r="K177" s="34" t="str">
        <f aca="false">IF(D177="","",IFERROR(INDEX(I_COA!$C$6:$C$265,MATCH(D177,I_COA!$A$6:$A$265,0)),"AKUN BARU"))</f>
        <v>Neraca</v>
      </c>
      <c r="L177" s="34" t="str">
        <f aca="false">IF(K177="LabaRugi",INDEX(I_COA!$D$6:$D$265,MATCH(D177,I_COA!$A$6:$A$265,0)),"")</f>
        <v/>
      </c>
      <c r="M177" s="34" t="str">
        <f aca="false">IF(K177="Neraca",INDEX(I_COA!$E$6:$E$265,MATCH(D177,I_COA!$A$6:$A$265,0)),"")</f>
        <v>Trade Payables - Third Parties</v>
      </c>
      <c r="N177" s="34" t="str">
        <f aca="false">IF(D177="","",IFERROR(INDEX(I_COA!$G$6:$G$265,MATCH(D177,I_COA!$A$6:$A$265,0)),"N"))</f>
        <v>N</v>
      </c>
      <c r="O177" s="11" t="n">
        <f aca="false">IF(N177="N",ABS(J177),"")</f>
        <v>267423350</v>
      </c>
      <c r="P177" s="18" t="str">
        <f aca="false">IF(N177="N",B177&amp;"|"&amp;ROUND(O177,0),"")</f>
        <v>PI26080005|267423350</v>
      </c>
      <c r="Q177" s="18" t="str">
        <f aca="false">IF(N177&lt;&gt;"Y","",IFERROR(INDEX($D$6:$D$4005,MATCH(B177&amp;"|"&amp;ROUND(_xlfn.MAXIFS($O$6:$O$4005,$B$6:$B$4005,B177,$N$6:$N$4005,"N"),0),$P$6:$P$4005,0)),"(tanpa lawan)"))</f>
        <v/>
      </c>
      <c r="R177" s="44"/>
      <c r="S177" s="9" t="str">
        <f aca="false">IF(N177&lt;&gt;"Y","",IF(R177&lt;&gt;"",R177,IF(Q177="(tanpa lawan)","Transfer antar rekening",IFERROR(INDEX(I_COA!$F$6:$F$265,MATCH(Q177,I_COA!$A$6:$A$265,0)),"?"))))</f>
        <v/>
      </c>
    </row>
    <row r="178" customFormat="false" ht="15" hidden="false" customHeight="false" outlineLevel="0" collapsed="false">
      <c r="A178" s="37" t="n">
        <v>46238</v>
      </c>
      <c r="B178" s="44" t="s">
        <v>763</v>
      </c>
      <c r="C178" s="44" t="s">
        <v>707</v>
      </c>
      <c r="D178" s="44" t="n">
        <v>5100008</v>
      </c>
      <c r="E178" s="44" t="s">
        <v>713</v>
      </c>
      <c r="F178" s="44" t="s">
        <v>764</v>
      </c>
      <c r="G178" s="42" t="n">
        <v>2975000</v>
      </c>
      <c r="H178" s="42"/>
      <c r="I178" s="44" t="s">
        <v>765</v>
      </c>
      <c r="J178" s="11" t="n">
        <f aca="false">IF(D178="","",N(G178)-N(H178))</f>
        <v>2975000</v>
      </c>
      <c r="K178" s="34" t="str">
        <f aca="false">IF(D178="","",IFERROR(INDEX(I_COA!$C$6:$C$265,MATCH(D178,I_COA!$A$6:$A$265,0)),"AKUN BARU"))</f>
        <v>LabaRugi</v>
      </c>
      <c r="L178" s="34" t="str">
        <f aca="false">IF(K178="LabaRugi",INDEX(I_COA!$D$6:$D$265,MATCH(D178,I_COA!$A$6:$A$265,0)),"")</f>
        <v>Packaging</v>
      </c>
      <c r="M178" s="34" t="str">
        <f aca="false">IF(K178="Neraca",INDEX(I_COA!$E$6:$E$265,MATCH(D178,I_COA!$A$6:$A$265,0)),"")</f>
        <v/>
      </c>
      <c r="N178" s="34" t="str">
        <f aca="false">IF(D178="","",IFERROR(INDEX(I_COA!$G$6:$G$265,MATCH(D178,I_COA!$A$6:$A$265,0)),"N"))</f>
        <v>N</v>
      </c>
      <c r="O178" s="11" t="n">
        <f aca="false">IF(N178="N",ABS(J178),"")</f>
        <v>2975000</v>
      </c>
      <c r="P178" s="18" t="str">
        <f aca="false">IF(N178="N",B178&amp;"|"&amp;ROUND(O178,0),"")</f>
        <v>PI26080014|2975000</v>
      </c>
      <c r="Q178" s="18" t="str">
        <f aca="false">IF(N178&lt;&gt;"Y","",IFERROR(INDEX($D$6:$D$4005,MATCH(B178&amp;"|"&amp;ROUND(_xlfn.MAXIFS($O$6:$O$4005,$B$6:$B$4005,B178,$N$6:$N$4005,"N"),0),$P$6:$P$4005,0)),"(tanpa lawan)"))</f>
        <v/>
      </c>
      <c r="R178" s="44"/>
      <c r="S178" s="9" t="str">
        <f aca="false">IF(N178&lt;&gt;"Y","",IF(R178&lt;&gt;"",R178,IF(Q178="(tanpa lawan)","Transfer antar rekening",IFERROR(INDEX(I_COA!$F$6:$F$265,MATCH(Q178,I_COA!$A$6:$A$265,0)),"?"))))</f>
        <v/>
      </c>
    </row>
    <row r="179" customFormat="false" ht="15" hidden="false" customHeight="false" outlineLevel="0" collapsed="false">
      <c r="A179" s="37" t="n">
        <v>46238</v>
      </c>
      <c r="B179" s="44" t="s">
        <v>763</v>
      </c>
      <c r="C179" s="44" t="s">
        <v>707</v>
      </c>
      <c r="D179" s="44" t="n">
        <v>2101003</v>
      </c>
      <c r="E179" s="44" t="s">
        <v>679</v>
      </c>
      <c r="F179" s="44" t="s">
        <v>764</v>
      </c>
      <c r="G179" s="42"/>
      <c r="H179" s="42" t="n">
        <v>2975000</v>
      </c>
      <c r="I179" s="44" t="s">
        <v>765</v>
      </c>
      <c r="J179" s="11" t="n">
        <f aca="false">IF(D179="","",N(G179)-N(H179))</f>
        <v>-2975000</v>
      </c>
      <c r="K179" s="34" t="str">
        <f aca="false">IF(D179="","",IFERROR(INDEX(I_COA!$C$6:$C$265,MATCH(D179,I_COA!$A$6:$A$265,0)),"AKUN BARU"))</f>
        <v>Neraca</v>
      </c>
      <c r="L179" s="34" t="str">
        <f aca="false">IF(K179="LabaRugi",INDEX(I_COA!$D$6:$D$265,MATCH(D179,I_COA!$A$6:$A$265,0)),"")</f>
        <v/>
      </c>
      <c r="M179" s="34" t="str">
        <f aca="false">IF(K179="Neraca",INDEX(I_COA!$E$6:$E$265,MATCH(D179,I_COA!$A$6:$A$265,0)),"")</f>
        <v>Other Payable - Third Parties</v>
      </c>
      <c r="N179" s="34" t="str">
        <f aca="false">IF(D179="","",IFERROR(INDEX(I_COA!$G$6:$G$265,MATCH(D179,I_COA!$A$6:$A$265,0)),"N"))</f>
        <v>N</v>
      </c>
      <c r="O179" s="11" t="n">
        <f aca="false">IF(N179="N",ABS(J179),"")</f>
        <v>2975000</v>
      </c>
      <c r="P179" s="18" t="str">
        <f aca="false">IF(N179="N",B179&amp;"|"&amp;ROUND(O179,0),"")</f>
        <v>PI26080014|2975000</v>
      </c>
      <c r="Q179" s="18" t="str">
        <f aca="false">IF(N179&lt;&gt;"Y","",IFERROR(INDEX($D$6:$D$4005,MATCH(B179&amp;"|"&amp;ROUND(_xlfn.MAXIFS($O$6:$O$4005,$B$6:$B$4005,B179,$N$6:$N$4005,"N"),0),$P$6:$P$4005,0)),"(tanpa lawan)"))</f>
        <v/>
      </c>
      <c r="R179" s="44"/>
      <c r="S179" s="9" t="str">
        <f aca="false">IF(N179&lt;&gt;"Y","",IF(R179&lt;&gt;"",R179,IF(Q179="(tanpa lawan)","Transfer antar rekening",IFERROR(INDEX(I_COA!$F$6:$F$265,MATCH(Q179,I_COA!$A$6:$A$265,0)),"?"))))</f>
        <v/>
      </c>
    </row>
    <row r="180" customFormat="false" ht="15" hidden="false" customHeight="false" outlineLevel="0" collapsed="false">
      <c r="A180" s="37" t="n">
        <v>46239</v>
      </c>
      <c r="B180" s="44" t="s">
        <v>766</v>
      </c>
      <c r="C180" s="44" t="s">
        <v>585</v>
      </c>
      <c r="D180" s="44" t="n">
        <v>1102001</v>
      </c>
      <c r="E180" s="44" t="s">
        <v>586</v>
      </c>
      <c r="F180" s="44" t="s">
        <v>767</v>
      </c>
      <c r="G180" s="42" t="n">
        <v>76323200</v>
      </c>
      <c r="H180" s="42"/>
      <c r="I180" s="44" t="s">
        <v>437</v>
      </c>
      <c r="J180" s="11" t="n">
        <f aca="false">IF(D180="","",N(G180)-N(H180))</f>
        <v>76323200</v>
      </c>
      <c r="K180" s="34" t="str">
        <f aca="false">IF(D180="","",IFERROR(INDEX(I_COA!$C$6:$C$265,MATCH(D180,I_COA!$A$6:$A$265,0)),"AKUN BARU"))</f>
        <v>Neraca</v>
      </c>
      <c r="L180" s="34" t="str">
        <f aca="false">IF(K180="LabaRugi",INDEX(I_COA!$D$6:$D$265,MATCH(D180,I_COA!$A$6:$A$265,0)),"")</f>
        <v/>
      </c>
      <c r="M180" s="34" t="str">
        <f aca="false">IF(K180="Neraca",INDEX(I_COA!$E$6:$E$265,MATCH(D180,I_COA!$A$6:$A$265,0)),"")</f>
        <v>Cash and cash equivalents</v>
      </c>
      <c r="N180" s="34" t="str">
        <f aca="false">IF(D180="","",IFERROR(INDEX(I_COA!$G$6:$G$265,MATCH(D180,I_COA!$A$6:$A$265,0)),"N"))</f>
        <v>Y</v>
      </c>
      <c r="O180" s="11" t="str">
        <f aca="false">IF(N180="N",ABS(J180),"")</f>
        <v/>
      </c>
      <c r="P180" s="18" t="str">
        <f aca="false">IF(N180="N",B180&amp;"|"&amp;ROUND(O180,0),"")</f>
        <v/>
      </c>
      <c r="Q180" s="18" t="n">
        <f aca="false">IF(N180&lt;&gt;"Y","",IFERROR(INDEX($D$6:$D$4005,MATCH(B180&amp;"|"&amp;ROUND(_xlfn.MAXIFS($O$6:$O$4005,$B$6:$B$4005,B180,$N$6:$N$4005,"N"),0),$P$6:$P$4005,0)),"(tanpa lawan)"))</f>
        <v>1103101</v>
      </c>
      <c r="R180" s="44"/>
      <c r="S180" s="9" t="str">
        <f aca="false">IF(N180&lt;&gt;"Y","",IF(R180&lt;&gt;"",R180,IF(Q180="(tanpa lawan)","Transfer antar rekening",IFERROR(INDEX(I_COA!$F$6:$F$265,MATCH(Q180,I_COA!$A$6:$A$265,0)),"?"))))</f>
        <v>Penerimaan dari pelanggan</v>
      </c>
    </row>
    <row r="181" customFormat="false" ht="15" hidden="false" customHeight="false" outlineLevel="0" collapsed="false">
      <c r="A181" s="37" t="n">
        <v>46239</v>
      </c>
      <c r="B181" s="44" t="s">
        <v>766</v>
      </c>
      <c r="C181" s="44" t="s">
        <v>585</v>
      </c>
      <c r="D181" s="44" t="n">
        <v>1103101</v>
      </c>
      <c r="E181" s="44" t="s">
        <v>589</v>
      </c>
      <c r="F181" s="44" t="s">
        <v>767</v>
      </c>
      <c r="G181" s="42"/>
      <c r="H181" s="42" t="n">
        <v>76323200</v>
      </c>
      <c r="I181" s="44" t="s">
        <v>437</v>
      </c>
      <c r="J181" s="11" t="n">
        <f aca="false">IF(D181="","",N(G181)-N(H181))</f>
        <v>-76323200</v>
      </c>
      <c r="K181" s="34" t="str">
        <f aca="false">IF(D181="","",IFERROR(INDEX(I_COA!$C$6:$C$265,MATCH(D181,I_COA!$A$6:$A$265,0)),"AKUN BARU"))</f>
        <v>Neraca</v>
      </c>
      <c r="L181" s="34" t="str">
        <f aca="false">IF(K181="LabaRugi",INDEX(I_COA!$D$6:$D$265,MATCH(D181,I_COA!$A$6:$A$265,0)),"")</f>
        <v/>
      </c>
      <c r="M181" s="34" t="str">
        <f aca="false">IF(K181="Neraca",INDEX(I_COA!$E$6:$E$265,MATCH(D181,I_COA!$A$6:$A$265,0)),"")</f>
        <v>Trade Receivables - Third Parties</v>
      </c>
      <c r="N181" s="34" t="str">
        <f aca="false">IF(D181="","",IFERROR(INDEX(I_COA!$G$6:$G$265,MATCH(D181,I_COA!$A$6:$A$265,0)),"N"))</f>
        <v>N</v>
      </c>
      <c r="O181" s="11" t="n">
        <f aca="false">IF(N181="N",ABS(J181),"")</f>
        <v>76323200</v>
      </c>
      <c r="P181" s="18" t="str">
        <f aca="false">IF(N181="N",B181&amp;"|"&amp;ROUND(O181,0),"")</f>
        <v>B7626080014|76323200</v>
      </c>
      <c r="Q181" s="18" t="str">
        <f aca="false">IF(N181&lt;&gt;"Y","",IFERROR(INDEX($D$6:$D$4005,MATCH(B181&amp;"|"&amp;ROUND(_xlfn.MAXIFS($O$6:$O$4005,$B$6:$B$4005,B181,$N$6:$N$4005,"N"),0),$P$6:$P$4005,0)),"(tanpa lawan)"))</f>
        <v/>
      </c>
      <c r="R181" s="44"/>
      <c r="S181" s="9" t="str">
        <f aca="false">IF(N181&lt;&gt;"Y","",IF(R181&lt;&gt;"",R181,IF(Q181="(tanpa lawan)","Transfer antar rekening",IFERROR(INDEX(I_COA!$F$6:$F$265,MATCH(Q181,I_COA!$A$6:$A$265,0)),"?"))))</f>
        <v/>
      </c>
    </row>
    <row r="182" customFormat="false" ht="15" hidden="false" customHeight="false" outlineLevel="0" collapsed="false">
      <c r="A182" s="37" t="n">
        <v>46239</v>
      </c>
      <c r="B182" s="44" t="s">
        <v>768</v>
      </c>
      <c r="C182" s="44" t="s">
        <v>585</v>
      </c>
      <c r="D182" s="44" t="n">
        <v>1102001</v>
      </c>
      <c r="E182" s="44" t="s">
        <v>586</v>
      </c>
      <c r="F182" s="44" t="s">
        <v>769</v>
      </c>
      <c r="G182" s="42" t="n">
        <v>76064320</v>
      </c>
      <c r="H182" s="42"/>
      <c r="I182" s="44" t="s">
        <v>603</v>
      </c>
      <c r="J182" s="11" t="n">
        <f aca="false">IF(D182="","",N(G182)-N(H182))</f>
        <v>76064320</v>
      </c>
      <c r="K182" s="34" t="str">
        <f aca="false">IF(D182="","",IFERROR(INDEX(I_COA!$C$6:$C$265,MATCH(D182,I_COA!$A$6:$A$265,0)),"AKUN BARU"))</f>
        <v>Neraca</v>
      </c>
      <c r="L182" s="34" t="str">
        <f aca="false">IF(K182="LabaRugi",INDEX(I_COA!$D$6:$D$265,MATCH(D182,I_COA!$A$6:$A$265,0)),"")</f>
        <v/>
      </c>
      <c r="M182" s="34" t="str">
        <f aca="false">IF(K182="Neraca",INDEX(I_COA!$E$6:$E$265,MATCH(D182,I_COA!$A$6:$A$265,0)),"")</f>
        <v>Cash and cash equivalents</v>
      </c>
      <c r="N182" s="34" t="str">
        <f aca="false">IF(D182="","",IFERROR(INDEX(I_COA!$G$6:$G$265,MATCH(D182,I_COA!$A$6:$A$265,0)),"N"))</f>
        <v>Y</v>
      </c>
      <c r="O182" s="11" t="str">
        <f aca="false">IF(N182="N",ABS(J182),"")</f>
        <v/>
      </c>
      <c r="P182" s="18" t="str">
        <f aca="false">IF(N182="N",B182&amp;"|"&amp;ROUND(O182,0),"")</f>
        <v/>
      </c>
      <c r="Q182" s="18" t="n">
        <f aca="false">IF(N182&lt;&gt;"Y","",IFERROR(INDEX($D$6:$D$4005,MATCH(B182&amp;"|"&amp;ROUND(_xlfn.MAXIFS($O$6:$O$4005,$B$6:$B$4005,B182,$N$6:$N$4005,"N"),0),$P$6:$P$4005,0)),"(tanpa lawan)"))</f>
        <v>1103101</v>
      </c>
      <c r="R182" s="44"/>
      <c r="S182" s="9" t="str">
        <f aca="false">IF(N182&lt;&gt;"Y","",IF(R182&lt;&gt;"",R182,IF(Q182="(tanpa lawan)","Transfer antar rekening",IFERROR(INDEX(I_COA!$F$6:$F$265,MATCH(Q182,I_COA!$A$6:$A$265,0)),"?"))))</f>
        <v>Penerimaan dari pelanggan</v>
      </c>
    </row>
    <row r="183" customFormat="false" ht="15" hidden="false" customHeight="false" outlineLevel="0" collapsed="false">
      <c r="A183" s="37" t="n">
        <v>46239</v>
      </c>
      <c r="B183" s="44" t="s">
        <v>768</v>
      </c>
      <c r="C183" s="44" t="s">
        <v>585</v>
      </c>
      <c r="D183" s="44" t="n">
        <v>1103101</v>
      </c>
      <c r="E183" s="44" t="s">
        <v>589</v>
      </c>
      <c r="F183" s="44" t="s">
        <v>769</v>
      </c>
      <c r="G183" s="42"/>
      <c r="H183" s="42" t="n">
        <v>76064320</v>
      </c>
      <c r="I183" s="44" t="s">
        <v>603</v>
      </c>
      <c r="J183" s="11" t="n">
        <f aca="false">IF(D183="","",N(G183)-N(H183))</f>
        <v>-76064320</v>
      </c>
      <c r="K183" s="34" t="str">
        <f aca="false">IF(D183="","",IFERROR(INDEX(I_COA!$C$6:$C$265,MATCH(D183,I_COA!$A$6:$A$265,0)),"AKUN BARU"))</f>
        <v>Neraca</v>
      </c>
      <c r="L183" s="34" t="str">
        <f aca="false">IF(K183="LabaRugi",INDEX(I_COA!$D$6:$D$265,MATCH(D183,I_COA!$A$6:$A$265,0)),"")</f>
        <v/>
      </c>
      <c r="M183" s="34" t="str">
        <f aca="false">IF(K183="Neraca",INDEX(I_COA!$E$6:$E$265,MATCH(D183,I_COA!$A$6:$A$265,0)),"")</f>
        <v>Trade Receivables - Third Parties</v>
      </c>
      <c r="N183" s="34" t="str">
        <f aca="false">IF(D183="","",IFERROR(INDEX(I_COA!$G$6:$G$265,MATCH(D183,I_COA!$A$6:$A$265,0)),"N"))</f>
        <v>N</v>
      </c>
      <c r="O183" s="11" t="n">
        <f aca="false">IF(N183="N",ABS(J183),"")</f>
        <v>76064320</v>
      </c>
      <c r="P183" s="18" t="str">
        <f aca="false">IF(N183="N",B183&amp;"|"&amp;ROUND(O183,0),"")</f>
        <v>B7626080015|76064320</v>
      </c>
      <c r="Q183" s="18" t="str">
        <f aca="false">IF(N183&lt;&gt;"Y","",IFERROR(INDEX($D$6:$D$4005,MATCH(B183&amp;"|"&amp;ROUND(_xlfn.MAXIFS($O$6:$O$4005,$B$6:$B$4005,B183,$N$6:$N$4005,"N"),0),$P$6:$P$4005,0)),"(tanpa lawan)"))</f>
        <v/>
      </c>
      <c r="R183" s="44"/>
      <c r="S183" s="9" t="str">
        <f aca="false">IF(N183&lt;&gt;"Y","",IF(R183&lt;&gt;"",R183,IF(Q183="(tanpa lawan)","Transfer antar rekening",IFERROR(INDEX(I_COA!$F$6:$F$265,MATCH(Q183,I_COA!$A$6:$A$265,0)),"?"))))</f>
        <v/>
      </c>
    </row>
    <row r="184" customFormat="false" ht="15" hidden="false" customHeight="false" outlineLevel="0" collapsed="false">
      <c r="A184" s="37" t="n">
        <v>46239</v>
      </c>
      <c r="B184" s="44" t="s">
        <v>770</v>
      </c>
      <c r="C184" s="44" t="s">
        <v>585</v>
      </c>
      <c r="D184" s="44" t="n">
        <v>1102001</v>
      </c>
      <c r="E184" s="44" t="s">
        <v>586</v>
      </c>
      <c r="F184" s="44" t="s">
        <v>771</v>
      </c>
      <c r="G184" s="42" t="n">
        <v>77987700</v>
      </c>
      <c r="H184" s="42"/>
      <c r="I184" s="44" t="s">
        <v>432</v>
      </c>
      <c r="J184" s="11" t="n">
        <f aca="false">IF(D184="","",N(G184)-N(H184))</f>
        <v>77987700</v>
      </c>
      <c r="K184" s="34" t="str">
        <f aca="false">IF(D184="","",IFERROR(INDEX(I_COA!$C$6:$C$265,MATCH(D184,I_COA!$A$6:$A$265,0)),"AKUN BARU"))</f>
        <v>Neraca</v>
      </c>
      <c r="L184" s="34" t="str">
        <f aca="false">IF(K184="LabaRugi",INDEX(I_COA!$D$6:$D$265,MATCH(D184,I_COA!$A$6:$A$265,0)),"")</f>
        <v/>
      </c>
      <c r="M184" s="34" t="str">
        <f aca="false">IF(K184="Neraca",INDEX(I_COA!$E$6:$E$265,MATCH(D184,I_COA!$A$6:$A$265,0)),"")</f>
        <v>Cash and cash equivalents</v>
      </c>
      <c r="N184" s="34" t="str">
        <f aca="false">IF(D184="","",IFERROR(INDEX(I_COA!$G$6:$G$265,MATCH(D184,I_COA!$A$6:$A$265,0)),"N"))</f>
        <v>Y</v>
      </c>
      <c r="O184" s="11" t="str">
        <f aca="false">IF(N184="N",ABS(J184),"")</f>
        <v/>
      </c>
      <c r="P184" s="18" t="str">
        <f aca="false">IF(N184="N",B184&amp;"|"&amp;ROUND(O184,0),"")</f>
        <v/>
      </c>
      <c r="Q184" s="18" t="n">
        <f aca="false">IF(N184&lt;&gt;"Y","",IFERROR(INDEX($D$6:$D$4005,MATCH(B184&amp;"|"&amp;ROUND(_xlfn.MAXIFS($O$6:$O$4005,$B$6:$B$4005,B184,$N$6:$N$4005,"N"),0),$P$6:$P$4005,0)),"(tanpa lawan)"))</f>
        <v>1103101</v>
      </c>
      <c r="R184" s="44"/>
      <c r="S184" s="9" t="str">
        <f aca="false">IF(N184&lt;&gt;"Y","",IF(R184&lt;&gt;"",R184,IF(Q184="(tanpa lawan)","Transfer antar rekening",IFERROR(INDEX(I_COA!$F$6:$F$265,MATCH(Q184,I_COA!$A$6:$A$265,0)),"?"))))</f>
        <v>Penerimaan dari pelanggan</v>
      </c>
    </row>
    <row r="185" customFormat="false" ht="15" hidden="false" customHeight="false" outlineLevel="0" collapsed="false">
      <c r="A185" s="37" t="n">
        <v>46239</v>
      </c>
      <c r="B185" s="44" t="s">
        <v>770</v>
      </c>
      <c r="C185" s="44" t="s">
        <v>585</v>
      </c>
      <c r="D185" s="44" t="n">
        <v>1103101</v>
      </c>
      <c r="E185" s="44" t="s">
        <v>589</v>
      </c>
      <c r="F185" s="44" t="s">
        <v>771</v>
      </c>
      <c r="G185" s="42"/>
      <c r="H185" s="42" t="n">
        <v>77987700</v>
      </c>
      <c r="I185" s="44" t="s">
        <v>432</v>
      </c>
      <c r="J185" s="11" t="n">
        <f aca="false">IF(D185="","",N(G185)-N(H185))</f>
        <v>-77987700</v>
      </c>
      <c r="K185" s="34" t="str">
        <f aca="false">IF(D185="","",IFERROR(INDEX(I_COA!$C$6:$C$265,MATCH(D185,I_COA!$A$6:$A$265,0)),"AKUN BARU"))</f>
        <v>Neraca</v>
      </c>
      <c r="L185" s="34" t="str">
        <f aca="false">IF(K185="LabaRugi",INDEX(I_COA!$D$6:$D$265,MATCH(D185,I_COA!$A$6:$A$265,0)),"")</f>
        <v/>
      </c>
      <c r="M185" s="34" t="str">
        <f aca="false">IF(K185="Neraca",INDEX(I_COA!$E$6:$E$265,MATCH(D185,I_COA!$A$6:$A$265,0)),"")</f>
        <v>Trade Receivables - Third Parties</v>
      </c>
      <c r="N185" s="34" t="str">
        <f aca="false">IF(D185="","",IFERROR(INDEX(I_COA!$G$6:$G$265,MATCH(D185,I_COA!$A$6:$A$265,0)),"N"))</f>
        <v>N</v>
      </c>
      <c r="O185" s="11" t="n">
        <f aca="false">IF(N185="N",ABS(J185),"")</f>
        <v>77987700</v>
      </c>
      <c r="P185" s="18" t="str">
        <f aca="false">IF(N185="N",B185&amp;"|"&amp;ROUND(O185,0),"")</f>
        <v>B7626080016|77987700</v>
      </c>
      <c r="Q185" s="18" t="str">
        <f aca="false">IF(N185&lt;&gt;"Y","",IFERROR(INDEX($D$6:$D$4005,MATCH(B185&amp;"|"&amp;ROUND(_xlfn.MAXIFS($O$6:$O$4005,$B$6:$B$4005,B185,$N$6:$N$4005,"N"),0),$P$6:$P$4005,0)),"(tanpa lawan)"))</f>
        <v/>
      </c>
      <c r="R185" s="44"/>
      <c r="S185" s="9" t="str">
        <f aca="false">IF(N185&lt;&gt;"Y","",IF(R185&lt;&gt;"",R185,IF(Q185="(tanpa lawan)","Transfer antar rekening",IFERROR(INDEX(I_COA!$F$6:$F$265,MATCH(Q185,I_COA!$A$6:$A$265,0)),"?"))))</f>
        <v/>
      </c>
    </row>
    <row r="186" customFormat="false" ht="15" hidden="false" customHeight="false" outlineLevel="0" collapsed="false">
      <c r="A186" s="37" t="n">
        <v>46239</v>
      </c>
      <c r="B186" s="44" t="s">
        <v>772</v>
      </c>
      <c r="C186" s="44" t="s">
        <v>585</v>
      </c>
      <c r="D186" s="44" t="n">
        <v>1102001</v>
      </c>
      <c r="E186" s="44" t="s">
        <v>586</v>
      </c>
      <c r="F186" s="44" t="s">
        <v>773</v>
      </c>
      <c r="G186" s="42" t="n">
        <v>32748800</v>
      </c>
      <c r="H186" s="42"/>
      <c r="I186" s="44" t="s">
        <v>774</v>
      </c>
      <c r="J186" s="11" t="n">
        <f aca="false">IF(D186="","",N(G186)-N(H186))</f>
        <v>32748800</v>
      </c>
      <c r="K186" s="34" t="str">
        <f aca="false">IF(D186="","",IFERROR(INDEX(I_COA!$C$6:$C$265,MATCH(D186,I_COA!$A$6:$A$265,0)),"AKUN BARU"))</f>
        <v>Neraca</v>
      </c>
      <c r="L186" s="34" t="str">
        <f aca="false">IF(K186="LabaRugi",INDEX(I_COA!$D$6:$D$265,MATCH(D186,I_COA!$A$6:$A$265,0)),"")</f>
        <v/>
      </c>
      <c r="M186" s="34" t="str">
        <f aca="false">IF(K186="Neraca",INDEX(I_COA!$E$6:$E$265,MATCH(D186,I_COA!$A$6:$A$265,0)),"")</f>
        <v>Cash and cash equivalents</v>
      </c>
      <c r="N186" s="34" t="str">
        <f aca="false">IF(D186="","",IFERROR(INDEX(I_COA!$G$6:$G$265,MATCH(D186,I_COA!$A$6:$A$265,0)),"N"))</f>
        <v>Y</v>
      </c>
      <c r="O186" s="11" t="str">
        <f aca="false">IF(N186="N",ABS(J186),"")</f>
        <v/>
      </c>
      <c r="P186" s="18" t="str">
        <f aca="false">IF(N186="N",B186&amp;"|"&amp;ROUND(O186,0),"")</f>
        <v/>
      </c>
      <c r="Q186" s="18" t="n">
        <f aca="false">IF(N186&lt;&gt;"Y","",IFERROR(INDEX($D$6:$D$4005,MATCH(B186&amp;"|"&amp;ROUND(_xlfn.MAXIFS($O$6:$O$4005,$B$6:$B$4005,B186,$N$6:$N$4005,"N"),0),$P$6:$P$4005,0)),"(tanpa lawan)"))</f>
        <v>1103101</v>
      </c>
      <c r="R186" s="44"/>
      <c r="S186" s="9" t="str">
        <f aca="false">IF(N186&lt;&gt;"Y","",IF(R186&lt;&gt;"",R186,IF(Q186="(tanpa lawan)","Transfer antar rekening",IFERROR(INDEX(I_COA!$F$6:$F$265,MATCH(Q186,I_COA!$A$6:$A$265,0)),"?"))))</f>
        <v>Penerimaan dari pelanggan</v>
      </c>
    </row>
    <row r="187" customFormat="false" ht="15" hidden="false" customHeight="false" outlineLevel="0" collapsed="false">
      <c r="A187" s="37" t="n">
        <v>46239</v>
      </c>
      <c r="B187" s="44" t="s">
        <v>772</v>
      </c>
      <c r="C187" s="44" t="s">
        <v>585</v>
      </c>
      <c r="D187" s="44" t="n">
        <v>1103101</v>
      </c>
      <c r="E187" s="44" t="s">
        <v>589</v>
      </c>
      <c r="F187" s="44" t="s">
        <v>773</v>
      </c>
      <c r="G187" s="42"/>
      <c r="H187" s="42" t="n">
        <v>32748800</v>
      </c>
      <c r="I187" s="44" t="s">
        <v>774</v>
      </c>
      <c r="J187" s="11" t="n">
        <f aca="false">IF(D187="","",N(G187)-N(H187))</f>
        <v>-32748800</v>
      </c>
      <c r="K187" s="34" t="str">
        <f aca="false">IF(D187="","",IFERROR(INDEX(I_COA!$C$6:$C$265,MATCH(D187,I_COA!$A$6:$A$265,0)),"AKUN BARU"))</f>
        <v>Neraca</v>
      </c>
      <c r="L187" s="34" t="str">
        <f aca="false">IF(K187="LabaRugi",INDEX(I_COA!$D$6:$D$265,MATCH(D187,I_COA!$A$6:$A$265,0)),"")</f>
        <v/>
      </c>
      <c r="M187" s="34" t="str">
        <f aca="false">IF(K187="Neraca",INDEX(I_COA!$E$6:$E$265,MATCH(D187,I_COA!$A$6:$A$265,0)),"")</f>
        <v>Trade Receivables - Third Parties</v>
      </c>
      <c r="N187" s="34" t="str">
        <f aca="false">IF(D187="","",IFERROR(INDEX(I_COA!$G$6:$G$265,MATCH(D187,I_COA!$A$6:$A$265,0)),"N"))</f>
        <v>N</v>
      </c>
      <c r="O187" s="11" t="n">
        <f aca="false">IF(N187="N",ABS(J187),"")</f>
        <v>32748800</v>
      </c>
      <c r="P187" s="18" t="str">
        <f aca="false">IF(N187="N",B187&amp;"|"&amp;ROUND(O187,0),"")</f>
        <v>B7626080017|32748800</v>
      </c>
      <c r="Q187" s="18" t="str">
        <f aca="false">IF(N187&lt;&gt;"Y","",IFERROR(INDEX($D$6:$D$4005,MATCH(B187&amp;"|"&amp;ROUND(_xlfn.MAXIFS($O$6:$O$4005,$B$6:$B$4005,B187,$N$6:$N$4005,"N"),0),$P$6:$P$4005,0)),"(tanpa lawan)"))</f>
        <v/>
      </c>
      <c r="R187" s="44"/>
      <c r="S187" s="9" t="str">
        <f aca="false">IF(N187&lt;&gt;"Y","",IF(R187&lt;&gt;"",R187,IF(Q187="(tanpa lawan)","Transfer antar rekening",IFERROR(INDEX(I_COA!$F$6:$F$265,MATCH(Q187,I_COA!$A$6:$A$265,0)),"?"))))</f>
        <v/>
      </c>
    </row>
    <row r="188" customFormat="false" ht="15" hidden="false" customHeight="false" outlineLevel="0" collapsed="false">
      <c r="A188" s="37" t="n">
        <v>46239</v>
      </c>
      <c r="B188" s="44" t="s">
        <v>775</v>
      </c>
      <c r="C188" s="44" t="s">
        <v>585</v>
      </c>
      <c r="D188" s="44" t="n">
        <v>1102001</v>
      </c>
      <c r="E188" s="44" t="s">
        <v>586</v>
      </c>
      <c r="F188" s="44" t="s">
        <v>726</v>
      </c>
      <c r="G188" s="42" t="n">
        <v>21025000</v>
      </c>
      <c r="H188" s="42"/>
      <c r="I188" s="44" t="s">
        <v>432</v>
      </c>
      <c r="J188" s="11" t="n">
        <f aca="false">IF(D188="","",N(G188)-N(H188))</f>
        <v>21025000</v>
      </c>
      <c r="K188" s="34" t="str">
        <f aca="false">IF(D188="","",IFERROR(INDEX(I_COA!$C$6:$C$265,MATCH(D188,I_COA!$A$6:$A$265,0)),"AKUN BARU"))</f>
        <v>Neraca</v>
      </c>
      <c r="L188" s="34" t="str">
        <f aca="false">IF(K188="LabaRugi",INDEX(I_COA!$D$6:$D$265,MATCH(D188,I_COA!$A$6:$A$265,0)),"")</f>
        <v/>
      </c>
      <c r="M188" s="34" t="str">
        <f aca="false">IF(K188="Neraca",INDEX(I_COA!$E$6:$E$265,MATCH(D188,I_COA!$A$6:$A$265,0)),"")</f>
        <v>Cash and cash equivalents</v>
      </c>
      <c r="N188" s="34" t="str">
        <f aca="false">IF(D188="","",IFERROR(INDEX(I_COA!$G$6:$G$265,MATCH(D188,I_COA!$A$6:$A$265,0)),"N"))</f>
        <v>Y</v>
      </c>
      <c r="O188" s="11" t="str">
        <f aca="false">IF(N188="N",ABS(J188),"")</f>
        <v/>
      </c>
      <c r="P188" s="18" t="str">
        <f aca="false">IF(N188="N",B188&amp;"|"&amp;ROUND(O188,0),"")</f>
        <v/>
      </c>
      <c r="Q188" s="18" t="n">
        <f aca="false">IF(N188&lt;&gt;"Y","",IFERROR(INDEX($D$6:$D$4005,MATCH(B188&amp;"|"&amp;ROUND(_xlfn.MAXIFS($O$6:$O$4005,$B$6:$B$4005,B188,$N$6:$N$4005,"N"),0),$P$6:$P$4005,0)),"(tanpa lawan)"))</f>
        <v>1103101</v>
      </c>
      <c r="R188" s="44"/>
      <c r="S188" s="9" t="str">
        <f aca="false">IF(N188&lt;&gt;"Y","",IF(R188&lt;&gt;"",R188,IF(Q188="(tanpa lawan)","Transfer antar rekening",IFERROR(INDEX(I_COA!$F$6:$F$265,MATCH(Q188,I_COA!$A$6:$A$265,0)),"?"))))</f>
        <v>Penerimaan dari pelanggan</v>
      </c>
    </row>
    <row r="189" customFormat="false" ht="15" hidden="false" customHeight="false" outlineLevel="0" collapsed="false">
      <c r="A189" s="37" t="n">
        <v>46239</v>
      </c>
      <c r="B189" s="44" t="s">
        <v>775</v>
      </c>
      <c r="C189" s="44" t="s">
        <v>585</v>
      </c>
      <c r="D189" s="44" t="n">
        <v>1103101</v>
      </c>
      <c r="E189" s="44" t="s">
        <v>589</v>
      </c>
      <c r="F189" s="44" t="s">
        <v>726</v>
      </c>
      <c r="G189" s="42"/>
      <c r="H189" s="42" t="n">
        <v>21025000</v>
      </c>
      <c r="I189" s="44" t="s">
        <v>432</v>
      </c>
      <c r="J189" s="11" t="n">
        <f aca="false">IF(D189="","",N(G189)-N(H189))</f>
        <v>-21025000</v>
      </c>
      <c r="K189" s="34" t="str">
        <f aca="false">IF(D189="","",IFERROR(INDEX(I_COA!$C$6:$C$265,MATCH(D189,I_COA!$A$6:$A$265,0)),"AKUN BARU"))</f>
        <v>Neraca</v>
      </c>
      <c r="L189" s="34" t="str">
        <f aca="false">IF(K189="LabaRugi",INDEX(I_COA!$D$6:$D$265,MATCH(D189,I_COA!$A$6:$A$265,0)),"")</f>
        <v/>
      </c>
      <c r="M189" s="34" t="str">
        <f aca="false">IF(K189="Neraca",INDEX(I_COA!$E$6:$E$265,MATCH(D189,I_COA!$A$6:$A$265,0)),"")</f>
        <v>Trade Receivables - Third Parties</v>
      </c>
      <c r="N189" s="34" t="str">
        <f aca="false">IF(D189="","",IFERROR(INDEX(I_COA!$G$6:$G$265,MATCH(D189,I_COA!$A$6:$A$265,0)),"N"))</f>
        <v>N</v>
      </c>
      <c r="O189" s="11" t="n">
        <f aca="false">IF(N189="N",ABS(J189),"")</f>
        <v>21025000</v>
      </c>
      <c r="P189" s="18" t="str">
        <f aca="false">IF(N189="N",B189&amp;"|"&amp;ROUND(O189,0),"")</f>
        <v>B7626080018|21025000</v>
      </c>
      <c r="Q189" s="18" t="str">
        <f aca="false">IF(N189&lt;&gt;"Y","",IFERROR(INDEX($D$6:$D$4005,MATCH(B189&amp;"|"&amp;ROUND(_xlfn.MAXIFS($O$6:$O$4005,$B$6:$B$4005,B189,$N$6:$N$4005,"N"),0),$P$6:$P$4005,0)),"(tanpa lawan)"))</f>
        <v/>
      </c>
      <c r="R189" s="44"/>
      <c r="S189" s="9" t="str">
        <f aca="false">IF(N189&lt;&gt;"Y","",IF(R189&lt;&gt;"",R189,IF(Q189="(tanpa lawan)","Transfer antar rekening",IFERROR(INDEX(I_COA!$F$6:$F$265,MATCH(Q189,I_COA!$A$6:$A$265,0)),"?"))))</f>
        <v/>
      </c>
    </row>
    <row r="190" customFormat="false" ht="15" hidden="false" customHeight="false" outlineLevel="0" collapsed="false">
      <c r="A190" s="37" t="n">
        <v>46239</v>
      </c>
      <c r="B190" s="44" t="s">
        <v>776</v>
      </c>
      <c r="C190" s="44" t="s">
        <v>585</v>
      </c>
      <c r="D190" s="44" t="n">
        <v>1102001</v>
      </c>
      <c r="E190" s="44" t="s">
        <v>586</v>
      </c>
      <c r="F190" s="44" t="s">
        <v>777</v>
      </c>
      <c r="G190" s="42" t="n">
        <v>19003900</v>
      </c>
      <c r="H190" s="42"/>
      <c r="I190" s="44" t="s">
        <v>432</v>
      </c>
      <c r="J190" s="11" t="n">
        <f aca="false">IF(D190="","",N(G190)-N(H190))</f>
        <v>19003900</v>
      </c>
      <c r="K190" s="34" t="str">
        <f aca="false">IF(D190="","",IFERROR(INDEX(I_COA!$C$6:$C$265,MATCH(D190,I_COA!$A$6:$A$265,0)),"AKUN BARU"))</f>
        <v>Neraca</v>
      </c>
      <c r="L190" s="34" t="str">
        <f aca="false">IF(K190="LabaRugi",INDEX(I_COA!$D$6:$D$265,MATCH(D190,I_COA!$A$6:$A$265,0)),"")</f>
        <v/>
      </c>
      <c r="M190" s="34" t="str">
        <f aca="false">IF(K190="Neraca",INDEX(I_COA!$E$6:$E$265,MATCH(D190,I_COA!$A$6:$A$265,0)),"")</f>
        <v>Cash and cash equivalents</v>
      </c>
      <c r="N190" s="34" t="str">
        <f aca="false">IF(D190="","",IFERROR(INDEX(I_COA!$G$6:$G$265,MATCH(D190,I_COA!$A$6:$A$265,0)),"N"))</f>
        <v>Y</v>
      </c>
      <c r="O190" s="11" t="str">
        <f aca="false">IF(N190="N",ABS(J190),"")</f>
        <v/>
      </c>
      <c r="P190" s="18" t="str">
        <f aca="false">IF(N190="N",B190&amp;"|"&amp;ROUND(O190,0),"")</f>
        <v/>
      </c>
      <c r="Q190" s="18" t="n">
        <f aca="false">IF(N190&lt;&gt;"Y","",IFERROR(INDEX($D$6:$D$4005,MATCH(B190&amp;"|"&amp;ROUND(_xlfn.MAXIFS($O$6:$O$4005,$B$6:$B$4005,B190,$N$6:$N$4005,"N"),0),$P$6:$P$4005,0)),"(tanpa lawan)"))</f>
        <v>1103101</v>
      </c>
      <c r="R190" s="44"/>
      <c r="S190" s="9" t="str">
        <f aca="false">IF(N190&lt;&gt;"Y","",IF(R190&lt;&gt;"",R190,IF(Q190="(tanpa lawan)","Transfer antar rekening",IFERROR(INDEX(I_COA!$F$6:$F$265,MATCH(Q190,I_COA!$A$6:$A$265,0)),"?"))))</f>
        <v>Penerimaan dari pelanggan</v>
      </c>
    </row>
    <row r="191" customFormat="false" ht="15" hidden="false" customHeight="false" outlineLevel="0" collapsed="false">
      <c r="A191" s="37" t="n">
        <v>46239</v>
      </c>
      <c r="B191" s="44" t="s">
        <v>776</v>
      </c>
      <c r="C191" s="44" t="s">
        <v>585</v>
      </c>
      <c r="D191" s="44" t="n">
        <v>1103101</v>
      </c>
      <c r="E191" s="44" t="s">
        <v>589</v>
      </c>
      <c r="F191" s="44" t="s">
        <v>777</v>
      </c>
      <c r="G191" s="42"/>
      <c r="H191" s="42" t="n">
        <v>19003900</v>
      </c>
      <c r="I191" s="44" t="s">
        <v>432</v>
      </c>
      <c r="J191" s="11" t="n">
        <f aca="false">IF(D191="","",N(G191)-N(H191))</f>
        <v>-19003900</v>
      </c>
      <c r="K191" s="34" t="str">
        <f aca="false">IF(D191="","",IFERROR(INDEX(I_COA!$C$6:$C$265,MATCH(D191,I_COA!$A$6:$A$265,0)),"AKUN BARU"))</f>
        <v>Neraca</v>
      </c>
      <c r="L191" s="34" t="str">
        <f aca="false">IF(K191="LabaRugi",INDEX(I_COA!$D$6:$D$265,MATCH(D191,I_COA!$A$6:$A$265,0)),"")</f>
        <v/>
      </c>
      <c r="M191" s="34" t="str">
        <f aca="false">IF(K191="Neraca",INDEX(I_COA!$E$6:$E$265,MATCH(D191,I_COA!$A$6:$A$265,0)),"")</f>
        <v>Trade Receivables - Third Parties</v>
      </c>
      <c r="N191" s="34" t="str">
        <f aca="false">IF(D191="","",IFERROR(INDEX(I_COA!$G$6:$G$265,MATCH(D191,I_COA!$A$6:$A$265,0)),"N"))</f>
        <v>N</v>
      </c>
      <c r="O191" s="11" t="n">
        <f aca="false">IF(N191="N",ABS(J191),"")</f>
        <v>19003900</v>
      </c>
      <c r="P191" s="18" t="str">
        <f aca="false">IF(N191="N",B191&amp;"|"&amp;ROUND(O191,0),"")</f>
        <v>B7626080019|19003900</v>
      </c>
      <c r="Q191" s="18" t="str">
        <f aca="false">IF(N191&lt;&gt;"Y","",IFERROR(INDEX($D$6:$D$4005,MATCH(B191&amp;"|"&amp;ROUND(_xlfn.MAXIFS($O$6:$O$4005,$B$6:$B$4005,B191,$N$6:$N$4005,"N"),0),$P$6:$P$4005,0)),"(tanpa lawan)"))</f>
        <v/>
      </c>
      <c r="R191" s="44"/>
      <c r="S191" s="9" t="str">
        <f aca="false">IF(N191&lt;&gt;"Y","",IF(R191&lt;&gt;"",R191,IF(Q191="(tanpa lawan)","Transfer antar rekening",IFERROR(INDEX(I_COA!$F$6:$F$265,MATCH(Q191,I_COA!$A$6:$A$265,0)),"?"))))</f>
        <v/>
      </c>
    </row>
    <row r="192" customFormat="false" ht="15" hidden="false" customHeight="false" outlineLevel="0" collapsed="false">
      <c r="A192" s="37" t="n">
        <v>46239</v>
      </c>
      <c r="B192" s="44" t="s">
        <v>778</v>
      </c>
      <c r="C192" s="44" t="s">
        <v>585</v>
      </c>
      <c r="D192" s="44" t="n">
        <v>1102001</v>
      </c>
      <c r="E192" s="44" t="s">
        <v>586</v>
      </c>
      <c r="F192" s="44" t="s">
        <v>779</v>
      </c>
      <c r="G192" s="42" t="n">
        <v>70000000</v>
      </c>
      <c r="H192" s="42"/>
      <c r="I192" s="44" t="s">
        <v>432</v>
      </c>
      <c r="J192" s="11" t="n">
        <f aca="false">IF(D192="","",N(G192)-N(H192))</f>
        <v>70000000</v>
      </c>
      <c r="K192" s="34" t="str">
        <f aca="false">IF(D192="","",IFERROR(INDEX(I_COA!$C$6:$C$265,MATCH(D192,I_COA!$A$6:$A$265,0)),"AKUN BARU"))</f>
        <v>Neraca</v>
      </c>
      <c r="L192" s="34" t="str">
        <f aca="false">IF(K192="LabaRugi",INDEX(I_COA!$D$6:$D$265,MATCH(D192,I_COA!$A$6:$A$265,0)),"")</f>
        <v/>
      </c>
      <c r="M192" s="34" t="str">
        <f aca="false">IF(K192="Neraca",INDEX(I_COA!$E$6:$E$265,MATCH(D192,I_COA!$A$6:$A$265,0)),"")</f>
        <v>Cash and cash equivalents</v>
      </c>
      <c r="N192" s="34" t="str">
        <f aca="false">IF(D192="","",IFERROR(INDEX(I_COA!$G$6:$G$265,MATCH(D192,I_COA!$A$6:$A$265,0)),"N"))</f>
        <v>Y</v>
      </c>
      <c r="O192" s="11" t="str">
        <f aca="false">IF(N192="N",ABS(J192),"")</f>
        <v/>
      </c>
      <c r="P192" s="18" t="str">
        <f aca="false">IF(N192="N",B192&amp;"|"&amp;ROUND(O192,0),"")</f>
        <v/>
      </c>
      <c r="Q192" s="18" t="n">
        <f aca="false">IF(N192&lt;&gt;"Y","",IFERROR(INDEX($D$6:$D$4005,MATCH(B192&amp;"|"&amp;ROUND(_xlfn.MAXIFS($O$6:$O$4005,$B$6:$B$4005,B192,$N$6:$N$4005,"N"),0),$P$6:$P$4005,0)),"(tanpa lawan)"))</f>
        <v>1103101</v>
      </c>
      <c r="R192" s="44"/>
      <c r="S192" s="9" t="str">
        <f aca="false">IF(N192&lt;&gt;"Y","",IF(R192&lt;&gt;"",R192,IF(Q192="(tanpa lawan)","Transfer antar rekening",IFERROR(INDEX(I_COA!$F$6:$F$265,MATCH(Q192,I_COA!$A$6:$A$265,0)),"?"))))</f>
        <v>Penerimaan dari pelanggan</v>
      </c>
    </row>
    <row r="193" customFormat="false" ht="15" hidden="false" customHeight="false" outlineLevel="0" collapsed="false">
      <c r="A193" s="37" t="n">
        <v>46239</v>
      </c>
      <c r="B193" s="44" t="s">
        <v>778</v>
      </c>
      <c r="C193" s="44" t="s">
        <v>585</v>
      </c>
      <c r="D193" s="44" t="n">
        <v>1103101</v>
      </c>
      <c r="E193" s="44" t="s">
        <v>589</v>
      </c>
      <c r="F193" s="44" t="s">
        <v>779</v>
      </c>
      <c r="G193" s="42"/>
      <c r="H193" s="42" t="n">
        <v>70000000</v>
      </c>
      <c r="I193" s="44" t="s">
        <v>432</v>
      </c>
      <c r="J193" s="11" t="n">
        <f aca="false">IF(D193="","",N(G193)-N(H193))</f>
        <v>-70000000</v>
      </c>
      <c r="K193" s="34" t="str">
        <f aca="false">IF(D193="","",IFERROR(INDEX(I_COA!$C$6:$C$265,MATCH(D193,I_COA!$A$6:$A$265,0)),"AKUN BARU"))</f>
        <v>Neraca</v>
      </c>
      <c r="L193" s="34" t="str">
        <f aca="false">IF(K193="LabaRugi",INDEX(I_COA!$D$6:$D$265,MATCH(D193,I_COA!$A$6:$A$265,0)),"")</f>
        <v/>
      </c>
      <c r="M193" s="34" t="str">
        <f aca="false">IF(K193="Neraca",INDEX(I_COA!$E$6:$E$265,MATCH(D193,I_COA!$A$6:$A$265,0)),"")</f>
        <v>Trade Receivables - Third Parties</v>
      </c>
      <c r="N193" s="34" t="str">
        <f aca="false">IF(D193="","",IFERROR(INDEX(I_COA!$G$6:$G$265,MATCH(D193,I_COA!$A$6:$A$265,0)),"N"))</f>
        <v>N</v>
      </c>
      <c r="O193" s="11" t="n">
        <f aca="false">IF(N193="N",ABS(J193),"")</f>
        <v>70000000</v>
      </c>
      <c r="P193" s="18" t="str">
        <f aca="false">IF(N193="N",B193&amp;"|"&amp;ROUND(O193,0),"")</f>
        <v>B7626080020|70000000</v>
      </c>
      <c r="Q193" s="18" t="str">
        <f aca="false">IF(N193&lt;&gt;"Y","",IFERROR(INDEX($D$6:$D$4005,MATCH(B193&amp;"|"&amp;ROUND(_xlfn.MAXIFS($O$6:$O$4005,$B$6:$B$4005,B193,$N$6:$N$4005,"N"),0),$P$6:$P$4005,0)),"(tanpa lawan)"))</f>
        <v/>
      </c>
      <c r="R193" s="44"/>
      <c r="S193" s="9" t="str">
        <f aca="false">IF(N193&lt;&gt;"Y","",IF(R193&lt;&gt;"",R193,IF(Q193="(tanpa lawan)","Transfer antar rekening",IFERROR(INDEX(I_COA!$F$6:$F$265,MATCH(Q193,I_COA!$A$6:$A$265,0)),"?"))))</f>
        <v/>
      </c>
    </row>
    <row r="194" customFormat="false" ht="15" hidden="false" customHeight="false" outlineLevel="0" collapsed="false">
      <c r="A194" s="37" t="n">
        <v>46239</v>
      </c>
      <c r="B194" s="44" t="s">
        <v>780</v>
      </c>
      <c r="C194" s="44" t="s">
        <v>580</v>
      </c>
      <c r="D194" s="44" t="n">
        <v>1102008</v>
      </c>
      <c r="E194" s="44" t="s">
        <v>781</v>
      </c>
      <c r="F194" s="44" t="s">
        <v>782</v>
      </c>
      <c r="G194" s="42" t="n">
        <v>1500000000</v>
      </c>
      <c r="H194" s="42"/>
      <c r="I194" s="44"/>
      <c r="J194" s="11" t="n">
        <f aca="false">IF(D194="","",N(G194)-N(H194))</f>
        <v>1500000000</v>
      </c>
      <c r="K194" s="34" t="str">
        <f aca="false">IF(D194="","",IFERROR(INDEX(I_COA!$C$6:$C$265,MATCH(D194,I_COA!$A$6:$A$265,0)),"AKUN BARU"))</f>
        <v>Neraca</v>
      </c>
      <c r="L194" s="34" t="str">
        <f aca="false">IF(K194="LabaRugi",INDEX(I_COA!$D$6:$D$265,MATCH(D194,I_COA!$A$6:$A$265,0)),"")</f>
        <v/>
      </c>
      <c r="M194" s="34" t="str">
        <f aca="false">IF(K194="Neraca",INDEX(I_COA!$E$6:$E$265,MATCH(D194,I_COA!$A$6:$A$265,0)),"")</f>
        <v>Advance Payment</v>
      </c>
      <c r="N194" s="34" t="str">
        <f aca="false">IF(D194="","",IFERROR(INDEX(I_COA!$G$6:$G$265,MATCH(D194,I_COA!$A$6:$A$265,0)),"N"))</f>
        <v>N</v>
      </c>
      <c r="O194" s="11" t="n">
        <f aca="false">IF(N194="N",ABS(J194),"")</f>
        <v>1500000000</v>
      </c>
      <c r="P194" s="18" t="str">
        <f aca="false">IF(N194="N",B194&amp;"|"&amp;ROUND(O194,0),"")</f>
        <v>B7726080002|1500000000</v>
      </c>
      <c r="Q194" s="18" t="str">
        <f aca="false">IF(N194&lt;&gt;"Y","",IFERROR(INDEX($D$6:$D$4005,MATCH(B194&amp;"|"&amp;ROUND(_xlfn.MAXIFS($O$6:$O$4005,$B$6:$B$4005,B194,$N$6:$N$4005,"N"),0),$P$6:$P$4005,0)),"(tanpa lawan)"))</f>
        <v/>
      </c>
      <c r="R194" s="44"/>
      <c r="S194" s="9" t="str">
        <f aca="false">IF(N194&lt;&gt;"Y","",IF(R194&lt;&gt;"",R194,IF(Q194="(tanpa lawan)","Transfer antar rekening",IFERROR(INDEX(I_COA!$F$6:$F$265,MATCH(Q194,I_COA!$A$6:$A$265,0)),"?"))))</f>
        <v/>
      </c>
    </row>
    <row r="195" customFormat="false" ht="15" hidden="false" customHeight="false" outlineLevel="0" collapsed="false">
      <c r="A195" s="37" t="n">
        <v>46239</v>
      </c>
      <c r="B195" s="44" t="s">
        <v>780</v>
      </c>
      <c r="C195" s="44" t="s">
        <v>580</v>
      </c>
      <c r="D195" s="44" t="n">
        <v>1102001</v>
      </c>
      <c r="E195" s="44" t="s">
        <v>586</v>
      </c>
      <c r="F195" s="44" t="s">
        <v>782</v>
      </c>
      <c r="G195" s="42"/>
      <c r="H195" s="42" t="n">
        <v>1500000000</v>
      </c>
      <c r="I195" s="44"/>
      <c r="J195" s="11" t="n">
        <f aca="false">IF(D195="","",N(G195)-N(H195))</f>
        <v>-1500000000</v>
      </c>
      <c r="K195" s="34" t="str">
        <f aca="false">IF(D195="","",IFERROR(INDEX(I_COA!$C$6:$C$265,MATCH(D195,I_COA!$A$6:$A$265,0)),"AKUN BARU"))</f>
        <v>Neraca</v>
      </c>
      <c r="L195" s="34" t="str">
        <f aca="false">IF(K195="LabaRugi",INDEX(I_COA!$D$6:$D$265,MATCH(D195,I_COA!$A$6:$A$265,0)),"")</f>
        <v/>
      </c>
      <c r="M195" s="34" t="str">
        <f aca="false">IF(K195="Neraca",INDEX(I_COA!$E$6:$E$265,MATCH(D195,I_COA!$A$6:$A$265,0)),"")</f>
        <v>Cash and cash equivalents</v>
      </c>
      <c r="N195" s="34" t="str">
        <f aca="false">IF(D195="","",IFERROR(INDEX(I_COA!$G$6:$G$265,MATCH(D195,I_COA!$A$6:$A$265,0)),"N"))</f>
        <v>Y</v>
      </c>
      <c r="O195" s="11" t="str">
        <f aca="false">IF(N195="N",ABS(J195),"")</f>
        <v/>
      </c>
      <c r="P195" s="18" t="str">
        <f aca="false">IF(N195="N",B195&amp;"|"&amp;ROUND(O195,0),"")</f>
        <v/>
      </c>
      <c r="Q195" s="18" t="n">
        <f aca="false">IF(N195&lt;&gt;"Y","",IFERROR(INDEX($D$6:$D$4005,MATCH(B195&amp;"|"&amp;ROUND(_xlfn.MAXIFS($O$6:$O$4005,$B$6:$B$4005,B195,$N$6:$N$4005,"N"),0),$P$6:$P$4005,0)),"(tanpa lawan)"))</f>
        <v>1102008</v>
      </c>
      <c r="R195" s="44"/>
      <c r="S195" s="9" t="str">
        <f aca="false">IF(N195&lt;&gt;"Y","",IF(R195&lt;&gt;"",R195,IF(Q195="(tanpa lawan)","Transfer antar rekening",IFERROR(INDEX(I_COA!$F$6:$F$265,MATCH(Q195,I_COA!$A$6:$A$265,0)),"?"))))</f>
        <v>Transfer antar rekening</v>
      </c>
    </row>
    <row r="196" customFormat="false" ht="15" hidden="false" customHeight="false" outlineLevel="0" collapsed="false">
      <c r="A196" s="37" t="n">
        <v>46239</v>
      </c>
      <c r="B196" s="44" t="s">
        <v>783</v>
      </c>
      <c r="C196" s="44" t="s">
        <v>580</v>
      </c>
      <c r="D196" s="44" t="n">
        <v>1102002</v>
      </c>
      <c r="E196" s="44" t="s">
        <v>598</v>
      </c>
      <c r="F196" s="44" t="s">
        <v>784</v>
      </c>
      <c r="G196" s="42" t="n">
        <v>1500000000</v>
      </c>
      <c r="H196" s="42"/>
      <c r="I196" s="44"/>
      <c r="J196" s="11" t="n">
        <f aca="false">IF(D196="","",N(G196)-N(H196))</f>
        <v>1500000000</v>
      </c>
      <c r="K196" s="34" t="str">
        <f aca="false">IF(D196="","",IFERROR(INDEX(I_COA!$C$6:$C$265,MATCH(D196,I_COA!$A$6:$A$265,0)),"AKUN BARU"))</f>
        <v>Neraca</v>
      </c>
      <c r="L196" s="34" t="str">
        <f aca="false">IF(K196="LabaRugi",INDEX(I_COA!$D$6:$D$265,MATCH(D196,I_COA!$A$6:$A$265,0)),"")</f>
        <v/>
      </c>
      <c r="M196" s="34" t="str">
        <f aca="false">IF(K196="Neraca",INDEX(I_COA!$E$6:$E$265,MATCH(D196,I_COA!$A$6:$A$265,0)),"")</f>
        <v>Cash and cash equivalents</v>
      </c>
      <c r="N196" s="34" t="str">
        <f aca="false">IF(D196="","",IFERROR(INDEX(I_COA!$G$6:$G$265,MATCH(D196,I_COA!$A$6:$A$265,0)),"N"))</f>
        <v>Y</v>
      </c>
      <c r="O196" s="11" t="str">
        <f aca="false">IF(N196="N",ABS(J196),"")</f>
        <v/>
      </c>
      <c r="P196" s="18" t="str">
        <f aca="false">IF(N196="N",B196&amp;"|"&amp;ROUND(O196,0),"")</f>
        <v/>
      </c>
      <c r="Q196" s="18" t="n">
        <f aca="false">IF(N196&lt;&gt;"Y","",IFERROR(INDEX($D$6:$D$4005,MATCH(B196&amp;"|"&amp;ROUND(_xlfn.MAXIFS($O$6:$O$4005,$B$6:$B$4005,B196,$N$6:$N$4005,"N"),0),$P$6:$P$4005,0)),"(tanpa lawan)"))</f>
        <v>1102008</v>
      </c>
      <c r="R196" s="44"/>
      <c r="S196" s="9" t="str">
        <f aca="false">IF(N196&lt;&gt;"Y","",IF(R196&lt;&gt;"",R196,IF(Q196="(tanpa lawan)","Transfer antar rekening",IFERROR(INDEX(I_COA!$F$6:$F$265,MATCH(Q196,I_COA!$A$6:$A$265,0)),"?"))))</f>
        <v>Transfer antar rekening</v>
      </c>
    </row>
    <row r="197" customFormat="false" ht="15" hidden="false" customHeight="false" outlineLevel="0" collapsed="false">
      <c r="A197" s="37" t="n">
        <v>46239</v>
      </c>
      <c r="B197" s="44" t="s">
        <v>783</v>
      </c>
      <c r="C197" s="44" t="s">
        <v>580</v>
      </c>
      <c r="D197" s="44" t="n">
        <v>1102008</v>
      </c>
      <c r="E197" s="44" t="s">
        <v>781</v>
      </c>
      <c r="F197" s="44" t="s">
        <v>784</v>
      </c>
      <c r="G197" s="42"/>
      <c r="H197" s="42" t="n">
        <v>1500000000</v>
      </c>
      <c r="I197" s="44"/>
      <c r="J197" s="11" t="n">
        <f aca="false">IF(D197="","",N(G197)-N(H197))</f>
        <v>-1500000000</v>
      </c>
      <c r="K197" s="34" t="str">
        <f aca="false">IF(D197="","",IFERROR(INDEX(I_COA!$C$6:$C$265,MATCH(D197,I_COA!$A$6:$A$265,0)),"AKUN BARU"))</f>
        <v>Neraca</v>
      </c>
      <c r="L197" s="34" t="str">
        <f aca="false">IF(K197="LabaRugi",INDEX(I_COA!$D$6:$D$265,MATCH(D197,I_COA!$A$6:$A$265,0)),"")</f>
        <v/>
      </c>
      <c r="M197" s="34" t="str">
        <f aca="false">IF(K197="Neraca",INDEX(I_COA!$E$6:$E$265,MATCH(D197,I_COA!$A$6:$A$265,0)),"")</f>
        <v>Advance Payment</v>
      </c>
      <c r="N197" s="34" t="str">
        <f aca="false">IF(D197="","",IFERROR(INDEX(I_COA!$G$6:$G$265,MATCH(D197,I_COA!$A$6:$A$265,0)),"N"))</f>
        <v>N</v>
      </c>
      <c r="O197" s="11" t="n">
        <f aca="false">IF(N197="N",ABS(J197),"")</f>
        <v>1500000000</v>
      </c>
      <c r="P197" s="18" t="str">
        <f aca="false">IF(N197="N",B197&amp;"|"&amp;ROUND(O197,0),"")</f>
        <v>B8426080002|1500000000</v>
      </c>
      <c r="Q197" s="18" t="str">
        <f aca="false">IF(N197&lt;&gt;"Y","",IFERROR(INDEX($D$6:$D$4005,MATCH(B197&amp;"|"&amp;ROUND(_xlfn.MAXIFS($O$6:$O$4005,$B$6:$B$4005,B197,$N$6:$N$4005,"N"),0),$P$6:$P$4005,0)),"(tanpa lawan)"))</f>
        <v/>
      </c>
      <c r="R197" s="44"/>
      <c r="S197" s="9" t="str">
        <f aca="false">IF(N197&lt;&gt;"Y","",IF(R197&lt;&gt;"",R197,IF(Q197="(tanpa lawan)","Transfer antar rekening",IFERROR(INDEX(I_COA!$F$6:$F$265,MATCH(Q197,I_COA!$A$6:$A$265,0)),"?"))))</f>
        <v/>
      </c>
    </row>
    <row r="198" customFormat="false" ht="15" hidden="false" customHeight="false" outlineLevel="0" collapsed="false">
      <c r="A198" s="37" t="n">
        <v>46239</v>
      </c>
      <c r="B198" s="44" t="s">
        <v>785</v>
      </c>
      <c r="C198" s="44" t="s">
        <v>580</v>
      </c>
      <c r="D198" s="44" t="n">
        <v>1102002</v>
      </c>
      <c r="E198" s="44" t="s">
        <v>598</v>
      </c>
      <c r="F198" s="44" t="s">
        <v>786</v>
      </c>
      <c r="G198" s="42" t="n">
        <v>3750000</v>
      </c>
      <c r="H198" s="42"/>
      <c r="I198" s="44"/>
      <c r="J198" s="11" t="n">
        <f aca="false">IF(D198="","",N(G198)-N(H198))</f>
        <v>3750000</v>
      </c>
      <c r="K198" s="34" t="str">
        <f aca="false">IF(D198="","",IFERROR(INDEX(I_COA!$C$6:$C$265,MATCH(D198,I_COA!$A$6:$A$265,0)),"AKUN BARU"))</f>
        <v>Neraca</v>
      </c>
      <c r="L198" s="34" t="str">
        <f aca="false">IF(K198="LabaRugi",INDEX(I_COA!$D$6:$D$265,MATCH(D198,I_COA!$A$6:$A$265,0)),"")</f>
        <v/>
      </c>
      <c r="M198" s="34" t="str">
        <f aca="false">IF(K198="Neraca",INDEX(I_COA!$E$6:$E$265,MATCH(D198,I_COA!$A$6:$A$265,0)),"")</f>
        <v>Cash and cash equivalents</v>
      </c>
      <c r="N198" s="34" t="str">
        <f aca="false">IF(D198="","",IFERROR(INDEX(I_COA!$G$6:$G$265,MATCH(D198,I_COA!$A$6:$A$265,0)),"N"))</f>
        <v>Y</v>
      </c>
      <c r="O198" s="11" t="str">
        <f aca="false">IF(N198="N",ABS(J198),"")</f>
        <v/>
      </c>
      <c r="P198" s="18" t="str">
        <f aca="false">IF(N198="N",B198&amp;"|"&amp;ROUND(O198,0),"")</f>
        <v/>
      </c>
      <c r="Q198" s="18" t="n">
        <f aca="false">IF(N198&lt;&gt;"Y","",IFERROR(INDEX($D$6:$D$4005,MATCH(B198&amp;"|"&amp;ROUND(_xlfn.MAXIFS($O$6:$O$4005,$B$6:$B$4005,B198,$N$6:$N$4005,"N"),0),$P$6:$P$4005,0)),"(tanpa lawan)"))</f>
        <v>1103121</v>
      </c>
      <c r="R198" s="44"/>
      <c r="S198" s="9" t="str">
        <f aca="false">IF(N198&lt;&gt;"Y","",IF(R198&lt;&gt;"",R198,IF(Q198="(tanpa lawan)","Transfer antar rekening",IFERROR(INDEX(I_COA!$F$6:$F$265,MATCH(Q198,I_COA!$A$6:$A$265,0)),"?"))))</f>
        <v>Bayar pemasok barang (live bird &amp; trading)</v>
      </c>
    </row>
    <row r="199" customFormat="false" ht="15" hidden="false" customHeight="false" outlineLevel="0" collapsed="false">
      <c r="A199" s="37" t="n">
        <v>46239</v>
      </c>
      <c r="B199" s="44" t="s">
        <v>785</v>
      </c>
      <c r="C199" s="44" t="s">
        <v>580</v>
      </c>
      <c r="D199" s="44" t="n">
        <v>1103121</v>
      </c>
      <c r="E199" s="44" t="s">
        <v>685</v>
      </c>
      <c r="F199" s="44" t="s">
        <v>786</v>
      </c>
      <c r="G199" s="42"/>
      <c r="H199" s="42" t="n">
        <v>3725500</v>
      </c>
      <c r="I199" s="44" t="s">
        <v>692</v>
      </c>
      <c r="J199" s="11" t="n">
        <f aca="false">IF(D199="","",N(G199)-N(H199))</f>
        <v>-3725500</v>
      </c>
      <c r="K199" s="34" t="str">
        <f aca="false">IF(D199="","",IFERROR(INDEX(I_COA!$C$6:$C$265,MATCH(D199,I_COA!$A$6:$A$265,0)),"AKUN BARU"))</f>
        <v>Neraca</v>
      </c>
      <c r="L199" s="34" t="str">
        <f aca="false">IF(K199="LabaRugi",INDEX(I_COA!$D$6:$D$265,MATCH(D199,I_COA!$A$6:$A$265,0)),"")</f>
        <v/>
      </c>
      <c r="M199" s="34" t="str">
        <f aca="false">IF(K199="Neraca",INDEX(I_COA!$E$6:$E$265,MATCH(D199,I_COA!$A$6:$A$265,0)),"")</f>
        <v>Advance Payment</v>
      </c>
      <c r="N199" s="34" t="str">
        <f aca="false">IF(D199="","",IFERROR(INDEX(I_COA!$G$6:$G$265,MATCH(D199,I_COA!$A$6:$A$265,0)),"N"))</f>
        <v>N</v>
      </c>
      <c r="O199" s="11" t="n">
        <f aca="false">IF(N199="N",ABS(J199),"")</f>
        <v>3725500</v>
      </c>
      <c r="P199" s="18" t="str">
        <f aca="false">IF(N199="N",B199&amp;"|"&amp;ROUND(O199,0),"")</f>
        <v>B842608001|3725500</v>
      </c>
      <c r="Q199" s="18" t="str">
        <f aca="false">IF(N199&lt;&gt;"Y","",IFERROR(INDEX($D$6:$D$4005,MATCH(B199&amp;"|"&amp;ROUND(_xlfn.MAXIFS($O$6:$O$4005,$B$6:$B$4005,B199,$N$6:$N$4005,"N"),0),$P$6:$P$4005,0)),"(tanpa lawan)"))</f>
        <v/>
      </c>
      <c r="R199" s="44"/>
      <c r="S199" s="9" t="str">
        <f aca="false">IF(N199&lt;&gt;"Y","",IF(R199&lt;&gt;"",R199,IF(Q199="(tanpa lawan)","Transfer antar rekening",IFERROR(INDEX(I_COA!$F$6:$F$265,MATCH(Q199,I_COA!$A$6:$A$265,0)),"?"))))</f>
        <v/>
      </c>
    </row>
    <row r="200" customFormat="false" ht="15" hidden="false" customHeight="false" outlineLevel="0" collapsed="false">
      <c r="A200" s="37" t="n">
        <v>46239</v>
      </c>
      <c r="B200" s="44" t="s">
        <v>785</v>
      </c>
      <c r="C200" s="44" t="s">
        <v>580</v>
      </c>
      <c r="D200" s="44" t="n">
        <v>7200008</v>
      </c>
      <c r="E200" s="44" t="s">
        <v>683</v>
      </c>
      <c r="F200" s="44" t="s">
        <v>786</v>
      </c>
      <c r="G200" s="42"/>
      <c r="H200" s="42" t="n">
        <v>24500</v>
      </c>
      <c r="I200" s="44"/>
      <c r="J200" s="11" t="n">
        <f aca="false">IF(D200="","",N(G200)-N(H200))</f>
        <v>-24500</v>
      </c>
      <c r="K200" s="34" t="str">
        <f aca="false">IF(D200="","",IFERROR(INDEX(I_COA!$C$6:$C$265,MATCH(D200,I_COA!$A$6:$A$265,0)),"AKUN BARU"))</f>
        <v>LabaRugi</v>
      </c>
      <c r="L200" s="34" t="str">
        <f aca="false">IF(K200="LabaRugi",INDEX(I_COA!$D$6:$D$265,MATCH(D200,I_COA!$A$6:$A$265,0)),"")</f>
        <v>Other Expense</v>
      </c>
      <c r="M200" s="34" t="str">
        <f aca="false">IF(K200="Neraca",INDEX(I_COA!$E$6:$E$265,MATCH(D200,I_COA!$A$6:$A$265,0)),"")</f>
        <v/>
      </c>
      <c r="N200" s="34" t="str">
        <f aca="false">IF(D200="","",IFERROR(INDEX(I_COA!$G$6:$G$265,MATCH(D200,I_COA!$A$6:$A$265,0)),"N"))</f>
        <v>N</v>
      </c>
      <c r="O200" s="11" t="n">
        <f aca="false">IF(N200="N",ABS(J200),"")</f>
        <v>24500</v>
      </c>
      <c r="P200" s="18" t="str">
        <f aca="false">IF(N200="N",B200&amp;"|"&amp;ROUND(O200,0),"")</f>
        <v>B842608001|24500</v>
      </c>
      <c r="Q200" s="18" t="str">
        <f aca="false">IF(N200&lt;&gt;"Y","",IFERROR(INDEX($D$6:$D$4005,MATCH(B200&amp;"|"&amp;ROUND(_xlfn.MAXIFS($O$6:$O$4005,$B$6:$B$4005,B200,$N$6:$N$4005,"N"),0),$P$6:$P$4005,0)),"(tanpa lawan)"))</f>
        <v/>
      </c>
      <c r="R200" s="44"/>
      <c r="S200" s="9" t="str">
        <f aca="false">IF(N200&lt;&gt;"Y","",IF(R200&lt;&gt;"",R200,IF(Q200="(tanpa lawan)","Transfer antar rekening",IFERROR(INDEX(I_COA!$F$6:$F$265,MATCH(Q200,I_COA!$A$6:$A$265,0)),"?"))))</f>
        <v/>
      </c>
    </row>
    <row r="201" customFormat="false" ht="15" hidden="false" customHeight="false" outlineLevel="0" collapsed="false">
      <c r="A201" s="37" t="n">
        <v>46239</v>
      </c>
      <c r="B201" s="44" t="s">
        <v>787</v>
      </c>
      <c r="C201" s="44" t="s">
        <v>580</v>
      </c>
      <c r="D201" s="44" t="n">
        <v>1102002</v>
      </c>
      <c r="E201" s="44" t="s">
        <v>598</v>
      </c>
      <c r="F201" s="44" t="s">
        <v>788</v>
      </c>
      <c r="G201" s="42" t="n">
        <v>32349900</v>
      </c>
      <c r="H201" s="42"/>
      <c r="I201" s="44"/>
      <c r="J201" s="11" t="n">
        <f aca="false">IF(D201="","",N(G201)-N(H201))</f>
        <v>32349900</v>
      </c>
      <c r="K201" s="34" t="str">
        <f aca="false">IF(D201="","",IFERROR(INDEX(I_COA!$C$6:$C$265,MATCH(D201,I_COA!$A$6:$A$265,0)),"AKUN BARU"))</f>
        <v>Neraca</v>
      </c>
      <c r="L201" s="34" t="str">
        <f aca="false">IF(K201="LabaRugi",INDEX(I_COA!$D$6:$D$265,MATCH(D201,I_COA!$A$6:$A$265,0)),"")</f>
        <v/>
      </c>
      <c r="M201" s="34" t="str">
        <f aca="false">IF(K201="Neraca",INDEX(I_COA!$E$6:$E$265,MATCH(D201,I_COA!$A$6:$A$265,0)),"")</f>
        <v>Cash and cash equivalents</v>
      </c>
      <c r="N201" s="34" t="str">
        <f aca="false">IF(D201="","",IFERROR(INDEX(I_COA!$G$6:$G$265,MATCH(D201,I_COA!$A$6:$A$265,0)),"N"))</f>
        <v>Y</v>
      </c>
      <c r="O201" s="11" t="str">
        <f aca="false">IF(N201="N",ABS(J201),"")</f>
        <v/>
      </c>
      <c r="P201" s="18" t="str">
        <f aca="false">IF(N201="N",B201&amp;"|"&amp;ROUND(O201,0),"")</f>
        <v/>
      </c>
      <c r="Q201" s="18" t="n">
        <f aca="false">IF(N201&lt;&gt;"Y","",IFERROR(INDEX($D$6:$D$4005,MATCH(B201&amp;"|"&amp;ROUND(_xlfn.MAXIFS($O$6:$O$4005,$B$6:$B$4005,B201,$N$6:$N$4005,"N"),0),$P$6:$P$4005,0)),"(tanpa lawan)"))</f>
        <v>2101020</v>
      </c>
      <c r="R201" s="44"/>
      <c r="S201" s="9" t="str">
        <f aca="false">IF(N201&lt;&gt;"Y","",IF(R201&lt;&gt;"",R201,IF(Q201="(tanpa lawan)","Transfer antar rekening",IFERROR(INDEX(I_COA!$F$6:$F$265,MATCH(Q201,I_COA!$A$6:$A$265,0)),"?"))))</f>
        <v>Penerimaan dari pelanggan</v>
      </c>
    </row>
    <row r="202" customFormat="false" ht="15" hidden="false" customHeight="false" outlineLevel="0" collapsed="false">
      <c r="A202" s="37" t="n">
        <v>46239</v>
      </c>
      <c r="B202" s="44" t="s">
        <v>787</v>
      </c>
      <c r="C202" s="44" t="s">
        <v>580</v>
      </c>
      <c r="D202" s="44" t="n">
        <v>2101020</v>
      </c>
      <c r="E202" s="44" t="s">
        <v>653</v>
      </c>
      <c r="F202" s="44" t="s">
        <v>788</v>
      </c>
      <c r="G202" s="42"/>
      <c r="H202" s="42" t="n">
        <v>32349900</v>
      </c>
      <c r="I202" s="44" t="s">
        <v>670</v>
      </c>
      <c r="J202" s="11" t="n">
        <f aca="false">IF(D202="","",N(G202)-N(H202))</f>
        <v>-32349900</v>
      </c>
      <c r="K202" s="34" t="str">
        <f aca="false">IF(D202="","",IFERROR(INDEX(I_COA!$C$6:$C$265,MATCH(D202,I_COA!$A$6:$A$265,0)),"AKUN BARU"))</f>
        <v>Neraca</v>
      </c>
      <c r="L202" s="34" t="str">
        <f aca="false">IF(K202="LabaRugi",INDEX(I_COA!$D$6:$D$265,MATCH(D202,I_COA!$A$6:$A$265,0)),"")</f>
        <v/>
      </c>
      <c r="M202" s="34" t="str">
        <f aca="false">IF(K202="Neraca",INDEX(I_COA!$E$6:$E$265,MATCH(D202,I_COA!$A$6:$A$265,0)),"")</f>
        <v>Unearned Revenue</v>
      </c>
      <c r="N202" s="34" t="str">
        <f aca="false">IF(D202="","",IFERROR(INDEX(I_COA!$G$6:$G$265,MATCH(D202,I_COA!$A$6:$A$265,0)),"N"))</f>
        <v>N</v>
      </c>
      <c r="O202" s="11" t="n">
        <f aca="false">IF(N202="N",ABS(J202),"")</f>
        <v>32349900</v>
      </c>
      <c r="P202" s="18" t="str">
        <f aca="false">IF(N202="N",B202&amp;"|"&amp;ROUND(O202,0),"")</f>
        <v>B842608003|32349900</v>
      </c>
      <c r="Q202" s="18" t="str">
        <f aca="false">IF(N202&lt;&gt;"Y","",IFERROR(INDEX($D$6:$D$4005,MATCH(B202&amp;"|"&amp;ROUND(_xlfn.MAXIFS($O$6:$O$4005,$B$6:$B$4005,B202,$N$6:$N$4005,"N"),0),$P$6:$P$4005,0)),"(tanpa lawan)"))</f>
        <v/>
      </c>
      <c r="R202" s="44"/>
      <c r="S202" s="9" t="str">
        <f aca="false">IF(N202&lt;&gt;"Y","",IF(R202&lt;&gt;"",R202,IF(Q202="(tanpa lawan)","Transfer antar rekening",IFERROR(INDEX(I_COA!$F$6:$F$265,MATCH(Q202,I_COA!$A$6:$A$265,0)),"?"))))</f>
        <v/>
      </c>
    </row>
    <row r="203" customFormat="false" ht="15" hidden="false" customHeight="false" outlineLevel="0" collapsed="false">
      <c r="A203" s="37" t="n">
        <v>46239</v>
      </c>
      <c r="B203" s="44" t="s">
        <v>789</v>
      </c>
      <c r="C203" s="44" t="s">
        <v>594</v>
      </c>
      <c r="D203" s="44" t="n">
        <v>2101003</v>
      </c>
      <c r="E203" s="44" t="s">
        <v>679</v>
      </c>
      <c r="F203" s="44" t="s">
        <v>790</v>
      </c>
      <c r="G203" s="42" t="n">
        <v>19010000</v>
      </c>
      <c r="H203" s="42"/>
      <c r="I203" s="44" t="s">
        <v>440</v>
      </c>
      <c r="J203" s="11" t="n">
        <f aca="false">IF(D203="","",N(G203)-N(H203))</f>
        <v>19010000</v>
      </c>
      <c r="K203" s="34" t="str">
        <f aca="false">IF(D203="","",IFERROR(INDEX(I_COA!$C$6:$C$265,MATCH(D203,I_COA!$A$6:$A$265,0)),"AKUN BARU"))</f>
        <v>Neraca</v>
      </c>
      <c r="L203" s="34" t="str">
        <f aca="false">IF(K203="LabaRugi",INDEX(I_COA!$D$6:$D$265,MATCH(D203,I_COA!$A$6:$A$265,0)),"")</f>
        <v/>
      </c>
      <c r="M203" s="34" t="str">
        <f aca="false">IF(K203="Neraca",INDEX(I_COA!$E$6:$E$265,MATCH(D203,I_COA!$A$6:$A$265,0)),"")</f>
        <v>Other Payable - Third Parties</v>
      </c>
      <c r="N203" s="34" t="str">
        <f aca="false">IF(D203="","",IFERROR(INDEX(I_COA!$G$6:$G$265,MATCH(D203,I_COA!$A$6:$A$265,0)),"N"))</f>
        <v>N</v>
      </c>
      <c r="O203" s="11" t="n">
        <f aca="false">IF(N203="N",ABS(J203),"")</f>
        <v>19010000</v>
      </c>
      <c r="P203" s="18" t="str">
        <f aca="false">IF(N203="N",B203&amp;"|"&amp;ROUND(O203,0),"")</f>
        <v>B8526080007|19010000</v>
      </c>
      <c r="Q203" s="18" t="str">
        <f aca="false">IF(N203&lt;&gt;"Y","",IFERROR(INDEX($D$6:$D$4005,MATCH(B203&amp;"|"&amp;ROUND(_xlfn.MAXIFS($O$6:$O$4005,$B$6:$B$4005,B203,$N$6:$N$4005,"N"),0),$P$6:$P$4005,0)),"(tanpa lawan)"))</f>
        <v/>
      </c>
      <c r="R203" s="44"/>
      <c r="S203" s="9" t="str">
        <f aca="false">IF(N203&lt;&gt;"Y","",IF(R203&lt;&gt;"",R203,IF(Q203="(tanpa lawan)","Transfer antar rekening",IFERROR(INDEX(I_COA!$F$6:$F$265,MATCH(Q203,I_COA!$A$6:$A$265,0)),"?"))))</f>
        <v/>
      </c>
    </row>
    <row r="204" customFormat="false" ht="15" hidden="false" customHeight="false" outlineLevel="0" collapsed="false">
      <c r="A204" s="37" t="n">
        <v>46239</v>
      </c>
      <c r="B204" s="44" t="s">
        <v>789</v>
      </c>
      <c r="C204" s="44" t="s">
        <v>594</v>
      </c>
      <c r="D204" s="44" t="n">
        <v>6200023</v>
      </c>
      <c r="E204" s="44" t="s">
        <v>688</v>
      </c>
      <c r="F204" s="44" t="s">
        <v>790</v>
      </c>
      <c r="G204" s="42"/>
      <c r="H204" s="42" t="n">
        <v>10000</v>
      </c>
      <c r="I204" s="44" t="s">
        <v>440</v>
      </c>
      <c r="J204" s="11" t="n">
        <f aca="false">IF(D204="","",N(G204)-N(H204))</f>
        <v>-10000</v>
      </c>
      <c r="K204" s="34" t="str">
        <f aca="false">IF(D204="","",IFERROR(INDEX(I_COA!$C$6:$C$265,MATCH(D204,I_COA!$A$6:$A$265,0)),"AKUN BARU"))</f>
        <v>LabaRugi</v>
      </c>
      <c r="L204" s="34" t="str">
        <f aca="false">IF(K204="LabaRugi",INDEX(I_COA!$D$6:$D$265,MATCH(D204,I_COA!$A$6:$A$265,0)),"")</f>
        <v>Tax expenses</v>
      </c>
      <c r="M204" s="34" t="str">
        <f aca="false">IF(K204="Neraca",INDEX(I_COA!$E$6:$E$265,MATCH(D204,I_COA!$A$6:$A$265,0)),"")</f>
        <v/>
      </c>
      <c r="N204" s="34" t="str">
        <f aca="false">IF(D204="","",IFERROR(INDEX(I_COA!$G$6:$G$265,MATCH(D204,I_COA!$A$6:$A$265,0)),"N"))</f>
        <v>N</v>
      </c>
      <c r="O204" s="11" t="n">
        <f aca="false">IF(N204="N",ABS(J204),"")</f>
        <v>10000</v>
      </c>
      <c r="P204" s="18" t="str">
        <f aca="false">IF(N204="N",B204&amp;"|"&amp;ROUND(O204,0),"")</f>
        <v>B8526080007|10000</v>
      </c>
      <c r="Q204" s="18" t="str">
        <f aca="false">IF(N204&lt;&gt;"Y","",IFERROR(INDEX($D$6:$D$4005,MATCH(B204&amp;"|"&amp;ROUND(_xlfn.MAXIFS($O$6:$O$4005,$B$6:$B$4005,B204,$N$6:$N$4005,"N"),0),$P$6:$P$4005,0)),"(tanpa lawan)"))</f>
        <v/>
      </c>
      <c r="R204" s="44"/>
      <c r="S204" s="9" t="str">
        <f aca="false">IF(N204&lt;&gt;"Y","",IF(R204&lt;&gt;"",R204,IF(Q204="(tanpa lawan)","Transfer antar rekening",IFERROR(INDEX(I_COA!$F$6:$F$265,MATCH(Q204,I_COA!$A$6:$A$265,0)),"?"))))</f>
        <v/>
      </c>
    </row>
    <row r="205" customFormat="false" ht="15" hidden="false" customHeight="false" outlineLevel="0" collapsed="false">
      <c r="A205" s="37" t="n">
        <v>46239</v>
      </c>
      <c r="B205" s="44" t="s">
        <v>789</v>
      </c>
      <c r="C205" s="44" t="s">
        <v>594</v>
      </c>
      <c r="D205" s="44" t="n">
        <v>1102002</v>
      </c>
      <c r="E205" s="44" t="s">
        <v>598</v>
      </c>
      <c r="F205" s="44" t="s">
        <v>790</v>
      </c>
      <c r="G205" s="42"/>
      <c r="H205" s="42" t="n">
        <v>19000000</v>
      </c>
      <c r="I205" s="44" t="s">
        <v>440</v>
      </c>
      <c r="J205" s="11" t="n">
        <f aca="false">IF(D205="","",N(G205)-N(H205))</f>
        <v>-19000000</v>
      </c>
      <c r="K205" s="34" t="str">
        <f aca="false">IF(D205="","",IFERROR(INDEX(I_COA!$C$6:$C$265,MATCH(D205,I_COA!$A$6:$A$265,0)),"AKUN BARU"))</f>
        <v>Neraca</v>
      </c>
      <c r="L205" s="34" t="str">
        <f aca="false">IF(K205="LabaRugi",INDEX(I_COA!$D$6:$D$265,MATCH(D205,I_COA!$A$6:$A$265,0)),"")</f>
        <v/>
      </c>
      <c r="M205" s="34" t="str">
        <f aca="false">IF(K205="Neraca",INDEX(I_COA!$E$6:$E$265,MATCH(D205,I_COA!$A$6:$A$265,0)),"")</f>
        <v>Cash and cash equivalents</v>
      </c>
      <c r="N205" s="34" t="str">
        <f aca="false">IF(D205="","",IFERROR(INDEX(I_COA!$G$6:$G$265,MATCH(D205,I_COA!$A$6:$A$265,0)),"N"))</f>
        <v>Y</v>
      </c>
      <c r="O205" s="11" t="str">
        <f aca="false">IF(N205="N",ABS(J205),"")</f>
        <v/>
      </c>
      <c r="P205" s="18" t="str">
        <f aca="false">IF(N205="N",B205&amp;"|"&amp;ROUND(O205,0),"")</f>
        <v/>
      </c>
      <c r="Q205" s="18" t="n">
        <f aca="false">IF(N205&lt;&gt;"Y","",IFERROR(INDEX($D$6:$D$4005,MATCH(B205&amp;"|"&amp;ROUND(_xlfn.MAXIFS($O$6:$O$4005,$B$6:$B$4005,B205,$N$6:$N$4005,"N"),0),$P$6:$P$4005,0)),"(tanpa lawan)"))</f>
        <v>2101003</v>
      </c>
      <c r="R205" s="44"/>
      <c r="S205" s="9" t="str">
        <f aca="false">IF(N205&lt;&gt;"Y","",IF(R205&lt;&gt;"",R205,IF(Q205="(tanpa lawan)","Transfer antar rekening",IFERROR(INDEX(I_COA!$F$6:$F$265,MATCH(Q205,I_COA!$A$6:$A$265,0)),"?"))))</f>
        <v>Bayar jasa (maklon, angkut, cold storage, sewa)</v>
      </c>
    </row>
    <row r="206" customFormat="false" ht="15" hidden="false" customHeight="false" outlineLevel="0" collapsed="false">
      <c r="A206" s="37" t="n">
        <v>46239</v>
      </c>
      <c r="B206" s="44" t="s">
        <v>791</v>
      </c>
      <c r="C206" s="44" t="s">
        <v>594</v>
      </c>
      <c r="D206" s="44" t="n">
        <v>2101003</v>
      </c>
      <c r="E206" s="44" t="s">
        <v>679</v>
      </c>
      <c r="F206" s="44" t="s">
        <v>792</v>
      </c>
      <c r="G206" s="42" t="n">
        <v>11390500</v>
      </c>
      <c r="H206" s="42"/>
      <c r="I206" s="44" t="s">
        <v>719</v>
      </c>
      <c r="J206" s="11" t="n">
        <f aca="false">IF(D206="","",N(G206)-N(H206))</f>
        <v>11390500</v>
      </c>
      <c r="K206" s="34" t="str">
        <f aca="false">IF(D206="","",IFERROR(INDEX(I_COA!$C$6:$C$265,MATCH(D206,I_COA!$A$6:$A$265,0)),"AKUN BARU"))</f>
        <v>Neraca</v>
      </c>
      <c r="L206" s="34" t="str">
        <f aca="false">IF(K206="LabaRugi",INDEX(I_COA!$D$6:$D$265,MATCH(D206,I_COA!$A$6:$A$265,0)),"")</f>
        <v/>
      </c>
      <c r="M206" s="34" t="str">
        <f aca="false">IF(K206="Neraca",INDEX(I_COA!$E$6:$E$265,MATCH(D206,I_COA!$A$6:$A$265,0)),"")</f>
        <v>Other Payable - Third Parties</v>
      </c>
      <c r="N206" s="34" t="str">
        <f aca="false">IF(D206="","",IFERROR(INDEX(I_COA!$G$6:$G$265,MATCH(D206,I_COA!$A$6:$A$265,0)),"N"))</f>
        <v>N</v>
      </c>
      <c r="O206" s="11" t="n">
        <f aca="false">IF(N206="N",ABS(J206),"")</f>
        <v>11390500</v>
      </c>
      <c r="P206" s="18" t="str">
        <f aca="false">IF(N206="N",B206&amp;"|"&amp;ROUND(O206,0),"")</f>
        <v>B8526080009|11390500</v>
      </c>
      <c r="Q206" s="18" t="str">
        <f aca="false">IF(N206&lt;&gt;"Y","",IFERROR(INDEX($D$6:$D$4005,MATCH(B206&amp;"|"&amp;ROUND(_xlfn.MAXIFS($O$6:$O$4005,$B$6:$B$4005,B206,$N$6:$N$4005,"N"),0),$P$6:$P$4005,0)),"(tanpa lawan)"))</f>
        <v/>
      </c>
      <c r="R206" s="44"/>
      <c r="S206" s="9" t="str">
        <f aca="false">IF(N206&lt;&gt;"Y","",IF(R206&lt;&gt;"",R206,IF(Q206="(tanpa lawan)","Transfer antar rekening",IFERROR(INDEX(I_COA!$F$6:$F$265,MATCH(Q206,I_COA!$A$6:$A$265,0)),"?"))))</f>
        <v/>
      </c>
    </row>
    <row r="207" customFormat="false" ht="15" hidden="false" customHeight="false" outlineLevel="0" collapsed="false">
      <c r="A207" s="37" t="n">
        <v>46239</v>
      </c>
      <c r="B207" s="44" t="s">
        <v>791</v>
      </c>
      <c r="C207" s="44" t="s">
        <v>594</v>
      </c>
      <c r="D207" s="44" t="n">
        <v>7100009</v>
      </c>
      <c r="E207" s="44" t="s">
        <v>189</v>
      </c>
      <c r="F207" s="44" t="s">
        <v>792</v>
      </c>
      <c r="G207" s="42"/>
      <c r="H207" s="42" t="n">
        <v>500</v>
      </c>
      <c r="I207" s="44" t="s">
        <v>719</v>
      </c>
      <c r="J207" s="11" t="n">
        <f aca="false">IF(D207="","",N(G207)-N(H207))</f>
        <v>-500</v>
      </c>
      <c r="K207" s="34" t="str">
        <f aca="false">IF(D207="","",IFERROR(INDEX(I_COA!$C$6:$C$265,MATCH(D207,I_COA!$A$6:$A$265,0)),"AKUN BARU"))</f>
        <v>LabaRugi</v>
      </c>
      <c r="L207" s="34" t="str">
        <f aca="false">IF(K207="LabaRugi",INDEX(I_COA!$D$6:$D$265,MATCH(D207,I_COA!$A$6:$A$265,0)),"")</f>
        <v>Other Income</v>
      </c>
      <c r="M207" s="34" t="str">
        <f aca="false">IF(K207="Neraca",INDEX(I_COA!$E$6:$E$265,MATCH(D207,I_COA!$A$6:$A$265,0)),"")</f>
        <v/>
      </c>
      <c r="N207" s="34" t="str">
        <f aca="false">IF(D207="","",IFERROR(INDEX(I_COA!$G$6:$G$265,MATCH(D207,I_COA!$A$6:$A$265,0)),"N"))</f>
        <v>N</v>
      </c>
      <c r="O207" s="11" t="n">
        <f aca="false">IF(N207="N",ABS(J207),"")</f>
        <v>500</v>
      </c>
      <c r="P207" s="18" t="str">
        <f aca="false">IF(N207="N",B207&amp;"|"&amp;ROUND(O207,0),"")</f>
        <v>B8526080009|500</v>
      </c>
      <c r="Q207" s="18" t="str">
        <f aca="false">IF(N207&lt;&gt;"Y","",IFERROR(INDEX($D$6:$D$4005,MATCH(B207&amp;"|"&amp;ROUND(_xlfn.MAXIFS($O$6:$O$4005,$B$6:$B$4005,B207,$N$6:$N$4005,"N"),0),$P$6:$P$4005,0)),"(tanpa lawan)"))</f>
        <v/>
      </c>
      <c r="R207" s="44"/>
      <c r="S207" s="9" t="str">
        <f aca="false">IF(N207&lt;&gt;"Y","",IF(R207&lt;&gt;"",R207,IF(Q207="(tanpa lawan)","Transfer antar rekening",IFERROR(INDEX(I_COA!$F$6:$F$265,MATCH(Q207,I_COA!$A$6:$A$265,0)),"?"))))</f>
        <v/>
      </c>
    </row>
    <row r="208" customFormat="false" ht="15" hidden="false" customHeight="false" outlineLevel="0" collapsed="false">
      <c r="A208" s="37" t="n">
        <v>46239</v>
      </c>
      <c r="B208" s="44" t="s">
        <v>791</v>
      </c>
      <c r="C208" s="44" t="s">
        <v>594</v>
      </c>
      <c r="D208" s="44" t="n">
        <v>1102002</v>
      </c>
      <c r="E208" s="44" t="s">
        <v>598</v>
      </c>
      <c r="F208" s="44" t="s">
        <v>792</v>
      </c>
      <c r="G208" s="42"/>
      <c r="H208" s="42" t="n">
        <v>11390000</v>
      </c>
      <c r="I208" s="44" t="s">
        <v>719</v>
      </c>
      <c r="J208" s="11" t="n">
        <f aca="false">IF(D208="","",N(G208)-N(H208))</f>
        <v>-11390000</v>
      </c>
      <c r="K208" s="34" t="str">
        <f aca="false">IF(D208="","",IFERROR(INDEX(I_COA!$C$6:$C$265,MATCH(D208,I_COA!$A$6:$A$265,0)),"AKUN BARU"))</f>
        <v>Neraca</v>
      </c>
      <c r="L208" s="34" t="str">
        <f aca="false">IF(K208="LabaRugi",INDEX(I_COA!$D$6:$D$265,MATCH(D208,I_COA!$A$6:$A$265,0)),"")</f>
        <v/>
      </c>
      <c r="M208" s="34" t="str">
        <f aca="false">IF(K208="Neraca",INDEX(I_COA!$E$6:$E$265,MATCH(D208,I_COA!$A$6:$A$265,0)),"")</f>
        <v>Cash and cash equivalents</v>
      </c>
      <c r="N208" s="34" t="str">
        <f aca="false">IF(D208="","",IFERROR(INDEX(I_COA!$G$6:$G$265,MATCH(D208,I_COA!$A$6:$A$265,0)),"N"))</f>
        <v>Y</v>
      </c>
      <c r="O208" s="11" t="str">
        <f aca="false">IF(N208="N",ABS(J208),"")</f>
        <v/>
      </c>
      <c r="P208" s="18" t="str">
        <f aca="false">IF(N208="N",B208&amp;"|"&amp;ROUND(O208,0),"")</f>
        <v/>
      </c>
      <c r="Q208" s="18" t="n">
        <f aca="false">IF(N208&lt;&gt;"Y","",IFERROR(INDEX($D$6:$D$4005,MATCH(B208&amp;"|"&amp;ROUND(_xlfn.MAXIFS($O$6:$O$4005,$B$6:$B$4005,B208,$N$6:$N$4005,"N"),0),$P$6:$P$4005,0)),"(tanpa lawan)"))</f>
        <v>2101003</v>
      </c>
      <c r="R208" s="44"/>
      <c r="S208" s="9" t="str">
        <f aca="false">IF(N208&lt;&gt;"Y","",IF(R208&lt;&gt;"",R208,IF(Q208="(tanpa lawan)","Transfer antar rekening",IFERROR(INDEX(I_COA!$F$6:$F$265,MATCH(Q208,I_COA!$A$6:$A$265,0)),"?"))))</f>
        <v>Bayar jasa (maklon, angkut, cold storage, sewa)</v>
      </c>
    </row>
    <row r="209" customFormat="false" ht="15" hidden="false" customHeight="false" outlineLevel="0" collapsed="false">
      <c r="A209" s="37" t="n">
        <v>46239</v>
      </c>
      <c r="B209" s="44" t="s">
        <v>793</v>
      </c>
      <c r="C209" s="44" t="s">
        <v>594</v>
      </c>
      <c r="D209" s="44" t="n">
        <v>2101003</v>
      </c>
      <c r="E209" s="44" t="s">
        <v>679</v>
      </c>
      <c r="F209" s="44" t="s">
        <v>794</v>
      </c>
      <c r="G209" s="42" t="n">
        <v>33150000</v>
      </c>
      <c r="H209" s="42"/>
      <c r="I209" s="44" t="s">
        <v>681</v>
      </c>
      <c r="J209" s="11" t="n">
        <f aca="false">IF(D209="","",N(G209)-N(H209))</f>
        <v>33150000</v>
      </c>
      <c r="K209" s="34" t="str">
        <f aca="false">IF(D209="","",IFERROR(INDEX(I_COA!$C$6:$C$265,MATCH(D209,I_COA!$A$6:$A$265,0)),"AKUN BARU"))</f>
        <v>Neraca</v>
      </c>
      <c r="L209" s="34" t="str">
        <f aca="false">IF(K209="LabaRugi",INDEX(I_COA!$D$6:$D$265,MATCH(D209,I_COA!$A$6:$A$265,0)),"")</f>
        <v/>
      </c>
      <c r="M209" s="34" t="str">
        <f aca="false">IF(K209="Neraca",INDEX(I_COA!$E$6:$E$265,MATCH(D209,I_COA!$A$6:$A$265,0)),"")</f>
        <v>Other Payable - Third Parties</v>
      </c>
      <c r="N209" s="34" t="str">
        <f aca="false">IF(D209="","",IFERROR(INDEX(I_COA!$G$6:$G$265,MATCH(D209,I_COA!$A$6:$A$265,0)),"N"))</f>
        <v>N</v>
      </c>
      <c r="O209" s="11" t="n">
        <f aca="false">IF(N209="N",ABS(J209),"")</f>
        <v>33150000</v>
      </c>
      <c r="P209" s="18" t="str">
        <f aca="false">IF(N209="N",B209&amp;"|"&amp;ROUND(O209,0),"")</f>
        <v>B8526080010|33150000</v>
      </c>
      <c r="Q209" s="18" t="str">
        <f aca="false">IF(N209&lt;&gt;"Y","",IFERROR(INDEX($D$6:$D$4005,MATCH(B209&amp;"|"&amp;ROUND(_xlfn.MAXIFS($O$6:$O$4005,$B$6:$B$4005,B209,$N$6:$N$4005,"N"),0),$P$6:$P$4005,0)),"(tanpa lawan)"))</f>
        <v/>
      </c>
      <c r="R209" s="44"/>
      <c r="S209" s="9" t="str">
        <f aca="false">IF(N209&lt;&gt;"Y","",IF(R209&lt;&gt;"",R209,IF(Q209="(tanpa lawan)","Transfer antar rekening",IFERROR(INDEX(I_COA!$F$6:$F$265,MATCH(Q209,I_COA!$A$6:$A$265,0)),"?"))))</f>
        <v/>
      </c>
    </row>
    <row r="210" customFormat="false" ht="15" hidden="false" customHeight="false" outlineLevel="0" collapsed="false">
      <c r="A210" s="37" t="n">
        <v>46239</v>
      </c>
      <c r="B210" s="44" t="s">
        <v>793</v>
      </c>
      <c r="C210" s="44" t="s">
        <v>594</v>
      </c>
      <c r="D210" s="44" t="n">
        <v>6200023</v>
      </c>
      <c r="E210" s="44" t="s">
        <v>688</v>
      </c>
      <c r="F210" s="44" t="s">
        <v>794</v>
      </c>
      <c r="G210" s="42"/>
      <c r="H210" s="42" t="n">
        <v>10000</v>
      </c>
      <c r="I210" s="44" t="s">
        <v>681</v>
      </c>
      <c r="J210" s="11" t="n">
        <f aca="false">IF(D210="","",N(G210)-N(H210))</f>
        <v>-10000</v>
      </c>
      <c r="K210" s="34" t="str">
        <f aca="false">IF(D210="","",IFERROR(INDEX(I_COA!$C$6:$C$265,MATCH(D210,I_COA!$A$6:$A$265,0)),"AKUN BARU"))</f>
        <v>LabaRugi</v>
      </c>
      <c r="L210" s="34" t="str">
        <f aca="false">IF(K210="LabaRugi",INDEX(I_COA!$D$6:$D$265,MATCH(D210,I_COA!$A$6:$A$265,0)),"")</f>
        <v>Tax expenses</v>
      </c>
      <c r="M210" s="34" t="str">
        <f aca="false">IF(K210="Neraca",INDEX(I_COA!$E$6:$E$265,MATCH(D210,I_COA!$A$6:$A$265,0)),"")</f>
        <v/>
      </c>
      <c r="N210" s="34" t="str">
        <f aca="false">IF(D210="","",IFERROR(INDEX(I_COA!$G$6:$G$265,MATCH(D210,I_COA!$A$6:$A$265,0)),"N"))</f>
        <v>N</v>
      </c>
      <c r="O210" s="11" t="n">
        <f aca="false">IF(N210="N",ABS(J210),"")</f>
        <v>10000</v>
      </c>
      <c r="P210" s="18" t="str">
        <f aca="false">IF(N210="N",B210&amp;"|"&amp;ROUND(O210,0),"")</f>
        <v>B8526080010|10000</v>
      </c>
      <c r="Q210" s="18" t="str">
        <f aca="false">IF(N210&lt;&gt;"Y","",IFERROR(INDEX($D$6:$D$4005,MATCH(B210&amp;"|"&amp;ROUND(_xlfn.MAXIFS($O$6:$O$4005,$B$6:$B$4005,B210,$N$6:$N$4005,"N"),0),$P$6:$P$4005,0)),"(tanpa lawan)"))</f>
        <v/>
      </c>
      <c r="R210" s="44"/>
      <c r="S210" s="9" t="str">
        <f aca="false">IF(N210&lt;&gt;"Y","",IF(R210&lt;&gt;"",R210,IF(Q210="(tanpa lawan)","Transfer antar rekening",IFERROR(INDEX(I_COA!$F$6:$F$265,MATCH(Q210,I_COA!$A$6:$A$265,0)),"?"))))</f>
        <v/>
      </c>
    </row>
    <row r="211" customFormat="false" ht="15" hidden="false" customHeight="false" outlineLevel="0" collapsed="false">
      <c r="A211" s="37" t="n">
        <v>46239</v>
      </c>
      <c r="B211" s="44" t="s">
        <v>793</v>
      </c>
      <c r="C211" s="44" t="s">
        <v>594</v>
      </c>
      <c r="D211" s="44" t="n">
        <v>1102002</v>
      </c>
      <c r="E211" s="44" t="s">
        <v>598</v>
      </c>
      <c r="F211" s="44" t="s">
        <v>794</v>
      </c>
      <c r="G211" s="42"/>
      <c r="H211" s="42" t="n">
        <v>33140000</v>
      </c>
      <c r="I211" s="44" t="s">
        <v>681</v>
      </c>
      <c r="J211" s="11" t="n">
        <f aca="false">IF(D211="","",N(G211)-N(H211))</f>
        <v>-33140000</v>
      </c>
      <c r="K211" s="34" t="str">
        <f aca="false">IF(D211="","",IFERROR(INDEX(I_COA!$C$6:$C$265,MATCH(D211,I_COA!$A$6:$A$265,0)),"AKUN BARU"))</f>
        <v>Neraca</v>
      </c>
      <c r="L211" s="34" t="str">
        <f aca="false">IF(K211="LabaRugi",INDEX(I_COA!$D$6:$D$265,MATCH(D211,I_COA!$A$6:$A$265,0)),"")</f>
        <v/>
      </c>
      <c r="M211" s="34" t="str">
        <f aca="false">IF(K211="Neraca",INDEX(I_COA!$E$6:$E$265,MATCH(D211,I_COA!$A$6:$A$265,0)),"")</f>
        <v>Cash and cash equivalents</v>
      </c>
      <c r="N211" s="34" t="str">
        <f aca="false">IF(D211="","",IFERROR(INDEX(I_COA!$G$6:$G$265,MATCH(D211,I_COA!$A$6:$A$265,0)),"N"))</f>
        <v>Y</v>
      </c>
      <c r="O211" s="11" t="str">
        <f aca="false">IF(N211="N",ABS(J211),"")</f>
        <v/>
      </c>
      <c r="P211" s="18" t="str">
        <f aca="false">IF(N211="N",B211&amp;"|"&amp;ROUND(O211,0),"")</f>
        <v/>
      </c>
      <c r="Q211" s="18" t="n">
        <f aca="false">IF(N211&lt;&gt;"Y","",IFERROR(INDEX($D$6:$D$4005,MATCH(B211&amp;"|"&amp;ROUND(_xlfn.MAXIFS($O$6:$O$4005,$B$6:$B$4005,B211,$N$6:$N$4005,"N"),0),$P$6:$P$4005,0)),"(tanpa lawan)"))</f>
        <v>2101003</v>
      </c>
      <c r="R211" s="44"/>
      <c r="S211" s="9" t="str">
        <f aca="false">IF(N211&lt;&gt;"Y","",IF(R211&lt;&gt;"",R211,IF(Q211="(tanpa lawan)","Transfer antar rekening",IFERROR(INDEX(I_COA!$F$6:$F$265,MATCH(Q211,I_COA!$A$6:$A$265,0)),"?"))))</f>
        <v>Bayar jasa (maklon, angkut, cold storage, sewa)</v>
      </c>
    </row>
    <row r="212" customFormat="false" ht="15" hidden="false" customHeight="false" outlineLevel="0" collapsed="false">
      <c r="A212" s="37" t="n">
        <v>46239</v>
      </c>
      <c r="B212" s="44" t="s">
        <v>795</v>
      </c>
      <c r="C212" s="44" t="s">
        <v>594</v>
      </c>
      <c r="D212" s="44" t="n">
        <v>2101001</v>
      </c>
      <c r="E212" s="44" t="s">
        <v>595</v>
      </c>
      <c r="F212" s="44" t="s">
        <v>796</v>
      </c>
      <c r="G212" s="42" t="n">
        <v>192261245</v>
      </c>
      <c r="H212" s="42"/>
      <c r="I212" s="44" t="s">
        <v>597</v>
      </c>
      <c r="J212" s="11" t="n">
        <f aca="false">IF(D212="","",N(G212)-N(H212))</f>
        <v>192261245</v>
      </c>
      <c r="K212" s="34" t="str">
        <f aca="false">IF(D212="","",IFERROR(INDEX(I_COA!$C$6:$C$265,MATCH(D212,I_COA!$A$6:$A$265,0)),"AKUN BARU"))</f>
        <v>Neraca</v>
      </c>
      <c r="L212" s="34" t="str">
        <f aca="false">IF(K212="LabaRugi",INDEX(I_COA!$D$6:$D$265,MATCH(D212,I_COA!$A$6:$A$265,0)),"")</f>
        <v/>
      </c>
      <c r="M212" s="34" t="str">
        <f aca="false">IF(K212="Neraca",INDEX(I_COA!$E$6:$E$265,MATCH(D212,I_COA!$A$6:$A$265,0)),"")</f>
        <v>Trade Payables - Third Parties</v>
      </c>
      <c r="N212" s="34" t="str">
        <f aca="false">IF(D212="","",IFERROR(INDEX(I_COA!$G$6:$G$265,MATCH(D212,I_COA!$A$6:$A$265,0)),"N"))</f>
        <v>N</v>
      </c>
      <c r="O212" s="11" t="n">
        <f aca="false">IF(N212="N",ABS(J212),"")</f>
        <v>192261245</v>
      </c>
      <c r="P212" s="18" t="str">
        <f aca="false">IF(N212="N",B212&amp;"|"&amp;ROUND(O212,0),"")</f>
        <v>B8526080011|192261245</v>
      </c>
      <c r="Q212" s="18" t="str">
        <f aca="false">IF(N212&lt;&gt;"Y","",IFERROR(INDEX($D$6:$D$4005,MATCH(B212&amp;"|"&amp;ROUND(_xlfn.MAXIFS($O$6:$O$4005,$B$6:$B$4005,B212,$N$6:$N$4005,"N"),0),$P$6:$P$4005,0)),"(tanpa lawan)"))</f>
        <v/>
      </c>
      <c r="R212" s="44"/>
      <c r="S212" s="9" t="str">
        <f aca="false">IF(N212&lt;&gt;"Y","",IF(R212&lt;&gt;"",R212,IF(Q212="(tanpa lawan)","Transfer antar rekening",IFERROR(INDEX(I_COA!$F$6:$F$265,MATCH(Q212,I_COA!$A$6:$A$265,0)),"?"))))</f>
        <v/>
      </c>
    </row>
    <row r="213" customFormat="false" ht="15" hidden="false" customHeight="false" outlineLevel="0" collapsed="false">
      <c r="A213" s="37" t="n">
        <v>46239</v>
      </c>
      <c r="B213" s="44" t="s">
        <v>795</v>
      </c>
      <c r="C213" s="44" t="s">
        <v>594</v>
      </c>
      <c r="D213" s="44" t="n">
        <v>6200023</v>
      </c>
      <c r="E213" s="44" t="s">
        <v>688</v>
      </c>
      <c r="F213" s="44" t="s">
        <v>796</v>
      </c>
      <c r="G213" s="42"/>
      <c r="H213" s="42" t="n">
        <v>10000</v>
      </c>
      <c r="I213" s="44" t="s">
        <v>597</v>
      </c>
      <c r="J213" s="11" t="n">
        <f aca="false">IF(D213="","",N(G213)-N(H213))</f>
        <v>-10000</v>
      </c>
      <c r="K213" s="34" t="str">
        <f aca="false">IF(D213="","",IFERROR(INDEX(I_COA!$C$6:$C$265,MATCH(D213,I_COA!$A$6:$A$265,0)),"AKUN BARU"))</f>
        <v>LabaRugi</v>
      </c>
      <c r="L213" s="34" t="str">
        <f aca="false">IF(K213="LabaRugi",INDEX(I_COA!$D$6:$D$265,MATCH(D213,I_COA!$A$6:$A$265,0)),"")</f>
        <v>Tax expenses</v>
      </c>
      <c r="M213" s="34" t="str">
        <f aca="false">IF(K213="Neraca",INDEX(I_COA!$E$6:$E$265,MATCH(D213,I_COA!$A$6:$A$265,0)),"")</f>
        <v/>
      </c>
      <c r="N213" s="34" t="str">
        <f aca="false">IF(D213="","",IFERROR(INDEX(I_COA!$G$6:$G$265,MATCH(D213,I_COA!$A$6:$A$265,0)),"N"))</f>
        <v>N</v>
      </c>
      <c r="O213" s="11" t="n">
        <f aca="false">IF(N213="N",ABS(J213),"")</f>
        <v>10000</v>
      </c>
      <c r="P213" s="18" t="str">
        <f aca="false">IF(N213="N",B213&amp;"|"&amp;ROUND(O213,0),"")</f>
        <v>B8526080011|10000</v>
      </c>
      <c r="Q213" s="18" t="str">
        <f aca="false">IF(N213&lt;&gt;"Y","",IFERROR(INDEX($D$6:$D$4005,MATCH(B213&amp;"|"&amp;ROUND(_xlfn.MAXIFS($O$6:$O$4005,$B$6:$B$4005,B213,$N$6:$N$4005,"N"),0),$P$6:$P$4005,0)),"(tanpa lawan)"))</f>
        <v/>
      </c>
      <c r="R213" s="44"/>
      <c r="S213" s="9" t="str">
        <f aca="false">IF(N213&lt;&gt;"Y","",IF(R213&lt;&gt;"",R213,IF(Q213="(tanpa lawan)","Transfer antar rekening",IFERROR(INDEX(I_COA!$F$6:$F$265,MATCH(Q213,I_COA!$A$6:$A$265,0)),"?"))))</f>
        <v/>
      </c>
    </row>
    <row r="214" customFormat="false" ht="15" hidden="false" customHeight="false" outlineLevel="0" collapsed="false">
      <c r="A214" s="37" t="n">
        <v>46239</v>
      </c>
      <c r="B214" s="44" t="s">
        <v>795</v>
      </c>
      <c r="C214" s="44" t="s">
        <v>594</v>
      </c>
      <c r="D214" s="44" t="n">
        <v>1102002</v>
      </c>
      <c r="E214" s="44" t="s">
        <v>598</v>
      </c>
      <c r="F214" s="44" t="s">
        <v>796</v>
      </c>
      <c r="G214" s="42"/>
      <c r="H214" s="42" t="n">
        <v>192251245</v>
      </c>
      <c r="I214" s="44" t="s">
        <v>597</v>
      </c>
      <c r="J214" s="11" t="n">
        <f aca="false">IF(D214="","",N(G214)-N(H214))</f>
        <v>-192251245</v>
      </c>
      <c r="K214" s="34" t="str">
        <f aca="false">IF(D214="","",IFERROR(INDEX(I_COA!$C$6:$C$265,MATCH(D214,I_COA!$A$6:$A$265,0)),"AKUN BARU"))</f>
        <v>Neraca</v>
      </c>
      <c r="L214" s="34" t="str">
        <f aca="false">IF(K214="LabaRugi",INDEX(I_COA!$D$6:$D$265,MATCH(D214,I_COA!$A$6:$A$265,0)),"")</f>
        <v/>
      </c>
      <c r="M214" s="34" t="str">
        <f aca="false">IF(K214="Neraca",INDEX(I_COA!$E$6:$E$265,MATCH(D214,I_COA!$A$6:$A$265,0)),"")</f>
        <v>Cash and cash equivalents</v>
      </c>
      <c r="N214" s="34" t="str">
        <f aca="false">IF(D214="","",IFERROR(INDEX(I_COA!$G$6:$G$265,MATCH(D214,I_COA!$A$6:$A$265,0)),"N"))</f>
        <v>Y</v>
      </c>
      <c r="O214" s="11" t="str">
        <f aca="false">IF(N214="N",ABS(J214),"")</f>
        <v/>
      </c>
      <c r="P214" s="18" t="str">
        <f aca="false">IF(N214="N",B214&amp;"|"&amp;ROUND(O214,0),"")</f>
        <v/>
      </c>
      <c r="Q214" s="18" t="n">
        <f aca="false">IF(N214&lt;&gt;"Y","",IFERROR(INDEX($D$6:$D$4005,MATCH(B214&amp;"|"&amp;ROUND(_xlfn.MAXIFS($O$6:$O$4005,$B$6:$B$4005,B214,$N$6:$N$4005,"N"),0),$P$6:$P$4005,0)),"(tanpa lawan)"))</f>
        <v>2101001</v>
      </c>
      <c r="R214" s="44"/>
      <c r="S214" s="9" t="str">
        <f aca="false">IF(N214&lt;&gt;"Y","",IF(R214&lt;&gt;"",R214,IF(Q214="(tanpa lawan)","Transfer antar rekening",IFERROR(INDEX(I_COA!$F$6:$F$265,MATCH(Q214,I_COA!$A$6:$A$265,0)),"?"))))</f>
        <v>Bayar pemasok barang (live bird &amp; trading)</v>
      </c>
    </row>
    <row r="215" customFormat="false" ht="15" hidden="false" customHeight="false" outlineLevel="0" collapsed="false">
      <c r="A215" s="37" t="n">
        <v>46239</v>
      </c>
      <c r="B215" s="44" t="s">
        <v>797</v>
      </c>
      <c r="C215" s="44" t="s">
        <v>594</v>
      </c>
      <c r="D215" s="44" t="n">
        <v>2101001</v>
      </c>
      <c r="E215" s="44" t="s">
        <v>595</v>
      </c>
      <c r="F215" s="44" t="s">
        <v>798</v>
      </c>
      <c r="G215" s="42" t="n">
        <v>819429295</v>
      </c>
      <c r="H215" s="42"/>
      <c r="I215" s="44" t="s">
        <v>597</v>
      </c>
      <c r="J215" s="11" t="n">
        <f aca="false">IF(D215="","",N(G215)-N(H215))</f>
        <v>819429295</v>
      </c>
      <c r="K215" s="34" t="str">
        <f aca="false">IF(D215="","",IFERROR(INDEX(I_COA!$C$6:$C$265,MATCH(D215,I_COA!$A$6:$A$265,0)),"AKUN BARU"))</f>
        <v>Neraca</v>
      </c>
      <c r="L215" s="34" t="str">
        <f aca="false">IF(K215="LabaRugi",INDEX(I_COA!$D$6:$D$265,MATCH(D215,I_COA!$A$6:$A$265,0)),"")</f>
        <v/>
      </c>
      <c r="M215" s="34" t="str">
        <f aca="false">IF(K215="Neraca",INDEX(I_COA!$E$6:$E$265,MATCH(D215,I_COA!$A$6:$A$265,0)),"")</f>
        <v>Trade Payables - Third Parties</v>
      </c>
      <c r="N215" s="34" t="str">
        <f aca="false">IF(D215="","",IFERROR(INDEX(I_COA!$G$6:$G$265,MATCH(D215,I_COA!$A$6:$A$265,0)),"N"))</f>
        <v>N</v>
      </c>
      <c r="O215" s="11" t="n">
        <f aca="false">IF(N215="N",ABS(J215),"")</f>
        <v>819429295</v>
      </c>
      <c r="P215" s="18" t="str">
        <f aca="false">IF(N215="N",B215&amp;"|"&amp;ROUND(O215,0),"")</f>
        <v>B8526080012|819429295</v>
      </c>
      <c r="Q215" s="18" t="str">
        <f aca="false">IF(N215&lt;&gt;"Y","",IFERROR(INDEX($D$6:$D$4005,MATCH(B215&amp;"|"&amp;ROUND(_xlfn.MAXIFS($O$6:$O$4005,$B$6:$B$4005,B215,$N$6:$N$4005,"N"),0),$P$6:$P$4005,0)),"(tanpa lawan)"))</f>
        <v/>
      </c>
      <c r="R215" s="44"/>
      <c r="S215" s="9" t="str">
        <f aca="false">IF(N215&lt;&gt;"Y","",IF(R215&lt;&gt;"",R215,IF(Q215="(tanpa lawan)","Transfer antar rekening",IFERROR(INDEX(I_COA!$F$6:$F$265,MATCH(Q215,I_COA!$A$6:$A$265,0)),"?"))))</f>
        <v/>
      </c>
    </row>
    <row r="216" customFormat="false" ht="15" hidden="false" customHeight="false" outlineLevel="0" collapsed="false">
      <c r="A216" s="37" t="n">
        <v>46239</v>
      </c>
      <c r="B216" s="44" t="s">
        <v>797</v>
      </c>
      <c r="C216" s="44" t="s">
        <v>594</v>
      </c>
      <c r="D216" s="44" t="n">
        <v>6200023</v>
      </c>
      <c r="E216" s="44" t="s">
        <v>688</v>
      </c>
      <c r="F216" s="44" t="s">
        <v>798</v>
      </c>
      <c r="G216" s="42"/>
      <c r="H216" s="42" t="n">
        <v>20000</v>
      </c>
      <c r="I216" s="44" t="s">
        <v>597</v>
      </c>
      <c r="J216" s="11" t="n">
        <f aca="false">IF(D216="","",N(G216)-N(H216))</f>
        <v>-20000</v>
      </c>
      <c r="K216" s="34" t="str">
        <f aca="false">IF(D216="","",IFERROR(INDEX(I_COA!$C$6:$C$265,MATCH(D216,I_COA!$A$6:$A$265,0)),"AKUN BARU"))</f>
        <v>LabaRugi</v>
      </c>
      <c r="L216" s="34" t="str">
        <f aca="false">IF(K216="LabaRugi",INDEX(I_COA!$D$6:$D$265,MATCH(D216,I_COA!$A$6:$A$265,0)),"")</f>
        <v>Tax expenses</v>
      </c>
      <c r="M216" s="34" t="str">
        <f aca="false">IF(K216="Neraca",INDEX(I_COA!$E$6:$E$265,MATCH(D216,I_COA!$A$6:$A$265,0)),"")</f>
        <v/>
      </c>
      <c r="N216" s="34" t="str">
        <f aca="false">IF(D216="","",IFERROR(INDEX(I_COA!$G$6:$G$265,MATCH(D216,I_COA!$A$6:$A$265,0)),"N"))</f>
        <v>N</v>
      </c>
      <c r="O216" s="11" t="n">
        <f aca="false">IF(N216="N",ABS(J216),"")</f>
        <v>20000</v>
      </c>
      <c r="P216" s="18" t="str">
        <f aca="false">IF(N216="N",B216&amp;"|"&amp;ROUND(O216,0),"")</f>
        <v>B8526080012|20000</v>
      </c>
      <c r="Q216" s="18" t="str">
        <f aca="false">IF(N216&lt;&gt;"Y","",IFERROR(INDEX($D$6:$D$4005,MATCH(B216&amp;"|"&amp;ROUND(_xlfn.MAXIFS($O$6:$O$4005,$B$6:$B$4005,B216,$N$6:$N$4005,"N"),0),$P$6:$P$4005,0)),"(tanpa lawan)"))</f>
        <v/>
      </c>
      <c r="R216" s="44"/>
      <c r="S216" s="9" t="str">
        <f aca="false">IF(N216&lt;&gt;"Y","",IF(R216&lt;&gt;"",R216,IF(Q216="(tanpa lawan)","Transfer antar rekening",IFERROR(INDEX(I_COA!$F$6:$F$265,MATCH(Q216,I_COA!$A$6:$A$265,0)),"?"))))</f>
        <v/>
      </c>
    </row>
    <row r="217" customFormat="false" ht="15" hidden="false" customHeight="false" outlineLevel="0" collapsed="false">
      <c r="A217" s="37" t="n">
        <v>46239</v>
      </c>
      <c r="B217" s="44" t="s">
        <v>797</v>
      </c>
      <c r="C217" s="44" t="s">
        <v>594</v>
      </c>
      <c r="D217" s="44" t="n">
        <v>2101001</v>
      </c>
      <c r="E217" s="44" t="s">
        <v>595</v>
      </c>
      <c r="F217" s="44" t="s">
        <v>798</v>
      </c>
      <c r="G217" s="42" t="n">
        <v>104590705</v>
      </c>
      <c r="H217" s="42"/>
      <c r="I217" s="44" t="s">
        <v>597</v>
      </c>
      <c r="J217" s="11" t="n">
        <f aca="false">IF(D217="","",N(G217)-N(H217))</f>
        <v>104590705</v>
      </c>
      <c r="K217" s="34" t="str">
        <f aca="false">IF(D217="","",IFERROR(INDEX(I_COA!$C$6:$C$265,MATCH(D217,I_COA!$A$6:$A$265,0)),"AKUN BARU"))</f>
        <v>Neraca</v>
      </c>
      <c r="L217" s="34" t="str">
        <f aca="false">IF(K217="LabaRugi",INDEX(I_COA!$D$6:$D$265,MATCH(D217,I_COA!$A$6:$A$265,0)),"")</f>
        <v/>
      </c>
      <c r="M217" s="34" t="str">
        <f aca="false">IF(K217="Neraca",INDEX(I_COA!$E$6:$E$265,MATCH(D217,I_COA!$A$6:$A$265,0)),"")</f>
        <v>Trade Payables - Third Parties</v>
      </c>
      <c r="N217" s="34" t="str">
        <f aca="false">IF(D217="","",IFERROR(INDEX(I_COA!$G$6:$G$265,MATCH(D217,I_COA!$A$6:$A$265,0)),"N"))</f>
        <v>N</v>
      </c>
      <c r="O217" s="11" t="n">
        <f aca="false">IF(N217="N",ABS(J217),"")</f>
        <v>104590705</v>
      </c>
      <c r="P217" s="18" t="str">
        <f aca="false">IF(N217="N",B217&amp;"|"&amp;ROUND(O217,0),"")</f>
        <v>B8526080012|104590705</v>
      </c>
      <c r="Q217" s="18" t="str">
        <f aca="false">IF(N217&lt;&gt;"Y","",IFERROR(INDEX($D$6:$D$4005,MATCH(B217&amp;"|"&amp;ROUND(_xlfn.MAXIFS($O$6:$O$4005,$B$6:$B$4005,B217,$N$6:$N$4005,"N"),0),$P$6:$P$4005,0)),"(tanpa lawan)"))</f>
        <v/>
      </c>
      <c r="R217" s="44"/>
      <c r="S217" s="9" t="str">
        <f aca="false">IF(N217&lt;&gt;"Y","",IF(R217&lt;&gt;"",R217,IF(Q217="(tanpa lawan)","Transfer antar rekening",IFERROR(INDEX(I_COA!$F$6:$F$265,MATCH(Q217,I_COA!$A$6:$A$265,0)),"?"))))</f>
        <v/>
      </c>
    </row>
    <row r="218" customFormat="false" ht="15" hidden="false" customHeight="false" outlineLevel="0" collapsed="false">
      <c r="A218" s="37" t="n">
        <v>46239</v>
      </c>
      <c r="B218" s="44" t="s">
        <v>797</v>
      </c>
      <c r="C218" s="44" t="s">
        <v>594</v>
      </c>
      <c r="D218" s="44" t="n">
        <v>1102002</v>
      </c>
      <c r="E218" s="44" t="s">
        <v>598</v>
      </c>
      <c r="F218" s="44" t="s">
        <v>798</v>
      </c>
      <c r="G218" s="42"/>
      <c r="H218" s="42" t="n">
        <v>924000000</v>
      </c>
      <c r="I218" s="44" t="s">
        <v>597</v>
      </c>
      <c r="J218" s="11" t="n">
        <f aca="false">IF(D218="","",N(G218)-N(H218))</f>
        <v>-924000000</v>
      </c>
      <c r="K218" s="34" t="str">
        <f aca="false">IF(D218="","",IFERROR(INDEX(I_COA!$C$6:$C$265,MATCH(D218,I_COA!$A$6:$A$265,0)),"AKUN BARU"))</f>
        <v>Neraca</v>
      </c>
      <c r="L218" s="34" t="str">
        <f aca="false">IF(K218="LabaRugi",INDEX(I_COA!$D$6:$D$265,MATCH(D218,I_COA!$A$6:$A$265,0)),"")</f>
        <v/>
      </c>
      <c r="M218" s="34" t="str">
        <f aca="false">IF(K218="Neraca",INDEX(I_COA!$E$6:$E$265,MATCH(D218,I_COA!$A$6:$A$265,0)),"")</f>
        <v>Cash and cash equivalents</v>
      </c>
      <c r="N218" s="34" t="str">
        <f aca="false">IF(D218="","",IFERROR(INDEX(I_COA!$G$6:$G$265,MATCH(D218,I_COA!$A$6:$A$265,0)),"N"))</f>
        <v>Y</v>
      </c>
      <c r="O218" s="11" t="str">
        <f aca="false">IF(N218="N",ABS(J218),"")</f>
        <v/>
      </c>
      <c r="P218" s="18" t="str">
        <f aca="false">IF(N218="N",B218&amp;"|"&amp;ROUND(O218,0),"")</f>
        <v/>
      </c>
      <c r="Q218" s="18" t="n">
        <f aca="false">IF(N218&lt;&gt;"Y","",IFERROR(INDEX($D$6:$D$4005,MATCH(B218&amp;"|"&amp;ROUND(_xlfn.MAXIFS($O$6:$O$4005,$B$6:$B$4005,B218,$N$6:$N$4005,"N"),0),$P$6:$P$4005,0)),"(tanpa lawan)"))</f>
        <v>2101001</v>
      </c>
      <c r="R218" s="44"/>
      <c r="S218" s="9" t="str">
        <f aca="false">IF(N218&lt;&gt;"Y","",IF(R218&lt;&gt;"",R218,IF(Q218="(tanpa lawan)","Transfer antar rekening",IFERROR(INDEX(I_COA!$F$6:$F$265,MATCH(Q218,I_COA!$A$6:$A$265,0)),"?"))))</f>
        <v>Bayar pemasok barang (live bird &amp; trading)</v>
      </c>
    </row>
    <row r="219" customFormat="false" ht="15" hidden="false" customHeight="false" outlineLevel="0" collapsed="false">
      <c r="A219" s="37" t="n">
        <v>46239</v>
      </c>
      <c r="B219" s="44" t="s">
        <v>799</v>
      </c>
      <c r="C219" s="44" t="s">
        <v>594</v>
      </c>
      <c r="D219" s="44" t="n">
        <v>2101003</v>
      </c>
      <c r="E219" s="44" t="s">
        <v>679</v>
      </c>
      <c r="F219" s="44" t="s">
        <v>800</v>
      </c>
      <c r="G219" s="42" t="n">
        <v>751934</v>
      </c>
      <c r="H219" s="42"/>
      <c r="I219" s="44" t="s">
        <v>440</v>
      </c>
      <c r="J219" s="11" t="n">
        <f aca="false">IF(D219="","",N(G219)-N(H219))</f>
        <v>751934</v>
      </c>
      <c r="K219" s="34" t="str">
        <f aca="false">IF(D219="","",IFERROR(INDEX(I_COA!$C$6:$C$265,MATCH(D219,I_COA!$A$6:$A$265,0)),"AKUN BARU"))</f>
        <v>Neraca</v>
      </c>
      <c r="L219" s="34" t="str">
        <f aca="false">IF(K219="LabaRugi",INDEX(I_COA!$D$6:$D$265,MATCH(D219,I_COA!$A$6:$A$265,0)),"")</f>
        <v/>
      </c>
      <c r="M219" s="34" t="str">
        <f aca="false">IF(K219="Neraca",INDEX(I_COA!$E$6:$E$265,MATCH(D219,I_COA!$A$6:$A$265,0)),"")</f>
        <v>Other Payable - Third Parties</v>
      </c>
      <c r="N219" s="34" t="str">
        <f aca="false">IF(D219="","",IFERROR(INDEX(I_COA!$G$6:$G$265,MATCH(D219,I_COA!$A$6:$A$265,0)),"N"))</f>
        <v>N</v>
      </c>
      <c r="O219" s="11" t="n">
        <f aca="false">IF(N219="N",ABS(J219),"")</f>
        <v>751934</v>
      </c>
      <c r="P219" s="18" t="str">
        <f aca="false">IF(N219="N",B219&amp;"|"&amp;ROUND(O219,0),"")</f>
        <v>B8526080013|751934</v>
      </c>
      <c r="Q219" s="18" t="str">
        <f aca="false">IF(N219&lt;&gt;"Y","",IFERROR(INDEX($D$6:$D$4005,MATCH(B219&amp;"|"&amp;ROUND(_xlfn.MAXIFS($O$6:$O$4005,$B$6:$B$4005,B219,$N$6:$N$4005,"N"),0),$P$6:$P$4005,0)),"(tanpa lawan)"))</f>
        <v/>
      </c>
      <c r="R219" s="44"/>
      <c r="S219" s="9" t="str">
        <f aca="false">IF(N219&lt;&gt;"Y","",IF(R219&lt;&gt;"",R219,IF(Q219="(tanpa lawan)","Transfer antar rekening",IFERROR(INDEX(I_COA!$F$6:$F$265,MATCH(Q219,I_COA!$A$6:$A$265,0)),"?"))))</f>
        <v/>
      </c>
    </row>
    <row r="220" customFormat="false" ht="15" hidden="false" customHeight="false" outlineLevel="0" collapsed="false">
      <c r="A220" s="37" t="n">
        <v>46239</v>
      </c>
      <c r="B220" s="44" t="s">
        <v>799</v>
      </c>
      <c r="C220" s="44" t="s">
        <v>594</v>
      </c>
      <c r="D220" s="44" t="n">
        <v>2101003</v>
      </c>
      <c r="E220" s="44" t="s">
        <v>679</v>
      </c>
      <c r="F220" s="44" t="s">
        <v>800</v>
      </c>
      <c r="G220" s="42" t="n">
        <v>1253616</v>
      </c>
      <c r="H220" s="42"/>
      <c r="I220" s="44" t="s">
        <v>440</v>
      </c>
      <c r="J220" s="11" t="n">
        <f aca="false">IF(D220="","",N(G220)-N(H220))</f>
        <v>1253616</v>
      </c>
      <c r="K220" s="34" t="str">
        <f aca="false">IF(D220="","",IFERROR(INDEX(I_COA!$C$6:$C$265,MATCH(D220,I_COA!$A$6:$A$265,0)),"AKUN BARU"))</f>
        <v>Neraca</v>
      </c>
      <c r="L220" s="34" t="str">
        <f aca="false">IF(K220="LabaRugi",INDEX(I_COA!$D$6:$D$265,MATCH(D220,I_COA!$A$6:$A$265,0)),"")</f>
        <v/>
      </c>
      <c r="M220" s="34" t="str">
        <f aca="false">IF(K220="Neraca",INDEX(I_COA!$E$6:$E$265,MATCH(D220,I_COA!$A$6:$A$265,0)),"")</f>
        <v>Other Payable - Third Parties</v>
      </c>
      <c r="N220" s="34" t="str">
        <f aca="false">IF(D220="","",IFERROR(INDEX(I_COA!$G$6:$G$265,MATCH(D220,I_COA!$A$6:$A$265,0)),"N"))</f>
        <v>N</v>
      </c>
      <c r="O220" s="11" t="n">
        <f aca="false">IF(N220="N",ABS(J220),"")</f>
        <v>1253616</v>
      </c>
      <c r="P220" s="18" t="str">
        <f aca="false">IF(N220="N",B220&amp;"|"&amp;ROUND(O220,0),"")</f>
        <v>B8526080013|1253616</v>
      </c>
      <c r="Q220" s="18" t="str">
        <f aca="false">IF(N220&lt;&gt;"Y","",IFERROR(INDEX($D$6:$D$4005,MATCH(B220&amp;"|"&amp;ROUND(_xlfn.MAXIFS($O$6:$O$4005,$B$6:$B$4005,B220,$N$6:$N$4005,"N"),0),$P$6:$P$4005,0)),"(tanpa lawan)"))</f>
        <v/>
      </c>
      <c r="R220" s="44"/>
      <c r="S220" s="9" t="str">
        <f aca="false">IF(N220&lt;&gt;"Y","",IF(R220&lt;&gt;"",R220,IF(Q220="(tanpa lawan)","Transfer antar rekening",IFERROR(INDEX(I_COA!$F$6:$F$265,MATCH(Q220,I_COA!$A$6:$A$265,0)),"?"))))</f>
        <v/>
      </c>
    </row>
    <row r="221" customFormat="false" ht="15" hidden="false" customHeight="false" outlineLevel="0" collapsed="false">
      <c r="A221" s="37" t="n">
        <v>46239</v>
      </c>
      <c r="B221" s="44" t="s">
        <v>799</v>
      </c>
      <c r="C221" s="44" t="s">
        <v>594</v>
      </c>
      <c r="D221" s="44" t="n">
        <v>1102002</v>
      </c>
      <c r="E221" s="44" t="s">
        <v>598</v>
      </c>
      <c r="F221" s="44" t="s">
        <v>800</v>
      </c>
      <c r="G221" s="42"/>
      <c r="H221" s="42" t="n">
        <v>2005550</v>
      </c>
      <c r="I221" s="44" t="s">
        <v>440</v>
      </c>
      <c r="J221" s="11" t="n">
        <f aca="false">IF(D221="","",N(G221)-N(H221))</f>
        <v>-2005550</v>
      </c>
      <c r="K221" s="34" t="str">
        <f aca="false">IF(D221="","",IFERROR(INDEX(I_COA!$C$6:$C$265,MATCH(D221,I_COA!$A$6:$A$265,0)),"AKUN BARU"))</f>
        <v>Neraca</v>
      </c>
      <c r="L221" s="34" t="str">
        <f aca="false">IF(K221="LabaRugi",INDEX(I_COA!$D$6:$D$265,MATCH(D221,I_COA!$A$6:$A$265,0)),"")</f>
        <v/>
      </c>
      <c r="M221" s="34" t="str">
        <f aca="false">IF(K221="Neraca",INDEX(I_COA!$E$6:$E$265,MATCH(D221,I_COA!$A$6:$A$265,0)),"")</f>
        <v>Cash and cash equivalents</v>
      </c>
      <c r="N221" s="34" t="str">
        <f aca="false">IF(D221="","",IFERROR(INDEX(I_COA!$G$6:$G$265,MATCH(D221,I_COA!$A$6:$A$265,0)),"N"))</f>
        <v>Y</v>
      </c>
      <c r="O221" s="11" t="str">
        <f aca="false">IF(N221="N",ABS(J221),"")</f>
        <v/>
      </c>
      <c r="P221" s="18" t="str">
        <f aca="false">IF(N221="N",B221&amp;"|"&amp;ROUND(O221,0),"")</f>
        <v/>
      </c>
      <c r="Q221" s="18" t="n">
        <f aca="false">IF(N221&lt;&gt;"Y","",IFERROR(INDEX($D$6:$D$4005,MATCH(B221&amp;"|"&amp;ROUND(_xlfn.MAXIFS($O$6:$O$4005,$B$6:$B$4005,B221,$N$6:$N$4005,"N"),0),$P$6:$P$4005,0)),"(tanpa lawan)"))</f>
        <v>2101003</v>
      </c>
      <c r="R221" s="44"/>
      <c r="S221" s="9" t="str">
        <f aca="false">IF(N221&lt;&gt;"Y","",IF(R221&lt;&gt;"",R221,IF(Q221="(tanpa lawan)","Transfer antar rekening",IFERROR(INDEX(I_COA!$F$6:$F$265,MATCH(Q221,I_COA!$A$6:$A$265,0)),"?"))))</f>
        <v>Bayar jasa (maklon, angkut, cold storage, sewa)</v>
      </c>
    </row>
    <row r="222" customFormat="false" ht="15" hidden="false" customHeight="false" outlineLevel="0" collapsed="false">
      <c r="A222" s="37" t="n">
        <v>46239</v>
      </c>
      <c r="B222" s="44" t="s">
        <v>801</v>
      </c>
      <c r="C222" s="44" t="s">
        <v>594</v>
      </c>
      <c r="D222" s="44" t="n">
        <v>2101003</v>
      </c>
      <c r="E222" s="44" t="s">
        <v>679</v>
      </c>
      <c r="F222" s="44" t="s">
        <v>802</v>
      </c>
      <c r="G222" s="42" t="n">
        <v>6624404.6</v>
      </c>
      <c r="H222" s="42"/>
      <c r="I222" s="44" t="s">
        <v>440</v>
      </c>
      <c r="J222" s="11" t="n">
        <f aca="false">IF(D222="","",N(G222)-N(H222))</f>
        <v>6624404.6</v>
      </c>
      <c r="K222" s="34" t="str">
        <f aca="false">IF(D222="","",IFERROR(INDEX(I_COA!$C$6:$C$265,MATCH(D222,I_COA!$A$6:$A$265,0)),"AKUN BARU"))</f>
        <v>Neraca</v>
      </c>
      <c r="L222" s="34" t="str">
        <f aca="false">IF(K222="LabaRugi",INDEX(I_COA!$D$6:$D$265,MATCH(D222,I_COA!$A$6:$A$265,0)),"")</f>
        <v/>
      </c>
      <c r="M222" s="34" t="str">
        <f aca="false">IF(K222="Neraca",INDEX(I_COA!$E$6:$E$265,MATCH(D222,I_COA!$A$6:$A$265,0)),"")</f>
        <v>Other Payable - Third Parties</v>
      </c>
      <c r="N222" s="34" t="str">
        <f aca="false">IF(D222="","",IFERROR(INDEX(I_COA!$G$6:$G$265,MATCH(D222,I_COA!$A$6:$A$265,0)),"N"))</f>
        <v>N</v>
      </c>
      <c r="O222" s="11" t="n">
        <f aca="false">IF(N222="N",ABS(J222),"")</f>
        <v>6624404.6</v>
      </c>
      <c r="P222" s="18" t="str">
        <f aca="false">IF(N222="N",B222&amp;"|"&amp;ROUND(O222,0),"")</f>
        <v>B852608006|6624405</v>
      </c>
      <c r="Q222" s="18" t="str">
        <f aca="false">IF(N222&lt;&gt;"Y","",IFERROR(INDEX($D$6:$D$4005,MATCH(B222&amp;"|"&amp;ROUND(_xlfn.MAXIFS($O$6:$O$4005,$B$6:$B$4005,B222,$N$6:$N$4005,"N"),0),$P$6:$P$4005,0)),"(tanpa lawan)"))</f>
        <v/>
      </c>
      <c r="R222" s="44"/>
      <c r="S222" s="9" t="str">
        <f aca="false">IF(N222&lt;&gt;"Y","",IF(R222&lt;&gt;"",R222,IF(Q222="(tanpa lawan)","Transfer antar rekening",IFERROR(INDEX(I_COA!$F$6:$F$265,MATCH(Q222,I_COA!$A$6:$A$265,0)),"?"))))</f>
        <v/>
      </c>
    </row>
    <row r="223" customFormat="false" ht="15" hidden="false" customHeight="false" outlineLevel="0" collapsed="false">
      <c r="A223" s="37" t="n">
        <v>46239</v>
      </c>
      <c r="B223" s="44" t="s">
        <v>801</v>
      </c>
      <c r="C223" s="44" t="s">
        <v>594</v>
      </c>
      <c r="D223" s="44" t="n">
        <v>2101003</v>
      </c>
      <c r="E223" s="44" t="s">
        <v>679</v>
      </c>
      <c r="F223" s="44" t="s">
        <v>802</v>
      </c>
      <c r="G223" s="42" t="n">
        <v>8124278.4</v>
      </c>
      <c r="H223" s="42"/>
      <c r="I223" s="44" t="s">
        <v>440</v>
      </c>
      <c r="J223" s="11" t="n">
        <f aca="false">IF(D223="","",N(G223)-N(H223))</f>
        <v>8124278.4</v>
      </c>
      <c r="K223" s="34" t="str">
        <f aca="false">IF(D223="","",IFERROR(INDEX(I_COA!$C$6:$C$265,MATCH(D223,I_COA!$A$6:$A$265,0)),"AKUN BARU"))</f>
        <v>Neraca</v>
      </c>
      <c r="L223" s="34" t="str">
        <f aca="false">IF(K223="LabaRugi",INDEX(I_COA!$D$6:$D$265,MATCH(D223,I_COA!$A$6:$A$265,0)),"")</f>
        <v/>
      </c>
      <c r="M223" s="34" t="str">
        <f aca="false">IF(K223="Neraca",INDEX(I_COA!$E$6:$E$265,MATCH(D223,I_COA!$A$6:$A$265,0)),"")</f>
        <v>Other Payable - Third Parties</v>
      </c>
      <c r="N223" s="34" t="str">
        <f aca="false">IF(D223="","",IFERROR(INDEX(I_COA!$G$6:$G$265,MATCH(D223,I_COA!$A$6:$A$265,0)),"N"))</f>
        <v>N</v>
      </c>
      <c r="O223" s="11" t="n">
        <f aca="false">IF(N223="N",ABS(J223),"")</f>
        <v>8124278.4</v>
      </c>
      <c r="P223" s="18" t="str">
        <f aca="false">IF(N223="N",B223&amp;"|"&amp;ROUND(O223,0),"")</f>
        <v>B852608006|8124278</v>
      </c>
      <c r="Q223" s="18" t="str">
        <f aca="false">IF(N223&lt;&gt;"Y","",IFERROR(INDEX($D$6:$D$4005,MATCH(B223&amp;"|"&amp;ROUND(_xlfn.MAXIFS($O$6:$O$4005,$B$6:$B$4005,B223,$N$6:$N$4005,"N"),0),$P$6:$P$4005,0)),"(tanpa lawan)"))</f>
        <v/>
      </c>
      <c r="R223" s="44"/>
      <c r="S223" s="9" t="str">
        <f aca="false">IF(N223&lt;&gt;"Y","",IF(R223&lt;&gt;"",R223,IF(Q223="(tanpa lawan)","Transfer antar rekening",IFERROR(INDEX(I_COA!$F$6:$F$265,MATCH(Q223,I_COA!$A$6:$A$265,0)),"?"))))</f>
        <v/>
      </c>
    </row>
    <row r="224" customFormat="false" ht="15" hidden="false" customHeight="false" outlineLevel="0" collapsed="false">
      <c r="A224" s="37" t="n">
        <v>46239</v>
      </c>
      <c r="B224" s="44" t="s">
        <v>801</v>
      </c>
      <c r="C224" s="44" t="s">
        <v>594</v>
      </c>
      <c r="D224" s="44" t="n">
        <v>2101003</v>
      </c>
      <c r="E224" s="44" t="s">
        <v>679</v>
      </c>
      <c r="F224" s="44" t="s">
        <v>802</v>
      </c>
      <c r="G224" s="42" t="n">
        <v>7376675.6</v>
      </c>
      <c r="H224" s="42"/>
      <c r="I224" s="44" t="s">
        <v>440</v>
      </c>
      <c r="J224" s="11" t="n">
        <f aca="false">IF(D224="","",N(G224)-N(H224))</f>
        <v>7376675.6</v>
      </c>
      <c r="K224" s="34" t="str">
        <f aca="false">IF(D224="","",IFERROR(INDEX(I_COA!$C$6:$C$265,MATCH(D224,I_COA!$A$6:$A$265,0)),"AKUN BARU"))</f>
        <v>Neraca</v>
      </c>
      <c r="L224" s="34" t="str">
        <f aca="false">IF(K224="LabaRugi",INDEX(I_COA!$D$6:$D$265,MATCH(D224,I_COA!$A$6:$A$265,0)),"")</f>
        <v/>
      </c>
      <c r="M224" s="34" t="str">
        <f aca="false">IF(K224="Neraca",INDEX(I_COA!$E$6:$E$265,MATCH(D224,I_COA!$A$6:$A$265,0)),"")</f>
        <v>Other Payable - Third Parties</v>
      </c>
      <c r="N224" s="34" t="str">
        <f aca="false">IF(D224="","",IFERROR(INDEX(I_COA!$G$6:$G$265,MATCH(D224,I_COA!$A$6:$A$265,0)),"N"))</f>
        <v>N</v>
      </c>
      <c r="O224" s="11" t="n">
        <f aca="false">IF(N224="N",ABS(J224),"")</f>
        <v>7376675.6</v>
      </c>
      <c r="P224" s="18" t="str">
        <f aca="false">IF(N224="N",B224&amp;"|"&amp;ROUND(O224,0),"")</f>
        <v>B852608006|7376676</v>
      </c>
      <c r="Q224" s="18" t="str">
        <f aca="false">IF(N224&lt;&gt;"Y","",IFERROR(INDEX($D$6:$D$4005,MATCH(B224&amp;"|"&amp;ROUND(_xlfn.MAXIFS($O$6:$O$4005,$B$6:$B$4005,B224,$N$6:$N$4005,"N"),0),$P$6:$P$4005,0)),"(tanpa lawan)"))</f>
        <v/>
      </c>
      <c r="R224" s="44"/>
      <c r="S224" s="9" t="str">
        <f aca="false">IF(N224&lt;&gt;"Y","",IF(R224&lt;&gt;"",R224,IF(Q224="(tanpa lawan)","Transfer antar rekening",IFERROR(INDEX(I_COA!$F$6:$F$265,MATCH(Q224,I_COA!$A$6:$A$265,0)),"?"))))</f>
        <v/>
      </c>
    </row>
    <row r="225" customFormat="false" ht="15" hidden="false" customHeight="false" outlineLevel="0" collapsed="false">
      <c r="A225" s="37" t="n">
        <v>46239</v>
      </c>
      <c r="B225" s="44" t="s">
        <v>801</v>
      </c>
      <c r="C225" s="44" t="s">
        <v>594</v>
      </c>
      <c r="D225" s="44" t="n">
        <v>2101003</v>
      </c>
      <c r="E225" s="44" t="s">
        <v>679</v>
      </c>
      <c r="F225" s="44" t="s">
        <v>802</v>
      </c>
      <c r="G225" s="42" t="n">
        <v>26172641.4</v>
      </c>
      <c r="H225" s="42"/>
      <c r="I225" s="44" t="s">
        <v>440</v>
      </c>
      <c r="J225" s="11" t="n">
        <f aca="false">IF(D225="","",N(G225)-N(H225))</f>
        <v>26172641.4</v>
      </c>
      <c r="K225" s="34" t="str">
        <f aca="false">IF(D225="","",IFERROR(INDEX(I_COA!$C$6:$C$265,MATCH(D225,I_COA!$A$6:$A$265,0)),"AKUN BARU"))</f>
        <v>Neraca</v>
      </c>
      <c r="L225" s="34" t="str">
        <f aca="false">IF(K225="LabaRugi",INDEX(I_COA!$D$6:$D$265,MATCH(D225,I_COA!$A$6:$A$265,0)),"")</f>
        <v/>
      </c>
      <c r="M225" s="34" t="str">
        <f aca="false">IF(K225="Neraca",INDEX(I_COA!$E$6:$E$265,MATCH(D225,I_COA!$A$6:$A$265,0)),"")</f>
        <v>Other Payable - Third Parties</v>
      </c>
      <c r="N225" s="34" t="str">
        <f aca="false">IF(D225="","",IFERROR(INDEX(I_COA!$G$6:$G$265,MATCH(D225,I_COA!$A$6:$A$265,0)),"N"))</f>
        <v>N</v>
      </c>
      <c r="O225" s="11" t="n">
        <f aca="false">IF(N225="N",ABS(J225),"")</f>
        <v>26172641.4</v>
      </c>
      <c r="P225" s="18" t="str">
        <f aca="false">IF(N225="N",B225&amp;"|"&amp;ROUND(O225,0),"")</f>
        <v>B852608006|26172641</v>
      </c>
      <c r="Q225" s="18" t="str">
        <f aca="false">IF(N225&lt;&gt;"Y","",IFERROR(INDEX($D$6:$D$4005,MATCH(B225&amp;"|"&amp;ROUND(_xlfn.MAXIFS($O$6:$O$4005,$B$6:$B$4005,B225,$N$6:$N$4005,"N"),0),$P$6:$P$4005,0)),"(tanpa lawan)"))</f>
        <v/>
      </c>
      <c r="R225" s="44"/>
      <c r="S225" s="9" t="str">
        <f aca="false">IF(N225&lt;&gt;"Y","",IF(R225&lt;&gt;"",R225,IF(Q225="(tanpa lawan)","Transfer antar rekening",IFERROR(INDEX(I_COA!$F$6:$F$265,MATCH(Q225,I_COA!$A$6:$A$265,0)),"?"))))</f>
        <v/>
      </c>
    </row>
    <row r="226" customFormat="false" ht="15" hidden="false" customHeight="false" outlineLevel="0" collapsed="false">
      <c r="A226" s="37" t="n">
        <v>46239</v>
      </c>
      <c r="B226" s="44" t="s">
        <v>801</v>
      </c>
      <c r="C226" s="44" t="s">
        <v>594</v>
      </c>
      <c r="D226" s="44" t="n">
        <v>1102002</v>
      </c>
      <c r="E226" s="44" t="s">
        <v>598</v>
      </c>
      <c r="F226" s="44" t="s">
        <v>802</v>
      </c>
      <c r="G226" s="42"/>
      <c r="H226" s="42" t="n">
        <v>48298000</v>
      </c>
      <c r="I226" s="44" t="s">
        <v>440</v>
      </c>
      <c r="J226" s="11" t="n">
        <f aca="false">IF(D226="","",N(G226)-N(H226))</f>
        <v>-48298000</v>
      </c>
      <c r="K226" s="34" t="str">
        <f aca="false">IF(D226="","",IFERROR(INDEX(I_COA!$C$6:$C$265,MATCH(D226,I_COA!$A$6:$A$265,0)),"AKUN BARU"))</f>
        <v>Neraca</v>
      </c>
      <c r="L226" s="34" t="str">
        <f aca="false">IF(K226="LabaRugi",INDEX(I_COA!$D$6:$D$265,MATCH(D226,I_COA!$A$6:$A$265,0)),"")</f>
        <v/>
      </c>
      <c r="M226" s="34" t="str">
        <f aca="false">IF(K226="Neraca",INDEX(I_COA!$E$6:$E$265,MATCH(D226,I_COA!$A$6:$A$265,0)),"")</f>
        <v>Cash and cash equivalents</v>
      </c>
      <c r="N226" s="34" t="str">
        <f aca="false">IF(D226="","",IFERROR(INDEX(I_COA!$G$6:$G$265,MATCH(D226,I_COA!$A$6:$A$265,0)),"N"))</f>
        <v>Y</v>
      </c>
      <c r="O226" s="11" t="str">
        <f aca="false">IF(N226="N",ABS(J226),"")</f>
        <v/>
      </c>
      <c r="P226" s="18" t="str">
        <f aca="false">IF(N226="N",B226&amp;"|"&amp;ROUND(O226,0),"")</f>
        <v/>
      </c>
      <c r="Q226" s="18" t="n">
        <f aca="false">IF(N226&lt;&gt;"Y","",IFERROR(INDEX($D$6:$D$4005,MATCH(B226&amp;"|"&amp;ROUND(_xlfn.MAXIFS($O$6:$O$4005,$B$6:$B$4005,B226,$N$6:$N$4005,"N"),0),$P$6:$P$4005,0)),"(tanpa lawan)"))</f>
        <v>2101003</v>
      </c>
      <c r="R226" s="44"/>
      <c r="S226" s="9" t="str">
        <f aca="false">IF(N226&lt;&gt;"Y","",IF(R226&lt;&gt;"",R226,IF(Q226="(tanpa lawan)","Transfer antar rekening",IFERROR(INDEX(I_COA!$F$6:$F$265,MATCH(Q226,I_COA!$A$6:$A$265,0)),"?"))))</f>
        <v>Bayar jasa (maklon, angkut, cold storage, sewa)</v>
      </c>
    </row>
    <row r="227" customFormat="false" ht="15" hidden="false" customHeight="false" outlineLevel="0" collapsed="false">
      <c r="A227" s="37" t="n">
        <v>46239</v>
      </c>
      <c r="B227" s="44" t="s">
        <v>803</v>
      </c>
      <c r="C227" s="44" t="s">
        <v>594</v>
      </c>
      <c r="D227" s="44" t="n">
        <v>2101003</v>
      </c>
      <c r="E227" s="44" t="s">
        <v>679</v>
      </c>
      <c r="F227" s="44" t="s">
        <v>804</v>
      </c>
      <c r="G227" s="42" t="n">
        <v>2908540</v>
      </c>
      <c r="H227" s="42"/>
      <c r="I227" s="44" t="s">
        <v>440</v>
      </c>
      <c r="J227" s="11" t="n">
        <f aca="false">IF(D227="","",N(G227)-N(H227))</f>
        <v>2908540</v>
      </c>
      <c r="K227" s="34" t="str">
        <f aca="false">IF(D227="","",IFERROR(INDEX(I_COA!$C$6:$C$265,MATCH(D227,I_COA!$A$6:$A$265,0)),"AKUN BARU"))</f>
        <v>Neraca</v>
      </c>
      <c r="L227" s="34" t="str">
        <f aca="false">IF(K227="LabaRugi",INDEX(I_COA!$D$6:$D$265,MATCH(D227,I_COA!$A$6:$A$265,0)),"")</f>
        <v/>
      </c>
      <c r="M227" s="34" t="str">
        <f aca="false">IF(K227="Neraca",INDEX(I_COA!$E$6:$E$265,MATCH(D227,I_COA!$A$6:$A$265,0)),"")</f>
        <v>Other Payable - Third Parties</v>
      </c>
      <c r="N227" s="34" t="str">
        <f aca="false">IF(D227="","",IFERROR(INDEX(I_COA!$G$6:$G$265,MATCH(D227,I_COA!$A$6:$A$265,0)),"N"))</f>
        <v>N</v>
      </c>
      <c r="O227" s="11" t="n">
        <f aca="false">IF(N227="N",ABS(J227),"")</f>
        <v>2908540</v>
      </c>
      <c r="P227" s="18" t="str">
        <f aca="false">IF(N227="N",B227&amp;"|"&amp;ROUND(O227,0),"")</f>
        <v>B852608008|2908540</v>
      </c>
      <c r="Q227" s="18" t="str">
        <f aca="false">IF(N227&lt;&gt;"Y","",IFERROR(INDEX($D$6:$D$4005,MATCH(B227&amp;"|"&amp;ROUND(_xlfn.MAXIFS($O$6:$O$4005,$B$6:$B$4005,B227,$N$6:$N$4005,"N"),0),$P$6:$P$4005,0)),"(tanpa lawan)"))</f>
        <v/>
      </c>
      <c r="R227" s="44"/>
      <c r="S227" s="9" t="str">
        <f aca="false">IF(N227&lt;&gt;"Y","",IF(R227&lt;&gt;"",R227,IF(Q227="(tanpa lawan)","Transfer antar rekening",IFERROR(INDEX(I_COA!$F$6:$F$265,MATCH(Q227,I_COA!$A$6:$A$265,0)),"?"))))</f>
        <v/>
      </c>
    </row>
    <row r="228" customFormat="false" ht="15" hidden="false" customHeight="false" outlineLevel="0" collapsed="false">
      <c r="A228" s="37" t="n">
        <v>46239</v>
      </c>
      <c r="B228" s="44" t="s">
        <v>803</v>
      </c>
      <c r="C228" s="44" t="s">
        <v>594</v>
      </c>
      <c r="D228" s="44" t="n">
        <v>6200023</v>
      </c>
      <c r="E228" s="44" t="s">
        <v>688</v>
      </c>
      <c r="F228" s="44" t="s">
        <v>804</v>
      </c>
      <c r="G228" s="42"/>
      <c r="H228" s="42" t="n">
        <v>10000</v>
      </c>
      <c r="I228" s="44" t="s">
        <v>440</v>
      </c>
      <c r="J228" s="11" t="n">
        <f aca="false">IF(D228="","",N(G228)-N(H228))</f>
        <v>-10000</v>
      </c>
      <c r="K228" s="34" t="str">
        <f aca="false">IF(D228="","",IFERROR(INDEX(I_COA!$C$6:$C$265,MATCH(D228,I_COA!$A$6:$A$265,0)),"AKUN BARU"))</f>
        <v>LabaRugi</v>
      </c>
      <c r="L228" s="34" t="str">
        <f aca="false">IF(K228="LabaRugi",INDEX(I_COA!$D$6:$D$265,MATCH(D228,I_COA!$A$6:$A$265,0)),"")</f>
        <v>Tax expenses</v>
      </c>
      <c r="M228" s="34" t="str">
        <f aca="false">IF(K228="Neraca",INDEX(I_COA!$E$6:$E$265,MATCH(D228,I_COA!$A$6:$A$265,0)),"")</f>
        <v/>
      </c>
      <c r="N228" s="34" t="str">
        <f aca="false">IF(D228="","",IFERROR(INDEX(I_COA!$G$6:$G$265,MATCH(D228,I_COA!$A$6:$A$265,0)),"N"))</f>
        <v>N</v>
      </c>
      <c r="O228" s="11" t="n">
        <f aca="false">IF(N228="N",ABS(J228),"")</f>
        <v>10000</v>
      </c>
      <c r="P228" s="18" t="str">
        <f aca="false">IF(N228="N",B228&amp;"|"&amp;ROUND(O228,0),"")</f>
        <v>B852608008|10000</v>
      </c>
      <c r="Q228" s="18" t="str">
        <f aca="false">IF(N228&lt;&gt;"Y","",IFERROR(INDEX($D$6:$D$4005,MATCH(B228&amp;"|"&amp;ROUND(_xlfn.MAXIFS($O$6:$O$4005,$B$6:$B$4005,B228,$N$6:$N$4005,"N"),0),$P$6:$P$4005,0)),"(tanpa lawan)"))</f>
        <v/>
      </c>
      <c r="R228" s="44"/>
      <c r="S228" s="9" t="str">
        <f aca="false">IF(N228&lt;&gt;"Y","",IF(R228&lt;&gt;"",R228,IF(Q228="(tanpa lawan)","Transfer antar rekening",IFERROR(INDEX(I_COA!$F$6:$F$265,MATCH(Q228,I_COA!$A$6:$A$265,0)),"?"))))</f>
        <v/>
      </c>
    </row>
    <row r="229" customFormat="false" ht="15" hidden="false" customHeight="false" outlineLevel="0" collapsed="false">
      <c r="A229" s="37" t="n">
        <v>46239</v>
      </c>
      <c r="B229" s="44" t="s">
        <v>803</v>
      </c>
      <c r="C229" s="44" t="s">
        <v>594</v>
      </c>
      <c r="D229" s="44" t="n">
        <v>1102002</v>
      </c>
      <c r="E229" s="44" t="s">
        <v>598</v>
      </c>
      <c r="F229" s="44" t="s">
        <v>804</v>
      </c>
      <c r="G229" s="42"/>
      <c r="H229" s="42" t="n">
        <v>2898540</v>
      </c>
      <c r="I229" s="44" t="s">
        <v>440</v>
      </c>
      <c r="J229" s="11" t="n">
        <f aca="false">IF(D229="","",N(G229)-N(H229))</f>
        <v>-2898540</v>
      </c>
      <c r="K229" s="34" t="str">
        <f aca="false">IF(D229="","",IFERROR(INDEX(I_COA!$C$6:$C$265,MATCH(D229,I_COA!$A$6:$A$265,0)),"AKUN BARU"))</f>
        <v>Neraca</v>
      </c>
      <c r="L229" s="34" t="str">
        <f aca="false">IF(K229="LabaRugi",INDEX(I_COA!$D$6:$D$265,MATCH(D229,I_COA!$A$6:$A$265,0)),"")</f>
        <v/>
      </c>
      <c r="M229" s="34" t="str">
        <f aca="false">IF(K229="Neraca",INDEX(I_COA!$E$6:$E$265,MATCH(D229,I_COA!$A$6:$A$265,0)),"")</f>
        <v>Cash and cash equivalents</v>
      </c>
      <c r="N229" s="34" t="str">
        <f aca="false">IF(D229="","",IFERROR(INDEX(I_COA!$G$6:$G$265,MATCH(D229,I_COA!$A$6:$A$265,0)),"N"))</f>
        <v>Y</v>
      </c>
      <c r="O229" s="11" t="str">
        <f aca="false">IF(N229="N",ABS(J229),"")</f>
        <v/>
      </c>
      <c r="P229" s="18" t="str">
        <f aca="false">IF(N229="N",B229&amp;"|"&amp;ROUND(O229,0),"")</f>
        <v/>
      </c>
      <c r="Q229" s="18" t="n">
        <f aca="false">IF(N229&lt;&gt;"Y","",IFERROR(INDEX($D$6:$D$4005,MATCH(B229&amp;"|"&amp;ROUND(_xlfn.MAXIFS($O$6:$O$4005,$B$6:$B$4005,B229,$N$6:$N$4005,"N"),0),$P$6:$P$4005,0)),"(tanpa lawan)"))</f>
        <v>2101003</v>
      </c>
      <c r="R229" s="44"/>
      <c r="S229" s="9" t="str">
        <f aca="false">IF(N229&lt;&gt;"Y","",IF(R229&lt;&gt;"",R229,IF(Q229="(tanpa lawan)","Transfer antar rekening",IFERROR(INDEX(I_COA!$F$6:$F$265,MATCH(Q229,I_COA!$A$6:$A$265,0)),"?"))))</f>
        <v>Bayar jasa (maklon, angkut, cold storage, sewa)</v>
      </c>
    </row>
    <row r="230" customFormat="false" ht="15" hidden="false" customHeight="false" outlineLevel="0" collapsed="false">
      <c r="A230" s="37" t="n">
        <v>46239</v>
      </c>
      <c r="B230" s="44" t="s">
        <v>805</v>
      </c>
      <c r="C230" s="44" t="s">
        <v>600</v>
      </c>
      <c r="D230" s="44" t="n">
        <v>1104002</v>
      </c>
      <c r="E230" s="44" t="s">
        <v>601</v>
      </c>
      <c r="F230" s="44" t="s">
        <v>806</v>
      </c>
      <c r="G230" s="42" t="n">
        <v>76379740.5</v>
      </c>
      <c r="H230" s="42"/>
      <c r="I230" s="44" t="s">
        <v>432</v>
      </c>
      <c r="J230" s="11" t="n">
        <f aca="false">IF(D230="","",N(G230)-N(H230))</f>
        <v>76379740.5</v>
      </c>
      <c r="K230" s="34" t="str">
        <f aca="false">IF(D230="","",IFERROR(INDEX(I_COA!$C$6:$C$265,MATCH(D230,I_COA!$A$6:$A$265,0)),"AKUN BARU"))</f>
        <v>Neraca</v>
      </c>
      <c r="L230" s="34" t="str">
        <f aca="false">IF(K230="LabaRugi",INDEX(I_COA!$D$6:$D$265,MATCH(D230,I_COA!$A$6:$A$265,0)),"")</f>
        <v/>
      </c>
      <c r="M230" s="34" t="str">
        <f aca="false">IF(K230="Neraca",INDEX(I_COA!$E$6:$E$265,MATCH(D230,I_COA!$A$6:$A$265,0)),"")</f>
        <v>Inventory - Product</v>
      </c>
      <c r="N230" s="34" t="str">
        <f aca="false">IF(D230="","",IFERROR(INDEX(I_COA!$G$6:$G$265,MATCH(D230,I_COA!$A$6:$A$265,0)),"N"))</f>
        <v>N</v>
      </c>
      <c r="O230" s="11" t="n">
        <f aca="false">IF(N230="N",ABS(J230),"")</f>
        <v>76379740.5</v>
      </c>
      <c r="P230" s="18" t="str">
        <f aca="false">IF(N230="N",B230&amp;"|"&amp;ROUND(O230,0),"")</f>
        <v>KGR26.00210|76379741</v>
      </c>
      <c r="Q230" s="18" t="str">
        <f aca="false">IF(N230&lt;&gt;"Y","",IFERROR(INDEX($D$6:$D$4005,MATCH(B230&amp;"|"&amp;ROUND(_xlfn.MAXIFS($O$6:$O$4005,$B$6:$B$4005,B230,$N$6:$N$4005,"N"),0),$P$6:$P$4005,0)),"(tanpa lawan)"))</f>
        <v/>
      </c>
      <c r="R230" s="44"/>
      <c r="S230" s="9" t="str">
        <f aca="false">IF(N230&lt;&gt;"Y","",IF(R230&lt;&gt;"",R230,IF(Q230="(tanpa lawan)","Transfer antar rekening",IFERROR(INDEX(I_COA!$F$6:$F$265,MATCH(Q230,I_COA!$A$6:$A$265,0)),"?"))))</f>
        <v/>
      </c>
    </row>
    <row r="231" customFormat="false" ht="15" hidden="false" customHeight="false" outlineLevel="0" collapsed="false">
      <c r="A231" s="37" t="n">
        <v>46239</v>
      </c>
      <c r="B231" s="44" t="s">
        <v>805</v>
      </c>
      <c r="C231" s="44" t="s">
        <v>600</v>
      </c>
      <c r="D231" s="44" t="n">
        <v>1104006</v>
      </c>
      <c r="E231" s="44" t="s">
        <v>212</v>
      </c>
      <c r="F231" s="44" t="s">
        <v>806</v>
      </c>
      <c r="G231" s="42"/>
      <c r="H231" s="42" t="n">
        <v>76379740.5</v>
      </c>
      <c r="I231" s="44" t="s">
        <v>432</v>
      </c>
      <c r="J231" s="11" t="n">
        <f aca="false">IF(D231="","",N(G231)-N(H231))</f>
        <v>-76379740.5</v>
      </c>
      <c r="K231" s="34" t="str">
        <f aca="false">IF(D231="","",IFERROR(INDEX(I_COA!$C$6:$C$265,MATCH(D231,I_COA!$A$6:$A$265,0)),"AKUN BARU"))</f>
        <v>Neraca</v>
      </c>
      <c r="L231" s="34" t="str">
        <f aca="false">IF(K231="LabaRugi",INDEX(I_COA!$D$6:$D$265,MATCH(D231,I_COA!$A$6:$A$265,0)),"")</f>
        <v/>
      </c>
      <c r="M231" s="34" t="str">
        <f aca="false">IF(K231="Neraca",INDEX(I_COA!$E$6:$E$265,MATCH(D231,I_COA!$A$6:$A$265,0)),"")</f>
        <v>Inventory - Trading</v>
      </c>
      <c r="N231" s="34" t="str">
        <f aca="false">IF(D231="","",IFERROR(INDEX(I_COA!$G$6:$G$265,MATCH(D231,I_COA!$A$6:$A$265,0)),"N"))</f>
        <v>N</v>
      </c>
      <c r="O231" s="11" t="n">
        <f aca="false">IF(N231="N",ABS(J231),"")</f>
        <v>76379740.5</v>
      </c>
      <c r="P231" s="18" t="str">
        <f aca="false">IF(N231="N",B231&amp;"|"&amp;ROUND(O231,0),"")</f>
        <v>KGR26.00210|76379741</v>
      </c>
      <c r="Q231" s="18" t="str">
        <f aca="false">IF(N231&lt;&gt;"Y","",IFERROR(INDEX($D$6:$D$4005,MATCH(B231&amp;"|"&amp;ROUND(_xlfn.MAXIFS($O$6:$O$4005,$B$6:$B$4005,B231,$N$6:$N$4005,"N"),0),$P$6:$P$4005,0)),"(tanpa lawan)"))</f>
        <v/>
      </c>
      <c r="R231" s="44"/>
      <c r="S231" s="9" t="str">
        <f aca="false">IF(N231&lt;&gt;"Y","",IF(R231&lt;&gt;"",R231,IF(Q231="(tanpa lawan)","Transfer antar rekening",IFERROR(INDEX(I_COA!$F$6:$F$265,MATCH(Q231,I_COA!$A$6:$A$265,0)),"?"))))</f>
        <v/>
      </c>
    </row>
    <row r="232" customFormat="false" ht="15" hidden="false" customHeight="false" outlineLevel="0" collapsed="false">
      <c r="A232" s="37" t="n">
        <v>46239</v>
      </c>
      <c r="B232" s="44" t="s">
        <v>807</v>
      </c>
      <c r="C232" s="44" t="s">
        <v>600</v>
      </c>
      <c r="D232" s="44" t="n">
        <v>1104002</v>
      </c>
      <c r="E232" s="44" t="s">
        <v>601</v>
      </c>
      <c r="F232" s="44" t="s">
        <v>808</v>
      </c>
      <c r="G232" s="42" t="n">
        <v>32929092.38</v>
      </c>
      <c r="H232" s="42"/>
      <c r="I232" s="44" t="s">
        <v>774</v>
      </c>
      <c r="J232" s="11" t="n">
        <f aca="false">IF(D232="","",N(G232)-N(H232))</f>
        <v>32929092.38</v>
      </c>
      <c r="K232" s="34" t="str">
        <f aca="false">IF(D232="","",IFERROR(INDEX(I_COA!$C$6:$C$265,MATCH(D232,I_COA!$A$6:$A$265,0)),"AKUN BARU"))</f>
        <v>Neraca</v>
      </c>
      <c r="L232" s="34" t="str">
        <f aca="false">IF(K232="LabaRugi",INDEX(I_COA!$D$6:$D$265,MATCH(D232,I_COA!$A$6:$A$265,0)),"")</f>
        <v/>
      </c>
      <c r="M232" s="34" t="str">
        <f aca="false">IF(K232="Neraca",INDEX(I_COA!$E$6:$E$265,MATCH(D232,I_COA!$A$6:$A$265,0)),"")</f>
        <v>Inventory - Product</v>
      </c>
      <c r="N232" s="34" t="str">
        <f aca="false">IF(D232="","",IFERROR(INDEX(I_COA!$G$6:$G$265,MATCH(D232,I_COA!$A$6:$A$265,0)),"N"))</f>
        <v>N</v>
      </c>
      <c r="O232" s="11" t="n">
        <f aca="false">IF(N232="N",ABS(J232),"")</f>
        <v>32929092.38</v>
      </c>
      <c r="P232" s="18" t="str">
        <f aca="false">IF(N232="N",B232&amp;"|"&amp;ROUND(O232,0),"")</f>
        <v>KGR26.00211|32929092</v>
      </c>
      <c r="Q232" s="18" t="str">
        <f aca="false">IF(N232&lt;&gt;"Y","",IFERROR(INDEX($D$6:$D$4005,MATCH(B232&amp;"|"&amp;ROUND(_xlfn.MAXIFS($O$6:$O$4005,$B$6:$B$4005,B232,$N$6:$N$4005,"N"),0),$P$6:$P$4005,0)),"(tanpa lawan)"))</f>
        <v/>
      </c>
      <c r="R232" s="44"/>
      <c r="S232" s="9" t="str">
        <f aca="false">IF(N232&lt;&gt;"Y","",IF(R232&lt;&gt;"",R232,IF(Q232="(tanpa lawan)","Transfer antar rekening",IFERROR(INDEX(I_COA!$F$6:$F$265,MATCH(Q232,I_COA!$A$6:$A$265,0)),"?"))))</f>
        <v/>
      </c>
    </row>
    <row r="233" customFormat="false" ht="15" hidden="false" customHeight="false" outlineLevel="0" collapsed="false">
      <c r="A233" s="37" t="n">
        <v>46239</v>
      </c>
      <c r="B233" s="44" t="s">
        <v>807</v>
      </c>
      <c r="C233" s="44" t="s">
        <v>600</v>
      </c>
      <c r="D233" s="44" t="n">
        <v>1104006</v>
      </c>
      <c r="E233" s="44" t="s">
        <v>212</v>
      </c>
      <c r="F233" s="44" t="s">
        <v>808</v>
      </c>
      <c r="G233" s="42"/>
      <c r="H233" s="42" t="n">
        <v>32929092.38</v>
      </c>
      <c r="I233" s="44" t="s">
        <v>774</v>
      </c>
      <c r="J233" s="11" t="n">
        <f aca="false">IF(D233="","",N(G233)-N(H233))</f>
        <v>-32929092.38</v>
      </c>
      <c r="K233" s="34" t="str">
        <f aca="false">IF(D233="","",IFERROR(INDEX(I_COA!$C$6:$C$265,MATCH(D233,I_COA!$A$6:$A$265,0)),"AKUN BARU"))</f>
        <v>Neraca</v>
      </c>
      <c r="L233" s="34" t="str">
        <f aca="false">IF(K233="LabaRugi",INDEX(I_COA!$D$6:$D$265,MATCH(D233,I_COA!$A$6:$A$265,0)),"")</f>
        <v/>
      </c>
      <c r="M233" s="34" t="str">
        <f aca="false">IF(K233="Neraca",INDEX(I_COA!$E$6:$E$265,MATCH(D233,I_COA!$A$6:$A$265,0)),"")</f>
        <v>Inventory - Trading</v>
      </c>
      <c r="N233" s="34" t="str">
        <f aca="false">IF(D233="","",IFERROR(INDEX(I_COA!$G$6:$G$265,MATCH(D233,I_COA!$A$6:$A$265,0)),"N"))</f>
        <v>N</v>
      </c>
      <c r="O233" s="11" t="n">
        <f aca="false">IF(N233="N",ABS(J233),"")</f>
        <v>32929092.38</v>
      </c>
      <c r="P233" s="18" t="str">
        <f aca="false">IF(N233="N",B233&amp;"|"&amp;ROUND(O233,0),"")</f>
        <v>KGR26.00211|32929092</v>
      </c>
      <c r="Q233" s="18" t="str">
        <f aca="false">IF(N233&lt;&gt;"Y","",IFERROR(INDEX($D$6:$D$4005,MATCH(B233&amp;"|"&amp;ROUND(_xlfn.MAXIFS($O$6:$O$4005,$B$6:$B$4005,B233,$N$6:$N$4005,"N"),0),$P$6:$P$4005,0)),"(tanpa lawan)"))</f>
        <v/>
      </c>
      <c r="R233" s="44"/>
      <c r="S233" s="9" t="str">
        <f aca="false">IF(N233&lt;&gt;"Y","",IF(R233&lt;&gt;"",R233,IF(Q233="(tanpa lawan)","Transfer antar rekening",IFERROR(INDEX(I_COA!$F$6:$F$265,MATCH(Q233,I_COA!$A$6:$A$265,0)),"?"))))</f>
        <v/>
      </c>
    </row>
    <row r="234" customFormat="false" ht="15" hidden="false" customHeight="false" outlineLevel="0" collapsed="false">
      <c r="A234" s="37" t="n">
        <v>46239</v>
      </c>
      <c r="B234" s="44" t="s">
        <v>809</v>
      </c>
      <c r="C234" s="44" t="s">
        <v>600</v>
      </c>
      <c r="D234" s="44" t="n">
        <v>1104002</v>
      </c>
      <c r="E234" s="44" t="s">
        <v>601</v>
      </c>
      <c r="F234" s="44" t="s">
        <v>810</v>
      </c>
      <c r="G234" s="42" t="n">
        <v>28402020.28</v>
      </c>
      <c r="H234" s="42"/>
      <c r="I234" s="44" t="s">
        <v>670</v>
      </c>
      <c r="J234" s="11" t="n">
        <f aca="false">IF(D234="","",N(G234)-N(H234))</f>
        <v>28402020.28</v>
      </c>
      <c r="K234" s="34" t="str">
        <f aca="false">IF(D234="","",IFERROR(INDEX(I_COA!$C$6:$C$265,MATCH(D234,I_COA!$A$6:$A$265,0)),"AKUN BARU"))</f>
        <v>Neraca</v>
      </c>
      <c r="L234" s="34" t="str">
        <f aca="false">IF(K234="LabaRugi",INDEX(I_COA!$D$6:$D$265,MATCH(D234,I_COA!$A$6:$A$265,0)),"")</f>
        <v/>
      </c>
      <c r="M234" s="34" t="str">
        <f aca="false">IF(K234="Neraca",INDEX(I_COA!$E$6:$E$265,MATCH(D234,I_COA!$A$6:$A$265,0)),"")</f>
        <v>Inventory - Product</v>
      </c>
      <c r="N234" s="34" t="str">
        <f aca="false">IF(D234="","",IFERROR(INDEX(I_COA!$G$6:$G$265,MATCH(D234,I_COA!$A$6:$A$265,0)),"N"))</f>
        <v>N</v>
      </c>
      <c r="O234" s="11" t="n">
        <f aca="false">IF(N234="N",ABS(J234),"")</f>
        <v>28402020.28</v>
      </c>
      <c r="P234" s="18" t="str">
        <f aca="false">IF(N234="N",B234&amp;"|"&amp;ROUND(O234,0),"")</f>
        <v>KGR26.00212|28402020</v>
      </c>
      <c r="Q234" s="18" t="str">
        <f aca="false">IF(N234&lt;&gt;"Y","",IFERROR(INDEX($D$6:$D$4005,MATCH(B234&amp;"|"&amp;ROUND(_xlfn.MAXIFS($O$6:$O$4005,$B$6:$B$4005,B234,$N$6:$N$4005,"N"),0),$P$6:$P$4005,0)),"(tanpa lawan)"))</f>
        <v/>
      </c>
      <c r="R234" s="44"/>
      <c r="S234" s="9" t="str">
        <f aca="false">IF(N234&lt;&gt;"Y","",IF(R234&lt;&gt;"",R234,IF(Q234="(tanpa lawan)","Transfer antar rekening",IFERROR(INDEX(I_COA!$F$6:$F$265,MATCH(Q234,I_COA!$A$6:$A$265,0)),"?"))))</f>
        <v/>
      </c>
    </row>
    <row r="235" customFormat="false" ht="15" hidden="false" customHeight="false" outlineLevel="0" collapsed="false">
      <c r="A235" s="37" t="n">
        <v>46239</v>
      </c>
      <c r="B235" s="44" t="s">
        <v>809</v>
      </c>
      <c r="C235" s="44" t="s">
        <v>600</v>
      </c>
      <c r="D235" s="44" t="n">
        <v>1104003</v>
      </c>
      <c r="E235" s="44" t="s">
        <v>613</v>
      </c>
      <c r="F235" s="44" t="s">
        <v>810</v>
      </c>
      <c r="G235" s="42"/>
      <c r="H235" s="42" t="n">
        <v>28402020.28</v>
      </c>
      <c r="I235" s="44" t="s">
        <v>670</v>
      </c>
      <c r="J235" s="11" t="n">
        <f aca="false">IF(D235="","",N(G235)-N(H235))</f>
        <v>-28402020.28</v>
      </c>
      <c r="K235" s="34" t="str">
        <f aca="false">IF(D235="","",IFERROR(INDEX(I_COA!$C$6:$C$265,MATCH(D235,I_COA!$A$6:$A$265,0)),"AKUN BARU"))</f>
        <v>Neraca</v>
      </c>
      <c r="L235" s="34" t="str">
        <f aca="false">IF(K235="LabaRugi",INDEX(I_COA!$D$6:$D$265,MATCH(D235,I_COA!$A$6:$A$265,0)),"")</f>
        <v/>
      </c>
      <c r="M235" s="34" t="str">
        <f aca="false">IF(K235="Neraca",INDEX(I_COA!$E$6:$E$265,MATCH(D235,I_COA!$A$6:$A$265,0)),"")</f>
        <v>Inventory - Product</v>
      </c>
      <c r="N235" s="34" t="str">
        <f aca="false">IF(D235="","",IFERROR(INDEX(I_COA!$G$6:$G$265,MATCH(D235,I_COA!$A$6:$A$265,0)),"N"))</f>
        <v>N</v>
      </c>
      <c r="O235" s="11" t="n">
        <f aca="false">IF(N235="N",ABS(J235),"")</f>
        <v>28402020.28</v>
      </c>
      <c r="P235" s="18" t="str">
        <f aca="false">IF(N235="N",B235&amp;"|"&amp;ROUND(O235,0),"")</f>
        <v>KGR26.00212|28402020</v>
      </c>
      <c r="Q235" s="18" t="str">
        <f aca="false">IF(N235&lt;&gt;"Y","",IFERROR(INDEX($D$6:$D$4005,MATCH(B235&amp;"|"&amp;ROUND(_xlfn.MAXIFS($O$6:$O$4005,$B$6:$B$4005,B235,$N$6:$N$4005,"N"),0),$P$6:$P$4005,0)),"(tanpa lawan)"))</f>
        <v/>
      </c>
      <c r="R235" s="44"/>
      <c r="S235" s="9" t="str">
        <f aca="false">IF(N235&lt;&gt;"Y","",IF(R235&lt;&gt;"",R235,IF(Q235="(tanpa lawan)","Transfer antar rekening",IFERROR(INDEX(I_COA!$F$6:$F$265,MATCH(Q235,I_COA!$A$6:$A$265,0)),"?"))))</f>
        <v/>
      </c>
    </row>
    <row r="236" customFormat="false" ht="15" hidden="false" customHeight="false" outlineLevel="0" collapsed="false">
      <c r="A236" s="37" t="n">
        <v>46239</v>
      </c>
      <c r="B236" s="44" t="s">
        <v>811</v>
      </c>
      <c r="C236" s="44" t="s">
        <v>600</v>
      </c>
      <c r="D236" s="44" t="n">
        <v>1104002</v>
      </c>
      <c r="E236" s="44" t="s">
        <v>601</v>
      </c>
      <c r="F236" s="44" t="s">
        <v>812</v>
      </c>
      <c r="G236" s="42" t="n">
        <v>19119532.68</v>
      </c>
      <c r="H236" s="42"/>
      <c r="I236" s="44" t="s">
        <v>432</v>
      </c>
      <c r="J236" s="11" t="n">
        <f aca="false">IF(D236="","",N(G236)-N(H236))</f>
        <v>19119532.68</v>
      </c>
      <c r="K236" s="34" t="str">
        <f aca="false">IF(D236="","",IFERROR(INDEX(I_COA!$C$6:$C$265,MATCH(D236,I_COA!$A$6:$A$265,0)),"AKUN BARU"))</f>
        <v>Neraca</v>
      </c>
      <c r="L236" s="34" t="str">
        <f aca="false">IF(K236="LabaRugi",INDEX(I_COA!$D$6:$D$265,MATCH(D236,I_COA!$A$6:$A$265,0)),"")</f>
        <v/>
      </c>
      <c r="M236" s="34" t="str">
        <f aca="false">IF(K236="Neraca",INDEX(I_COA!$E$6:$E$265,MATCH(D236,I_COA!$A$6:$A$265,0)),"")</f>
        <v>Inventory - Product</v>
      </c>
      <c r="N236" s="34" t="str">
        <f aca="false">IF(D236="","",IFERROR(INDEX(I_COA!$G$6:$G$265,MATCH(D236,I_COA!$A$6:$A$265,0)),"N"))</f>
        <v>N</v>
      </c>
      <c r="O236" s="11" t="n">
        <f aca="false">IF(N236="N",ABS(J236),"")</f>
        <v>19119532.68</v>
      </c>
      <c r="P236" s="18" t="str">
        <f aca="false">IF(N236="N",B236&amp;"|"&amp;ROUND(O236,0),"")</f>
        <v>KGR26.00213|19119533</v>
      </c>
      <c r="Q236" s="18" t="str">
        <f aca="false">IF(N236&lt;&gt;"Y","",IFERROR(INDEX($D$6:$D$4005,MATCH(B236&amp;"|"&amp;ROUND(_xlfn.MAXIFS($O$6:$O$4005,$B$6:$B$4005,B236,$N$6:$N$4005,"N"),0),$P$6:$P$4005,0)),"(tanpa lawan)"))</f>
        <v/>
      </c>
      <c r="R236" s="44"/>
      <c r="S236" s="9" t="str">
        <f aca="false">IF(N236&lt;&gt;"Y","",IF(R236&lt;&gt;"",R236,IF(Q236="(tanpa lawan)","Transfer antar rekening",IFERROR(INDEX(I_COA!$F$6:$F$265,MATCH(Q236,I_COA!$A$6:$A$265,0)),"?"))))</f>
        <v/>
      </c>
    </row>
    <row r="237" customFormat="false" ht="15" hidden="false" customHeight="false" outlineLevel="0" collapsed="false">
      <c r="A237" s="37" t="n">
        <v>46239</v>
      </c>
      <c r="B237" s="44" t="s">
        <v>811</v>
      </c>
      <c r="C237" s="44" t="s">
        <v>600</v>
      </c>
      <c r="D237" s="44" t="n">
        <v>1104006</v>
      </c>
      <c r="E237" s="44" t="s">
        <v>212</v>
      </c>
      <c r="F237" s="44" t="s">
        <v>812</v>
      </c>
      <c r="G237" s="42"/>
      <c r="H237" s="42" t="n">
        <v>19119532.68</v>
      </c>
      <c r="I237" s="44" t="s">
        <v>432</v>
      </c>
      <c r="J237" s="11" t="n">
        <f aca="false">IF(D237="","",N(G237)-N(H237))</f>
        <v>-19119532.68</v>
      </c>
      <c r="K237" s="34" t="str">
        <f aca="false">IF(D237="","",IFERROR(INDEX(I_COA!$C$6:$C$265,MATCH(D237,I_COA!$A$6:$A$265,0)),"AKUN BARU"))</f>
        <v>Neraca</v>
      </c>
      <c r="L237" s="34" t="str">
        <f aca="false">IF(K237="LabaRugi",INDEX(I_COA!$D$6:$D$265,MATCH(D237,I_COA!$A$6:$A$265,0)),"")</f>
        <v/>
      </c>
      <c r="M237" s="34" t="str">
        <f aca="false">IF(K237="Neraca",INDEX(I_COA!$E$6:$E$265,MATCH(D237,I_COA!$A$6:$A$265,0)),"")</f>
        <v>Inventory - Trading</v>
      </c>
      <c r="N237" s="34" t="str">
        <f aca="false">IF(D237="","",IFERROR(INDEX(I_COA!$G$6:$G$265,MATCH(D237,I_COA!$A$6:$A$265,0)),"N"))</f>
        <v>N</v>
      </c>
      <c r="O237" s="11" t="n">
        <f aca="false">IF(N237="N",ABS(J237),"")</f>
        <v>19119532.68</v>
      </c>
      <c r="P237" s="18" t="str">
        <f aca="false">IF(N237="N",B237&amp;"|"&amp;ROUND(O237,0),"")</f>
        <v>KGR26.00213|19119533</v>
      </c>
      <c r="Q237" s="18" t="str">
        <f aca="false">IF(N237&lt;&gt;"Y","",IFERROR(INDEX($D$6:$D$4005,MATCH(B237&amp;"|"&amp;ROUND(_xlfn.MAXIFS($O$6:$O$4005,$B$6:$B$4005,B237,$N$6:$N$4005,"N"),0),$P$6:$P$4005,0)),"(tanpa lawan)"))</f>
        <v/>
      </c>
      <c r="R237" s="44"/>
      <c r="S237" s="9" t="str">
        <f aca="false">IF(N237&lt;&gt;"Y","",IF(R237&lt;&gt;"",R237,IF(Q237="(tanpa lawan)","Transfer antar rekening",IFERROR(INDEX(I_COA!$F$6:$F$265,MATCH(Q237,I_COA!$A$6:$A$265,0)),"?"))))</f>
        <v/>
      </c>
    </row>
    <row r="238" customFormat="false" ht="15" hidden="false" customHeight="false" outlineLevel="0" collapsed="false">
      <c r="A238" s="37" t="n">
        <v>46239</v>
      </c>
      <c r="B238" s="44" t="s">
        <v>813</v>
      </c>
      <c r="C238" s="44" t="s">
        <v>600</v>
      </c>
      <c r="D238" s="44" t="n">
        <v>1104002</v>
      </c>
      <c r="E238" s="44" t="s">
        <v>601</v>
      </c>
      <c r="F238" s="44" t="s">
        <v>814</v>
      </c>
      <c r="G238" s="42" t="n">
        <v>88379127.34</v>
      </c>
      <c r="H238" s="42"/>
      <c r="I238" s="44" t="s">
        <v>432</v>
      </c>
      <c r="J238" s="11" t="n">
        <f aca="false">IF(D238="","",N(G238)-N(H238))</f>
        <v>88379127.34</v>
      </c>
      <c r="K238" s="34" t="str">
        <f aca="false">IF(D238="","",IFERROR(INDEX(I_COA!$C$6:$C$265,MATCH(D238,I_COA!$A$6:$A$265,0)),"AKUN BARU"))</f>
        <v>Neraca</v>
      </c>
      <c r="L238" s="34" t="str">
        <f aca="false">IF(K238="LabaRugi",INDEX(I_COA!$D$6:$D$265,MATCH(D238,I_COA!$A$6:$A$265,0)),"")</f>
        <v/>
      </c>
      <c r="M238" s="34" t="str">
        <f aca="false">IF(K238="Neraca",INDEX(I_COA!$E$6:$E$265,MATCH(D238,I_COA!$A$6:$A$265,0)),"")</f>
        <v>Inventory - Product</v>
      </c>
      <c r="N238" s="34" t="str">
        <f aca="false">IF(D238="","",IFERROR(INDEX(I_COA!$G$6:$G$265,MATCH(D238,I_COA!$A$6:$A$265,0)),"N"))</f>
        <v>N</v>
      </c>
      <c r="O238" s="11" t="n">
        <f aca="false">IF(N238="N",ABS(J238),"")</f>
        <v>88379127.34</v>
      </c>
      <c r="P238" s="18" t="str">
        <f aca="false">IF(N238="N",B238&amp;"|"&amp;ROUND(O238,0),"")</f>
        <v>KGR26.00214.|88379127</v>
      </c>
      <c r="Q238" s="18" t="str">
        <f aca="false">IF(N238&lt;&gt;"Y","",IFERROR(INDEX($D$6:$D$4005,MATCH(B238&amp;"|"&amp;ROUND(_xlfn.MAXIFS($O$6:$O$4005,$B$6:$B$4005,B238,$N$6:$N$4005,"N"),0),$P$6:$P$4005,0)),"(tanpa lawan)"))</f>
        <v/>
      </c>
      <c r="R238" s="44"/>
      <c r="S238" s="9" t="str">
        <f aca="false">IF(N238&lt;&gt;"Y","",IF(R238&lt;&gt;"",R238,IF(Q238="(tanpa lawan)","Transfer antar rekening",IFERROR(INDEX(I_COA!$F$6:$F$265,MATCH(Q238,I_COA!$A$6:$A$265,0)),"?"))))</f>
        <v/>
      </c>
    </row>
    <row r="239" customFormat="false" ht="15" hidden="false" customHeight="false" outlineLevel="0" collapsed="false">
      <c r="A239" s="37" t="n">
        <v>46239</v>
      </c>
      <c r="B239" s="44" t="s">
        <v>813</v>
      </c>
      <c r="C239" s="44" t="s">
        <v>600</v>
      </c>
      <c r="D239" s="44" t="n">
        <v>1104006</v>
      </c>
      <c r="E239" s="44" t="s">
        <v>212</v>
      </c>
      <c r="F239" s="44" t="s">
        <v>814</v>
      </c>
      <c r="G239" s="42"/>
      <c r="H239" s="42" t="n">
        <v>88379127.34</v>
      </c>
      <c r="I239" s="44" t="s">
        <v>432</v>
      </c>
      <c r="J239" s="11" t="n">
        <f aca="false">IF(D239="","",N(G239)-N(H239))</f>
        <v>-88379127.34</v>
      </c>
      <c r="K239" s="34" t="str">
        <f aca="false">IF(D239="","",IFERROR(INDEX(I_COA!$C$6:$C$265,MATCH(D239,I_COA!$A$6:$A$265,0)),"AKUN BARU"))</f>
        <v>Neraca</v>
      </c>
      <c r="L239" s="34" t="str">
        <f aca="false">IF(K239="LabaRugi",INDEX(I_COA!$D$6:$D$265,MATCH(D239,I_COA!$A$6:$A$265,0)),"")</f>
        <v/>
      </c>
      <c r="M239" s="34" t="str">
        <f aca="false">IF(K239="Neraca",INDEX(I_COA!$E$6:$E$265,MATCH(D239,I_COA!$A$6:$A$265,0)),"")</f>
        <v>Inventory - Trading</v>
      </c>
      <c r="N239" s="34" t="str">
        <f aca="false">IF(D239="","",IFERROR(INDEX(I_COA!$G$6:$G$265,MATCH(D239,I_COA!$A$6:$A$265,0)),"N"))</f>
        <v>N</v>
      </c>
      <c r="O239" s="11" t="n">
        <f aca="false">IF(N239="N",ABS(J239),"")</f>
        <v>88379127.34</v>
      </c>
      <c r="P239" s="18" t="str">
        <f aca="false">IF(N239="N",B239&amp;"|"&amp;ROUND(O239,0),"")</f>
        <v>KGR26.00214.|88379127</v>
      </c>
      <c r="Q239" s="18" t="str">
        <f aca="false">IF(N239&lt;&gt;"Y","",IFERROR(INDEX($D$6:$D$4005,MATCH(B239&amp;"|"&amp;ROUND(_xlfn.MAXIFS($O$6:$O$4005,$B$6:$B$4005,B239,$N$6:$N$4005,"N"),0),$P$6:$P$4005,0)),"(tanpa lawan)"))</f>
        <v/>
      </c>
      <c r="R239" s="44"/>
      <c r="S239" s="9" t="str">
        <f aca="false">IF(N239&lt;&gt;"Y","",IF(R239&lt;&gt;"",R239,IF(Q239="(tanpa lawan)","Transfer antar rekening",IFERROR(INDEX(I_COA!$F$6:$F$265,MATCH(Q239,I_COA!$A$6:$A$265,0)),"?"))))</f>
        <v/>
      </c>
    </row>
    <row r="240" customFormat="false" ht="15" hidden="false" customHeight="false" outlineLevel="0" collapsed="false">
      <c r="A240" s="37" t="n">
        <v>46239</v>
      </c>
      <c r="B240" s="44" t="s">
        <v>815</v>
      </c>
      <c r="C240" s="44" t="s">
        <v>617</v>
      </c>
      <c r="D240" s="44" t="n">
        <v>1103101</v>
      </c>
      <c r="E240" s="44" t="s">
        <v>589</v>
      </c>
      <c r="F240" s="44" t="s">
        <v>816</v>
      </c>
      <c r="G240" s="42" t="n">
        <v>77987700</v>
      </c>
      <c r="H240" s="42"/>
      <c r="I240" s="44" t="s">
        <v>432</v>
      </c>
      <c r="J240" s="11" t="n">
        <f aca="false">IF(D240="","",N(G240)-N(H240))</f>
        <v>77987700</v>
      </c>
      <c r="K240" s="34" t="str">
        <f aca="false">IF(D240="","",IFERROR(INDEX(I_COA!$C$6:$C$265,MATCH(D240,I_COA!$A$6:$A$265,0)),"AKUN BARU"))</f>
        <v>Neraca</v>
      </c>
      <c r="L240" s="34" t="str">
        <f aca="false">IF(K240="LabaRugi",INDEX(I_COA!$D$6:$D$265,MATCH(D240,I_COA!$A$6:$A$265,0)),"")</f>
        <v/>
      </c>
      <c r="M240" s="34" t="str">
        <f aca="false">IF(K240="Neraca",INDEX(I_COA!$E$6:$E$265,MATCH(D240,I_COA!$A$6:$A$265,0)),"")</f>
        <v>Trade Receivables - Third Parties</v>
      </c>
      <c r="N240" s="34" t="str">
        <f aca="false">IF(D240="","",IFERROR(INDEX(I_COA!$G$6:$G$265,MATCH(D240,I_COA!$A$6:$A$265,0)),"N"))</f>
        <v>N</v>
      </c>
      <c r="O240" s="11" t="n">
        <f aca="false">IF(N240="N",ABS(J240),"")</f>
        <v>77987700</v>
      </c>
      <c r="P240" s="18" t="str">
        <f aca="false">IF(N240="N",B240&amp;"|"&amp;ROUND(O240,0),"")</f>
        <v>KGR26/0210|77987700</v>
      </c>
      <c r="Q240" s="18" t="str">
        <f aca="false">IF(N240&lt;&gt;"Y","",IFERROR(INDEX($D$6:$D$4005,MATCH(B240&amp;"|"&amp;ROUND(_xlfn.MAXIFS($O$6:$O$4005,$B$6:$B$4005,B240,$N$6:$N$4005,"N"),0),$P$6:$P$4005,0)),"(tanpa lawan)"))</f>
        <v/>
      </c>
      <c r="R240" s="44"/>
      <c r="S240" s="9" t="str">
        <f aca="false">IF(N240&lt;&gt;"Y","",IF(R240&lt;&gt;"",R240,IF(Q240="(tanpa lawan)","Transfer antar rekening",IFERROR(INDEX(I_COA!$F$6:$F$265,MATCH(Q240,I_COA!$A$6:$A$265,0)),"?"))))</f>
        <v/>
      </c>
    </row>
    <row r="241" customFormat="false" ht="15" hidden="false" customHeight="false" outlineLevel="0" collapsed="false">
      <c r="A241" s="37" t="n">
        <v>46239</v>
      </c>
      <c r="B241" s="44" t="s">
        <v>815</v>
      </c>
      <c r="C241" s="44" t="s">
        <v>617</v>
      </c>
      <c r="D241" s="44" t="n">
        <v>4101012</v>
      </c>
      <c r="E241" s="44" t="s">
        <v>619</v>
      </c>
      <c r="F241" s="44" t="s">
        <v>816</v>
      </c>
      <c r="G241" s="42"/>
      <c r="H241" s="42" t="n">
        <v>77987700</v>
      </c>
      <c r="I241" s="44" t="s">
        <v>432</v>
      </c>
      <c r="J241" s="11" t="n">
        <f aca="false">IF(D241="","",N(G241)-N(H241))</f>
        <v>-77987700</v>
      </c>
      <c r="K241" s="34" t="str">
        <f aca="false">IF(D241="","",IFERROR(INDEX(I_COA!$C$6:$C$265,MATCH(D241,I_COA!$A$6:$A$265,0)),"AKUN BARU"))</f>
        <v>LabaRugi</v>
      </c>
      <c r="L241" s="34" t="str">
        <f aca="false">IF(K241="LabaRugi",INDEX(I_COA!$D$6:$D$265,MATCH(D241,I_COA!$A$6:$A$265,0)),"")</f>
        <v>Revenue - Trading</v>
      </c>
      <c r="M241" s="34" t="str">
        <f aca="false">IF(K241="Neraca",INDEX(I_COA!$E$6:$E$265,MATCH(D241,I_COA!$A$6:$A$265,0)),"")</f>
        <v/>
      </c>
      <c r="N241" s="34" t="str">
        <f aca="false">IF(D241="","",IFERROR(INDEX(I_COA!$G$6:$G$265,MATCH(D241,I_COA!$A$6:$A$265,0)),"N"))</f>
        <v>N</v>
      </c>
      <c r="O241" s="11" t="n">
        <f aca="false">IF(N241="N",ABS(J241),"")</f>
        <v>77987700</v>
      </c>
      <c r="P241" s="18" t="str">
        <f aca="false">IF(N241="N",B241&amp;"|"&amp;ROUND(O241,0),"")</f>
        <v>KGR26/0210|77987700</v>
      </c>
      <c r="Q241" s="18" t="str">
        <f aca="false">IF(N241&lt;&gt;"Y","",IFERROR(INDEX($D$6:$D$4005,MATCH(B241&amp;"|"&amp;ROUND(_xlfn.MAXIFS($O$6:$O$4005,$B$6:$B$4005,B241,$N$6:$N$4005,"N"),0),$P$6:$P$4005,0)),"(tanpa lawan)"))</f>
        <v/>
      </c>
      <c r="R241" s="44"/>
      <c r="S241" s="9" t="str">
        <f aca="false">IF(N241&lt;&gt;"Y","",IF(R241&lt;&gt;"",R241,IF(Q241="(tanpa lawan)","Transfer antar rekening",IFERROR(INDEX(I_COA!$F$6:$F$265,MATCH(Q241,I_COA!$A$6:$A$265,0)),"?"))))</f>
        <v/>
      </c>
    </row>
    <row r="242" customFormat="false" ht="15" hidden="false" customHeight="false" outlineLevel="0" collapsed="false">
      <c r="A242" s="37" t="n">
        <v>46239</v>
      </c>
      <c r="B242" s="44" t="s">
        <v>815</v>
      </c>
      <c r="C242" s="44" t="s">
        <v>617</v>
      </c>
      <c r="D242" s="44" t="n">
        <v>5100011</v>
      </c>
      <c r="E242" s="44" t="s">
        <v>166</v>
      </c>
      <c r="F242" s="44" t="s">
        <v>816</v>
      </c>
      <c r="G242" s="42" t="n">
        <v>76379740.5</v>
      </c>
      <c r="H242" s="42"/>
      <c r="I242" s="44" t="s">
        <v>432</v>
      </c>
      <c r="J242" s="11" t="n">
        <f aca="false">IF(D242="","",N(G242)-N(H242))</f>
        <v>76379740.5</v>
      </c>
      <c r="K242" s="34" t="str">
        <f aca="false">IF(D242="","",IFERROR(INDEX(I_COA!$C$6:$C$265,MATCH(D242,I_COA!$A$6:$A$265,0)),"AKUN BARU"))</f>
        <v>LabaRugi</v>
      </c>
      <c r="L242" s="34" t="str">
        <f aca="false">IF(K242="LabaRugi",INDEX(I_COA!$D$6:$D$265,MATCH(D242,I_COA!$A$6:$A$265,0)),"")</f>
        <v>COGS - Trading</v>
      </c>
      <c r="M242" s="34" t="str">
        <f aca="false">IF(K242="Neraca",INDEX(I_COA!$E$6:$E$265,MATCH(D242,I_COA!$A$6:$A$265,0)),"")</f>
        <v/>
      </c>
      <c r="N242" s="34" t="str">
        <f aca="false">IF(D242="","",IFERROR(INDEX(I_COA!$G$6:$G$265,MATCH(D242,I_COA!$A$6:$A$265,0)),"N"))</f>
        <v>N</v>
      </c>
      <c r="O242" s="11" t="n">
        <f aca="false">IF(N242="N",ABS(J242),"")</f>
        <v>76379740.5</v>
      </c>
      <c r="P242" s="18" t="str">
        <f aca="false">IF(N242="N",B242&amp;"|"&amp;ROUND(O242,0),"")</f>
        <v>KGR26/0210|76379741</v>
      </c>
      <c r="Q242" s="18" t="str">
        <f aca="false">IF(N242&lt;&gt;"Y","",IFERROR(INDEX($D$6:$D$4005,MATCH(B242&amp;"|"&amp;ROUND(_xlfn.MAXIFS($O$6:$O$4005,$B$6:$B$4005,B242,$N$6:$N$4005,"N"),0),$P$6:$P$4005,0)),"(tanpa lawan)"))</f>
        <v/>
      </c>
      <c r="R242" s="44"/>
      <c r="S242" s="9" t="str">
        <f aca="false">IF(N242&lt;&gt;"Y","",IF(R242&lt;&gt;"",R242,IF(Q242="(tanpa lawan)","Transfer antar rekening",IFERROR(INDEX(I_COA!$F$6:$F$265,MATCH(Q242,I_COA!$A$6:$A$265,0)),"?"))))</f>
        <v/>
      </c>
    </row>
    <row r="243" customFormat="false" ht="15" hidden="false" customHeight="false" outlineLevel="0" collapsed="false">
      <c r="A243" s="37" t="n">
        <v>46239</v>
      </c>
      <c r="B243" s="44" t="s">
        <v>815</v>
      </c>
      <c r="C243" s="44" t="s">
        <v>617</v>
      </c>
      <c r="D243" s="44" t="n">
        <v>1104002</v>
      </c>
      <c r="E243" s="44" t="s">
        <v>601</v>
      </c>
      <c r="F243" s="44" t="s">
        <v>816</v>
      </c>
      <c r="G243" s="42"/>
      <c r="H243" s="42" t="n">
        <v>76379740.5</v>
      </c>
      <c r="I243" s="44" t="s">
        <v>432</v>
      </c>
      <c r="J243" s="11" t="n">
        <f aca="false">IF(D243="","",N(G243)-N(H243))</f>
        <v>-76379740.5</v>
      </c>
      <c r="K243" s="34" t="str">
        <f aca="false">IF(D243="","",IFERROR(INDEX(I_COA!$C$6:$C$265,MATCH(D243,I_COA!$A$6:$A$265,0)),"AKUN BARU"))</f>
        <v>Neraca</v>
      </c>
      <c r="L243" s="34" t="str">
        <f aca="false">IF(K243="LabaRugi",INDEX(I_COA!$D$6:$D$265,MATCH(D243,I_COA!$A$6:$A$265,0)),"")</f>
        <v/>
      </c>
      <c r="M243" s="34" t="str">
        <f aca="false">IF(K243="Neraca",INDEX(I_COA!$E$6:$E$265,MATCH(D243,I_COA!$A$6:$A$265,0)),"")</f>
        <v>Inventory - Product</v>
      </c>
      <c r="N243" s="34" t="str">
        <f aca="false">IF(D243="","",IFERROR(INDEX(I_COA!$G$6:$G$265,MATCH(D243,I_COA!$A$6:$A$265,0)),"N"))</f>
        <v>N</v>
      </c>
      <c r="O243" s="11" t="n">
        <f aca="false">IF(N243="N",ABS(J243),"")</f>
        <v>76379740.5</v>
      </c>
      <c r="P243" s="18" t="str">
        <f aca="false">IF(N243="N",B243&amp;"|"&amp;ROUND(O243,0),"")</f>
        <v>KGR26/0210|76379741</v>
      </c>
      <c r="Q243" s="18" t="str">
        <f aca="false">IF(N243&lt;&gt;"Y","",IFERROR(INDEX($D$6:$D$4005,MATCH(B243&amp;"|"&amp;ROUND(_xlfn.MAXIFS($O$6:$O$4005,$B$6:$B$4005,B243,$N$6:$N$4005,"N"),0),$P$6:$P$4005,0)),"(tanpa lawan)"))</f>
        <v/>
      </c>
      <c r="R243" s="44"/>
      <c r="S243" s="9" t="str">
        <f aca="false">IF(N243&lt;&gt;"Y","",IF(R243&lt;&gt;"",R243,IF(Q243="(tanpa lawan)","Transfer antar rekening",IFERROR(INDEX(I_COA!$F$6:$F$265,MATCH(Q243,I_COA!$A$6:$A$265,0)),"?"))))</f>
        <v/>
      </c>
    </row>
    <row r="244" customFormat="false" ht="15" hidden="false" customHeight="false" outlineLevel="0" collapsed="false">
      <c r="A244" s="37" t="n">
        <v>46239</v>
      </c>
      <c r="B244" s="44" t="s">
        <v>817</v>
      </c>
      <c r="C244" s="44" t="s">
        <v>617</v>
      </c>
      <c r="D244" s="44" t="n">
        <v>1103101</v>
      </c>
      <c r="E244" s="44" t="s">
        <v>589</v>
      </c>
      <c r="F244" s="44" t="s">
        <v>818</v>
      </c>
      <c r="G244" s="42" t="n">
        <v>32748800</v>
      </c>
      <c r="H244" s="42"/>
      <c r="I244" s="44" t="s">
        <v>774</v>
      </c>
      <c r="J244" s="11" t="n">
        <f aca="false">IF(D244="","",N(G244)-N(H244))</f>
        <v>32748800</v>
      </c>
      <c r="K244" s="34" t="str">
        <f aca="false">IF(D244="","",IFERROR(INDEX(I_COA!$C$6:$C$265,MATCH(D244,I_COA!$A$6:$A$265,0)),"AKUN BARU"))</f>
        <v>Neraca</v>
      </c>
      <c r="L244" s="34" t="str">
        <f aca="false">IF(K244="LabaRugi",INDEX(I_COA!$D$6:$D$265,MATCH(D244,I_COA!$A$6:$A$265,0)),"")</f>
        <v/>
      </c>
      <c r="M244" s="34" t="str">
        <f aca="false">IF(K244="Neraca",INDEX(I_COA!$E$6:$E$265,MATCH(D244,I_COA!$A$6:$A$265,0)),"")</f>
        <v>Trade Receivables - Third Parties</v>
      </c>
      <c r="N244" s="34" t="str">
        <f aca="false">IF(D244="","",IFERROR(INDEX(I_COA!$G$6:$G$265,MATCH(D244,I_COA!$A$6:$A$265,0)),"N"))</f>
        <v>N</v>
      </c>
      <c r="O244" s="11" t="n">
        <f aca="false">IF(N244="N",ABS(J244),"")</f>
        <v>32748800</v>
      </c>
      <c r="P244" s="18" t="str">
        <f aca="false">IF(N244="N",B244&amp;"|"&amp;ROUND(O244,0),"")</f>
        <v>KGR26/0211|32748800</v>
      </c>
      <c r="Q244" s="18" t="str">
        <f aca="false">IF(N244&lt;&gt;"Y","",IFERROR(INDEX($D$6:$D$4005,MATCH(B244&amp;"|"&amp;ROUND(_xlfn.MAXIFS($O$6:$O$4005,$B$6:$B$4005,B244,$N$6:$N$4005,"N"),0),$P$6:$P$4005,0)),"(tanpa lawan)"))</f>
        <v/>
      </c>
      <c r="R244" s="44"/>
      <c r="S244" s="9" t="str">
        <f aca="false">IF(N244&lt;&gt;"Y","",IF(R244&lt;&gt;"",R244,IF(Q244="(tanpa lawan)","Transfer antar rekening",IFERROR(INDEX(I_COA!$F$6:$F$265,MATCH(Q244,I_COA!$A$6:$A$265,0)),"?"))))</f>
        <v/>
      </c>
    </row>
    <row r="245" customFormat="false" ht="15" hidden="false" customHeight="false" outlineLevel="0" collapsed="false">
      <c r="A245" s="37" t="n">
        <v>46239</v>
      </c>
      <c r="B245" s="44" t="s">
        <v>817</v>
      </c>
      <c r="C245" s="44" t="s">
        <v>617</v>
      </c>
      <c r="D245" s="44" t="n">
        <v>4101012</v>
      </c>
      <c r="E245" s="44" t="s">
        <v>619</v>
      </c>
      <c r="F245" s="44" t="s">
        <v>818</v>
      </c>
      <c r="G245" s="42"/>
      <c r="H245" s="42" t="n">
        <v>32748800</v>
      </c>
      <c r="I245" s="44" t="s">
        <v>774</v>
      </c>
      <c r="J245" s="11" t="n">
        <f aca="false">IF(D245="","",N(G245)-N(H245))</f>
        <v>-32748800</v>
      </c>
      <c r="K245" s="34" t="str">
        <f aca="false">IF(D245="","",IFERROR(INDEX(I_COA!$C$6:$C$265,MATCH(D245,I_COA!$A$6:$A$265,0)),"AKUN BARU"))</f>
        <v>LabaRugi</v>
      </c>
      <c r="L245" s="34" t="str">
        <f aca="false">IF(K245="LabaRugi",INDEX(I_COA!$D$6:$D$265,MATCH(D245,I_COA!$A$6:$A$265,0)),"")</f>
        <v>Revenue - Trading</v>
      </c>
      <c r="M245" s="34" t="str">
        <f aca="false">IF(K245="Neraca",INDEX(I_COA!$E$6:$E$265,MATCH(D245,I_COA!$A$6:$A$265,0)),"")</f>
        <v/>
      </c>
      <c r="N245" s="34" t="str">
        <f aca="false">IF(D245="","",IFERROR(INDEX(I_COA!$G$6:$G$265,MATCH(D245,I_COA!$A$6:$A$265,0)),"N"))</f>
        <v>N</v>
      </c>
      <c r="O245" s="11" t="n">
        <f aca="false">IF(N245="N",ABS(J245),"")</f>
        <v>32748800</v>
      </c>
      <c r="P245" s="18" t="str">
        <f aca="false">IF(N245="N",B245&amp;"|"&amp;ROUND(O245,0),"")</f>
        <v>KGR26/0211|32748800</v>
      </c>
      <c r="Q245" s="18" t="str">
        <f aca="false">IF(N245&lt;&gt;"Y","",IFERROR(INDEX($D$6:$D$4005,MATCH(B245&amp;"|"&amp;ROUND(_xlfn.MAXIFS($O$6:$O$4005,$B$6:$B$4005,B245,$N$6:$N$4005,"N"),0),$P$6:$P$4005,0)),"(tanpa lawan)"))</f>
        <v/>
      </c>
      <c r="R245" s="44"/>
      <c r="S245" s="9" t="str">
        <f aca="false">IF(N245&lt;&gt;"Y","",IF(R245&lt;&gt;"",R245,IF(Q245="(tanpa lawan)","Transfer antar rekening",IFERROR(INDEX(I_COA!$F$6:$F$265,MATCH(Q245,I_COA!$A$6:$A$265,0)),"?"))))</f>
        <v/>
      </c>
    </row>
    <row r="246" customFormat="false" ht="15" hidden="false" customHeight="false" outlineLevel="0" collapsed="false">
      <c r="A246" s="37" t="n">
        <v>46239</v>
      </c>
      <c r="B246" s="44" t="s">
        <v>817</v>
      </c>
      <c r="C246" s="44" t="s">
        <v>617</v>
      </c>
      <c r="D246" s="44" t="n">
        <v>5100011</v>
      </c>
      <c r="E246" s="44" t="s">
        <v>166</v>
      </c>
      <c r="F246" s="44" t="s">
        <v>818</v>
      </c>
      <c r="G246" s="42" t="n">
        <v>32929092.38</v>
      </c>
      <c r="H246" s="42"/>
      <c r="I246" s="44" t="s">
        <v>774</v>
      </c>
      <c r="J246" s="11" t="n">
        <f aca="false">IF(D246="","",N(G246)-N(H246))</f>
        <v>32929092.38</v>
      </c>
      <c r="K246" s="34" t="str">
        <f aca="false">IF(D246="","",IFERROR(INDEX(I_COA!$C$6:$C$265,MATCH(D246,I_COA!$A$6:$A$265,0)),"AKUN BARU"))</f>
        <v>LabaRugi</v>
      </c>
      <c r="L246" s="34" t="str">
        <f aca="false">IF(K246="LabaRugi",INDEX(I_COA!$D$6:$D$265,MATCH(D246,I_COA!$A$6:$A$265,0)),"")</f>
        <v>COGS - Trading</v>
      </c>
      <c r="M246" s="34" t="str">
        <f aca="false">IF(K246="Neraca",INDEX(I_COA!$E$6:$E$265,MATCH(D246,I_COA!$A$6:$A$265,0)),"")</f>
        <v/>
      </c>
      <c r="N246" s="34" t="str">
        <f aca="false">IF(D246="","",IFERROR(INDEX(I_COA!$G$6:$G$265,MATCH(D246,I_COA!$A$6:$A$265,0)),"N"))</f>
        <v>N</v>
      </c>
      <c r="O246" s="11" t="n">
        <f aca="false">IF(N246="N",ABS(J246),"")</f>
        <v>32929092.38</v>
      </c>
      <c r="P246" s="18" t="str">
        <f aca="false">IF(N246="N",B246&amp;"|"&amp;ROUND(O246,0),"")</f>
        <v>KGR26/0211|32929092</v>
      </c>
      <c r="Q246" s="18" t="str">
        <f aca="false">IF(N246&lt;&gt;"Y","",IFERROR(INDEX($D$6:$D$4005,MATCH(B246&amp;"|"&amp;ROUND(_xlfn.MAXIFS($O$6:$O$4005,$B$6:$B$4005,B246,$N$6:$N$4005,"N"),0),$P$6:$P$4005,0)),"(tanpa lawan)"))</f>
        <v/>
      </c>
      <c r="R246" s="44"/>
      <c r="S246" s="9" t="str">
        <f aca="false">IF(N246&lt;&gt;"Y","",IF(R246&lt;&gt;"",R246,IF(Q246="(tanpa lawan)","Transfer antar rekening",IFERROR(INDEX(I_COA!$F$6:$F$265,MATCH(Q246,I_COA!$A$6:$A$265,0)),"?"))))</f>
        <v/>
      </c>
    </row>
    <row r="247" customFormat="false" ht="15" hidden="false" customHeight="false" outlineLevel="0" collapsed="false">
      <c r="A247" s="37" t="n">
        <v>46239</v>
      </c>
      <c r="B247" s="44" t="s">
        <v>817</v>
      </c>
      <c r="C247" s="44" t="s">
        <v>617</v>
      </c>
      <c r="D247" s="44" t="n">
        <v>1104002</v>
      </c>
      <c r="E247" s="44" t="s">
        <v>601</v>
      </c>
      <c r="F247" s="44" t="s">
        <v>818</v>
      </c>
      <c r="G247" s="42"/>
      <c r="H247" s="42" t="n">
        <v>32929092.38</v>
      </c>
      <c r="I247" s="44" t="s">
        <v>774</v>
      </c>
      <c r="J247" s="11" t="n">
        <f aca="false">IF(D247="","",N(G247)-N(H247))</f>
        <v>-32929092.38</v>
      </c>
      <c r="K247" s="34" t="str">
        <f aca="false">IF(D247="","",IFERROR(INDEX(I_COA!$C$6:$C$265,MATCH(D247,I_COA!$A$6:$A$265,0)),"AKUN BARU"))</f>
        <v>Neraca</v>
      </c>
      <c r="L247" s="34" t="str">
        <f aca="false">IF(K247="LabaRugi",INDEX(I_COA!$D$6:$D$265,MATCH(D247,I_COA!$A$6:$A$265,0)),"")</f>
        <v/>
      </c>
      <c r="M247" s="34" t="str">
        <f aca="false">IF(K247="Neraca",INDEX(I_COA!$E$6:$E$265,MATCH(D247,I_COA!$A$6:$A$265,0)),"")</f>
        <v>Inventory - Product</v>
      </c>
      <c r="N247" s="34" t="str">
        <f aca="false">IF(D247="","",IFERROR(INDEX(I_COA!$G$6:$G$265,MATCH(D247,I_COA!$A$6:$A$265,0)),"N"))</f>
        <v>N</v>
      </c>
      <c r="O247" s="11" t="n">
        <f aca="false">IF(N247="N",ABS(J247),"")</f>
        <v>32929092.38</v>
      </c>
      <c r="P247" s="18" t="str">
        <f aca="false">IF(N247="N",B247&amp;"|"&amp;ROUND(O247,0),"")</f>
        <v>KGR26/0211|32929092</v>
      </c>
      <c r="Q247" s="18" t="str">
        <f aca="false">IF(N247&lt;&gt;"Y","",IFERROR(INDEX($D$6:$D$4005,MATCH(B247&amp;"|"&amp;ROUND(_xlfn.MAXIFS($O$6:$O$4005,$B$6:$B$4005,B247,$N$6:$N$4005,"N"),0),$P$6:$P$4005,0)),"(tanpa lawan)"))</f>
        <v/>
      </c>
      <c r="R247" s="44"/>
      <c r="S247" s="9" t="str">
        <f aca="false">IF(N247&lt;&gt;"Y","",IF(R247&lt;&gt;"",R247,IF(Q247="(tanpa lawan)","Transfer antar rekening",IFERROR(INDEX(I_COA!$F$6:$F$265,MATCH(Q247,I_COA!$A$6:$A$265,0)),"?"))))</f>
        <v/>
      </c>
    </row>
    <row r="248" customFormat="false" ht="15" hidden="false" customHeight="false" outlineLevel="0" collapsed="false">
      <c r="A248" s="37" t="n">
        <v>46239</v>
      </c>
      <c r="B248" s="44" t="s">
        <v>819</v>
      </c>
      <c r="C248" s="44" t="s">
        <v>617</v>
      </c>
      <c r="D248" s="44" t="n">
        <v>1103101</v>
      </c>
      <c r="E248" s="44" t="s">
        <v>589</v>
      </c>
      <c r="F248" s="44" t="s">
        <v>820</v>
      </c>
      <c r="G248" s="42" t="n">
        <v>32349900</v>
      </c>
      <c r="H248" s="42"/>
      <c r="I248" s="44" t="s">
        <v>670</v>
      </c>
      <c r="J248" s="11" t="n">
        <f aca="false">IF(D248="","",N(G248)-N(H248))</f>
        <v>32349900</v>
      </c>
      <c r="K248" s="34" t="str">
        <f aca="false">IF(D248="","",IFERROR(INDEX(I_COA!$C$6:$C$265,MATCH(D248,I_COA!$A$6:$A$265,0)),"AKUN BARU"))</f>
        <v>Neraca</v>
      </c>
      <c r="L248" s="34" t="str">
        <f aca="false">IF(K248="LabaRugi",INDEX(I_COA!$D$6:$D$265,MATCH(D248,I_COA!$A$6:$A$265,0)),"")</f>
        <v/>
      </c>
      <c r="M248" s="34" t="str">
        <f aca="false">IF(K248="Neraca",INDEX(I_COA!$E$6:$E$265,MATCH(D248,I_COA!$A$6:$A$265,0)),"")</f>
        <v>Trade Receivables - Third Parties</v>
      </c>
      <c r="N248" s="34" t="str">
        <f aca="false">IF(D248="","",IFERROR(INDEX(I_COA!$G$6:$G$265,MATCH(D248,I_COA!$A$6:$A$265,0)),"N"))</f>
        <v>N</v>
      </c>
      <c r="O248" s="11" t="n">
        <f aca="false">IF(N248="N",ABS(J248),"")</f>
        <v>32349900</v>
      </c>
      <c r="P248" s="18" t="str">
        <f aca="false">IF(N248="N",B248&amp;"|"&amp;ROUND(O248,0),"")</f>
        <v>KGR26/0212|32349900</v>
      </c>
      <c r="Q248" s="18" t="str">
        <f aca="false">IF(N248&lt;&gt;"Y","",IFERROR(INDEX($D$6:$D$4005,MATCH(B248&amp;"|"&amp;ROUND(_xlfn.MAXIFS($O$6:$O$4005,$B$6:$B$4005,B248,$N$6:$N$4005,"N"),0),$P$6:$P$4005,0)),"(tanpa lawan)"))</f>
        <v/>
      </c>
      <c r="R248" s="44"/>
      <c r="S248" s="9" t="str">
        <f aca="false">IF(N248&lt;&gt;"Y","",IF(R248&lt;&gt;"",R248,IF(Q248="(tanpa lawan)","Transfer antar rekening",IFERROR(INDEX(I_COA!$F$6:$F$265,MATCH(Q248,I_COA!$A$6:$A$265,0)),"?"))))</f>
        <v/>
      </c>
    </row>
    <row r="249" customFormat="false" ht="15" hidden="false" customHeight="false" outlineLevel="0" collapsed="false">
      <c r="A249" s="37" t="n">
        <v>46239</v>
      </c>
      <c r="B249" s="44" t="s">
        <v>819</v>
      </c>
      <c r="C249" s="44" t="s">
        <v>617</v>
      </c>
      <c r="D249" s="44" t="n">
        <v>4101006</v>
      </c>
      <c r="E249" s="44" t="s">
        <v>626</v>
      </c>
      <c r="F249" s="44" t="s">
        <v>820</v>
      </c>
      <c r="G249" s="42"/>
      <c r="H249" s="42" t="n">
        <v>32349900</v>
      </c>
      <c r="I249" s="44" t="s">
        <v>670</v>
      </c>
      <c r="J249" s="11" t="n">
        <f aca="false">IF(D249="","",N(G249)-N(H249))</f>
        <v>-32349900</v>
      </c>
      <c r="K249" s="34" t="str">
        <f aca="false">IF(D249="","",IFERROR(INDEX(I_COA!$C$6:$C$265,MATCH(D249,I_COA!$A$6:$A$265,0)),"AKUN BARU"))</f>
        <v>LabaRugi</v>
      </c>
      <c r="L249" s="34" t="str">
        <f aca="false">IF(K249="LabaRugi",INDEX(I_COA!$D$6:$D$265,MATCH(D249,I_COA!$A$6:$A$265,0)),"")</f>
        <v>Revenue - LB Main Product</v>
      </c>
      <c r="M249" s="34" t="str">
        <f aca="false">IF(K249="Neraca",INDEX(I_COA!$E$6:$E$265,MATCH(D249,I_COA!$A$6:$A$265,0)),"")</f>
        <v/>
      </c>
      <c r="N249" s="34" t="str">
        <f aca="false">IF(D249="","",IFERROR(INDEX(I_COA!$G$6:$G$265,MATCH(D249,I_COA!$A$6:$A$265,0)),"N"))</f>
        <v>N</v>
      </c>
      <c r="O249" s="11" t="n">
        <f aca="false">IF(N249="N",ABS(J249),"")</f>
        <v>32349900</v>
      </c>
      <c r="P249" s="18" t="str">
        <f aca="false">IF(N249="N",B249&amp;"|"&amp;ROUND(O249,0),"")</f>
        <v>KGR26/0212|32349900</v>
      </c>
      <c r="Q249" s="18" t="str">
        <f aca="false">IF(N249&lt;&gt;"Y","",IFERROR(INDEX($D$6:$D$4005,MATCH(B249&amp;"|"&amp;ROUND(_xlfn.MAXIFS($O$6:$O$4005,$B$6:$B$4005,B249,$N$6:$N$4005,"N"),0),$P$6:$P$4005,0)),"(tanpa lawan)"))</f>
        <v/>
      </c>
      <c r="R249" s="44"/>
      <c r="S249" s="9" t="str">
        <f aca="false">IF(N249&lt;&gt;"Y","",IF(R249&lt;&gt;"",R249,IF(Q249="(tanpa lawan)","Transfer antar rekening",IFERROR(INDEX(I_COA!$F$6:$F$265,MATCH(Q249,I_COA!$A$6:$A$265,0)),"?"))))</f>
        <v/>
      </c>
    </row>
    <row r="250" customFormat="false" ht="15" hidden="false" customHeight="false" outlineLevel="0" collapsed="false">
      <c r="A250" s="37" t="n">
        <v>46239</v>
      </c>
      <c r="B250" s="44" t="s">
        <v>819</v>
      </c>
      <c r="C250" s="44" t="s">
        <v>617</v>
      </c>
      <c r="D250" s="44" t="n">
        <v>5100004</v>
      </c>
      <c r="E250" s="44" t="s">
        <v>627</v>
      </c>
      <c r="F250" s="44" t="s">
        <v>820</v>
      </c>
      <c r="G250" s="42" t="n">
        <v>28402020.28</v>
      </c>
      <c r="H250" s="42"/>
      <c r="I250" s="44" t="s">
        <v>670</v>
      </c>
      <c r="J250" s="11" t="n">
        <f aca="false">IF(D250="","",N(G250)-N(H250))</f>
        <v>28402020.28</v>
      </c>
      <c r="K250" s="34" t="str">
        <f aca="false">IF(D250="","",IFERROR(INDEX(I_COA!$C$6:$C$265,MATCH(D250,I_COA!$A$6:$A$265,0)),"AKUN BARU"))</f>
        <v>LabaRugi</v>
      </c>
      <c r="L250" s="34" t="str">
        <f aca="false">IF(K250="LabaRugi",INDEX(I_COA!$D$6:$D$265,MATCH(D250,I_COA!$A$6:$A$265,0)),"")</f>
        <v>COGS - Live Bird</v>
      </c>
      <c r="M250" s="34" t="str">
        <f aca="false">IF(K250="Neraca",INDEX(I_COA!$E$6:$E$265,MATCH(D250,I_COA!$A$6:$A$265,0)),"")</f>
        <v/>
      </c>
      <c r="N250" s="34" t="str">
        <f aca="false">IF(D250="","",IFERROR(INDEX(I_COA!$G$6:$G$265,MATCH(D250,I_COA!$A$6:$A$265,0)),"N"))</f>
        <v>N</v>
      </c>
      <c r="O250" s="11" t="n">
        <f aca="false">IF(N250="N",ABS(J250),"")</f>
        <v>28402020.28</v>
      </c>
      <c r="P250" s="18" t="str">
        <f aca="false">IF(N250="N",B250&amp;"|"&amp;ROUND(O250,0),"")</f>
        <v>KGR26/0212|28402020</v>
      </c>
      <c r="Q250" s="18" t="str">
        <f aca="false">IF(N250&lt;&gt;"Y","",IFERROR(INDEX($D$6:$D$4005,MATCH(B250&amp;"|"&amp;ROUND(_xlfn.MAXIFS($O$6:$O$4005,$B$6:$B$4005,B250,$N$6:$N$4005,"N"),0),$P$6:$P$4005,0)),"(tanpa lawan)"))</f>
        <v/>
      </c>
      <c r="R250" s="44"/>
      <c r="S250" s="9" t="str">
        <f aca="false">IF(N250&lt;&gt;"Y","",IF(R250&lt;&gt;"",R250,IF(Q250="(tanpa lawan)","Transfer antar rekening",IFERROR(INDEX(I_COA!$F$6:$F$265,MATCH(Q250,I_COA!$A$6:$A$265,0)),"?"))))</f>
        <v/>
      </c>
    </row>
    <row r="251" customFormat="false" ht="15" hidden="false" customHeight="false" outlineLevel="0" collapsed="false">
      <c r="A251" s="37" t="n">
        <v>46239</v>
      </c>
      <c r="B251" s="44" t="s">
        <v>819</v>
      </c>
      <c r="C251" s="44" t="s">
        <v>617</v>
      </c>
      <c r="D251" s="44" t="n">
        <v>1104002</v>
      </c>
      <c r="E251" s="44" t="s">
        <v>601</v>
      </c>
      <c r="F251" s="44" t="s">
        <v>820</v>
      </c>
      <c r="G251" s="42"/>
      <c r="H251" s="42" t="n">
        <v>28402020.28</v>
      </c>
      <c r="I251" s="44" t="s">
        <v>670</v>
      </c>
      <c r="J251" s="11" t="n">
        <f aca="false">IF(D251="","",N(G251)-N(H251))</f>
        <v>-28402020.28</v>
      </c>
      <c r="K251" s="34" t="str">
        <f aca="false">IF(D251="","",IFERROR(INDEX(I_COA!$C$6:$C$265,MATCH(D251,I_COA!$A$6:$A$265,0)),"AKUN BARU"))</f>
        <v>Neraca</v>
      </c>
      <c r="L251" s="34" t="str">
        <f aca="false">IF(K251="LabaRugi",INDEX(I_COA!$D$6:$D$265,MATCH(D251,I_COA!$A$6:$A$265,0)),"")</f>
        <v/>
      </c>
      <c r="M251" s="34" t="str">
        <f aca="false">IF(K251="Neraca",INDEX(I_COA!$E$6:$E$265,MATCH(D251,I_COA!$A$6:$A$265,0)),"")</f>
        <v>Inventory - Product</v>
      </c>
      <c r="N251" s="34" t="str">
        <f aca="false">IF(D251="","",IFERROR(INDEX(I_COA!$G$6:$G$265,MATCH(D251,I_COA!$A$6:$A$265,0)),"N"))</f>
        <v>N</v>
      </c>
      <c r="O251" s="11" t="n">
        <f aca="false">IF(N251="N",ABS(J251),"")</f>
        <v>28402020.28</v>
      </c>
      <c r="P251" s="18" t="str">
        <f aca="false">IF(N251="N",B251&amp;"|"&amp;ROUND(O251,0),"")</f>
        <v>KGR26/0212|28402020</v>
      </c>
      <c r="Q251" s="18" t="str">
        <f aca="false">IF(N251&lt;&gt;"Y","",IFERROR(INDEX($D$6:$D$4005,MATCH(B251&amp;"|"&amp;ROUND(_xlfn.MAXIFS($O$6:$O$4005,$B$6:$B$4005,B251,$N$6:$N$4005,"N"),0),$P$6:$P$4005,0)),"(tanpa lawan)"))</f>
        <v/>
      </c>
      <c r="R251" s="44"/>
      <c r="S251" s="9" t="str">
        <f aca="false">IF(N251&lt;&gt;"Y","",IF(R251&lt;&gt;"",R251,IF(Q251="(tanpa lawan)","Transfer antar rekening",IFERROR(INDEX(I_COA!$F$6:$F$265,MATCH(Q251,I_COA!$A$6:$A$265,0)),"?"))))</f>
        <v/>
      </c>
    </row>
    <row r="252" customFormat="false" ht="15" hidden="false" customHeight="false" outlineLevel="0" collapsed="false">
      <c r="A252" s="37" t="n">
        <v>46239</v>
      </c>
      <c r="B252" s="44" t="s">
        <v>821</v>
      </c>
      <c r="C252" s="44" t="s">
        <v>617</v>
      </c>
      <c r="D252" s="44" t="n">
        <v>1103101</v>
      </c>
      <c r="E252" s="44" t="s">
        <v>589</v>
      </c>
      <c r="F252" s="44" t="s">
        <v>822</v>
      </c>
      <c r="G252" s="42" t="n">
        <v>19003900</v>
      </c>
      <c r="H252" s="42"/>
      <c r="I252" s="44" t="s">
        <v>432</v>
      </c>
      <c r="J252" s="11" t="n">
        <f aca="false">IF(D252="","",N(G252)-N(H252))</f>
        <v>19003900</v>
      </c>
      <c r="K252" s="34" t="str">
        <f aca="false">IF(D252="","",IFERROR(INDEX(I_COA!$C$6:$C$265,MATCH(D252,I_COA!$A$6:$A$265,0)),"AKUN BARU"))</f>
        <v>Neraca</v>
      </c>
      <c r="L252" s="34" t="str">
        <f aca="false">IF(K252="LabaRugi",INDEX(I_COA!$D$6:$D$265,MATCH(D252,I_COA!$A$6:$A$265,0)),"")</f>
        <v/>
      </c>
      <c r="M252" s="34" t="str">
        <f aca="false">IF(K252="Neraca",INDEX(I_COA!$E$6:$E$265,MATCH(D252,I_COA!$A$6:$A$265,0)),"")</f>
        <v>Trade Receivables - Third Parties</v>
      </c>
      <c r="N252" s="34" t="str">
        <f aca="false">IF(D252="","",IFERROR(INDEX(I_COA!$G$6:$G$265,MATCH(D252,I_COA!$A$6:$A$265,0)),"N"))</f>
        <v>N</v>
      </c>
      <c r="O252" s="11" t="n">
        <f aca="false">IF(N252="N",ABS(J252),"")</f>
        <v>19003900</v>
      </c>
      <c r="P252" s="18" t="str">
        <f aca="false">IF(N252="N",B252&amp;"|"&amp;ROUND(O252,0),"")</f>
        <v>KGR26/0213|19003900</v>
      </c>
      <c r="Q252" s="18" t="str">
        <f aca="false">IF(N252&lt;&gt;"Y","",IFERROR(INDEX($D$6:$D$4005,MATCH(B252&amp;"|"&amp;ROUND(_xlfn.MAXIFS($O$6:$O$4005,$B$6:$B$4005,B252,$N$6:$N$4005,"N"),0),$P$6:$P$4005,0)),"(tanpa lawan)"))</f>
        <v/>
      </c>
      <c r="R252" s="44"/>
      <c r="S252" s="9" t="str">
        <f aca="false">IF(N252&lt;&gt;"Y","",IF(R252&lt;&gt;"",R252,IF(Q252="(tanpa lawan)","Transfer antar rekening",IFERROR(INDEX(I_COA!$F$6:$F$265,MATCH(Q252,I_COA!$A$6:$A$265,0)),"?"))))</f>
        <v/>
      </c>
    </row>
    <row r="253" customFormat="false" ht="15" hidden="false" customHeight="false" outlineLevel="0" collapsed="false">
      <c r="A253" s="37" t="n">
        <v>46239</v>
      </c>
      <c r="B253" s="44" t="s">
        <v>821</v>
      </c>
      <c r="C253" s="44" t="s">
        <v>617</v>
      </c>
      <c r="D253" s="44" t="n">
        <v>4101012</v>
      </c>
      <c r="E253" s="44" t="s">
        <v>619</v>
      </c>
      <c r="F253" s="44" t="s">
        <v>822</v>
      </c>
      <c r="G253" s="42"/>
      <c r="H253" s="42" t="n">
        <v>19003900</v>
      </c>
      <c r="I253" s="44" t="s">
        <v>432</v>
      </c>
      <c r="J253" s="11" t="n">
        <f aca="false">IF(D253="","",N(G253)-N(H253))</f>
        <v>-19003900</v>
      </c>
      <c r="K253" s="34" t="str">
        <f aca="false">IF(D253="","",IFERROR(INDEX(I_COA!$C$6:$C$265,MATCH(D253,I_COA!$A$6:$A$265,0)),"AKUN BARU"))</f>
        <v>LabaRugi</v>
      </c>
      <c r="L253" s="34" t="str">
        <f aca="false">IF(K253="LabaRugi",INDEX(I_COA!$D$6:$D$265,MATCH(D253,I_COA!$A$6:$A$265,0)),"")</f>
        <v>Revenue - Trading</v>
      </c>
      <c r="M253" s="34" t="str">
        <f aca="false">IF(K253="Neraca",INDEX(I_COA!$E$6:$E$265,MATCH(D253,I_COA!$A$6:$A$265,0)),"")</f>
        <v/>
      </c>
      <c r="N253" s="34" t="str">
        <f aca="false">IF(D253="","",IFERROR(INDEX(I_COA!$G$6:$G$265,MATCH(D253,I_COA!$A$6:$A$265,0)),"N"))</f>
        <v>N</v>
      </c>
      <c r="O253" s="11" t="n">
        <f aca="false">IF(N253="N",ABS(J253),"")</f>
        <v>19003900</v>
      </c>
      <c r="P253" s="18" t="str">
        <f aca="false">IF(N253="N",B253&amp;"|"&amp;ROUND(O253,0),"")</f>
        <v>KGR26/0213|19003900</v>
      </c>
      <c r="Q253" s="18" t="str">
        <f aca="false">IF(N253&lt;&gt;"Y","",IFERROR(INDEX($D$6:$D$4005,MATCH(B253&amp;"|"&amp;ROUND(_xlfn.MAXIFS($O$6:$O$4005,$B$6:$B$4005,B253,$N$6:$N$4005,"N"),0),$P$6:$P$4005,0)),"(tanpa lawan)"))</f>
        <v/>
      </c>
      <c r="R253" s="44"/>
      <c r="S253" s="9" t="str">
        <f aca="false">IF(N253&lt;&gt;"Y","",IF(R253&lt;&gt;"",R253,IF(Q253="(tanpa lawan)","Transfer antar rekening",IFERROR(INDEX(I_COA!$F$6:$F$265,MATCH(Q253,I_COA!$A$6:$A$265,0)),"?"))))</f>
        <v/>
      </c>
    </row>
    <row r="254" customFormat="false" ht="15" hidden="false" customHeight="false" outlineLevel="0" collapsed="false">
      <c r="A254" s="37" t="n">
        <v>46239</v>
      </c>
      <c r="B254" s="44" t="s">
        <v>821</v>
      </c>
      <c r="C254" s="44" t="s">
        <v>617</v>
      </c>
      <c r="D254" s="44" t="n">
        <v>5100011</v>
      </c>
      <c r="E254" s="44" t="s">
        <v>166</v>
      </c>
      <c r="F254" s="44" t="s">
        <v>822</v>
      </c>
      <c r="G254" s="42" t="n">
        <v>19119532.68</v>
      </c>
      <c r="H254" s="42"/>
      <c r="I254" s="44" t="s">
        <v>432</v>
      </c>
      <c r="J254" s="11" t="n">
        <f aca="false">IF(D254="","",N(G254)-N(H254))</f>
        <v>19119532.68</v>
      </c>
      <c r="K254" s="34" t="str">
        <f aca="false">IF(D254="","",IFERROR(INDEX(I_COA!$C$6:$C$265,MATCH(D254,I_COA!$A$6:$A$265,0)),"AKUN BARU"))</f>
        <v>LabaRugi</v>
      </c>
      <c r="L254" s="34" t="str">
        <f aca="false">IF(K254="LabaRugi",INDEX(I_COA!$D$6:$D$265,MATCH(D254,I_COA!$A$6:$A$265,0)),"")</f>
        <v>COGS - Trading</v>
      </c>
      <c r="M254" s="34" t="str">
        <f aca="false">IF(K254="Neraca",INDEX(I_COA!$E$6:$E$265,MATCH(D254,I_COA!$A$6:$A$265,0)),"")</f>
        <v/>
      </c>
      <c r="N254" s="34" t="str">
        <f aca="false">IF(D254="","",IFERROR(INDEX(I_COA!$G$6:$G$265,MATCH(D254,I_COA!$A$6:$A$265,0)),"N"))</f>
        <v>N</v>
      </c>
      <c r="O254" s="11" t="n">
        <f aca="false">IF(N254="N",ABS(J254),"")</f>
        <v>19119532.68</v>
      </c>
      <c r="P254" s="18" t="str">
        <f aca="false">IF(N254="N",B254&amp;"|"&amp;ROUND(O254,0),"")</f>
        <v>KGR26/0213|19119533</v>
      </c>
      <c r="Q254" s="18" t="str">
        <f aca="false">IF(N254&lt;&gt;"Y","",IFERROR(INDEX($D$6:$D$4005,MATCH(B254&amp;"|"&amp;ROUND(_xlfn.MAXIFS($O$6:$O$4005,$B$6:$B$4005,B254,$N$6:$N$4005,"N"),0),$P$6:$P$4005,0)),"(tanpa lawan)"))</f>
        <v/>
      </c>
      <c r="R254" s="44"/>
      <c r="S254" s="9" t="str">
        <f aca="false">IF(N254&lt;&gt;"Y","",IF(R254&lt;&gt;"",R254,IF(Q254="(tanpa lawan)","Transfer antar rekening",IFERROR(INDEX(I_COA!$F$6:$F$265,MATCH(Q254,I_COA!$A$6:$A$265,0)),"?"))))</f>
        <v/>
      </c>
    </row>
    <row r="255" customFormat="false" ht="15" hidden="false" customHeight="false" outlineLevel="0" collapsed="false">
      <c r="A255" s="37" t="n">
        <v>46239</v>
      </c>
      <c r="B255" s="44" t="s">
        <v>821</v>
      </c>
      <c r="C255" s="44" t="s">
        <v>617</v>
      </c>
      <c r="D255" s="44" t="n">
        <v>1104002</v>
      </c>
      <c r="E255" s="44" t="s">
        <v>601</v>
      </c>
      <c r="F255" s="44" t="s">
        <v>822</v>
      </c>
      <c r="G255" s="42"/>
      <c r="H255" s="42" t="n">
        <v>19119532.68</v>
      </c>
      <c r="I255" s="44" t="s">
        <v>432</v>
      </c>
      <c r="J255" s="11" t="n">
        <f aca="false">IF(D255="","",N(G255)-N(H255))</f>
        <v>-19119532.68</v>
      </c>
      <c r="K255" s="34" t="str">
        <f aca="false">IF(D255="","",IFERROR(INDEX(I_COA!$C$6:$C$265,MATCH(D255,I_COA!$A$6:$A$265,0)),"AKUN BARU"))</f>
        <v>Neraca</v>
      </c>
      <c r="L255" s="34" t="str">
        <f aca="false">IF(K255="LabaRugi",INDEX(I_COA!$D$6:$D$265,MATCH(D255,I_COA!$A$6:$A$265,0)),"")</f>
        <v/>
      </c>
      <c r="M255" s="34" t="str">
        <f aca="false">IF(K255="Neraca",INDEX(I_COA!$E$6:$E$265,MATCH(D255,I_COA!$A$6:$A$265,0)),"")</f>
        <v>Inventory - Product</v>
      </c>
      <c r="N255" s="34" t="str">
        <f aca="false">IF(D255="","",IFERROR(INDEX(I_COA!$G$6:$G$265,MATCH(D255,I_COA!$A$6:$A$265,0)),"N"))</f>
        <v>N</v>
      </c>
      <c r="O255" s="11" t="n">
        <f aca="false">IF(N255="N",ABS(J255),"")</f>
        <v>19119532.68</v>
      </c>
      <c r="P255" s="18" t="str">
        <f aca="false">IF(N255="N",B255&amp;"|"&amp;ROUND(O255,0),"")</f>
        <v>KGR26/0213|19119533</v>
      </c>
      <c r="Q255" s="18" t="str">
        <f aca="false">IF(N255&lt;&gt;"Y","",IFERROR(INDEX($D$6:$D$4005,MATCH(B255&amp;"|"&amp;ROUND(_xlfn.MAXIFS($O$6:$O$4005,$B$6:$B$4005,B255,$N$6:$N$4005,"N"),0),$P$6:$P$4005,0)),"(tanpa lawan)"))</f>
        <v/>
      </c>
      <c r="R255" s="44"/>
      <c r="S255" s="9" t="str">
        <f aca="false">IF(N255&lt;&gt;"Y","",IF(R255&lt;&gt;"",R255,IF(Q255="(tanpa lawan)","Transfer antar rekening",IFERROR(INDEX(I_COA!$F$6:$F$265,MATCH(Q255,I_COA!$A$6:$A$265,0)),"?"))))</f>
        <v/>
      </c>
    </row>
    <row r="256" customFormat="false" ht="15" hidden="false" customHeight="false" outlineLevel="0" collapsed="false">
      <c r="A256" s="37" t="n">
        <v>46239</v>
      </c>
      <c r="B256" s="44" t="s">
        <v>823</v>
      </c>
      <c r="C256" s="44" t="s">
        <v>617</v>
      </c>
      <c r="D256" s="44" t="n">
        <v>1103101</v>
      </c>
      <c r="E256" s="44" t="s">
        <v>589</v>
      </c>
      <c r="F256" s="44" t="s">
        <v>824</v>
      </c>
      <c r="G256" s="42" t="n">
        <v>89448000</v>
      </c>
      <c r="H256" s="42"/>
      <c r="I256" s="44" t="s">
        <v>432</v>
      </c>
      <c r="J256" s="11" t="n">
        <f aca="false">IF(D256="","",N(G256)-N(H256))</f>
        <v>89448000</v>
      </c>
      <c r="K256" s="34" t="str">
        <f aca="false">IF(D256="","",IFERROR(INDEX(I_COA!$C$6:$C$265,MATCH(D256,I_COA!$A$6:$A$265,0)),"AKUN BARU"))</f>
        <v>Neraca</v>
      </c>
      <c r="L256" s="34" t="str">
        <f aca="false">IF(K256="LabaRugi",INDEX(I_COA!$D$6:$D$265,MATCH(D256,I_COA!$A$6:$A$265,0)),"")</f>
        <v/>
      </c>
      <c r="M256" s="34" t="str">
        <f aca="false">IF(K256="Neraca",INDEX(I_COA!$E$6:$E$265,MATCH(D256,I_COA!$A$6:$A$265,0)),"")</f>
        <v>Trade Receivables - Third Parties</v>
      </c>
      <c r="N256" s="34" t="str">
        <f aca="false">IF(D256="","",IFERROR(INDEX(I_COA!$G$6:$G$265,MATCH(D256,I_COA!$A$6:$A$265,0)),"N"))</f>
        <v>N</v>
      </c>
      <c r="O256" s="11" t="n">
        <f aca="false">IF(N256="N",ABS(J256),"")</f>
        <v>89448000</v>
      </c>
      <c r="P256" s="18" t="str">
        <f aca="false">IF(N256="N",B256&amp;"|"&amp;ROUND(O256,0),"")</f>
        <v>KGR26/0214|89448000</v>
      </c>
      <c r="Q256" s="18" t="str">
        <f aca="false">IF(N256&lt;&gt;"Y","",IFERROR(INDEX($D$6:$D$4005,MATCH(B256&amp;"|"&amp;ROUND(_xlfn.MAXIFS($O$6:$O$4005,$B$6:$B$4005,B256,$N$6:$N$4005,"N"),0),$P$6:$P$4005,0)),"(tanpa lawan)"))</f>
        <v/>
      </c>
      <c r="R256" s="44"/>
      <c r="S256" s="9" t="str">
        <f aca="false">IF(N256&lt;&gt;"Y","",IF(R256&lt;&gt;"",R256,IF(Q256="(tanpa lawan)","Transfer antar rekening",IFERROR(INDEX(I_COA!$F$6:$F$265,MATCH(Q256,I_COA!$A$6:$A$265,0)),"?"))))</f>
        <v/>
      </c>
    </row>
    <row r="257" customFormat="false" ht="15" hidden="false" customHeight="false" outlineLevel="0" collapsed="false">
      <c r="A257" s="37" t="n">
        <v>46239</v>
      </c>
      <c r="B257" s="44" t="s">
        <v>823</v>
      </c>
      <c r="C257" s="44" t="s">
        <v>617</v>
      </c>
      <c r="D257" s="44" t="n">
        <v>4101004</v>
      </c>
      <c r="E257" s="44" t="s">
        <v>755</v>
      </c>
      <c r="F257" s="44" t="s">
        <v>824</v>
      </c>
      <c r="G257" s="42" t="n">
        <v>791700</v>
      </c>
      <c r="H257" s="42"/>
      <c r="I257" s="44" t="s">
        <v>432</v>
      </c>
      <c r="J257" s="11" t="n">
        <f aca="false">IF(D257="","",N(G257)-N(H257))</f>
        <v>791700</v>
      </c>
      <c r="K257" s="34" t="str">
        <f aca="false">IF(D257="","",IFERROR(INDEX(I_COA!$C$6:$C$265,MATCH(D257,I_COA!$A$6:$A$265,0)),"AKUN BARU"))</f>
        <v>LabaRugi</v>
      </c>
      <c r="L257" s="34" t="str">
        <f aca="false">IF(K257="LabaRugi",INDEX(I_COA!$D$6:$D$265,MATCH(D257,I_COA!$A$6:$A$265,0)),"")</f>
        <v>Revenue - Trading</v>
      </c>
      <c r="M257" s="34" t="str">
        <f aca="false">IF(K257="Neraca",INDEX(I_COA!$E$6:$E$265,MATCH(D257,I_COA!$A$6:$A$265,0)),"")</f>
        <v/>
      </c>
      <c r="N257" s="34" t="str">
        <f aca="false">IF(D257="","",IFERROR(INDEX(I_COA!$G$6:$G$265,MATCH(D257,I_COA!$A$6:$A$265,0)),"N"))</f>
        <v>N</v>
      </c>
      <c r="O257" s="11" t="n">
        <f aca="false">IF(N257="N",ABS(J257),"")</f>
        <v>791700</v>
      </c>
      <c r="P257" s="18" t="str">
        <f aca="false">IF(N257="N",B257&amp;"|"&amp;ROUND(O257,0),"")</f>
        <v>KGR26/0214|791700</v>
      </c>
      <c r="Q257" s="18" t="str">
        <f aca="false">IF(N257&lt;&gt;"Y","",IFERROR(INDEX($D$6:$D$4005,MATCH(B257&amp;"|"&amp;ROUND(_xlfn.MAXIFS($O$6:$O$4005,$B$6:$B$4005,B257,$N$6:$N$4005,"N"),0),$P$6:$P$4005,0)),"(tanpa lawan)"))</f>
        <v/>
      </c>
      <c r="R257" s="44"/>
      <c r="S257" s="9" t="str">
        <f aca="false">IF(N257&lt;&gt;"Y","",IF(R257&lt;&gt;"",R257,IF(Q257="(tanpa lawan)","Transfer antar rekening",IFERROR(INDEX(I_COA!$F$6:$F$265,MATCH(Q257,I_COA!$A$6:$A$265,0)),"?"))))</f>
        <v/>
      </c>
    </row>
    <row r="258" customFormat="false" ht="15" hidden="false" customHeight="false" outlineLevel="0" collapsed="false">
      <c r="A258" s="37" t="n">
        <v>46239</v>
      </c>
      <c r="B258" s="44" t="s">
        <v>823</v>
      </c>
      <c r="C258" s="44" t="s">
        <v>617</v>
      </c>
      <c r="D258" s="44" t="n">
        <v>4101012</v>
      </c>
      <c r="E258" s="44" t="s">
        <v>619</v>
      </c>
      <c r="F258" s="44" t="s">
        <v>824</v>
      </c>
      <c r="G258" s="42"/>
      <c r="H258" s="42" t="n">
        <v>90239700</v>
      </c>
      <c r="I258" s="44" t="s">
        <v>432</v>
      </c>
      <c r="J258" s="11" t="n">
        <f aca="false">IF(D258="","",N(G258)-N(H258))</f>
        <v>-90239700</v>
      </c>
      <c r="K258" s="34" t="str">
        <f aca="false">IF(D258="","",IFERROR(INDEX(I_COA!$C$6:$C$265,MATCH(D258,I_COA!$A$6:$A$265,0)),"AKUN BARU"))</f>
        <v>LabaRugi</v>
      </c>
      <c r="L258" s="34" t="str">
        <f aca="false">IF(K258="LabaRugi",INDEX(I_COA!$D$6:$D$265,MATCH(D258,I_COA!$A$6:$A$265,0)),"")</f>
        <v>Revenue - Trading</v>
      </c>
      <c r="M258" s="34" t="str">
        <f aca="false">IF(K258="Neraca",INDEX(I_COA!$E$6:$E$265,MATCH(D258,I_COA!$A$6:$A$265,0)),"")</f>
        <v/>
      </c>
      <c r="N258" s="34" t="str">
        <f aca="false">IF(D258="","",IFERROR(INDEX(I_COA!$G$6:$G$265,MATCH(D258,I_COA!$A$6:$A$265,0)),"N"))</f>
        <v>N</v>
      </c>
      <c r="O258" s="11" t="n">
        <f aca="false">IF(N258="N",ABS(J258),"")</f>
        <v>90239700</v>
      </c>
      <c r="P258" s="18" t="str">
        <f aca="false">IF(N258="N",B258&amp;"|"&amp;ROUND(O258,0),"")</f>
        <v>KGR26/0214|90239700</v>
      </c>
      <c r="Q258" s="18" t="str">
        <f aca="false">IF(N258&lt;&gt;"Y","",IFERROR(INDEX($D$6:$D$4005,MATCH(B258&amp;"|"&amp;ROUND(_xlfn.MAXIFS($O$6:$O$4005,$B$6:$B$4005,B258,$N$6:$N$4005,"N"),0),$P$6:$P$4005,0)),"(tanpa lawan)"))</f>
        <v/>
      </c>
      <c r="R258" s="44"/>
      <c r="S258" s="9" t="str">
        <f aca="false">IF(N258&lt;&gt;"Y","",IF(R258&lt;&gt;"",R258,IF(Q258="(tanpa lawan)","Transfer antar rekening",IFERROR(INDEX(I_COA!$F$6:$F$265,MATCH(Q258,I_COA!$A$6:$A$265,0)),"?"))))</f>
        <v/>
      </c>
    </row>
    <row r="259" customFormat="false" ht="15" hidden="false" customHeight="false" outlineLevel="0" collapsed="false">
      <c r="A259" s="37" t="n">
        <v>46239</v>
      </c>
      <c r="B259" s="44" t="s">
        <v>823</v>
      </c>
      <c r="C259" s="44" t="s">
        <v>617</v>
      </c>
      <c r="D259" s="44" t="n">
        <v>5100011</v>
      </c>
      <c r="E259" s="44" t="s">
        <v>166</v>
      </c>
      <c r="F259" s="44" t="s">
        <v>824</v>
      </c>
      <c r="G259" s="42" t="n">
        <v>88379127.34</v>
      </c>
      <c r="H259" s="42"/>
      <c r="I259" s="44" t="s">
        <v>432</v>
      </c>
      <c r="J259" s="11" t="n">
        <f aca="false">IF(D259="","",N(G259)-N(H259))</f>
        <v>88379127.34</v>
      </c>
      <c r="K259" s="34" t="str">
        <f aca="false">IF(D259="","",IFERROR(INDEX(I_COA!$C$6:$C$265,MATCH(D259,I_COA!$A$6:$A$265,0)),"AKUN BARU"))</f>
        <v>LabaRugi</v>
      </c>
      <c r="L259" s="34" t="str">
        <f aca="false">IF(K259="LabaRugi",INDEX(I_COA!$D$6:$D$265,MATCH(D259,I_COA!$A$6:$A$265,0)),"")</f>
        <v>COGS - Trading</v>
      </c>
      <c r="M259" s="34" t="str">
        <f aca="false">IF(K259="Neraca",INDEX(I_COA!$E$6:$E$265,MATCH(D259,I_COA!$A$6:$A$265,0)),"")</f>
        <v/>
      </c>
      <c r="N259" s="34" t="str">
        <f aca="false">IF(D259="","",IFERROR(INDEX(I_COA!$G$6:$G$265,MATCH(D259,I_COA!$A$6:$A$265,0)),"N"))</f>
        <v>N</v>
      </c>
      <c r="O259" s="11" t="n">
        <f aca="false">IF(N259="N",ABS(J259),"")</f>
        <v>88379127.34</v>
      </c>
      <c r="P259" s="18" t="str">
        <f aca="false">IF(N259="N",B259&amp;"|"&amp;ROUND(O259,0),"")</f>
        <v>KGR26/0214|88379127</v>
      </c>
      <c r="Q259" s="18" t="str">
        <f aca="false">IF(N259&lt;&gt;"Y","",IFERROR(INDEX($D$6:$D$4005,MATCH(B259&amp;"|"&amp;ROUND(_xlfn.MAXIFS($O$6:$O$4005,$B$6:$B$4005,B259,$N$6:$N$4005,"N"),0),$P$6:$P$4005,0)),"(tanpa lawan)"))</f>
        <v/>
      </c>
      <c r="R259" s="44"/>
      <c r="S259" s="9" t="str">
        <f aca="false">IF(N259&lt;&gt;"Y","",IF(R259&lt;&gt;"",R259,IF(Q259="(tanpa lawan)","Transfer antar rekening",IFERROR(INDEX(I_COA!$F$6:$F$265,MATCH(Q259,I_COA!$A$6:$A$265,0)),"?"))))</f>
        <v/>
      </c>
    </row>
    <row r="260" customFormat="false" ht="15" hidden="false" customHeight="false" outlineLevel="0" collapsed="false">
      <c r="A260" s="37" t="n">
        <v>46239</v>
      </c>
      <c r="B260" s="44" t="s">
        <v>823</v>
      </c>
      <c r="C260" s="44" t="s">
        <v>617</v>
      </c>
      <c r="D260" s="44" t="n">
        <v>1104002</v>
      </c>
      <c r="E260" s="44" t="s">
        <v>601</v>
      </c>
      <c r="F260" s="44" t="s">
        <v>824</v>
      </c>
      <c r="G260" s="42"/>
      <c r="H260" s="42" t="n">
        <v>88379127.34</v>
      </c>
      <c r="I260" s="44" t="s">
        <v>432</v>
      </c>
      <c r="J260" s="11" t="n">
        <f aca="false">IF(D260="","",N(G260)-N(H260))</f>
        <v>-88379127.34</v>
      </c>
      <c r="K260" s="34" t="str">
        <f aca="false">IF(D260="","",IFERROR(INDEX(I_COA!$C$6:$C$265,MATCH(D260,I_COA!$A$6:$A$265,0)),"AKUN BARU"))</f>
        <v>Neraca</v>
      </c>
      <c r="L260" s="34" t="str">
        <f aca="false">IF(K260="LabaRugi",INDEX(I_COA!$D$6:$D$265,MATCH(D260,I_COA!$A$6:$A$265,0)),"")</f>
        <v/>
      </c>
      <c r="M260" s="34" t="str">
        <f aca="false">IF(K260="Neraca",INDEX(I_COA!$E$6:$E$265,MATCH(D260,I_COA!$A$6:$A$265,0)),"")</f>
        <v>Inventory - Product</v>
      </c>
      <c r="N260" s="34" t="str">
        <f aca="false">IF(D260="","",IFERROR(INDEX(I_COA!$G$6:$G$265,MATCH(D260,I_COA!$A$6:$A$265,0)),"N"))</f>
        <v>N</v>
      </c>
      <c r="O260" s="11" t="n">
        <f aca="false">IF(N260="N",ABS(J260),"")</f>
        <v>88379127.34</v>
      </c>
      <c r="P260" s="18" t="str">
        <f aca="false">IF(N260="N",B260&amp;"|"&amp;ROUND(O260,0),"")</f>
        <v>KGR26/0214|88379127</v>
      </c>
      <c r="Q260" s="18" t="str">
        <f aca="false">IF(N260&lt;&gt;"Y","",IFERROR(INDEX($D$6:$D$4005,MATCH(B260&amp;"|"&amp;ROUND(_xlfn.MAXIFS($O$6:$O$4005,$B$6:$B$4005,B260,$N$6:$N$4005,"N"),0),$P$6:$P$4005,0)),"(tanpa lawan)"))</f>
        <v/>
      </c>
      <c r="R260" s="44"/>
      <c r="S260" s="9" t="str">
        <f aca="false">IF(N260&lt;&gt;"Y","",IF(R260&lt;&gt;"",R260,IF(Q260="(tanpa lawan)","Transfer antar rekening",IFERROR(INDEX(I_COA!$F$6:$F$265,MATCH(Q260,I_COA!$A$6:$A$265,0)),"?"))))</f>
        <v/>
      </c>
    </row>
    <row r="261" customFormat="false" ht="15" hidden="false" customHeight="false" outlineLevel="0" collapsed="false">
      <c r="A261" s="37" t="n">
        <v>46239</v>
      </c>
      <c r="B261" s="44" t="s">
        <v>825</v>
      </c>
      <c r="C261" s="44" t="s">
        <v>707</v>
      </c>
      <c r="D261" s="44" t="n">
        <v>5100007</v>
      </c>
      <c r="E261" s="44" t="s">
        <v>708</v>
      </c>
      <c r="F261" s="44" t="s">
        <v>826</v>
      </c>
      <c r="G261" s="42" t="n">
        <v>34000000</v>
      </c>
      <c r="H261" s="42"/>
      <c r="I261" s="44" t="s">
        <v>681</v>
      </c>
      <c r="J261" s="11" t="n">
        <f aca="false">IF(D261="","",N(G261)-N(H261))</f>
        <v>34000000</v>
      </c>
      <c r="K261" s="34" t="str">
        <f aca="false">IF(D261="","",IFERROR(INDEX(I_COA!$C$6:$C$265,MATCH(D261,I_COA!$A$6:$A$265,0)),"AKUN BARU"))</f>
        <v>LabaRugi</v>
      </c>
      <c r="L261" s="34" t="str">
        <f aca="false">IF(K261="LabaRugi",INDEX(I_COA!$D$6:$D$265,MATCH(D261,I_COA!$A$6:$A$265,0)),"")</f>
        <v>Other COGS - Expedition</v>
      </c>
      <c r="M261" s="34" t="str">
        <f aca="false">IF(K261="Neraca",INDEX(I_COA!$E$6:$E$265,MATCH(D261,I_COA!$A$6:$A$265,0)),"")</f>
        <v/>
      </c>
      <c r="N261" s="34" t="str">
        <f aca="false">IF(D261="","",IFERROR(INDEX(I_COA!$G$6:$G$265,MATCH(D261,I_COA!$A$6:$A$265,0)),"N"))</f>
        <v>N</v>
      </c>
      <c r="O261" s="11" t="n">
        <f aca="false">IF(N261="N",ABS(J261),"")</f>
        <v>34000000</v>
      </c>
      <c r="P261" s="18" t="str">
        <f aca="false">IF(N261="N",B261&amp;"|"&amp;ROUND(O261,0),"")</f>
        <v>PI26080008|34000000</v>
      </c>
      <c r="Q261" s="18" t="str">
        <f aca="false">IF(N261&lt;&gt;"Y","",IFERROR(INDEX($D$6:$D$4005,MATCH(B261&amp;"|"&amp;ROUND(_xlfn.MAXIFS($O$6:$O$4005,$B$6:$B$4005,B261,$N$6:$N$4005,"N"),0),$P$6:$P$4005,0)),"(tanpa lawan)"))</f>
        <v/>
      </c>
      <c r="R261" s="44"/>
      <c r="S261" s="9" t="str">
        <f aca="false">IF(N261&lt;&gt;"Y","",IF(R261&lt;&gt;"",R261,IF(Q261="(tanpa lawan)","Transfer antar rekening",IFERROR(INDEX(I_COA!$F$6:$F$265,MATCH(Q261,I_COA!$A$6:$A$265,0)),"?"))))</f>
        <v/>
      </c>
    </row>
    <row r="262" customFormat="false" ht="15" hidden="false" customHeight="false" outlineLevel="0" collapsed="false">
      <c r="A262" s="37" t="n">
        <v>46239</v>
      </c>
      <c r="B262" s="44" t="s">
        <v>825</v>
      </c>
      <c r="C262" s="44" t="s">
        <v>707</v>
      </c>
      <c r="D262" s="44" t="n">
        <v>2102002</v>
      </c>
      <c r="E262" s="44" t="s">
        <v>633</v>
      </c>
      <c r="F262" s="44" t="s">
        <v>827</v>
      </c>
      <c r="G262" s="42"/>
      <c r="H262" s="42" t="n">
        <v>850000</v>
      </c>
      <c r="I262" s="44" t="s">
        <v>681</v>
      </c>
      <c r="J262" s="11" t="n">
        <f aca="false">IF(D262="","",N(G262)-N(H262))</f>
        <v>-850000</v>
      </c>
      <c r="K262" s="34" t="str">
        <f aca="false">IF(D262="","",IFERROR(INDEX(I_COA!$C$6:$C$265,MATCH(D262,I_COA!$A$6:$A$265,0)),"AKUN BARU"))</f>
        <v>Neraca</v>
      </c>
      <c r="L262" s="34" t="str">
        <f aca="false">IF(K262="LabaRugi",INDEX(I_COA!$D$6:$D$265,MATCH(D262,I_COA!$A$6:$A$265,0)),"")</f>
        <v/>
      </c>
      <c r="M262" s="34" t="str">
        <f aca="false">IF(K262="Neraca",INDEX(I_COA!$E$6:$E$265,MATCH(D262,I_COA!$A$6:$A$265,0)),"")</f>
        <v>Taxes Payable</v>
      </c>
      <c r="N262" s="34" t="str">
        <f aca="false">IF(D262="","",IFERROR(INDEX(I_COA!$G$6:$G$265,MATCH(D262,I_COA!$A$6:$A$265,0)),"N"))</f>
        <v>N</v>
      </c>
      <c r="O262" s="11" t="n">
        <f aca="false">IF(N262="N",ABS(J262),"")</f>
        <v>850000</v>
      </c>
      <c r="P262" s="18" t="str">
        <f aca="false">IF(N262="N",B262&amp;"|"&amp;ROUND(O262,0),"")</f>
        <v>PI26080008|850000</v>
      </c>
      <c r="Q262" s="18" t="str">
        <f aca="false">IF(N262&lt;&gt;"Y","",IFERROR(INDEX($D$6:$D$4005,MATCH(B262&amp;"|"&amp;ROUND(_xlfn.MAXIFS($O$6:$O$4005,$B$6:$B$4005,B262,$N$6:$N$4005,"N"),0),$P$6:$P$4005,0)),"(tanpa lawan)"))</f>
        <v/>
      </c>
      <c r="R262" s="44"/>
      <c r="S262" s="9" t="str">
        <f aca="false">IF(N262&lt;&gt;"Y","",IF(R262&lt;&gt;"",R262,IF(Q262="(tanpa lawan)","Transfer antar rekening",IFERROR(INDEX(I_COA!$F$6:$F$265,MATCH(Q262,I_COA!$A$6:$A$265,0)),"?"))))</f>
        <v/>
      </c>
    </row>
    <row r="263" customFormat="false" ht="15" hidden="false" customHeight="false" outlineLevel="0" collapsed="false">
      <c r="A263" s="37" t="n">
        <v>46239</v>
      </c>
      <c r="B263" s="44" t="s">
        <v>825</v>
      </c>
      <c r="C263" s="44" t="s">
        <v>707</v>
      </c>
      <c r="D263" s="44" t="n">
        <v>2101003</v>
      </c>
      <c r="E263" s="44" t="s">
        <v>679</v>
      </c>
      <c r="F263" s="44" t="s">
        <v>826</v>
      </c>
      <c r="G263" s="42"/>
      <c r="H263" s="42" t="n">
        <v>33150000</v>
      </c>
      <c r="I263" s="44" t="s">
        <v>681</v>
      </c>
      <c r="J263" s="11" t="n">
        <f aca="false">IF(D263="","",N(G263)-N(H263))</f>
        <v>-33150000</v>
      </c>
      <c r="K263" s="34" t="str">
        <f aca="false">IF(D263="","",IFERROR(INDEX(I_COA!$C$6:$C$265,MATCH(D263,I_COA!$A$6:$A$265,0)),"AKUN BARU"))</f>
        <v>Neraca</v>
      </c>
      <c r="L263" s="34" t="str">
        <f aca="false">IF(K263="LabaRugi",INDEX(I_COA!$D$6:$D$265,MATCH(D263,I_COA!$A$6:$A$265,0)),"")</f>
        <v/>
      </c>
      <c r="M263" s="34" t="str">
        <f aca="false">IF(K263="Neraca",INDEX(I_COA!$E$6:$E$265,MATCH(D263,I_COA!$A$6:$A$265,0)),"")</f>
        <v>Other Payable - Third Parties</v>
      </c>
      <c r="N263" s="34" t="str">
        <f aca="false">IF(D263="","",IFERROR(INDEX(I_COA!$G$6:$G$265,MATCH(D263,I_COA!$A$6:$A$265,0)),"N"))</f>
        <v>N</v>
      </c>
      <c r="O263" s="11" t="n">
        <f aca="false">IF(N263="N",ABS(J263),"")</f>
        <v>33150000</v>
      </c>
      <c r="P263" s="18" t="str">
        <f aca="false">IF(N263="N",B263&amp;"|"&amp;ROUND(O263,0),"")</f>
        <v>PI26080008|33150000</v>
      </c>
      <c r="Q263" s="18" t="str">
        <f aca="false">IF(N263&lt;&gt;"Y","",IFERROR(INDEX($D$6:$D$4005,MATCH(B263&amp;"|"&amp;ROUND(_xlfn.MAXIFS($O$6:$O$4005,$B$6:$B$4005,B263,$N$6:$N$4005,"N"),0),$P$6:$P$4005,0)),"(tanpa lawan)"))</f>
        <v/>
      </c>
      <c r="R263" s="44"/>
      <c r="S263" s="9" t="str">
        <f aca="false">IF(N263&lt;&gt;"Y","",IF(R263&lt;&gt;"",R263,IF(Q263="(tanpa lawan)","Transfer antar rekening",IFERROR(INDEX(I_COA!$F$6:$F$265,MATCH(Q263,I_COA!$A$6:$A$265,0)),"?"))))</f>
        <v/>
      </c>
    </row>
    <row r="264" customFormat="false" ht="15" hidden="false" customHeight="false" outlineLevel="0" collapsed="false">
      <c r="A264" s="37" t="n">
        <v>46239</v>
      </c>
      <c r="B264" s="44" t="s">
        <v>828</v>
      </c>
      <c r="C264" s="44" t="s">
        <v>594</v>
      </c>
      <c r="D264" s="44" t="n">
        <v>2101003</v>
      </c>
      <c r="E264" s="44" t="s">
        <v>679</v>
      </c>
      <c r="F264" s="44" t="s">
        <v>829</v>
      </c>
      <c r="G264" s="42" t="n">
        <v>21903940.8</v>
      </c>
      <c r="H264" s="42"/>
      <c r="I264" s="44" t="s">
        <v>440</v>
      </c>
      <c r="J264" s="11" t="n">
        <f aca="false">IF(D264="","",N(G264)-N(H264))</f>
        <v>21903940.8</v>
      </c>
      <c r="K264" s="34" t="str">
        <f aca="false">IF(D264="","",IFERROR(INDEX(I_COA!$C$6:$C$265,MATCH(D264,I_COA!$A$6:$A$265,0)),"AKUN BARU"))</f>
        <v>Neraca</v>
      </c>
      <c r="L264" s="34" t="str">
        <f aca="false">IF(K264="LabaRugi",INDEX(I_COA!$D$6:$D$265,MATCH(D264,I_COA!$A$6:$A$265,0)),"")</f>
        <v/>
      </c>
      <c r="M264" s="34" t="str">
        <f aca="false">IF(K264="Neraca",INDEX(I_COA!$E$6:$E$265,MATCH(D264,I_COA!$A$6:$A$265,0)),"")</f>
        <v>Other Payable - Third Parties</v>
      </c>
      <c r="N264" s="34" t="str">
        <f aca="false">IF(D264="","",IFERROR(INDEX(I_COA!$G$6:$G$265,MATCH(D264,I_COA!$A$6:$A$265,0)),"N"))</f>
        <v>N</v>
      </c>
      <c r="O264" s="11" t="n">
        <f aca="false">IF(N264="N",ABS(J264),"")</f>
        <v>21903940.8</v>
      </c>
      <c r="P264" s="18" t="str">
        <f aca="false">IF(N264="N",B264&amp;"|"&amp;ROUND(O264,0),"")</f>
        <v>PP26080001|21903941</v>
      </c>
      <c r="Q264" s="18" t="str">
        <f aca="false">IF(N264&lt;&gt;"Y","",IFERROR(INDEX($D$6:$D$4005,MATCH(B264&amp;"|"&amp;ROUND(_xlfn.MAXIFS($O$6:$O$4005,$B$6:$B$4005,B264,$N$6:$N$4005,"N"),0),$P$6:$P$4005,0)),"(tanpa lawan)"))</f>
        <v/>
      </c>
      <c r="R264" s="44"/>
      <c r="S264" s="9" t="str">
        <f aca="false">IF(N264&lt;&gt;"Y","",IF(R264&lt;&gt;"",R264,IF(Q264="(tanpa lawan)","Transfer antar rekening",IFERROR(INDEX(I_COA!$F$6:$F$265,MATCH(Q264,I_COA!$A$6:$A$265,0)),"?"))))</f>
        <v/>
      </c>
    </row>
    <row r="265" customFormat="false" ht="15" hidden="false" customHeight="false" outlineLevel="0" collapsed="false">
      <c r="A265" s="37" t="n">
        <v>46239</v>
      </c>
      <c r="B265" s="44" t="s">
        <v>828</v>
      </c>
      <c r="C265" s="44" t="s">
        <v>594</v>
      </c>
      <c r="D265" s="44" t="n">
        <v>1103121</v>
      </c>
      <c r="E265" s="44" t="s">
        <v>685</v>
      </c>
      <c r="F265" s="44" t="s">
        <v>829</v>
      </c>
      <c r="G265" s="42"/>
      <c r="H265" s="42" t="n">
        <v>21903940.8</v>
      </c>
      <c r="I265" s="44" t="s">
        <v>440</v>
      </c>
      <c r="J265" s="11" t="n">
        <f aca="false">IF(D265="","",N(G265)-N(H265))</f>
        <v>-21903940.8</v>
      </c>
      <c r="K265" s="34" t="str">
        <f aca="false">IF(D265="","",IFERROR(INDEX(I_COA!$C$6:$C$265,MATCH(D265,I_COA!$A$6:$A$265,0)),"AKUN BARU"))</f>
        <v>Neraca</v>
      </c>
      <c r="L265" s="34" t="str">
        <f aca="false">IF(K265="LabaRugi",INDEX(I_COA!$D$6:$D$265,MATCH(D265,I_COA!$A$6:$A$265,0)),"")</f>
        <v/>
      </c>
      <c r="M265" s="34" t="str">
        <f aca="false">IF(K265="Neraca",INDEX(I_COA!$E$6:$E$265,MATCH(D265,I_COA!$A$6:$A$265,0)),"")</f>
        <v>Advance Payment</v>
      </c>
      <c r="N265" s="34" t="str">
        <f aca="false">IF(D265="","",IFERROR(INDEX(I_COA!$G$6:$G$265,MATCH(D265,I_COA!$A$6:$A$265,0)),"N"))</f>
        <v>N</v>
      </c>
      <c r="O265" s="11" t="n">
        <f aca="false">IF(N265="N",ABS(J265),"")</f>
        <v>21903940.8</v>
      </c>
      <c r="P265" s="18" t="str">
        <f aca="false">IF(N265="N",B265&amp;"|"&amp;ROUND(O265,0),"")</f>
        <v>PP26080001|21903941</v>
      </c>
      <c r="Q265" s="18" t="str">
        <f aca="false">IF(N265&lt;&gt;"Y","",IFERROR(INDEX($D$6:$D$4005,MATCH(B265&amp;"|"&amp;ROUND(_xlfn.MAXIFS($O$6:$O$4005,$B$6:$B$4005,B265,$N$6:$N$4005,"N"),0),$P$6:$P$4005,0)),"(tanpa lawan)"))</f>
        <v/>
      </c>
      <c r="R265" s="44"/>
      <c r="S265" s="9" t="str">
        <f aca="false">IF(N265&lt;&gt;"Y","",IF(R265&lt;&gt;"",R265,IF(Q265="(tanpa lawan)","Transfer antar rekening",IFERROR(INDEX(I_COA!$F$6:$F$265,MATCH(Q265,I_COA!$A$6:$A$265,0)),"?"))))</f>
        <v/>
      </c>
    </row>
    <row r="266" customFormat="false" ht="15" hidden="false" customHeight="false" outlineLevel="0" collapsed="false">
      <c r="A266" s="37" t="n">
        <v>46239</v>
      </c>
      <c r="B266" s="44" t="s">
        <v>828</v>
      </c>
      <c r="C266" s="44" t="s">
        <v>594</v>
      </c>
      <c r="D266" s="44" t="n">
        <v>2101003</v>
      </c>
      <c r="E266" s="44" t="s">
        <v>679</v>
      </c>
      <c r="F266" s="44" t="s">
        <v>829</v>
      </c>
      <c r="G266" s="42" t="n">
        <v>2256019.2</v>
      </c>
      <c r="H266" s="42"/>
      <c r="I266" s="44" t="s">
        <v>440</v>
      </c>
      <c r="J266" s="11" t="n">
        <f aca="false">IF(D266="","",N(G266)-N(H266))</f>
        <v>2256019.2</v>
      </c>
      <c r="K266" s="34" t="str">
        <f aca="false">IF(D266="","",IFERROR(INDEX(I_COA!$C$6:$C$265,MATCH(D266,I_COA!$A$6:$A$265,0)),"AKUN BARU"))</f>
        <v>Neraca</v>
      </c>
      <c r="L266" s="34" t="str">
        <f aca="false">IF(K266="LabaRugi",INDEX(I_COA!$D$6:$D$265,MATCH(D266,I_COA!$A$6:$A$265,0)),"")</f>
        <v/>
      </c>
      <c r="M266" s="34" t="str">
        <f aca="false">IF(K266="Neraca",INDEX(I_COA!$E$6:$E$265,MATCH(D266,I_COA!$A$6:$A$265,0)),"")</f>
        <v>Other Payable - Third Parties</v>
      </c>
      <c r="N266" s="34" t="str">
        <f aca="false">IF(D266="","",IFERROR(INDEX(I_COA!$G$6:$G$265,MATCH(D266,I_COA!$A$6:$A$265,0)),"N"))</f>
        <v>N</v>
      </c>
      <c r="O266" s="11" t="n">
        <f aca="false">IF(N266="N",ABS(J266),"")</f>
        <v>2256019.2</v>
      </c>
      <c r="P266" s="18" t="str">
        <f aca="false">IF(N266="N",B266&amp;"|"&amp;ROUND(O266,0),"")</f>
        <v>PP26080001|2256019</v>
      </c>
      <c r="Q266" s="18" t="str">
        <f aca="false">IF(N266&lt;&gt;"Y","",IFERROR(INDEX($D$6:$D$4005,MATCH(B266&amp;"|"&amp;ROUND(_xlfn.MAXIFS($O$6:$O$4005,$B$6:$B$4005,B266,$N$6:$N$4005,"N"),0),$P$6:$P$4005,0)),"(tanpa lawan)"))</f>
        <v/>
      </c>
      <c r="R266" s="44"/>
      <c r="S266" s="9" t="str">
        <f aca="false">IF(N266&lt;&gt;"Y","",IF(R266&lt;&gt;"",R266,IF(Q266="(tanpa lawan)","Transfer antar rekening",IFERROR(INDEX(I_COA!$F$6:$F$265,MATCH(Q266,I_COA!$A$6:$A$265,0)),"?"))))</f>
        <v/>
      </c>
    </row>
    <row r="267" customFormat="false" ht="15" hidden="false" customHeight="false" outlineLevel="0" collapsed="false">
      <c r="A267" s="37" t="n">
        <v>46239</v>
      </c>
      <c r="B267" s="44" t="s">
        <v>828</v>
      </c>
      <c r="C267" s="44" t="s">
        <v>594</v>
      </c>
      <c r="D267" s="44" t="n">
        <v>1103121</v>
      </c>
      <c r="E267" s="44" t="s">
        <v>685</v>
      </c>
      <c r="F267" s="44" t="s">
        <v>829</v>
      </c>
      <c r="G267" s="42"/>
      <c r="H267" s="42" t="n">
        <v>2256019.2</v>
      </c>
      <c r="I267" s="44" t="s">
        <v>440</v>
      </c>
      <c r="J267" s="11" t="n">
        <f aca="false">IF(D267="","",N(G267)-N(H267))</f>
        <v>-2256019.2</v>
      </c>
      <c r="K267" s="34" t="str">
        <f aca="false">IF(D267="","",IFERROR(INDEX(I_COA!$C$6:$C$265,MATCH(D267,I_COA!$A$6:$A$265,0)),"AKUN BARU"))</f>
        <v>Neraca</v>
      </c>
      <c r="L267" s="34" t="str">
        <f aca="false">IF(K267="LabaRugi",INDEX(I_COA!$D$6:$D$265,MATCH(D267,I_COA!$A$6:$A$265,0)),"")</f>
        <v/>
      </c>
      <c r="M267" s="34" t="str">
        <f aca="false">IF(K267="Neraca",INDEX(I_COA!$E$6:$E$265,MATCH(D267,I_COA!$A$6:$A$265,0)),"")</f>
        <v>Advance Payment</v>
      </c>
      <c r="N267" s="34" t="str">
        <f aca="false">IF(D267="","",IFERROR(INDEX(I_COA!$G$6:$G$265,MATCH(D267,I_COA!$A$6:$A$265,0)),"N"))</f>
        <v>N</v>
      </c>
      <c r="O267" s="11" t="n">
        <f aca="false">IF(N267="N",ABS(J267),"")</f>
        <v>2256019.2</v>
      </c>
      <c r="P267" s="18" t="str">
        <f aca="false">IF(N267="N",B267&amp;"|"&amp;ROUND(O267,0),"")</f>
        <v>PP26080001|2256019</v>
      </c>
      <c r="Q267" s="18" t="str">
        <f aca="false">IF(N267&lt;&gt;"Y","",IFERROR(INDEX($D$6:$D$4005,MATCH(B267&amp;"|"&amp;ROUND(_xlfn.MAXIFS($O$6:$O$4005,$B$6:$B$4005,B267,$N$6:$N$4005,"N"),0),$P$6:$P$4005,0)),"(tanpa lawan)"))</f>
        <v/>
      </c>
      <c r="R267" s="44"/>
      <c r="S267" s="9" t="str">
        <f aca="false">IF(N267&lt;&gt;"Y","",IF(R267&lt;&gt;"",R267,IF(Q267="(tanpa lawan)","Transfer antar rekening",IFERROR(INDEX(I_COA!$F$6:$F$265,MATCH(Q267,I_COA!$A$6:$A$265,0)),"?"))))</f>
        <v/>
      </c>
    </row>
    <row r="268" customFormat="false" ht="15" hidden="false" customHeight="false" outlineLevel="0" collapsed="false">
      <c r="A268" s="37" t="n">
        <v>46239</v>
      </c>
      <c r="B268" s="44" t="s">
        <v>830</v>
      </c>
      <c r="C268" s="44" t="s">
        <v>594</v>
      </c>
      <c r="D268" s="44" t="n">
        <v>2101003</v>
      </c>
      <c r="E268" s="44" t="s">
        <v>679</v>
      </c>
      <c r="F268" s="44" t="s">
        <v>831</v>
      </c>
      <c r="G268" s="42" t="n">
        <v>8151894.4</v>
      </c>
      <c r="H268" s="42"/>
      <c r="I268" s="44" t="s">
        <v>440</v>
      </c>
      <c r="J268" s="11" t="n">
        <f aca="false">IF(D268="","",N(G268)-N(H268))</f>
        <v>8151894.4</v>
      </c>
      <c r="K268" s="34" t="str">
        <f aca="false">IF(D268="","",IFERROR(INDEX(I_COA!$C$6:$C$265,MATCH(D268,I_COA!$A$6:$A$265,0)),"AKUN BARU"))</f>
        <v>Neraca</v>
      </c>
      <c r="L268" s="34" t="str">
        <f aca="false">IF(K268="LabaRugi",INDEX(I_COA!$D$6:$D$265,MATCH(D268,I_COA!$A$6:$A$265,0)),"")</f>
        <v/>
      </c>
      <c r="M268" s="34" t="str">
        <f aca="false">IF(K268="Neraca",INDEX(I_COA!$E$6:$E$265,MATCH(D268,I_COA!$A$6:$A$265,0)),"")</f>
        <v>Other Payable - Third Parties</v>
      </c>
      <c r="N268" s="34" t="str">
        <f aca="false">IF(D268="","",IFERROR(INDEX(I_COA!$G$6:$G$265,MATCH(D268,I_COA!$A$6:$A$265,0)),"N"))</f>
        <v>N</v>
      </c>
      <c r="O268" s="11" t="n">
        <f aca="false">IF(N268="N",ABS(J268),"")</f>
        <v>8151894.4</v>
      </c>
      <c r="P268" s="18" t="str">
        <f aca="false">IF(N268="N",B268&amp;"|"&amp;ROUND(O268,0),"")</f>
        <v>PP26080002|8151894</v>
      </c>
      <c r="Q268" s="18" t="str">
        <f aca="false">IF(N268&lt;&gt;"Y","",IFERROR(INDEX($D$6:$D$4005,MATCH(B268&amp;"|"&amp;ROUND(_xlfn.MAXIFS($O$6:$O$4005,$B$6:$B$4005,B268,$N$6:$N$4005,"N"),0),$P$6:$P$4005,0)),"(tanpa lawan)"))</f>
        <v/>
      </c>
      <c r="R268" s="44"/>
      <c r="S268" s="9" t="str">
        <f aca="false">IF(N268&lt;&gt;"Y","",IF(R268&lt;&gt;"",R268,IF(Q268="(tanpa lawan)","Transfer antar rekening",IFERROR(INDEX(I_COA!$F$6:$F$265,MATCH(Q268,I_COA!$A$6:$A$265,0)),"?"))))</f>
        <v/>
      </c>
    </row>
    <row r="269" customFormat="false" ht="15" hidden="false" customHeight="false" outlineLevel="0" collapsed="false">
      <c r="A269" s="37" t="n">
        <v>46239</v>
      </c>
      <c r="B269" s="44" t="s">
        <v>830</v>
      </c>
      <c r="C269" s="44" t="s">
        <v>594</v>
      </c>
      <c r="D269" s="44" t="n">
        <v>2101003</v>
      </c>
      <c r="E269" s="44" t="s">
        <v>679</v>
      </c>
      <c r="F269" s="44" t="s">
        <v>831</v>
      </c>
      <c r="G269" s="42" t="n">
        <v>5993605</v>
      </c>
      <c r="H269" s="42"/>
      <c r="I269" s="44" t="s">
        <v>440</v>
      </c>
      <c r="J269" s="11" t="n">
        <f aca="false">IF(D269="","",N(G269)-N(H269))</f>
        <v>5993605</v>
      </c>
      <c r="K269" s="34" t="str">
        <f aca="false">IF(D269="","",IFERROR(INDEX(I_COA!$C$6:$C$265,MATCH(D269,I_COA!$A$6:$A$265,0)),"AKUN BARU"))</f>
        <v>Neraca</v>
      </c>
      <c r="L269" s="34" t="str">
        <f aca="false">IF(K269="LabaRugi",INDEX(I_COA!$D$6:$D$265,MATCH(D269,I_COA!$A$6:$A$265,0)),"")</f>
        <v/>
      </c>
      <c r="M269" s="34" t="str">
        <f aca="false">IF(K269="Neraca",INDEX(I_COA!$E$6:$E$265,MATCH(D269,I_COA!$A$6:$A$265,0)),"")</f>
        <v>Other Payable - Third Parties</v>
      </c>
      <c r="N269" s="34" t="str">
        <f aca="false">IF(D269="","",IFERROR(INDEX(I_COA!$G$6:$G$265,MATCH(D269,I_COA!$A$6:$A$265,0)),"N"))</f>
        <v>N</v>
      </c>
      <c r="O269" s="11" t="n">
        <f aca="false">IF(N269="N",ABS(J269),"")</f>
        <v>5993605</v>
      </c>
      <c r="P269" s="18" t="str">
        <f aca="false">IF(N269="N",B269&amp;"|"&amp;ROUND(O269,0),"")</f>
        <v>PP26080002|5993605</v>
      </c>
      <c r="Q269" s="18" t="str">
        <f aca="false">IF(N269&lt;&gt;"Y","",IFERROR(INDEX($D$6:$D$4005,MATCH(B269&amp;"|"&amp;ROUND(_xlfn.MAXIFS($O$6:$O$4005,$B$6:$B$4005,B269,$N$6:$N$4005,"N"),0),$P$6:$P$4005,0)),"(tanpa lawan)"))</f>
        <v/>
      </c>
      <c r="R269" s="44"/>
      <c r="S269" s="9" t="str">
        <f aca="false">IF(N269&lt;&gt;"Y","",IF(R269&lt;&gt;"",R269,IF(Q269="(tanpa lawan)","Transfer antar rekening",IFERROR(INDEX(I_COA!$F$6:$F$265,MATCH(Q269,I_COA!$A$6:$A$265,0)),"?"))))</f>
        <v/>
      </c>
    </row>
    <row r="270" customFormat="false" ht="15" hidden="false" customHeight="false" outlineLevel="0" collapsed="false">
      <c r="A270" s="37" t="n">
        <v>46239</v>
      </c>
      <c r="B270" s="44" t="s">
        <v>830</v>
      </c>
      <c r="C270" s="44" t="s">
        <v>594</v>
      </c>
      <c r="D270" s="44" t="n">
        <v>1102008</v>
      </c>
      <c r="E270" s="44" t="s">
        <v>781</v>
      </c>
      <c r="F270" s="44" t="s">
        <v>831</v>
      </c>
      <c r="G270" s="42"/>
      <c r="H270" s="42" t="n">
        <v>14145499.4</v>
      </c>
      <c r="I270" s="44" t="s">
        <v>440</v>
      </c>
      <c r="J270" s="11" t="n">
        <f aca="false">IF(D270="","",N(G270)-N(H270))</f>
        <v>-14145499.4</v>
      </c>
      <c r="K270" s="34" t="str">
        <f aca="false">IF(D270="","",IFERROR(INDEX(I_COA!$C$6:$C$265,MATCH(D270,I_COA!$A$6:$A$265,0)),"AKUN BARU"))</f>
        <v>Neraca</v>
      </c>
      <c r="L270" s="34" t="str">
        <f aca="false">IF(K270="LabaRugi",INDEX(I_COA!$D$6:$D$265,MATCH(D270,I_COA!$A$6:$A$265,0)),"")</f>
        <v/>
      </c>
      <c r="M270" s="34" t="str">
        <f aca="false">IF(K270="Neraca",INDEX(I_COA!$E$6:$E$265,MATCH(D270,I_COA!$A$6:$A$265,0)),"")</f>
        <v>Advance Payment</v>
      </c>
      <c r="N270" s="34" t="str">
        <f aca="false">IF(D270="","",IFERROR(INDEX(I_COA!$G$6:$G$265,MATCH(D270,I_COA!$A$6:$A$265,0)),"N"))</f>
        <v>N</v>
      </c>
      <c r="O270" s="11" t="n">
        <f aca="false">IF(N270="N",ABS(J270),"")</f>
        <v>14145499.4</v>
      </c>
      <c r="P270" s="18" t="str">
        <f aca="false">IF(N270="N",B270&amp;"|"&amp;ROUND(O270,0),"")</f>
        <v>PP26080002|14145499</v>
      </c>
      <c r="Q270" s="18" t="str">
        <f aca="false">IF(N270&lt;&gt;"Y","",IFERROR(INDEX($D$6:$D$4005,MATCH(B270&amp;"|"&amp;ROUND(_xlfn.MAXIFS($O$6:$O$4005,$B$6:$B$4005,B270,$N$6:$N$4005,"N"),0),$P$6:$P$4005,0)),"(tanpa lawan)"))</f>
        <v/>
      </c>
      <c r="R270" s="44"/>
      <c r="S270" s="9" t="str">
        <f aca="false">IF(N270&lt;&gt;"Y","",IF(R270&lt;&gt;"",R270,IF(Q270="(tanpa lawan)","Transfer antar rekening",IFERROR(INDEX(I_COA!$F$6:$F$265,MATCH(Q270,I_COA!$A$6:$A$265,0)),"?"))))</f>
        <v/>
      </c>
    </row>
    <row r="271" customFormat="false" ht="15" hidden="false" customHeight="false" outlineLevel="0" collapsed="false">
      <c r="A271" s="37" t="n">
        <v>46239</v>
      </c>
      <c r="B271" s="44" t="s">
        <v>832</v>
      </c>
      <c r="C271" s="44" t="s">
        <v>585</v>
      </c>
      <c r="D271" s="44" t="n">
        <v>1102008</v>
      </c>
      <c r="E271" s="44" t="s">
        <v>781</v>
      </c>
      <c r="F271" s="44" t="s">
        <v>833</v>
      </c>
      <c r="G271" s="42" t="n">
        <v>14145500</v>
      </c>
      <c r="H271" s="42"/>
      <c r="I271" s="44" t="s">
        <v>440</v>
      </c>
      <c r="J271" s="11" t="n">
        <f aca="false">IF(D271="","",N(G271)-N(H271))</f>
        <v>14145500</v>
      </c>
      <c r="K271" s="34" t="str">
        <f aca="false">IF(D271="","",IFERROR(INDEX(I_COA!$C$6:$C$265,MATCH(D271,I_COA!$A$6:$A$265,0)),"AKUN BARU"))</f>
        <v>Neraca</v>
      </c>
      <c r="L271" s="34" t="str">
        <f aca="false">IF(K271="LabaRugi",INDEX(I_COA!$D$6:$D$265,MATCH(D271,I_COA!$A$6:$A$265,0)),"")</f>
        <v/>
      </c>
      <c r="M271" s="34" t="str">
        <f aca="false">IF(K271="Neraca",INDEX(I_COA!$E$6:$E$265,MATCH(D271,I_COA!$A$6:$A$265,0)),"")</f>
        <v>Advance Payment</v>
      </c>
      <c r="N271" s="34" t="str">
        <f aca="false">IF(D271="","",IFERROR(INDEX(I_COA!$G$6:$G$265,MATCH(D271,I_COA!$A$6:$A$265,0)),"N"))</f>
        <v>N</v>
      </c>
      <c r="O271" s="11" t="n">
        <f aca="false">IF(N271="N",ABS(J271),"")</f>
        <v>14145500</v>
      </c>
      <c r="P271" s="18" t="str">
        <f aca="false">IF(N271="N",B271&amp;"|"&amp;ROUND(O271,0),"")</f>
        <v>SR26080001|14145500</v>
      </c>
      <c r="Q271" s="18" t="str">
        <f aca="false">IF(N271&lt;&gt;"Y","",IFERROR(INDEX($D$6:$D$4005,MATCH(B271&amp;"|"&amp;ROUND(_xlfn.MAXIFS($O$6:$O$4005,$B$6:$B$4005,B271,$N$6:$N$4005,"N"),0),$P$6:$P$4005,0)),"(tanpa lawan)"))</f>
        <v/>
      </c>
      <c r="R271" s="44"/>
      <c r="S271" s="9" t="str">
        <f aca="false">IF(N271&lt;&gt;"Y","",IF(R271&lt;&gt;"",R271,IF(Q271="(tanpa lawan)","Transfer antar rekening",IFERROR(INDEX(I_COA!$F$6:$F$265,MATCH(Q271,I_COA!$A$6:$A$265,0)),"?"))))</f>
        <v/>
      </c>
    </row>
    <row r="272" customFormat="false" ht="15" hidden="false" customHeight="false" outlineLevel="0" collapsed="false">
      <c r="A272" s="37" t="n">
        <v>46239</v>
      </c>
      <c r="B272" s="44" t="s">
        <v>832</v>
      </c>
      <c r="C272" s="44" t="s">
        <v>585</v>
      </c>
      <c r="D272" s="44" t="n">
        <v>1103101</v>
      </c>
      <c r="E272" s="44" t="s">
        <v>589</v>
      </c>
      <c r="F272" s="44" t="s">
        <v>833</v>
      </c>
      <c r="G272" s="42"/>
      <c r="H272" s="42" t="n">
        <v>10200000</v>
      </c>
      <c r="I272" s="44" t="s">
        <v>440</v>
      </c>
      <c r="J272" s="11" t="n">
        <f aca="false">IF(D272="","",N(G272)-N(H272))</f>
        <v>-10200000</v>
      </c>
      <c r="K272" s="34" t="str">
        <f aca="false">IF(D272="","",IFERROR(INDEX(I_COA!$C$6:$C$265,MATCH(D272,I_COA!$A$6:$A$265,0)),"AKUN BARU"))</f>
        <v>Neraca</v>
      </c>
      <c r="L272" s="34" t="str">
        <f aca="false">IF(K272="LabaRugi",INDEX(I_COA!$D$6:$D$265,MATCH(D272,I_COA!$A$6:$A$265,0)),"")</f>
        <v/>
      </c>
      <c r="M272" s="34" t="str">
        <f aca="false">IF(K272="Neraca",INDEX(I_COA!$E$6:$E$265,MATCH(D272,I_COA!$A$6:$A$265,0)),"")</f>
        <v>Trade Receivables - Third Parties</v>
      </c>
      <c r="N272" s="34" t="str">
        <f aca="false">IF(D272="","",IFERROR(INDEX(I_COA!$G$6:$G$265,MATCH(D272,I_COA!$A$6:$A$265,0)),"N"))</f>
        <v>N</v>
      </c>
      <c r="O272" s="11" t="n">
        <f aca="false">IF(N272="N",ABS(J272),"")</f>
        <v>10200000</v>
      </c>
      <c r="P272" s="18" t="str">
        <f aca="false">IF(N272="N",B272&amp;"|"&amp;ROUND(O272,0),"")</f>
        <v>SR26080001|10200000</v>
      </c>
      <c r="Q272" s="18" t="str">
        <f aca="false">IF(N272&lt;&gt;"Y","",IFERROR(INDEX($D$6:$D$4005,MATCH(B272&amp;"|"&amp;ROUND(_xlfn.MAXIFS($O$6:$O$4005,$B$6:$B$4005,B272,$N$6:$N$4005,"N"),0),$P$6:$P$4005,0)),"(tanpa lawan)"))</f>
        <v/>
      </c>
      <c r="R272" s="44"/>
      <c r="S272" s="9" t="str">
        <f aca="false">IF(N272&lt;&gt;"Y","",IF(R272&lt;&gt;"",R272,IF(Q272="(tanpa lawan)","Transfer antar rekening",IFERROR(INDEX(I_COA!$F$6:$F$265,MATCH(Q272,I_COA!$A$6:$A$265,0)),"?"))))</f>
        <v/>
      </c>
    </row>
    <row r="273" customFormat="false" ht="15" hidden="false" customHeight="false" outlineLevel="0" collapsed="false">
      <c r="A273" s="37" t="n">
        <v>46239</v>
      </c>
      <c r="B273" s="44" t="s">
        <v>832</v>
      </c>
      <c r="C273" s="44" t="s">
        <v>585</v>
      </c>
      <c r="D273" s="44" t="n">
        <v>1103101</v>
      </c>
      <c r="E273" s="44" t="s">
        <v>589</v>
      </c>
      <c r="F273" s="44" t="s">
        <v>833</v>
      </c>
      <c r="G273" s="42"/>
      <c r="H273" s="42" t="n">
        <v>622500</v>
      </c>
      <c r="I273" s="44" t="s">
        <v>440</v>
      </c>
      <c r="J273" s="11" t="n">
        <f aca="false">IF(D273="","",N(G273)-N(H273))</f>
        <v>-622500</v>
      </c>
      <c r="K273" s="34" t="str">
        <f aca="false">IF(D273="","",IFERROR(INDEX(I_COA!$C$6:$C$265,MATCH(D273,I_COA!$A$6:$A$265,0)),"AKUN BARU"))</f>
        <v>Neraca</v>
      </c>
      <c r="L273" s="34" t="str">
        <f aca="false">IF(K273="LabaRugi",INDEX(I_COA!$D$6:$D$265,MATCH(D273,I_COA!$A$6:$A$265,0)),"")</f>
        <v/>
      </c>
      <c r="M273" s="34" t="str">
        <f aca="false">IF(K273="Neraca",INDEX(I_COA!$E$6:$E$265,MATCH(D273,I_COA!$A$6:$A$265,0)),"")</f>
        <v>Trade Receivables - Third Parties</v>
      </c>
      <c r="N273" s="34" t="str">
        <f aca="false">IF(D273="","",IFERROR(INDEX(I_COA!$G$6:$G$265,MATCH(D273,I_COA!$A$6:$A$265,0)),"N"))</f>
        <v>N</v>
      </c>
      <c r="O273" s="11" t="n">
        <f aca="false">IF(N273="N",ABS(J273),"")</f>
        <v>622500</v>
      </c>
      <c r="P273" s="18" t="str">
        <f aca="false">IF(N273="N",B273&amp;"|"&amp;ROUND(O273,0),"")</f>
        <v>SR26080001|622500</v>
      </c>
      <c r="Q273" s="18" t="str">
        <f aca="false">IF(N273&lt;&gt;"Y","",IFERROR(INDEX($D$6:$D$4005,MATCH(B273&amp;"|"&amp;ROUND(_xlfn.MAXIFS($O$6:$O$4005,$B$6:$B$4005,B273,$N$6:$N$4005,"N"),0),$P$6:$P$4005,0)),"(tanpa lawan)"))</f>
        <v/>
      </c>
      <c r="R273" s="44"/>
      <c r="S273" s="9" t="str">
        <f aca="false">IF(N273&lt;&gt;"Y","",IF(R273&lt;&gt;"",R273,IF(Q273="(tanpa lawan)","Transfer antar rekening",IFERROR(INDEX(I_COA!$F$6:$F$265,MATCH(Q273,I_COA!$A$6:$A$265,0)),"?"))))</f>
        <v/>
      </c>
    </row>
    <row r="274" customFormat="false" ht="15" hidden="false" customHeight="false" outlineLevel="0" collapsed="false">
      <c r="A274" s="37" t="n">
        <v>46239</v>
      </c>
      <c r="B274" s="44" t="s">
        <v>832</v>
      </c>
      <c r="C274" s="44" t="s">
        <v>585</v>
      </c>
      <c r="D274" s="44" t="n">
        <v>1103101</v>
      </c>
      <c r="E274" s="44" t="s">
        <v>589</v>
      </c>
      <c r="F274" s="44" t="s">
        <v>833</v>
      </c>
      <c r="G274" s="42"/>
      <c r="H274" s="42" t="n">
        <v>3323000</v>
      </c>
      <c r="I274" s="44" t="s">
        <v>440</v>
      </c>
      <c r="J274" s="11" t="n">
        <f aca="false">IF(D274="","",N(G274)-N(H274))</f>
        <v>-3323000</v>
      </c>
      <c r="K274" s="34" t="str">
        <f aca="false">IF(D274="","",IFERROR(INDEX(I_COA!$C$6:$C$265,MATCH(D274,I_COA!$A$6:$A$265,0)),"AKUN BARU"))</f>
        <v>Neraca</v>
      </c>
      <c r="L274" s="34" t="str">
        <f aca="false">IF(K274="LabaRugi",INDEX(I_COA!$D$6:$D$265,MATCH(D274,I_COA!$A$6:$A$265,0)),"")</f>
        <v/>
      </c>
      <c r="M274" s="34" t="str">
        <f aca="false">IF(K274="Neraca",INDEX(I_COA!$E$6:$E$265,MATCH(D274,I_COA!$A$6:$A$265,0)),"")</f>
        <v>Trade Receivables - Third Parties</v>
      </c>
      <c r="N274" s="34" t="str">
        <f aca="false">IF(D274="","",IFERROR(INDEX(I_COA!$G$6:$G$265,MATCH(D274,I_COA!$A$6:$A$265,0)),"N"))</f>
        <v>N</v>
      </c>
      <c r="O274" s="11" t="n">
        <f aca="false">IF(N274="N",ABS(J274),"")</f>
        <v>3323000</v>
      </c>
      <c r="P274" s="18" t="str">
        <f aca="false">IF(N274="N",B274&amp;"|"&amp;ROUND(O274,0),"")</f>
        <v>SR26080001|3323000</v>
      </c>
      <c r="Q274" s="18" t="str">
        <f aca="false">IF(N274&lt;&gt;"Y","",IFERROR(INDEX($D$6:$D$4005,MATCH(B274&amp;"|"&amp;ROUND(_xlfn.MAXIFS($O$6:$O$4005,$B$6:$B$4005,B274,$N$6:$N$4005,"N"),0),$P$6:$P$4005,0)),"(tanpa lawan)"))</f>
        <v/>
      </c>
      <c r="R274" s="44"/>
      <c r="S274" s="9" t="str">
        <f aca="false">IF(N274&lt;&gt;"Y","",IF(R274&lt;&gt;"",R274,IF(Q274="(tanpa lawan)","Transfer antar rekening",IFERROR(INDEX(I_COA!$F$6:$F$265,MATCH(Q274,I_COA!$A$6:$A$265,0)),"?"))))</f>
        <v/>
      </c>
    </row>
    <row r="275" customFormat="false" ht="15" hidden="false" customHeight="false" outlineLevel="0" collapsed="false">
      <c r="A275" s="37" t="n">
        <v>46240</v>
      </c>
      <c r="B275" s="44" t="s">
        <v>834</v>
      </c>
      <c r="C275" s="44" t="s">
        <v>585</v>
      </c>
      <c r="D275" s="44" t="n">
        <v>1102001</v>
      </c>
      <c r="E275" s="44" t="s">
        <v>586</v>
      </c>
      <c r="F275" s="44" t="s">
        <v>835</v>
      </c>
      <c r="G275" s="42" t="n">
        <v>18054675</v>
      </c>
      <c r="H275" s="42"/>
      <c r="I275" s="44" t="s">
        <v>478</v>
      </c>
      <c r="J275" s="11" t="n">
        <f aca="false">IF(D275="","",N(G275)-N(H275))</f>
        <v>18054675</v>
      </c>
      <c r="K275" s="34" t="str">
        <f aca="false">IF(D275="","",IFERROR(INDEX(I_COA!$C$6:$C$265,MATCH(D275,I_COA!$A$6:$A$265,0)),"AKUN BARU"))</f>
        <v>Neraca</v>
      </c>
      <c r="L275" s="34" t="str">
        <f aca="false">IF(K275="LabaRugi",INDEX(I_COA!$D$6:$D$265,MATCH(D275,I_COA!$A$6:$A$265,0)),"")</f>
        <v/>
      </c>
      <c r="M275" s="34" t="str">
        <f aca="false">IF(K275="Neraca",INDEX(I_COA!$E$6:$E$265,MATCH(D275,I_COA!$A$6:$A$265,0)),"")</f>
        <v>Cash and cash equivalents</v>
      </c>
      <c r="N275" s="34" t="str">
        <f aca="false">IF(D275="","",IFERROR(INDEX(I_COA!$G$6:$G$265,MATCH(D275,I_COA!$A$6:$A$265,0)),"N"))</f>
        <v>Y</v>
      </c>
      <c r="O275" s="11" t="str">
        <f aca="false">IF(N275="N",ABS(J275),"")</f>
        <v/>
      </c>
      <c r="P275" s="18" t="str">
        <f aca="false">IF(N275="N",B275&amp;"|"&amp;ROUND(O275,0),"")</f>
        <v/>
      </c>
      <c r="Q275" s="18" t="n">
        <f aca="false">IF(N275&lt;&gt;"Y","",IFERROR(INDEX($D$6:$D$4005,MATCH(B275&amp;"|"&amp;ROUND(_xlfn.MAXIFS($O$6:$O$4005,$B$6:$B$4005,B275,$N$6:$N$4005,"N"),0),$P$6:$P$4005,0)),"(tanpa lawan)"))</f>
        <v>1103101</v>
      </c>
      <c r="R275" s="44"/>
      <c r="S275" s="9" t="str">
        <f aca="false">IF(N275&lt;&gt;"Y","",IF(R275&lt;&gt;"",R275,IF(Q275="(tanpa lawan)","Transfer antar rekening",IFERROR(INDEX(I_COA!$F$6:$F$265,MATCH(Q275,I_COA!$A$6:$A$265,0)),"?"))))</f>
        <v>Penerimaan dari pelanggan</v>
      </c>
    </row>
    <row r="276" customFormat="false" ht="15" hidden="false" customHeight="false" outlineLevel="0" collapsed="false">
      <c r="A276" s="37" t="n">
        <v>46240</v>
      </c>
      <c r="B276" s="44" t="s">
        <v>834</v>
      </c>
      <c r="C276" s="44" t="s">
        <v>585</v>
      </c>
      <c r="D276" s="44" t="n">
        <v>1103101</v>
      </c>
      <c r="E276" s="44" t="s">
        <v>589</v>
      </c>
      <c r="F276" s="44" t="s">
        <v>835</v>
      </c>
      <c r="G276" s="42"/>
      <c r="H276" s="42" t="n">
        <v>18054675</v>
      </c>
      <c r="I276" s="44" t="s">
        <v>478</v>
      </c>
      <c r="J276" s="11" t="n">
        <f aca="false">IF(D276="","",N(G276)-N(H276))</f>
        <v>-18054675</v>
      </c>
      <c r="K276" s="34" t="str">
        <f aca="false">IF(D276="","",IFERROR(INDEX(I_COA!$C$6:$C$265,MATCH(D276,I_COA!$A$6:$A$265,0)),"AKUN BARU"))</f>
        <v>Neraca</v>
      </c>
      <c r="L276" s="34" t="str">
        <f aca="false">IF(K276="LabaRugi",INDEX(I_COA!$D$6:$D$265,MATCH(D276,I_COA!$A$6:$A$265,0)),"")</f>
        <v/>
      </c>
      <c r="M276" s="34" t="str">
        <f aca="false">IF(K276="Neraca",INDEX(I_COA!$E$6:$E$265,MATCH(D276,I_COA!$A$6:$A$265,0)),"")</f>
        <v>Trade Receivables - Third Parties</v>
      </c>
      <c r="N276" s="34" t="str">
        <f aca="false">IF(D276="","",IFERROR(INDEX(I_COA!$G$6:$G$265,MATCH(D276,I_COA!$A$6:$A$265,0)),"N"))</f>
        <v>N</v>
      </c>
      <c r="O276" s="11" t="n">
        <f aca="false">IF(N276="N",ABS(J276),"")</f>
        <v>18054675</v>
      </c>
      <c r="P276" s="18" t="str">
        <f aca="false">IF(N276="N",B276&amp;"|"&amp;ROUND(O276,0),"")</f>
        <v>B7626080021|18054675</v>
      </c>
      <c r="Q276" s="18" t="str">
        <f aca="false">IF(N276&lt;&gt;"Y","",IFERROR(INDEX($D$6:$D$4005,MATCH(B276&amp;"|"&amp;ROUND(_xlfn.MAXIFS($O$6:$O$4005,$B$6:$B$4005,B276,$N$6:$N$4005,"N"),0),$P$6:$P$4005,0)),"(tanpa lawan)"))</f>
        <v/>
      </c>
      <c r="R276" s="44"/>
      <c r="S276" s="9" t="str">
        <f aca="false">IF(N276&lt;&gt;"Y","",IF(R276&lt;&gt;"",R276,IF(Q276="(tanpa lawan)","Transfer antar rekening",IFERROR(INDEX(I_COA!$F$6:$F$265,MATCH(Q276,I_COA!$A$6:$A$265,0)),"?"))))</f>
        <v/>
      </c>
    </row>
    <row r="277" customFormat="false" ht="15" hidden="false" customHeight="false" outlineLevel="0" collapsed="false">
      <c r="A277" s="37" t="n">
        <v>46240</v>
      </c>
      <c r="B277" s="44" t="s">
        <v>836</v>
      </c>
      <c r="C277" s="44" t="s">
        <v>585</v>
      </c>
      <c r="D277" s="44" t="n">
        <v>1102001</v>
      </c>
      <c r="E277" s="44" t="s">
        <v>586</v>
      </c>
      <c r="F277" s="44" t="s">
        <v>837</v>
      </c>
      <c r="G277" s="42" t="n">
        <v>18708760</v>
      </c>
      <c r="H277" s="42"/>
      <c r="I277" s="44" t="s">
        <v>432</v>
      </c>
      <c r="J277" s="11" t="n">
        <f aca="false">IF(D277="","",N(G277)-N(H277))</f>
        <v>18708760</v>
      </c>
      <c r="K277" s="34" t="str">
        <f aca="false">IF(D277="","",IFERROR(INDEX(I_COA!$C$6:$C$265,MATCH(D277,I_COA!$A$6:$A$265,0)),"AKUN BARU"))</f>
        <v>Neraca</v>
      </c>
      <c r="L277" s="34" t="str">
        <f aca="false">IF(K277="LabaRugi",INDEX(I_COA!$D$6:$D$265,MATCH(D277,I_COA!$A$6:$A$265,0)),"")</f>
        <v/>
      </c>
      <c r="M277" s="34" t="str">
        <f aca="false">IF(K277="Neraca",INDEX(I_COA!$E$6:$E$265,MATCH(D277,I_COA!$A$6:$A$265,0)),"")</f>
        <v>Cash and cash equivalents</v>
      </c>
      <c r="N277" s="34" t="str">
        <f aca="false">IF(D277="","",IFERROR(INDEX(I_COA!$G$6:$G$265,MATCH(D277,I_COA!$A$6:$A$265,0)),"N"))</f>
        <v>Y</v>
      </c>
      <c r="O277" s="11" t="str">
        <f aca="false">IF(N277="N",ABS(J277),"")</f>
        <v/>
      </c>
      <c r="P277" s="18" t="str">
        <f aca="false">IF(N277="N",B277&amp;"|"&amp;ROUND(O277,0),"")</f>
        <v/>
      </c>
      <c r="Q277" s="18" t="n">
        <f aca="false">IF(N277&lt;&gt;"Y","",IFERROR(INDEX($D$6:$D$4005,MATCH(B277&amp;"|"&amp;ROUND(_xlfn.MAXIFS($O$6:$O$4005,$B$6:$B$4005,B277,$N$6:$N$4005,"N"),0),$P$6:$P$4005,0)),"(tanpa lawan)"))</f>
        <v>1103101</v>
      </c>
      <c r="R277" s="44"/>
      <c r="S277" s="9" t="str">
        <f aca="false">IF(N277&lt;&gt;"Y","",IF(R277&lt;&gt;"",R277,IF(Q277="(tanpa lawan)","Transfer antar rekening",IFERROR(INDEX(I_COA!$F$6:$F$265,MATCH(Q277,I_COA!$A$6:$A$265,0)),"?"))))</f>
        <v>Penerimaan dari pelanggan</v>
      </c>
    </row>
    <row r="278" customFormat="false" ht="15" hidden="false" customHeight="false" outlineLevel="0" collapsed="false">
      <c r="A278" s="37" t="n">
        <v>46240</v>
      </c>
      <c r="B278" s="44" t="s">
        <v>836</v>
      </c>
      <c r="C278" s="44" t="s">
        <v>585</v>
      </c>
      <c r="D278" s="44" t="n">
        <v>1103101</v>
      </c>
      <c r="E278" s="44" t="s">
        <v>589</v>
      </c>
      <c r="F278" s="44" t="s">
        <v>837</v>
      </c>
      <c r="G278" s="42"/>
      <c r="H278" s="42" t="n">
        <v>18708760</v>
      </c>
      <c r="I278" s="44" t="s">
        <v>432</v>
      </c>
      <c r="J278" s="11" t="n">
        <f aca="false">IF(D278="","",N(G278)-N(H278))</f>
        <v>-18708760</v>
      </c>
      <c r="K278" s="34" t="str">
        <f aca="false">IF(D278="","",IFERROR(INDEX(I_COA!$C$6:$C$265,MATCH(D278,I_COA!$A$6:$A$265,0)),"AKUN BARU"))</f>
        <v>Neraca</v>
      </c>
      <c r="L278" s="34" t="str">
        <f aca="false">IF(K278="LabaRugi",INDEX(I_COA!$D$6:$D$265,MATCH(D278,I_COA!$A$6:$A$265,0)),"")</f>
        <v/>
      </c>
      <c r="M278" s="34" t="str">
        <f aca="false">IF(K278="Neraca",INDEX(I_COA!$E$6:$E$265,MATCH(D278,I_COA!$A$6:$A$265,0)),"")</f>
        <v>Trade Receivables - Third Parties</v>
      </c>
      <c r="N278" s="34" t="str">
        <f aca="false">IF(D278="","",IFERROR(INDEX(I_COA!$G$6:$G$265,MATCH(D278,I_COA!$A$6:$A$265,0)),"N"))</f>
        <v>N</v>
      </c>
      <c r="O278" s="11" t="n">
        <f aca="false">IF(N278="N",ABS(J278),"")</f>
        <v>18708760</v>
      </c>
      <c r="P278" s="18" t="str">
        <f aca="false">IF(N278="N",B278&amp;"|"&amp;ROUND(O278,0),"")</f>
        <v>B7626080022|18708760</v>
      </c>
      <c r="Q278" s="18" t="str">
        <f aca="false">IF(N278&lt;&gt;"Y","",IFERROR(INDEX($D$6:$D$4005,MATCH(B278&amp;"|"&amp;ROUND(_xlfn.MAXIFS($O$6:$O$4005,$B$6:$B$4005,B278,$N$6:$N$4005,"N"),0),$P$6:$P$4005,0)),"(tanpa lawan)"))</f>
        <v/>
      </c>
      <c r="R278" s="44"/>
      <c r="S278" s="9" t="str">
        <f aca="false">IF(N278&lt;&gt;"Y","",IF(R278&lt;&gt;"",R278,IF(Q278="(tanpa lawan)","Transfer antar rekening",IFERROR(INDEX(I_COA!$F$6:$F$265,MATCH(Q278,I_COA!$A$6:$A$265,0)),"?"))))</f>
        <v/>
      </c>
    </row>
    <row r="279" customFormat="false" ht="15" hidden="false" customHeight="false" outlineLevel="0" collapsed="false">
      <c r="A279" s="37" t="n">
        <v>46240</v>
      </c>
      <c r="B279" s="44" t="s">
        <v>838</v>
      </c>
      <c r="C279" s="44" t="s">
        <v>585</v>
      </c>
      <c r="D279" s="44" t="n">
        <v>1102001</v>
      </c>
      <c r="E279" s="44" t="s">
        <v>586</v>
      </c>
      <c r="F279" s="44" t="s">
        <v>779</v>
      </c>
      <c r="G279" s="42" t="n">
        <v>18803000</v>
      </c>
      <c r="H279" s="42"/>
      <c r="I279" s="44" t="s">
        <v>432</v>
      </c>
      <c r="J279" s="11" t="n">
        <f aca="false">IF(D279="","",N(G279)-N(H279))</f>
        <v>18803000</v>
      </c>
      <c r="K279" s="34" t="str">
        <f aca="false">IF(D279="","",IFERROR(INDEX(I_COA!$C$6:$C$265,MATCH(D279,I_COA!$A$6:$A$265,0)),"AKUN BARU"))</f>
        <v>Neraca</v>
      </c>
      <c r="L279" s="34" t="str">
        <f aca="false">IF(K279="LabaRugi",INDEX(I_COA!$D$6:$D$265,MATCH(D279,I_COA!$A$6:$A$265,0)),"")</f>
        <v/>
      </c>
      <c r="M279" s="34" t="str">
        <f aca="false">IF(K279="Neraca",INDEX(I_COA!$E$6:$E$265,MATCH(D279,I_COA!$A$6:$A$265,0)),"")</f>
        <v>Cash and cash equivalents</v>
      </c>
      <c r="N279" s="34" t="str">
        <f aca="false">IF(D279="","",IFERROR(INDEX(I_COA!$G$6:$G$265,MATCH(D279,I_COA!$A$6:$A$265,0)),"N"))</f>
        <v>Y</v>
      </c>
      <c r="O279" s="11" t="str">
        <f aca="false">IF(N279="N",ABS(J279),"")</f>
        <v/>
      </c>
      <c r="P279" s="18" t="str">
        <f aca="false">IF(N279="N",B279&amp;"|"&amp;ROUND(O279,0),"")</f>
        <v/>
      </c>
      <c r="Q279" s="18" t="n">
        <f aca="false">IF(N279&lt;&gt;"Y","",IFERROR(INDEX($D$6:$D$4005,MATCH(B279&amp;"|"&amp;ROUND(_xlfn.MAXIFS($O$6:$O$4005,$B$6:$B$4005,B279,$N$6:$N$4005,"N"),0),$P$6:$P$4005,0)),"(tanpa lawan)"))</f>
        <v>1103101</v>
      </c>
      <c r="R279" s="44"/>
      <c r="S279" s="9" t="str">
        <f aca="false">IF(N279&lt;&gt;"Y","",IF(R279&lt;&gt;"",R279,IF(Q279="(tanpa lawan)","Transfer antar rekening",IFERROR(INDEX(I_COA!$F$6:$F$265,MATCH(Q279,I_COA!$A$6:$A$265,0)),"?"))))</f>
        <v>Penerimaan dari pelanggan</v>
      </c>
    </row>
    <row r="280" customFormat="false" ht="15" hidden="false" customHeight="false" outlineLevel="0" collapsed="false">
      <c r="A280" s="37" t="n">
        <v>46240</v>
      </c>
      <c r="B280" s="44" t="s">
        <v>838</v>
      </c>
      <c r="C280" s="44" t="s">
        <v>585</v>
      </c>
      <c r="D280" s="44" t="n">
        <v>1103101</v>
      </c>
      <c r="E280" s="44" t="s">
        <v>589</v>
      </c>
      <c r="F280" s="44" t="s">
        <v>779</v>
      </c>
      <c r="G280" s="42"/>
      <c r="H280" s="42" t="n">
        <v>18803000</v>
      </c>
      <c r="I280" s="44" t="s">
        <v>432</v>
      </c>
      <c r="J280" s="11" t="n">
        <f aca="false">IF(D280="","",N(G280)-N(H280))</f>
        <v>-18803000</v>
      </c>
      <c r="K280" s="34" t="str">
        <f aca="false">IF(D280="","",IFERROR(INDEX(I_COA!$C$6:$C$265,MATCH(D280,I_COA!$A$6:$A$265,0)),"AKUN BARU"))</f>
        <v>Neraca</v>
      </c>
      <c r="L280" s="34" t="str">
        <f aca="false">IF(K280="LabaRugi",INDEX(I_COA!$D$6:$D$265,MATCH(D280,I_COA!$A$6:$A$265,0)),"")</f>
        <v/>
      </c>
      <c r="M280" s="34" t="str">
        <f aca="false">IF(K280="Neraca",INDEX(I_COA!$E$6:$E$265,MATCH(D280,I_COA!$A$6:$A$265,0)),"")</f>
        <v>Trade Receivables - Third Parties</v>
      </c>
      <c r="N280" s="34" t="str">
        <f aca="false">IF(D280="","",IFERROR(INDEX(I_COA!$G$6:$G$265,MATCH(D280,I_COA!$A$6:$A$265,0)),"N"))</f>
        <v>N</v>
      </c>
      <c r="O280" s="11" t="n">
        <f aca="false">IF(N280="N",ABS(J280),"")</f>
        <v>18803000</v>
      </c>
      <c r="P280" s="18" t="str">
        <f aca="false">IF(N280="N",B280&amp;"|"&amp;ROUND(O280,0),"")</f>
        <v>B7626080023|18803000</v>
      </c>
      <c r="Q280" s="18" t="str">
        <f aca="false">IF(N280&lt;&gt;"Y","",IFERROR(INDEX($D$6:$D$4005,MATCH(B280&amp;"|"&amp;ROUND(_xlfn.MAXIFS($O$6:$O$4005,$B$6:$B$4005,B280,$N$6:$N$4005,"N"),0),$P$6:$P$4005,0)),"(tanpa lawan)"))</f>
        <v/>
      </c>
      <c r="R280" s="44"/>
      <c r="S280" s="9" t="str">
        <f aca="false">IF(N280&lt;&gt;"Y","",IF(R280&lt;&gt;"",R280,IF(Q280="(tanpa lawan)","Transfer antar rekening",IFERROR(INDEX(I_COA!$F$6:$F$265,MATCH(Q280,I_COA!$A$6:$A$265,0)),"?"))))</f>
        <v/>
      </c>
    </row>
    <row r="281" customFormat="false" ht="15" hidden="false" customHeight="false" outlineLevel="0" collapsed="false">
      <c r="A281" s="37" t="n">
        <v>46240</v>
      </c>
      <c r="B281" s="44" t="s">
        <v>839</v>
      </c>
      <c r="C281" s="44" t="s">
        <v>585</v>
      </c>
      <c r="D281" s="44" t="n">
        <v>1102001</v>
      </c>
      <c r="E281" s="44" t="s">
        <v>586</v>
      </c>
      <c r="F281" s="44" t="s">
        <v>840</v>
      </c>
      <c r="G281" s="42" t="n">
        <v>32132400</v>
      </c>
      <c r="H281" s="42"/>
      <c r="I281" s="44" t="s">
        <v>841</v>
      </c>
      <c r="J281" s="11" t="n">
        <f aca="false">IF(D281="","",N(G281)-N(H281))</f>
        <v>32132400</v>
      </c>
      <c r="K281" s="34" t="str">
        <f aca="false">IF(D281="","",IFERROR(INDEX(I_COA!$C$6:$C$265,MATCH(D281,I_COA!$A$6:$A$265,0)),"AKUN BARU"))</f>
        <v>Neraca</v>
      </c>
      <c r="L281" s="34" t="str">
        <f aca="false">IF(K281="LabaRugi",INDEX(I_COA!$D$6:$D$265,MATCH(D281,I_COA!$A$6:$A$265,0)),"")</f>
        <v/>
      </c>
      <c r="M281" s="34" t="str">
        <f aca="false">IF(K281="Neraca",INDEX(I_COA!$E$6:$E$265,MATCH(D281,I_COA!$A$6:$A$265,0)),"")</f>
        <v>Cash and cash equivalents</v>
      </c>
      <c r="N281" s="34" t="str">
        <f aca="false">IF(D281="","",IFERROR(INDEX(I_COA!$G$6:$G$265,MATCH(D281,I_COA!$A$6:$A$265,0)),"N"))</f>
        <v>Y</v>
      </c>
      <c r="O281" s="11" t="str">
        <f aca="false">IF(N281="N",ABS(J281),"")</f>
        <v/>
      </c>
      <c r="P281" s="18" t="str">
        <f aca="false">IF(N281="N",B281&amp;"|"&amp;ROUND(O281,0),"")</f>
        <v/>
      </c>
      <c r="Q281" s="18" t="n">
        <f aca="false">IF(N281&lt;&gt;"Y","",IFERROR(INDEX($D$6:$D$4005,MATCH(B281&amp;"|"&amp;ROUND(_xlfn.MAXIFS($O$6:$O$4005,$B$6:$B$4005,B281,$N$6:$N$4005,"N"),0),$P$6:$P$4005,0)),"(tanpa lawan)"))</f>
        <v>1103101</v>
      </c>
      <c r="R281" s="44"/>
      <c r="S281" s="9" t="str">
        <f aca="false">IF(N281&lt;&gt;"Y","",IF(R281&lt;&gt;"",R281,IF(Q281="(tanpa lawan)","Transfer antar rekening",IFERROR(INDEX(I_COA!$F$6:$F$265,MATCH(Q281,I_COA!$A$6:$A$265,0)),"?"))))</f>
        <v>Penerimaan dari pelanggan</v>
      </c>
    </row>
    <row r="282" customFormat="false" ht="15" hidden="false" customHeight="false" outlineLevel="0" collapsed="false">
      <c r="A282" s="37" t="n">
        <v>46240</v>
      </c>
      <c r="B282" s="44" t="s">
        <v>839</v>
      </c>
      <c r="C282" s="44" t="s">
        <v>585</v>
      </c>
      <c r="D282" s="44" t="n">
        <v>1103101</v>
      </c>
      <c r="E282" s="44" t="s">
        <v>589</v>
      </c>
      <c r="F282" s="44" t="s">
        <v>840</v>
      </c>
      <c r="G282" s="42"/>
      <c r="H282" s="42" t="n">
        <v>32132400</v>
      </c>
      <c r="I282" s="44" t="s">
        <v>841</v>
      </c>
      <c r="J282" s="11" t="n">
        <f aca="false">IF(D282="","",N(G282)-N(H282))</f>
        <v>-32132400</v>
      </c>
      <c r="K282" s="34" t="str">
        <f aca="false">IF(D282="","",IFERROR(INDEX(I_COA!$C$6:$C$265,MATCH(D282,I_COA!$A$6:$A$265,0)),"AKUN BARU"))</f>
        <v>Neraca</v>
      </c>
      <c r="L282" s="34" t="str">
        <f aca="false">IF(K282="LabaRugi",INDEX(I_COA!$D$6:$D$265,MATCH(D282,I_COA!$A$6:$A$265,0)),"")</f>
        <v/>
      </c>
      <c r="M282" s="34" t="str">
        <f aca="false">IF(K282="Neraca",INDEX(I_COA!$E$6:$E$265,MATCH(D282,I_COA!$A$6:$A$265,0)),"")</f>
        <v>Trade Receivables - Third Parties</v>
      </c>
      <c r="N282" s="34" t="str">
        <f aca="false">IF(D282="","",IFERROR(INDEX(I_COA!$G$6:$G$265,MATCH(D282,I_COA!$A$6:$A$265,0)),"N"))</f>
        <v>N</v>
      </c>
      <c r="O282" s="11" t="n">
        <f aca="false">IF(N282="N",ABS(J282),"")</f>
        <v>32132400</v>
      </c>
      <c r="P282" s="18" t="str">
        <f aca="false">IF(N282="N",B282&amp;"|"&amp;ROUND(O282,0),"")</f>
        <v>B7626080024|32132400</v>
      </c>
      <c r="Q282" s="18" t="str">
        <f aca="false">IF(N282&lt;&gt;"Y","",IFERROR(INDEX($D$6:$D$4005,MATCH(B282&amp;"|"&amp;ROUND(_xlfn.MAXIFS($O$6:$O$4005,$B$6:$B$4005,B282,$N$6:$N$4005,"N"),0),$P$6:$P$4005,0)),"(tanpa lawan)"))</f>
        <v/>
      </c>
      <c r="R282" s="44"/>
      <c r="S282" s="9" t="str">
        <f aca="false">IF(N282&lt;&gt;"Y","",IF(R282&lt;&gt;"",R282,IF(Q282="(tanpa lawan)","Transfer antar rekening",IFERROR(INDEX(I_COA!$F$6:$F$265,MATCH(Q282,I_COA!$A$6:$A$265,0)),"?"))))</f>
        <v/>
      </c>
    </row>
    <row r="283" customFormat="false" ht="15" hidden="false" customHeight="false" outlineLevel="0" collapsed="false">
      <c r="A283" s="37" t="n">
        <v>46240</v>
      </c>
      <c r="B283" s="44" t="s">
        <v>842</v>
      </c>
      <c r="C283" s="44" t="s">
        <v>600</v>
      </c>
      <c r="D283" s="44" t="n">
        <v>1104002</v>
      </c>
      <c r="E283" s="44" t="s">
        <v>601</v>
      </c>
      <c r="F283" s="44" t="s">
        <v>843</v>
      </c>
      <c r="G283" s="42" t="n">
        <v>31676862.29</v>
      </c>
      <c r="H283" s="42"/>
      <c r="I283" s="44" t="s">
        <v>841</v>
      </c>
      <c r="J283" s="11" t="n">
        <f aca="false">IF(D283="","",N(G283)-N(H283))</f>
        <v>31676862.29</v>
      </c>
      <c r="K283" s="34" t="str">
        <f aca="false">IF(D283="","",IFERROR(INDEX(I_COA!$C$6:$C$265,MATCH(D283,I_COA!$A$6:$A$265,0)),"AKUN BARU"))</f>
        <v>Neraca</v>
      </c>
      <c r="L283" s="34" t="str">
        <f aca="false">IF(K283="LabaRugi",INDEX(I_COA!$D$6:$D$265,MATCH(D283,I_COA!$A$6:$A$265,0)),"")</f>
        <v/>
      </c>
      <c r="M283" s="34" t="str">
        <f aca="false">IF(K283="Neraca",INDEX(I_COA!$E$6:$E$265,MATCH(D283,I_COA!$A$6:$A$265,0)),"")</f>
        <v>Inventory - Product</v>
      </c>
      <c r="N283" s="34" t="str">
        <f aca="false">IF(D283="","",IFERROR(INDEX(I_COA!$G$6:$G$265,MATCH(D283,I_COA!$A$6:$A$265,0)),"N"))</f>
        <v>N</v>
      </c>
      <c r="O283" s="11" t="n">
        <f aca="false">IF(N283="N",ABS(J283),"")</f>
        <v>31676862.29</v>
      </c>
      <c r="P283" s="18" t="str">
        <f aca="false">IF(N283="N",B283&amp;"|"&amp;ROUND(O283,0),"")</f>
        <v>KGR26.00215|31676862</v>
      </c>
      <c r="Q283" s="18" t="str">
        <f aca="false">IF(N283&lt;&gt;"Y","",IFERROR(INDEX($D$6:$D$4005,MATCH(B283&amp;"|"&amp;ROUND(_xlfn.MAXIFS($O$6:$O$4005,$B$6:$B$4005,B283,$N$6:$N$4005,"N"),0),$P$6:$P$4005,0)),"(tanpa lawan)"))</f>
        <v/>
      </c>
      <c r="R283" s="44"/>
      <c r="S283" s="9" t="str">
        <f aca="false">IF(N283&lt;&gt;"Y","",IF(R283&lt;&gt;"",R283,IF(Q283="(tanpa lawan)","Transfer antar rekening",IFERROR(INDEX(I_COA!$F$6:$F$265,MATCH(Q283,I_COA!$A$6:$A$265,0)),"?"))))</f>
        <v/>
      </c>
    </row>
    <row r="284" customFormat="false" ht="15" hidden="false" customHeight="false" outlineLevel="0" collapsed="false">
      <c r="A284" s="37" t="n">
        <v>46240</v>
      </c>
      <c r="B284" s="44" t="s">
        <v>842</v>
      </c>
      <c r="C284" s="44" t="s">
        <v>600</v>
      </c>
      <c r="D284" s="44" t="n">
        <v>1104006</v>
      </c>
      <c r="E284" s="44" t="s">
        <v>212</v>
      </c>
      <c r="F284" s="44" t="s">
        <v>843</v>
      </c>
      <c r="G284" s="42"/>
      <c r="H284" s="42" t="n">
        <v>31676862.29</v>
      </c>
      <c r="I284" s="44" t="s">
        <v>841</v>
      </c>
      <c r="J284" s="11" t="n">
        <f aca="false">IF(D284="","",N(G284)-N(H284))</f>
        <v>-31676862.29</v>
      </c>
      <c r="K284" s="34" t="str">
        <f aca="false">IF(D284="","",IFERROR(INDEX(I_COA!$C$6:$C$265,MATCH(D284,I_COA!$A$6:$A$265,0)),"AKUN BARU"))</f>
        <v>Neraca</v>
      </c>
      <c r="L284" s="34" t="str">
        <f aca="false">IF(K284="LabaRugi",INDEX(I_COA!$D$6:$D$265,MATCH(D284,I_COA!$A$6:$A$265,0)),"")</f>
        <v/>
      </c>
      <c r="M284" s="34" t="str">
        <f aca="false">IF(K284="Neraca",INDEX(I_COA!$E$6:$E$265,MATCH(D284,I_COA!$A$6:$A$265,0)),"")</f>
        <v>Inventory - Trading</v>
      </c>
      <c r="N284" s="34" t="str">
        <f aca="false">IF(D284="","",IFERROR(INDEX(I_COA!$G$6:$G$265,MATCH(D284,I_COA!$A$6:$A$265,0)),"N"))</f>
        <v>N</v>
      </c>
      <c r="O284" s="11" t="n">
        <f aca="false">IF(N284="N",ABS(J284),"")</f>
        <v>31676862.29</v>
      </c>
      <c r="P284" s="18" t="str">
        <f aca="false">IF(N284="N",B284&amp;"|"&amp;ROUND(O284,0),"")</f>
        <v>KGR26.00215|31676862</v>
      </c>
      <c r="Q284" s="18" t="str">
        <f aca="false">IF(N284&lt;&gt;"Y","",IFERROR(INDEX($D$6:$D$4005,MATCH(B284&amp;"|"&amp;ROUND(_xlfn.MAXIFS($O$6:$O$4005,$B$6:$B$4005,B284,$N$6:$N$4005,"N"),0),$P$6:$P$4005,0)),"(tanpa lawan)"))</f>
        <v/>
      </c>
      <c r="R284" s="44"/>
      <c r="S284" s="9" t="str">
        <f aca="false">IF(N284&lt;&gt;"Y","",IF(R284&lt;&gt;"",R284,IF(Q284="(tanpa lawan)","Transfer antar rekening",IFERROR(INDEX(I_COA!$F$6:$F$265,MATCH(Q284,I_COA!$A$6:$A$265,0)),"?"))))</f>
        <v/>
      </c>
    </row>
    <row r="285" customFormat="false" ht="15" hidden="false" customHeight="false" outlineLevel="0" collapsed="false">
      <c r="A285" s="37" t="n">
        <v>46240</v>
      </c>
      <c r="B285" s="44" t="s">
        <v>844</v>
      </c>
      <c r="C285" s="44" t="s">
        <v>600</v>
      </c>
      <c r="D285" s="44" t="n">
        <v>1104002</v>
      </c>
      <c r="E285" s="44" t="s">
        <v>601</v>
      </c>
      <c r="F285" s="44" t="s">
        <v>845</v>
      </c>
      <c r="G285" s="42" t="n">
        <v>13275652.62</v>
      </c>
      <c r="H285" s="42"/>
      <c r="I285" s="44" t="s">
        <v>478</v>
      </c>
      <c r="J285" s="11" t="n">
        <f aca="false">IF(D285="","",N(G285)-N(H285))</f>
        <v>13275652.62</v>
      </c>
      <c r="K285" s="34" t="str">
        <f aca="false">IF(D285="","",IFERROR(INDEX(I_COA!$C$6:$C$265,MATCH(D285,I_COA!$A$6:$A$265,0)),"AKUN BARU"))</f>
        <v>Neraca</v>
      </c>
      <c r="L285" s="34" t="str">
        <f aca="false">IF(K285="LabaRugi",INDEX(I_COA!$D$6:$D$265,MATCH(D285,I_COA!$A$6:$A$265,0)),"")</f>
        <v/>
      </c>
      <c r="M285" s="34" t="str">
        <f aca="false">IF(K285="Neraca",INDEX(I_COA!$E$6:$E$265,MATCH(D285,I_COA!$A$6:$A$265,0)),"")</f>
        <v>Inventory - Product</v>
      </c>
      <c r="N285" s="34" t="str">
        <f aca="false">IF(D285="","",IFERROR(INDEX(I_COA!$G$6:$G$265,MATCH(D285,I_COA!$A$6:$A$265,0)),"N"))</f>
        <v>N</v>
      </c>
      <c r="O285" s="11" t="n">
        <f aca="false">IF(N285="N",ABS(J285),"")</f>
        <v>13275652.62</v>
      </c>
      <c r="P285" s="18" t="str">
        <f aca="false">IF(N285="N",B285&amp;"|"&amp;ROUND(O285,0),"")</f>
        <v>KGR26.00216|13275653</v>
      </c>
      <c r="Q285" s="18" t="str">
        <f aca="false">IF(N285&lt;&gt;"Y","",IFERROR(INDEX($D$6:$D$4005,MATCH(B285&amp;"|"&amp;ROUND(_xlfn.MAXIFS($O$6:$O$4005,$B$6:$B$4005,B285,$N$6:$N$4005,"N"),0),$P$6:$P$4005,0)),"(tanpa lawan)"))</f>
        <v/>
      </c>
      <c r="R285" s="44"/>
      <c r="S285" s="9" t="str">
        <f aca="false">IF(N285&lt;&gt;"Y","",IF(R285&lt;&gt;"",R285,IF(Q285="(tanpa lawan)","Transfer antar rekening",IFERROR(INDEX(I_COA!$F$6:$F$265,MATCH(Q285,I_COA!$A$6:$A$265,0)),"?"))))</f>
        <v/>
      </c>
    </row>
    <row r="286" customFormat="false" ht="15" hidden="false" customHeight="false" outlineLevel="0" collapsed="false">
      <c r="A286" s="37" t="n">
        <v>46240</v>
      </c>
      <c r="B286" s="44" t="s">
        <v>844</v>
      </c>
      <c r="C286" s="44" t="s">
        <v>600</v>
      </c>
      <c r="D286" s="44" t="n">
        <v>1104006</v>
      </c>
      <c r="E286" s="44" t="s">
        <v>212</v>
      </c>
      <c r="F286" s="44" t="s">
        <v>845</v>
      </c>
      <c r="G286" s="42"/>
      <c r="H286" s="42" t="n">
        <v>13275652.62</v>
      </c>
      <c r="I286" s="44" t="s">
        <v>478</v>
      </c>
      <c r="J286" s="11" t="n">
        <f aca="false">IF(D286="","",N(G286)-N(H286))</f>
        <v>-13275652.62</v>
      </c>
      <c r="K286" s="34" t="str">
        <f aca="false">IF(D286="","",IFERROR(INDEX(I_COA!$C$6:$C$265,MATCH(D286,I_COA!$A$6:$A$265,0)),"AKUN BARU"))</f>
        <v>Neraca</v>
      </c>
      <c r="L286" s="34" t="str">
        <f aca="false">IF(K286="LabaRugi",INDEX(I_COA!$D$6:$D$265,MATCH(D286,I_COA!$A$6:$A$265,0)),"")</f>
        <v/>
      </c>
      <c r="M286" s="34" t="str">
        <f aca="false">IF(K286="Neraca",INDEX(I_COA!$E$6:$E$265,MATCH(D286,I_COA!$A$6:$A$265,0)),"")</f>
        <v>Inventory - Trading</v>
      </c>
      <c r="N286" s="34" t="str">
        <f aca="false">IF(D286="","",IFERROR(INDEX(I_COA!$G$6:$G$265,MATCH(D286,I_COA!$A$6:$A$265,0)),"N"))</f>
        <v>N</v>
      </c>
      <c r="O286" s="11" t="n">
        <f aca="false">IF(N286="N",ABS(J286),"")</f>
        <v>13275652.62</v>
      </c>
      <c r="P286" s="18" t="str">
        <f aca="false">IF(N286="N",B286&amp;"|"&amp;ROUND(O286,0),"")</f>
        <v>KGR26.00216|13275653</v>
      </c>
      <c r="Q286" s="18" t="str">
        <f aca="false">IF(N286&lt;&gt;"Y","",IFERROR(INDEX($D$6:$D$4005,MATCH(B286&amp;"|"&amp;ROUND(_xlfn.MAXIFS($O$6:$O$4005,$B$6:$B$4005,B286,$N$6:$N$4005,"N"),0),$P$6:$P$4005,0)),"(tanpa lawan)"))</f>
        <v/>
      </c>
      <c r="R286" s="44"/>
      <c r="S286" s="9" t="str">
        <f aca="false">IF(N286&lt;&gt;"Y","",IF(R286&lt;&gt;"",R286,IF(Q286="(tanpa lawan)","Transfer antar rekening",IFERROR(INDEX(I_COA!$F$6:$F$265,MATCH(Q286,I_COA!$A$6:$A$265,0)),"?"))))</f>
        <v/>
      </c>
    </row>
    <row r="287" customFormat="false" ht="15" hidden="false" customHeight="false" outlineLevel="0" collapsed="false">
      <c r="A287" s="37" t="n">
        <v>46240</v>
      </c>
      <c r="B287" s="44" t="s">
        <v>846</v>
      </c>
      <c r="C287" s="44" t="s">
        <v>600</v>
      </c>
      <c r="D287" s="44" t="n">
        <v>1104002</v>
      </c>
      <c r="E287" s="44" t="s">
        <v>601</v>
      </c>
      <c r="F287" s="44" t="s">
        <v>847</v>
      </c>
      <c r="G287" s="42" t="n">
        <v>14063327.42</v>
      </c>
      <c r="H287" s="42"/>
      <c r="I287" s="44" t="s">
        <v>432</v>
      </c>
      <c r="J287" s="11" t="n">
        <f aca="false">IF(D287="","",N(G287)-N(H287))</f>
        <v>14063327.42</v>
      </c>
      <c r="K287" s="34" t="str">
        <f aca="false">IF(D287="","",IFERROR(INDEX(I_COA!$C$6:$C$265,MATCH(D287,I_COA!$A$6:$A$265,0)),"AKUN BARU"))</f>
        <v>Neraca</v>
      </c>
      <c r="L287" s="34" t="str">
        <f aca="false">IF(K287="LabaRugi",INDEX(I_COA!$D$6:$D$265,MATCH(D287,I_COA!$A$6:$A$265,0)),"")</f>
        <v/>
      </c>
      <c r="M287" s="34" t="str">
        <f aca="false">IF(K287="Neraca",INDEX(I_COA!$E$6:$E$265,MATCH(D287,I_COA!$A$6:$A$265,0)),"")</f>
        <v>Inventory - Product</v>
      </c>
      <c r="N287" s="34" t="str">
        <f aca="false">IF(D287="","",IFERROR(INDEX(I_COA!$G$6:$G$265,MATCH(D287,I_COA!$A$6:$A$265,0)),"N"))</f>
        <v>N</v>
      </c>
      <c r="O287" s="11" t="n">
        <f aca="false">IF(N287="N",ABS(J287),"")</f>
        <v>14063327.42</v>
      </c>
      <c r="P287" s="18" t="str">
        <f aca="false">IF(N287="N",B287&amp;"|"&amp;ROUND(O287,0),"")</f>
        <v>KGR26.00217|14063327</v>
      </c>
      <c r="Q287" s="18" t="str">
        <f aca="false">IF(N287&lt;&gt;"Y","",IFERROR(INDEX($D$6:$D$4005,MATCH(B287&amp;"|"&amp;ROUND(_xlfn.MAXIFS($O$6:$O$4005,$B$6:$B$4005,B287,$N$6:$N$4005,"N"),0),$P$6:$P$4005,0)),"(tanpa lawan)"))</f>
        <v/>
      </c>
      <c r="R287" s="44"/>
      <c r="S287" s="9" t="str">
        <f aca="false">IF(N287&lt;&gt;"Y","",IF(R287&lt;&gt;"",R287,IF(Q287="(tanpa lawan)","Transfer antar rekening",IFERROR(INDEX(I_COA!$F$6:$F$265,MATCH(Q287,I_COA!$A$6:$A$265,0)),"?"))))</f>
        <v/>
      </c>
    </row>
    <row r="288" customFormat="false" ht="15" hidden="false" customHeight="false" outlineLevel="0" collapsed="false">
      <c r="A288" s="37" t="n">
        <v>46240</v>
      </c>
      <c r="B288" s="44" t="s">
        <v>846</v>
      </c>
      <c r="C288" s="44" t="s">
        <v>600</v>
      </c>
      <c r="D288" s="44" t="n">
        <v>1104006</v>
      </c>
      <c r="E288" s="44" t="s">
        <v>212</v>
      </c>
      <c r="F288" s="44" t="s">
        <v>847</v>
      </c>
      <c r="G288" s="42"/>
      <c r="H288" s="42" t="n">
        <v>14063327.42</v>
      </c>
      <c r="I288" s="44" t="s">
        <v>432</v>
      </c>
      <c r="J288" s="11" t="n">
        <f aca="false">IF(D288="","",N(G288)-N(H288))</f>
        <v>-14063327.42</v>
      </c>
      <c r="K288" s="34" t="str">
        <f aca="false">IF(D288="","",IFERROR(INDEX(I_COA!$C$6:$C$265,MATCH(D288,I_COA!$A$6:$A$265,0)),"AKUN BARU"))</f>
        <v>Neraca</v>
      </c>
      <c r="L288" s="34" t="str">
        <f aca="false">IF(K288="LabaRugi",INDEX(I_COA!$D$6:$D$265,MATCH(D288,I_COA!$A$6:$A$265,0)),"")</f>
        <v/>
      </c>
      <c r="M288" s="34" t="str">
        <f aca="false">IF(K288="Neraca",INDEX(I_COA!$E$6:$E$265,MATCH(D288,I_COA!$A$6:$A$265,0)),"")</f>
        <v>Inventory - Trading</v>
      </c>
      <c r="N288" s="34" t="str">
        <f aca="false">IF(D288="","",IFERROR(INDEX(I_COA!$G$6:$G$265,MATCH(D288,I_COA!$A$6:$A$265,0)),"N"))</f>
        <v>N</v>
      </c>
      <c r="O288" s="11" t="n">
        <f aca="false">IF(N288="N",ABS(J288),"")</f>
        <v>14063327.42</v>
      </c>
      <c r="P288" s="18" t="str">
        <f aca="false">IF(N288="N",B288&amp;"|"&amp;ROUND(O288,0),"")</f>
        <v>KGR26.00217|14063327</v>
      </c>
      <c r="Q288" s="18" t="str">
        <f aca="false">IF(N288&lt;&gt;"Y","",IFERROR(INDEX($D$6:$D$4005,MATCH(B288&amp;"|"&amp;ROUND(_xlfn.MAXIFS($O$6:$O$4005,$B$6:$B$4005,B288,$N$6:$N$4005,"N"),0),$P$6:$P$4005,0)),"(tanpa lawan)"))</f>
        <v/>
      </c>
      <c r="R288" s="44"/>
      <c r="S288" s="9" t="str">
        <f aca="false">IF(N288&lt;&gt;"Y","",IF(R288&lt;&gt;"",R288,IF(Q288="(tanpa lawan)","Transfer antar rekening",IFERROR(INDEX(I_COA!$F$6:$F$265,MATCH(Q288,I_COA!$A$6:$A$265,0)),"?"))))</f>
        <v/>
      </c>
    </row>
    <row r="289" customFormat="false" ht="15" hidden="false" customHeight="false" outlineLevel="0" collapsed="false">
      <c r="A289" s="37" t="n">
        <v>46240</v>
      </c>
      <c r="B289" s="44" t="s">
        <v>848</v>
      </c>
      <c r="C289" s="44" t="s">
        <v>600</v>
      </c>
      <c r="D289" s="44" t="n">
        <v>1104002</v>
      </c>
      <c r="E289" s="44" t="s">
        <v>601</v>
      </c>
      <c r="F289" s="44" t="s">
        <v>849</v>
      </c>
      <c r="G289" s="42" t="n">
        <v>156192998.01</v>
      </c>
      <c r="H289" s="42"/>
      <c r="I289" s="44" t="s">
        <v>606</v>
      </c>
      <c r="J289" s="11" t="n">
        <f aca="false">IF(D289="","",N(G289)-N(H289))</f>
        <v>156192998.01</v>
      </c>
      <c r="K289" s="34" t="str">
        <f aca="false">IF(D289="","",IFERROR(INDEX(I_COA!$C$6:$C$265,MATCH(D289,I_COA!$A$6:$A$265,0)),"AKUN BARU"))</f>
        <v>Neraca</v>
      </c>
      <c r="L289" s="34" t="str">
        <f aca="false">IF(K289="LabaRugi",INDEX(I_COA!$D$6:$D$265,MATCH(D289,I_COA!$A$6:$A$265,0)),"")</f>
        <v/>
      </c>
      <c r="M289" s="34" t="str">
        <f aca="false">IF(K289="Neraca",INDEX(I_COA!$E$6:$E$265,MATCH(D289,I_COA!$A$6:$A$265,0)),"")</f>
        <v>Inventory - Product</v>
      </c>
      <c r="N289" s="34" t="str">
        <f aca="false">IF(D289="","",IFERROR(INDEX(I_COA!$G$6:$G$265,MATCH(D289,I_COA!$A$6:$A$265,0)),"N"))</f>
        <v>N</v>
      </c>
      <c r="O289" s="11" t="n">
        <f aca="false">IF(N289="N",ABS(J289),"")</f>
        <v>156192998.01</v>
      </c>
      <c r="P289" s="18" t="str">
        <f aca="false">IF(N289="N",B289&amp;"|"&amp;ROUND(O289,0),"")</f>
        <v>KGR26.00218|156192998</v>
      </c>
      <c r="Q289" s="18" t="str">
        <f aca="false">IF(N289&lt;&gt;"Y","",IFERROR(INDEX($D$6:$D$4005,MATCH(B289&amp;"|"&amp;ROUND(_xlfn.MAXIFS($O$6:$O$4005,$B$6:$B$4005,B289,$N$6:$N$4005,"N"),0),$P$6:$P$4005,0)),"(tanpa lawan)"))</f>
        <v/>
      </c>
      <c r="R289" s="44"/>
      <c r="S289" s="9" t="str">
        <f aca="false">IF(N289&lt;&gt;"Y","",IF(R289&lt;&gt;"",R289,IF(Q289="(tanpa lawan)","Transfer antar rekening",IFERROR(INDEX(I_COA!$F$6:$F$265,MATCH(Q289,I_COA!$A$6:$A$265,0)),"?"))))</f>
        <v/>
      </c>
    </row>
    <row r="290" customFormat="false" ht="15" hidden="false" customHeight="false" outlineLevel="0" collapsed="false">
      <c r="A290" s="37" t="n">
        <v>46240</v>
      </c>
      <c r="B290" s="44" t="s">
        <v>848</v>
      </c>
      <c r="C290" s="44" t="s">
        <v>600</v>
      </c>
      <c r="D290" s="44" t="n">
        <v>1104006</v>
      </c>
      <c r="E290" s="44" t="s">
        <v>212</v>
      </c>
      <c r="F290" s="44" t="s">
        <v>849</v>
      </c>
      <c r="G290" s="42"/>
      <c r="H290" s="42" t="n">
        <v>156192998.01</v>
      </c>
      <c r="I290" s="44" t="s">
        <v>606</v>
      </c>
      <c r="J290" s="11" t="n">
        <f aca="false">IF(D290="","",N(G290)-N(H290))</f>
        <v>-156192998.01</v>
      </c>
      <c r="K290" s="34" t="str">
        <f aca="false">IF(D290="","",IFERROR(INDEX(I_COA!$C$6:$C$265,MATCH(D290,I_COA!$A$6:$A$265,0)),"AKUN BARU"))</f>
        <v>Neraca</v>
      </c>
      <c r="L290" s="34" t="str">
        <f aca="false">IF(K290="LabaRugi",INDEX(I_COA!$D$6:$D$265,MATCH(D290,I_COA!$A$6:$A$265,0)),"")</f>
        <v/>
      </c>
      <c r="M290" s="34" t="str">
        <f aca="false">IF(K290="Neraca",INDEX(I_COA!$E$6:$E$265,MATCH(D290,I_COA!$A$6:$A$265,0)),"")</f>
        <v>Inventory - Trading</v>
      </c>
      <c r="N290" s="34" t="str">
        <f aca="false">IF(D290="","",IFERROR(INDEX(I_COA!$G$6:$G$265,MATCH(D290,I_COA!$A$6:$A$265,0)),"N"))</f>
        <v>N</v>
      </c>
      <c r="O290" s="11" t="n">
        <f aca="false">IF(N290="N",ABS(J290),"")</f>
        <v>156192998.01</v>
      </c>
      <c r="P290" s="18" t="str">
        <f aca="false">IF(N290="N",B290&amp;"|"&amp;ROUND(O290,0),"")</f>
        <v>KGR26.00218|156192998</v>
      </c>
      <c r="Q290" s="18" t="str">
        <f aca="false">IF(N290&lt;&gt;"Y","",IFERROR(INDEX($D$6:$D$4005,MATCH(B290&amp;"|"&amp;ROUND(_xlfn.MAXIFS($O$6:$O$4005,$B$6:$B$4005,B290,$N$6:$N$4005,"N"),0),$P$6:$P$4005,0)),"(tanpa lawan)"))</f>
        <v/>
      </c>
      <c r="R290" s="44"/>
      <c r="S290" s="9" t="str">
        <f aca="false">IF(N290&lt;&gt;"Y","",IF(R290&lt;&gt;"",R290,IF(Q290="(tanpa lawan)","Transfer antar rekening",IFERROR(INDEX(I_COA!$F$6:$F$265,MATCH(Q290,I_COA!$A$6:$A$265,0)),"?"))))</f>
        <v/>
      </c>
    </row>
    <row r="291" customFormat="false" ht="15" hidden="false" customHeight="false" outlineLevel="0" collapsed="false">
      <c r="A291" s="37" t="n">
        <v>46240</v>
      </c>
      <c r="B291" s="44" t="s">
        <v>850</v>
      </c>
      <c r="C291" s="44" t="s">
        <v>617</v>
      </c>
      <c r="D291" s="44" t="n">
        <v>1103101</v>
      </c>
      <c r="E291" s="44" t="s">
        <v>589</v>
      </c>
      <c r="F291" s="44" t="s">
        <v>851</v>
      </c>
      <c r="G291" s="42" t="n">
        <v>32132400</v>
      </c>
      <c r="H291" s="42"/>
      <c r="I291" s="44" t="s">
        <v>841</v>
      </c>
      <c r="J291" s="11" t="n">
        <f aca="false">IF(D291="","",N(G291)-N(H291))</f>
        <v>32132400</v>
      </c>
      <c r="K291" s="34" t="str">
        <f aca="false">IF(D291="","",IFERROR(INDEX(I_COA!$C$6:$C$265,MATCH(D291,I_COA!$A$6:$A$265,0)),"AKUN BARU"))</f>
        <v>Neraca</v>
      </c>
      <c r="L291" s="34" t="str">
        <f aca="false">IF(K291="LabaRugi",INDEX(I_COA!$D$6:$D$265,MATCH(D291,I_COA!$A$6:$A$265,0)),"")</f>
        <v/>
      </c>
      <c r="M291" s="34" t="str">
        <f aca="false">IF(K291="Neraca",INDEX(I_COA!$E$6:$E$265,MATCH(D291,I_COA!$A$6:$A$265,0)),"")</f>
        <v>Trade Receivables - Third Parties</v>
      </c>
      <c r="N291" s="34" t="str">
        <f aca="false">IF(D291="","",IFERROR(INDEX(I_COA!$G$6:$G$265,MATCH(D291,I_COA!$A$6:$A$265,0)),"N"))</f>
        <v>N</v>
      </c>
      <c r="O291" s="11" t="n">
        <f aca="false">IF(N291="N",ABS(J291),"")</f>
        <v>32132400</v>
      </c>
      <c r="P291" s="18" t="str">
        <f aca="false">IF(N291="N",B291&amp;"|"&amp;ROUND(O291,0),"")</f>
        <v>KGR26/0215|32132400</v>
      </c>
      <c r="Q291" s="18" t="str">
        <f aca="false">IF(N291&lt;&gt;"Y","",IFERROR(INDEX($D$6:$D$4005,MATCH(B291&amp;"|"&amp;ROUND(_xlfn.MAXIFS($O$6:$O$4005,$B$6:$B$4005,B291,$N$6:$N$4005,"N"),0),$P$6:$P$4005,0)),"(tanpa lawan)"))</f>
        <v/>
      </c>
      <c r="R291" s="44"/>
      <c r="S291" s="9" t="str">
        <f aca="false">IF(N291&lt;&gt;"Y","",IF(R291&lt;&gt;"",R291,IF(Q291="(tanpa lawan)","Transfer antar rekening",IFERROR(INDEX(I_COA!$F$6:$F$265,MATCH(Q291,I_COA!$A$6:$A$265,0)),"?"))))</f>
        <v/>
      </c>
    </row>
    <row r="292" customFormat="false" ht="15" hidden="false" customHeight="false" outlineLevel="0" collapsed="false">
      <c r="A292" s="37" t="n">
        <v>46240</v>
      </c>
      <c r="B292" s="44" t="s">
        <v>850</v>
      </c>
      <c r="C292" s="44" t="s">
        <v>617</v>
      </c>
      <c r="D292" s="44" t="n">
        <v>4101004</v>
      </c>
      <c r="E292" s="44" t="s">
        <v>755</v>
      </c>
      <c r="F292" s="44" t="s">
        <v>851</v>
      </c>
      <c r="G292" s="42" t="n">
        <v>297120</v>
      </c>
      <c r="H292" s="42"/>
      <c r="I292" s="44" t="s">
        <v>841</v>
      </c>
      <c r="J292" s="11" t="n">
        <f aca="false">IF(D292="","",N(G292)-N(H292))</f>
        <v>297120</v>
      </c>
      <c r="K292" s="34" t="str">
        <f aca="false">IF(D292="","",IFERROR(INDEX(I_COA!$C$6:$C$265,MATCH(D292,I_COA!$A$6:$A$265,0)),"AKUN BARU"))</f>
        <v>LabaRugi</v>
      </c>
      <c r="L292" s="34" t="str">
        <f aca="false">IF(K292="LabaRugi",INDEX(I_COA!$D$6:$D$265,MATCH(D292,I_COA!$A$6:$A$265,0)),"")</f>
        <v>Revenue - Trading</v>
      </c>
      <c r="M292" s="34" t="str">
        <f aca="false">IF(K292="Neraca",INDEX(I_COA!$E$6:$E$265,MATCH(D292,I_COA!$A$6:$A$265,0)),"")</f>
        <v/>
      </c>
      <c r="N292" s="34" t="str">
        <f aca="false">IF(D292="","",IFERROR(INDEX(I_COA!$G$6:$G$265,MATCH(D292,I_COA!$A$6:$A$265,0)),"N"))</f>
        <v>N</v>
      </c>
      <c r="O292" s="11" t="n">
        <f aca="false">IF(N292="N",ABS(J292),"")</f>
        <v>297120</v>
      </c>
      <c r="P292" s="18" t="str">
        <f aca="false">IF(N292="N",B292&amp;"|"&amp;ROUND(O292,0),"")</f>
        <v>KGR26/0215|297120</v>
      </c>
      <c r="Q292" s="18" t="str">
        <f aca="false">IF(N292&lt;&gt;"Y","",IFERROR(INDEX($D$6:$D$4005,MATCH(B292&amp;"|"&amp;ROUND(_xlfn.MAXIFS($O$6:$O$4005,$B$6:$B$4005,B292,$N$6:$N$4005,"N"),0),$P$6:$P$4005,0)),"(tanpa lawan)"))</f>
        <v/>
      </c>
      <c r="R292" s="44"/>
      <c r="S292" s="9" t="str">
        <f aca="false">IF(N292&lt;&gt;"Y","",IF(R292&lt;&gt;"",R292,IF(Q292="(tanpa lawan)","Transfer antar rekening",IFERROR(INDEX(I_COA!$F$6:$F$265,MATCH(Q292,I_COA!$A$6:$A$265,0)),"?"))))</f>
        <v/>
      </c>
    </row>
    <row r="293" customFormat="false" ht="15" hidden="false" customHeight="false" outlineLevel="0" collapsed="false">
      <c r="A293" s="37" t="n">
        <v>46240</v>
      </c>
      <c r="B293" s="44" t="s">
        <v>850</v>
      </c>
      <c r="C293" s="44" t="s">
        <v>617</v>
      </c>
      <c r="D293" s="44" t="n">
        <v>4101012</v>
      </c>
      <c r="E293" s="44" t="s">
        <v>619</v>
      </c>
      <c r="F293" s="44" t="s">
        <v>851</v>
      </c>
      <c r="G293" s="42"/>
      <c r="H293" s="42" t="n">
        <v>32429520</v>
      </c>
      <c r="I293" s="44" t="s">
        <v>841</v>
      </c>
      <c r="J293" s="11" t="n">
        <f aca="false">IF(D293="","",N(G293)-N(H293))</f>
        <v>-32429520</v>
      </c>
      <c r="K293" s="34" t="str">
        <f aca="false">IF(D293="","",IFERROR(INDEX(I_COA!$C$6:$C$265,MATCH(D293,I_COA!$A$6:$A$265,0)),"AKUN BARU"))</f>
        <v>LabaRugi</v>
      </c>
      <c r="L293" s="34" t="str">
        <f aca="false">IF(K293="LabaRugi",INDEX(I_COA!$D$6:$D$265,MATCH(D293,I_COA!$A$6:$A$265,0)),"")</f>
        <v>Revenue - Trading</v>
      </c>
      <c r="M293" s="34" t="str">
        <f aca="false">IF(K293="Neraca",INDEX(I_COA!$E$6:$E$265,MATCH(D293,I_COA!$A$6:$A$265,0)),"")</f>
        <v/>
      </c>
      <c r="N293" s="34" t="str">
        <f aca="false">IF(D293="","",IFERROR(INDEX(I_COA!$G$6:$G$265,MATCH(D293,I_COA!$A$6:$A$265,0)),"N"))</f>
        <v>N</v>
      </c>
      <c r="O293" s="11" t="n">
        <f aca="false">IF(N293="N",ABS(J293),"")</f>
        <v>32429520</v>
      </c>
      <c r="P293" s="18" t="str">
        <f aca="false">IF(N293="N",B293&amp;"|"&amp;ROUND(O293,0),"")</f>
        <v>KGR26/0215|32429520</v>
      </c>
      <c r="Q293" s="18" t="str">
        <f aca="false">IF(N293&lt;&gt;"Y","",IFERROR(INDEX($D$6:$D$4005,MATCH(B293&amp;"|"&amp;ROUND(_xlfn.MAXIFS($O$6:$O$4005,$B$6:$B$4005,B293,$N$6:$N$4005,"N"),0),$P$6:$P$4005,0)),"(tanpa lawan)"))</f>
        <v/>
      </c>
      <c r="R293" s="44"/>
      <c r="S293" s="9" t="str">
        <f aca="false">IF(N293&lt;&gt;"Y","",IF(R293&lt;&gt;"",R293,IF(Q293="(tanpa lawan)","Transfer antar rekening",IFERROR(INDEX(I_COA!$F$6:$F$265,MATCH(Q293,I_COA!$A$6:$A$265,0)),"?"))))</f>
        <v/>
      </c>
    </row>
    <row r="294" customFormat="false" ht="15" hidden="false" customHeight="false" outlineLevel="0" collapsed="false">
      <c r="A294" s="37" t="n">
        <v>46240</v>
      </c>
      <c r="B294" s="44" t="s">
        <v>850</v>
      </c>
      <c r="C294" s="44" t="s">
        <v>617</v>
      </c>
      <c r="D294" s="44" t="n">
        <v>5100011</v>
      </c>
      <c r="E294" s="44" t="s">
        <v>166</v>
      </c>
      <c r="F294" s="44" t="s">
        <v>851</v>
      </c>
      <c r="G294" s="42" t="n">
        <v>31676862.29</v>
      </c>
      <c r="H294" s="42"/>
      <c r="I294" s="44" t="s">
        <v>841</v>
      </c>
      <c r="J294" s="11" t="n">
        <f aca="false">IF(D294="","",N(G294)-N(H294))</f>
        <v>31676862.29</v>
      </c>
      <c r="K294" s="34" t="str">
        <f aca="false">IF(D294="","",IFERROR(INDEX(I_COA!$C$6:$C$265,MATCH(D294,I_COA!$A$6:$A$265,0)),"AKUN BARU"))</f>
        <v>LabaRugi</v>
      </c>
      <c r="L294" s="34" t="str">
        <f aca="false">IF(K294="LabaRugi",INDEX(I_COA!$D$6:$D$265,MATCH(D294,I_COA!$A$6:$A$265,0)),"")</f>
        <v>COGS - Trading</v>
      </c>
      <c r="M294" s="34" t="str">
        <f aca="false">IF(K294="Neraca",INDEX(I_COA!$E$6:$E$265,MATCH(D294,I_COA!$A$6:$A$265,0)),"")</f>
        <v/>
      </c>
      <c r="N294" s="34" t="str">
        <f aca="false">IF(D294="","",IFERROR(INDEX(I_COA!$G$6:$G$265,MATCH(D294,I_COA!$A$6:$A$265,0)),"N"))</f>
        <v>N</v>
      </c>
      <c r="O294" s="11" t="n">
        <f aca="false">IF(N294="N",ABS(J294),"")</f>
        <v>31676862.29</v>
      </c>
      <c r="P294" s="18" t="str">
        <f aca="false">IF(N294="N",B294&amp;"|"&amp;ROUND(O294,0),"")</f>
        <v>KGR26/0215|31676862</v>
      </c>
      <c r="Q294" s="18" t="str">
        <f aca="false">IF(N294&lt;&gt;"Y","",IFERROR(INDEX($D$6:$D$4005,MATCH(B294&amp;"|"&amp;ROUND(_xlfn.MAXIFS($O$6:$O$4005,$B$6:$B$4005,B294,$N$6:$N$4005,"N"),0),$P$6:$P$4005,0)),"(tanpa lawan)"))</f>
        <v/>
      </c>
      <c r="R294" s="44"/>
      <c r="S294" s="9" t="str">
        <f aca="false">IF(N294&lt;&gt;"Y","",IF(R294&lt;&gt;"",R294,IF(Q294="(tanpa lawan)","Transfer antar rekening",IFERROR(INDEX(I_COA!$F$6:$F$265,MATCH(Q294,I_COA!$A$6:$A$265,0)),"?"))))</f>
        <v/>
      </c>
    </row>
    <row r="295" customFormat="false" ht="15" hidden="false" customHeight="false" outlineLevel="0" collapsed="false">
      <c r="A295" s="37" t="n">
        <v>46240</v>
      </c>
      <c r="B295" s="44" t="s">
        <v>850</v>
      </c>
      <c r="C295" s="44" t="s">
        <v>617</v>
      </c>
      <c r="D295" s="44" t="n">
        <v>1104002</v>
      </c>
      <c r="E295" s="44" t="s">
        <v>601</v>
      </c>
      <c r="F295" s="44" t="s">
        <v>851</v>
      </c>
      <c r="G295" s="42"/>
      <c r="H295" s="42" t="n">
        <v>31676862.29</v>
      </c>
      <c r="I295" s="44" t="s">
        <v>841</v>
      </c>
      <c r="J295" s="11" t="n">
        <f aca="false">IF(D295="","",N(G295)-N(H295))</f>
        <v>-31676862.29</v>
      </c>
      <c r="K295" s="34" t="str">
        <f aca="false">IF(D295="","",IFERROR(INDEX(I_COA!$C$6:$C$265,MATCH(D295,I_COA!$A$6:$A$265,0)),"AKUN BARU"))</f>
        <v>Neraca</v>
      </c>
      <c r="L295" s="34" t="str">
        <f aca="false">IF(K295="LabaRugi",INDEX(I_COA!$D$6:$D$265,MATCH(D295,I_COA!$A$6:$A$265,0)),"")</f>
        <v/>
      </c>
      <c r="M295" s="34" t="str">
        <f aca="false">IF(K295="Neraca",INDEX(I_COA!$E$6:$E$265,MATCH(D295,I_COA!$A$6:$A$265,0)),"")</f>
        <v>Inventory - Product</v>
      </c>
      <c r="N295" s="34" t="str">
        <f aca="false">IF(D295="","",IFERROR(INDEX(I_COA!$G$6:$G$265,MATCH(D295,I_COA!$A$6:$A$265,0)),"N"))</f>
        <v>N</v>
      </c>
      <c r="O295" s="11" t="n">
        <f aca="false">IF(N295="N",ABS(J295),"")</f>
        <v>31676862.29</v>
      </c>
      <c r="P295" s="18" t="str">
        <f aca="false">IF(N295="N",B295&amp;"|"&amp;ROUND(O295,0),"")</f>
        <v>KGR26/0215|31676862</v>
      </c>
      <c r="Q295" s="18" t="str">
        <f aca="false">IF(N295&lt;&gt;"Y","",IFERROR(INDEX($D$6:$D$4005,MATCH(B295&amp;"|"&amp;ROUND(_xlfn.MAXIFS($O$6:$O$4005,$B$6:$B$4005,B295,$N$6:$N$4005,"N"),0),$P$6:$P$4005,0)),"(tanpa lawan)"))</f>
        <v/>
      </c>
      <c r="R295" s="44"/>
      <c r="S295" s="9" t="str">
        <f aca="false">IF(N295&lt;&gt;"Y","",IF(R295&lt;&gt;"",R295,IF(Q295="(tanpa lawan)","Transfer antar rekening",IFERROR(INDEX(I_COA!$F$6:$F$265,MATCH(Q295,I_COA!$A$6:$A$265,0)),"?"))))</f>
        <v/>
      </c>
    </row>
    <row r="296" customFormat="false" ht="15" hidden="false" customHeight="false" outlineLevel="0" collapsed="false">
      <c r="A296" s="37" t="n">
        <v>46240</v>
      </c>
      <c r="B296" s="44" t="s">
        <v>852</v>
      </c>
      <c r="C296" s="44" t="s">
        <v>617</v>
      </c>
      <c r="D296" s="44" t="n">
        <v>1103101</v>
      </c>
      <c r="E296" s="44" t="s">
        <v>589</v>
      </c>
      <c r="F296" s="44" t="s">
        <v>853</v>
      </c>
      <c r="G296" s="42" t="n">
        <v>18054675</v>
      </c>
      <c r="H296" s="42"/>
      <c r="I296" s="44" t="s">
        <v>478</v>
      </c>
      <c r="J296" s="11" t="n">
        <f aca="false">IF(D296="","",N(G296)-N(H296))</f>
        <v>18054675</v>
      </c>
      <c r="K296" s="34" t="str">
        <f aca="false">IF(D296="","",IFERROR(INDEX(I_COA!$C$6:$C$265,MATCH(D296,I_COA!$A$6:$A$265,0)),"AKUN BARU"))</f>
        <v>Neraca</v>
      </c>
      <c r="L296" s="34" t="str">
        <f aca="false">IF(K296="LabaRugi",INDEX(I_COA!$D$6:$D$265,MATCH(D296,I_COA!$A$6:$A$265,0)),"")</f>
        <v/>
      </c>
      <c r="M296" s="34" t="str">
        <f aca="false">IF(K296="Neraca",INDEX(I_COA!$E$6:$E$265,MATCH(D296,I_COA!$A$6:$A$265,0)),"")</f>
        <v>Trade Receivables - Third Parties</v>
      </c>
      <c r="N296" s="34" t="str">
        <f aca="false">IF(D296="","",IFERROR(INDEX(I_COA!$G$6:$G$265,MATCH(D296,I_COA!$A$6:$A$265,0)),"N"))</f>
        <v>N</v>
      </c>
      <c r="O296" s="11" t="n">
        <f aca="false">IF(N296="N",ABS(J296),"")</f>
        <v>18054675</v>
      </c>
      <c r="P296" s="18" t="str">
        <f aca="false">IF(N296="N",B296&amp;"|"&amp;ROUND(O296,0),"")</f>
        <v>KGR26/0216|18054675</v>
      </c>
      <c r="Q296" s="18" t="str">
        <f aca="false">IF(N296&lt;&gt;"Y","",IFERROR(INDEX($D$6:$D$4005,MATCH(B296&amp;"|"&amp;ROUND(_xlfn.MAXIFS($O$6:$O$4005,$B$6:$B$4005,B296,$N$6:$N$4005,"N"),0),$P$6:$P$4005,0)),"(tanpa lawan)"))</f>
        <v/>
      </c>
      <c r="R296" s="44"/>
      <c r="S296" s="9" t="str">
        <f aca="false">IF(N296&lt;&gt;"Y","",IF(R296&lt;&gt;"",R296,IF(Q296="(tanpa lawan)","Transfer antar rekening",IFERROR(INDEX(I_COA!$F$6:$F$265,MATCH(Q296,I_COA!$A$6:$A$265,0)),"?"))))</f>
        <v/>
      </c>
    </row>
    <row r="297" customFormat="false" ht="15" hidden="false" customHeight="false" outlineLevel="0" collapsed="false">
      <c r="A297" s="37" t="n">
        <v>46240</v>
      </c>
      <c r="B297" s="44" t="s">
        <v>852</v>
      </c>
      <c r="C297" s="44" t="s">
        <v>617</v>
      </c>
      <c r="D297" s="44" t="n">
        <v>4101012</v>
      </c>
      <c r="E297" s="44" t="s">
        <v>619</v>
      </c>
      <c r="F297" s="44" t="s">
        <v>853</v>
      </c>
      <c r="G297" s="42"/>
      <c r="H297" s="42" t="n">
        <v>18054675</v>
      </c>
      <c r="I297" s="44" t="s">
        <v>478</v>
      </c>
      <c r="J297" s="11" t="n">
        <f aca="false">IF(D297="","",N(G297)-N(H297))</f>
        <v>-18054675</v>
      </c>
      <c r="K297" s="34" t="str">
        <f aca="false">IF(D297="","",IFERROR(INDEX(I_COA!$C$6:$C$265,MATCH(D297,I_COA!$A$6:$A$265,0)),"AKUN BARU"))</f>
        <v>LabaRugi</v>
      </c>
      <c r="L297" s="34" t="str">
        <f aca="false">IF(K297="LabaRugi",INDEX(I_COA!$D$6:$D$265,MATCH(D297,I_COA!$A$6:$A$265,0)),"")</f>
        <v>Revenue - Trading</v>
      </c>
      <c r="M297" s="34" t="str">
        <f aca="false">IF(K297="Neraca",INDEX(I_COA!$E$6:$E$265,MATCH(D297,I_COA!$A$6:$A$265,0)),"")</f>
        <v/>
      </c>
      <c r="N297" s="34" t="str">
        <f aca="false">IF(D297="","",IFERROR(INDEX(I_COA!$G$6:$G$265,MATCH(D297,I_COA!$A$6:$A$265,0)),"N"))</f>
        <v>N</v>
      </c>
      <c r="O297" s="11" t="n">
        <f aca="false">IF(N297="N",ABS(J297),"")</f>
        <v>18054675</v>
      </c>
      <c r="P297" s="18" t="str">
        <f aca="false">IF(N297="N",B297&amp;"|"&amp;ROUND(O297,0),"")</f>
        <v>KGR26/0216|18054675</v>
      </c>
      <c r="Q297" s="18" t="str">
        <f aca="false">IF(N297&lt;&gt;"Y","",IFERROR(INDEX($D$6:$D$4005,MATCH(B297&amp;"|"&amp;ROUND(_xlfn.MAXIFS($O$6:$O$4005,$B$6:$B$4005,B297,$N$6:$N$4005,"N"),0),$P$6:$P$4005,0)),"(tanpa lawan)"))</f>
        <v/>
      </c>
      <c r="R297" s="44"/>
      <c r="S297" s="9" t="str">
        <f aca="false">IF(N297&lt;&gt;"Y","",IF(R297&lt;&gt;"",R297,IF(Q297="(tanpa lawan)","Transfer antar rekening",IFERROR(INDEX(I_COA!$F$6:$F$265,MATCH(Q297,I_COA!$A$6:$A$265,0)),"?"))))</f>
        <v/>
      </c>
    </row>
    <row r="298" customFormat="false" ht="15" hidden="false" customHeight="false" outlineLevel="0" collapsed="false">
      <c r="A298" s="37" t="n">
        <v>46240</v>
      </c>
      <c r="B298" s="44" t="s">
        <v>852</v>
      </c>
      <c r="C298" s="44" t="s">
        <v>617</v>
      </c>
      <c r="D298" s="44" t="n">
        <v>5100011</v>
      </c>
      <c r="E298" s="44" t="s">
        <v>166</v>
      </c>
      <c r="F298" s="44" t="s">
        <v>853</v>
      </c>
      <c r="G298" s="42" t="n">
        <v>13275652.62</v>
      </c>
      <c r="H298" s="42"/>
      <c r="I298" s="44" t="s">
        <v>478</v>
      </c>
      <c r="J298" s="11" t="n">
        <f aca="false">IF(D298="","",N(G298)-N(H298))</f>
        <v>13275652.62</v>
      </c>
      <c r="K298" s="34" t="str">
        <f aca="false">IF(D298="","",IFERROR(INDEX(I_COA!$C$6:$C$265,MATCH(D298,I_COA!$A$6:$A$265,0)),"AKUN BARU"))</f>
        <v>LabaRugi</v>
      </c>
      <c r="L298" s="34" t="str">
        <f aca="false">IF(K298="LabaRugi",INDEX(I_COA!$D$6:$D$265,MATCH(D298,I_COA!$A$6:$A$265,0)),"")</f>
        <v>COGS - Trading</v>
      </c>
      <c r="M298" s="34" t="str">
        <f aca="false">IF(K298="Neraca",INDEX(I_COA!$E$6:$E$265,MATCH(D298,I_COA!$A$6:$A$265,0)),"")</f>
        <v/>
      </c>
      <c r="N298" s="34" t="str">
        <f aca="false">IF(D298="","",IFERROR(INDEX(I_COA!$G$6:$G$265,MATCH(D298,I_COA!$A$6:$A$265,0)),"N"))</f>
        <v>N</v>
      </c>
      <c r="O298" s="11" t="n">
        <f aca="false">IF(N298="N",ABS(J298),"")</f>
        <v>13275652.62</v>
      </c>
      <c r="P298" s="18" t="str">
        <f aca="false">IF(N298="N",B298&amp;"|"&amp;ROUND(O298,0),"")</f>
        <v>KGR26/0216|13275653</v>
      </c>
      <c r="Q298" s="18" t="str">
        <f aca="false">IF(N298&lt;&gt;"Y","",IFERROR(INDEX($D$6:$D$4005,MATCH(B298&amp;"|"&amp;ROUND(_xlfn.MAXIFS($O$6:$O$4005,$B$6:$B$4005,B298,$N$6:$N$4005,"N"),0),$P$6:$P$4005,0)),"(tanpa lawan)"))</f>
        <v/>
      </c>
      <c r="R298" s="44"/>
      <c r="S298" s="9" t="str">
        <f aca="false">IF(N298&lt;&gt;"Y","",IF(R298&lt;&gt;"",R298,IF(Q298="(tanpa lawan)","Transfer antar rekening",IFERROR(INDEX(I_COA!$F$6:$F$265,MATCH(Q298,I_COA!$A$6:$A$265,0)),"?"))))</f>
        <v/>
      </c>
    </row>
    <row r="299" customFormat="false" ht="15" hidden="false" customHeight="false" outlineLevel="0" collapsed="false">
      <c r="A299" s="37" t="n">
        <v>46240</v>
      </c>
      <c r="B299" s="44" t="s">
        <v>852</v>
      </c>
      <c r="C299" s="44" t="s">
        <v>617</v>
      </c>
      <c r="D299" s="44" t="n">
        <v>1104002</v>
      </c>
      <c r="E299" s="44" t="s">
        <v>601</v>
      </c>
      <c r="F299" s="44" t="s">
        <v>853</v>
      </c>
      <c r="G299" s="42"/>
      <c r="H299" s="42" t="n">
        <v>13275652.62</v>
      </c>
      <c r="I299" s="44" t="s">
        <v>478</v>
      </c>
      <c r="J299" s="11" t="n">
        <f aca="false">IF(D299="","",N(G299)-N(H299))</f>
        <v>-13275652.62</v>
      </c>
      <c r="K299" s="34" t="str">
        <f aca="false">IF(D299="","",IFERROR(INDEX(I_COA!$C$6:$C$265,MATCH(D299,I_COA!$A$6:$A$265,0)),"AKUN BARU"))</f>
        <v>Neraca</v>
      </c>
      <c r="L299" s="34" t="str">
        <f aca="false">IF(K299="LabaRugi",INDEX(I_COA!$D$6:$D$265,MATCH(D299,I_COA!$A$6:$A$265,0)),"")</f>
        <v/>
      </c>
      <c r="M299" s="34" t="str">
        <f aca="false">IF(K299="Neraca",INDEX(I_COA!$E$6:$E$265,MATCH(D299,I_COA!$A$6:$A$265,0)),"")</f>
        <v>Inventory - Product</v>
      </c>
      <c r="N299" s="34" t="str">
        <f aca="false">IF(D299="","",IFERROR(INDEX(I_COA!$G$6:$G$265,MATCH(D299,I_COA!$A$6:$A$265,0)),"N"))</f>
        <v>N</v>
      </c>
      <c r="O299" s="11" t="n">
        <f aca="false">IF(N299="N",ABS(J299),"")</f>
        <v>13275652.62</v>
      </c>
      <c r="P299" s="18" t="str">
        <f aca="false">IF(N299="N",B299&amp;"|"&amp;ROUND(O299,0),"")</f>
        <v>KGR26/0216|13275653</v>
      </c>
      <c r="Q299" s="18" t="str">
        <f aca="false">IF(N299&lt;&gt;"Y","",IFERROR(INDEX($D$6:$D$4005,MATCH(B299&amp;"|"&amp;ROUND(_xlfn.MAXIFS($O$6:$O$4005,$B$6:$B$4005,B299,$N$6:$N$4005,"N"),0),$P$6:$P$4005,0)),"(tanpa lawan)"))</f>
        <v/>
      </c>
      <c r="R299" s="44"/>
      <c r="S299" s="9" t="str">
        <f aca="false">IF(N299&lt;&gt;"Y","",IF(R299&lt;&gt;"",R299,IF(Q299="(tanpa lawan)","Transfer antar rekening",IFERROR(INDEX(I_COA!$F$6:$F$265,MATCH(Q299,I_COA!$A$6:$A$265,0)),"?"))))</f>
        <v/>
      </c>
    </row>
    <row r="300" customFormat="false" ht="15" hidden="false" customHeight="false" outlineLevel="0" collapsed="false">
      <c r="A300" s="37" t="n">
        <v>46240</v>
      </c>
      <c r="B300" s="44" t="s">
        <v>854</v>
      </c>
      <c r="C300" s="44" t="s">
        <v>617</v>
      </c>
      <c r="D300" s="44" t="n">
        <v>1103101</v>
      </c>
      <c r="E300" s="44" t="s">
        <v>589</v>
      </c>
      <c r="F300" s="44" t="s">
        <v>855</v>
      </c>
      <c r="G300" s="42" t="n">
        <v>18708760</v>
      </c>
      <c r="H300" s="42"/>
      <c r="I300" s="44" t="s">
        <v>432</v>
      </c>
      <c r="J300" s="11" t="n">
        <f aca="false">IF(D300="","",N(G300)-N(H300))</f>
        <v>18708760</v>
      </c>
      <c r="K300" s="34" t="str">
        <f aca="false">IF(D300="","",IFERROR(INDEX(I_COA!$C$6:$C$265,MATCH(D300,I_COA!$A$6:$A$265,0)),"AKUN BARU"))</f>
        <v>Neraca</v>
      </c>
      <c r="L300" s="34" t="str">
        <f aca="false">IF(K300="LabaRugi",INDEX(I_COA!$D$6:$D$265,MATCH(D300,I_COA!$A$6:$A$265,0)),"")</f>
        <v/>
      </c>
      <c r="M300" s="34" t="str">
        <f aca="false">IF(K300="Neraca",INDEX(I_COA!$E$6:$E$265,MATCH(D300,I_COA!$A$6:$A$265,0)),"")</f>
        <v>Trade Receivables - Third Parties</v>
      </c>
      <c r="N300" s="34" t="str">
        <f aca="false">IF(D300="","",IFERROR(INDEX(I_COA!$G$6:$G$265,MATCH(D300,I_COA!$A$6:$A$265,0)),"N"))</f>
        <v>N</v>
      </c>
      <c r="O300" s="11" t="n">
        <f aca="false">IF(N300="N",ABS(J300),"")</f>
        <v>18708760</v>
      </c>
      <c r="P300" s="18" t="str">
        <f aca="false">IF(N300="N",B300&amp;"|"&amp;ROUND(O300,0),"")</f>
        <v>KGR26/0217|18708760</v>
      </c>
      <c r="Q300" s="18" t="str">
        <f aca="false">IF(N300&lt;&gt;"Y","",IFERROR(INDEX($D$6:$D$4005,MATCH(B300&amp;"|"&amp;ROUND(_xlfn.MAXIFS($O$6:$O$4005,$B$6:$B$4005,B300,$N$6:$N$4005,"N"),0),$P$6:$P$4005,0)),"(tanpa lawan)"))</f>
        <v/>
      </c>
      <c r="R300" s="44"/>
      <c r="S300" s="9" t="str">
        <f aca="false">IF(N300&lt;&gt;"Y","",IF(R300&lt;&gt;"",R300,IF(Q300="(tanpa lawan)","Transfer antar rekening",IFERROR(INDEX(I_COA!$F$6:$F$265,MATCH(Q300,I_COA!$A$6:$A$265,0)),"?"))))</f>
        <v/>
      </c>
    </row>
    <row r="301" customFormat="false" ht="15" hidden="false" customHeight="false" outlineLevel="0" collapsed="false">
      <c r="A301" s="37" t="n">
        <v>46240</v>
      </c>
      <c r="B301" s="44" t="s">
        <v>854</v>
      </c>
      <c r="C301" s="44" t="s">
        <v>617</v>
      </c>
      <c r="D301" s="44" t="n">
        <v>4101012</v>
      </c>
      <c r="E301" s="44" t="s">
        <v>619</v>
      </c>
      <c r="F301" s="44" t="s">
        <v>855</v>
      </c>
      <c r="G301" s="42"/>
      <c r="H301" s="42" t="n">
        <v>18708760</v>
      </c>
      <c r="I301" s="44" t="s">
        <v>432</v>
      </c>
      <c r="J301" s="11" t="n">
        <f aca="false">IF(D301="","",N(G301)-N(H301))</f>
        <v>-18708760</v>
      </c>
      <c r="K301" s="34" t="str">
        <f aca="false">IF(D301="","",IFERROR(INDEX(I_COA!$C$6:$C$265,MATCH(D301,I_COA!$A$6:$A$265,0)),"AKUN BARU"))</f>
        <v>LabaRugi</v>
      </c>
      <c r="L301" s="34" t="str">
        <f aca="false">IF(K301="LabaRugi",INDEX(I_COA!$D$6:$D$265,MATCH(D301,I_COA!$A$6:$A$265,0)),"")</f>
        <v>Revenue - Trading</v>
      </c>
      <c r="M301" s="34" t="str">
        <f aca="false">IF(K301="Neraca",INDEX(I_COA!$E$6:$E$265,MATCH(D301,I_COA!$A$6:$A$265,0)),"")</f>
        <v/>
      </c>
      <c r="N301" s="34" t="str">
        <f aca="false">IF(D301="","",IFERROR(INDEX(I_COA!$G$6:$G$265,MATCH(D301,I_COA!$A$6:$A$265,0)),"N"))</f>
        <v>N</v>
      </c>
      <c r="O301" s="11" t="n">
        <f aca="false">IF(N301="N",ABS(J301),"")</f>
        <v>18708760</v>
      </c>
      <c r="P301" s="18" t="str">
        <f aca="false">IF(N301="N",B301&amp;"|"&amp;ROUND(O301,0),"")</f>
        <v>KGR26/0217|18708760</v>
      </c>
      <c r="Q301" s="18" t="str">
        <f aca="false">IF(N301&lt;&gt;"Y","",IFERROR(INDEX($D$6:$D$4005,MATCH(B301&amp;"|"&amp;ROUND(_xlfn.MAXIFS($O$6:$O$4005,$B$6:$B$4005,B301,$N$6:$N$4005,"N"),0),$P$6:$P$4005,0)),"(tanpa lawan)"))</f>
        <v/>
      </c>
      <c r="R301" s="44"/>
      <c r="S301" s="9" t="str">
        <f aca="false">IF(N301&lt;&gt;"Y","",IF(R301&lt;&gt;"",R301,IF(Q301="(tanpa lawan)","Transfer antar rekening",IFERROR(INDEX(I_COA!$F$6:$F$265,MATCH(Q301,I_COA!$A$6:$A$265,0)),"?"))))</f>
        <v/>
      </c>
    </row>
    <row r="302" customFormat="false" ht="15" hidden="false" customHeight="false" outlineLevel="0" collapsed="false">
      <c r="A302" s="37" t="n">
        <v>46240</v>
      </c>
      <c r="B302" s="44" t="s">
        <v>854</v>
      </c>
      <c r="C302" s="44" t="s">
        <v>617</v>
      </c>
      <c r="D302" s="44" t="n">
        <v>5100011</v>
      </c>
      <c r="E302" s="44" t="s">
        <v>166</v>
      </c>
      <c r="F302" s="44" t="s">
        <v>855</v>
      </c>
      <c r="G302" s="42" t="n">
        <v>14063327.42</v>
      </c>
      <c r="H302" s="42"/>
      <c r="I302" s="44" t="s">
        <v>432</v>
      </c>
      <c r="J302" s="11" t="n">
        <f aca="false">IF(D302="","",N(G302)-N(H302))</f>
        <v>14063327.42</v>
      </c>
      <c r="K302" s="34" t="str">
        <f aca="false">IF(D302="","",IFERROR(INDEX(I_COA!$C$6:$C$265,MATCH(D302,I_COA!$A$6:$A$265,0)),"AKUN BARU"))</f>
        <v>LabaRugi</v>
      </c>
      <c r="L302" s="34" t="str">
        <f aca="false">IF(K302="LabaRugi",INDEX(I_COA!$D$6:$D$265,MATCH(D302,I_COA!$A$6:$A$265,0)),"")</f>
        <v>COGS - Trading</v>
      </c>
      <c r="M302" s="34" t="str">
        <f aca="false">IF(K302="Neraca",INDEX(I_COA!$E$6:$E$265,MATCH(D302,I_COA!$A$6:$A$265,0)),"")</f>
        <v/>
      </c>
      <c r="N302" s="34" t="str">
        <f aca="false">IF(D302="","",IFERROR(INDEX(I_COA!$G$6:$G$265,MATCH(D302,I_COA!$A$6:$A$265,0)),"N"))</f>
        <v>N</v>
      </c>
      <c r="O302" s="11" t="n">
        <f aca="false">IF(N302="N",ABS(J302),"")</f>
        <v>14063327.42</v>
      </c>
      <c r="P302" s="18" t="str">
        <f aca="false">IF(N302="N",B302&amp;"|"&amp;ROUND(O302,0),"")</f>
        <v>KGR26/0217|14063327</v>
      </c>
      <c r="Q302" s="18" t="str">
        <f aca="false">IF(N302&lt;&gt;"Y","",IFERROR(INDEX($D$6:$D$4005,MATCH(B302&amp;"|"&amp;ROUND(_xlfn.MAXIFS($O$6:$O$4005,$B$6:$B$4005,B302,$N$6:$N$4005,"N"),0),$P$6:$P$4005,0)),"(tanpa lawan)"))</f>
        <v/>
      </c>
      <c r="R302" s="44"/>
      <c r="S302" s="9" t="str">
        <f aca="false">IF(N302&lt;&gt;"Y","",IF(R302&lt;&gt;"",R302,IF(Q302="(tanpa lawan)","Transfer antar rekening",IFERROR(INDEX(I_COA!$F$6:$F$265,MATCH(Q302,I_COA!$A$6:$A$265,0)),"?"))))</f>
        <v/>
      </c>
    </row>
    <row r="303" customFormat="false" ht="15" hidden="false" customHeight="false" outlineLevel="0" collapsed="false">
      <c r="A303" s="37" t="n">
        <v>46240</v>
      </c>
      <c r="B303" s="44" t="s">
        <v>854</v>
      </c>
      <c r="C303" s="44" t="s">
        <v>617</v>
      </c>
      <c r="D303" s="44" t="n">
        <v>1104002</v>
      </c>
      <c r="E303" s="44" t="s">
        <v>601</v>
      </c>
      <c r="F303" s="44" t="s">
        <v>855</v>
      </c>
      <c r="G303" s="42"/>
      <c r="H303" s="42" t="n">
        <v>14063327.42</v>
      </c>
      <c r="I303" s="44" t="s">
        <v>432</v>
      </c>
      <c r="J303" s="11" t="n">
        <f aca="false">IF(D303="","",N(G303)-N(H303))</f>
        <v>-14063327.42</v>
      </c>
      <c r="K303" s="34" t="str">
        <f aca="false">IF(D303="","",IFERROR(INDEX(I_COA!$C$6:$C$265,MATCH(D303,I_COA!$A$6:$A$265,0)),"AKUN BARU"))</f>
        <v>Neraca</v>
      </c>
      <c r="L303" s="34" t="str">
        <f aca="false">IF(K303="LabaRugi",INDEX(I_COA!$D$6:$D$265,MATCH(D303,I_COA!$A$6:$A$265,0)),"")</f>
        <v/>
      </c>
      <c r="M303" s="34" t="str">
        <f aca="false">IF(K303="Neraca",INDEX(I_COA!$E$6:$E$265,MATCH(D303,I_COA!$A$6:$A$265,0)),"")</f>
        <v>Inventory - Product</v>
      </c>
      <c r="N303" s="34" t="str">
        <f aca="false">IF(D303="","",IFERROR(INDEX(I_COA!$G$6:$G$265,MATCH(D303,I_COA!$A$6:$A$265,0)),"N"))</f>
        <v>N</v>
      </c>
      <c r="O303" s="11" t="n">
        <f aca="false">IF(N303="N",ABS(J303),"")</f>
        <v>14063327.42</v>
      </c>
      <c r="P303" s="18" t="str">
        <f aca="false">IF(N303="N",B303&amp;"|"&amp;ROUND(O303,0),"")</f>
        <v>KGR26/0217|14063327</v>
      </c>
      <c r="Q303" s="18" t="str">
        <f aca="false">IF(N303&lt;&gt;"Y","",IFERROR(INDEX($D$6:$D$4005,MATCH(B303&amp;"|"&amp;ROUND(_xlfn.MAXIFS($O$6:$O$4005,$B$6:$B$4005,B303,$N$6:$N$4005,"N"),0),$P$6:$P$4005,0)),"(tanpa lawan)"))</f>
        <v/>
      </c>
      <c r="R303" s="44"/>
      <c r="S303" s="9" t="str">
        <f aca="false">IF(N303&lt;&gt;"Y","",IF(R303&lt;&gt;"",R303,IF(Q303="(tanpa lawan)","Transfer antar rekening",IFERROR(INDEX(I_COA!$F$6:$F$265,MATCH(Q303,I_COA!$A$6:$A$265,0)),"?"))))</f>
        <v/>
      </c>
    </row>
    <row r="304" customFormat="false" ht="15" hidden="false" customHeight="false" outlineLevel="0" collapsed="false">
      <c r="A304" s="37" t="n">
        <v>46240</v>
      </c>
      <c r="B304" s="44" t="s">
        <v>856</v>
      </c>
      <c r="C304" s="44" t="s">
        <v>617</v>
      </c>
      <c r="D304" s="44" t="n">
        <v>1103101</v>
      </c>
      <c r="E304" s="44" t="s">
        <v>589</v>
      </c>
      <c r="F304" s="44" t="s">
        <v>857</v>
      </c>
      <c r="G304" s="42" t="n">
        <v>176492528</v>
      </c>
      <c r="H304" s="42"/>
      <c r="I304" s="44" t="s">
        <v>606</v>
      </c>
      <c r="J304" s="11" t="n">
        <f aca="false">IF(D304="","",N(G304)-N(H304))</f>
        <v>176492528</v>
      </c>
      <c r="K304" s="34" t="str">
        <f aca="false">IF(D304="","",IFERROR(INDEX(I_COA!$C$6:$C$265,MATCH(D304,I_COA!$A$6:$A$265,0)),"AKUN BARU"))</f>
        <v>Neraca</v>
      </c>
      <c r="L304" s="34" t="str">
        <f aca="false">IF(K304="LabaRugi",INDEX(I_COA!$D$6:$D$265,MATCH(D304,I_COA!$A$6:$A$265,0)),"")</f>
        <v/>
      </c>
      <c r="M304" s="34" t="str">
        <f aca="false">IF(K304="Neraca",INDEX(I_COA!$E$6:$E$265,MATCH(D304,I_COA!$A$6:$A$265,0)),"")</f>
        <v>Trade Receivables - Third Parties</v>
      </c>
      <c r="N304" s="34" t="str">
        <f aca="false">IF(D304="","",IFERROR(INDEX(I_COA!$G$6:$G$265,MATCH(D304,I_COA!$A$6:$A$265,0)),"N"))</f>
        <v>N</v>
      </c>
      <c r="O304" s="11" t="n">
        <f aca="false">IF(N304="N",ABS(J304),"")</f>
        <v>176492528</v>
      </c>
      <c r="P304" s="18" t="str">
        <f aca="false">IF(N304="N",B304&amp;"|"&amp;ROUND(O304,0),"")</f>
        <v>KGR26/0218|176492528</v>
      </c>
      <c r="Q304" s="18" t="str">
        <f aca="false">IF(N304&lt;&gt;"Y","",IFERROR(INDEX($D$6:$D$4005,MATCH(B304&amp;"|"&amp;ROUND(_xlfn.MAXIFS($O$6:$O$4005,$B$6:$B$4005,B304,$N$6:$N$4005,"N"),0),$P$6:$P$4005,0)),"(tanpa lawan)"))</f>
        <v/>
      </c>
      <c r="R304" s="44"/>
      <c r="S304" s="9" t="str">
        <f aca="false">IF(N304&lt;&gt;"Y","",IF(R304&lt;&gt;"",R304,IF(Q304="(tanpa lawan)","Transfer antar rekening",IFERROR(INDEX(I_COA!$F$6:$F$265,MATCH(Q304,I_COA!$A$6:$A$265,0)),"?"))))</f>
        <v/>
      </c>
    </row>
    <row r="305" customFormat="false" ht="15" hidden="false" customHeight="false" outlineLevel="0" collapsed="false">
      <c r="A305" s="37" t="n">
        <v>46240</v>
      </c>
      <c r="B305" s="44" t="s">
        <v>856</v>
      </c>
      <c r="C305" s="44" t="s">
        <v>617</v>
      </c>
      <c r="D305" s="44" t="n">
        <v>4101012</v>
      </c>
      <c r="E305" s="44" t="s">
        <v>619</v>
      </c>
      <c r="F305" s="44" t="s">
        <v>857</v>
      </c>
      <c r="G305" s="42"/>
      <c r="H305" s="42" t="n">
        <v>176492528</v>
      </c>
      <c r="I305" s="44" t="s">
        <v>606</v>
      </c>
      <c r="J305" s="11" t="n">
        <f aca="false">IF(D305="","",N(G305)-N(H305))</f>
        <v>-176492528</v>
      </c>
      <c r="K305" s="34" t="str">
        <f aca="false">IF(D305="","",IFERROR(INDEX(I_COA!$C$6:$C$265,MATCH(D305,I_COA!$A$6:$A$265,0)),"AKUN BARU"))</f>
        <v>LabaRugi</v>
      </c>
      <c r="L305" s="34" t="str">
        <f aca="false">IF(K305="LabaRugi",INDEX(I_COA!$D$6:$D$265,MATCH(D305,I_COA!$A$6:$A$265,0)),"")</f>
        <v>Revenue - Trading</v>
      </c>
      <c r="M305" s="34" t="str">
        <f aca="false">IF(K305="Neraca",INDEX(I_COA!$E$6:$E$265,MATCH(D305,I_COA!$A$6:$A$265,0)),"")</f>
        <v/>
      </c>
      <c r="N305" s="34" t="str">
        <f aca="false">IF(D305="","",IFERROR(INDEX(I_COA!$G$6:$G$265,MATCH(D305,I_COA!$A$6:$A$265,0)),"N"))</f>
        <v>N</v>
      </c>
      <c r="O305" s="11" t="n">
        <f aca="false">IF(N305="N",ABS(J305),"")</f>
        <v>176492528</v>
      </c>
      <c r="P305" s="18" t="str">
        <f aca="false">IF(N305="N",B305&amp;"|"&amp;ROUND(O305,0),"")</f>
        <v>KGR26/0218|176492528</v>
      </c>
      <c r="Q305" s="18" t="str">
        <f aca="false">IF(N305&lt;&gt;"Y","",IFERROR(INDEX($D$6:$D$4005,MATCH(B305&amp;"|"&amp;ROUND(_xlfn.MAXIFS($O$6:$O$4005,$B$6:$B$4005,B305,$N$6:$N$4005,"N"),0),$P$6:$P$4005,0)),"(tanpa lawan)"))</f>
        <v/>
      </c>
      <c r="R305" s="44"/>
      <c r="S305" s="9" t="str">
        <f aca="false">IF(N305&lt;&gt;"Y","",IF(R305&lt;&gt;"",R305,IF(Q305="(tanpa lawan)","Transfer antar rekening",IFERROR(INDEX(I_COA!$F$6:$F$265,MATCH(Q305,I_COA!$A$6:$A$265,0)),"?"))))</f>
        <v/>
      </c>
    </row>
    <row r="306" customFormat="false" ht="15" hidden="false" customHeight="false" outlineLevel="0" collapsed="false">
      <c r="A306" s="37" t="n">
        <v>46240</v>
      </c>
      <c r="B306" s="44" t="s">
        <v>856</v>
      </c>
      <c r="C306" s="44" t="s">
        <v>617</v>
      </c>
      <c r="D306" s="44" t="n">
        <v>5100011</v>
      </c>
      <c r="E306" s="44" t="s">
        <v>166</v>
      </c>
      <c r="F306" s="44" t="s">
        <v>857</v>
      </c>
      <c r="G306" s="42" t="n">
        <v>156192998.01</v>
      </c>
      <c r="H306" s="42"/>
      <c r="I306" s="44" t="s">
        <v>606</v>
      </c>
      <c r="J306" s="11" t="n">
        <f aca="false">IF(D306="","",N(G306)-N(H306))</f>
        <v>156192998.01</v>
      </c>
      <c r="K306" s="34" t="str">
        <f aca="false">IF(D306="","",IFERROR(INDEX(I_COA!$C$6:$C$265,MATCH(D306,I_COA!$A$6:$A$265,0)),"AKUN BARU"))</f>
        <v>LabaRugi</v>
      </c>
      <c r="L306" s="34" t="str">
        <f aca="false">IF(K306="LabaRugi",INDEX(I_COA!$D$6:$D$265,MATCH(D306,I_COA!$A$6:$A$265,0)),"")</f>
        <v>COGS - Trading</v>
      </c>
      <c r="M306" s="34" t="str">
        <f aca="false">IF(K306="Neraca",INDEX(I_COA!$E$6:$E$265,MATCH(D306,I_COA!$A$6:$A$265,0)),"")</f>
        <v/>
      </c>
      <c r="N306" s="34" t="str">
        <f aca="false">IF(D306="","",IFERROR(INDEX(I_COA!$G$6:$G$265,MATCH(D306,I_COA!$A$6:$A$265,0)),"N"))</f>
        <v>N</v>
      </c>
      <c r="O306" s="11" t="n">
        <f aca="false">IF(N306="N",ABS(J306),"")</f>
        <v>156192998.01</v>
      </c>
      <c r="P306" s="18" t="str">
        <f aca="false">IF(N306="N",B306&amp;"|"&amp;ROUND(O306,0),"")</f>
        <v>KGR26/0218|156192998</v>
      </c>
      <c r="Q306" s="18" t="str">
        <f aca="false">IF(N306&lt;&gt;"Y","",IFERROR(INDEX($D$6:$D$4005,MATCH(B306&amp;"|"&amp;ROUND(_xlfn.MAXIFS($O$6:$O$4005,$B$6:$B$4005,B306,$N$6:$N$4005,"N"),0),$P$6:$P$4005,0)),"(tanpa lawan)"))</f>
        <v/>
      </c>
      <c r="R306" s="44"/>
      <c r="S306" s="9" t="str">
        <f aca="false">IF(N306&lt;&gt;"Y","",IF(R306&lt;&gt;"",R306,IF(Q306="(tanpa lawan)","Transfer antar rekening",IFERROR(INDEX(I_COA!$F$6:$F$265,MATCH(Q306,I_COA!$A$6:$A$265,0)),"?"))))</f>
        <v/>
      </c>
    </row>
    <row r="307" customFormat="false" ht="15" hidden="false" customHeight="false" outlineLevel="0" collapsed="false">
      <c r="A307" s="37" t="n">
        <v>46240</v>
      </c>
      <c r="B307" s="44" t="s">
        <v>856</v>
      </c>
      <c r="C307" s="44" t="s">
        <v>617</v>
      </c>
      <c r="D307" s="44" t="n">
        <v>1104002</v>
      </c>
      <c r="E307" s="44" t="s">
        <v>601</v>
      </c>
      <c r="F307" s="44" t="s">
        <v>857</v>
      </c>
      <c r="G307" s="42"/>
      <c r="H307" s="42" t="n">
        <v>156192998.01</v>
      </c>
      <c r="I307" s="44" t="s">
        <v>606</v>
      </c>
      <c r="J307" s="11" t="n">
        <f aca="false">IF(D307="","",N(G307)-N(H307))</f>
        <v>-156192998.01</v>
      </c>
      <c r="K307" s="34" t="str">
        <f aca="false">IF(D307="","",IFERROR(INDEX(I_COA!$C$6:$C$265,MATCH(D307,I_COA!$A$6:$A$265,0)),"AKUN BARU"))</f>
        <v>Neraca</v>
      </c>
      <c r="L307" s="34" t="str">
        <f aca="false">IF(K307="LabaRugi",INDEX(I_COA!$D$6:$D$265,MATCH(D307,I_COA!$A$6:$A$265,0)),"")</f>
        <v/>
      </c>
      <c r="M307" s="34" t="str">
        <f aca="false">IF(K307="Neraca",INDEX(I_COA!$E$6:$E$265,MATCH(D307,I_COA!$A$6:$A$265,0)),"")</f>
        <v>Inventory - Product</v>
      </c>
      <c r="N307" s="34" t="str">
        <f aca="false">IF(D307="","",IFERROR(INDEX(I_COA!$G$6:$G$265,MATCH(D307,I_COA!$A$6:$A$265,0)),"N"))</f>
        <v>N</v>
      </c>
      <c r="O307" s="11" t="n">
        <f aca="false">IF(N307="N",ABS(J307),"")</f>
        <v>156192998.01</v>
      </c>
      <c r="P307" s="18" t="str">
        <f aca="false">IF(N307="N",B307&amp;"|"&amp;ROUND(O307,0),"")</f>
        <v>KGR26/0218|156192998</v>
      </c>
      <c r="Q307" s="18" t="str">
        <f aca="false">IF(N307&lt;&gt;"Y","",IFERROR(INDEX($D$6:$D$4005,MATCH(B307&amp;"|"&amp;ROUND(_xlfn.MAXIFS($O$6:$O$4005,$B$6:$B$4005,B307,$N$6:$N$4005,"N"),0),$P$6:$P$4005,0)),"(tanpa lawan)"))</f>
        <v/>
      </c>
      <c r="R307" s="44"/>
      <c r="S307" s="9" t="str">
        <f aca="false">IF(N307&lt;&gt;"Y","",IF(R307&lt;&gt;"",R307,IF(Q307="(tanpa lawan)","Transfer antar rekening",IFERROR(INDEX(I_COA!$F$6:$F$265,MATCH(Q307,I_COA!$A$6:$A$265,0)),"?"))))</f>
        <v/>
      </c>
    </row>
    <row r="308" customFormat="false" ht="15" hidden="false" customHeight="false" outlineLevel="0" collapsed="false">
      <c r="A308" s="37" t="n">
        <v>46241</v>
      </c>
      <c r="B308" s="44" t="s">
        <v>858</v>
      </c>
      <c r="C308" s="44" t="s">
        <v>585</v>
      </c>
      <c r="D308" s="44" t="n">
        <v>1102001</v>
      </c>
      <c r="E308" s="44" t="s">
        <v>586</v>
      </c>
      <c r="F308" s="44" t="s">
        <v>859</v>
      </c>
      <c r="G308" s="42" t="n">
        <v>176492528</v>
      </c>
      <c r="H308" s="42"/>
      <c r="I308" s="44" t="s">
        <v>606</v>
      </c>
      <c r="J308" s="11" t="n">
        <f aca="false">IF(D308="","",N(G308)-N(H308))</f>
        <v>176492528</v>
      </c>
      <c r="K308" s="34" t="str">
        <f aca="false">IF(D308="","",IFERROR(INDEX(I_COA!$C$6:$C$265,MATCH(D308,I_COA!$A$6:$A$265,0)),"AKUN BARU"))</f>
        <v>Neraca</v>
      </c>
      <c r="L308" s="34" t="str">
        <f aca="false">IF(K308="LabaRugi",INDEX(I_COA!$D$6:$D$265,MATCH(D308,I_COA!$A$6:$A$265,0)),"")</f>
        <v/>
      </c>
      <c r="M308" s="34" t="str">
        <f aca="false">IF(K308="Neraca",INDEX(I_COA!$E$6:$E$265,MATCH(D308,I_COA!$A$6:$A$265,0)),"")</f>
        <v>Cash and cash equivalents</v>
      </c>
      <c r="N308" s="34" t="str">
        <f aca="false">IF(D308="","",IFERROR(INDEX(I_COA!$G$6:$G$265,MATCH(D308,I_COA!$A$6:$A$265,0)),"N"))</f>
        <v>Y</v>
      </c>
      <c r="O308" s="11" t="str">
        <f aca="false">IF(N308="N",ABS(J308),"")</f>
        <v/>
      </c>
      <c r="P308" s="18" t="str">
        <f aca="false">IF(N308="N",B308&amp;"|"&amp;ROUND(O308,0),"")</f>
        <v/>
      </c>
      <c r="Q308" s="18" t="n">
        <f aca="false">IF(N308&lt;&gt;"Y","",IFERROR(INDEX($D$6:$D$4005,MATCH(B308&amp;"|"&amp;ROUND(_xlfn.MAXIFS($O$6:$O$4005,$B$6:$B$4005,B308,$N$6:$N$4005,"N"),0),$P$6:$P$4005,0)),"(tanpa lawan)"))</f>
        <v>1103101</v>
      </c>
      <c r="R308" s="44"/>
      <c r="S308" s="9" t="str">
        <f aca="false">IF(N308&lt;&gt;"Y","",IF(R308&lt;&gt;"",R308,IF(Q308="(tanpa lawan)","Transfer antar rekening",IFERROR(INDEX(I_COA!$F$6:$F$265,MATCH(Q308,I_COA!$A$6:$A$265,0)),"?"))))</f>
        <v>Penerimaan dari pelanggan</v>
      </c>
    </row>
    <row r="309" customFormat="false" ht="15" hidden="false" customHeight="false" outlineLevel="0" collapsed="false">
      <c r="A309" s="37" t="n">
        <v>46241</v>
      </c>
      <c r="B309" s="44" t="s">
        <v>858</v>
      </c>
      <c r="C309" s="44" t="s">
        <v>585</v>
      </c>
      <c r="D309" s="44" t="n">
        <v>1103101</v>
      </c>
      <c r="E309" s="44" t="s">
        <v>589</v>
      </c>
      <c r="F309" s="44" t="s">
        <v>859</v>
      </c>
      <c r="G309" s="42"/>
      <c r="H309" s="42" t="n">
        <v>176492528</v>
      </c>
      <c r="I309" s="44" t="s">
        <v>606</v>
      </c>
      <c r="J309" s="11" t="n">
        <f aca="false">IF(D309="","",N(G309)-N(H309))</f>
        <v>-176492528</v>
      </c>
      <c r="K309" s="34" t="str">
        <f aca="false">IF(D309="","",IFERROR(INDEX(I_COA!$C$6:$C$265,MATCH(D309,I_COA!$A$6:$A$265,0)),"AKUN BARU"))</f>
        <v>Neraca</v>
      </c>
      <c r="L309" s="34" t="str">
        <f aca="false">IF(K309="LabaRugi",INDEX(I_COA!$D$6:$D$265,MATCH(D309,I_COA!$A$6:$A$265,0)),"")</f>
        <v/>
      </c>
      <c r="M309" s="34" t="str">
        <f aca="false">IF(K309="Neraca",INDEX(I_COA!$E$6:$E$265,MATCH(D309,I_COA!$A$6:$A$265,0)),"")</f>
        <v>Trade Receivables - Third Parties</v>
      </c>
      <c r="N309" s="34" t="str">
        <f aca="false">IF(D309="","",IFERROR(INDEX(I_COA!$G$6:$G$265,MATCH(D309,I_COA!$A$6:$A$265,0)),"N"))</f>
        <v>N</v>
      </c>
      <c r="O309" s="11" t="n">
        <f aca="false">IF(N309="N",ABS(J309),"")</f>
        <v>176492528</v>
      </c>
      <c r="P309" s="18" t="str">
        <f aca="false">IF(N309="N",B309&amp;"|"&amp;ROUND(O309,0),"")</f>
        <v>B7626080025|176492528</v>
      </c>
      <c r="Q309" s="18" t="str">
        <f aca="false">IF(N309&lt;&gt;"Y","",IFERROR(INDEX($D$6:$D$4005,MATCH(B309&amp;"|"&amp;ROUND(_xlfn.MAXIFS($O$6:$O$4005,$B$6:$B$4005,B309,$N$6:$N$4005,"N"),0),$P$6:$P$4005,0)),"(tanpa lawan)"))</f>
        <v/>
      </c>
      <c r="R309" s="44"/>
      <c r="S309" s="9" t="str">
        <f aca="false">IF(N309&lt;&gt;"Y","",IF(R309&lt;&gt;"",R309,IF(Q309="(tanpa lawan)","Transfer antar rekening",IFERROR(INDEX(I_COA!$F$6:$F$265,MATCH(Q309,I_COA!$A$6:$A$265,0)),"?"))))</f>
        <v/>
      </c>
    </row>
    <row r="310" customFormat="false" ht="15" hidden="false" customHeight="false" outlineLevel="0" collapsed="false">
      <c r="A310" s="37" t="n">
        <v>46241</v>
      </c>
      <c r="B310" s="44" t="s">
        <v>860</v>
      </c>
      <c r="C310" s="44" t="s">
        <v>585</v>
      </c>
      <c r="D310" s="44" t="n">
        <v>1102001</v>
      </c>
      <c r="E310" s="44" t="s">
        <v>586</v>
      </c>
      <c r="F310" s="44" t="s">
        <v>861</v>
      </c>
      <c r="G310" s="42" t="n">
        <v>45937400</v>
      </c>
      <c r="H310" s="42"/>
      <c r="I310" s="44" t="s">
        <v>432</v>
      </c>
      <c r="J310" s="11" t="n">
        <f aca="false">IF(D310="","",N(G310)-N(H310))</f>
        <v>45937400</v>
      </c>
      <c r="K310" s="34" t="str">
        <f aca="false">IF(D310="","",IFERROR(INDEX(I_COA!$C$6:$C$265,MATCH(D310,I_COA!$A$6:$A$265,0)),"AKUN BARU"))</f>
        <v>Neraca</v>
      </c>
      <c r="L310" s="34" t="str">
        <f aca="false">IF(K310="LabaRugi",INDEX(I_COA!$D$6:$D$265,MATCH(D310,I_COA!$A$6:$A$265,0)),"")</f>
        <v/>
      </c>
      <c r="M310" s="34" t="str">
        <f aca="false">IF(K310="Neraca",INDEX(I_COA!$E$6:$E$265,MATCH(D310,I_COA!$A$6:$A$265,0)),"")</f>
        <v>Cash and cash equivalents</v>
      </c>
      <c r="N310" s="34" t="str">
        <f aca="false">IF(D310="","",IFERROR(INDEX(I_COA!$G$6:$G$265,MATCH(D310,I_COA!$A$6:$A$265,0)),"N"))</f>
        <v>Y</v>
      </c>
      <c r="O310" s="11" t="str">
        <f aca="false">IF(N310="N",ABS(J310),"")</f>
        <v/>
      </c>
      <c r="P310" s="18" t="str">
        <f aca="false">IF(N310="N",B310&amp;"|"&amp;ROUND(O310,0),"")</f>
        <v/>
      </c>
      <c r="Q310" s="18" t="n">
        <f aca="false">IF(N310&lt;&gt;"Y","",IFERROR(INDEX($D$6:$D$4005,MATCH(B310&amp;"|"&amp;ROUND(_xlfn.MAXIFS($O$6:$O$4005,$B$6:$B$4005,B310,$N$6:$N$4005,"N"),0),$P$6:$P$4005,0)),"(tanpa lawan)"))</f>
        <v>1103101</v>
      </c>
      <c r="R310" s="44"/>
      <c r="S310" s="9" t="str">
        <f aca="false">IF(N310&lt;&gt;"Y","",IF(R310&lt;&gt;"",R310,IF(Q310="(tanpa lawan)","Transfer antar rekening",IFERROR(INDEX(I_COA!$F$6:$F$265,MATCH(Q310,I_COA!$A$6:$A$265,0)),"?"))))</f>
        <v>Penerimaan dari pelanggan</v>
      </c>
    </row>
    <row r="311" customFormat="false" ht="15" hidden="false" customHeight="false" outlineLevel="0" collapsed="false">
      <c r="A311" s="37" t="n">
        <v>46241</v>
      </c>
      <c r="B311" s="44" t="s">
        <v>860</v>
      </c>
      <c r="C311" s="44" t="s">
        <v>585</v>
      </c>
      <c r="D311" s="44" t="n">
        <v>1103101</v>
      </c>
      <c r="E311" s="44" t="s">
        <v>589</v>
      </c>
      <c r="F311" s="44" t="s">
        <v>861</v>
      </c>
      <c r="G311" s="42"/>
      <c r="H311" s="42" t="n">
        <v>45937400</v>
      </c>
      <c r="I311" s="44" t="s">
        <v>432</v>
      </c>
      <c r="J311" s="11" t="n">
        <f aca="false">IF(D311="","",N(G311)-N(H311))</f>
        <v>-45937400</v>
      </c>
      <c r="K311" s="34" t="str">
        <f aca="false">IF(D311="","",IFERROR(INDEX(I_COA!$C$6:$C$265,MATCH(D311,I_COA!$A$6:$A$265,0)),"AKUN BARU"))</f>
        <v>Neraca</v>
      </c>
      <c r="L311" s="34" t="str">
        <f aca="false">IF(K311="LabaRugi",INDEX(I_COA!$D$6:$D$265,MATCH(D311,I_COA!$A$6:$A$265,0)),"")</f>
        <v/>
      </c>
      <c r="M311" s="34" t="str">
        <f aca="false">IF(K311="Neraca",INDEX(I_COA!$E$6:$E$265,MATCH(D311,I_COA!$A$6:$A$265,0)),"")</f>
        <v>Trade Receivables - Third Parties</v>
      </c>
      <c r="N311" s="34" t="str">
        <f aca="false">IF(D311="","",IFERROR(INDEX(I_COA!$G$6:$G$265,MATCH(D311,I_COA!$A$6:$A$265,0)),"N"))</f>
        <v>N</v>
      </c>
      <c r="O311" s="11" t="n">
        <f aca="false">IF(N311="N",ABS(J311),"")</f>
        <v>45937400</v>
      </c>
      <c r="P311" s="18" t="str">
        <f aca="false">IF(N311="N",B311&amp;"|"&amp;ROUND(O311,0),"")</f>
        <v>B7626080026|45937400</v>
      </c>
      <c r="Q311" s="18" t="str">
        <f aca="false">IF(N311&lt;&gt;"Y","",IFERROR(INDEX($D$6:$D$4005,MATCH(B311&amp;"|"&amp;ROUND(_xlfn.MAXIFS($O$6:$O$4005,$B$6:$B$4005,B311,$N$6:$N$4005,"N"),0),$P$6:$P$4005,0)),"(tanpa lawan)"))</f>
        <v/>
      </c>
      <c r="R311" s="44"/>
      <c r="S311" s="9" t="str">
        <f aca="false">IF(N311&lt;&gt;"Y","",IF(R311&lt;&gt;"",R311,IF(Q311="(tanpa lawan)","Transfer antar rekening",IFERROR(INDEX(I_COA!$F$6:$F$265,MATCH(Q311,I_COA!$A$6:$A$265,0)),"?"))))</f>
        <v/>
      </c>
    </row>
    <row r="312" customFormat="false" ht="15" hidden="false" customHeight="false" outlineLevel="0" collapsed="false">
      <c r="A312" s="37" t="n">
        <v>46241</v>
      </c>
      <c r="B312" s="44" t="s">
        <v>862</v>
      </c>
      <c r="C312" s="44" t="s">
        <v>585</v>
      </c>
      <c r="D312" s="44" t="n">
        <v>1102001</v>
      </c>
      <c r="E312" s="44" t="s">
        <v>586</v>
      </c>
      <c r="F312" s="44" t="s">
        <v>863</v>
      </c>
      <c r="G312" s="42" t="n">
        <v>36000000</v>
      </c>
      <c r="H312" s="42"/>
      <c r="I312" s="44" t="s">
        <v>432</v>
      </c>
      <c r="J312" s="11" t="n">
        <f aca="false">IF(D312="","",N(G312)-N(H312))</f>
        <v>36000000</v>
      </c>
      <c r="K312" s="34" t="str">
        <f aca="false">IF(D312="","",IFERROR(INDEX(I_COA!$C$6:$C$265,MATCH(D312,I_COA!$A$6:$A$265,0)),"AKUN BARU"))</f>
        <v>Neraca</v>
      </c>
      <c r="L312" s="34" t="str">
        <f aca="false">IF(K312="LabaRugi",INDEX(I_COA!$D$6:$D$265,MATCH(D312,I_COA!$A$6:$A$265,0)),"")</f>
        <v/>
      </c>
      <c r="M312" s="34" t="str">
        <f aca="false">IF(K312="Neraca",INDEX(I_COA!$E$6:$E$265,MATCH(D312,I_COA!$A$6:$A$265,0)),"")</f>
        <v>Cash and cash equivalents</v>
      </c>
      <c r="N312" s="34" t="str">
        <f aca="false">IF(D312="","",IFERROR(INDEX(I_COA!$G$6:$G$265,MATCH(D312,I_COA!$A$6:$A$265,0)),"N"))</f>
        <v>Y</v>
      </c>
      <c r="O312" s="11" t="str">
        <f aca="false">IF(N312="N",ABS(J312),"")</f>
        <v/>
      </c>
      <c r="P312" s="18" t="str">
        <f aca="false">IF(N312="N",B312&amp;"|"&amp;ROUND(O312,0),"")</f>
        <v/>
      </c>
      <c r="Q312" s="18" t="n">
        <f aca="false">IF(N312&lt;&gt;"Y","",IFERROR(INDEX($D$6:$D$4005,MATCH(B312&amp;"|"&amp;ROUND(_xlfn.MAXIFS($O$6:$O$4005,$B$6:$B$4005,B312,$N$6:$N$4005,"N"),0),$P$6:$P$4005,0)),"(tanpa lawan)"))</f>
        <v>1103101</v>
      </c>
      <c r="R312" s="44"/>
      <c r="S312" s="9" t="str">
        <f aca="false">IF(N312&lt;&gt;"Y","",IF(R312&lt;&gt;"",R312,IF(Q312="(tanpa lawan)","Transfer antar rekening",IFERROR(INDEX(I_COA!$F$6:$F$265,MATCH(Q312,I_COA!$A$6:$A$265,0)),"?"))))</f>
        <v>Penerimaan dari pelanggan</v>
      </c>
    </row>
    <row r="313" customFormat="false" ht="15" hidden="false" customHeight="false" outlineLevel="0" collapsed="false">
      <c r="A313" s="37" t="n">
        <v>46241</v>
      </c>
      <c r="B313" s="44" t="s">
        <v>862</v>
      </c>
      <c r="C313" s="44" t="s">
        <v>585</v>
      </c>
      <c r="D313" s="44" t="n">
        <v>1103101</v>
      </c>
      <c r="E313" s="44" t="s">
        <v>589</v>
      </c>
      <c r="F313" s="44" t="s">
        <v>863</v>
      </c>
      <c r="G313" s="42"/>
      <c r="H313" s="42" t="n">
        <v>36000000</v>
      </c>
      <c r="I313" s="44" t="s">
        <v>432</v>
      </c>
      <c r="J313" s="11" t="n">
        <f aca="false">IF(D313="","",N(G313)-N(H313))</f>
        <v>-36000000</v>
      </c>
      <c r="K313" s="34" t="str">
        <f aca="false">IF(D313="","",IFERROR(INDEX(I_COA!$C$6:$C$265,MATCH(D313,I_COA!$A$6:$A$265,0)),"AKUN BARU"))</f>
        <v>Neraca</v>
      </c>
      <c r="L313" s="34" t="str">
        <f aca="false">IF(K313="LabaRugi",INDEX(I_COA!$D$6:$D$265,MATCH(D313,I_COA!$A$6:$A$265,0)),"")</f>
        <v/>
      </c>
      <c r="M313" s="34" t="str">
        <f aca="false">IF(K313="Neraca",INDEX(I_COA!$E$6:$E$265,MATCH(D313,I_COA!$A$6:$A$265,0)),"")</f>
        <v>Trade Receivables - Third Parties</v>
      </c>
      <c r="N313" s="34" t="str">
        <f aca="false">IF(D313="","",IFERROR(INDEX(I_COA!$G$6:$G$265,MATCH(D313,I_COA!$A$6:$A$265,0)),"N"))</f>
        <v>N</v>
      </c>
      <c r="O313" s="11" t="n">
        <f aca="false">IF(N313="N",ABS(J313),"")</f>
        <v>36000000</v>
      </c>
      <c r="P313" s="18" t="str">
        <f aca="false">IF(N313="N",B313&amp;"|"&amp;ROUND(O313,0),"")</f>
        <v>B7626080027|36000000</v>
      </c>
      <c r="Q313" s="18" t="str">
        <f aca="false">IF(N313&lt;&gt;"Y","",IFERROR(INDEX($D$6:$D$4005,MATCH(B313&amp;"|"&amp;ROUND(_xlfn.MAXIFS($O$6:$O$4005,$B$6:$B$4005,B313,$N$6:$N$4005,"N"),0),$P$6:$P$4005,0)),"(tanpa lawan)"))</f>
        <v/>
      </c>
      <c r="R313" s="44"/>
      <c r="S313" s="9" t="str">
        <f aca="false">IF(N313&lt;&gt;"Y","",IF(R313&lt;&gt;"",R313,IF(Q313="(tanpa lawan)","Transfer antar rekening",IFERROR(INDEX(I_COA!$F$6:$F$265,MATCH(Q313,I_COA!$A$6:$A$265,0)),"?"))))</f>
        <v/>
      </c>
    </row>
    <row r="314" customFormat="false" ht="15" hidden="false" customHeight="false" outlineLevel="0" collapsed="false">
      <c r="A314" s="37" t="n">
        <v>46241</v>
      </c>
      <c r="B314" s="44" t="s">
        <v>864</v>
      </c>
      <c r="C314" s="44" t="s">
        <v>585</v>
      </c>
      <c r="D314" s="44" t="n">
        <v>1102001</v>
      </c>
      <c r="E314" s="44" t="s">
        <v>586</v>
      </c>
      <c r="F314" s="44" t="s">
        <v>863</v>
      </c>
      <c r="G314" s="42" t="n">
        <v>600000</v>
      </c>
      <c r="H314" s="42"/>
      <c r="I314" s="44" t="s">
        <v>432</v>
      </c>
      <c r="J314" s="11" t="n">
        <f aca="false">IF(D314="","",N(G314)-N(H314))</f>
        <v>600000</v>
      </c>
      <c r="K314" s="34" t="str">
        <f aca="false">IF(D314="","",IFERROR(INDEX(I_COA!$C$6:$C$265,MATCH(D314,I_COA!$A$6:$A$265,0)),"AKUN BARU"))</f>
        <v>Neraca</v>
      </c>
      <c r="L314" s="34" t="str">
        <f aca="false">IF(K314="LabaRugi",INDEX(I_COA!$D$6:$D$265,MATCH(D314,I_COA!$A$6:$A$265,0)),"")</f>
        <v/>
      </c>
      <c r="M314" s="34" t="str">
        <f aca="false">IF(K314="Neraca",INDEX(I_COA!$E$6:$E$265,MATCH(D314,I_COA!$A$6:$A$265,0)),"")</f>
        <v>Cash and cash equivalents</v>
      </c>
      <c r="N314" s="34" t="str">
        <f aca="false">IF(D314="","",IFERROR(INDEX(I_COA!$G$6:$G$265,MATCH(D314,I_COA!$A$6:$A$265,0)),"N"))</f>
        <v>Y</v>
      </c>
      <c r="O314" s="11" t="str">
        <f aca="false">IF(N314="N",ABS(J314),"")</f>
        <v/>
      </c>
      <c r="P314" s="18" t="str">
        <f aca="false">IF(N314="N",B314&amp;"|"&amp;ROUND(O314,0),"")</f>
        <v/>
      </c>
      <c r="Q314" s="18" t="n">
        <f aca="false">IF(N314&lt;&gt;"Y","",IFERROR(INDEX($D$6:$D$4005,MATCH(B314&amp;"|"&amp;ROUND(_xlfn.MAXIFS($O$6:$O$4005,$B$6:$B$4005,B314,$N$6:$N$4005,"N"),0),$P$6:$P$4005,0)),"(tanpa lawan)"))</f>
        <v>1103101</v>
      </c>
      <c r="R314" s="44"/>
      <c r="S314" s="9" t="str">
        <f aca="false">IF(N314&lt;&gt;"Y","",IF(R314&lt;&gt;"",R314,IF(Q314="(tanpa lawan)","Transfer antar rekening",IFERROR(INDEX(I_COA!$F$6:$F$265,MATCH(Q314,I_COA!$A$6:$A$265,0)),"?"))))</f>
        <v>Penerimaan dari pelanggan</v>
      </c>
    </row>
    <row r="315" customFormat="false" ht="15" hidden="false" customHeight="false" outlineLevel="0" collapsed="false">
      <c r="A315" s="37" t="n">
        <v>46241</v>
      </c>
      <c r="B315" s="44" t="s">
        <v>864</v>
      </c>
      <c r="C315" s="44" t="s">
        <v>585</v>
      </c>
      <c r="D315" s="44" t="n">
        <v>1103101</v>
      </c>
      <c r="E315" s="44" t="s">
        <v>589</v>
      </c>
      <c r="F315" s="44" t="s">
        <v>863</v>
      </c>
      <c r="G315" s="42"/>
      <c r="H315" s="42" t="n">
        <v>600000</v>
      </c>
      <c r="I315" s="44" t="s">
        <v>432</v>
      </c>
      <c r="J315" s="11" t="n">
        <f aca="false">IF(D315="","",N(G315)-N(H315))</f>
        <v>-600000</v>
      </c>
      <c r="K315" s="34" t="str">
        <f aca="false">IF(D315="","",IFERROR(INDEX(I_COA!$C$6:$C$265,MATCH(D315,I_COA!$A$6:$A$265,0)),"AKUN BARU"))</f>
        <v>Neraca</v>
      </c>
      <c r="L315" s="34" t="str">
        <f aca="false">IF(K315="LabaRugi",INDEX(I_COA!$D$6:$D$265,MATCH(D315,I_COA!$A$6:$A$265,0)),"")</f>
        <v/>
      </c>
      <c r="M315" s="34" t="str">
        <f aca="false">IF(K315="Neraca",INDEX(I_COA!$E$6:$E$265,MATCH(D315,I_COA!$A$6:$A$265,0)),"")</f>
        <v>Trade Receivables - Third Parties</v>
      </c>
      <c r="N315" s="34" t="str">
        <f aca="false">IF(D315="","",IFERROR(INDEX(I_COA!$G$6:$G$265,MATCH(D315,I_COA!$A$6:$A$265,0)),"N"))</f>
        <v>N</v>
      </c>
      <c r="O315" s="11" t="n">
        <f aca="false">IF(N315="N",ABS(J315),"")</f>
        <v>600000</v>
      </c>
      <c r="P315" s="18" t="str">
        <f aca="false">IF(N315="N",B315&amp;"|"&amp;ROUND(O315,0),"")</f>
        <v>B7626080028|600000</v>
      </c>
      <c r="Q315" s="18" t="str">
        <f aca="false">IF(N315&lt;&gt;"Y","",IFERROR(INDEX($D$6:$D$4005,MATCH(B315&amp;"|"&amp;ROUND(_xlfn.MAXIFS($O$6:$O$4005,$B$6:$B$4005,B315,$N$6:$N$4005,"N"),0),$P$6:$P$4005,0)),"(tanpa lawan)"))</f>
        <v/>
      </c>
      <c r="R315" s="44"/>
      <c r="S315" s="9" t="str">
        <f aca="false">IF(N315&lt;&gt;"Y","",IF(R315&lt;&gt;"",R315,IF(Q315="(tanpa lawan)","Transfer antar rekening",IFERROR(INDEX(I_COA!$F$6:$F$265,MATCH(Q315,I_COA!$A$6:$A$265,0)),"?"))))</f>
        <v/>
      </c>
    </row>
    <row r="316" customFormat="false" ht="15" hidden="false" customHeight="false" outlineLevel="0" collapsed="false">
      <c r="A316" s="37" t="n">
        <v>46241</v>
      </c>
      <c r="B316" s="44" t="s">
        <v>865</v>
      </c>
      <c r="C316" s="44" t="s">
        <v>585</v>
      </c>
      <c r="D316" s="44" t="n">
        <v>1102001</v>
      </c>
      <c r="E316" s="44" t="s">
        <v>586</v>
      </c>
      <c r="F316" s="44" t="s">
        <v>866</v>
      </c>
      <c r="G316" s="42" t="n">
        <v>15056850</v>
      </c>
      <c r="H316" s="42"/>
      <c r="I316" s="44" t="s">
        <v>603</v>
      </c>
      <c r="J316" s="11" t="n">
        <f aca="false">IF(D316="","",N(G316)-N(H316))</f>
        <v>15056850</v>
      </c>
      <c r="K316" s="34" t="str">
        <f aca="false">IF(D316="","",IFERROR(INDEX(I_COA!$C$6:$C$265,MATCH(D316,I_COA!$A$6:$A$265,0)),"AKUN BARU"))</f>
        <v>Neraca</v>
      </c>
      <c r="L316" s="34" t="str">
        <f aca="false">IF(K316="LabaRugi",INDEX(I_COA!$D$6:$D$265,MATCH(D316,I_COA!$A$6:$A$265,0)),"")</f>
        <v/>
      </c>
      <c r="M316" s="34" t="str">
        <f aca="false">IF(K316="Neraca",INDEX(I_COA!$E$6:$E$265,MATCH(D316,I_COA!$A$6:$A$265,0)),"")</f>
        <v>Cash and cash equivalents</v>
      </c>
      <c r="N316" s="34" t="str">
        <f aca="false">IF(D316="","",IFERROR(INDEX(I_COA!$G$6:$G$265,MATCH(D316,I_COA!$A$6:$A$265,0)),"N"))</f>
        <v>Y</v>
      </c>
      <c r="O316" s="11" t="str">
        <f aca="false">IF(N316="N",ABS(J316),"")</f>
        <v/>
      </c>
      <c r="P316" s="18" t="str">
        <f aca="false">IF(N316="N",B316&amp;"|"&amp;ROUND(O316,0),"")</f>
        <v/>
      </c>
      <c r="Q316" s="18" t="n">
        <f aca="false">IF(N316&lt;&gt;"Y","",IFERROR(INDEX($D$6:$D$4005,MATCH(B316&amp;"|"&amp;ROUND(_xlfn.MAXIFS($O$6:$O$4005,$B$6:$B$4005,B316,$N$6:$N$4005,"N"),0),$P$6:$P$4005,0)),"(tanpa lawan)"))</f>
        <v>1103101</v>
      </c>
      <c r="R316" s="44"/>
      <c r="S316" s="9" t="str">
        <f aca="false">IF(N316&lt;&gt;"Y","",IF(R316&lt;&gt;"",R316,IF(Q316="(tanpa lawan)","Transfer antar rekening",IFERROR(INDEX(I_COA!$F$6:$F$265,MATCH(Q316,I_COA!$A$6:$A$265,0)),"?"))))</f>
        <v>Penerimaan dari pelanggan</v>
      </c>
    </row>
    <row r="317" customFormat="false" ht="15" hidden="false" customHeight="false" outlineLevel="0" collapsed="false">
      <c r="A317" s="37" t="n">
        <v>46241</v>
      </c>
      <c r="B317" s="44" t="s">
        <v>865</v>
      </c>
      <c r="C317" s="44" t="s">
        <v>585</v>
      </c>
      <c r="D317" s="44" t="n">
        <v>1103101</v>
      </c>
      <c r="E317" s="44" t="s">
        <v>589</v>
      </c>
      <c r="F317" s="44" t="s">
        <v>866</v>
      </c>
      <c r="G317" s="42"/>
      <c r="H317" s="42" t="n">
        <v>15056850</v>
      </c>
      <c r="I317" s="44" t="s">
        <v>603</v>
      </c>
      <c r="J317" s="11" t="n">
        <f aca="false">IF(D317="","",N(G317)-N(H317))</f>
        <v>-15056850</v>
      </c>
      <c r="K317" s="34" t="str">
        <f aca="false">IF(D317="","",IFERROR(INDEX(I_COA!$C$6:$C$265,MATCH(D317,I_COA!$A$6:$A$265,0)),"AKUN BARU"))</f>
        <v>Neraca</v>
      </c>
      <c r="L317" s="34" t="str">
        <f aca="false">IF(K317="LabaRugi",INDEX(I_COA!$D$6:$D$265,MATCH(D317,I_COA!$A$6:$A$265,0)),"")</f>
        <v/>
      </c>
      <c r="M317" s="34" t="str">
        <f aca="false">IF(K317="Neraca",INDEX(I_COA!$E$6:$E$265,MATCH(D317,I_COA!$A$6:$A$265,0)),"")</f>
        <v>Trade Receivables - Third Parties</v>
      </c>
      <c r="N317" s="34" t="str">
        <f aca="false">IF(D317="","",IFERROR(INDEX(I_COA!$G$6:$G$265,MATCH(D317,I_COA!$A$6:$A$265,0)),"N"))</f>
        <v>N</v>
      </c>
      <c r="O317" s="11" t="n">
        <f aca="false">IF(N317="N",ABS(J317),"")</f>
        <v>15056850</v>
      </c>
      <c r="P317" s="18" t="str">
        <f aca="false">IF(N317="N",B317&amp;"|"&amp;ROUND(O317,0),"")</f>
        <v>B7626080029|15056850</v>
      </c>
      <c r="Q317" s="18" t="str">
        <f aca="false">IF(N317&lt;&gt;"Y","",IFERROR(INDEX($D$6:$D$4005,MATCH(B317&amp;"|"&amp;ROUND(_xlfn.MAXIFS($O$6:$O$4005,$B$6:$B$4005,B317,$N$6:$N$4005,"N"),0),$P$6:$P$4005,0)),"(tanpa lawan)"))</f>
        <v/>
      </c>
      <c r="R317" s="44"/>
      <c r="S317" s="9" t="str">
        <f aca="false">IF(N317&lt;&gt;"Y","",IF(R317&lt;&gt;"",R317,IF(Q317="(tanpa lawan)","Transfer antar rekening",IFERROR(INDEX(I_COA!$F$6:$F$265,MATCH(Q317,I_COA!$A$6:$A$265,0)),"?"))))</f>
        <v/>
      </c>
    </row>
    <row r="318" customFormat="false" ht="15" hidden="false" customHeight="false" outlineLevel="0" collapsed="false">
      <c r="A318" s="37" t="n">
        <v>46241</v>
      </c>
      <c r="B318" s="44" t="s">
        <v>867</v>
      </c>
      <c r="C318" s="44" t="s">
        <v>585</v>
      </c>
      <c r="D318" s="44" t="n">
        <v>1102001</v>
      </c>
      <c r="E318" s="44" t="s">
        <v>586</v>
      </c>
      <c r="F318" s="44" t="s">
        <v>868</v>
      </c>
      <c r="G318" s="42" t="n">
        <v>79833980</v>
      </c>
      <c r="H318" s="42"/>
      <c r="I318" s="44" t="s">
        <v>841</v>
      </c>
      <c r="J318" s="11" t="n">
        <f aca="false">IF(D318="","",N(G318)-N(H318))</f>
        <v>79833980</v>
      </c>
      <c r="K318" s="34" t="str">
        <f aca="false">IF(D318="","",IFERROR(INDEX(I_COA!$C$6:$C$265,MATCH(D318,I_COA!$A$6:$A$265,0)),"AKUN BARU"))</f>
        <v>Neraca</v>
      </c>
      <c r="L318" s="34" t="str">
        <f aca="false">IF(K318="LabaRugi",INDEX(I_COA!$D$6:$D$265,MATCH(D318,I_COA!$A$6:$A$265,0)),"")</f>
        <v/>
      </c>
      <c r="M318" s="34" t="str">
        <f aca="false">IF(K318="Neraca",INDEX(I_COA!$E$6:$E$265,MATCH(D318,I_COA!$A$6:$A$265,0)),"")</f>
        <v>Cash and cash equivalents</v>
      </c>
      <c r="N318" s="34" t="str">
        <f aca="false">IF(D318="","",IFERROR(INDEX(I_COA!$G$6:$G$265,MATCH(D318,I_COA!$A$6:$A$265,0)),"N"))</f>
        <v>Y</v>
      </c>
      <c r="O318" s="11" t="str">
        <f aca="false">IF(N318="N",ABS(J318),"")</f>
        <v/>
      </c>
      <c r="P318" s="18" t="str">
        <f aca="false">IF(N318="N",B318&amp;"|"&amp;ROUND(O318,0),"")</f>
        <v/>
      </c>
      <c r="Q318" s="18" t="n">
        <f aca="false">IF(N318&lt;&gt;"Y","",IFERROR(INDEX($D$6:$D$4005,MATCH(B318&amp;"|"&amp;ROUND(_xlfn.MAXIFS($O$6:$O$4005,$B$6:$B$4005,B318,$N$6:$N$4005,"N"),0),$P$6:$P$4005,0)),"(tanpa lawan)"))</f>
        <v>1103101</v>
      </c>
      <c r="R318" s="44"/>
      <c r="S318" s="9" t="str">
        <f aca="false">IF(N318&lt;&gt;"Y","",IF(R318&lt;&gt;"",R318,IF(Q318="(tanpa lawan)","Transfer antar rekening",IFERROR(INDEX(I_COA!$F$6:$F$265,MATCH(Q318,I_COA!$A$6:$A$265,0)),"?"))))</f>
        <v>Penerimaan dari pelanggan</v>
      </c>
    </row>
    <row r="319" customFormat="false" ht="15" hidden="false" customHeight="false" outlineLevel="0" collapsed="false">
      <c r="A319" s="37" t="n">
        <v>46241</v>
      </c>
      <c r="B319" s="44" t="s">
        <v>867</v>
      </c>
      <c r="C319" s="44" t="s">
        <v>585</v>
      </c>
      <c r="D319" s="44" t="n">
        <v>1103101</v>
      </c>
      <c r="E319" s="44" t="s">
        <v>589</v>
      </c>
      <c r="F319" s="44" t="s">
        <v>868</v>
      </c>
      <c r="G319" s="42"/>
      <c r="H319" s="42" t="n">
        <v>79833980</v>
      </c>
      <c r="I319" s="44" t="s">
        <v>841</v>
      </c>
      <c r="J319" s="11" t="n">
        <f aca="false">IF(D319="","",N(G319)-N(H319))</f>
        <v>-79833980</v>
      </c>
      <c r="K319" s="34" t="str">
        <f aca="false">IF(D319="","",IFERROR(INDEX(I_COA!$C$6:$C$265,MATCH(D319,I_COA!$A$6:$A$265,0)),"AKUN BARU"))</f>
        <v>Neraca</v>
      </c>
      <c r="L319" s="34" t="str">
        <f aca="false">IF(K319="LabaRugi",INDEX(I_COA!$D$6:$D$265,MATCH(D319,I_COA!$A$6:$A$265,0)),"")</f>
        <v/>
      </c>
      <c r="M319" s="34" t="str">
        <f aca="false">IF(K319="Neraca",INDEX(I_COA!$E$6:$E$265,MATCH(D319,I_COA!$A$6:$A$265,0)),"")</f>
        <v>Trade Receivables - Third Parties</v>
      </c>
      <c r="N319" s="34" t="str">
        <f aca="false">IF(D319="","",IFERROR(INDEX(I_COA!$G$6:$G$265,MATCH(D319,I_COA!$A$6:$A$265,0)),"N"))</f>
        <v>N</v>
      </c>
      <c r="O319" s="11" t="n">
        <f aca="false">IF(N319="N",ABS(J319),"")</f>
        <v>79833980</v>
      </c>
      <c r="P319" s="18" t="str">
        <f aca="false">IF(N319="N",B319&amp;"|"&amp;ROUND(O319,0),"")</f>
        <v>B7626080030|79833980</v>
      </c>
      <c r="Q319" s="18" t="str">
        <f aca="false">IF(N319&lt;&gt;"Y","",IFERROR(INDEX($D$6:$D$4005,MATCH(B319&amp;"|"&amp;ROUND(_xlfn.MAXIFS($O$6:$O$4005,$B$6:$B$4005,B319,$N$6:$N$4005,"N"),0),$P$6:$P$4005,0)),"(tanpa lawan)"))</f>
        <v/>
      </c>
      <c r="R319" s="44"/>
      <c r="S319" s="9" t="str">
        <f aca="false">IF(N319&lt;&gt;"Y","",IF(R319&lt;&gt;"",R319,IF(Q319="(tanpa lawan)","Transfer antar rekening",IFERROR(INDEX(I_COA!$F$6:$F$265,MATCH(Q319,I_COA!$A$6:$A$265,0)),"?"))))</f>
        <v/>
      </c>
    </row>
    <row r="320" customFormat="false" ht="15" hidden="false" customHeight="false" outlineLevel="0" collapsed="false">
      <c r="A320" s="37" t="n">
        <v>46241</v>
      </c>
      <c r="B320" s="44" t="s">
        <v>869</v>
      </c>
      <c r="C320" s="44" t="s">
        <v>580</v>
      </c>
      <c r="D320" s="44" t="n">
        <v>1102008</v>
      </c>
      <c r="E320" s="44" t="s">
        <v>781</v>
      </c>
      <c r="F320" s="44" t="s">
        <v>870</v>
      </c>
      <c r="G320" s="42" t="n">
        <v>500000000</v>
      </c>
      <c r="H320" s="42"/>
      <c r="I320" s="44"/>
      <c r="J320" s="11" t="n">
        <f aca="false">IF(D320="","",N(G320)-N(H320))</f>
        <v>500000000</v>
      </c>
      <c r="K320" s="34" t="str">
        <f aca="false">IF(D320="","",IFERROR(INDEX(I_COA!$C$6:$C$265,MATCH(D320,I_COA!$A$6:$A$265,0)),"AKUN BARU"))</f>
        <v>Neraca</v>
      </c>
      <c r="L320" s="34" t="str">
        <f aca="false">IF(K320="LabaRugi",INDEX(I_COA!$D$6:$D$265,MATCH(D320,I_COA!$A$6:$A$265,0)),"")</f>
        <v/>
      </c>
      <c r="M320" s="34" t="str">
        <f aca="false">IF(K320="Neraca",INDEX(I_COA!$E$6:$E$265,MATCH(D320,I_COA!$A$6:$A$265,0)),"")</f>
        <v>Advance Payment</v>
      </c>
      <c r="N320" s="34" t="str">
        <f aca="false">IF(D320="","",IFERROR(INDEX(I_COA!$G$6:$G$265,MATCH(D320,I_COA!$A$6:$A$265,0)),"N"))</f>
        <v>N</v>
      </c>
      <c r="O320" s="11" t="n">
        <f aca="false">IF(N320="N",ABS(J320),"")</f>
        <v>500000000</v>
      </c>
      <c r="P320" s="18" t="str">
        <f aca="false">IF(N320="N",B320&amp;"|"&amp;ROUND(O320,0),"")</f>
        <v>B7726080003|500000000</v>
      </c>
      <c r="Q320" s="18" t="str">
        <f aca="false">IF(N320&lt;&gt;"Y","",IFERROR(INDEX($D$6:$D$4005,MATCH(B320&amp;"|"&amp;ROUND(_xlfn.MAXIFS($O$6:$O$4005,$B$6:$B$4005,B320,$N$6:$N$4005,"N"),0),$P$6:$P$4005,0)),"(tanpa lawan)"))</f>
        <v/>
      </c>
      <c r="R320" s="44"/>
      <c r="S320" s="9" t="str">
        <f aca="false">IF(N320&lt;&gt;"Y","",IF(R320&lt;&gt;"",R320,IF(Q320="(tanpa lawan)","Transfer antar rekening",IFERROR(INDEX(I_COA!$F$6:$F$265,MATCH(Q320,I_COA!$A$6:$A$265,0)),"?"))))</f>
        <v/>
      </c>
    </row>
    <row r="321" customFormat="false" ht="15" hidden="false" customHeight="false" outlineLevel="0" collapsed="false">
      <c r="A321" s="37" t="n">
        <v>46241</v>
      </c>
      <c r="B321" s="44" t="s">
        <v>869</v>
      </c>
      <c r="C321" s="44" t="s">
        <v>580</v>
      </c>
      <c r="D321" s="44" t="n">
        <v>1102001</v>
      </c>
      <c r="E321" s="44" t="s">
        <v>586</v>
      </c>
      <c r="F321" s="44" t="s">
        <v>782</v>
      </c>
      <c r="G321" s="42"/>
      <c r="H321" s="42" t="n">
        <v>500000000</v>
      </c>
      <c r="I321" s="44"/>
      <c r="J321" s="11" t="n">
        <f aca="false">IF(D321="","",N(G321)-N(H321))</f>
        <v>-500000000</v>
      </c>
      <c r="K321" s="34" t="str">
        <f aca="false">IF(D321="","",IFERROR(INDEX(I_COA!$C$6:$C$265,MATCH(D321,I_COA!$A$6:$A$265,0)),"AKUN BARU"))</f>
        <v>Neraca</v>
      </c>
      <c r="L321" s="34" t="str">
        <f aca="false">IF(K321="LabaRugi",INDEX(I_COA!$D$6:$D$265,MATCH(D321,I_COA!$A$6:$A$265,0)),"")</f>
        <v/>
      </c>
      <c r="M321" s="34" t="str">
        <f aca="false">IF(K321="Neraca",INDEX(I_COA!$E$6:$E$265,MATCH(D321,I_COA!$A$6:$A$265,0)),"")</f>
        <v>Cash and cash equivalents</v>
      </c>
      <c r="N321" s="34" t="str">
        <f aca="false">IF(D321="","",IFERROR(INDEX(I_COA!$G$6:$G$265,MATCH(D321,I_COA!$A$6:$A$265,0)),"N"))</f>
        <v>Y</v>
      </c>
      <c r="O321" s="11" t="str">
        <f aca="false">IF(N321="N",ABS(J321),"")</f>
        <v/>
      </c>
      <c r="P321" s="18" t="str">
        <f aca="false">IF(N321="N",B321&amp;"|"&amp;ROUND(O321,0),"")</f>
        <v/>
      </c>
      <c r="Q321" s="18" t="n">
        <f aca="false">IF(N321&lt;&gt;"Y","",IFERROR(INDEX($D$6:$D$4005,MATCH(B321&amp;"|"&amp;ROUND(_xlfn.MAXIFS($O$6:$O$4005,$B$6:$B$4005,B321,$N$6:$N$4005,"N"),0),$P$6:$P$4005,0)),"(tanpa lawan)"))</f>
        <v>1102008</v>
      </c>
      <c r="R321" s="44"/>
      <c r="S321" s="9" t="str">
        <f aca="false">IF(N321&lt;&gt;"Y","",IF(R321&lt;&gt;"",R321,IF(Q321="(tanpa lawan)","Transfer antar rekening",IFERROR(INDEX(I_COA!$F$6:$F$265,MATCH(Q321,I_COA!$A$6:$A$265,0)),"?"))))</f>
        <v>Transfer antar rekening</v>
      </c>
    </row>
    <row r="322" customFormat="false" ht="15" hidden="false" customHeight="false" outlineLevel="0" collapsed="false">
      <c r="A322" s="37" t="n">
        <v>46241</v>
      </c>
      <c r="B322" s="44" t="s">
        <v>871</v>
      </c>
      <c r="C322" s="44" t="s">
        <v>580</v>
      </c>
      <c r="D322" s="44" t="n">
        <v>1102002</v>
      </c>
      <c r="E322" s="44" t="s">
        <v>598</v>
      </c>
      <c r="F322" s="44" t="s">
        <v>784</v>
      </c>
      <c r="G322" s="42" t="n">
        <v>500000000</v>
      </c>
      <c r="H322" s="42"/>
      <c r="I322" s="44"/>
      <c r="J322" s="11" t="n">
        <f aca="false">IF(D322="","",N(G322)-N(H322))</f>
        <v>500000000</v>
      </c>
      <c r="K322" s="34" t="str">
        <f aca="false">IF(D322="","",IFERROR(INDEX(I_COA!$C$6:$C$265,MATCH(D322,I_COA!$A$6:$A$265,0)),"AKUN BARU"))</f>
        <v>Neraca</v>
      </c>
      <c r="L322" s="34" t="str">
        <f aca="false">IF(K322="LabaRugi",INDEX(I_COA!$D$6:$D$265,MATCH(D322,I_COA!$A$6:$A$265,0)),"")</f>
        <v/>
      </c>
      <c r="M322" s="34" t="str">
        <f aca="false">IF(K322="Neraca",INDEX(I_COA!$E$6:$E$265,MATCH(D322,I_COA!$A$6:$A$265,0)),"")</f>
        <v>Cash and cash equivalents</v>
      </c>
      <c r="N322" s="34" t="str">
        <f aca="false">IF(D322="","",IFERROR(INDEX(I_COA!$G$6:$G$265,MATCH(D322,I_COA!$A$6:$A$265,0)),"N"))</f>
        <v>Y</v>
      </c>
      <c r="O322" s="11" t="str">
        <f aca="false">IF(N322="N",ABS(J322),"")</f>
        <v/>
      </c>
      <c r="P322" s="18" t="str">
        <f aca="false">IF(N322="N",B322&amp;"|"&amp;ROUND(O322,0),"")</f>
        <v/>
      </c>
      <c r="Q322" s="18" t="n">
        <f aca="false">IF(N322&lt;&gt;"Y","",IFERROR(INDEX($D$6:$D$4005,MATCH(B322&amp;"|"&amp;ROUND(_xlfn.MAXIFS($O$6:$O$4005,$B$6:$B$4005,B322,$N$6:$N$4005,"N"),0),$P$6:$P$4005,0)),"(tanpa lawan)"))</f>
        <v>1102008</v>
      </c>
      <c r="R322" s="44"/>
      <c r="S322" s="9" t="str">
        <f aca="false">IF(N322&lt;&gt;"Y","",IF(R322&lt;&gt;"",R322,IF(Q322="(tanpa lawan)","Transfer antar rekening",IFERROR(INDEX(I_COA!$F$6:$F$265,MATCH(Q322,I_COA!$A$6:$A$265,0)),"?"))))</f>
        <v>Transfer antar rekening</v>
      </c>
    </row>
    <row r="323" customFormat="false" ht="15" hidden="false" customHeight="false" outlineLevel="0" collapsed="false">
      <c r="A323" s="37" t="n">
        <v>46241</v>
      </c>
      <c r="B323" s="44" t="s">
        <v>871</v>
      </c>
      <c r="C323" s="44" t="s">
        <v>580</v>
      </c>
      <c r="D323" s="44" t="n">
        <v>1102008</v>
      </c>
      <c r="E323" s="44" t="s">
        <v>781</v>
      </c>
      <c r="F323" s="44" t="s">
        <v>784</v>
      </c>
      <c r="G323" s="42"/>
      <c r="H323" s="42" t="n">
        <v>500000000</v>
      </c>
      <c r="I323" s="44"/>
      <c r="J323" s="11" t="n">
        <f aca="false">IF(D323="","",N(G323)-N(H323))</f>
        <v>-500000000</v>
      </c>
      <c r="K323" s="34" t="str">
        <f aca="false">IF(D323="","",IFERROR(INDEX(I_COA!$C$6:$C$265,MATCH(D323,I_COA!$A$6:$A$265,0)),"AKUN BARU"))</f>
        <v>Neraca</v>
      </c>
      <c r="L323" s="34" t="str">
        <f aca="false">IF(K323="LabaRugi",INDEX(I_COA!$D$6:$D$265,MATCH(D323,I_COA!$A$6:$A$265,0)),"")</f>
        <v/>
      </c>
      <c r="M323" s="34" t="str">
        <f aca="false">IF(K323="Neraca",INDEX(I_COA!$E$6:$E$265,MATCH(D323,I_COA!$A$6:$A$265,0)),"")</f>
        <v>Advance Payment</v>
      </c>
      <c r="N323" s="34" t="str">
        <f aca="false">IF(D323="","",IFERROR(INDEX(I_COA!$G$6:$G$265,MATCH(D323,I_COA!$A$6:$A$265,0)),"N"))</f>
        <v>N</v>
      </c>
      <c r="O323" s="11" t="n">
        <f aca="false">IF(N323="N",ABS(J323),"")</f>
        <v>500000000</v>
      </c>
      <c r="P323" s="18" t="str">
        <f aca="false">IF(N323="N",B323&amp;"|"&amp;ROUND(O323,0),"")</f>
        <v>B8426080004|500000000</v>
      </c>
      <c r="Q323" s="18" t="str">
        <f aca="false">IF(N323&lt;&gt;"Y","",IFERROR(INDEX($D$6:$D$4005,MATCH(B323&amp;"|"&amp;ROUND(_xlfn.MAXIFS($O$6:$O$4005,$B$6:$B$4005,B323,$N$6:$N$4005,"N"),0),$P$6:$P$4005,0)),"(tanpa lawan)"))</f>
        <v/>
      </c>
      <c r="R323" s="44"/>
      <c r="S323" s="9" t="str">
        <f aca="false">IF(N323&lt;&gt;"Y","",IF(R323&lt;&gt;"",R323,IF(Q323="(tanpa lawan)","Transfer antar rekening",IFERROR(INDEX(I_COA!$F$6:$F$265,MATCH(Q323,I_COA!$A$6:$A$265,0)),"?"))))</f>
        <v/>
      </c>
    </row>
    <row r="324" customFormat="false" ht="15" hidden="false" customHeight="false" outlineLevel="0" collapsed="false">
      <c r="A324" s="37" t="n">
        <v>46241</v>
      </c>
      <c r="B324" s="44" t="s">
        <v>872</v>
      </c>
      <c r="C324" s="44" t="s">
        <v>580</v>
      </c>
      <c r="D324" s="44" t="n">
        <v>1103120</v>
      </c>
      <c r="E324" s="44" t="s">
        <v>640</v>
      </c>
      <c r="F324" s="44" t="s">
        <v>873</v>
      </c>
      <c r="G324" s="42" t="n">
        <v>3104200</v>
      </c>
      <c r="H324" s="42"/>
      <c r="I324" s="44" t="s">
        <v>660</v>
      </c>
      <c r="J324" s="11" t="n">
        <f aca="false">IF(D324="","",N(G324)-N(H324))</f>
        <v>3104200</v>
      </c>
      <c r="K324" s="34" t="str">
        <f aca="false">IF(D324="","",IFERROR(INDEX(I_COA!$C$6:$C$265,MATCH(D324,I_COA!$A$6:$A$265,0)),"AKUN BARU"))</f>
        <v>Neraca</v>
      </c>
      <c r="L324" s="34" t="str">
        <f aca="false">IF(K324="LabaRugi",INDEX(I_COA!$D$6:$D$265,MATCH(D324,I_COA!$A$6:$A$265,0)),"")</f>
        <v/>
      </c>
      <c r="M324" s="34" t="str">
        <f aca="false">IF(K324="Neraca",INDEX(I_COA!$E$6:$E$265,MATCH(D324,I_COA!$A$6:$A$265,0)),"")</f>
        <v>Advance Payment</v>
      </c>
      <c r="N324" s="34" t="str">
        <f aca="false">IF(D324="","",IFERROR(INDEX(I_COA!$G$6:$G$265,MATCH(D324,I_COA!$A$6:$A$265,0)),"N"))</f>
        <v>N</v>
      </c>
      <c r="O324" s="11" t="n">
        <f aca="false">IF(N324="N",ABS(J324),"")</f>
        <v>3104200</v>
      </c>
      <c r="P324" s="18" t="str">
        <f aca="false">IF(N324="N",B324&amp;"|"&amp;ROUND(O324,0),"")</f>
        <v>B8526080014|3104200</v>
      </c>
      <c r="Q324" s="18" t="str">
        <f aca="false">IF(N324&lt;&gt;"Y","",IFERROR(INDEX($D$6:$D$4005,MATCH(B324&amp;"|"&amp;ROUND(_xlfn.MAXIFS($O$6:$O$4005,$B$6:$B$4005,B324,$N$6:$N$4005,"N"),0),$P$6:$P$4005,0)),"(tanpa lawan)"))</f>
        <v/>
      </c>
      <c r="R324" s="44"/>
      <c r="S324" s="9" t="str">
        <f aca="false">IF(N324&lt;&gt;"Y","",IF(R324&lt;&gt;"",R324,IF(Q324="(tanpa lawan)","Transfer antar rekening",IFERROR(INDEX(I_COA!$F$6:$F$265,MATCH(Q324,I_COA!$A$6:$A$265,0)),"?"))))</f>
        <v/>
      </c>
    </row>
    <row r="325" customFormat="false" ht="15" hidden="false" customHeight="false" outlineLevel="0" collapsed="false">
      <c r="A325" s="37" t="n">
        <v>46241</v>
      </c>
      <c r="B325" s="44" t="s">
        <v>872</v>
      </c>
      <c r="C325" s="44" t="s">
        <v>580</v>
      </c>
      <c r="D325" s="44" t="n">
        <v>1102002</v>
      </c>
      <c r="E325" s="44" t="s">
        <v>598</v>
      </c>
      <c r="F325" s="44" t="s">
        <v>873</v>
      </c>
      <c r="G325" s="42"/>
      <c r="H325" s="42" t="n">
        <v>3104200</v>
      </c>
      <c r="I325" s="44"/>
      <c r="J325" s="11" t="n">
        <f aca="false">IF(D325="","",N(G325)-N(H325))</f>
        <v>-3104200</v>
      </c>
      <c r="K325" s="34" t="str">
        <f aca="false">IF(D325="","",IFERROR(INDEX(I_COA!$C$6:$C$265,MATCH(D325,I_COA!$A$6:$A$265,0)),"AKUN BARU"))</f>
        <v>Neraca</v>
      </c>
      <c r="L325" s="34" t="str">
        <f aca="false">IF(K325="LabaRugi",INDEX(I_COA!$D$6:$D$265,MATCH(D325,I_COA!$A$6:$A$265,0)),"")</f>
        <v/>
      </c>
      <c r="M325" s="34" t="str">
        <f aca="false">IF(K325="Neraca",INDEX(I_COA!$E$6:$E$265,MATCH(D325,I_COA!$A$6:$A$265,0)),"")</f>
        <v>Cash and cash equivalents</v>
      </c>
      <c r="N325" s="34" t="str">
        <f aca="false">IF(D325="","",IFERROR(INDEX(I_COA!$G$6:$G$265,MATCH(D325,I_COA!$A$6:$A$265,0)),"N"))</f>
        <v>Y</v>
      </c>
      <c r="O325" s="11" t="str">
        <f aca="false">IF(N325="N",ABS(J325),"")</f>
        <v/>
      </c>
      <c r="P325" s="18" t="str">
        <f aca="false">IF(N325="N",B325&amp;"|"&amp;ROUND(O325,0),"")</f>
        <v/>
      </c>
      <c r="Q325" s="18" t="n">
        <f aca="false">IF(N325&lt;&gt;"Y","",IFERROR(INDEX($D$6:$D$4005,MATCH(B325&amp;"|"&amp;ROUND(_xlfn.MAXIFS($O$6:$O$4005,$B$6:$B$4005,B325,$N$6:$N$4005,"N"),0),$P$6:$P$4005,0)),"(tanpa lawan)"))</f>
        <v>1103120</v>
      </c>
      <c r="R325" s="44"/>
      <c r="S325" s="9" t="str">
        <f aca="false">IF(N325&lt;&gt;"Y","",IF(R325&lt;&gt;"",R325,IF(Q325="(tanpa lawan)","Transfer antar rekening",IFERROR(INDEX(I_COA!$F$6:$F$265,MATCH(Q325,I_COA!$A$6:$A$265,0)),"?"))))</f>
        <v>Bayar biaya operasional lain</v>
      </c>
    </row>
    <row r="326" customFormat="false" ht="15" hidden="false" customHeight="false" outlineLevel="0" collapsed="false">
      <c r="A326" s="37" t="n">
        <v>46241</v>
      </c>
      <c r="B326" s="44" t="s">
        <v>874</v>
      </c>
      <c r="C326" s="44" t="s">
        <v>594</v>
      </c>
      <c r="D326" s="44" t="n">
        <v>2101003</v>
      </c>
      <c r="E326" s="44" t="s">
        <v>679</v>
      </c>
      <c r="F326" s="44" t="s">
        <v>875</v>
      </c>
      <c r="G326" s="42" t="n">
        <v>3521251.5</v>
      </c>
      <c r="H326" s="42"/>
      <c r="I326" s="44" t="s">
        <v>429</v>
      </c>
      <c r="J326" s="11" t="n">
        <f aca="false">IF(D326="","",N(G326)-N(H326))</f>
        <v>3521251.5</v>
      </c>
      <c r="K326" s="34" t="str">
        <f aca="false">IF(D326="","",IFERROR(INDEX(I_COA!$C$6:$C$265,MATCH(D326,I_COA!$A$6:$A$265,0)),"AKUN BARU"))</f>
        <v>Neraca</v>
      </c>
      <c r="L326" s="34" t="str">
        <f aca="false">IF(K326="LabaRugi",INDEX(I_COA!$D$6:$D$265,MATCH(D326,I_COA!$A$6:$A$265,0)),"")</f>
        <v/>
      </c>
      <c r="M326" s="34" t="str">
        <f aca="false">IF(K326="Neraca",INDEX(I_COA!$E$6:$E$265,MATCH(D326,I_COA!$A$6:$A$265,0)),"")</f>
        <v>Other Payable - Third Parties</v>
      </c>
      <c r="N326" s="34" t="str">
        <f aca="false">IF(D326="","",IFERROR(INDEX(I_COA!$G$6:$G$265,MATCH(D326,I_COA!$A$6:$A$265,0)),"N"))</f>
        <v>N</v>
      </c>
      <c r="O326" s="11" t="n">
        <f aca="false">IF(N326="N",ABS(J326),"")</f>
        <v>3521251.5</v>
      </c>
      <c r="P326" s="18" t="str">
        <f aca="false">IF(N326="N",B326&amp;"|"&amp;ROUND(O326,0),"")</f>
        <v>B8526080015|3521252</v>
      </c>
      <c r="Q326" s="18" t="str">
        <f aca="false">IF(N326&lt;&gt;"Y","",IFERROR(INDEX($D$6:$D$4005,MATCH(B326&amp;"|"&amp;ROUND(_xlfn.MAXIFS($O$6:$O$4005,$B$6:$B$4005,B326,$N$6:$N$4005,"N"),0),$P$6:$P$4005,0)),"(tanpa lawan)"))</f>
        <v/>
      </c>
      <c r="R326" s="44"/>
      <c r="S326" s="9" t="str">
        <f aca="false">IF(N326&lt;&gt;"Y","",IF(R326&lt;&gt;"",R326,IF(Q326="(tanpa lawan)","Transfer antar rekening",IFERROR(INDEX(I_COA!$F$6:$F$265,MATCH(Q326,I_COA!$A$6:$A$265,0)),"?"))))</f>
        <v/>
      </c>
    </row>
    <row r="327" customFormat="false" ht="15" hidden="false" customHeight="false" outlineLevel="0" collapsed="false">
      <c r="A327" s="37" t="n">
        <v>46241</v>
      </c>
      <c r="B327" s="44" t="s">
        <v>874</v>
      </c>
      <c r="C327" s="44" t="s">
        <v>594</v>
      </c>
      <c r="D327" s="44" t="n">
        <v>7100009</v>
      </c>
      <c r="E327" s="44" t="s">
        <v>189</v>
      </c>
      <c r="F327" s="44" t="s">
        <v>875</v>
      </c>
      <c r="G327" s="42"/>
      <c r="H327" s="42" t="n">
        <v>251.5</v>
      </c>
      <c r="I327" s="44" t="s">
        <v>429</v>
      </c>
      <c r="J327" s="11" t="n">
        <f aca="false">IF(D327="","",N(G327)-N(H327))</f>
        <v>-251.5</v>
      </c>
      <c r="K327" s="34" t="str">
        <f aca="false">IF(D327="","",IFERROR(INDEX(I_COA!$C$6:$C$265,MATCH(D327,I_COA!$A$6:$A$265,0)),"AKUN BARU"))</f>
        <v>LabaRugi</v>
      </c>
      <c r="L327" s="34" t="str">
        <f aca="false">IF(K327="LabaRugi",INDEX(I_COA!$D$6:$D$265,MATCH(D327,I_COA!$A$6:$A$265,0)),"")</f>
        <v>Other Income</v>
      </c>
      <c r="M327" s="34" t="str">
        <f aca="false">IF(K327="Neraca",INDEX(I_COA!$E$6:$E$265,MATCH(D327,I_COA!$A$6:$A$265,0)),"")</f>
        <v/>
      </c>
      <c r="N327" s="34" t="str">
        <f aca="false">IF(D327="","",IFERROR(INDEX(I_COA!$G$6:$G$265,MATCH(D327,I_COA!$A$6:$A$265,0)),"N"))</f>
        <v>N</v>
      </c>
      <c r="O327" s="11" t="n">
        <f aca="false">IF(N327="N",ABS(J327),"")</f>
        <v>251.5</v>
      </c>
      <c r="P327" s="18" t="str">
        <f aca="false">IF(N327="N",B327&amp;"|"&amp;ROUND(O327,0),"")</f>
        <v>B8526080015|252</v>
      </c>
      <c r="Q327" s="18" t="str">
        <f aca="false">IF(N327&lt;&gt;"Y","",IFERROR(INDEX($D$6:$D$4005,MATCH(B327&amp;"|"&amp;ROUND(_xlfn.MAXIFS($O$6:$O$4005,$B$6:$B$4005,B327,$N$6:$N$4005,"N"),0),$P$6:$P$4005,0)),"(tanpa lawan)"))</f>
        <v/>
      </c>
      <c r="R327" s="44"/>
      <c r="S327" s="9" t="str">
        <f aca="false">IF(N327&lt;&gt;"Y","",IF(R327&lt;&gt;"",R327,IF(Q327="(tanpa lawan)","Transfer antar rekening",IFERROR(INDEX(I_COA!$F$6:$F$265,MATCH(Q327,I_COA!$A$6:$A$265,0)),"?"))))</f>
        <v/>
      </c>
    </row>
    <row r="328" customFormat="false" ht="15" hidden="false" customHeight="false" outlineLevel="0" collapsed="false">
      <c r="A328" s="37" t="n">
        <v>46241</v>
      </c>
      <c r="B328" s="44" t="s">
        <v>874</v>
      </c>
      <c r="C328" s="44" t="s">
        <v>594</v>
      </c>
      <c r="D328" s="44" t="n">
        <v>1102002</v>
      </c>
      <c r="E328" s="44" t="s">
        <v>598</v>
      </c>
      <c r="F328" s="44" t="s">
        <v>875</v>
      </c>
      <c r="G328" s="42"/>
      <c r="H328" s="42" t="n">
        <v>3521000</v>
      </c>
      <c r="I328" s="44" t="s">
        <v>429</v>
      </c>
      <c r="J328" s="11" t="n">
        <f aca="false">IF(D328="","",N(G328)-N(H328))</f>
        <v>-3521000</v>
      </c>
      <c r="K328" s="34" t="str">
        <f aca="false">IF(D328="","",IFERROR(INDEX(I_COA!$C$6:$C$265,MATCH(D328,I_COA!$A$6:$A$265,0)),"AKUN BARU"))</f>
        <v>Neraca</v>
      </c>
      <c r="L328" s="34" t="str">
        <f aca="false">IF(K328="LabaRugi",INDEX(I_COA!$D$6:$D$265,MATCH(D328,I_COA!$A$6:$A$265,0)),"")</f>
        <v/>
      </c>
      <c r="M328" s="34" t="str">
        <f aca="false">IF(K328="Neraca",INDEX(I_COA!$E$6:$E$265,MATCH(D328,I_COA!$A$6:$A$265,0)),"")</f>
        <v>Cash and cash equivalents</v>
      </c>
      <c r="N328" s="34" t="str">
        <f aca="false">IF(D328="","",IFERROR(INDEX(I_COA!$G$6:$G$265,MATCH(D328,I_COA!$A$6:$A$265,0)),"N"))</f>
        <v>Y</v>
      </c>
      <c r="O328" s="11" t="str">
        <f aca="false">IF(N328="N",ABS(J328),"")</f>
        <v/>
      </c>
      <c r="P328" s="18" t="str">
        <f aca="false">IF(N328="N",B328&amp;"|"&amp;ROUND(O328,0),"")</f>
        <v/>
      </c>
      <c r="Q328" s="18" t="n">
        <f aca="false">IF(N328&lt;&gt;"Y","",IFERROR(INDEX($D$6:$D$4005,MATCH(B328&amp;"|"&amp;ROUND(_xlfn.MAXIFS($O$6:$O$4005,$B$6:$B$4005,B328,$N$6:$N$4005,"N"),0),$P$6:$P$4005,0)),"(tanpa lawan)"))</f>
        <v>2101003</v>
      </c>
      <c r="R328" s="44"/>
      <c r="S328" s="9" t="str">
        <f aca="false">IF(N328&lt;&gt;"Y","",IF(R328&lt;&gt;"",R328,IF(Q328="(tanpa lawan)","Transfer antar rekening",IFERROR(INDEX(I_COA!$F$6:$F$265,MATCH(Q328,I_COA!$A$6:$A$265,0)),"?"))))</f>
        <v>Bayar jasa (maklon, angkut, cold storage, sewa)</v>
      </c>
    </row>
    <row r="329" customFormat="false" ht="15" hidden="false" customHeight="false" outlineLevel="0" collapsed="false">
      <c r="A329" s="37" t="n">
        <v>46241</v>
      </c>
      <c r="B329" s="44" t="s">
        <v>876</v>
      </c>
      <c r="C329" s="44" t="s">
        <v>594</v>
      </c>
      <c r="D329" s="44" t="n">
        <v>2101003</v>
      </c>
      <c r="E329" s="44" t="s">
        <v>679</v>
      </c>
      <c r="F329" s="44" t="s">
        <v>877</v>
      </c>
      <c r="G329" s="42" t="n">
        <v>3364466</v>
      </c>
      <c r="H329" s="42"/>
      <c r="I329" s="44" t="s">
        <v>440</v>
      </c>
      <c r="J329" s="11" t="n">
        <f aca="false">IF(D329="","",N(G329)-N(H329))</f>
        <v>3364466</v>
      </c>
      <c r="K329" s="34" t="str">
        <f aca="false">IF(D329="","",IFERROR(INDEX(I_COA!$C$6:$C$265,MATCH(D329,I_COA!$A$6:$A$265,0)),"AKUN BARU"))</f>
        <v>Neraca</v>
      </c>
      <c r="L329" s="34" t="str">
        <f aca="false">IF(K329="LabaRugi",INDEX(I_COA!$D$6:$D$265,MATCH(D329,I_COA!$A$6:$A$265,0)),"")</f>
        <v/>
      </c>
      <c r="M329" s="34" t="str">
        <f aca="false">IF(K329="Neraca",INDEX(I_COA!$E$6:$E$265,MATCH(D329,I_COA!$A$6:$A$265,0)),"")</f>
        <v>Other Payable - Third Parties</v>
      </c>
      <c r="N329" s="34" t="str">
        <f aca="false">IF(D329="","",IFERROR(INDEX(I_COA!$G$6:$G$265,MATCH(D329,I_COA!$A$6:$A$265,0)),"N"))</f>
        <v>N</v>
      </c>
      <c r="O329" s="11" t="n">
        <f aca="false">IF(N329="N",ABS(J329),"")</f>
        <v>3364466</v>
      </c>
      <c r="P329" s="18" t="str">
        <f aca="false">IF(N329="N",B329&amp;"|"&amp;ROUND(O329,0),"")</f>
        <v>B8526080016|3364466</v>
      </c>
      <c r="Q329" s="18" t="str">
        <f aca="false">IF(N329&lt;&gt;"Y","",IFERROR(INDEX($D$6:$D$4005,MATCH(B329&amp;"|"&amp;ROUND(_xlfn.MAXIFS($O$6:$O$4005,$B$6:$B$4005,B329,$N$6:$N$4005,"N"),0),$P$6:$P$4005,0)),"(tanpa lawan)"))</f>
        <v/>
      </c>
      <c r="R329" s="44"/>
      <c r="S329" s="9" t="str">
        <f aca="false">IF(N329&lt;&gt;"Y","",IF(R329&lt;&gt;"",R329,IF(Q329="(tanpa lawan)","Transfer antar rekening",IFERROR(INDEX(I_COA!$F$6:$F$265,MATCH(Q329,I_COA!$A$6:$A$265,0)),"?"))))</f>
        <v/>
      </c>
    </row>
    <row r="330" customFormat="false" ht="15" hidden="false" customHeight="false" outlineLevel="0" collapsed="false">
      <c r="A330" s="37" t="n">
        <v>46241</v>
      </c>
      <c r="B330" s="44" t="s">
        <v>876</v>
      </c>
      <c r="C330" s="44" t="s">
        <v>594</v>
      </c>
      <c r="D330" s="44" t="n">
        <v>1102002</v>
      </c>
      <c r="E330" s="44" t="s">
        <v>598</v>
      </c>
      <c r="F330" s="44" t="s">
        <v>877</v>
      </c>
      <c r="G330" s="42"/>
      <c r="H330" s="42" t="n">
        <v>3364466</v>
      </c>
      <c r="I330" s="44" t="s">
        <v>440</v>
      </c>
      <c r="J330" s="11" t="n">
        <f aca="false">IF(D330="","",N(G330)-N(H330))</f>
        <v>-3364466</v>
      </c>
      <c r="K330" s="34" t="str">
        <f aca="false">IF(D330="","",IFERROR(INDEX(I_COA!$C$6:$C$265,MATCH(D330,I_COA!$A$6:$A$265,0)),"AKUN BARU"))</f>
        <v>Neraca</v>
      </c>
      <c r="L330" s="34" t="str">
        <f aca="false">IF(K330="LabaRugi",INDEX(I_COA!$D$6:$D$265,MATCH(D330,I_COA!$A$6:$A$265,0)),"")</f>
        <v/>
      </c>
      <c r="M330" s="34" t="str">
        <f aca="false">IF(K330="Neraca",INDEX(I_COA!$E$6:$E$265,MATCH(D330,I_COA!$A$6:$A$265,0)),"")</f>
        <v>Cash and cash equivalents</v>
      </c>
      <c r="N330" s="34" t="str">
        <f aca="false">IF(D330="","",IFERROR(INDEX(I_COA!$G$6:$G$265,MATCH(D330,I_COA!$A$6:$A$265,0)),"N"))</f>
        <v>Y</v>
      </c>
      <c r="O330" s="11" t="str">
        <f aca="false">IF(N330="N",ABS(J330),"")</f>
        <v/>
      </c>
      <c r="P330" s="18" t="str">
        <f aca="false">IF(N330="N",B330&amp;"|"&amp;ROUND(O330,0),"")</f>
        <v/>
      </c>
      <c r="Q330" s="18" t="n">
        <f aca="false">IF(N330&lt;&gt;"Y","",IFERROR(INDEX($D$6:$D$4005,MATCH(B330&amp;"|"&amp;ROUND(_xlfn.MAXIFS($O$6:$O$4005,$B$6:$B$4005,B330,$N$6:$N$4005,"N"),0),$P$6:$P$4005,0)),"(tanpa lawan)"))</f>
        <v>2101003</v>
      </c>
      <c r="R330" s="44"/>
      <c r="S330" s="9" t="str">
        <f aca="false">IF(N330&lt;&gt;"Y","",IF(R330&lt;&gt;"",R330,IF(Q330="(tanpa lawan)","Transfer antar rekening",IFERROR(INDEX(I_COA!$F$6:$F$265,MATCH(Q330,I_COA!$A$6:$A$265,0)),"?"))))</f>
        <v>Bayar jasa (maklon, angkut, cold storage, sewa)</v>
      </c>
    </row>
    <row r="331" customFormat="false" ht="15" hidden="false" customHeight="false" outlineLevel="0" collapsed="false">
      <c r="A331" s="37" t="n">
        <v>46241</v>
      </c>
      <c r="B331" s="44" t="s">
        <v>878</v>
      </c>
      <c r="C331" s="44" t="s">
        <v>594</v>
      </c>
      <c r="D331" s="44" t="n">
        <v>2101004</v>
      </c>
      <c r="E331" s="44" t="s">
        <v>879</v>
      </c>
      <c r="F331" s="44" t="s">
        <v>880</v>
      </c>
      <c r="G331" s="42" t="n">
        <v>1074305.56</v>
      </c>
      <c r="H331" s="42"/>
      <c r="I331" s="44" t="s">
        <v>881</v>
      </c>
      <c r="J331" s="11" t="n">
        <f aca="false">IF(D331="","",N(G331)-N(H331))</f>
        <v>1074305.56</v>
      </c>
      <c r="K331" s="34" t="str">
        <f aca="false">IF(D331="","",IFERROR(INDEX(I_COA!$C$6:$C$265,MATCH(D331,I_COA!$A$6:$A$265,0)),"AKUN BARU"))</f>
        <v>Neraca</v>
      </c>
      <c r="L331" s="34" t="str">
        <f aca="false">IF(K331="LabaRugi",INDEX(I_COA!$D$6:$D$265,MATCH(D331,I_COA!$A$6:$A$265,0)),"")</f>
        <v/>
      </c>
      <c r="M331" s="34" t="str">
        <f aca="false">IF(K331="Neraca",INDEX(I_COA!$E$6:$E$265,MATCH(D331,I_COA!$A$6:$A$265,0)),"")</f>
        <v>Other Payable - Related Parties</v>
      </c>
      <c r="N331" s="34" t="str">
        <f aca="false">IF(D331="","",IFERROR(INDEX(I_COA!$G$6:$G$265,MATCH(D331,I_COA!$A$6:$A$265,0)),"N"))</f>
        <v>N</v>
      </c>
      <c r="O331" s="11" t="n">
        <f aca="false">IF(N331="N",ABS(J331),"")</f>
        <v>1074305.56</v>
      </c>
      <c r="P331" s="18" t="str">
        <f aca="false">IF(N331="N",B331&amp;"|"&amp;ROUND(O331,0),"")</f>
        <v>B8526080017|1074306</v>
      </c>
      <c r="Q331" s="18" t="str">
        <f aca="false">IF(N331&lt;&gt;"Y","",IFERROR(INDEX($D$6:$D$4005,MATCH(B331&amp;"|"&amp;ROUND(_xlfn.MAXIFS($O$6:$O$4005,$B$6:$B$4005,B331,$N$6:$N$4005,"N"),0),$P$6:$P$4005,0)),"(tanpa lawan)"))</f>
        <v/>
      </c>
      <c r="R331" s="44"/>
      <c r="S331" s="9" t="str">
        <f aca="false">IF(N331&lt;&gt;"Y","",IF(R331&lt;&gt;"",R331,IF(Q331="(tanpa lawan)","Transfer antar rekening",IFERROR(INDEX(I_COA!$F$6:$F$265,MATCH(Q331,I_COA!$A$6:$A$265,0)),"?"))))</f>
        <v/>
      </c>
    </row>
    <row r="332" customFormat="false" ht="15" hidden="false" customHeight="false" outlineLevel="0" collapsed="false">
      <c r="A332" s="37" t="n">
        <v>46241</v>
      </c>
      <c r="B332" s="44" t="s">
        <v>878</v>
      </c>
      <c r="C332" s="44" t="s">
        <v>594</v>
      </c>
      <c r="D332" s="44" t="n">
        <v>7100009</v>
      </c>
      <c r="E332" s="44" t="s">
        <v>189</v>
      </c>
      <c r="F332" s="44" t="s">
        <v>880</v>
      </c>
      <c r="G332" s="42"/>
      <c r="H332" s="42" t="n">
        <v>0.56</v>
      </c>
      <c r="I332" s="44" t="s">
        <v>881</v>
      </c>
      <c r="J332" s="11" t="n">
        <f aca="false">IF(D332="","",N(G332)-N(H332))</f>
        <v>-0.56</v>
      </c>
      <c r="K332" s="34" t="str">
        <f aca="false">IF(D332="","",IFERROR(INDEX(I_COA!$C$6:$C$265,MATCH(D332,I_COA!$A$6:$A$265,0)),"AKUN BARU"))</f>
        <v>LabaRugi</v>
      </c>
      <c r="L332" s="34" t="str">
        <f aca="false">IF(K332="LabaRugi",INDEX(I_COA!$D$6:$D$265,MATCH(D332,I_COA!$A$6:$A$265,0)),"")</f>
        <v>Other Income</v>
      </c>
      <c r="M332" s="34" t="str">
        <f aca="false">IF(K332="Neraca",INDEX(I_COA!$E$6:$E$265,MATCH(D332,I_COA!$A$6:$A$265,0)),"")</f>
        <v/>
      </c>
      <c r="N332" s="34" t="str">
        <f aca="false">IF(D332="","",IFERROR(INDEX(I_COA!$G$6:$G$265,MATCH(D332,I_COA!$A$6:$A$265,0)),"N"))</f>
        <v>N</v>
      </c>
      <c r="O332" s="11" t="n">
        <f aca="false">IF(N332="N",ABS(J332),"")</f>
        <v>0.56</v>
      </c>
      <c r="P332" s="18" t="str">
        <f aca="false">IF(N332="N",B332&amp;"|"&amp;ROUND(O332,0),"")</f>
        <v>B8526080017|1</v>
      </c>
      <c r="Q332" s="18" t="str">
        <f aca="false">IF(N332&lt;&gt;"Y","",IFERROR(INDEX($D$6:$D$4005,MATCH(B332&amp;"|"&amp;ROUND(_xlfn.MAXIFS($O$6:$O$4005,$B$6:$B$4005,B332,$N$6:$N$4005,"N"),0),$P$6:$P$4005,0)),"(tanpa lawan)"))</f>
        <v/>
      </c>
      <c r="R332" s="44"/>
      <c r="S332" s="9" t="str">
        <f aca="false">IF(N332&lt;&gt;"Y","",IF(R332&lt;&gt;"",R332,IF(Q332="(tanpa lawan)","Transfer antar rekening",IFERROR(INDEX(I_COA!$F$6:$F$265,MATCH(Q332,I_COA!$A$6:$A$265,0)),"?"))))</f>
        <v/>
      </c>
    </row>
    <row r="333" customFormat="false" ht="15" hidden="false" customHeight="false" outlineLevel="0" collapsed="false">
      <c r="A333" s="37" t="n">
        <v>46241</v>
      </c>
      <c r="B333" s="44" t="s">
        <v>878</v>
      </c>
      <c r="C333" s="44" t="s">
        <v>594</v>
      </c>
      <c r="D333" s="44" t="n">
        <v>1102002</v>
      </c>
      <c r="E333" s="44" t="s">
        <v>598</v>
      </c>
      <c r="F333" s="44" t="s">
        <v>880</v>
      </c>
      <c r="G333" s="42"/>
      <c r="H333" s="42" t="n">
        <v>1074305</v>
      </c>
      <c r="I333" s="44" t="s">
        <v>881</v>
      </c>
      <c r="J333" s="11" t="n">
        <f aca="false">IF(D333="","",N(G333)-N(H333))</f>
        <v>-1074305</v>
      </c>
      <c r="K333" s="34" t="str">
        <f aca="false">IF(D333="","",IFERROR(INDEX(I_COA!$C$6:$C$265,MATCH(D333,I_COA!$A$6:$A$265,0)),"AKUN BARU"))</f>
        <v>Neraca</v>
      </c>
      <c r="L333" s="34" t="str">
        <f aca="false">IF(K333="LabaRugi",INDEX(I_COA!$D$6:$D$265,MATCH(D333,I_COA!$A$6:$A$265,0)),"")</f>
        <v/>
      </c>
      <c r="M333" s="34" t="str">
        <f aca="false">IF(K333="Neraca",INDEX(I_COA!$E$6:$E$265,MATCH(D333,I_COA!$A$6:$A$265,0)),"")</f>
        <v>Cash and cash equivalents</v>
      </c>
      <c r="N333" s="34" t="str">
        <f aca="false">IF(D333="","",IFERROR(INDEX(I_COA!$G$6:$G$265,MATCH(D333,I_COA!$A$6:$A$265,0)),"N"))</f>
        <v>Y</v>
      </c>
      <c r="O333" s="11" t="str">
        <f aca="false">IF(N333="N",ABS(J333),"")</f>
        <v/>
      </c>
      <c r="P333" s="18" t="str">
        <f aca="false">IF(N333="N",B333&amp;"|"&amp;ROUND(O333,0),"")</f>
        <v/>
      </c>
      <c r="Q333" s="18" t="n">
        <f aca="false">IF(N333&lt;&gt;"Y","",IFERROR(INDEX($D$6:$D$4005,MATCH(B333&amp;"|"&amp;ROUND(_xlfn.MAXIFS($O$6:$O$4005,$B$6:$B$4005,B333,$N$6:$N$4005,"N"),0),$P$6:$P$4005,0)),"(tanpa lawan)"))</f>
        <v>2101004</v>
      </c>
      <c r="R333" s="44"/>
      <c r="S333" s="9" t="str">
        <f aca="false">IF(N333&lt;&gt;"Y","",IF(R333&lt;&gt;"",R333,IF(Q333="(tanpa lawan)","Transfer antar rekening",IFERROR(INDEX(I_COA!$F$6:$F$265,MATCH(Q333,I_COA!$A$6:$A$265,0)),"?"))))</f>
        <v>Pinjaman afiliasi (net)</v>
      </c>
    </row>
    <row r="334" customFormat="false" ht="15" hidden="false" customHeight="false" outlineLevel="0" collapsed="false">
      <c r="A334" s="37" t="n">
        <v>46241</v>
      </c>
      <c r="B334" s="44" t="s">
        <v>882</v>
      </c>
      <c r="C334" s="44" t="s">
        <v>594</v>
      </c>
      <c r="D334" s="44" t="n">
        <v>2101004</v>
      </c>
      <c r="E334" s="44" t="s">
        <v>879</v>
      </c>
      <c r="F334" s="44" t="s">
        <v>883</v>
      </c>
      <c r="G334" s="42" t="n">
        <v>20775416.1</v>
      </c>
      <c r="H334" s="42"/>
      <c r="I334" s="44" t="s">
        <v>881</v>
      </c>
      <c r="J334" s="11" t="n">
        <f aca="false">IF(D334="","",N(G334)-N(H334))</f>
        <v>20775416.1</v>
      </c>
      <c r="K334" s="34" t="str">
        <f aca="false">IF(D334="","",IFERROR(INDEX(I_COA!$C$6:$C$265,MATCH(D334,I_COA!$A$6:$A$265,0)),"AKUN BARU"))</f>
        <v>Neraca</v>
      </c>
      <c r="L334" s="34" t="str">
        <f aca="false">IF(K334="LabaRugi",INDEX(I_COA!$D$6:$D$265,MATCH(D334,I_COA!$A$6:$A$265,0)),"")</f>
        <v/>
      </c>
      <c r="M334" s="34" t="str">
        <f aca="false">IF(K334="Neraca",INDEX(I_COA!$E$6:$E$265,MATCH(D334,I_COA!$A$6:$A$265,0)),"")</f>
        <v>Other Payable - Related Parties</v>
      </c>
      <c r="N334" s="34" t="str">
        <f aca="false">IF(D334="","",IFERROR(INDEX(I_COA!$G$6:$G$265,MATCH(D334,I_COA!$A$6:$A$265,0)),"N"))</f>
        <v>N</v>
      </c>
      <c r="O334" s="11" t="n">
        <f aca="false">IF(N334="N",ABS(J334),"")</f>
        <v>20775416.1</v>
      </c>
      <c r="P334" s="18" t="str">
        <f aca="false">IF(N334="N",B334&amp;"|"&amp;ROUND(O334,0),"")</f>
        <v>B8526080018|20775416</v>
      </c>
      <c r="Q334" s="18" t="str">
        <f aca="false">IF(N334&lt;&gt;"Y","",IFERROR(INDEX($D$6:$D$4005,MATCH(B334&amp;"|"&amp;ROUND(_xlfn.MAXIFS($O$6:$O$4005,$B$6:$B$4005,B334,$N$6:$N$4005,"N"),0),$P$6:$P$4005,0)),"(tanpa lawan)"))</f>
        <v/>
      </c>
      <c r="R334" s="44"/>
      <c r="S334" s="9" t="str">
        <f aca="false">IF(N334&lt;&gt;"Y","",IF(R334&lt;&gt;"",R334,IF(Q334="(tanpa lawan)","Transfer antar rekening",IFERROR(INDEX(I_COA!$F$6:$F$265,MATCH(Q334,I_COA!$A$6:$A$265,0)),"?"))))</f>
        <v/>
      </c>
    </row>
    <row r="335" customFormat="false" ht="15" hidden="false" customHeight="false" outlineLevel="0" collapsed="false">
      <c r="A335" s="37" t="n">
        <v>46241</v>
      </c>
      <c r="B335" s="44" t="s">
        <v>882</v>
      </c>
      <c r="C335" s="44" t="s">
        <v>594</v>
      </c>
      <c r="D335" s="44" t="n">
        <v>7100009</v>
      </c>
      <c r="E335" s="44" t="s">
        <v>189</v>
      </c>
      <c r="F335" s="44" t="s">
        <v>883</v>
      </c>
      <c r="G335" s="42"/>
      <c r="H335" s="42" t="n">
        <v>0.1</v>
      </c>
      <c r="I335" s="44" t="s">
        <v>881</v>
      </c>
      <c r="J335" s="11" t="n">
        <f aca="false">IF(D335="","",N(G335)-N(H335))</f>
        <v>-0.1</v>
      </c>
      <c r="K335" s="34" t="str">
        <f aca="false">IF(D335="","",IFERROR(INDEX(I_COA!$C$6:$C$265,MATCH(D335,I_COA!$A$6:$A$265,0)),"AKUN BARU"))</f>
        <v>LabaRugi</v>
      </c>
      <c r="L335" s="34" t="str">
        <f aca="false">IF(K335="LabaRugi",INDEX(I_COA!$D$6:$D$265,MATCH(D335,I_COA!$A$6:$A$265,0)),"")</f>
        <v>Other Income</v>
      </c>
      <c r="M335" s="34" t="str">
        <f aca="false">IF(K335="Neraca",INDEX(I_COA!$E$6:$E$265,MATCH(D335,I_COA!$A$6:$A$265,0)),"")</f>
        <v/>
      </c>
      <c r="N335" s="34" t="str">
        <f aca="false">IF(D335="","",IFERROR(INDEX(I_COA!$G$6:$G$265,MATCH(D335,I_COA!$A$6:$A$265,0)),"N"))</f>
        <v>N</v>
      </c>
      <c r="O335" s="11" t="n">
        <f aca="false">IF(N335="N",ABS(J335),"")</f>
        <v>0.1</v>
      </c>
      <c r="P335" s="18" t="str">
        <f aca="false">IF(N335="N",B335&amp;"|"&amp;ROUND(O335,0),"")</f>
        <v>B8526080018|0</v>
      </c>
      <c r="Q335" s="18" t="str">
        <f aca="false">IF(N335&lt;&gt;"Y","",IFERROR(INDEX($D$6:$D$4005,MATCH(B335&amp;"|"&amp;ROUND(_xlfn.MAXIFS($O$6:$O$4005,$B$6:$B$4005,B335,$N$6:$N$4005,"N"),0),$P$6:$P$4005,0)),"(tanpa lawan)"))</f>
        <v/>
      </c>
      <c r="R335" s="44"/>
      <c r="S335" s="9" t="str">
        <f aca="false">IF(N335&lt;&gt;"Y","",IF(R335&lt;&gt;"",R335,IF(Q335="(tanpa lawan)","Transfer antar rekening",IFERROR(INDEX(I_COA!$F$6:$F$265,MATCH(Q335,I_COA!$A$6:$A$265,0)),"?"))))</f>
        <v/>
      </c>
    </row>
    <row r="336" customFormat="false" ht="15" hidden="false" customHeight="false" outlineLevel="0" collapsed="false">
      <c r="A336" s="37" t="n">
        <v>46241</v>
      </c>
      <c r="B336" s="44" t="s">
        <v>882</v>
      </c>
      <c r="C336" s="44" t="s">
        <v>594</v>
      </c>
      <c r="D336" s="44" t="n">
        <v>1102002</v>
      </c>
      <c r="E336" s="44" t="s">
        <v>598</v>
      </c>
      <c r="F336" s="44" t="s">
        <v>883</v>
      </c>
      <c r="G336" s="42"/>
      <c r="H336" s="42" t="n">
        <v>20775416</v>
      </c>
      <c r="I336" s="44" t="s">
        <v>881</v>
      </c>
      <c r="J336" s="11" t="n">
        <f aca="false">IF(D336="","",N(G336)-N(H336))</f>
        <v>-20775416</v>
      </c>
      <c r="K336" s="34" t="str">
        <f aca="false">IF(D336="","",IFERROR(INDEX(I_COA!$C$6:$C$265,MATCH(D336,I_COA!$A$6:$A$265,0)),"AKUN BARU"))</f>
        <v>Neraca</v>
      </c>
      <c r="L336" s="34" t="str">
        <f aca="false">IF(K336="LabaRugi",INDEX(I_COA!$D$6:$D$265,MATCH(D336,I_COA!$A$6:$A$265,0)),"")</f>
        <v/>
      </c>
      <c r="M336" s="34" t="str">
        <f aca="false">IF(K336="Neraca",INDEX(I_COA!$E$6:$E$265,MATCH(D336,I_COA!$A$6:$A$265,0)),"")</f>
        <v>Cash and cash equivalents</v>
      </c>
      <c r="N336" s="34" t="str">
        <f aca="false">IF(D336="","",IFERROR(INDEX(I_COA!$G$6:$G$265,MATCH(D336,I_COA!$A$6:$A$265,0)),"N"))</f>
        <v>Y</v>
      </c>
      <c r="O336" s="11" t="str">
        <f aca="false">IF(N336="N",ABS(J336),"")</f>
        <v/>
      </c>
      <c r="P336" s="18" t="str">
        <f aca="false">IF(N336="N",B336&amp;"|"&amp;ROUND(O336,0),"")</f>
        <v/>
      </c>
      <c r="Q336" s="18" t="n">
        <f aca="false">IF(N336&lt;&gt;"Y","",IFERROR(INDEX($D$6:$D$4005,MATCH(B336&amp;"|"&amp;ROUND(_xlfn.MAXIFS($O$6:$O$4005,$B$6:$B$4005,B336,$N$6:$N$4005,"N"),0),$P$6:$P$4005,0)),"(tanpa lawan)"))</f>
        <v>2101004</v>
      </c>
      <c r="R336" s="44"/>
      <c r="S336" s="9" t="str">
        <f aca="false">IF(N336&lt;&gt;"Y","",IF(R336&lt;&gt;"",R336,IF(Q336="(tanpa lawan)","Transfer antar rekening",IFERROR(INDEX(I_COA!$F$6:$F$265,MATCH(Q336,I_COA!$A$6:$A$265,0)),"?"))))</f>
        <v>Pinjaman afiliasi (net)</v>
      </c>
    </row>
    <row r="337" customFormat="false" ht="15" hidden="false" customHeight="false" outlineLevel="0" collapsed="false">
      <c r="A337" s="37" t="n">
        <v>46241</v>
      </c>
      <c r="B337" s="44" t="s">
        <v>884</v>
      </c>
      <c r="C337" s="44" t="s">
        <v>594</v>
      </c>
      <c r="D337" s="44" t="n">
        <v>2101004</v>
      </c>
      <c r="E337" s="44" t="s">
        <v>879</v>
      </c>
      <c r="F337" s="44" t="s">
        <v>885</v>
      </c>
      <c r="G337" s="42" t="n">
        <v>8040764.31</v>
      </c>
      <c r="H337" s="42"/>
      <c r="I337" s="44" t="s">
        <v>881</v>
      </c>
      <c r="J337" s="11" t="n">
        <f aca="false">IF(D337="","",N(G337)-N(H337))</f>
        <v>8040764.31</v>
      </c>
      <c r="K337" s="34" t="str">
        <f aca="false">IF(D337="","",IFERROR(INDEX(I_COA!$C$6:$C$265,MATCH(D337,I_COA!$A$6:$A$265,0)),"AKUN BARU"))</f>
        <v>Neraca</v>
      </c>
      <c r="L337" s="34" t="str">
        <f aca="false">IF(K337="LabaRugi",INDEX(I_COA!$D$6:$D$265,MATCH(D337,I_COA!$A$6:$A$265,0)),"")</f>
        <v/>
      </c>
      <c r="M337" s="34" t="str">
        <f aca="false">IF(K337="Neraca",INDEX(I_COA!$E$6:$E$265,MATCH(D337,I_COA!$A$6:$A$265,0)),"")</f>
        <v>Other Payable - Related Parties</v>
      </c>
      <c r="N337" s="34" t="str">
        <f aca="false">IF(D337="","",IFERROR(INDEX(I_COA!$G$6:$G$265,MATCH(D337,I_COA!$A$6:$A$265,0)),"N"))</f>
        <v>N</v>
      </c>
      <c r="O337" s="11" t="n">
        <f aca="false">IF(N337="N",ABS(J337),"")</f>
        <v>8040764.31</v>
      </c>
      <c r="P337" s="18" t="str">
        <f aca="false">IF(N337="N",B337&amp;"|"&amp;ROUND(O337,0),"")</f>
        <v>B8526080019|8040764</v>
      </c>
      <c r="Q337" s="18" t="str">
        <f aca="false">IF(N337&lt;&gt;"Y","",IFERROR(INDEX($D$6:$D$4005,MATCH(B337&amp;"|"&amp;ROUND(_xlfn.MAXIFS($O$6:$O$4005,$B$6:$B$4005,B337,$N$6:$N$4005,"N"),0),$P$6:$P$4005,0)),"(tanpa lawan)"))</f>
        <v/>
      </c>
      <c r="R337" s="44"/>
      <c r="S337" s="9" t="str">
        <f aca="false">IF(N337&lt;&gt;"Y","",IF(R337&lt;&gt;"",R337,IF(Q337="(tanpa lawan)","Transfer antar rekening",IFERROR(INDEX(I_COA!$F$6:$F$265,MATCH(Q337,I_COA!$A$6:$A$265,0)),"?"))))</f>
        <v/>
      </c>
    </row>
    <row r="338" customFormat="false" ht="15" hidden="false" customHeight="false" outlineLevel="0" collapsed="false">
      <c r="A338" s="37" t="n">
        <v>46241</v>
      </c>
      <c r="B338" s="44" t="s">
        <v>884</v>
      </c>
      <c r="C338" s="44" t="s">
        <v>594</v>
      </c>
      <c r="D338" s="44" t="n">
        <v>7100009</v>
      </c>
      <c r="E338" s="44" t="s">
        <v>189</v>
      </c>
      <c r="F338" s="44" t="s">
        <v>885</v>
      </c>
      <c r="G338" s="42"/>
      <c r="H338" s="42" t="n">
        <v>0.31</v>
      </c>
      <c r="I338" s="44" t="s">
        <v>881</v>
      </c>
      <c r="J338" s="11" t="n">
        <f aca="false">IF(D338="","",N(G338)-N(H338))</f>
        <v>-0.31</v>
      </c>
      <c r="K338" s="34" t="str">
        <f aca="false">IF(D338="","",IFERROR(INDEX(I_COA!$C$6:$C$265,MATCH(D338,I_COA!$A$6:$A$265,0)),"AKUN BARU"))</f>
        <v>LabaRugi</v>
      </c>
      <c r="L338" s="34" t="str">
        <f aca="false">IF(K338="LabaRugi",INDEX(I_COA!$D$6:$D$265,MATCH(D338,I_COA!$A$6:$A$265,0)),"")</f>
        <v>Other Income</v>
      </c>
      <c r="M338" s="34" t="str">
        <f aca="false">IF(K338="Neraca",INDEX(I_COA!$E$6:$E$265,MATCH(D338,I_COA!$A$6:$A$265,0)),"")</f>
        <v/>
      </c>
      <c r="N338" s="34" t="str">
        <f aca="false">IF(D338="","",IFERROR(INDEX(I_COA!$G$6:$G$265,MATCH(D338,I_COA!$A$6:$A$265,0)),"N"))</f>
        <v>N</v>
      </c>
      <c r="O338" s="11" t="n">
        <f aca="false">IF(N338="N",ABS(J338),"")</f>
        <v>0.31</v>
      </c>
      <c r="P338" s="18" t="str">
        <f aca="false">IF(N338="N",B338&amp;"|"&amp;ROUND(O338,0),"")</f>
        <v>B8526080019|0</v>
      </c>
      <c r="Q338" s="18" t="str">
        <f aca="false">IF(N338&lt;&gt;"Y","",IFERROR(INDEX($D$6:$D$4005,MATCH(B338&amp;"|"&amp;ROUND(_xlfn.MAXIFS($O$6:$O$4005,$B$6:$B$4005,B338,$N$6:$N$4005,"N"),0),$P$6:$P$4005,0)),"(tanpa lawan)"))</f>
        <v/>
      </c>
      <c r="R338" s="44"/>
      <c r="S338" s="9" t="str">
        <f aca="false">IF(N338&lt;&gt;"Y","",IF(R338&lt;&gt;"",R338,IF(Q338="(tanpa lawan)","Transfer antar rekening",IFERROR(INDEX(I_COA!$F$6:$F$265,MATCH(Q338,I_COA!$A$6:$A$265,0)),"?"))))</f>
        <v/>
      </c>
    </row>
    <row r="339" customFormat="false" ht="15" hidden="false" customHeight="false" outlineLevel="0" collapsed="false">
      <c r="A339" s="37" t="n">
        <v>46241</v>
      </c>
      <c r="B339" s="44" t="s">
        <v>884</v>
      </c>
      <c r="C339" s="44" t="s">
        <v>594</v>
      </c>
      <c r="D339" s="44" t="n">
        <v>1102002</v>
      </c>
      <c r="E339" s="44" t="s">
        <v>598</v>
      </c>
      <c r="F339" s="44" t="s">
        <v>885</v>
      </c>
      <c r="G339" s="42"/>
      <c r="H339" s="42" t="n">
        <v>8040764</v>
      </c>
      <c r="I339" s="44" t="s">
        <v>881</v>
      </c>
      <c r="J339" s="11" t="n">
        <f aca="false">IF(D339="","",N(G339)-N(H339))</f>
        <v>-8040764</v>
      </c>
      <c r="K339" s="34" t="str">
        <f aca="false">IF(D339="","",IFERROR(INDEX(I_COA!$C$6:$C$265,MATCH(D339,I_COA!$A$6:$A$265,0)),"AKUN BARU"))</f>
        <v>Neraca</v>
      </c>
      <c r="L339" s="34" t="str">
        <f aca="false">IF(K339="LabaRugi",INDEX(I_COA!$D$6:$D$265,MATCH(D339,I_COA!$A$6:$A$265,0)),"")</f>
        <v/>
      </c>
      <c r="M339" s="34" t="str">
        <f aca="false">IF(K339="Neraca",INDEX(I_COA!$E$6:$E$265,MATCH(D339,I_COA!$A$6:$A$265,0)),"")</f>
        <v>Cash and cash equivalents</v>
      </c>
      <c r="N339" s="34" t="str">
        <f aca="false">IF(D339="","",IFERROR(INDEX(I_COA!$G$6:$G$265,MATCH(D339,I_COA!$A$6:$A$265,0)),"N"))</f>
        <v>Y</v>
      </c>
      <c r="O339" s="11" t="str">
        <f aca="false">IF(N339="N",ABS(J339),"")</f>
        <v/>
      </c>
      <c r="P339" s="18" t="str">
        <f aca="false">IF(N339="N",B339&amp;"|"&amp;ROUND(O339,0),"")</f>
        <v/>
      </c>
      <c r="Q339" s="18" t="n">
        <f aca="false">IF(N339&lt;&gt;"Y","",IFERROR(INDEX($D$6:$D$4005,MATCH(B339&amp;"|"&amp;ROUND(_xlfn.MAXIFS($O$6:$O$4005,$B$6:$B$4005,B339,$N$6:$N$4005,"N"),0),$P$6:$P$4005,0)),"(tanpa lawan)"))</f>
        <v>2101004</v>
      </c>
      <c r="R339" s="44"/>
      <c r="S339" s="9" t="str">
        <f aca="false">IF(N339&lt;&gt;"Y","",IF(R339&lt;&gt;"",R339,IF(Q339="(tanpa lawan)","Transfer antar rekening",IFERROR(INDEX(I_COA!$F$6:$F$265,MATCH(Q339,I_COA!$A$6:$A$265,0)),"?"))))</f>
        <v>Pinjaman afiliasi (net)</v>
      </c>
    </row>
    <row r="340" customFormat="false" ht="15" hidden="false" customHeight="false" outlineLevel="0" collapsed="false">
      <c r="A340" s="37" t="n">
        <v>46241</v>
      </c>
      <c r="B340" s="44" t="s">
        <v>886</v>
      </c>
      <c r="C340" s="44" t="s">
        <v>594</v>
      </c>
      <c r="D340" s="44" t="n">
        <v>2101001</v>
      </c>
      <c r="E340" s="44" t="s">
        <v>595</v>
      </c>
      <c r="F340" s="44" t="s">
        <v>887</v>
      </c>
      <c r="G340" s="42" t="n">
        <v>168700000</v>
      </c>
      <c r="H340" s="42"/>
      <c r="I340" s="44" t="s">
        <v>888</v>
      </c>
      <c r="J340" s="11" t="n">
        <f aca="false">IF(D340="","",N(G340)-N(H340))</f>
        <v>168700000</v>
      </c>
      <c r="K340" s="34" t="str">
        <f aca="false">IF(D340="","",IFERROR(INDEX(I_COA!$C$6:$C$265,MATCH(D340,I_COA!$A$6:$A$265,0)),"AKUN BARU"))</f>
        <v>Neraca</v>
      </c>
      <c r="L340" s="34" t="str">
        <f aca="false">IF(K340="LabaRugi",INDEX(I_COA!$D$6:$D$265,MATCH(D340,I_COA!$A$6:$A$265,0)),"")</f>
        <v/>
      </c>
      <c r="M340" s="34" t="str">
        <f aca="false">IF(K340="Neraca",INDEX(I_COA!$E$6:$E$265,MATCH(D340,I_COA!$A$6:$A$265,0)),"")</f>
        <v>Trade Payables - Third Parties</v>
      </c>
      <c r="N340" s="34" t="str">
        <f aca="false">IF(D340="","",IFERROR(INDEX(I_COA!$G$6:$G$265,MATCH(D340,I_COA!$A$6:$A$265,0)),"N"))</f>
        <v>N</v>
      </c>
      <c r="O340" s="11" t="n">
        <f aca="false">IF(N340="N",ABS(J340),"")</f>
        <v>168700000</v>
      </c>
      <c r="P340" s="18" t="str">
        <f aca="false">IF(N340="N",B340&amp;"|"&amp;ROUND(O340,0),"")</f>
        <v>B8526080020|168700000</v>
      </c>
      <c r="Q340" s="18" t="str">
        <f aca="false">IF(N340&lt;&gt;"Y","",IFERROR(INDEX($D$6:$D$4005,MATCH(B340&amp;"|"&amp;ROUND(_xlfn.MAXIFS($O$6:$O$4005,$B$6:$B$4005,B340,$N$6:$N$4005,"N"),0),$P$6:$P$4005,0)),"(tanpa lawan)"))</f>
        <v/>
      </c>
      <c r="R340" s="44"/>
      <c r="S340" s="9" t="str">
        <f aca="false">IF(N340&lt;&gt;"Y","",IF(R340&lt;&gt;"",R340,IF(Q340="(tanpa lawan)","Transfer antar rekening",IFERROR(INDEX(I_COA!$F$6:$F$265,MATCH(Q340,I_COA!$A$6:$A$265,0)),"?"))))</f>
        <v/>
      </c>
    </row>
    <row r="341" customFormat="false" ht="15" hidden="false" customHeight="false" outlineLevel="0" collapsed="false">
      <c r="A341" s="37" t="n">
        <v>46241</v>
      </c>
      <c r="B341" s="44" t="s">
        <v>886</v>
      </c>
      <c r="C341" s="44" t="s">
        <v>594</v>
      </c>
      <c r="D341" s="44" t="n">
        <v>1102002</v>
      </c>
      <c r="E341" s="44" t="s">
        <v>598</v>
      </c>
      <c r="F341" s="44" t="s">
        <v>887</v>
      </c>
      <c r="G341" s="42"/>
      <c r="H341" s="42" t="n">
        <v>168700000</v>
      </c>
      <c r="I341" s="44" t="s">
        <v>888</v>
      </c>
      <c r="J341" s="11" t="n">
        <f aca="false">IF(D341="","",N(G341)-N(H341))</f>
        <v>-168700000</v>
      </c>
      <c r="K341" s="34" t="str">
        <f aca="false">IF(D341="","",IFERROR(INDEX(I_COA!$C$6:$C$265,MATCH(D341,I_COA!$A$6:$A$265,0)),"AKUN BARU"))</f>
        <v>Neraca</v>
      </c>
      <c r="L341" s="34" t="str">
        <f aca="false">IF(K341="LabaRugi",INDEX(I_COA!$D$6:$D$265,MATCH(D341,I_COA!$A$6:$A$265,0)),"")</f>
        <v/>
      </c>
      <c r="M341" s="34" t="str">
        <f aca="false">IF(K341="Neraca",INDEX(I_COA!$E$6:$E$265,MATCH(D341,I_COA!$A$6:$A$265,0)),"")</f>
        <v>Cash and cash equivalents</v>
      </c>
      <c r="N341" s="34" t="str">
        <f aca="false">IF(D341="","",IFERROR(INDEX(I_COA!$G$6:$G$265,MATCH(D341,I_COA!$A$6:$A$265,0)),"N"))</f>
        <v>Y</v>
      </c>
      <c r="O341" s="11" t="str">
        <f aca="false">IF(N341="N",ABS(J341),"")</f>
        <v/>
      </c>
      <c r="P341" s="18" t="str">
        <f aca="false">IF(N341="N",B341&amp;"|"&amp;ROUND(O341,0),"")</f>
        <v/>
      </c>
      <c r="Q341" s="18" t="n">
        <f aca="false">IF(N341&lt;&gt;"Y","",IFERROR(INDEX($D$6:$D$4005,MATCH(B341&amp;"|"&amp;ROUND(_xlfn.MAXIFS($O$6:$O$4005,$B$6:$B$4005,B341,$N$6:$N$4005,"N"),0),$P$6:$P$4005,0)),"(tanpa lawan)"))</f>
        <v>2101001</v>
      </c>
      <c r="R341" s="44"/>
      <c r="S341" s="9" t="str">
        <f aca="false">IF(N341&lt;&gt;"Y","",IF(R341&lt;&gt;"",R341,IF(Q341="(tanpa lawan)","Transfer antar rekening",IFERROR(INDEX(I_COA!$F$6:$F$265,MATCH(Q341,I_COA!$A$6:$A$265,0)),"?"))))</f>
        <v>Bayar pemasok barang (live bird &amp; trading)</v>
      </c>
    </row>
    <row r="342" customFormat="false" ht="15" hidden="false" customHeight="false" outlineLevel="0" collapsed="false">
      <c r="A342" s="37" t="n">
        <v>46241</v>
      </c>
      <c r="B342" s="44" t="s">
        <v>889</v>
      </c>
      <c r="C342" s="44" t="s">
        <v>580</v>
      </c>
      <c r="D342" s="44" t="n">
        <v>7200003</v>
      </c>
      <c r="E342" s="44" t="s">
        <v>581</v>
      </c>
      <c r="F342" s="44" t="s">
        <v>890</v>
      </c>
      <c r="G342" s="42" t="n">
        <v>2500</v>
      </c>
      <c r="H342" s="42"/>
      <c r="I342" s="44"/>
      <c r="J342" s="11" t="n">
        <f aca="false">IF(D342="","",N(G342)-N(H342))</f>
        <v>2500</v>
      </c>
      <c r="K342" s="34" t="str">
        <f aca="false">IF(D342="","",IFERROR(INDEX(I_COA!$C$6:$C$265,MATCH(D342,I_COA!$A$6:$A$265,0)),"AKUN BARU"))</f>
        <v>LabaRugi</v>
      </c>
      <c r="L342" s="34" t="str">
        <f aca="false">IF(K342="LabaRugi",INDEX(I_COA!$D$6:$D$265,MATCH(D342,I_COA!$A$6:$A$265,0)),"")</f>
        <v>Other Expense</v>
      </c>
      <c r="M342" s="34" t="str">
        <f aca="false">IF(K342="Neraca",INDEX(I_COA!$E$6:$E$265,MATCH(D342,I_COA!$A$6:$A$265,0)),"")</f>
        <v/>
      </c>
      <c r="N342" s="34" t="str">
        <f aca="false">IF(D342="","",IFERROR(INDEX(I_COA!$G$6:$G$265,MATCH(D342,I_COA!$A$6:$A$265,0)),"N"))</f>
        <v>N</v>
      </c>
      <c r="O342" s="11" t="n">
        <f aca="false">IF(N342="N",ABS(J342),"")</f>
        <v>2500</v>
      </c>
      <c r="P342" s="18" t="str">
        <f aca="false">IF(N342="N",B342&amp;"|"&amp;ROUND(O342,0),"")</f>
        <v>B8526080021|2500</v>
      </c>
      <c r="Q342" s="18" t="str">
        <f aca="false">IF(N342&lt;&gt;"Y","",IFERROR(INDEX($D$6:$D$4005,MATCH(B342&amp;"|"&amp;ROUND(_xlfn.MAXIFS($O$6:$O$4005,$B$6:$B$4005,B342,$N$6:$N$4005,"N"),0),$P$6:$P$4005,0)),"(tanpa lawan)"))</f>
        <v/>
      </c>
      <c r="R342" s="44"/>
      <c r="S342" s="9" t="str">
        <f aca="false">IF(N342&lt;&gt;"Y","",IF(R342&lt;&gt;"",R342,IF(Q342="(tanpa lawan)","Transfer antar rekening",IFERROR(INDEX(I_COA!$F$6:$F$265,MATCH(Q342,I_COA!$A$6:$A$265,0)),"?"))))</f>
        <v/>
      </c>
    </row>
    <row r="343" customFormat="false" ht="15" hidden="false" customHeight="false" outlineLevel="0" collapsed="false">
      <c r="A343" s="37" t="n">
        <v>46241</v>
      </c>
      <c r="B343" s="44" t="s">
        <v>889</v>
      </c>
      <c r="C343" s="44" t="s">
        <v>580</v>
      </c>
      <c r="D343" s="44" t="n">
        <v>1102002</v>
      </c>
      <c r="E343" s="44" t="s">
        <v>598</v>
      </c>
      <c r="F343" s="44" t="s">
        <v>891</v>
      </c>
      <c r="G343" s="42"/>
      <c r="H343" s="42" t="n">
        <v>2500</v>
      </c>
      <c r="I343" s="44"/>
      <c r="J343" s="11" t="n">
        <f aca="false">IF(D343="","",N(G343)-N(H343))</f>
        <v>-2500</v>
      </c>
      <c r="K343" s="34" t="str">
        <f aca="false">IF(D343="","",IFERROR(INDEX(I_COA!$C$6:$C$265,MATCH(D343,I_COA!$A$6:$A$265,0)),"AKUN BARU"))</f>
        <v>Neraca</v>
      </c>
      <c r="L343" s="34" t="str">
        <f aca="false">IF(K343="LabaRugi",INDEX(I_COA!$D$6:$D$265,MATCH(D343,I_COA!$A$6:$A$265,0)),"")</f>
        <v/>
      </c>
      <c r="M343" s="34" t="str">
        <f aca="false">IF(K343="Neraca",INDEX(I_COA!$E$6:$E$265,MATCH(D343,I_COA!$A$6:$A$265,0)),"")</f>
        <v>Cash and cash equivalents</v>
      </c>
      <c r="N343" s="34" t="str">
        <f aca="false">IF(D343="","",IFERROR(INDEX(I_COA!$G$6:$G$265,MATCH(D343,I_COA!$A$6:$A$265,0)),"N"))</f>
        <v>Y</v>
      </c>
      <c r="O343" s="11" t="str">
        <f aca="false">IF(N343="N",ABS(J343),"")</f>
        <v/>
      </c>
      <c r="P343" s="18" t="str">
        <f aca="false">IF(N343="N",B343&amp;"|"&amp;ROUND(O343,0),"")</f>
        <v/>
      </c>
      <c r="Q343" s="18" t="n">
        <f aca="false">IF(N343&lt;&gt;"Y","",IFERROR(INDEX($D$6:$D$4005,MATCH(B343&amp;"|"&amp;ROUND(_xlfn.MAXIFS($O$6:$O$4005,$B$6:$B$4005,B343,$N$6:$N$4005,"N"),0),$P$6:$P$4005,0)),"(tanpa lawan)"))</f>
        <v>7200003</v>
      </c>
      <c r="R343" s="44"/>
      <c r="S343" s="9" t="str">
        <f aca="false">IF(N343&lt;&gt;"Y","",IF(R343&lt;&gt;"",R343,IF(Q343="(tanpa lawan)","Transfer antar rekening",IFERROR(INDEX(I_COA!$F$6:$F$265,MATCH(Q343,I_COA!$A$6:$A$265,0)),"?"))))</f>
        <v>Bunga &amp; biaya bank</v>
      </c>
    </row>
    <row r="344" customFormat="false" ht="15" hidden="false" customHeight="false" outlineLevel="0" collapsed="false">
      <c r="A344" s="37" t="n">
        <v>46241</v>
      </c>
      <c r="B344" s="44" t="s">
        <v>892</v>
      </c>
      <c r="C344" s="44" t="s">
        <v>594</v>
      </c>
      <c r="D344" s="44" t="n">
        <v>2101003</v>
      </c>
      <c r="E344" s="44" t="s">
        <v>679</v>
      </c>
      <c r="F344" s="44" t="s">
        <v>893</v>
      </c>
      <c r="G344" s="42" t="n">
        <v>8775000</v>
      </c>
      <c r="H344" s="42"/>
      <c r="I344" s="44" t="s">
        <v>681</v>
      </c>
      <c r="J344" s="11" t="n">
        <f aca="false">IF(D344="","",N(G344)-N(H344))</f>
        <v>8775000</v>
      </c>
      <c r="K344" s="34" t="str">
        <f aca="false">IF(D344="","",IFERROR(INDEX(I_COA!$C$6:$C$265,MATCH(D344,I_COA!$A$6:$A$265,0)),"AKUN BARU"))</f>
        <v>Neraca</v>
      </c>
      <c r="L344" s="34" t="str">
        <f aca="false">IF(K344="LabaRugi",INDEX(I_COA!$D$6:$D$265,MATCH(D344,I_COA!$A$6:$A$265,0)),"")</f>
        <v/>
      </c>
      <c r="M344" s="34" t="str">
        <f aca="false">IF(K344="Neraca",INDEX(I_COA!$E$6:$E$265,MATCH(D344,I_COA!$A$6:$A$265,0)),"")</f>
        <v>Other Payable - Third Parties</v>
      </c>
      <c r="N344" s="34" t="str">
        <f aca="false">IF(D344="","",IFERROR(INDEX(I_COA!$G$6:$G$265,MATCH(D344,I_COA!$A$6:$A$265,0)),"N"))</f>
        <v>N</v>
      </c>
      <c r="O344" s="11" t="n">
        <f aca="false">IF(N344="N",ABS(J344),"")</f>
        <v>8775000</v>
      </c>
      <c r="P344" s="18" t="str">
        <f aca="false">IF(N344="N",B344&amp;"|"&amp;ROUND(O344,0),"")</f>
        <v>B8526080022|8775000</v>
      </c>
      <c r="Q344" s="18" t="str">
        <f aca="false">IF(N344&lt;&gt;"Y","",IFERROR(INDEX($D$6:$D$4005,MATCH(B344&amp;"|"&amp;ROUND(_xlfn.MAXIFS($O$6:$O$4005,$B$6:$B$4005,B344,$N$6:$N$4005,"N"),0),$P$6:$P$4005,0)),"(tanpa lawan)"))</f>
        <v/>
      </c>
      <c r="R344" s="44"/>
      <c r="S344" s="9" t="str">
        <f aca="false">IF(N344&lt;&gt;"Y","",IF(R344&lt;&gt;"",R344,IF(Q344="(tanpa lawan)","Transfer antar rekening",IFERROR(INDEX(I_COA!$F$6:$F$265,MATCH(Q344,I_COA!$A$6:$A$265,0)),"?"))))</f>
        <v/>
      </c>
    </row>
    <row r="345" customFormat="false" ht="15" hidden="false" customHeight="false" outlineLevel="0" collapsed="false">
      <c r="A345" s="37" t="n">
        <v>46241</v>
      </c>
      <c r="B345" s="44" t="s">
        <v>892</v>
      </c>
      <c r="C345" s="44" t="s">
        <v>594</v>
      </c>
      <c r="D345" s="44" t="n">
        <v>6200023</v>
      </c>
      <c r="E345" s="44" t="s">
        <v>688</v>
      </c>
      <c r="F345" s="44" t="s">
        <v>893</v>
      </c>
      <c r="G345" s="42"/>
      <c r="H345" s="42" t="n">
        <v>10000</v>
      </c>
      <c r="I345" s="44" t="s">
        <v>681</v>
      </c>
      <c r="J345" s="11" t="n">
        <f aca="false">IF(D345="","",N(G345)-N(H345))</f>
        <v>-10000</v>
      </c>
      <c r="K345" s="34" t="str">
        <f aca="false">IF(D345="","",IFERROR(INDEX(I_COA!$C$6:$C$265,MATCH(D345,I_COA!$A$6:$A$265,0)),"AKUN BARU"))</f>
        <v>LabaRugi</v>
      </c>
      <c r="L345" s="34" t="str">
        <f aca="false">IF(K345="LabaRugi",INDEX(I_COA!$D$6:$D$265,MATCH(D345,I_COA!$A$6:$A$265,0)),"")</f>
        <v>Tax expenses</v>
      </c>
      <c r="M345" s="34" t="str">
        <f aca="false">IF(K345="Neraca",INDEX(I_COA!$E$6:$E$265,MATCH(D345,I_COA!$A$6:$A$265,0)),"")</f>
        <v/>
      </c>
      <c r="N345" s="34" t="str">
        <f aca="false">IF(D345="","",IFERROR(INDEX(I_COA!$G$6:$G$265,MATCH(D345,I_COA!$A$6:$A$265,0)),"N"))</f>
        <v>N</v>
      </c>
      <c r="O345" s="11" t="n">
        <f aca="false">IF(N345="N",ABS(J345),"")</f>
        <v>10000</v>
      </c>
      <c r="P345" s="18" t="str">
        <f aca="false">IF(N345="N",B345&amp;"|"&amp;ROUND(O345,0),"")</f>
        <v>B8526080022|10000</v>
      </c>
      <c r="Q345" s="18" t="str">
        <f aca="false">IF(N345&lt;&gt;"Y","",IFERROR(INDEX($D$6:$D$4005,MATCH(B345&amp;"|"&amp;ROUND(_xlfn.MAXIFS($O$6:$O$4005,$B$6:$B$4005,B345,$N$6:$N$4005,"N"),0),$P$6:$P$4005,0)),"(tanpa lawan)"))</f>
        <v/>
      </c>
      <c r="R345" s="44"/>
      <c r="S345" s="9" t="str">
        <f aca="false">IF(N345&lt;&gt;"Y","",IF(R345&lt;&gt;"",R345,IF(Q345="(tanpa lawan)","Transfer antar rekening",IFERROR(INDEX(I_COA!$F$6:$F$265,MATCH(Q345,I_COA!$A$6:$A$265,0)),"?"))))</f>
        <v/>
      </c>
    </row>
    <row r="346" customFormat="false" ht="15" hidden="false" customHeight="false" outlineLevel="0" collapsed="false">
      <c r="A346" s="37" t="n">
        <v>46241</v>
      </c>
      <c r="B346" s="44" t="s">
        <v>892</v>
      </c>
      <c r="C346" s="44" t="s">
        <v>594</v>
      </c>
      <c r="D346" s="44" t="n">
        <v>1102002</v>
      </c>
      <c r="E346" s="44" t="s">
        <v>598</v>
      </c>
      <c r="F346" s="44" t="s">
        <v>893</v>
      </c>
      <c r="G346" s="42"/>
      <c r="H346" s="42" t="n">
        <v>8765000</v>
      </c>
      <c r="I346" s="44" t="s">
        <v>681</v>
      </c>
      <c r="J346" s="11" t="n">
        <f aca="false">IF(D346="","",N(G346)-N(H346))</f>
        <v>-8765000</v>
      </c>
      <c r="K346" s="34" t="str">
        <f aca="false">IF(D346="","",IFERROR(INDEX(I_COA!$C$6:$C$265,MATCH(D346,I_COA!$A$6:$A$265,0)),"AKUN BARU"))</f>
        <v>Neraca</v>
      </c>
      <c r="L346" s="34" t="str">
        <f aca="false">IF(K346="LabaRugi",INDEX(I_COA!$D$6:$D$265,MATCH(D346,I_COA!$A$6:$A$265,0)),"")</f>
        <v/>
      </c>
      <c r="M346" s="34" t="str">
        <f aca="false">IF(K346="Neraca",INDEX(I_COA!$E$6:$E$265,MATCH(D346,I_COA!$A$6:$A$265,0)),"")</f>
        <v>Cash and cash equivalents</v>
      </c>
      <c r="N346" s="34" t="str">
        <f aca="false">IF(D346="","",IFERROR(INDEX(I_COA!$G$6:$G$265,MATCH(D346,I_COA!$A$6:$A$265,0)),"N"))</f>
        <v>Y</v>
      </c>
      <c r="O346" s="11" t="str">
        <f aca="false">IF(N346="N",ABS(J346),"")</f>
        <v/>
      </c>
      <c r="P346" s="18" t="str">
        <f aca="false">IF(N346="N",B346&amp;"|"&amp;ROUND(O346,0),"")</f>
        <v/>
      </c>
      <c r="Q346" s="18" t="n">
        <f aca="false">IF(N346&lt;&gt;"Y","",IFERROR(INDEX($D$6:$D$4005,MATCH(B346&amp;"|"&amp;ROUND(_xlfn.MAXIFS($O$6:$O$4005,$B$6:$B$4005,B346,$N$6:$N$4005,"N"),0),$P$6:$P$4005,0)),"(tanpa lawan)"))</f>
        <v>2101003</v>
      </c>
      <c r="R346" s="44"/>
      <c r="S346" s="9" t="str">
        <f aca="false">IF(N346&lt;&gt;"Y","",IF(R346&lt;&gt;"",R346,IF(Q346="(tanpa lawan)","Transfer antar rekening",IFERROR(INDEX(I_COA!$F$6:$F$265,MATCH(Q346,I_COA!$A$6:$A$265,0)),"?"))))</f>
        <v>Bayar jasa (maklon, angkut, cold storage, sewa)</v>
      </c>
    </row>
    <row r="347" customFormat="false" ht="15" hidden="false" customHeight="false" outlineLevel="0" collapsed="false">
      <c r="A347" s="37" t="n">
        <v>46241</v>
      </c>
      <c r="B347" s="44" t="s">
        <v>894</v>
      </c>
      <c r="C347" s="44" t="s">
        <v>594</v>
      </c>
      <c r="D347" s="44" t="n">
        <v>2101001</v>
      </c>
      <c r="E347" s="44" t="s">
        <v>595</v>
      </c>
      <c r="F347" s="44" t="s">
        <v>895</v>
      </c>
      <c r="G347" s="42" t="n">
        <v>230990000</v>
      </c>
      <c r="H347" s="42"/>
      <c r="I347" s="44" t="s">
        <v>597</v>
      </c>
      <c r="J347" s="11" t="n">
        <f aca="false">IF(D347="","",N(G347)-N(H347))</f>
        <v>230990000</v>
      </c>
      <c r="K347" s="34" t="str">
        <f aca="false">IF(D347="","",IFERROR(INDEX(I_COA!$C$6:$C$265,MATCH(D347,I_COA!$A$6:$A$265,0)),"AKUN BARU"))</f>
        <v>Neraca</v>
      </c>
      <c r="L347" s="34" t="str">
        <f aca="false">IF(K347="LabaRugi",INDEX(I_COA!$D$6:$D$265,MATCH(D347,I_COA!$A$6:$A$265,0)),"")</f>
        <v/>
      </c>
      <c r="M347" s="34" t="str">
        <f aca="false">IF(K347="Neraca",INDEX(I_COA!$E$6:$E$265,MATCH(D347,I_COA!$A$6:$A$265,0)),"")</f>
        <v>Trade Payables - Third Parties</v>
      </c>
      <c r="N347" s="34" t="str">
        <f aca="false">IF(D347="","",IFERROR(INDEX(I_COA!$G$6:$G$265,MATCH(D347,I_COA!$A$6:$A$265,0)),"N"))</f>
        <v>N</v>
      </c>
      <c r="O347" s="11" t="n">
        <f aca="false">IF(N347="N",ABS(J347),"")</f>
        <v>230990000</v>
      </c>
      <c r="P347" s="18" t="str">
        <f aca="false">IF(N347="N",B347&amp;"|"&amp;ROUND(O347,0),"")</f>
        <v>B8526080023|230990000</v>
      </c>
      <c r="Q347" s="18" t="str">
        <f aca="false">IF(N347&lt;&gt;"Y","",IFERROR(INDEX($D$6:$D$4005,MATCH(B347&amp;"|"&amp;ROUND(_xlfn.MAXIFS($O$6:$O$4005,$B$6:$B$4005,B347,$N$6:$N$4005,"N"),0),$P$6:$P$4005,0)),"(tanpa lawan)"))</f>
        <v/>
      </c>
      <c r="R347" s="44"/>
      <c r="S347" s="9" t="str">
        <f aca="false">IF(N347&lt;&gt;"Y","",IF(R347&lt;&gt;"",R347,IF(Q347="(tanpa lawan)","Transfer antar rekening",IFERROR(INDEX(I_COA!$F$6:$F$265,MATCH(Q347,I_COA!$A$6:$A$265,0)),"?"))))</f>
        <v/>
      </c>
    </row>
    <row r="348" customFormat="false" ht="15" hidden="false" customHeight="false" outlineLevel="0" collapsed="false">
      <c r="A348" s="37" t="n">
        <v>46241</v>
      </c>
      <c r="B348" s="44" t="s">
        <v>894</v>
      </c>
      <c r="C348" s="44" t="s">
        <v>594</v>
      </c>
      <c r="D348" s="44" t="n">
        <v>1102002</v>
      </c>
      <c r="E348" s="44" t="s">
        <v>598</v>
      </c>
      <c r="F348" s="44" t="s">
        <v>895</v>
      </c>
      <c r="G348" s="42"/>
      <c r="H348" s="42" t="n">
        <v>230990000</v>
      </c>
      <c r="I348" s="44" t="s">
        <v>597</v>
      </c>
      <c r="J348" s="11" t="n">
        <f aca="false">IF(D348="","",N(G348)-N(H348))</f>
        <v>-230990000</v>
      </c>
      <c r="K348" s="34" t="str">
        <f aca="false">IF(D348="","",IFERROR(INDEX(I_COA!$C$6:$C$265,MATCH(D348,I_COA!$A$6:$A$265,0)),"AKUN BARU"))</f>
        <v>Neraca</v>
      </c>
      <c r="L348" s="34" t="str">
        <f aca="false">IF(K348="LabaRugi",INDEX(I_COA!$D$6:$D$265,MATCH(D348,I_COA!$A$6:$A$265,0)),"")</f>
        <v/>
      </c>
      <c r="M348" s="34" t="str">
        <f aca="false">IF(K348="Neraca",INDEX(I_COA!$E$6:$E$265,MATCH(D348,I_COA!$A$6:$A$265,0)),"")</f>
        <v>Cash and cash equivalents</v>
      </c>
      <c r="N348" s="34" t="str">
        <f aca="false">IF(D348="","",IFERROR(INDEX(I_COA!$G$6:$G$265,MATCH(D348,I_COA!$A$6:$A$265,0)),"N"))</f>
        <v>Y</v>
      </c>
      <c r="O348" s="11" t="str">
        <f aca="false">IF(N348="N",ABS(J348),"")</f>
        <v/>
      </c>
      <c r="P348" s="18" t="str">
        <f aca="false">IF(N348="N",B348&amp;"|"&amp;ROUND(O348,0),"")</f>
        <v/>
      </c>
      <c r="Q348" s="18" t="n">
        <f aca="false">IF(N348&lt;&gt;"Y","",IFERROR(INDEX($D$6:$D$4005,MATCH(B348&amp;"|"&amp;ROUND(_xlfn.MAXIFS($O$6:$O$4005,$B$6:$B$4005,B348,$N$6:$N$4005,"N"),0),$P$6:$P$4005,0)),"(tanpa lawan)"))</f>
        <v>2101001</v>
      </c>
      <c r="R348" s="44"/>
      <c r="S348" s="9" t="str">
        <f aca="false">IF(N348&lt;&gt;"Y","",IF(R348&lt;&gt;"",R348,IF(Q348="(tanpa lawan)","Transfer antar rekening",IFERROR(INDEX(I_COA!$F$6:$F$265,MATCH(Q348,I_COA!$A$6:$A$265,0)),"?"))))</f>
        <v>Bayar pemasok barang (live bird &amp; trading)</v>
      </c>
    </row>
    <row r="349" customFormat="false" ht="15" hidden="false" customHeight="false" outlineLevel="0" collapsed="false">
      <c r="A349" s="37" t="n">
        <v>46241</v>
      </c>
      <c r="B349" s="44" t="s">
        <v>896</v>
      </c>
      <c r="C349" s="44" t="s">
        <v>594</v>
      </c>
      <c r="D349" s="44" t="n">
        <v>2101001</v>
      </c>
      <c r="E349" s="44" t="s">
        <v>595</v>
      </c>
      <c r="F349" s="44" t="s">
        <v>897</v>
      </c>
      <c r="G349" s="42" t="n">
        <v>10719505</v>
      </c>
      <c r="H349" s="42"/>
      <c r="I349" s="44" t="s">
        <v>597</v>
      </c>
      <c r="J349" s="11" t="n">
        <f aca="false">IF(D349="","",N(G349)-N(H349))</f>
        <v>10719505</v>
      </c>
      <c r="K349" s="34" t="str">
        <f aca="false">IF(D349="","",IFERROR(INDEX(I_COA!$C$6:$C$265,MATCH(D349,I_COA!$A$6:$A$265,0)),"AKUN BARU"))</f>
        <v>Neraca</v>
      </c>
      <c r="L349" s="34" t="str">
        <f aca="false">IF(K349="LabaRugi",INDEX(I_COA!$D$6:$D$265,MATCH(D349,I_COA!$A$6:$A$265,0)),"")</f>
        <v/>
      </c>
      <c r="M349" s="34" t="str">
        <f aca="false">IF(K349="Neraca",INDEX(I_COA!$E$6:$E$265,MATCH(D349,I_COA!$A$6:$A$265,0)),"")</f>
        <v>Trade Payables - Third Parties</v>
      </c>
      <c r="N349" s="34" t="str">
        <f aca="false">IF(D349="","",IFERROR(INDEX(I_COA!$G$6:$G$265,MATCH(D349,I_COA!$A$6:$A$265,0)),"N"))</f>
        <v>N</v>
      </c>
      <c r="O349" s="11" t="n">
        <f aca="false">IF(N349="N",ABS(J349),"")</f>
        <v>10719505</v>
      </c>
      <c r="P349" s="18" t="str">
        <f aca="false">IF(N349="N",B349&amp;"|"&amp;ROUND(O349,0),"")</f>
        <v>B8526080024|10719505</v>
      </c>
      <c r="Q349" s="18" t="str">
        <f aca="false">IF(N349&lt;&gt;"Y","",IFERROR(INDEX($D$6:$D$4005,MATCH(B349&amp;"|"&amp;ROUND(_xlfn.MAXIFS($O$6:$O$4005,$B$6:$B$4005,B349,$N$6:$N$4005,"N"),0),$P$6:$P$4005,0)),"(tanpa lawan)"))</f>
        <v/>
      </c>
      <c r="R349" s="44"/>
      <c r="S349" s="9" t="str">
        <f aca="false">IF(N349&lt;&gt;"Y","",IF(R349&lt;&gt;"",R349,IF(Q349="(tanpa lawan)","Transfer antar rekening",IFERROR(INDEX(I_COA!$F$6:$F$265,MATCH(Q349,I_COA!$A$6:$A$265,0)),"?"))))</f>
        <v/>
      </c>
    </row>
    <row r="350" customFormat="false" ht="15" hidden="false" customHeight="false" outlineLevel="0" collapsed="false">
      <c r="A350" s="37" t="n">
        <v>46241</v>
      </c>
      <c r="B350" s="44" t="s">
        <v>896</v>
      </c>
      <c r="C350" s="44" t="s">
        <v>594</v>
      </c>
      <c r="D350" s="44" t="n">
        <v>2101001</v>
      </c>
      <c r="E350" s="44" t="s">
        <v>595</v>
      </c>
      <c r="F350" s="44" t="s">
        <v>897</v>
      </c>
      <c r="G350" s="42" t="n">
        <v>37519250</v>
      </c>
      <c r="H350" s="42"/>
      <c r="I350" s="44" t="s">
        <v>597</v>
      </c>
      <c r="J350" s="11" t="n">
        <f aca="false">IF(D350="","",N(G350)-N(H350))</f>
        <v>37519250</v>
      </c>
      <c r="K350" s="34" t="str">
        <f aca="false">IF(D350="","",IFERROR(INDEX(I_COA!$C$6:$C$265,MATCH(D350,I_COA!$A$6:$A$265,0)),"AKUN BARU"))</f>
        <v>Neraca</v>
      </c>
      <c r="L350" s="34" t="str">
        <f aca="false">IF(K350="LabaRugi",INDEX(I_COA!$D$6:$D$265,MATCH(D350,I_COA!$A$6:$A$265,0)),"")</f>
        <v/>
      </c>
      <c r="M350" s="34" t="str">
        <f aca="false">IF(K350="Neraca",INDEX(I_COA!$E$6:$E$265,MATCH(D350,I_COA!$A$6:$A$265,0)),"")</f>
        <v>Trade Payables - Third Parties</v>
      </c>
      <c r="N350" s="34" t="str">
        <f aca="false">IF(D350="","",IFERROR(INDEX(I_COA!$G$6:$G$265,MATCH(D350,I_COA!$A$6:$A$265,0)),"N"))</f>
        <v>N</v>
      </c>
      <c r="O350" s="11" t="n">
        <f aca="false">IF(N350="N",ABS(J350),"")</f>
        <v>37519250</v>
      </c>
      <c r="P350" s="18" t="str">
        <f aca="false">IF(N350="N",B350&amp;"|"&amp;ROUND(O350,0),"")</f>
        <v>B8526080024|37519250</v>
      </c>
      <c r="Q350" s="18" t="str">
        <f aca="false">IF(N350&lt;&gt;"Y","",IFERROR(INDEX($D$6:$D$4005,MATCH(B350&amp;"|"&amp;ROUND(_xlfn.MAXIFS($O$6:$O$4005,$B$6:$B$4005,B350,$N$6:$N$4005,"N"),0),$P$6:$P$4005,0)),"(tanpa lawan)"))</f>
        <v/>
      </c>
      <c r="R350" s="44"/>
      <c r="S350" s="9" t="str">
        <f aca="false">IF(N350&lt;&gt;"Y","",IF(R350&lt;&gt;"",R350,IF(Q350="(tanpa lawan)","Transfer antar rekening",IFERROR(INDEX(I_COA!$F$6:$F$265,MATCH(Q350,I_COA!$A$6:$A$265,0)),"?"))))</f>
        <v/>
      </c>
    </row>
    <row r="351" customFormat="false" ht="15" hidden="false" customHeight="false" outlineLevel="0" collapsed="false">
      <c r="A351" s="37" t="n">
        <v>46241</v>
      </c>
      <c r="B351" s="44" t="s">
        <v>896</v>
      </c>
      <c r="C351" s="44" t="s">
        <v>594</v>
      </c>
      <c r="D351" s="44" t="n">
        <v>1102002</v>
      </c>
      <c r="E351" s="44" t="s">
        <v>598</v>
      </c>
      <c r="F351" s="44" t="s">
        <v>897</v>
      </c>
      <c r="G351" s="42"/>
      <c r="H351" s="42" t="n">
        <v>48238755</v>
      </c>
      <c r="I351" s="44" t="s">
        <v>597</v>
      </c>
      <c r="J351" s="11" t="n">
        <f aca="false">IF(D351="","",N(G351)-N(H351))</f>
        <v>-48238755</v>
      </c>
      <c r="K351" s="34" t="str">
        <f aca="false">IF(D351="","",IFERROR(INDEX(I_COA!$C$6:$C$265,MATCH(D351,I_COA!$A$6:$A$265,0)),"AKUN BARU"))</f>
        <v>Neraca</v>
      </c>
      <c r="L351" s="34" t="str">
        <f aca="false">IF(K351="LabaRugi",INDEX(I_COA!$D$6:$D$265,MATCH(D351,I_COA!$A$6:$A$265,0)),"")</f>
        <v/>
      </c>
      <c r="M351" s="34" t="str">
        <f aca="false">IF(K351="Neraca",INDEX(I_COA!$E$6:$E$265,MATCH(D351,I_COA!$A$6:$A$265,0)),"")</f>
        <v>Cash and cash equivalents</v>
      </c>
      <c r="N351" s="34" t="str">
        <f aca="false">IF(D351="","",IFERROR(INDEX(I_COA!$G$6:$G$265,MATCH(D351,I_COA!$A$6:$A$265,0)),"N"))</f>
        <v>Y</v>
      </c>
      <c r="O351" s="11" t="str">
        <f aca="false">IF(N351="N",ABS(J351),"")</f>
        <v/>
      </c>
      <c r="P351" s="18" t="str">
        <f aca="false">IF(N351="N",B351&amp;"|"&amp;ROUND(O351,0),"")</f>
        <v/>
      </c>
      <c r="Q351" s="18" t="n">
        <f aca="false">IF(N351&lt;&gt;"Y","",IFERROR(INDEX($D$6:$D$4005,MATCH(B351&amp;"|"&amp;ROUND(_xlfn.MAXIFS($O$6:$O$4005,$B$6:$B$4005,B351,$N$6:$N$4005,"N"),0),$P$6:$P$4005,0)),"(tanpa lawan)"))</f>
        <v>2101001</v>
      </c>
      <c r="R351" s="44"/>
      <c r="S351" s="9" t="str">
        <f aca="false">IF(N351&lt;&gt;"Y","",IF(R351&lt;&gt;"",R351,IF(Q351="(tanpa lawan)","Transfer antar rekening",IFERROR(INDEX(I_COA!$F$6:$F$265,MATCH(Q351,I_COA!$A$6:$A$265,0)),"?"))))</f>
        <v>Bayar pemasok barang (live bird &amp; trading)</v>
      </c>
    </row>
    <row r="352" customFormat="false" ht="15" hidden="false" customHeight="false" outlineLevel="0" collapsed="false">
      <c r="A352" s="37" t="n">
        <v>46241</v>
      </c>
      <c r="B352" s="44" t="s">
        <v>898</v>
      </c>
      <c r="C352" s="44" t="s">
        <v>594</v>
      </c>
      <c r="D352" s="44" t="n">
        <v>2101003</v>
      </c>
      <c r="E352" s="44" t="s">
        <v>679</v>
      </c>
      <c r="F352" s="44" t="s">
        <v>899</v>
      </c>
      <c r="G352" s="42" t="n">
        <v>803600</v>
      </c>
      <c r="H352" s="42"/>
      <c r="I352" s="44" t="s">
        <v>900</v>
      </c>
      <c r="J352" s="11" t="n">
        <f aca="false">IF(D352="","",N(G352)-N(H352))</f>
        <v>803600</v>
      </c>
      <c r="K352" s="34" t="str">
        <f aca="false">IF(D352="","",IFERROR(INDEX(I_COA!$C$6:$C$265,MATCH(D352,I_COA!$A$6:$A$265,0)),"AKUN BARU"))</f>
        <v>Neraca</v>
      </c>
      <c r="L352" s="34" t="str">
        <f aca="false">IF(K352="LabaRugi",INDEX(I_COA!$D$6:$D$265,MATCH(D352,I_COA!$A$6:$A$265,0)),"")</f>
        <v/>
      </c>
      <c r="M352" s="34" t="str">
        <f aca="false">IF(K352="Neraca",INDEX(I_COA!$E$6:$E$265,MATCH(D352,I_COA!$A$6:$A$265,0)),"")</f>
        <v>Other Payable - Third Parties</v>
      </c>
      <c r="N352" s="34" t="str">
        <f aca="false">IF(D352="","",IFERROR(INDEX(I_COA!$G$6:$G$265,MATCH(D352,I_COA!$A$6:$A$265,0)),"N"))</f>
        <v>N</v>
      </c>
      <c r="O352" s="11" t="n">
        <f aca="false">IF(N352="N",ABS(J352),"")</f>
        <v>803600</v>
      </c>
      <c r="P352" s="18" t="str">
        <f aca="false">IF(N352="N",B352&amp;"|"&amp;ROUND(O352,0),"")</f>
        <v>B8526080025|803600</v>
      </c>
      <c r="Q352" s="18" t="str">
        <f aca="false">IF(N352&lt;&gt;"Y","",IFERROR(INDEX($D$6:$D$4005,MATCH(B352&amp;"|"&amp;ROUND(_xlfn.MAXIFS($O$6:$O$4005,$B$6:$B$4005,B352,$N$6:$N$4005,"N"),0),$P$6:$P$4005,0)),"(tanpa lawan)"))</f>
        <v/>
      </c>
      <c r="R352" s="44"/>
      <c r="S352" s="9" t="str">
        <f aca="false">IF(N352&lt;&gt;"Y","",IF(R352&lt;&gt;"",R352,IF(Q352="(tanpa lawan)","Transfer antar rekening",IFERROR(INDEX(I_COA!$F$6:$F$265,MATCH(Q352,I_COA!$A$6:$A$265,0)),"?"))))</f>
        <v/>
      </c>
    </row>
    <row r="353" customFormat="false" ht="15" hidden="false" customHeight="false" outlineLevel="0" collapsed="false">
      <c r="A353" s="37" t="n">
        <v>46241</v>
      </c>
      <c r="B353" s="44" t="s">
        <v>898</v>
      </c>
      <c r="C353" s="44" t="s">
        <v>594</v>
      </c>
      <c r="D353" s="44" t="n">
        <v>1102002</v>
      </c>
      <c r="E353" s="44" t="s">
        <v>598</v>
      </c>
      <c r="F353" s="44" t="s">
        <v>899</v>
      </c>
      <c r="G353" s="42"/>
      <c r="H353" s="42" t="n">
        <v>803600</v>
      </c>
      <c r="I353" s="44" t="s">
        <v>900</v>
      </c>
      <c r="J353" s="11" t="n">
        <f aca="false">IF(D353="","",N(G353)-N(H353))</f>
        <v>-803600</v>
      </c>
      <c r="K353" s="34" t="str">
        <f aca="false">IF(D353="","",IFERROR(INDEX(I_COA!$C$6:$C$265,MATCH(D353,I_COA!$A$6:$A$265,0)),"AKUN BARU"))</f>
        <v>Neraca</v>
      </c>
      <c r="L353" s="34" t="str">
        <f aca="false">IF(K353="LabaRugi",INDEX(I_COA!$D$6:$D$265,MATCH(D353,I_COA!$A$6:$A$265,0)),"")</f>
        <v/>
      </c>
      <c r="M353" s="34" t="str">
        <f aca="false">IF(K353="Neraca",INDEX(I_COA!$E$6:$E$265,MATCH(D353,I_COA!$A$6:$A$265,0)),"")</f>
        <v>Cash and cash equivalents</v>
      </c>
      <c r="N353" s="34" t="str">
        <f aca="false">IF(D353="","",IFERROR(INDEX(I_COA!$G$6:$G$265,MATCH(D353,I_COA!$A$6:$A$265,0)),"N"))</f>
        <v>Y</v>
      </c>
      <c r="O353" s="11" t="str">
        <f aca="false">IF(N353="N",ABS(J353),"")</f>
        <v/>
      </c>
      <c r="P353" s="18" t="str">
        <f aca="false">IF(N353="N",B353&amp;"|"&amp;ROUND(O353,0),"")</f>
        <v/>
      </c>
      <c r="Q353" s="18" t="n">
        <f aca="false">IF(N353&lt;&gt;"Y","",IFERROR(INDEX($D$6:$D$4005,MATCH(B353&amp;"|"&amp;ROUND(_xlfn.MAXIFS($O$6:$O$4005,$B$6:$B$4005,B353,$N$6:$N$4005,"N"),0),$P$6:$P$4005,0)),"(tanpa lawan)"))</f>
        <v>2101003</v>
      </c>
      <c r="R353" s="44"/>
      <c r="S353" s="9" t="str">
        <f aca="false">IF(N353&lt;&gt;"Y","",IF(R353&lt;&gt;"",R353,IF(Q353="(tanpa lawan)","Transfer antar rekening",IFERROR(INDEX(I_COA!$F$6:$F$265,MATCH(Q353,I_COA!$A$6:$A$265,0)),"?"))))</f>
        <v>Bayar jasa (maklon, angkut, cold storage, sewa)</v>
      </c>
    </row>
    <row r="354" customFormat="false" ht="15" hidden="false" customHeight="false" outlineLevel="0" collapsed="false">
      <c r="A354" s="37" t="n">
        <v>46241</v>
      </c>
      <c r="B354" s="44" t="s">
        <v>901</v>
      </c>
      <c r="C354" s="44" t="s">
        <v>594</v>
      </c>
      <c r="D354" s="44" t="n">
        <v>2101003</v>
      </c>
      <c r="E354" s="44" t="s">
        <v>679</v>
      </c>
      <c r="F354" s="44" t="s">
        <v>902</v>
      </c>
      <c r="G354" s="42" t="n">
        <v>44690000</v>
      </c>
      <c r="H354" s="42"/>
      <c r="I354" s="44" t="s">
        <v>903</v>
      </c>
      <c r="J354" s="11" t="n">
        <f aca="false">IF(D354="","",N(G354)-N(H354))</f>
        <v>44690000</v>
      </c>
      <c r="K354" s="34" t="str">
        <f aca="false">IF(D354="","",IFERROR(INDEX(I_COA!$C$6:$C$265,MATCH(D354,I_COA!$A$6:$A$265,0)),"AKUN BARU"))</f>
        <v>Neraca</v>
      </c>
      <c r="L354" s="34" t="str">
        <f aca="false">IF(K354="LabaRugi",INDEX(I_COA!$D$6:$D$265,MATCH(D354,I_COA!$A$6:$A$265,0)),"")</f>
        <v/>
      </c>
      <c r="M354" s="34" t="str">
        <f aca="false">IF(K354="Neraca",INDEX(I_COA!$E$6:$E$265,MATCH(D354,I_COA!$A$6:$A$265,0)),"")</f>
        <v>Other Payable - Third Parties</v>
      </c>
      <c r="N354" s="34" t="str">
        <f aca="false">IF(D354="","",IFERROR(INDEX(I_COA!$G$6:$G$265,MATCH(D354,I_COA!$A$6:$A$265,0)),"N"))</f>
        <v>N</v>
      </c>
      <c r="O354" s="11" t="n">
        <f aca="false">IF(N354="N",ABS(J354),"")</f>
        <v>44690000</v>
      </c>
      <c r="P354" s="18" t="str">
        <f aca="false">IF(N354="N",B354&amp;"|"&amp;ROUND(O354,0),"")</f>
        <v>B8526080026|44690000</v>
      </c>
      <c r="Q354" s="18" t="str">
        <f aca="false">IF(N354&lt;&gt;"Y","",IFERROR(INDEX($D$6:$D$4005,MATCH(B354&amp;"|"&amp;ROUND(_xlfn.MAXIFS($O$6:$O$4005,$B$6:$B$4005,B354,$N$6:$N$4005,"N"),0),$P$6:$P$4005,0)),"(tanpa lawan)"))</f>
        <v/>
      </c>
      <c r="R354" s="44"/>
      <c r="S354" s="9" t="str">
        <f aca="false">IF(N354&lt;&gt;"Y","",IF(R354&lt;&gt;"",R354,IF(Q354="(tanpa lawan)","Transfer antar rekening",IFERROR(INDEX(I_COA!$F$6:$F$265,MATCH(Q354,I_COA!$A$6:$A$265,0)),"?"))))</f>
        <v/>
      </c>
    </row>
    <row r="355" customFormat="false" ht="15" hidden="false" customHeight="false" outlineLevel="0" collapsed="false">
      <c r="A355" s="37" t="n">
        <v>46241</v>
      </c>
      <c r="B355" s="44" t="s">
        <v>901</v>
      </c>
      <c r="C355" s="44" t="s">
        <v>594</v>
      </c>
      <c r="D355" s="44" t="n">
        <v>1102002</v>
      </c>
      <c r="E355" s="44" t="s">
        <v>598</v>
      </c>
      <c r="F355" s="44" t="s">
        <v>902</v>
      </c>
      <c r="G355" s="42"/>
      <c r="H355" s="42" t="n">
        <v>44690000</v>
      </c>
      <c r="I355" s="44" t="s">
        <v>903</v>
      </c>
      <c r="J355" s="11" t="n">
        <f aca="false">IF(D355="","",N(G355)-N(H355))</f>
        <v>-44690000</v>
      </c>
      <c r="K355" s="34" t="str">
        <f aca="false">IF(D355="","",IFERROR(INDEX(I_COA!$C$6:$C$265,MATCH(D355,I_COA!$A$6:$A$265,0)),"AKUN BARU"))</f>
        <v>Neraca</v>
      </c>
      <c r="L355" s="34" t="str">
        <f aca="false">IF(K355="LabaRugi",INDEX(I_COA!$D$6:$D$265,MATCH(D355,I_COA!$A$6:$A$265,0)),"")</f>
        <v/>
      </c>
      <c r="M355" s="34" t="str">
        <f aca="false">IF(K355="Neraca",INDEX(I_COA!$E$6:$E$265,MATCH(D355,I_COA!$A$6:$A$265,0)),"")</f>
        <v>Cash and cash equivalents</v>
      </c>
      <c r="N355" s="34" t="str">
        <f aca="false">IF(D355="","",IFERROR(INDEX(I_COA!$G$6:$G$265,MATCH(D355,I_COA!$A$6:$A$265,0)),"N"))</f>
        <v>Y</v>
      </c>
      <c r="O355" s="11" t="str">
        <f aca="false">IF(N355="N",ABS(J355),"")</f>
        <v/>
      </c>
      <c r="P355" s="18" t="str">
        <f aca="false">IF(N355="N",B355&amp;"|"&amp;ROUND(O355,0),"")</f>
        <v/>
      </c>
      <c r="Q355" s="18" t="n">
        <f aca="false">IF(N355&lt;&gt;"Y","",IFERROR(INDEX($D$6:$D$4005,MATCH(B355&amp;"|"&amp;ROUND(_xlfn.MAXIFS($O$6:$O$4005,$B$6:$B$4005,B355,$N$6:$N$4005,"N"),0),$P$6:$P$4005,0)),"(tanpa lawan)"))</f>
        <v>2101003</v>
      </c>
      <c r="R355" s="44"/>
      <c r="S355" s="9" t="str">
        <f aca="false">IF(N355&lt;&gt;"Y","",IF(R355&lt;&gt;"",R355,IF(Q355="(tanpa lawan)","Transfer antar rekening",IFERROR(INDEX(I_COA!$F$6:$F$265,MATCH(Q355,I_COA!$A$6:$A$265,0)),"?"))))</f>
        <v>Bayar jasa (maklon, angkut, cold storage, sewa)</v>
      </c>
    </row>
    <row r="356" customFormat="false" ht="15" hidden="false" customHeight="false" outlineLevel="0" collapsed="false">
      <c r="A356" s="37" t="n">
        <v>46241</v>
      </c>
      <c r="B356" s="44" t="s">
        <v>904</v>
      </c>
      <c r="C356" s="44" t="s">
        <v>580</v>
      </c>
      <c r="D356" s="44" t="n">
        <v>7200003</v>
      </c>
      <c r="E356" s="44" t="s">
        <v>581</v>
      </c>
      <c r="F356" s="44" t="s">
        <v>905</v>
      </c>
      <c r="G356" s="42" t="n">
        <v>2500</v>
      </c>
      <c r="H356" s="42"/>
      <c r="I356" s="44"/>
      <c r="J356" s="11" t="n">
        <f aca="false">IF(D356="","",N(G356)-N(H356))</f>
        <v>2500</v>
      </c>
      <c r="K356" s="34" t="str">
        <f aca="false">IF(D356="","",IFERROR(INDEX(I_COA!$C$6:$C$265,MATCH(D356,I_COA!$A$6:$A$265,0)),"AKUN BARU"))</f>
        <v>LabaRugi</v>
      </c>
      <c r="L356" s="34" t="str">
        <f aca="false">IF(K356="LabaRugi",INDEX(I_COA!$D$6:$D$265,MATCH(D356,I_COA!$A$6:$A$265,0)),"")</f>
        <v>Other Expense</v>
      </c>
      <c r="M356" s="34" t="str">
        <f aca="false">IF(K356="Neraca",INDEX(I_COA!$E$6:$E$265,MATCH(D356,I_COA!$A$6:$A$265,0)),"")</f>
        <v/>
      </c>
      <c r="N356" s="34" t="str">
        <f aca="false">IF(D356="","",IFERROR(INDEX(I_COA!$G$6:$G$265,MATCH(D356,I_COA!$A$6:$A$265,0)),"N"))</f>
        <v>N</v>
      </c>
      <c r="O356" s="11" t="n">
        <f aca="false">IF(N356="N",ABS(J356),"")</f>
        <v>2500</v>
      </c>
      <c r="P356" s="18" t="str">
        <f aca="false">IF(N356="N",B356&amp;"|"&amp;ROUND(O356,0),"")</f>
        <v>B8526080027|2500</v>
      </c>
      <c r="Q356" s="18" t="str">
        <f aca="false">IF(N356&lt;&gt;"Y","",IFERROR(INDEX($D$6:$D$4005,MATCH(B356&amp;"|"&amp;ROUND(_xlfn.MAXIFS($O$6:$O$4005,$B$6:$B$4005,B356,$N$6:$N$4005,"N"),0),$P$6:$P$4005,0)),"(tanpa lawan)"))</f>
        <v/>
      </c>
      <c r="R356" s="44"/>
      <c r="S356" s="9" t="str">
        <f aca="false">IF(N356&lt;&gt;"Y","",IF(R356&lt;&gt;"",R356,IF(Q356="(tanpa lawan)","Transfer antar rekening",IFERROR(INDEX(I_COA!$F$6:$F$265,MATCH(Q356,I_COA!$A$6:$A$265,0)),"?"))))</f>
        <v/>
      </c>
    </row>
    <row r="357" customFormat="false" ht="15" hidden="false" customHeight="false" outlineLevel="0" collapsed="false">
      <c r="A357" s="37" t="n">
        <v>46241</v>
      </c>
      <c r="B357" s="44" t="s">
        <v>904</v>
      </c>
      <c r="C357" s="44" t="s">
        <v>580</v>
      </c>
      <c r="D357" s="44" t="n">
        <v>1102002</v>
      </c>
      <c r="E357" s="44" t="s">
        <v>598</v>
      </c>
      <c r="F357" s="44" t="s">
        <v>902</v>
      </c>
      <c r="G357" s="42"/>
      <c r="H357" s="42" t="n">
        <v>2500</v>
      </c>
      <c r="I357" s="44"/>
      <c r="J357" s="11" t="n">
        <f aca="false">IF(D357="","",N(G357)-N(H357))</f>
        <v>-2500</v>
      </c>
      <c r="K357" s="34" t="str">
        <f aca="false">IF(D357="","",IFERROR(INDEX(I_COA!$C$6:$C$265,MATCH(D357,I_COA!$A$6:$A$265,0)),"AKUN BARU"))</f>
        <v>Neraca</v>
      </c>
      <c r="L357" s="34" t="str">
        <f aca="false">IF(K357="LabaRugi",INDEX(I_COA!$D$6:$D$265,MATCH(D357,I_COA!$A$6:$A$265,0)),"")</f>
        <v/>
      </c>
      <c r="M357" s="34" t="str">
        <f aca="false">IF(K357="Neraca",INDEX(I_COA!$E$6:$E$265,MATCH(D357,I_COA!$A$6:$A$265,0)),"")</f>
        <v>Cash and cash equivalents</v>
      </c>
      <c r="N357" s="34" t="str">
        <f aca="false">IF(D357="","",IFERROR(INDEX(I_COA!$G$6:$G$265,MATCH(D357,I_COA!$A$6:$A$265,0)),"N"))</f>
        <v>Y</v>
      </c>
      <c r="O357" s="11" t="str">
        <f aca="false">IF(N357="N",ABS(J357),"")</f>
        <v/>
      </c>
      <c r="P357" s="18" t="str">
        <f aca="false">IF(N357="N",B357&amp;"|"&amp;ROUND(O357,0),"")</f>
        <v/>
      </c>
      <c r="Q357" s="18" t="n">
        <f aca="false">IF(N357&lt;&gt;"Y","",IFERROR(INDEX($D$6:$D$4005,MATCH(B357&amp;"|"&amp;ROUND(_xlfn.MAXIFS($O$6:$O$4005,$B$6:$B$4005,B357,$N$6:$N$4005,"N"),0),$P$6:$P$4005,0)),"(tanpa lawan)"))</f>
        <v>7200003</v>
      </c>
      <c r="R357" s="44"/>
      <c r="S357" s="9" t="str">
        <f aca="false">IF(N357&lt;&gt;"Y","",IF(R357&lt;&gt;"",R357,IF(Q357="(tanpa lawan)","Transfer antar rekening",IFERROR(INDEX(I_COA!$F$6:$F$265,MATCH(Q357,I_COA!$A$6:$A$265,0)),"?"))))</f>
        <v>Bunga &amp; biaya bank</v>
      </c>
    </row>
    <row r="358" customFormat="false" ht="15" hidden="false" customHeight="false" outlineLevel="0" collapsed="false">
      <c r="A358" s="37" t="n">
        <v>46241</v>
      </c>
      <c r="B358" s="44" t="s">
        <v>906</v>
      </c>
      <c r="C358" s="44" t="s">
        <v>594</v>
      </c>
      <c r="D358" s="44" t="n">
        <v>2101003</v>
      </c>
      <c r="E358" s="44" t="s">
        <v>679</v>
      </c>
      <c r="F358" s="44" t="s">
        <v>907</v>
      </c>
      <c r="G358" s="42" t="n">
        <v>41856000</v>
      </c>
      <c r="H358" s="42"/>
      <c r="I358" s="44" t="s">
        <v>903</v>
      </c>
      <c r="J358" s="11" t="n">
        <f aca="false">IF(D358="","",N(G358)-N(H358))</f>
        <v>41856000</v>
      </c>
      <c r="K358" s="34" t="str">
        <f aca="false">IF(D358="","",IFERROR(INDEX(I_COA!$C$6:$C$265,MATCH(D358,I_COA!$A$6:$A$265,0)),"AKUN BARU"))</f>
        <v>Neraca</v>
      </c>
      <c r="L358" s="34" t="str">
        <f aca="false">IF(K358="LabaRugi",INDEX(I_COA!$D$6:$D$265,MATCH(D358,I_COA!$A$6:$A$265,0)),"")</f>
        <v/>
      </c>
      <c r="M358" s="34" t="str">
        <f aca="false">IF(K358="Neraca",INDEX(I_COA!$E$6:$E$265,MATCH(D358,I_COA!$A$6:$A$265,0)),"")</f>
        <v>Other Payable - Third Parties</v>
      </c>
      <c r="N358" s="34" t="str">
        <f aca="false">IF(D358="","",IFERROR(INDEX(I_COA!$G$6:$G$265,MATCH(D358,I_COA!$A$6:$A$265,0)),"N"))</f>
        <v>N</v>
      </c>
      <c r="O358" s="11" t="n">
        <f aca="false">IF(N358="N",ABS(J358),"")</f>
        <v>41856000</v>
      </c>
      <c r="P358" s="18" t="str">
        <f aca="false">IF(N358="N",B358&amp;"|"&amp;ROUND(O358,0),"")</f>
        <v>B8526080028|41856000</v>
      </c>
      <c r="Q358" s="18" t="str">
        <f aca="false">IF(N358&lt;&gt;"Y","",IFERROR(INDEX($D$6:$D$4005,MATCH(B358&amp;"|"&amp;ROUND(_xlfn.MAXIFS($O$6:$O$4005,$B$6:$B$4005,B358,$N$6:$N$4005,"N"),0),$P$6:$P$4005,0)),"(tanpa lawan)"))</f>
        <v/>
      </c>
      <c r="R358" s="44"/>
      <c r="S358" s="9" t="str">
        <f aca="false">IF(N358&lt;&gt;"Y","",IF(R358&lt;&gt;"",R358,IF(Q358="(tanpa lawan)","Transfer antar rekening",IFERROR(INDEX(I_COA!$F$6:$F$265,MATCH(Q358,I_COA!$A$6:$A$265,0)),"?"))))</f>
        <v/>
      </c>
    </row>
    <row r="359" customFormat="false" ht="15" hidden="false" customHeight="false" outlineLevel="0" collapsed="false">
      <c r="A359" s="37" t="n">
        <v>46241</v>
      </c>
      <c r="B359" s="44" t="s">
        <v>906</v>
      </c>
      <c r="C359" s="44" t="s">
        <v>594</v>
      </c>
      <c r="D359" s="44" t="n">
        <v>1102002</v>
      </c>
      <c r="E359" s="44" t="s">
        <v>598</v>
      </c>
      <c r="F359" s="44" t="s">
        <v>907</v>
      </c>
      <c r="G359" s="42"/>
      <c r="H359" s="42" t="n">
        <v>41856000</v>
      </c>
      <c r="I359" s="44" t="s">
        <v>903</v>
      </c>
      <c r="J359" s="11" t="n">
        <f aca="false">IF(D359="","",N(G359)-N(H359))</f>
        <v>-41856000</v>
      </c>
      <c r="K359" s="34" t="str">
        <f aca="false">IF(D359="","",IFERROR(INDEX(I_COA!$C$6:$C$265,MATCH(D359,I_COA!$A$6:$A$265,0)),"AKUN BARU"))</f>
        <v>Neraca</v>
      </c>
      <c r="L359" s="34" t="str">
        <f aca="false">IF(K359="LabaRugi",INDEX(I_COA!$D$6:$D$265,MATCH(D359,I_COA!$A$6:$A$265,0)),"")</f>
        <v/>
      </c>
      <c r="M359" s="34" t="str">
        <f aca="false">IF(K359="Neraca",INDEX(I_COA!$E$6:$E$265,MATCH(D359,I_COA!$A$6:$A$265,0)),"")</f>
        <v>Cash and cash equivalents</v>
      </c>
      <c r="N359" s="34" t="str">
        <f aca="false">IF(D359="","",IFERROR(INDEX(I_COA!$G$6:$G$265,MATCH(D359,I_COA!$A$6:$A$265,0)),"N"))</f>
        <v>Y</v>
      </c>
      <c r="O359" s="11" t="str">
        <f aca="false">IF(N359="N",ABS(J359),"")</f>
        <v/>
      </c>
      <c r="P359" s="18" t="str">
        <f aca="false">IF(N359="N",B359&amp;"|"&amp;ROUND(O359,0),"")</f>
        <v/>
      </c>
      <c r="Q359" s="18" t="n">
        <f aca="false">IF(N359&lt;&gt;"Y","",IFERROR(INDEX($D$6:$D$4005,MATCH(B359&amp;"|"&amp;ROUND(_xlfn.MAXIFS($O$6:$O$4005,$B$6:$B$4005,B359,$N$6:$N$4005,"N"),0),$P$6:$P$4005,0)),"(tanpa lawan)"))</f>
        <v>2101003</v>
      </c>
      <c r="R359" s="44"/>
      <c r="S359" s="9" t="str">
        <f aca="false">IF(N359&lt;&gt;"Y","",IF(R359&lt;&gt;"",R359,IF(Q359="(tanpa lawan)","Transfer antar rekening",IFERROR(INDEX(I_COA!$F$6:$F$265,MATCH(Q359,I_COA!$A$6:$A$265,0)),"?"))))</f>
        <v>Bayar jasa (maklon, angkut, cold storage, sewa)</v>
      </c>
    </row>
    <row r="360" customFormat="false" ht="15" hidden="false" customHeight="false" outlineLevel="0" collapsed="false">
      <c r="A360" s="37" t="n">
        <v>46241</v>
      </c>
      <c r="B360" s="44" t="s">
        <v>908</v>
      </c>
      <c r="C360" s="44" t="s">
        <v>580</v>
      </c>
      <c r="D360" s="44" t="n">
        <v>7200003</v>
      </c>
      <c r="E360" s="44" t="s">
        <v>581</v>
      </c>
      <c r="F360" s="44" t="s">
        <v>905</v>
      </c>
      <c r="G360" s="42" t="n">
        <v>2500</v>
      </c>
      <c r="H360" s="42"/>
      <c r="I360" s="44"/>
      <c r="J360" s="11" t="n">
        <f aca="false">IF(D360="","",N(G360)-N(H360))</f>
        <v>2500</v>
      </c>
      <c r="K360" s="34" t="str">
        <f aca="false">IF(D360="","",IFERROR(INDEX(I_COA!$C$6:$C$265,MATCH(D360,I_COA!$A$6:$A$265,0)),"AKUN BARU"))</f>
        <v>LabaRugi</v>
      </c>
      <c r="L360" s="34" t="str">
        <f aca="false">IF(K360="LabaRugi",INDEX(I_COA!$D$6:$D$265,MATCH(D360,I_COA!$A$6:$A$265,0)),"")</f>
        <v>Other Expense</v>
      </c>
      <c r="M360" s="34" t="str">
        <f aca="false">IF(K360="Neraca",INDEX(I_COA!$E$6:$E$265,MATCH(D360,I_COA!$A$6:$A$265,0)),"")</f>
        <v/>
      </c>
      <c r="N360" s="34" t="str">
        <f aca="false">IF(D360="","",IFERROR(INDEX(I_COA!$G$6:$G$265,MATCH(D360,I_COA!$A$6:$A$265,0)),"N"))</f>
        <v>N</v>
      </c>
      <c r="O360" s="11" t="n">
        <f aca="false">IF(N360="N",ABS(J360),"")</f>
        <v>2500</v>
      </c>
      <c r="P360" s="18" t="str">
        <f aca="false">IF(N360="N",B360&amp;"|"&amp;ROUND(O360,0),"")</f>
        <v>B8526080029|2500</v>
      </c>
      <c r="Q360" s="18" t="str">
        <f aca="false">IF(N360&lt;&gt;"Y","",IFERROR(INDEX($D$6:$D$4005,MATCH(B360&amp;"|"&amp;ROUND(_xlfn.MAXIFS($O$6:$O$4005,$B$6:$B$4005,B360,$N$6:$N$4005,"N"),0),$P$6:$P$4005,0)),"(tanpa lawan)"))</f>
        <v/>
      </c>
      <c r="R360" s="44"/>
      <c r="S360" s="9" t="str">
        <f aca="false">IF(N360&lt;&gt;"Y","",IF(R360&lt;&gt;"",R360,IF(Q360="(tanpa lawan)","Transfer antar rekening",IFERROR(INDEX(I_COA!$F$6:$F$265,MATCH(Q360,I_COA!$A$6:$A$265,0)),"?"))))</f>
        <v/>
      </c>
    </row>
    <row r="361" customFormat="false" ht="15" hidden="false" customHeight="false" outlineLevel="0" collapsed="false">
      <c r="A361" s="37" t="n">
        <v>46241</v>
      </c>
      <c r="B361" s="44" t="s">
        <v>908</v>
      </c>
      <c r="C361" s="44" t="s">
        <v>580</v>
      </c>
      <c r="D361" s="44" t="n">
        <v>1102002</v>
      </c>
      <c r="E361" s="44" t="s">
        <v>598</v>
      </c>
      <c r="F361" s="44" t="s">
        <v>907</v>
      </c>
      <c r="G361" s="42"/>
      <c r="H361" s="42" t="n">
        <v>2500</v>
      </c>
      <c r="I361" s="44"/>
      <c r="J361" s="11" t="n">
        <f aca="false">IF(D361="","",N(G361)-N(H361))</f>
        <v>-2500</v>
      </c>
      <c r="K361" s="34" t="str">
        <f aca="false">IF(D361="","",IFERROR(INDEX(I_COA!$C$6:$C$265,MATCH(D361,I_COA!$A$6:$A$265,0)),"AKUN BARU"))</f>
        <v>Neraca</v>
      </c>
      <c r="L361" s="34" t="str">
        <f aca="false">IF(K361="LabaRugi",INDEX(I_COA!$D$6:$D$265,MATCH(D361,I_COA!$A$6:$A$265,0)),"")</f>
        <v/>
      </c>
      <c r="M361" s="34" t="str">
        <f aca="false">IF(K361="Neraca",INDEX(I_COA!$E$6:$E$265,MATCH(D361,I_COA!$A$6:$A$265,0)),"")</f>
        <v>Cash and cash equivalents</v>
      </c>
      <c r="N361" s="34" t="str">
        <f aca="false">IF(D361="","",IFERROR(INDEX(I_COA!$G$6:$G$265,MATCH(D361,I_COA!$A$6:$A$265,0)),"N"))</f>
        <v>Y</v>
      </c>
      <c r="O361" s="11" t="str">
        <f aca="false">IF(N361="N",ABS(J361),"")</f>
        <v/>
      </c>
      <c r="P361" s="18" t="str">
        <f aca="false">IF(N361="N",B361&amp;"|"&amp;ROUND(O361,0),"")</f>
        <v/>
      </c>
      <c r="Q361" s="18" t="n">
        <f aca="false">IF(N361&lt;&gt;"Y","",IFERROR(INDEX($D$6:$D$4005,MATCH(B361&amp;"|"&amp;ROUND(_xlfn.MAXIFS($O$6:$O$4005,$B$6:$B$4005,B361,$N$6:$N$4005,"N"),0),$P$6:$P$4005,0)),"(tanpa lawan)"))</f>
        <v>7200003</v>
      </c>
      <c r="R361" s="44"/>
      <c r="S361" s="9" t="str">
        <f aca="false">IF(N361&lt;&gt;"Y","",IF(R361&lt;&gt;"",R361,IF(Q361="(tanpa lawan)","Transfer antar rekening",IFERROR(INDEX(I_COA!$F$6:$F$265,MATCH(Q361,I_COA!$A$6:$A$265,0)),"?"))))</f>
        <v>Bunga &amp; biaya bank</v>
      </c>
    </row>
    <row r="362" customFormat="false" ht="15" hidden="false" customHeight="false" outlineLevel="0" collapsed="false">
      <c r="A362" s="37" t="n">
        <v>46241</v>
      </c>
      <c r="B362" s="44" t="s">
        <v>909</v>
      </c>
      <c r="C362" s="44" t="s">
        <v>594</v>
      </c>
      <c r="D362" s="44" t="n">
        <v>2101003</v>
      </c>
      <c r="E362" s="44" t="s">
        <v>679</v>
      </c>
      <c r="F362" s="44" t="s">
        <v>910</v>
      </c>
      <c r="G362" s="42" t="n">
        <v>30792500</v>
      </c>
      <c r="H362" s="42"/>
      <c r="I362" s="44" t="s">
        <v>903</v>
      </c>
      <c r="J362" s="11" t="n">
        <f aca="false">IF(D362="","",N(G362)-N(H362))</f>
        <v>30792500</v>
      </c>
      <c r="K362" s="34" t="str">
        <f aca="false">IF(D362="","",IFERROR(INDEX(I_COA!$C$6:$C$265,MATCH(D362,I_COA!$A$6:$A$265,0)),"AKUN BARU"))</f>
        <v>Neraca</v>
      </c>
      <c r="L362" s="34" t="str">
        <f aca="false">IF(K362="LabaRugi",INDEX(I_COA!$D$6:$D$265,MATCH(D362,I_COA!$A$6:$A$265,0)),"")</f>
        <v/>
      </c>
      <c r="M362" s="34" t="str">
        <f aca="false">IF(K362="Neraca",INDEX(I_COA!$E$6:$E$265,MATCH(D362,I_COA!$A$6:$A$265,0)),"")</f>
        <v>Other Payable - Third Parties</v>
      </c>
      <c r="N362" s="34" t="str">
        <f aca="false">IF(D362="","",IFERROR(INDEX(I_COA!$G$6:$G$265,MATCH(D362,I_COA!$A$6:$A$265,0)),"N"))</f>
        <v>N</v>
      </c>
      <c r="O362" s="11" t="n">
        <f aca="false">IF(N362="N",ABS(J362),"")</f>
        <v>30792500</v>
      </c>
      <c r="P362" s="18" t="str">
        <f aca="false">IF(N362="N",B362&amp;"|"&amp;ROUND(O362,0),"")</f>
        <v>B8526080030|30792500</v>
      </c>
      <c r="Q362" s="18" t="str">
        <f aca="false">IF(N362&lt;&gt;"Y","",IFERROR(INDEX($D$6:$D$4005,MATCH(B362&amp;"|"&amp;ROUND(_xlfn.MAXIFS($O$6:$O$4005,$B$6:$B$4005,B362,$N$6:$N$4005,"N"),0),$P$6:$P$4005,0)),"(tanpa lawan)"))</f>
        <v/>
      </c>
      <c r="R362" s="44"/>
      <c r="S362" s="9" t="str">
        <f aca="false">IF(N362&lt;&gt;"Y","",IF(R362&lt;&gt;"",R362,IF(Q362="(tanpa lawan)","Transfer antar rekening",IFERROR(INDEX(I_COA!$F$6:$F$265,MATCH(Q362,I_COA!$A$6:$A$265,0)),"?"))))</f>
        <v/>
      </c>
    </row>
    <row r="363" customFormat="false" ht="15" hidden="false" customHeight="false" outlineLevel="0" collapsed="false">
      <c r="A363" s="37" t="n">
        <v>46241</v>
      </c>
      <c r="B363" s="44" t="s">
        <v>909</v>
      </c>
      <c r="C363" s="44" t="s">
        <v>594</v>
      </c>
      <c r="D363" s="44" t="n">
        <v>1102002</v>
      </c>
      <c r="E363" s="44" t="s">
        <v>598</v>
      </c>
      <c r="F363" s="44" t="s">
        <v>910</v>
      </c>
      <c r="G363" s="42"/>
      <c r="H363" s="42" t="n">
        <v>30792500</v>
      </c>
      <c r="I363" s="44" t="s">
        <v>903</v>
      </c>
      <c r="J363" s="11" t="n">
        <f aca="false">IF(D363="","",N(G363)-N(H363))</f>
        <v>-30792500</v>
      </c>
      <c r="K363" s="34" t="str">
        <f aca="false">IF(D363="","",IFERROR(INDEX(I_COA!$C$6:$C$265,MATCH(D363,I_COA!$A$6:$A$265,0)),"AKUN BARU"))</f>
        <v>Neraca</v>
      </c>
      <c r="L363" s="34" t="str">
        <f aca="false">IF(K363="LabaRugi",INDEX(I_COA!$D$6:$D$265,MATCH(D363,I_COA!$A$6:$A$265,0)),"")</f>
        <v/>
      </c>
      <c r="M363" s="34" t="str">
        <f aca="false">IF(K363="Neraca",INDEX(I_COA!$E$6:$E$265,MATCH(D363,I_COA!$A$6:$A$265,0)),"")</f>
        <v>Cash and cash equivalents</v>
      </c>
      <c r="N363" s="34" t="str">
        <f aca="false">IF(D363="","",IFERROR(INDEX(I_COA!$G$6:$G$265,MATCH(D363,I_COA!$A$6:$A$265,0)),"N"))</f>
        <v>Y</v>
      </c>
      <c r="O363" s="11" t="str">
        <f aca="false">IF(N363="N",ABS(J363),"")</f>
        <v/>
      </c>
      <c r="P363" s="18" t="str">
        <f aca="false">IF(N363="N",B363&amp;"|"&amp;ROUND(O363,0),"")</f>
        <v/>
      </c>
      <c r="Q363" s="18" t="n">
        <f aca="false">IF(N363&lt;&gt;"Y","",IFERROR(INDEX($D$6:$D$4005,MATCH(B363&amp;"|"&amp;ROUND(_xlfn.MAXIFS($O$6:$O$4005,$B$6:$B$4005,B363,$N$6:$N$4005,"N"),0),$P$6:$P$4005,0)),"(tanpa lawan)"))</f>
        <v>2101003</v>
      </c>
      <c r="R363" s="44"/>
      <c r="S363" s="9" t="str">
        <f aca="false">IF(N363&lt;&gt;"Y","",IF(R363&lt;&gt;"",R363,IF(Q363="(tanpa lawan)","Transfer antar rekening",IFERROR(INDEX(I_COA!$F$6:$F$265,MATCH(Q363,I_COA!$A$6:$A$265,0)),"?"))))</f>
        <v>Bayar jasa (maklon, angkut, cold storage, sewa)</v>
      </c>
    </row>
    <row r="364" customFormat="false" ht="15" hidden="false" customHeight="false" outlineLevel="0" collapsed="false">
      <c r="A364" s="37" t="n">
        <v>46241</v>
      </c>
      <c r="B364" s="44" t="s">
        <v>911</v>
      </c>
      <c r="C364" s="44" t="s">
        <v>580</v>
      </c>
      <c r="D364" s="44" t="n">
        <v>7200003</v>
      </c>
      <c r="E364" s="44" t="s">
        <v>581</v>
      </c>
      <c r="F364" s="44" t="s">
        <v>890</v>
      </c>
      <c r="G364" s="42" t="n">
        <v>2500</v>
      </c>
      <c r="H364" s="42"/>
      <c r="I364" s="44"/>
      <c r="J364" s="11" t="n">
        <f aca="false">IF(D364="","",N(G364)-N(H364))</f>
        <v>2500</v>
      </c>
      <c r="K364" s="34" t="str">
        <f aca="false">IF(D364="","",IFERROR(INDEX(I_COA!$C$6:$C$265,MATCH(D364,I_COA!$A$6:$A$265,0)),"AKUN BARU"))</f>
        <v>LabaRugi</v>
      </c>
      <c r="L364" s="34" t="str">
        <f aca="false">IF(K364="LabaRugi",INDEX(I_COA!$D$6:$D$265,MATCH(D364,I_COA!$A$6:$A$265,0)),"")</f>
        <v>Other Expense</v>
      </c>
      <c r="M364" s="34" t="str">
        <f aca="false">IF(K364="Neraca",INDEX(I_COA!$E$6:$E$265,MATCH(D364,I_COA!$A$6:$A$265,0)),"")</f>
        <v/>
      </c>
      <c r="N364" s="34" t="str">
        <f aca="false">IF(D364="","",IFERROR(INDEX(I_COA!$G$6:$G$265,MATCH(D364,I_COA!$A$6:$A$265,0)),"N"))</f>
        <v>N</v>
      </c>
      <c r="O364" s="11" t="n">
        <f aca="false">IF(N364="N",ABS(J364),"")</f>
        <v>2500</v>
      </c>
      <c r="P364" s="18" t="str">
        <f aca="false">IF(N364="N",B364&amp;"|"&amp;ROUND(O364,0),"")</f>
        <v>B8526080031|2500</v>
      </c>
      <c r="Q364" s="18" t="str">
        <f aca="false">IF(N364&lt;&gt;"Y","",IFERROR(INDEX($D$6:$D$4005,MATCH(B364&amp;"|"&amp;ROUND(_xlfn.MAXIFS($O$6:$O$4005,$B$6:$B$4005,B364,$N$6:$N$4005,"N"),0),$P$6:$P$4005,0)),"(tanpa lawan)"))</f>
        <v/>
      </c>
      <c r="R364" s="44"/>
      <c r="S364" s="9" t="str">
        <f aca="false">IF(N364&lt;&gt;"Y","",IF(R364&lt;&gt;"",R364,IF(Q364="(tanpa lawan)","Transfer antar rekening",IFERROR(INDEX(I_COA!$F$6:$F$265,MATCH(Q364,I_COA!$A$6:$A$265,0)),"?"))))</f>
        <v/>
      </c>
    </row>
    <row r="365" customFormat="false" ht="15" hidden="false" customHeight="false" outlineLevel="0" collapsed="false">
      <c r="A365" s="37" t="n">
        <v>46241</v>
      </c>
      <c r="B365" s="44" t="s">
        <v>911</v>
      </c>
      <c r="C365" s="44" t="s">
        <v>580</v>
      </c>
      <c r="D365" s="44" t="n">
        <v>1102002</v>
      </c>
      <c r="E365" s="44" t="s">
        <v>598</v>
      </c>
      <c r="F365" s="44" t="s">
        <v>910</v>
      </c>
      <c r="G365" s="42"/>
      <c r="H365" s="42" t="n">
        <v>2500</v>
      </c>
      <c r="I365" s="44"/>
      <c r="J365" s="11" t="n">
        <f aca="false">IF(D365="","",N(G365)-N(H365))</f>
        <v>-2500</v>
      </c>
      <c r="K365" s="34" t="str">
        <f aca="false">IF(D365="","",IFERROR(INDEX(I_COA!$C$6:$C$265,MATCH(D365,I_COA!$A$6:$A$265,0)),"AKUN BARU"))</f>
        <v>Neraca</v>
      </c>
      <c r="L365" s="34" t="str">
        <f aca="false">IF(K365="LabaRugi",INDEX(I_COA!$D$6:$D$265,MATCH(D365,I_COA!$A$6:$A$265,0)),"")</f>
        <v/>
      </c>
      <c r="M365" s="34" t="str">
        <f aca="false">IF(K365="Neraca",INDEX(I_COA!$E$6:$E$265,MATCH(D365,I_COA!$A$6:$A$265,0)),"")</f>
        <v>Cash and cash equivalents</v>
      </c>
      <c r="N365" s="34" t="str">
        <f aca="false">IF(D365="","",IFERROR(INDEX(I_COA!$G$6:$G$265,MATCH(D365,I_COA!$A$6:$A$265,0)),"N"))</f>
        <v>Y</v>
      </c>
      <c r="O365" s="11" t="str">
        <f aca="false">IF(N365="N",ABS(J365),"")</f>
        <v/>
      </c>
      <c r="P365" s="18" t="str">
        <f aca="false">IF(N365="N",B365&amp;"|"&amp;ROUND(O365,0),"")</f>
        <v/>
      </c>
      <c r="Q365" s="18" t="n">
        <f aca="false">IF(N365&lt;&gt;"Y","",IFERROR(INDEX($D$6:$D$4005,MATCH(B365&amp;"|"&amp;ROUND(_xlfn.MAXIFS($O$6:$O$4005,$B$6:$B$4005,B365,$N$6:$N$4005,"N"),0),$P$6:$P$4005,0)),"(tanpa lawan)"))</f>
        <v>7200003</v>
      </c>
      <c r="R365" s="44"/>
      <c r="S365" s="9" t="str">
        <f aca="false">IF(N365&lt;&gt;"Y","",IF(R365&lt;&gt;"",R365,IF(Q365="(tanpa lawan)","Transfer antar rekening",IFERROR(INDEX(I_COA!$F$6:$F$265,MATCH(Q365,I_COA!$A$6:$A$265,0)),"?"))))</f>
        <v>Bunga &amp; biaya bank</v>
      </c>
    </row>
    <row r="366" customFormat="false" ht="15" hidden="false" customHeight="false" outlineLevel="0" collapsed="false">
      <c r="A366" s="37" t="n">
        <v>46241</v>
      </c>
      <c r="B366" s="44" t="s">
        <v>912</v>
      </c>
      <c r="C366" s="44" t="s">
        <v>594</v>
      </c>
      <c r="D366" s="44" t="n">
        <v>2101003</v>
      </c>
      <c r="E366" s="44" t="s">
        <v>679</v>
      </c>
      <c r="F366" s="44" t="s">
        <v>913</v>
      </c>
      <c r="G366" s="42" t="n">
        <v>37278000</v>
      </c>
      <c r="H366" s="42"/>
      <c r="I366" s="44" t="s">
        <v>903</v>
      </c>
      <c r="J366" s="11" t="n">
        <f aca="false">IF(D366="","",N(G366)-N(H366))</f>
        <v>37278000</v>
      </c>
      <c r="K366" s="34" t="str">
        <f aca="false">IF(D366="","",IFERROR(INDEX(I_COA!$C$6:$C$265,MATCH(D366,I_COA!$A$6:$A$265,0)),"AKUN BARU"))</f>
        <v>Neraca</v>
      </c>
      <c r="L366" s="34" t="str">
        <f aca="false">IF(K366="LabaRugi",INDEX(I_COA!$D$6:$D$265,MATCH(D366,I_COA!$A$6:$A$265,0)),"")</f>
        <v/>
      </c>
      <c r="M366" s="34" t="str">
        <f aca="false">IF(K366="Neraca",INDEX(I_COA!$E$6:$E$265,MATCH(D366,I_COA!$A$6:$A$265,0)),"")</f>
        <v>Other Payable - Third Parties</v>
      </c>
      <c r="N366" s="34" t="str">
        <f aca="false">IF(D366="","",IFERROR(INDEX(I_COA!$G$6:$G$265,MATCH(D366,I_COA!$A$6:$A$265,0)),"N"))</f>
        <v>N</v>
      </c>
      <c r="O366" s="11" t="n">
        <f aca="false">IF(N366="N",ABS(J366),"")</f>
        <v>37278000</v>
      </c>
      <c r="P366" s="18" t="str">
        <f aca="false">IF(N366="N",B366&amp;"|"&amp;ROUND(O366,0),"")</f>
        <v>B8526080032|37278000</v>
      </c>
      <c r="Q366" s="18" t="str">
        <f aca="false">IF(N366&lt;&gt;"Y","",IFERROR(INDEX($D$6:$D$4005,MATCH(B366&amp;"|"&amp;ROUND(_xlfn.MAXIFS($O$6:$O$4005,$B$6:$B$4005,B366,$N$6:$N$4005,"N"),0),$P$6:$P$4005,0)),"(tanpa lawan)"))</f>
        <v/>
      </c>
      <c r="R366" s="44"/>
      <c r="S366" s="9" t="str">
        <f aca="false">IF(N366&lt;&gt;"Y","",IF(R366&lt;&gt;"",R366,IF(Q366="(tanpa lawan)","Transfer antar rekening",IFERROR(INDEX(I_COA!$F$6:$F$265,MATCH(Q366,I_COA!$A$6:$A$265,0)),"?"))))</f>
        <v/>
      </c>
    </row>
    <row r="367" customFormat="false" ht="15" hidden="false" customHeight="false" outlineLevel="0" collapsed="false">
      <c r="A367" s="37" t="n">
        <v>46241</v>
      </c>
      <c r="B367" s="44" t="s">
        <v>912</v>
      </c>
      <c r="C367" s="44" t="s">
        <v>594</v>
      </c>
      <c r="D367" s="44" t="n">
        <v>1102002</v>
      </c>
      <c r="E367" s="44" t="s">
        <v>598</v>
      </c>
      <c r="F367" s="44" t="s">
        <v>913</v>
      </c>
      <c r="G367" s="42"/>
      <c r="H367" s="42" t="n">
        <v>37278000</v>
      </c>
      <c r="I367" s="44" t="s">
        <v>903</v>
      </c>
      <c r="J367" s="11" t="n">
        <f aca="false">IF(D367="","",N(G367)-N(H367))</f>
        <v>-37278000</v>
      </c>
      <c r="K367" s="34" t="str">
        <f aca="false">IF(D367="","",IFERROR(INDEX(I_COA!$C$6:$C$265,MATCH(D367,I_COA!$A$6:$A$265,0)),"AKUN BARU"))</f>
        <v>Neraca</v>
      </c>
      <c r="L367" s="34" t="str">
        <f aca="false">IF(K367="LabaRugi",INDEX(I_COA!$D$6:$D$265,MATCH(D367,I_COA!$A$6:$A$265,0)),"")</f>
        <v/>
      </c>
      <c r="M367" s="34" t="str">
        <f aca="false">IF(K367="Neraca",INDEX(I_COA!$E$6:$E$265,MATCH(D367,I_COA!$A$6:$A$265,0)),"")</f>
        <v>Cash and cash equivalents</v>
      </c>
      <c r="N367" s="34" t="str">
        <f aca="false">IF(D367="","",IFERROR(INDEX(I_COA!$G$6:$G$265,MATCH(D367,I_COA!$A$6:$A$265,0)),"N"))</f>
        <v>Y</v>
      </c>
      <c r="O367" s="11" t="str">
        <f aca="false">IF(N367="N",ABS(J367),"")</f>
        <v/>
      </c>
      <c r="P367" s="18" t="str">
        <f aca="false">IF(N367="N",B367&amp;"|"&amp;ROUND(O367,0),"")</f>
        <v/>
      </c>
      <c r="Q367" s="18" t="n">
        <f aca="false">IF(N367&lt;&gt;"Y","",IFERROR(INDEX($D$6:$D$4005,MATCH(B367&amp;"|"&amp;ROUND(_xlfn.MAXIFS($O$6:$O$4005,$B$6:$B$4005,B367,$N$6:$N$4005,"N"),0),$P$6:$P$4005,0)),"(tanpa lawan)"))</f>
        <v>2101003</v>
      </c>
      <c r="R367" s="44"/>
      <c r="S367" s="9" t="str">
        <f aca="false">IF(N367&lt;&gt;"Y","",IF(R367&lt;&gt;"",R367,IF(Q367="(tanpa lawan)","Transfer antar rekening",IFERROR(INDEX(I_COA!$F$6:$F$265,MATCH(Q367,I_COA!$A$6:$A$265,0)),"?"))))</f>
        <v>Bayar jasa (maklon, angkut, cold storage, sewa)</v>
      </c>
    </row>
    <row r="368" customFormat="false" ht="15" hidden="false" customHeight="false" outlineLevel="0" collapsed="false">
      <c r="A368" s="37" t="n">
        <v>46241</v>
      </c>
      <c r="B368" s="44" t="s">
        <v>914</v>
      </c>
      <c r="C368" s="44" t="s">
        <v>580</v>
      </c>
      <c r="D368" s="44" t="n">
        <v>7200003</v>
      </c>
      <c r="E368" s="44" t="s">
        <v>581</v>
      </c>
      <c r="F368" s="44" t="s">
        <v>905</v>
      </c>
      <c r="G368" s="42" t="n">
        <v>2500</v>
      </c>
      <c r="H368" s="42"/>
      <c r="I368" s="44"/>
      <c r="J368" s="11" t="n">
        <f aca="false">IF(D368="","",N(G368)-N(H368))</f>
        <v>2500</v>
      </c>
      <c r="K368" s="34" t="str">
        <f aca="false">IF(D368="","",IFERROR(INDEX(I_COA!$C$6:$C$265,MATCH(D368,I_COA!$A$6:$A$265,0)),"AKUN BARU"))</f>
        <v>LabaRugi</v>
      </c>
      <c r="L368" s="34" t="str">
        <f aca="false">IF(K368="LabaRugi",INDEX(I_COA!$D$6:$D$265,MATCH(D368,I_COA!$A$6:$A$265,0)),"")</f>
        <v>Other Expense</v>
      </c>
      <c r="M368" s="34" t="str">
        <f aca="false">IF(K368="Neraca",INDEX(I_COA!$E$6:$E$265,MATCH(D368,I_COA!$A$6:$A$265,0)),"")</f>
        <v/>
      </c>
      <c r="N368" s="34" t="str">
        <f aca="false">IF(D368="","",IFERROR(INDEX(I_COA!$G$6:$G$265,MATCH(D368,I_COA!$A$6:$A$265,0)),"N"))</f>
        <v>N</v>
      </c>
      <c r="O368" s="11" t="n">
        <f aca="false">IF(N368="N",ABS(J368),"")</f>
        <v>2500</v>
      </c>
      <c r="P368" s="18" t="str">
        <f aca="false">IF(N368="N",B368&amp;"|"&amp;ROUND(O368,0),"")</f>
        <v>B8526080033|2500</v>
      </c>
      <c r="Q368" s="18" t="str">
        <f aca="false">IF(N368&lt;&gt;"Y","",IFERROR(INDEX($D$6:$D$4005,MATCH(B368&amp;"|"&amp;ROUND(_xlfn.MAXIFS($O$6:$O$4005,$B$6:$B$4005,B368,$N$6:$N$4005,"N"),0),$P$6:$P$4005,0)),"(tanpa lawan)"))</f>
        <v/>
      </c>
      <c r="R368" s="44"/>
      <c r="S368" s="9" t="str">
        <f aca="false">IF(N368&lt;&gt;"Y","",IF(R368&lt;&gt;"",R368,IF(Q368="(tanpa lawan)","Transfer antar rekening",IFERROR(INDEX(I_COA!$F$6:$F$265,MATCH(Q368,I_COA!$A$6:$A$265,0)),"?"))))</f>
        <v/>
      </c>
    </row>
    <row r="369" customFormat="false" ht="15" hidden="false" customHeight="false" outlineLevel="0" collapsed="false">
      <c r="A369" s="37" t="n">
        <v>46241</v>
      </c>
      <c r="B369" s="44" t="s">
        <v>914</v>
      </c>
      <c r="C369" s="44" t="s">
        <v>580</v>
      </c>
      <c r="D369" s="44" t="n">
        <v>1102002</v>
      </c>
      <c r="E369" s="44" t="s">
        <v>598</v>
      </c>
      <c r="F369" s="44" t="s">
        <v>913</v>
      </c>
      <c r="G369" s="42"/>
      <c r="H369" s="42" t="n">
        <v>2500</v>
      </c>
      <c r="I369" s="44"/>
      <c r="J369" s="11" t="n">
        <f aca="false">IF(D369="","",N(G369)-N(H369))</f>
        <v>-2500</v>
      </c>
      <c r="K369" s="34" t="str">
        <f aca="false">IF(D369="","",IFERROR(INDEX(I_COA!$C$6:$C$265,MATCH(D369,I_COA!$A$6:$A$265,0)),"AKUN BARU"))</f>
        <v>Neraca</v>
      </c>
      <c r="L369" s="34" t="str">
        <f aca="false">IF(K369="LabaRugi",INDEX(I_COA!$D$6:$D$265,MATCH(D369,I_COA!$A$6:$A$265,0)),"")</f>
        <v/>
      </c>
      <c r="M369" s="34" t="str">
        <f aca="false">IF(K369="Neraca",INDEX(I_COA!$E$6:$E$265,MATCH(D369,I_COA!$A$6:$A$265,0)),"")</f>
        <v>Cash and cash equivalents</v>
      </c>
      <c r="N369" s="34" t="str">
        <f aca="false">IF(D369="","",IFERROR(INDEX(I_COA!$G$6:$G$265,MATCH(D369,I_COA!$A$6:$A$265,0)),"N"))</f>
        <v>Y</v>
      </c>
      <c r="O369" s="11" t="str">
        <f aca="false">IF(N369="N",ABS(J369),"")</f>
        <v/>
      </c>
      <c r="P369" s="18" t="str">
        <f aca="false">IF(N369="N",B369&amp;"|"&amp;ROUND(O369,0),"")</f>
        <v/>
      </c>
      <c r="Q369" s="18" t="n">
        <f aca="false">IF(N369&lt;&gt;"Y","",IFERROR(INDEX($D$6:$D$4005,MATCH(B369&amp;"|"&amp;ROUND(_xlfn.MAXIFS($O$6:$O$4005,$B$6:$B$4005,B369,$N$6:$N$4005,"N"),0),$P$6:$P$4005,0)),"(tanpa lawan)"))</f>
        <v>7200003</v>
      </c>
      <c r="R369" s="44"/>
      <c r="S369" s="9" t="str">
        <f aca="false">IF(N369&lt;&gt;"Y","",IF(R369&lt;&gt;"",R369,IF(Q369="(tanpa lawan)","Transfer antar rekening",IFERROR(INDEX(I_COA!$F$6:$F$265,MATCH(Q369,I_COA!$A$6:$A$265,0)),"?"))))</f>
        <v>Bunga &amp; biaya bank</v>
      </c>
    </row>
    <row r="370" customFormat="false" ht="15" hidden="false" customHeight="false" outlineLevel="0" collapsed="false">
      <c r="A370" s="37" t="n">
        <v>46241</v>
      </c>
      <c r="B370" s="44" t="s">
        <v>915</v>
      </c>
      <c r="C370" s="44" t="s">
        <v>690</v>
      </c>
      <c r="D370" s="44" t="n">
        <v>1104003</v>
      </c>
      <c r="E370" s="44" t="s">
        <v>613</v>
      </c>
      <c r="F370" s="44" t="s">
        <v>916</v>
      </c>
      <c r="G370" s="42" t="n">
        <v>179576359.33</v>
      </c>
      <c r="H370" s="42"/>
      <c r="I370" s="44" t="s">
        <v>888</v>
      </c>
      <c r="J370" s="11" t="n">
        <f aca="false">IF(D370="","",N(G370)-N(H370))</f>
        <v>179576359.33</v>
      </c>
      <c r="K370" s="34" t="str">
        <f aca="false">IF(D370="","",IFERROR(INDEX(I_COA!$C$6:$C$265,MATCH(D370,I_COA!$A$6:$A$265,0)),"AKUN BARU"))</f>
        <v>Neraca</v>
      </c>
      <c r="L370" s="34" t="str">
        <f aca="false">IF(K370="LabaRugi",INDEX(I_COA!$D$6:$D$265,MATCH(D370,I_COA!$A$6:$A$265,0)),"")</f>
        <v/>
      </c>
      <c r="M370" s="34" t="str">
        <f aca="false">IF(K370="Neraca",INDEX(I_COA!$E$6:$E$265,MATCH(D370,I_COA!$A$6:$A$265,0)),"")</f>
        <v>Inventory - Product</v>
      </c>
      <c r="N370" s="34" t="str">
        <f aca="false">IF(D370="","",IFERROR(INDEX(I_COA!$G$6:$G$265,MATCH(D370,I_COA!$A$6:$A$265,0)),"N"))</f>
        <v>N</v>
      </c>
      <c r="O370" s="11" t="n">
        <f aca="false">IF(N370="N",ABS(J370),"")</f>
        <v>179576359.33</v>
      </c>
      <c r="P370" s="18" t="str">
        <f aca="false">IF(N370="N",B370&amp;"|"&amp;ROUND(O370,0),"")</f>
        <v>GR26080007|179576359</v>
      </c>
      <c r="Q370" s="18" t="str">
        <f aca="false">IF(N370&lt;&gt;"Y","",IFERROR(INDEX($D$6:$D$4005,MATCH(B370&amp;"|"&amp;ROUND(_xlfn.MAXIFS($O$6:$O$4005,$B$6:$B$4005,B370,$N$6:$N$4005,"N"),0),$P$6:$P$4005,0)),"(tanpa lawan)"))</f>
        <v/>
      </c>
      <c r="R370" s="44"/>
      <c r="S370" s="9" t="str">
        <f aca="false">IF(N370&lt;&gt;"Y","",IF(R370&lt;&gt;"",R370,IF(Q370="(tanpa lawan)","Transfer antar rekening",IFERROR(INDEX(I_COA!$F$6:$F$265,MATCH(Q370,I_COA!$A$6:$A$265,0)),"?"))))</f>
        <v/>
      </c>
    </row>
    <row r="371" customFormat="false" ht="15" hidden="false" customHeight="false" outlineLevel="0" collapsed="false">
      <c r="A371" s="37" t="n">
        <v>46241</v>
      </c>
      <c r="B371" s="44" t="s">
        <v>915</v>
      </c>
      <c r="C371" s="44" t="s">
        <v>690</v>
      </c>
      <c r="D371" s="44" t="n">
        <v>2103011</v>
      </c>
      <c r="E371" s="44" t="s">
        <v>693</v>
      </c>
      <c r="F371" s="44" t="s">
        <v>916</v>
      </c>
      <c r="G371" s="42"/>
      <c r="H371" s="42" t="n">
        <v>188200799.95</v>
      </c>
      <c r="I371" s="44" t="s">
        <v>888</v>
      </c>
      <c r="J371" s="11" t="n">
        <f aca="false">IF(D371="","",N(G371)-N(H371))</f>
        <v>-188200799.95</v>
      </c>
      <c r="K371" s="34" t="str">
        <f aca="false">IF(D371="","",IFERROR(INDEX(I_COA!$C$6:$C$265,MATCH(D371,I_COA!$A$6:$A$265,0)),"AKUN BARU"))</f>
        <v>Neraca</v>
      </c>
      <c r="L371" s="34" t="str">
        <f aca="false">IF(K371="LabaRugi",INDEX(I_COA!$D$6:$D$265,MATCH(D371,I_COA!$A$6:$A$265,0)),"")</f>
        <v/>
      </c>
      <c r="M371" s="34" t="str">
        <f aca="false">IF(K371="Neraca",INDEX(I_COA!$E$6:$E$265,MATCH(D371,I_COA!$A$6:$A$265,0)),"")</f>
        <v>Accrued Expenses - Third Parties</v>
      </c>
      <c r="N371" s="34" t="str">
        <f aca="false">IF(D371="","",IFERROR(INDEX(I_COA!$G$6:$G$265,MATCH(D371,I_COA!$A$6:$A$265,0)),"N"))</f>
        <v>N</v>
      </c>
      <c r="O371" s="11" t="n">
        <f aca="false">IF(N371="N",ABS(J371),"")</f>
        <v>188200799.95</v>
      </c>
      <c r="P371" s="18" t="str">
        <f aca="false">IF(N371="N",B371&amp;"|"&amp;ROUND(O371,0),"")</f>
        <v>GR26080007|188200800</v>
      </c>
      <c r="Q371" s="18" t="str">
        <f aca="false">IF(N371&lt;&gt;"Y","",IFERROR(INDEX($D$6:$D$4005,MATCH(B371&amp;"|"&amp;ROUND(_xlfn.MAXIFS($O$6:$O$4005,$B$6:$B$4005,B371,$N$6:$N$4005,"N"),0),$P$6:$P$4005,0)),"(tanpa lawan)"))</f>
        <v/>
      </c>
      <c r="R371" s="44"/>
      <c r="S371" s="9" t="str">
        <f aca="false">IF(N371&lt;&gt;"Y","",IF(R371&lt;&gt;"",R371,IF(Q371="(tanpa lawan)","Transfer antar rekening",IFERROR(INDEX(I_COA!$F$6:$F$265,MATCH(Q371,I_COA!$A$6:$A$265,0)),"?"))))</f>
        <v/>
      </c>
    </row>
    <row r="372" customFormat="false" ht="15" hidden="false" customHeight="false" outlineLevel="0" collapsed="false">
      <c r="A372" s="37" t="n">
        <v>46241</v>
      </c>
      <c r="B372" s="44" t="s">
        <v>915</v>
      </c>
      <c r="C372" s="44" t="s">
        <v>690</v>
      </c>
      <c r="D372" s="44" t="n">
        <v>1104004</v>
      </c>
      <c r="E372" s="44" t="s">
        <v>917</v>
      </c>
      <c r="F372" s="44" t="s">
        <v>916</v>
      </c>
      <c r="G372" s="42" t="n">
        <v>8624440.62</v>
      </c>
      <c r="H372" s="42"/>
      <c r="I372" s="44" t="s">
        <v>888</v>
      </c>
      <c r="J372" s="11" t="n">
        <f aca="false">IF(D372="","",N(G372)-N(H372))</f>
        <v>8624440.62</v>
      </c>
      <c r="K372" s="34" t="str">
        <f aca="false">IF(D372="","",IFERROR(INDEX(I_COA!$C$6:$C$265,MATCH(D372,I_COA!$A$6:$A$265,0)),"AKUN BARU"))</f>
        <v>Neraca</v>
      </c>
      <c r="L372" s="34" t="str">
        <f aca="false">IF(K372="LabaRugi",INDEX(I_COA!$D$6:$D$265,MATCH(D372,I_COA!$A$6:$A$265,0)),"")</f>
        <v/>
      </c>
      <c r="M372" s="34" t="str">
        <f aca="false">IF(K372="Neraca",INDEX(I_COA!$E$6:$E$265,MATCH(D372,I_COA!$A$6:$A$265,0)),"")</f>
        <v>Inventory - Product</v>
      </c>
      <c r="N372" s="34" t="str">
        <f aca="false">IF(D372="","",IFERROR(INDEX(I_COA!$G$6:$G$265,MATCH(D372,I_COA!$A$6:$A$265,0)),"N"))</f>
        <v>N</v>
      </c>
      <c r="O372" s="11" t="n">
        <f aca="false">IF(N372="N",ABS(J372),"")</f>
        <v>8624440.62</v>
      </c>
      <c r="P372" s="18" t="str">
        <f aca="false">IF(N372="N",B372&amp;"|"&amp;ROUND(O372,0),"")</f>
        <v>GR26080007|8624441</v>
      </c>
      <c r="Q372" s="18" t="str">
        <f aca="false">IF(N372&lt;&gt;"Y","",IFERROR(INDEX($D$6:$D$4005,MATCH(B372&amp;"|"&amp;ROUND(_xlfn.MAXIFS($O$6:$O$4005,$B$6:$B$4005,B372,$N$6:$N$4005,"N"),0),$P$6:$P$4005,0)),"(tanpa lawan)"))</f>
        <v/>
      </c>
      <c r="R372" s="44"/>
      <c r="S372" s="9" t="str">
        <f aca="false">IF(N372&lt;&gt;"Y","",IF(R372&lt;&gt;"",R372,IF(Q372="(tanpa lawan)","Transfer antar rekening",IFERROR(INDEX(I_COA!$F$6:$F$265,MATCH(Q372,I_COA!$A$6:$A$265,0)),"?"))))</f>
        <v/>
      </c>
    </row>
    <row r="373" customFormat="false" ht="15" hidden="false" customHeight="false" outlineLevel="0" collapsed="false">
      <c r="A373" s="37" t="n">
        <v>46241</v>
      </c>
      <c r="B373" s="44" t="s">
        <v>918</v>
      </c>
      <c r="C373" s="44" t="s">
        <v>600</v>
      </c>
      <c r="D373" s="44" t="n">
        <v>1104002</v>
      </c>
      <c r="E373" s="44" t="s">
        <v>601</v>
      </c>
      <c r="F373" s="44" t="s">
        <v>919</v>
      </c>
      <c r="G373" s="42" t="n">
        <v>46543719.02</v>
      </c>
      <c r="H373" s="42"/>
      <c r="I373" s="44" t="s">
        <v>432</v>
      </c>
      <c r="J373" s="11" t="n">
        <f aca="false">IF(D373="","",N(G373)-N(H373))</f>
        <v>46543719.02</v>
      </c>
      <c r="K373" s="34" t="str">
        <f aca="false">IF(D373="","",IFERROR(INDEX(I_COA!$C$6:$C$265,MATCH(D373,I_COA!$A$6:$A$265,0)),"AKUN BARU"))</f>
        <v>Neraca</v>
      </c>
      <c r="L373" s="34" t="str">
        <f aca="false">IF(K373="LabaRugi",INDEX(I_COA!$D$6:$D$265,MATCH(D373,I_COA!$A$6:$A$265,0)),"")</f>
        <v/>
      </c>
      <c r="M373" s="34" t="str">
        <f aca="false">IF(K373="Neraca",INDEX(I_COA!$E$6:$E$265,MATCH(D373,I_COA!$A$6:$A$265,0)),"")</f>
        <v>Inventory - Product</v>
      </c>
      <c r="N373" s="34" t="str">
        <f aca="false">IF(D373="","",IFERROR(INDEX(I_COA!$G$6:$G$265,MATCH(D373,I_COA!$A$6:$A$265,0)),"N"))</f>
        <v>N</v>
      </c>
      <c r="O373" s="11" t="n">
        <f aca="false">IF(N373="N",ABS(J373),"")</f>
        <v>46543719.02</v>
      </c>
      <c r="P373" s="18" t="str">
        <f aca="false">IF(N373="N",B373&amp;"|"&amp;ROUND(O373,0),"")</f>
        <v>KGR26.00220|46543719</v>
      </c>
      <c r="Q373" s="18" t="str">
        <f aca="false">IF(N373&lt;&gt;"Y","",IFERROR(INDEX($D$6:$D$4005,MATCH(B373&amp;"|"&amp;ROUND(_xlfn.MAXIFS($O$6:$O$4005,$B$6:$B$4005,B373,$N$6:$N$4005,"N"),0),$P$6:$P$4005,0)),"(tanpa lawan)"))</f>
        <v/>
      </c>
      <c r="R373" s="44"/>
      <c r="S373" s="9" t="str">
        <f aca="false">IF(N373&lt;&gt;"Y","",IF(R373&lt;&gt;"",R373,IF(Q373="(tanpa lawan)","Transfer antar rekening",IFERROR(INDEX(I_COA!$F$6:$F$265,MATCH(Q373,I_COA!$A$6:$A$265,0)),"?"))))</f>
        <v/>
      </c>
    </row>
    <row r="374" customFormat="false" ht="15" hidden="false" customHeight="false" outlineLevel="0" collapsed="false">
      <c r="A374" s="37" t="n">
        <v>46241</v>
      </c>
      <c r="B374" s="44" t="s">
        <v>918</v>
      </c>
      <c r="C374" s="44" t="s">
        <v>600</v>
      </c>
      <c r="D374" s="44" t="n">
        <v>1104006</v>
      </c>
      <c r="E374" s="44" t="s">
        <v>212</v>
      </c>
      <c r="F374" s="44" t="s">
        <v>919</v>
      </c>
      <c r="G374" s="42"/>
      <c r="H374" s="42" t="n">
        <v>46543719.02</v>
      </c>
      <c r="I374" s="44" t="s">
        <v>432</v>
      </c>
      <c r="J374" s="11" t="n">
        <f aca="false">IF(D374="","",N(G374)-N(H374))</f>
        <v>-46543719.02</v>
      </c>
      <c r="K374" s="34" t="str">
        <f aca="false">IF(D374="","",IFERROR(INDEX(I_COA!$C$6:$C$265,MATCH(D374,I_COA!$A$6:$A$265,0)),"AKUN BARU"))</f>
        <v>Neraca</v>
      </c>
      <c r="L374" s="34" t="str">
        <f aca="false">IF(K374="LabaRugi",INDEX(I_COA!$D$6:$D$265,MATCH(D374,I_COA!$A$6:$A$265,0)),"")</f>
        <v/>
      </c>
      <c r="M374" s="34" t="str">
        <f aca="false">IF(K374="Neraca",INDEX(I_COA!$E$6:$E$265,MATCH(D374,I_COA!$A$6:$A$265,0)),"")</f>
        <v>Inventory - Trading</v>
      </c>
      <c r="N374" s="34" t="str">
        <f aca="false">IF(D374="","",IFERROR(INDEX(I_COA!$G$6:$G$265,MATCH(D374,I_COA!$A$6:$A$265,0)),"N"))</f>
        <v>N</v>
      </c>
      <c r="O374" s="11" t="n">
        <f aca="false">IF(N374="N",ABS(J374),"")</f>
        <v>46543719.02</v>
      </c>
      <c r="P374" s="18" t="str">
        <f aca="false">IF(N374="N",B374&amp;"|"&amp;ROUND(O374,0),"")</f>
        <v>KGR26.00220|46543719</v>
      </c>
      <c r="Q374" s="18" t="str">
        <f aca="false">IF(N374&lt;&gt;"Y","",IFERROR(INDEX($D$6:$D$4005,MATCH(B374&amp;"|"&amp;ROUND(_xlfn.MAXIFS($O$6:$O$4005,$B$6:$B$4005,B374,$N$6:$N$4005,"N"),0),$P$6:$P$4005,0)),"(tanpa lawan)"))</f>
        <v/>
      </c>
      <c r="R374" s="44"/>
      <c r="S374" s="9" t="str">
        <f aca="false">IF(N374&lt;&gt;"Y","",IF(R374&lt;&gt;"",R374,IF(Q374="(tanpa lawan)","Transfer antar rekening",IFERROR(INDEX(I_COA!$F$6:$F$265,MATCH(Q374,I_COA!$A$6:$A$265,0)),"?"))))</f>
        <v/>
      </c>
    </row>
    <row r="375" customFormat="false" ht="15" hidden="false" customHeight="false" outlineLevel="0" collapsed="false">
      <c r="A375" s="37" t="n">
        <v>46241</v>
      </c>
      <c r="B375" s="44" t="s">
        <v>920</v>
      </c>
      <c r="C375" s="44" t="s">
        <v>600</v>
      </c>
      <c r="D375" s="44" t="n">
        <v>1104002</v>
      </c>
      <c r="E375" s="44" t="s">
        <v>601</v>
      </c>
      <c r="F375" s="44" t="s">
        <v>921</v>
      </c>
      <c r="G375" s="42" t="n">
        <v>77044646.66</v>
      </c>
      <c r="H375" s="42"/>
      <c r="I375" s="44" t="s">
        <v>841</v>
      </c>
      <c r="J375" s="11" t="n">
        <f aca="false">IF(D375="","",N(G375)-N(H375))</f>
        <v>77044646.66</v>
      </c>
      <c r="K375" s="34" t="str">
        <f aca="false">IF(D375="","",IFERROR(INDEX(I_COA!$C$6:$C$265,MATCH(D375,I_COA!$A$6:$A$265,0)),"AKUN BARU"))</f>
        <v>Neraca</v>
      </c>
      <c r="L375" s="34" t="str">
        <f aca="false">IF(K375="LabaRugi",INDEX(I_COA!$D$6:$D$265,MATCH(D375,I_COA!$A$6:$A$265,0)),"")</f>
        <v/>
      </c>
      <c r="M375" s="34" t="str">
        <f aca="false">IF(K375="Neraca",INDEX(I_COA!$E$6:$E$265,MATCH(D375,I_COA!$A$6:$A$265,0)),"")</f>
        <v>Inventory - Product</v>
      </c>
      <c r="N375" s="34" t="str">
        <f aca="false">IF(D375="","",IFERROR(INDEX(I_COA!$G$6:$G$265,MATCH(D375,I_COA!$A$6:$A$265,0)),"N"))</f>
        <v>N</v>
      </c>
      <c r="O375" s="11" t="n">
        <f aca="false">IF(N375="N",ABS(J375),"")</f>
        <v>77044646.66</v>
      </c>
      <c r="P375" s="18" t="str">
        <f aca="false">IF(N375="N",B375&amp;"|"&amp;ROUND(O375,0),"")</f>
        <v>KGR26.00221|77044647</v>
      </c>
      <c r="Q375" s="18" t="str">
        <f aca="false">IF(N375&lt;&gt;"Y","",IFERROR(INDEX($D$6:$D$4005,MATCH(B375&amp;"|"&amp;ROUND(_xlfn.MAXIFS($O$6:$O$4005,$B$6:$B$4005,B375,$N$6:$N$4005,"N"),0),$P$6:$P$4005,0)),"(tanpa lawan)"))</f>
        <v/>
      </c>
      <c r="R375" s="44"/>
      <c r="S375" s="9" t="str">
        <f aca="false">IF(N375&lt;&gt;"Y","",IF(R375&lt;&gt;"",R375,IF(Q375="(tanpa lawan)","Transfer antar rekening",IFERROR(INDEX(I_COA!$F$6:$F$265,MATCH(Q375,I_COA!$A$6:$A$265,0)),"?"))))</f>
        <v/>
      </c>
    </row>
    <row r="376" customFormat="false" ht="15" hidden="false" customHeight="false" outlineLevel="0" collapsed="false">
      <c r="A376" s="37" t="n">
        <v>46241</v>
      </c>
      <c r="B376" s="44" t="s">
        <v>920</v>
      </c>
      <c r="C376" s="44" t="s">
        <v>600</v>
      </c>
      <c r="D376" s="44" t="n">
        <v>1104006</v>
      </c>
      <c r="E376" s="44" t="s">
        <v>212</v>
      </c>
      <c r="F376" s="44" t="s">
        <v>921</v>
      </c>
      <c r="G376" s="42"/>
      <c r="H376" s="42" t="n">
        <v>77044646.66</v>
      </c>
      <c r="I376" s="44" t="s">
        <v>841</v>
      </c>
      <c r="J376" s="11" t="n">
        <f aca="false">IF(D376="","",N(G376)-N(H376))</f>
        <v>-77044646.66</v>
      </c>
      <c r="K376" s="34" t="str">
        <f aca="false">IF(D376="","",IFERROR(INDEX(I_COA!$C$6:$C$265,MATCH(D376,I_COA!$A$6:$A$265,0)),"AKUN BARU"))</f>
        <v>Neraca</v>
      </c>
      <c r="L376" s="34" t="str">
        <f aca="false">IF(K376="LabaRugi",INDEX(I_COA!$D$6:$D$265,MATCH(D376,I_COA!$A$6:$A$265,0)),"")</f>
        <v/>
      </c>
      <c r="M376" s="34" t="str">
        <f aca="false">IF(K376="Neraca",INDEX(I_COA!$E$6:$E$265,MATCH(D376,I_COA!$A$6:$A$265,0)),"")</f>
        <v>Inventory - Trading</v>
      </c>
      <c r="N376" s="34" t="str">
        <f aca="false">IF(D376="","",IFERROR(INDEX(I_COA!$G$6:$G$265,MATCH(D376,I_COA!$A$6:$A$265,0)),"N"))</f>
        <v>N</v>
      </c>
      <c r="O376" s="11" t="n">
        <f aca="false">IF(N376="N",ABS(J376),"")</f>
        <v>77044646.66</v>
      </c>
      <c r="P376" s="18" t="str">
        <f aca="false">IF(N376="N",B376&amp;"|"&amp;ROUND(O376,0),"")</f>
        <v>KGR26.00221|77044647</v>
      </c>
      <c r="Q376" s="18" t="str">
        <f aca="false">IF(N376&lt;&gt;"Y","",IFERROR(INDEX($D$6:$D$4005,MATCH(B376&amp;"|"&amp;ROUND(_xlfn.MAXIFS($O$6:$O$4005,$B$6:$B$4005,B376,$N$6:$N$4005,"N"),0),$P$6:$P$4005,0)),"(tanpa lawan)"))</f>
        <v/>
      </c>
      <c r="R376" s="44"/>
      <c r="S376" s="9" t="str">
        <f aca="false">IF(N376&lt;&gt;"Y","",IF(R376&lt;&gt;"",R376,IF(Q376="(tanpa lawan)","Transfer antar rekening",IFERROR(INDEX(I_COA!$F$6:$F$265,MATCH(Q376,I_COA!$A$6:$A$265,0)),"?"))))</f>
        <v/>
      </c>
    </row>
    <row r="377" customFormat="false" ht="15" hidden="false" customHeight="false" outlineLevel="0" collapsed="false">
      <c r="A377" s="37" t="n">
        <v>46241</v>
      </c>
      <c r="B377" s="44" t="s">
        <v>922</v>
      </c>
      <c r="C377" s="44" t="s">
        <v>600</v>
      </c>
      <c r="D377" s="44" t="n">
        <v>1104002</v>
      </c>
      <c r="E377" s="44" t="s">
        <v>601</v>
      </c>
      <c r="F377" s="44" t="s">
        <v>923</v>
      </c>
      <c r="G377" s="42" t="n">
        <v>13155706.36</v>
      </c>
      <c r="H377" s="42"/>
      <c r="I377" s="44" t="s">
        <v>603</v>
      </c>
      <c r="J377" s="11" t="n">
        <f aca="false">IF(D377="","",N(G377)-N(H377))</f>
        <v>13155706.36</v>
      </c>
      <c r="K377" s="34" t="str">
        <f aca="false">IF(D377="","",IFERROR(INDEX(I_COA!$C$6:$C$265,MATCH(D377,I_COA!$A$6:$A$265,0)),"AKUN BARU"))</f>
        <v>Neraca</v>
      </c>
      <c r="L377" s="34" t="str">
        <f aca="false">IF(K377="LabaRugi",INDEX(I_COA!$D$6:$D$265,MATCH(D377,I_COA!$A$6:$A$265,0)),"")</f>
        <v/>
      </c>
      <c r="M377" s="34" t="str">
        <f aca="false">IF(K377="Neraca",INDEX(I_COA!$E$6:$E$265,MATCH(D377,I_COA!$A$6:$A$265,0)),"")</f>
        <v>Inventory - Product</v>
      </c>
      <c r="N377" s="34" t="str">
        <f aca="false">IF(D377="","",IFERROR(INDEX(I_COA!$G$6:$G$265,MATCH(D377,I_COA!$A$6:$A$265,0)),"N"))</f>
        <v>N</v>
      </c>
      <c r="O377" s="11" t="n">
        <f aca="false">IF(N377="N",ABS(J377),"")</f>
        <v>13155706.36</v>
      </c>
      <c r="P377" s="18" t="str">
        <f aca="false">IF(N377="N",B377&amp;"|"&amp;ROUND(O377,0),"")</f>
        <v>KGR26.00222|13155706</v>
      </c>
      <c r="Q377" s="18" t="str">
        <f aca="false">IF(N377&lt;&gt;"Y","",IFERROR(INDEX($D$6:$D$4005,MATCH(B377&amp;"|"&amp;ROUND(_xlfn.MAXIFS($O$6:$O$4005,$B$6:$B$4005,B377,$N$6:$N$4005,"N"),0),$P$6:$P$4005,0)),"(tanpa lawan)"))</f>
        <v/>
      </c>
      <c r="R377" s="44"/>
      <c r="S377" s="9" t="str">
        <f aca="false">IF(N377&lt;&gt;"Y","",IF(R377&lt;&gt;"",R377,IF(Q377="(tanpa lawan)","Transfer antar rekening",IFERROR(INDEX(I_COA!$F$6:$F$265,MATCH(Q377,I_COA!$A$6:$A$265,0)),"?"))))</f>
        <v/>
      </c>
    </row>
    <row r="378" customFormat="false" ht="15" hidden="false" customHeight="false" outlineLevel="0" collapsed="false">
      <c r="A378" s="37" t="n">
        <v>46241</v>
      </c>
      <c r="B378" s="44" t="s">
        <v>922</v>
      </c>
      <c r="C378" s="44" t="s">
        <v>600</v>
      </c>
      <c r="D378" s="44" t="n">
        <v>1104006</v>
      </c>
      <c r="E378" s="44" t="s">
        <v>212</v>
      </c>
      <c r="F378" s="44" t="s">
        <v>923</v>
      </c>
      <c r="G378" s="42"/>
      <c r="H378" s="42" t="n">
        <v>13155706.36</v>
      </c>
      <c r="I378" s="44" t="s">
        <v>603</v>
      </c>
      <c r="J378" s="11" t="n">
        <f aca="false">IF(D378="","",N(G378)-N(H378))</f>
        <v>-13155706.36</v>
      </c>
      <c r="K378" s="34" t="str">
        <f aca="false">IF(D378="","",IFERROR(INDEX(I_COA!$C$6:$C$265,MATCH(D378,I_COA!$A$6:$A$265,0)),"AKUN BARU"))</f>
        <v>Neraca</v>
      </c>
      <c r="L378" s="34" t="str">
        <f aca="false">IF(K378="LabaRugi",INDEX(I_COA!$D$6:$D$265,MATCH(D378,I_COA!$A$6:$A$265,0)),"")</f>
        <v/>
      </c>
      <c r="M378" s="34" t="str">
        <f aca="false">IF(K378="Neraca",INDEX(I_COA!$E$6:$E$265,MATCH(D378,I_COA!$A$6:$A$265,0)),"")</f>
        <v>Inventory - Trading</v>
      </c>
      <c r="N378" s="34" t="str">
        <f aca="false">IF(D378="","",IFERROR(INDEX(I_COA!$G$6:$G$265,MATCH(D378,I_COA!$A$6:$A$265,0)),"N"))</f>
        <v>N</v>
      </c>
      <c r="O378" s="11" t="n">
        <f aca="false">IF(N378="N",ABS(J378),"")</f>
        <v>13155706.36</v>
      </c>
      <c r="P378" s="18" t="str">
        <f aca="false">IF(N378="N",B378&amp;"|"&amp;ROUND(O378,0),"")</f>
        <v>KGR26.00222|13155706</v>
      </c>
      <c r="Q378" s="18" t="str">
        <f aca="false">IF(N378&lt;&gt;"Y","",IFERROR(INDEX($D$6:$D$4005,MATCH(B378&amp;"|"&amp;ROUND(_xlfn.MAXIFS($O$6:$O$4005,$B$6:$B$4005,B378,$N$6:$N$4005,"N"),0),$P$6:$P$4005,0)),"(tanpa lawan)"))</f>
        <v/>
      </c>
      <c r="R378" s="44"/>
      <c r="S378" s="9" t="str">
        <f aca="false">IF(N378&lt;&gt;"Y","",IF(R378&lt;&gt;"",R378,IF(Q378="(tanpa lawan)","Transfer antar rekening",IFERROR(INDEX(I_COA!$F$6:$F$265,MATCH(Q378,I_COA!$A$6:$A$265,0)),"?"))))</f>
        <v/>
      </c>
    </row>
    <row r="379" customFormat="false" ht="15" hidden="false" customHeight="false" outlineLevel="0" collapsed="false">
      <c r="A379" s="37" t="n">
        <v>46241</v>
      </c>
      <c r="B379" s="44" t="s">
        <v>924</v>
      </c>
      <c r="C379" s="44" t="s">
        <v>600</v>
      </c>
      <c r="D379" s="44" t="n">
        <v>1104002</v>
      </c>
      <c r="E379" s="44" t="s">
        <v>601</v>
      </c>
      <c r="F379" s="44" t="s">
        <v>925</v>
      </c>
      <c r="G379" s="42" t="n">
        <v>35845376.93</v>
      </c>
      <c r="H379" s="42"/>
      <c r="I379" s="44" t="s">
        <v>432</v>
      </c>
      <c r="J379" s="11" t="n">
        <f aca="false">IF(D379="","",N(G379)-N(H379))</f>
        <v>35845376.93</v>
      </c>
      <c r="K379" s="34" t="str">
        <f aca="false">IF(D379="","",IFERROR(INDEX(I_COA!$C$6:$C$265,MATCH(D379,I_COA!$A$6:$A$265,0)),"AKUN BARU"))</f>
        <v>Neraca</v>
      </c>
      <c r="L379" s="34" t="str">
        <f aca="false">IF(K379="LabaRugi",INDEX(I_COA!$D$6:$D$265,MATCH(D379,I_COA!$A$6:$A$265,0)),"")</f>
        <v/>
      </c>
      <c r="M379" s="34" t="str">
        <f aca="false">IF(K379="Neraca",INDEX(I_COA!$E$6:$E$265,MATCH(D379,I_COA!$A$6:$A$265,0)),"")</f>
        <v>Inventory - Product</v>
      </c>
      <c r="N379" s="34" t="str">
        <f aca="false">IF(D379="","",IFERROR(INDEX(I_COA!$G$6:$G$265,MATCH(D379,I_COA!$A$6:$A$265,0)),"N"))</f>
        <v>N</v>
      </c>
      <c r="O379" s="11" t="n">
        <f aca="false">IF(N379="N",ABS(J379),"")</f>
        <v>35845376.93</v>
      </c>
      <c r="P379" s="18" t="str">
        <f aca="false">IF(N379="N",B379&amp;"|"&amp;ROUND(O379,0),"")</f>
        <v>KGR26.00223|35845377</v>
      </c>
      <c r="Q379" s="18" t="str">
        <f aca="false">IF(N379&lt;&gt;"Y","",IFERROR(INDEX($D$6:$D$4005,MATCH(B379&amp;"|"&amp;ROUND(_xlfn.MAXIFS($O$6:$O$4005,$B$6:$B$4005,B379,$N$6:$N$4005,"N"),0),$P$6:$P$4005,0)),"(tanpa lawan)"))</f>
        <v/>
      </c>
      <c r="R379" s="44"/>
      <c r="S379" s="9" t="str">
        <f aca="false">IF(N379&lt;&gt;"Y","",IF(R379&lt;&gt;"",R379,IF(Q379="(tanpa lawan)","Transfer antar rekening",IFERROR(INDEX(I_COA!$F$6:$F$265,MATCH(Q379,I_COA!$A$6:$A$265,0)),"?"))))</f>
        <v/>
      </c>
    </row>
    <row r="380" customFormat="false" ht="15" hidden="false" customHeight="false" outlineLevel="0" collapsed="false">
      <c r="A380" s="37" t="n">
        <v>46241</v>
      </c>
      <c r="B380" s="44" t="s">
        <v>924</v>
      </c>
      <c r="C380" s="44" t="s">
        <v>600</v>
      </c>
      <c r="D380" s="44" t="n">
        <v>1104006</v>
      </c>
      <c r="E380" s="44" t="s">
        <v>212</v>
      </c>
      <c r="F380" s="44" t="s">
        <v>925</v>
      </c>
      <c r="G380" s="42"/>
      <c r="H380" s="42" t="n">
        <v>35845376.93</v>
      </c>
      <c r="I380" s="44" t="s">
        <v>432</v>
      </c>
      <c r="J380" s="11" t="n">
        <f aca="false">IF(D380="","",N(G380)-N(H380))</f>
        <v>-35845376.93</v>
      </c>
      <c r="K380" s="34" t="str">
        <f aca="false">IF(D380="","",IFERROR(INDEX(I_COA!$C$6:$C$265,MATCH(D380,I_COA!$A$6:$A$265,0)),"AKUN BARU"))</f>
        <v>Neraca</v>
      </c>
      <c r="L380" s="34" t="str">
        <f aca="false">IF(K380="LabaRugi",INDEX(I_COA!$D$6:$D$265,MATCH(D380,I_COA!$A$6:$A$265,0)),"")</f>
        <v/>
      </c>
      <c r="M380" s="34" t="str">
        <f aca="false">IF(K380="Neraca",INDEX(I_COA!$E$6:$E$265,MATCH(D380,I_COA!$A$6:$A$265,0)),"")</f>
        <v>Inventory - Trading</v>
      </c>
      <c r="N380" s="34" t="str">
        <f aca="false">IF(D380="","",IFERROR(INDEX(I_COA!$G$6:$G$265,MATCH(D380,I_COA!$A$6:$A$265,0)),"N"))</f>
        <v>N</v>
      </c>
      <c r="O380" s="11" t="n">
        <f aca="false">IF(N380="N",ABS(J380),"")</f>
        <v>35845376.93</v>
      </c>
      <c r="P380" s="18" t="str">
        <f aca="false">IF(N380="N",B380&amp;"|"&amp;ROUND(O380,0),"")</f>
        <v>KGR26.00223|35845377</v>
      </c>
      <c r="Q380" s="18" t="str">
        <f aca="false">IF(N380&lt;&gt;"Y","",IFERROR(INDEX($D$6:$D$4005,MATCH(B380&amp;"|"&amp;ROUND(_xlfn.MAXIFS($O$6:$O$4005,$B$6:$B$4005,B380,$N$6:$N$4005,"N"),0),$P$6:$P$4005,0)),"(tanpa lawan)"))</f>
        <v/>
      </c>
      <c r="R380" s="44"/>
      <c r="S380" s="9" t="str">
        <f aca="false">IF(N380&lt;&gt;"Y","",IF(R380&lt;&gt;"",R380,IF(Q380="(tanpa lawan)","Transfer antar rekening",IFERROR(INDEX(I_COA!$F$6:$F$265,MATCH(Q380,I_COA!$A$6:$A$265,0)),"?"))))</f>
        <v/>
      </c>
    </row>
    <row r="381" customFormat="false" ht="15" hidden="false" customHeight="false" outlineLevel="0" collapsed="false">
      <c r="A381" s="37" t="n">
        <v>46241</v>
      </c>
      <c r="B381" s="44" t="s">
        <v>926</v>
      </c>
      <c r="C381" s="44" t="s">
        <v>617</v>
      </c>
      <c r="D381" s="44" t="n">
        <v>1103101</v>
      </c>
      <c r="E381" s="44" t="s">
        <v>589</v>
      </c>
      <c r="F381" s="44" t="s">
        <v>927</v>
      </c>
      <c r="G381" s="42" t="n">
        <v>45937400</v>
      </c>
      <c r="H381" s="42"/>
      <c r="I381" s="44" t="s">
        <v>432</v>
      </c>
      <c r="J381" s="11" t="n">
        <f aca="false">IF(D381="","",N(G381)-N(H381))</f>
        <v>45937400</v>
      </c>
      <c r="K381" s="34" t="str">
        <f aca="false">IF(D381="","",IFERROR(INDEX(I_COA!$C$6:$C$265,MATCH(D381,I_COA!$A$6:$A$265,0)),"AKUN BARU"))</f>
        <v>Neraca</v>
      </c>
      <c r="L381" s="34" t="str">
        <f aca="false">IF(K381="LabaRugi",INDEX(I_COA!$D$6:$D$265,MATCH(D381,I_COA!$A$6:$A$265,0)),"")</f>
        <v/>
      </c>
      <c r="M381" s="34" t="str">
        <f aca="false">IF(K381="Neraca",INDEX(I_COA!$E$6:$E$265,MATCH(D381,I_COA!$A$6:$A$265,0)),"")</f>
        <v>Trade Receivables - Third Parties</v>
      </c>
      <c r="N381" s="34" t="str">
        <f aca="false">IF(D381="","",IFERROR(INDEX(I_COA!$G$6:$G$265,MATCH(D381,I_COA!$A$6:$A$265,0)),"N"))</f>
        <v>N</v>
      </c>
      <c r="O381" s="11" t="n">
        <f aca="false">IF(N381="N",ABS(J381),"")</f>
        <v>45937400</v>
      </c>
      <c r="P381" s="18" t="str">
        <f aca="false">IF(N381="N",B381&amp;"|"&amp;ROUND(O381,0),"")</f>
        <v>KGR26/0220|45937400</v>
      </c>
      <c r="Q381" s="18" t="str">
        <f aca="false">IF(N381&lt;&gt;"Y","",IFERROR(INDEX($D$6:$D$4005,MATCH(B381&amp;"|"&amp;ROUND(_xlfn.MAXIFS($O$6:$O$4005,$B$6:$B$4005,B381,$N$6:$N$4005,"N"),0),$P$6:$P$4005,0)),"(tanpa lawan)"))</f>
        <v/>
      </c>
      <c r="R381" s="44"/>
      <c r="S381" s="9" t="str">
        <f aca="false">IF(N381&lt;&gt;"Y","",IF(R381&lt;&gt;"",R381,IF(Q381="(tanpa lawan)","Transfer antar rekening",IFERROR(INDEX(I_COA!$F$6:$F$265,MATCH(Q381,I_COA!$A$6:$A$265,0)),"?"))))</f>
        <v/>
      </c>
    </row>
    <row r="382" customFormat="false" ht="15" hidden="false" customHeight="false" outlineLevel="0" collapsed="false">
      <c r="A382" s="37" t="n">
        <v>46241</v>
      </c>
      <c r="B382" s="44" t="s">
        <v>926</v>
      </c>
      <c r="C382" s="44" t="s">
        <v>617</v>
      </c>
      <c r="D382" s="44" t="n">
        <v>4101012</v>
      </c>
      <c r="E382" s="44" t="s">
        <v>619</v>
      </c>
      <c r="F382" s="44" t="s">
        <v>927</v>
      </c>
      <c r="G382" s="42"/>
      <c r="H382" s="42" t="n">
        <v>45937400</v>
      </c>
      <c r="I382" s="44" t="s">
        <v>432</v>
      </c>
      <c r="J382" s="11" t="n">
        <f aca="false">IF(D382="","",N(G382)-N(H382))</f>
        <v>-45937400</v>
      </c>
      <c r="K382" s="34" t="str">
        <f aca="false">IF(D382="","",IFERROR(INDEX(I_COA!$C$6:$C$265,MATCH(D382,I_COA!$A$6:$A$265,0)),"AKUN BARU"))</f>
        <v>LabaRugi</v>
      </c>
      <c r="L382" s="34" t="str">
        <f aca="false">IF(K382="LabaRugi",INDEX(I_COA!$D$6:$D$265,MATCH(D382,I_COA!$A$6:$A$265,0)),"")</f>
        <v>Revenue - Trading</v>
      </c>
      <c r="M382" s="34" t="str">
        <f aca="false">IF(K382="Neraca",INDEX(I_COA!$E$6:$E$265,MATCH(D382,I_COA!$A$6:$A$265,0)),"")</f>
        <v/>
      </c>
      <c r="N382" s="34" t="str">
        <f aca="false">IF(D382="","",IFERROR(INDEX(I_COA!$G$6:$G$265,MATCH(D382,I_COA!$A$6:$A$265,0)),"N"))</f>
        <v>N</v>
      </c>
      <c r="O382" s="11" t="n">
        <f aca="false">IF(N382="N",ABS(J382),"")</f>
        <v>45937400</v>
      </c>
      <c r="P382" s="18" t="str">
        <f aca="false">IF(N382="N",B382&amp;"|"&amp;ROUND(O382,0),"")</f>
        <v>KGR26/0220|45937400</v>
      </c>
      <c r="Q382" s="18" t="str">
        <f aca="false">IF(N382&lt;&gt;"Y","",IFERROR(INDEX($D$6:$D$4005,MATCH(B382&amp;"|"&amp;ROUND(_xlfn.MAXIFS($O$6:$O$4005,$B$6:$B$4005,B382,$N$6:$N$4005,"N"),0),$P$6:$P$4005,0)),"(tanpa lawan)"))</f>
        <v/>
      </c>
      <c r="R382" s="44"/>
      <c r="S382" s="9" t="str">
        <f aca="false">IF(N382&lt;&gt;"Y","",IF(R382&lt;&gt;"",R382,IF(Q382="(tanpa lawan)","Transfer antar rekening",IFERROR(INDEX(I_COA!$F$6:$F$265,MATCH(Q382,I_COA!$A$6:$A$265,0)),"?"))))</f>
        <v/>
      </c>
    </row>
    <row r="383" customFormat="false" ht="15" hidden="false" customHeight="false" outlineLevel="0" collapsed="false">
      <c r="A383" s="37" t="n">
        <v>46241</v>
      </c>
      <c r="B383" s="44" t="s">
        <v>926</v>
      </c>
      <c r="C383" s="44" t="s">
        <v>617</v>
      </c>
      <c r="D383" s="44" t="n">
        <v>5100011</v>
      </c>
      <c r="E383" s="44" t="s">
        <v>166</v>
      </c>
      <c r="F383" s="44" t="s">
        <v>927</v>
      </c>
      <c r="G383" s="42" t="n">
        <v>46543719.02</v>
      </c>
      <c r="H383" s="42"/>
      <c r="I383" s="44" t="s">
        <v>432</v>
      </c>
      <c r="J383" s="11" t="n">
        <f aca="false">IF(D383="","",N(G383)-N(H383))</f>
        <v>46543719.02</v>
      </c>
      <c r="K383" s="34" t="str">
        <f aca="false">IF(D383="","",IFERROR(INDEX(I_COA!$C$6:$C$265,MATCH(D383,I_COA!$A$6:$A$265,0)),"AKUN BARU"))</f>
        <v>LabaRugi</v>
      </c>
      <c r="L383" s="34" t="str">
        <f aca="false">IF(K383="LabaRugi",INDEX(I_COA!$D$6:$D$265,MATCH(D383,I_COA!$A$6:$A$265,0)),"")</f>
        <v>COGS - Trading</v>
      </c>
      <c r="M383" s="34" t="str">
        <f aca="false">IF(K383="Neraca",INDEX(I_COA!$E$6:$E$265,MATCH(D383,I_COA!$A$6:$A$265,0)),"")</f>
        <v/>
      </c>
      <c r="N383" s="34" t="str">
        <f aca="false">IF(D383="","",IFERROR(INDEX(I_COA!$G$6:$G$265,MATCH(D383,I_COA!$A$6:$A$265,0)),"N"))</f>
        <v>N</v>
      </c>
      <c r="O383" s="11" t="n">
        <f aca="false">IF(N383="N",ABS(J383),"")</f>
        <v>46543719.02</v>
      </c>
      <c r="P383" s="18" t="str">
        <f aca="false">IF(N383="N",B383&amp;"|"&amp;ROUND(O383,0),"")</f>
        <v>KGR26/0220|46543719</v>
      </c>
      <c r="Q383" s="18" t="str">
        <f aca="false">IF(N383&lt;&gt;"Y","",IFERROR(INDEX($D$6:$D$4005,MATCH(B383&amp;"|"&amp;ROUND(_xlfn.MAXIFS($O$6:$O$4005,$B$6:$B$4005,B383,$N$6:$N$4005,"N"),0),$P$6:$P$4005,0)),"(tanpa lawan)"))</f>
        <v/>
      </c>
      <c r="R383" s="44"/>
      <c r="S383" s="9" t="str">
        <f aca="false">IF(N383&lt;&gt;"Y","",IF(R383&lt;&gt;"",R383,IF(Q383="(tanpa lawan)","Transfer antar rekening",IFERROR(INDEX(I_COA!$F$6:$F$265,MATCH(Q383,I_COA!$A$6:$A$265,0)),"?"))))</f>
        <v/>
      </c>
    </row>
    <row r="384" customFormat="false" ht="15" hidden="false" customHeight="false" outlineLevel="0" collapsed="false">
      <c r="A384" s="37" t="n">
        <v>46241</v>
      </c>
      <c r="B384" s="44" t="s">
        <v>926</v>
      </c>
      <c r="C384" s="44" t="s">
        <v>617</v>
      </c>
      <c r="D384" s="44" t="n">
        <v>1104002</v>
      </c>
      <c r="E384" s="44" t="s">
        <v>601</v>
      </c>
      <c r="F384" s="44" t="s">
        <v>927</v>
      </c>
      <c r="G384" s="42"/>
      <c r="H384" s="42" t="n">
        <v>46543719.02</v>
      </c>
      <c r="I384" s="44" t="s">
        <v>432</v>
      </c>
      <c r="J384" s="11" t="n">
        <f aca="false">IF(D384="","",N(G384)-N(H384))</f>
        <v>-46543719.02</v>
      </c>
      <c r="K384" s="34" t="str">
        <f aca="false">IF(D384="","",IFERROR(INDEX(I_COA!$C$6:$C$265,MATCH(D384,I_COA!$A$6:$A$265,0)),"AKUN BARU"))</f>
        <v>Neraca</v>
      </c>
      <c r="L384" s="34" t="str">
        <f aca="false">IF(K384="LabaRugi",INDEX(I_COA!$D$6:$D$265,MATCH(D384,I_COA!$A$6:$A$265,0)),"")</f>
        <v/>
      </c>
      <c r="M384" s="34" t="str">
        <f aca="false">IF(K384="Neraca",INDEX(I_COA!$E$6:$E$265,MATCH(D384,I_COA!$A$6:$A$265,0)),"")</f>
        <v>Inventory - Product</v>
      </c>
      <c r="N384" s="34" t="str">
        <f aca="false">IF(D384="","",IFERROR(INDEX(I_COA!$G$6:$G$265,MATCH(D384,I_COA!$A$6:$A$265,0)),"N"))</f>
        <v>N</v>
      </c>
      <c r="O384" s="11" t="n">
        <f aca="false">IF(N384="N",ABS(J384),"")</f>
        <v>46543719.02</v>
      </c>
      <c r="P384" s="18" t="str">
        <f aca="false">IF(N384="N",B384&amp;"|"&amp;ROUND(O384,0),"")</f>
        <v>KGR26/0220|46543719</v>
      </c>
      <c r="Q384" s="18" t="str">
        <f aca="false">IF(N384&lt;&gt;"Y","",IFERROR(INDEX($D$6:$D$4005,MATCH(B384&amp;"|"&amp;ROUND(_xlfn.MAXIFS($O$6:$O$4005,$B$6:$B$4005,B384,$N$6:$N$4005,"N"),0),$P$6:$P$4005,0)),"(tanpa lawan)"))</f>
        <v/>
      </c>
      <c r="R384" s="44"/>
      <c r="S384" s="9" t="str">
        <f aca="false">IF(N384&lt;&gt;"Y","",IF(R384&lt;&gt;"",R384,IF(Q384="(tanpa lawan)","Transfer antar rekening",IFERROR(INDEX(I_COA!$F$6:$F$265,MATCH(Q384,I_COA!$A$6:$A$265,0)),"?"))))</f>
        <v/>
      </c>
    </row>
    <row r="385" customFormat="false" ht="15" hidden="false" customHeight="false" outlineLevel="0" collapsed="false">
      <c r="A385" s="37" t="n">
        <v>46241</v>
      </c>
      <c r="B385" s="44" t="s">
        <v>928</v>
      </c>
      <c r="C385" s="44" t="s">
        <v>617</v>
      </c>
      <c r="D385" s="44" t="n">
        <v>1103101</v>
      </c>
      <c r="E385" s="44" t="s">
        <v>589</v>
      </c>
      <c r="F385" s="44" t="s">
        <v>929</v>
      </c>
      <c r="G385" s="42" t="n">
        <v>79833980</v>
      </c>
      <c r="H385" s="42"/>
      <c r="I385" s="44" t="s">
        <v>841</v>
      </c>
      <c r="J385" s="11" t="n">
        <f aca="false">IF(D385="","",N(G385)-N(H385))</f>
        <v>79833980</v>
      </c>
      <c r="K385" s="34" t="str">
        <f aca="false">IF(D385="","",IFERROR(INDEX(I_COA!$C$6:$C$265,MATCH(D385,I_COA!$A$6:$A$265,0)),"AKUN BARU"))</f>
        <v>Neraca</v>
      </c>
      <c r="L385" s="34" t="str">
        <f aca="false">IF(K385="LabaRugi",INDEX(I_COA!$D$6:$D$265,MATCH(D385,I_COA!$A$6:$A$265,0)),"")</f>
        <v/>
      </c>
      <c r="M385" s="34" t="str">
        <f aca="false">IF(K385="Neraca",INDEX(I_COA!$E$6:$E$265,MATCH(D385,I_COA!$A$6:$A$265,0)),"")</f>
        <v>Trade Receivables - Third Parties</v>
      </c>
      <c r="N385" s="34" t="str">
        <f aca="false">IF(D385="","",IFERROR(INDEX(I_COA!$G$6:$G$265,MATCH(D385,I_COA!$A$6:$A$265,0)),"N"))</f>
        <v>N</v>
      </c>
      <c r="O385" s="11" t="n">
        <f aca="false">IF(N385="N",ABS(J385),"")</f>
        <v>79833980</v>
      </c>
      <c r="P385" s="18" t="str">
        <f aca="false">IF(N385="N",B385&amp;"|"&amp;ROUND(O385,0),"")</f>
        <v>KGR26/0221|79833980</v>
      </c>
      <c r="Q385" s="18" t="str">
        <f aca="false">IF(N385&lt;&gt;"Y","",IFERROR(INDEX($D$6:$D$4005,MATCH(B385&amp;"|"&amp;ROUND(_xlfn.MAXIFS($O$6:$O$4005,$B$6:$B$4005,B385,$N$6:$N$4005,"N"),0),$P$6:$P$4005,0)),"(tanpa lawan)"))</f>
        <v/>
      </c>
      <c r="R385" s="44"/>
      <c r="S385" s="9" t="str">
        <f aca="false">IF(N385&lt;&gt;"Y","",IF(R385&lt;&gt;"",R385,IF(Q385="(tanpa lawan)","Transfer antar rekening",IFERROR(INDEX(I_COA!$F$6:$F$265,MATCH(Q385,I_COA!$A$6:$A$265,0)),"?"))))</f>
        <v/>
      </c>
    </row>
    <row r="386" customFormat="false" ht="15" hidden="false" customHeight="false" outlineLevel="0" collapsed="false">
      <c r="A386" s="37" t="n">
        <v>46241</v>
      </c>
      <c r="B386" s="44" t="s">
        <v>928</v>
      </c>
      <c r="C386" s="44" t="s">
        <v>617</v>
      </c>
      <c r="D386" s="44" t="n">
        <v>4101004</v>
      </c>
      <c r="E386" s="44" t="s">
        <v>755</v>
      </c>
      <c r="F386" s="44" t="s">
        <v>929</v>
      </c>
      <c r="G386" s="42" t="n">
        <v>531800</v>
      </c>
      <c r="H386" s="42"/>
      <c r="I386" s="44" t="s">
        <v>841</v>
      </c>
      <c r="J386" s="11" t="n">
        <f aca="false">IF(D386="","",N(G386)-N(H386))</f>
        <v>531800</v>
      </c>
      <c r="K386" s="34" t="str">
        <f aca="false">IF(D386="","",IFERROR(INDEX(I_COA!$C$6:$C$265,MATCH(D386,I_COA!$A$6:$A$265,0)),"AKUN BARU"))</f>
        <v>LabaRugi</v>
      </c>
      <c r="L386" s="34" t="str">
        <f aca="false">IF(K386="LabaRugi",INDEX(I_COA!$D$6:$D$265,MATCH(D386,I_COA!$A$6:$A$265,0)),"")</f>
        <v>Revenue - Trading</v>
      </c>
      <c r="M386" s="34" t="str">
        <f aca="false">IF(K386="Neraca",INDEX(I_COA!$E$6:$E$265,MATCH(D386,I_COA!$A$6:$A$265,0)),"")</f>
        <v/>
      </c>
      <c r="N386" s="34" t="str">
        <f aca="false">IF(D386="","",IFERROR(INDEX(I_COA!$G$6:$G$265,MATCH(D386,I_COA!$A$6:$A$265,0)),"N"))</f>
        <v>N</v>
      </c>
      <c r="O386" s="11" t="n">
        <f aca="false">IF(N386="N",ABS(J386),"")</f>
        <v>531800</v>
      </c>
      <c r="P386" s="18" t="str">
        <f aca="false">IF(N386="N",B386&amp;"|"&amp;ROUND(O386,0),"")</f>
        <v>KGR26/0221|531800</v>
      </c>
      <c r="Q386" s="18" t="str">
        <f aca="false">IF(N386&lt;&gt;"Y","",IFERROR(INDEX($D$6:$D$4005,MATCH(B386&amp;"|"&amp;ROUND(_xlfn.MAXIFS($O$6:$O$4005,$B$6:$B$4005,B386,$N$6:$N$4005,"N"),0),$P$6:$P$4005,0)),"(tanpa lawan)"))</f>
        <v/>
      </c>
      <c r="R386" s="44"/>
      <c r="S386" s="9" t="str">
        <f aca="false">IF(N386&lt;&gt;"Y","",IF(R386&lt;&gt;"",R386,IF(Q386="(tanpa lawan)","Transfer antar rekening",IFERROR(INDEX(I_COA!$F$6:$F$265,MATCH(Q386,I_COA!$A$6:$A$265,0)),"?"))))</f>
        <v/>
      </c>
    </row>
    <row r="387" customFormat="false" ht="15" hidden="false" customHeight="false" outlineLevel="0" collapsed="false">
      <c r="A387" s="37" t="n">
        <v>46241</v>
      </c>
      <c r="B387" s="44" t="s">
        <v>928</v>
      </c>
      <c r="C387" s="44" t="s">
        <v>617</v>
      </c>
      <c r="D387" s="44" t="n">
        <v>4101012</v>
      </c>
      <c r="E387" s="44" t="s">
        <v>619</v>
      </c>
      <c r="F387" s="44" t="s">
        <v>929</v>
      </c>
      <c r="G387" s="42"/>
      <c r="H387" s="42" t="n">
        <v>80365780</v>
      </c>
      <c r="I387" s="44" t="s">
        <v>841</v>
      </c>
      <c r="J387" s="11" t="n">
        <f aca="false">IF(D387="","",N(G387)-N(H387))</f>
        <v>-80365780</v>
      </c>
      <c r="K387" s="34" t="str">
        <f aca="false">IF(D387="","",IFERROR(INDEX(I_COA!$C$6:$C$265,MATCH(D387,I_COA!$A$6:$A$265,0)),"AKUN BARU"))</f>
        <v>LabaRugi</v>
      </c>
      <c r="L387" s="34" t="str">
        <f aca="false">IF(K387="LabaRugi",INDEX(I_COA!$D$6:$D$265,MATCH(D387,I_COA!$A$6:$A$265,0)),"")</f>
        <v>Revenue - Trading</v>
      </c>
      <c r="M387" s="34" t="str">
        <f aca="false">IF(K387="Neraca",INDEX(I_COA!$E$6:$E$265,MATCH(D387,I_COA!$A$6:$A$265,0)),"")</f>
        <v/>
      </c>
      <c r="N387" s="34" t="str">
        <f aca="false">IF(D387="","",IFERROR(INDEX(I_COA!$G$6:$G$265,MATCH(D387,I_COA!$A$6:$A$265,0)),"N"))</f>
        <v>N</v>
      </c>
      <c r="O387" s="11" t="n">
        <f aca="false">IF(N387="N",ABS(J387),"")</f>
        <v>80365780</v>
      </c>
      <c r="P387" s="18" t="str">
        <f aca="false">IF(N387="N",B387&amp;"|"&amp;ROUND(O387,0),"")</f>
        <v>KGR26/0221|80365780</v>
      </c>
      <c r="Q387" s="18" t="str">
        <f aca="false">IF(N387&lt;&gt;"Y","",IFERROR(INDEX($D$6:$D$4005,MATCH(B387&amp;"|"&amp;ROUND(_xlfn.MAXIFS($O$6:$O$4005,$B$6:$B$4005,B387,$N$6:$N$4005,"N"),0),$P$6:$P$4005,0)),"(tanpa lawan)"))</f>
        <v/>
      </c>
      <c r="R387" s="44"/>
      <c r="S387" s="9" t="str">
        <f aca="false">IF(N387&lt;&gt;"Y","",IF(R387&lt;&gt;"",R387,IF(Q387="(tanpa lawan)","Transfer antar rekening",IFERROR(INDEX(I_COA!$F$6:$F$265,MATCH(Q387,I_COA!$A$6:$A$265,0)),"?"))))</f>
        <v/>
      </c>
    </row>
    <row r="388" customFormat="false" ht="15" hidden="false" customHeight="false" outlineLevel="0" collapsed="false">
      <c r="A388" s="37" t="n">
        <v>46241</v>
      </c>
      <c r="B388" s="44" t="s">
        <v>928</v>
      </c>
      <c r="C388" s="44" t="s">
        <v>617</v>
      </c>
      <c r="D388" s="44" t="n">
        <v>5100011</v>
      </c>
      <c r="E388" s="44" t="s">
        <v>166</v>
      </c>
      <c r="F388" s="44" t="s">
        <v>929</v>
      </c>
      <c r="G388" s="42" t="n">
        <v>77044646.66</v>
      </c>
      <c r="H388" s="42"/>
      <c r="I388" s="44" t="s">
        <v>841</v>
      </c>
      <c r="J388" s="11" t="n">
        <f aca="false">IF(D388="","",N(G388)-N(H388))</f>
        <v>77044646.66</v>
      </c>
      <c r="K388" s="34" t="str">
        <f aca="false">IF(D388="","",IFERROR(INDEX(I_COA!$C$6:$C$265,MATCH(D388,I_COA!$A$6:$A$265,0)),"AKUN BARU"))</f>
        <v>LabaRugi</v>
      </c>
      <c r="L388" s="34" t="str">
        <f aca="false">IF(K388="LabaRugi",INDEX(I_COA!$D$6:$D$265,MATCH(D388,I_COA!$A$6:$A$265,0)),"")</f>
        <v>COGS - Trading</v>
      </c>
      <c r="M388" s="34" t="str">
        <f aca="false">IF(K388="Neraca",INDEX(I_COA!$E$6:$E$265,MATCH(D388,I_COA!$A$6:$A$265,0)),"")</f>
        <v/>
      </c>
      <c r="N388" s="34" t="str">
        <f aca="false">IF(D388="","",IFERROR(INDEX(I_COA!$G$6:$G$265,MATCH(D388,I_COA!$A$6:$A$265,0)),"N"))</f>
        <v>N</v>
      </c>
      <c r="O388" s="11" t="n">
        <f aca="false">IF(N388="N",ABS(J388),"")</f>
        <v>77044646.66</v>
      </c>
      <c r="P388" s="18" t="str">
        <f aca="false">IF(N388="N",B388&amp;"|"&amp;ROUND(O388,0),"")</f>
        <v>KGR26/0221|77044647</v>
      </c>
      <c r="Q388" s="18" t="str">
        <f aca="false">IF(N388&lt;&gt;"Y","",IFERROR(INDEX($D$6:$D$4005,MATCH(B388&amp;"|"&amp;ROUND(_xlfn.MAXIFS($O$6:$O$4005,$B$6:$B$4005,B388,$N$6:$N$4005,"N"),0),$P$6:$P$4005,0)),"(tanpa lawan)"))</f>
        <v/>
      </c>
      <c r="R388" s="44"/>
      <c r="S388" s="9" t="str">
        <f aca="false">IF(N388&lt;&gt;"Y","",IF(R388&lt;&gt;"",R388,IF(Q388="(tanpa lawan)","Transfer antar rekening",IFERROR(INDEX(I_COA!$F$6:$F$265,MATCH(Q388,I_COA!$A$6:$A$265,0)),"?"))))</f>
        <v/>
      </c>
    </row>
    <row r="389" customFormat="false" ht="15" hidden="false" customHeight="false" outlineLevel="0" collapsed="false">
      <c r="A389" s="37" t="n">
        <v>46241</v>
      </c>
      <c r="B389" s="44" t="s">
        <v>928</v>
      </c>
      <c r="C389" s="44" t="s">
        <v>617</v>
      </c>
      <c r="D389" s="44" t="n">
        <v>1104002</v>
      </c>
      <c r="E389" s="44" t="s">
        <v>601</v>
      </c>
      <c r="F389" s="44" t="s">
        <v>929</v>
      </c>
      <c r="G389" s="42"/>
      <c r="H389" s="42" t="n">
        <v>77044646.66</v>
      </c>
      <c r="I389" s="44" t="s">
        <v>841</v>
      </c>
      <c r="J389" s="11" t="n">
        <f aca="false">IF(D389="","",N(G389)-N(H389))</f>
        <v>-77044646.66</v>
      </c>
      <c r="K389" s="34" t="str">
        <f aca="false">IF(D389="","",IFERROR(INDEX(I_COA!$C$6:$C$265,MATCH(D389,I_COA!$A$6:$A$265,0)),"AKUN BARU"))</f>
        <v>Neraca</v>
      </c>
      <c r="L389" s="34" t="str">
        <f aca="false">IF(K389="LabaRugi",INDEX(I_COA!$D$6:$D$265,MATCH(D389,I_COA!$A$6:$A$265,0)),"")</f>
        <v/>
      </c>
      <c r="M389" s="34" t="str">
        <f aca="false">IF(K389="Neraca",INDEX(I_COA!$E$6:$E$265,MATCH(D389,I_COA!$A$6:$A$265,0)),"")</f>
        <v>Inventory - Product</v>
      </c>
      <c r="N389" s="34" t="str">
        <f aca="false">IF(D389="","",IFERROR(INDEX(I_COA!$G$6:$G$265,MATCH(D389,I_COA!$A$6:$A$265,0)),"N"))</f>
        <v>N</v>
      </c>
      <c r="O389" s="11" t="n">
        <f aca="false">IF(N389="N",ABS(J389),"")</f>
        <v>77044646.66</v>
      </c>
      <c r="P389" s="18" t="str">
        <f aca="false">IF(N389="N",B389&amp;"|"&amp;ROUND(O389,0),"")</f>
        <v>KGR26/0221|77044647</v>
      </c>
      <c r="Q389" s="18" t="str">
        <f aca="false">IF(N389&lt;&gt;"Y","",IFERROR(INDEX($D$6:$D$4005,MATCH(B389&amp;"|"&amp;ROUND(_xlfn.MAXIFS($O$6:$O$4005,$B$6:$B$4005,B389,$N$6:$N$4005,"N"),0),$P$6:$P$4005,0)),"(tanpa lawan)"))</f>
        <v/>
      </c>
      <c r="R389" s="44"/>
      <c r="S389" s="9" t="str">
        <f aca="false">IF(N389&lt;&gt;"Y","",IF(R389&lt;&gt;"",R389,IF(Q389="(tanpa lawan)","Transfer antar rekening",IFERROR(INDEX(I_COA!$F$6:$F$265,MATCH(Q389,I_COA!$A$6:$A$265,0)),"?"))))</f>
        <v/>
      </c>
    </row>
    <row r="390" customFormat="false" ht="15" hidden="false" customHeight="false" outlineLevel="0" collapsed="false">
      <c r="A390" s="37" t="n">
        <v>46241</v>
      </c>
      <c r="B390" s="44" t="s">
        <v>930</v>
      </c>
      <c r="C390" s="44" t="s">
        <v>617</v>
      </c>
      <c r="D390" s="44" t="n">
        <v>1103101</v>
      </c>
      <c r="E390" s="44" t="s">
        <v>589</v>
      </c>
      <c r="F390" s="44" t="s">
        <v>931</v>
      </c>
      <c r="G390" s="42" t="n">
        <v>15056850</v>
      </c>
      <c r="H390" s="42"/>
      <c r="I390" s="44" t="s">
        <v>603</v>
      </c>
      <c r="J390" s="11" t="n">
        <f aca="false">IF(D390="","",N(G390)-N(H390))</f>
        <v>15056850</v>
      </c>
      <c r="K390" s="34" t="str">
        <f aca="false">IF(D390="","",IFERROR(INDEX(I_COA!$C$6:$C$265,MATCH(D390,I_COA!$A$6:$A$265,0)),"AKUN BARU"))</f>
        <v>Neraca</v>
      </c>
      <c r="L390" s="34" t="str">
        <f aca="false">IF(K390="LabaRugi",INDEX(I_COA!$D$6:$D$265,MATCH(D390,I_COA!$A$6:$A$265,0)),"")</f>
        <v/>
      </c>
      <c r="M390" s="34" t="str">
        <f aca="false">IF(K390="Neraca",INDEX(I_COA!$E$6:$E$265,MATCH(D390,I_COA!$A$6:$A$265,0)),"")</f>
        <v>Trade Receivables - Third Parties</v>
      </c>
      <c r="N390" s="34" t="str">
        <f aca="false">IF(D390="","",IFERROR(INDEX(I_COA!$G$6:$G$265,MATCH(D390,I_COA!$A$6:$A$265,0)),"N"))</f>
        <v>N</v>
      </c>
      <c r="O390" s="11" t="n">
        <f aca="false">IF(N390="N",ABS(J390),"")</f>
        <v>15056850</v>
      </c>
      <c r="P390" s="18" t="str">
        <f aca="false">IF(N390="N",B390&amp;"|"&amp;ROUND(O390,0),"")</f>
        <v>KGR26/0222|15056850</v>
      </c>
      <c r="Q390" s="18" t="str">
        <f aca="false">IF(N390&lt;&gt;"Y","",IFERROR(INDEX($D$6:$D$4005,MATCH(B390&amp;"|"&amp;ROUND(_xlfn.MAXIFS($O$6:$O$4005,$B$6:$B$4005,B390,$N$6:$N$4005,"N"),0),$P$6:$P$4005,0)),"(tanpa lawan)"))</f>
        <v/>
      </c>
      <c r="R390" s="44"/>
      <c r="S390" s="9" t="str">
        <f aca="false">IF(N390&lt;&gt;"Y","",IF(R390&lt;&gt;"",R390,IF(Q390="(tanpa lawan)","Transfer antar rekening",IFERROR(INDEX(I_COA!$F$6:$F$265,MATCH(Q390,I_COA!$A$6:$A$265,0)),"?"))))</f>
        <v/>
      </c>
    </row>
    <row r="391" customFormat="false" ht="15" hidden="false" customHeight="false" outlineLevel="0" collapsed="false">
      <c r="A391" s="37" t="n">
        <v>46241</v>
      </c>
      <c r="B391" s="44" t="s">
        <v>930</v>
      </c>
      <c r="C391" s="44" t="s">
        <v>617</v>
      </c>
      <c r="D391" s="44" t="n">
        <v>4101012</v>
      </c>
      <c r="E391" s="44" t="s">
        <v>619</v>
      </c>
      <c r="F391" s="44" t="s">
        <v>931</v>
      </c>
      <c r="G391" s="42"/>
      <c r="H391" s="42" t="n">
        <v>15056850</v>
      </c>
      <c r="I391" s="44" t="s">
        <v>603</v>
      </c>
      <c r="J391" s="11" t="n">
        <f aca="false">IF(D391="","",N(G391)-N(H391))</f>
        <v>-15056850</v>
      </c>
      <c r="K391" s="34" t="str">
        <f aca="false">IF(D391="","",IFERROR(INDEX(I_COA!$C$6:$C$265,MATCH(D391,I_COA!$A$6:$A$265,0)),"AKUN BARU"))</f>
        <v>LabaRugi</v>
      </c>
      <c r="L391" s="34" t="str">
        <f aca="false">IF(K391="LabaRugi",INDEX(I_COA!$D$6:$D$265,MATCH(D391,I_COA!$A$6:$A$265,0)),"")</f>
        <v>Revenue - Trading</v>
      </c>
      <c r="M391" s="34" t="str">
        <f aca="false">IF(K391="Neraca",INDEX(I_COA!$E$6:$E$265,MATCH(D391,I_COA!$A$6:$A$265,0)),"")</f>
        <v/>
      </c>
      <c r="N391" s="34" t="str">
        <f aca="false">IF(D391="","",IFERROR(INDEX(I_COA!$G$6:$G$265,MATCH(D391,I_COA!$A$6:$A$265,0)),"N"))</f>
        <v>N</v>
      </c>
      <c r="O391" s="11" t="n">
        <f aca="false">IF(N391="N",ABS(J391),"")</f>
        <v>15056850</v>
      </c>
      <c r="P391" s="18" t="str">
        <f aca="false">IF(N391="N",B391&amp;"|"&amp;ROUND(O391,0),"")</f>
        <v>KGR26/0222|15056850</v>
      </c>
      <c r="Q391" s="18" t="str">
        <f aca="false">IF(N391&lt;&gt;"Y","",IFERROR(INDEX($D$6:$D$4005,MATCH(B391&amp;"|"&amp;ROUND(_xlfn.MAXIFS($O$6:$O$4005,$B$6:$B$4005,B391,$N$6:$N$4005,"N"),0),$P$6:$P$4005,0)),"(tanpa lawan)"))</f>
        <v/>
      </c>
      <c r="R391" s="44"/>
      <c r="S391" s="9" t="str">
        <f aca="false">IF(N391&lt;&gt;"Y","",IF(R391&lt;&gt;"",R391,IF(Q391="(tanpa lawan)","Transfer antar rekening",IFERROR(INDEX(I_COA!$F$6:$F$265,MATCH(Q391,I_COA!$A$6:$A$265,0)),"?"))))</f>
        <v/>
      </c>
    </row>
    <row r="392" customFormat="false" ht="15" hidden="false" customHeight="false" outlineLevel="0" collapsed="false">
      <c r="A392" s="37" t="n">
        <v>46241</v>
      </c>
      <c r="B392" s="44" t="s">
        <v>930</v>
      </c>
      <c r="C392" s="44" t="s">
        <v>617</v>
      </c>
      <c r="D392" s="44" t="n">
        <v>5100011</v>
      </c>
      <c r="E392" s="44" t="s">
        <v>166</v>
      </c>
      <c r="F392" s="44" t="s">
        <v>931</v>
      </c>
      <c r="G392" s="42" t="n">
        <v>13155706.36</v>
      </c>
      <c r="H392" s="42"/>
      <c r="I392" s="44" t="s">
        <v>603</v>
      </c>
      <c r="J392" s="11" t="n">
        <f aca="false">IF(D392="","",N(G392)-N(H392))</f>
        <v>13155706.36</v>
      </c>
      <c r="K392" s="34" t="str">
        <f aca="false">IF(D392="","",IFERROR(INDEX(I_COA!$C$6:$C$265,MATCH(D392,I_COA!$A$6:$A$265,0)),"AKUN BARU"))</f>
        <v>LabaRugi</v>
      </c>
      <c r="L392" s="34" t="str">
        <f aca="false">IF(K392="LabaRugi",INDEX(I_COA!$D$6:$D$265,MATCH(D392,I_COA!$A$6:$A$265,0)),"")</f>
        <v>COGS - Trading</v>
      </c>
      <c r="M392" s="34" t="str">
        <f aca="false">IF(K392="Neraca",INDEX(I_COA!$E$6:$E$265,MATCH(D392,I_COA!$A$6:$A$265,0)),"")</f>
        <v/>
      </c>
      <c r="N392" s="34" t="str">
        <f aca="false">IF(D392="","",IFERROR(INDEX(I_COA!$G$6:$G$265,MATCH(D392,I_COA!$A$6:$A$265,0)),"N"))</f>
        <v>N</v>
      </c>
      <c r="O392" s="11" t="n">
        <f aca="false">IF(N392="N",ABS(J392),"")</f>
        <v>13155706.36</v>
      </c>
      <c r="P392" s="18" t="str">
        <f aca="false">IF(N392="N",B392&amp;"|"&amp;ROUND(O392,0),"")</f>
        <v>KGR26/0222|13155706</v>
      </c>
      <c r="Q392" s="18" t="str">
        <f aca="false">IF(N392&lt;&gt;"Y","",IFERROR(INDEX($D$6:$D$4005,MATCH(B392&amp;"|"&amp;ROUND(_xlfn.MAXIFS($O$6:$O$4005,$B$6:$B$4005,B392,$N$6:$N$4005,"N"),0),$P$6:$P$4005,0)),"(tanpa lawan)"))</f>
        <v/>
      </c>
      <c r="R392" s="44"/>
      <c r="S392" s="9" t="str">
        <f aca="false">IF(N392&lt;&gt;"Y","",IF(R392&lt;&gt;"",R392,IF(Q392="(tanpa lawan)","Transfer antar rekening",IFERROR(INDEX(I_COA!$F$6:$F$265,MATCH(Q392,I_COA!$A$6:$A$265,0)),"?"))))</f>
        <v/>
      </c>
    </row>
    <row r="393" customFormat="false" ht="15" hidden="false" customHeight="false" outlineLevel="0" collapsed="false">
      <c r="A393" s="37" t="n">
        <v>46241</v>
      </c>
      <c r="B393" s="44" t="s">
        <v>930</v>
      </c>
      <c r="C393" s="44" t="s">
        <v>617</v>
      </c>
      <c r="D393" s="44" t="n">
        <v>1104002</v>
      </c>
      <c r="E393" s="44" t="s">
        <v>601</v>
      </c>
      <c r="F393" s="44" t="s">
        <v>931</v>
      </c>
      <c r="G393" s="42"/>
      <c r="H393" s="42" t="n">
        <v>13155706.36</v>
      </c>
      <c r="I393" s="44" t="s">
        <v>603</v>
      </c>
      <c r="J393" s="11" t="n">
        <f aca="false">IF(D393="","",N(G393)-N(H393))</f>
        <v>-13155706.36</v>
      </c>
      <c r="K393" s="34" t="str">
        <f aca="false">IF(D393="","",IFERROR(INDEX(I_COA!$C$6:$C$265,MATCH(D393,I_COA!$A$6:$A$265,0)),"AKUN BARU"))</f>
        <v>Neraca</v>
      </c>
      <c r="L393" s="34" t="str">
        <f aca="false">IF(K393="LabaRugi",INDEX(I_COA!$D$6:$D$265,MATCH(D393,I_COA!$A$6:$A$265,0)),"")</f>
        <v/>
      </c>
      <c r="M393" s="34" t="str">
        <f aca="false">IF(K393="Neraca",INDEX(I_COA!$E$6:$E$265,MATCH(D393,I_COA!$A$6:$A$265,0)),"")</f>
        <v>Inventory - Product</v>
      </c>
      <c r="N393" s="34" t="str">
        <f aca="false">IF(D393="","",IFERROR(INDEX(I_COA!$G$6:$G$265,MATCH(D393,I_COA!$A$6:$A$265,0)),"N"))</f>
        <v>N</v>
      </c>
      <c r="O393" s="11" t="n">
        <f aca="false">IF(N393="N",ABS(J393),"")</f>
        <v>13155706.36</v>
      </c>
      <c r="P393" s="18" t="str">
        <f aca="false">IF(N393="N",B393&amp;"|"&amp;ROUND(O393,0),"")</f>
        <v>KGR26/0222|13155706</v>
      </c>
      <c r="Q393" s="18" t="str">
        <f aca="false">IF(N393&lt;&gt;"Y","",IFERROR(INDEX($D$6:$D$4005,MATCH(B393&amp;"|"&amp;ROUND(_xlfn.MAXIFS($O$6:$O$4005,$B$6:$B$4005,B393,$N$6:$N$4005,"N"),0),$P$6:$P$4005,0)),"(tanpa lawan)"))</f>
        <v/>
      </c>
      <c r="R393" s="44"/>
      <c r="S393" s="9" t="str">
        <f aca="false">IF(N393&lt;&gt;"Y","",IF(R393&lt;&gt;"",R393,IF(Q393="(tanpa lawan)","Transfer antar rekening",IFERROR(INDEX(I_COA!$F$6:$F$265,MATCH(Q393,I_COA!$A$6:$A$265,0)),"?"))))</f>
        <v/>
      </c>
    </row>
    <row r="394" customFormat="false" ht="15" hidden="false" customHeight="false" outlineLevel="0" collapsed="false">
      <c r="A394" s="37" t="n">
        <v>46241</v>
      </c>
      <c r="B394" s="44" t="s">
        <v>932</v>
      </c>
      <c r="C394" s="44" t="s">
        <v>617</v>
      </c>
      <c r="D394" s="44" t="n">
        <v>1103101</v>
      </c>
      <c r="E394" s="44" t="s">
        <v>589</v>
      </c>
      <c r="F394" s="44" t="s">
        <v>933</v>
      </c>
      <c r="G394" s="42" t="n">
        <v>36600000</v>
      </c>
      <c r="H394" s="42"/>
      <c r="I394" s="44" t="s">
        <v>432</v>
      </c>
      <c r="J394" s="11" t="n">
        <f aca="false">IF(D394="","",N(G394)-N(H394))</f>
        <v>36600000</v>
      </c>
      <c r="K394" s="34" t="str">
        <f aca="false">IF(D394="","",IFERROR(INDEX(I_COA!$C$6:$C$265,MATCH(D394,I_COA!$A$6:$A$265,0)),"AKUN BARU"))</f>
        <v>Neraca</v>
      </c>
      <c r="L394" s="34" t="str">
        <f aca="false">IF(K394="LabaRugi",INDEX(I_COA!$D$6:$D$265,MATCH(D394,I_COA!$A$6:$A$265,0)),"")</f>
        <v/>
      </c>
      <c r="M394" s="34" t="str">
        <f aca="false">IF(K394="Neraca",INDEX(I_COA!$E$6:$E$265,MATCH(D394,I_COA!$A$6:$A$265,0)),"")</f>
        <v>Trade Receivables - Third Parties</v>
      </c>
      <c r="N394" s="34" t="str">
        <f aca="false">IF(D394="","",IFERROR(INDEX(I_COA!$G$6:$G$265,MATCH(D394,I_COA!$A$6:$A$265,0)),"N"))</f>
        <v>N</v>
      </c>
      <c r="O394" s="11" t="n">
        <f aca="false">IF(N394="N",ABS(J394),"")</f>
        <v>36600000</v>
      </c>
      <c r="P394" s="18" t="str">
        <f aca="false">IF(N394="N",B394&amp;"|"&amp;ROUND(O394,0),"")</f>
        <v>KGR26/0223|36600000</v>
      </c>
      <c r="Q394" s="18" t="str">
        <f aca="false">IF(N394&lt;&gt;"Y","",IFERROR(INDEX($D$6:$D$4005,MATCH(B394&amp;"|"&amp;ROUND(_xlfn.MAXIFS($O$6:$O$4005,$B$6:$B$4005,B394,$N$6:$N$4005,"N"),0),$P$6:$P$4005,0)),"(tanpa lawan)"))</f>
        <v/>
      </c>
      <c r="R394" s="44"/>
      <c r="S394" s="9" t="str">
        <f aca="false">IF(N394&lt;&gt;"Y","",IF(R394&lt;&gt;"",R394,IF(Q394="(tanpa lawan)","Transfer antar rekening",IFERROR(INDEX(I_COA!$F$6:$F$265,MATCH(Q394,I_COA!$A$6:$A$265,0)),"?"))))</f>
        <v/>
      </c>
    </row>
    <row r="395" customFormat="false" ht="15" hidden="false" customHeight="false" outlineLevel="0" collapsed="false">
      <c r="A395" s="37" t="n">
        <v>46241</v>
      </c>
      <c r="B395" s="44" t="s">
        <v>932</v>
      </c>
      <c r="C395" s="44" t="s">
        <v>617</v>
      </c>
      <c r="D395" s="44" t="n">
        <v>4101012</v>
      </c>
      <c r="E395" s="44" t="s">
        <v>619</v>
      </c>
      <c r="F395" s="44" t="s">
        <v>933</v>
      </c>
      <c r="G395" s="42"/>
      <c r="H395" s="42" t="n">
        <v>36600000</v>
      </c>
      <c r="I395" s="44" t="s">
        <v>432</v>
      </c>
      <c r="J395" s="11" t="n">
        <f aca="false">IF(D395="","",N(G395)-N(H395))</f>
        <v>-36600000</v>
      </c>
      <c r="K395" s="34" t="str">
        <f aca="false">IF(D395="","",IFERROR(INDEX(I_COA!$C$6:$C$265,MATCH(D395,I_COA!$A$6:$A$265,0)),"AKUN BARU"))</f>
        <v>LabaRugi</v>
      </c>
      <c r="L395" s="34" t="str">
        <f aca="false">IF(K395="LabaRugi",INDEX(I_COA!$D$6:$D$265,MATCH(D395,I_COA!$A$6:$A$265,0)),"")</f>
        <v>Revenue - Trading</v>
      </c>
      <c r="M395" s="34" t="str">
        <f aca="false">IF(K395="Neraca",INDEX(I_COA!$E$6:$E$265,MATCH(D395,I_COA!$A$6:$A$265,0)),"")</f>
        <v/>
      </c>
      <c r="N395" s="34" t="str">
        <f aca="false">IF(D395="","",IFERROR(INDEX(I_COA!$G$6:$G$265,MATCH(D395,I_COA!$A$6:$A$265,0)),"N"))</f>
        <v>N</v>
      </c>
      <c r="O395" s="11" t="n">
        <f aca="false">IF(N395="N",ABS(J395),"")</f>
        <v>36600000</v>
      </c>
      <c r="P395" s="18" t="str">
        <f aca="false">IF(N395="N",B395&amp;"|"&amp;ROUND(O395,0),"")</f>
        <v>KGR26/0223|36600000</v>
      </c>
      <c r="Q395" s="18" t="str">
        <f aca="false">IF(N395&lt;&gt;"Y","",IFERROR(INDEX($D$6:$D$4005,MATCH(B395&amp;"|"&amp;ROUND(_xlfn.MAXIFS($O$6:$O$4005,$B$6:$B$4005,B395,$N$6:$N$4005,"N"),0),$P$6:$P$4005,0)),"(tanpa lawan)"))</f>
        <v/>
      </c>
      <c r="R395" s="44"/>
      <c r="S395" s="9" t="str">
        <f aca="false">IF(N395&lt;&gt;"Y","",IF(R395&lt;&gt;"",R395,IF(Q395="(tanpa lawan)","Transfer antar rekening",IFERROR(INDEX(I_COA!$F$6:$F$265,MATCH(Q395,I_COA!$A$6:$A$265,0)),"?"))))</f>
        <v/>
      </c>
    </row>
    <row r="396" customFormat="false" ht="15" hidden="false" customHeight="false" outlineLevel="0" collapsed="false">
      <c r="A396" s="37" t="n">
        <v>46241</v>
      </c>
      <c r="B396" s="44" t="s">
        <v>932</v>
      </c>
      <c r="C396" s="44" t="s">
        <v>617</v>
      </c>
      <c r="D396" s="44" t="n">
        <v>5100011</v>
      </c>
      <c r="E396" s="44" t="s">
        <v>166</v>
      </c>
      <c r="F396" s="44" t="s">
        <v>933</v>
      </c>
      <c r="G396" s="42" t="n">
        <v>35845376.93</v>
      </c>
      <c r="H396" s="42"/>
      <c r="I396" s="44" t="s">
        <v>432</v>
      </c>
      <c r="J396" s="11" t="n">
        <f aca="false">IF(D396="","",N(G396)-N(H396))</f>
        <v>35845376.93</v>
      </c>
      <c r="K396" s="34" t="str">
        <f aca="false">IF(D396="","",IFERROR(INDEX(I_COA!$C$6:$C$265,MATCH(D396,I_COA!$A$6:$A$265,0)),"AKUN BARU"))</f>
        <v>LabaRugi</v>
      </c>
      <c r="L396" s="34" t="str">
        <f aca="false">IF(K396="LabaRugi",INDEX(I_COA!$D$6:$D$265,MATCH(D396,I_COA!$A$6:$A$265,0)),"")</f>
        <v>COGS - Trading</v>
      </c>
      <c r="M396" s="34" t="str">
        <f aca="false">IF(K396="Neraca",INDEX(I_COA!$E$6:$E$265,MATCH(D396,I_COA!$A$6:$A$265,0)),"")</f>
        <v/>
      </c>
      <c r="N396" s="34" t="str">
        <f aca="false">IF(D396="","",IFERROR(INDEX(I_COA!$G$6:$G$265,MATCH(D396,I_COA!$A$6:$A$265,0)),"N"))</f>
        <v>N</v>
      </c>
      <c r="O396" s="11" t="n">
        <f aca="false">IF(N396="N",ABS(J396),"")</f>
        <v>35845376.93</v>
      </c>
      <c r="P396" s="18" t="str">
        <f aca="false">IF(N396="N",B396&amp;"|"&amp;ROUND(O396,0),"")</f>
        <v>KGR26/0223|35845377</v>
      </c>
      <c r="Q396" s="18" t="str">
        <f aca="false">IF(N396&lt;&gt;"Y","",IFERROR(INDEX($D$6:$D$4005,MATCH(B396&amp;"|"&amp;ROUND(_xlfn.MAXIFS($O$6:$O$4005,$B$6:$B$4005,B396,$N$6:$N$4005,"N"),0),$P$6:$P$4005,0)),"(tanpa lawan)"))</f>
        <v/>
      </c>
      <c r="R396" s="44"/>
      <c r="S396" s="9" t="str">
        <f aca="false">IF(N396&lt;&gt;"Y","",IF(R396&lt;&gt;"",R396,IF(Q396="(tanpa lawan)","Transfer antar rekening",IFERROR(INDEX(I_COA!$F$6:$F$265,MATCH(Q396,I_COA!$A$6:$A$265,0)),"?"))))</f>
        <v/>
      </c>
    </row>
    <row r="397" customFormat="false" ht="15" hidden="false" customHeight="false" outlineLevel="0" collapsed="false">
      <c r="A397" s="37" t="n">
        <v>46241</v>
      </c>
      <c r="B397" s="44" t="s">
        <v>932</v>
      </c>
      <c r="C397" s="44" t="s">
        <v>617</v>
      </c>
      <c r="D397" s="44" t="n">
        <v>1104002</v>
      </c>
      <c r="E397" s="44" t="s">
        <v>601</v>
      </c>
      <c r="F397" s="44" t="s">
        <v>933</v>
      </c>
      <c r="G397" s="42"/>
      <c r="H397" s="42" t="n">
        <v>35845376.93</v>
      </c>
      <c r="I397" s="44" t="s">
        <v>432</v>
      </c>
      <c r="J397" s="11" t="n">
        <f aca="false">IF(D397="","",N(G397)-N(H397))</f>
        <v>-35845376.93</v>
      </c>
      <c r="K397" s="34" t="str">
        <f aca="false">IF(D397="","",IFERROR(INDEX(I_COA!$C$6:$C$265,MATCH(D397,I_COA!$A$6:$A$265,0)),"AKUN BARU"))</f>
        <v>Neraca</v>
      </c>
      <c r="L397" s="34" t="str">
        <f aca="false">IF(K397="LabaRugi",INDEX(I_COA!$D$6:$D$265,MATCH(D397,I_COA!$A$6:$A$265,0)),"")</f>
        <v/>
      </c>
      <c r="M397" s="34" t="str">
        <f aca="false">IF(K397="Neraca",INDEX(I_COA!$E$6:$E$265,MATCH(D397,I_COA!$A$6:$A$265,0)),"")</f>
        <v>Inventory - Product</v>
      </c>
      <c r="N397" s="34" t="str">
        <f aca="false">IF(D397="","",IFERROR(INDEX(I_COA!$G$6:$G$265,MATCH(D397,I_COA!$A$6:$A$265,0)),"N"))</f>
        <v>N</v>
      </c>
      <c r="O397" s="11" t="n">
        <f aca="false">IF(N397="N",ABS(J397),"")</f>
        <v>35845376.93</v>
      </c>
      <c r="P397" s="18" t="str">
        <f aca="false">IF(N397="N",B397&amp;"|"&amp;ROUND(O397,0),"")</f>
        <v>KGR26/0223|35845377</v>
      </c>
      <c r="Q397" s="18" t="str">
        <f aca="false">IF(N397&lt;&gt;"Y","",IFERROR(INDEX($D$6:$D$4005,MATCH(B397&amp;"|"&amp;ROUND(_xlfn.MAXIFS($O$6:$O$4005,$B$6:$B$4005,B397,$N$6:$N$4005,"N"),0),$P$6:$P$4005,0)),"(tanpa lawan)"))</f>
        <v/>
      </c>
      <c r="R397" s="44"/>
      <c r="S397" s="9" t="str">
        <f aca="false">IF(N397&lt;&gt;"Y","",IF(R397&lt;&gt;"",R397,IF(Q397="(tanpa lawan)","Transfer antar rekening",IFERROR(INDEX(I_COA!$F$6:$F$265,MATCH(Q397,I_COA!$A$6:$A$265,0)),"?"))))</f>
        <v/>
      </c>
    </row>
    <row r="398" customFormat="false" ht="15" hidden="false" customHeight="false" outlineLevel="0" collapsed="false">
      <c r="A398" s="37" t="n">
        <v>46241</v>
      </c>
      <c r="B398" s="44" t="s">
        <v>934</v>
      </c>
      <c r="C398" s="44" t="s">
        <v>707</v>
      </c>
      <c r="D398" s="44" t="n">
        <v>6200011</v>
      </c>
      <c r="E398" s="44" t="s">
        <v>935</v>
      </c>
      <c r="F398" s="44" t="s">
        <v>936</v>
      </c>
      <c r="G398" s="42" t="n">
        <v>661500</v>
      </c>
      <c r="H398" s="42"/>
      <c r="I398" s="44" t="s">
        <v>937</v>
      </c>
      <c r="J398" s="11" t="n">
        <f aca="false">IF(D398="","",N(G398)-N(H398))</f>
        <v>661500</v>
      </c>
      <c r="K398" s="34" t="str">
        <f aca="false">IF(D398="","",IFERROR(INDEX(I_COA!$C$6:$C$265,MATCH(D398,I_COA!$A$6:$A$265,0)),"AKUN BARU"))</f>
        <v>LabaRugi</v>
      </c>
      <c r="L398" s="34" t="str">
        <f aca="false">IF(K398="LabaRugi",INDEX(I_COA!$D$6:$D$265,MATCH(D398,I_COA!$A$6:$A$265,0)),"")</f>
        <v>Office Supplies &amp; Utilities</v>
      </c>
      <c r="M398" s="34" t="str">
        <f aca="false">IF(K398="Neraca",INDEX(I_COA!$E$6:$E$265,MATCH(D398,I_COA!$A$6:$A$265,0)),"")</f>
        <v/>
      </c>
      <c r="N398" s="34" t="str">
        <f aca="false">IF(D398="","",IFERROR(INDEX(I_COA!$G$6:$G$265,MATCH(D398,I_COA!$A$6:$A$265,0)),"N"))</f>
        <v>N</v>
      </c>
      <c r="O398" s="11" t="n">
        <f aca="false">IF(N398="N",ABS(J398),"")</f>
        <v>661500</v>
      </c>
      <c r="P398" s="18" t="str">
        <f aca="false">IF(N398="N",B398&amp;"|"&amp;ROUND(O398,0),"")</f>
        <v>PI26080013|661500</v>
      </c>
      <c r="Q398" s="18" t="str">
        <f aca="false">IF(N398&lt;&gt;"Y","",IFERROR(INDEX($D$6:$D$4005,MATCH(B398&amp;"|"&amp;ROUND(_xlfn.MAXIFS($O$6:$O$4005,$B$6:$B$4005,B398,$N$6:$N$4005,"N"),0),$P$6:$P$4005,0)),"(tanpa lawan)"))</f>
        <v/>
      </c>
      <c r="R398" s="44"/>
      <c r="S398" s="9" t="str">
        <f aca="false">IF(N398&lt;&gt;"Y","",IF(R398&lt;&gt;"",R398,IF(Q398="(tanpa lawan)","Transfer antar rekening",IFERROR(INDEX(I_COA!$F$6:$F$265,MATCH(Q398,I_COA!$A$6:$A$265,0)),"?"))))</f>
        <v/>
      </c>
    </row>
    <row r="399" customFormat="false" ht="15" hidden="false" customHeight="false" outlineLevel="0" collapsed="false">
      <c r="A399" s="37" t="n">
        <v>46241</v>
      </c>
      <c r="B399" s="44" t="s">
        <v>934</v>
      </c>
      <c r="C399" s="44" t="s">
        <v>707</v>
      </c>
      <c r="D399" s="44" t="n">
        <v>2101003</v>
      </c>
      <c r="E399" s="44" t="s">
        <v>679</v>
      </c>
      <c r="F399" s="44" t="s">
        <v>936</v>
      </c>
      <c r="G399" s="42"/>
      <c r="H399" s="42" t="n">
        <v>661500</v>
      </c>
      <c r="I399" s="44" t="s">
        <v>937</v>
      </c>
      <c r="J399" s="11" t="n">
        <f aca="false">IF(D399="","",N(G399)-N(H399))</f>
        <v>-661500</v>
      </c>
      <c r="K399" s="34" t="str">
        <f aca="false">IF(D399="","",IFERROR(INDEX(I_COA!$C$6:$C$265,MATCH(D399,I_COA!$A$6:$A$265,0)),"AKUN BARU"))</f>
        <v>Neraca</v>
      </c>
      <c r="L399" s="34" t="str">
        <f aca="false">IF(K399="LabaRugi",INDEX(I_COA!$D$6:$D$265,MATCH(D399,I_COA!$A$6:$A$265,0)),"")</f>
        <v/>
      </c>
      <c r="M399" s="34" t="str">
        <f aca="false">IF(K399="Neraca",INDEX(I_COA!$E$6:$E$265,MATCH(D399,I_COA!$A$6:$A$265,0)),"")</f>
        <v>Other Payable - Third Parties</v>
      </c>
      <c r="N399" s="34" t="str">
        <f aca="false">IF(D399="","",IFERROR(INDEX(I_COA!$G$6:$G$265,MATCH(D399,I_COA!$A$6:$A$265,0)),"N"))</f>
        <v>N</v>
      </c>
      <c r="O399" s="11" t="n">
        <f aca="false">IF(N399="N",ABS(J399),"")</f>
        <v>661500</v>
      </c>
      <c r="P399" s="18" t="str">
        <f aca="false">IF(N399="N",B399&amp;"|"&amp;ROUND(O399,0),"")</f>
        <v>PI26080013|661500</v>
      </c>
      <c r="Q399" s="18" t="str">
        <f aca="false">IF(N399&lt;&gt;"Y","",IFERROR(INDEX($D$6:$D$4005,MATCH(B399&amp;"|"&amp;ROUND(_xlfn.MAXIFS($O$6:$O$4005,$B$6:$B$4005,B399,$N$6:$N$4005,"N"),0),$P$6:$P$4005,0)),"(tanpa lawan)"))</f>
        <v/>
      </c>
      <c r="R399" s="44"/>
      <c r="S399" s="9" t="str">
        <f aca="false">IF(N399&lt;&gt;"Y","",IF(R399&lt;&gt;"",R399,IF(Q399="(tanpa lawan)","Transfer antar rekening",IFERROR(INDEX(I_COA!$F$6:$F$265,MATCH(Q399,I_COA!$A$6:$A$265,0)),"?"))))</f>
        <v/>
      </c>
    </row>
    <row r="400" customFormat="false" ht="15" hidden="false" customHeight="false" outlineLevel="0" collapsed="false">
      <c r="A400" s="37" t="n">
        <v>46241</v>
      </c>
      <c r="B400" s="44" t="s">
        <v>938</v>
      </c>
      <c r="C400" s="44" t="s">
        <v>707</v>
      </c>
      <c r="D400" s="44" t="n">
        <v>5100007</v>
      </c>
      <c r="E400" s="44" t="s">
        <v>708</v>
      </c>
      <c r="F400" s="44" t="s">
        <v>939</v>
      </c>
      <c r="G400" s="42" t="n">
        <v>3500000</v>
      </c>
      <c r="H400" s="42"/>
      <c r="I400" s="44" t="s">
        <v>719</v>
      </c>
      <c r="J400" s="11" t="n">
        <f aca="false">IF(D400="","",N(G400)-N(H400))</f>
        <v>3500000</v>
      </c>
      <c r="K400" s="34" t="str">
        <f aca="false">IF(D400="","",IFERROR(INDEX(I_COA!$C$6:$C$265,MATCH(D400,I_COA!$A$6:$A$265,0)),"AKUN BARU"))</f>
        <v>LabaRugi</v>
      </c>
      <c r="L400" s="34" t="str">
        <f aca="false">IF(K400="LabaRugi",INDEX(I_COA!$D$6:$D$265,MATCH(D400,I_COA!$A$6:$A$265,0)),"")</f>
        <v>Other COGS - Expedition</v>
      </c>
      <c r="M400" s="34" t="str">
        <f aca="false">IF(K400="Neraca",INDEX(I_COA!$E$6:$E$265,MATCH(D400,I_COA!$A$6:$A$265,0)),"")</f>
        <v/>
      </c>
      <c r="N400" s="34" t="str">
        <f aca="false">IF(D400="","",IFERROR(INDEX(I_COA!$G$6:$G$265,MATCH(D400,I_COA!$A$6:$A$265,0)),"N"))</f>
        <v>N</v>
      </c>
      <c r="O400" s="11" t="n">
        <f aca="false">IF(N400="N",ABS(J400),"")</f>
        <v>3500000</v>
      </c>
      <c r="P400" s="18" t="str">
        <f aca="false">IF(N400="N",B400&amp;"|"&amp;ROUND(O400,0),"")</f>
        <v>PI26080018|3500000</v>
      </c>
      <c r="Q400" s="18" t="str">
        <f aca="false">IF(N400&lt;&gt;"Y","",IFERROR(INDEX($D$6:$D$4005,MATCH(B400&amp;"|"&amp;ROUND(_xlfn.MAXIFS($O$6:$O$4005,$B$6:$B$4005,B400,$N$6:$N$4005,"N"),0),$P$6:$P$4005,0)),"(tanpa lawan)"))</f>
        <v/>
      </c>
      <c r="R400" s="44"/>
      <c r="S400" s="9" t="str">
        <f aca="false">IF(N400&lt;&gt;"Y","",IF(R400&lt;&gt;"",R400,IF(Q400="(tanpa lawan)","Transfer antar rekening",IFERROR(INDEX(I_COA!$F$6:$F$265,MATCH(Q400,I_COA!$A$6:$A$265,0)),"?"))))</f>
        <v/>
      </c>
    </row>
    <row r="401" customFormat="false" ht="15" hidden="false" customHeight="false" outlineLevel="0" collapsed="false">
      <c r="A401" s="37" t="n">
        <v>46241</v>
      </c>
      <c r="B401" s="44" t="s">
        <v>938</v>
      </c>
      <c r="C401" s="44" t="s">
        <v>707</v>
      </c>
      <c r="D401" s="44" t="n">
        <v>5100007</v>
      </c>
      <c r="E401" s="44" t="s">
        <v>708</v>
      </c>
      <c r="F401" s="44" t="s">
        <v>940</v>
      </c>
      <c r="G401" s="42" t="n">
        <v>2500000</v>
      </c>
      <c r="H401" s="42"/>
      <c r="I401" s="44" t="s">
        <v>719</v>
      </c>
      <c r="J401" s="11" t="n">
        <f aca="false">IF(D401="","",N(G401)-N(H401))</f>
        <v>2500000</v>
      </c>
      <c r="K401" s="34" t="str">
        <f aca="false">IF(D401="","",IFERROR(INDEX(I_COA!$C$6:$C$265,MATCH(D401,I_COA!$A$6:$A$265,0)),"AKUN BARU"))</f>
        <v>LabaRugi</v>
      </c>
      <c r="L401" s="34" t="str">
        <f aca="false">IF(K401="LabaRugi",INDEX(I_COA!$D$6:$D$265,MATCH(D401,I_COA!$A$6:$A$265,0)),"")</f>
        <v>Other COGS - Expedition</v>
      </c>
      <c r="M401" s="34" t="str">
        <f aca="false">IF(K401="Neraca",INDEX(I_COA!$E$6:$E$265,MATCH(D401,I_COA!$A$6:$A$265,0)),"")</f>
        <v/>
      </c>
      <c r="N401" s="34" t="str">
        <f aca="false">IF(D401="","",IFERROR(INDEX(I_COA!$G$6:$G$265,MATCH(D401,I_COA!$A$6:$A$265,0)),"N"))</f>
        <v>N</v>
      </c>
      <c r="O401" s="11" t="n">
        <f aca="false">IF(N401="N",ABS(J401),"")</f>
        <v>2500000</v>
      </c>
      <c r="P401" s="18" t="str">
        <f aca="false">IF(N401="N",B401&amp;"|"&amp;ROUND(O401,0),"")</f>
        <v>PI26080018|2500000</v>
      </c>
      <c r="Q401" s="18" t="str">
        <f aca="false">IF(N401&lt;&gt;"Y","",IFERROR(INDEX($D$6:$D$4005,MATCH(B401&amp;"|"&amp;ROUND(_xlfn.MAXIFS($O$6:$O$4005,$B$6:$B$4005,B401,$N$6:$N$4005,"N"),0),$P$6:$P$4005,0)),"(tanpa lawan)"))</f>
        <v/>
      </c>
      <c r="R401" s="44"/>
      <c r="S401" s="9" t="str">
        <f aca="false">IF(N401&lt;&gt;"Y","",IF(R401&lt;&gt;"",R401,IF(Q401="(tanpa lawan)","Transfer antar rekening",IFERROR(INDEX(I_COA!$F$6:$F$265,MATCH(Q401,I_COA!$A$6:$A$265,0)),"?"))))</f>
        <v/>
      </c>
    </row>
    <row r="402" customFormat="false" ht="15" hidden="false" customHeight="false" outlineLevel="0" collapsed="false">
      <c r="A402" s="37" t="n">
        <v>46241</v>
      </c>
      <c r="B402" s="44" t="s">
        <v>938</v>
      </c>
      <c r="C402" s="44" t="s">
        <v>707</v>
      </c>
      <c r="D402" s="44" t="n">
        <v>1106001</v>
      </c>
      <c r="E402" s="44" t="s">
        <v>720</v>
      </c>
      <c r="F402" s="44" t="s">
        <v>721</v>
      </c>
      <c r="G402" s="42" t="n">
        <v>660000</v>
      </c>
      <c r="H402" s="42"/>
      <c r="I402" s="44" t="s">
        <v>719</v>
      </c>
      <c r="J402" s="11" t="n">
        <f aca="false">IF(D402="","",N(G402)-N(H402))</f>
        <v>660000</v>
      </c>
      <c r="K402" s="34" t="str">
        <f aca="false">IF(D402="","",IFERROR(INDEX(I_COA!$C$6:$C$265,MATCH(D402,I_COA!$A$6:$A$265,0)),"AKUN BARU"))</f>
        <v>Neraca</v>
      </c>
      <c r="L402" s="34" t="str">
        <f aca="false">IF(K402="LabaRugi",INDEX(I_COA!$D$6:$D$265,MATCH(D402,I_COA!$A$6:$A$265,0)),"")</f>
        <v/>
      </c>
      <c r="M402" s="34" t="str">
        <f aca="false">IF(K402="Neraca",INDEX(I_COA!$E$6:$E$265,MATCH(D402,I_COA!$A$6:$A$265,0)),"")</f>
        <v>Prepaid Tax</v>
      </c>
      <c r="N402" s="34" t="str">
        <f aca="false">IF(D402="","",IFERROR(INDEX(I_COA!$G$6:$G$265,MATCH(D402,I_COA!$A$6:$A$265,0)),"N"))</f>
        <v>N</v>
      </c>
      <c r="O402" s="11" t="n">
        <f aca="false">IF(N402="N",ABS(J402),"")</f>
        <v>660000</v>
      </c>
      <c r="P402" s="18" t="str">
        <f aca="false">IF(N402="N",B402&amp;"|"&amp;ROUND(O402,0),"")</f>
        <v>PI26080018|660000</v>
      </c>
      <c r="Q402" s="18" t="str">
        <f aca="false">IF(N402&lt;&gt;"Y","",IFERROR(INDEX($D$6:$D$4005,MATCH(B402&amp;"|"&amp;ROUND(_xlfn.MAXIFS($O$6:$O$4005,$B$6:$B$4005,B402,$N$6:$N$4005,"N"),0),$P$6:$P$4005,0)),"(tanpa lawan)"))</f>
        <v/>
      </c>
      <c r="R402" s="44"/>
      <c r="S402" s="9" t="str">
        <f aca="false">IF(N402&lt;&gt;"Y","",IF(R402&lt;&gt;"",R402,IF(Q402="(tanpa lawan)","Transfer antar rekening",IFERROR(INDEX(I_COA!$F$6:$F$265,MATCH(Q402,I_COA!$A$6:$A$265,0)),"?"))))</f>
        <v/>
      </c>
    </row>
    <row r="403" customFormat="false" ht="15" hidden="false" customHeight="false" outlineLevel="0" collapsed="false">
      <c r="A403" s="37" t="n">
        <v>46241</v>
      </c>
      <c r="B403" s="44" t="s">
        <v>938</v>
      </c>
      <c r="C403" s="44" t="s">
        <v>707</v>
      </c>
      <c r="D403" s="44" t="n">
        <v>2102003</v>
      </c>
      <c r="E403" s="44" t="s">
        <v>722</v>
      </c>
      <c r="F403" s="44" t="s">
        <v>941</v>
      </c>
      <c r="G403" s="42"/>
      <c r="H403" s="42" t="n">
        <v>120000</v>
      </c>
      <c r="I403" s="44" t="s">
        <v>719</v>
      </c>
      <c r="J403" s="11" t="n">
        <f aca="false">IF(D403="","",N(G403)-N(H403))</f>
        <v>-120000</v>
      </c>
      <c r="K403" s="34" t="str">
        <f aca="false">IF(D403="","",IFERROR(INDEX(I_COA!$C$6:$C$265,MATCH(D403,I_COA!$A$6:$A$265,0)),"AKUN BARU"))</f>
        <v>Neraca</v>
      </c>
      <c r="L403" s="34" t="str">
        <f aca="false">IF(K403="LabaRugi",INDEX(I_COA!$D$6:$D$265,MATCH(D403,I_COA!$A$6:$A$265,0)),"")</f>
        <v/>
      </c>
      <c r="M403" s="34" t="str">
        <f aca="false">IF(K403="Neraca",INDEX(I_COA!$E$6:$E$265,MATCH(D403,I_COA!$A$6:$A$265,0)),"")</f>
        <v>Taxes Payable</v>
      </c>
      <c r="N403" s="34" t="str">
        <f aca="false">IF(D403="","",IFERROR(INDEX(I_COA!$G$6:$G$265,MATCH(D403,I_COA!$A$6:$A$265,0)),"N"))</f>
        <v>N</v>
      </c>
      <c r="O403" s="11" t="n">
        <f aca="false">IF(N403="N",ABS(J403),"")</f>
        <v>120000</v>
      </c>
      <c r="P403" s="18" t="str">
        <f aca="false">IF(N403="N",B403&amp;"|"&amp;ROUND(O403,0),"")</f>
        <v>PI26080018|120000</v>
      </c>
      <c r="Q403" s="18" t="str">
        <f aca="false">IF(N403&lt;&gt;"Y","",IFERROR(INDEX($D$6:$D$4005,MATCH(B403&amp;"|"&amp;ROUND(_xlfn.MAXIFS($O$6:$O$4005,$B$6:$B$4005,B403,$N$6:$N$4005,"N"),0),$P$6:$P$4005,0)),"(tanpa lawan)"))</f>
        <v/>
      </c>
      <c r="R403" s="44"/>
      <c r="S403" s="9" t="str">
        <f aca="false">IF(N403&lt;&gt;"Y","",IF(R403&lt;&gt;"",R403,IF(Q403="(tanpa lawan)","Transfer antar rekening",IFERROR(INDEX(I_COA!$F$6:$F$265,MATCH(Q403,I_COA!$A$6:$A$265,0)),"?"))))</f>
        <v/>
      </c>
    </row>
    <row r="404" customFormat="false" ht="15" hidden="false" customHeight="false" outlineLevel="0" collapsed="false">
      <c r="A404" s="37" t="n">
        <v>46241</v>
      </c>
      <c r="B404" s="44" t="s">
        <v>938</v>
      </c>
      <c r="C404" s="44" t="s">
        <v>707</v>
      </c>
      <c r="D404" s="44" t="n">
        <v>2101003</v>
      </c>
      <c r="E404" s="44" t="s">
        <v>679</v>
      </c>
      <c r="F404" s="44" t="s">
        <v>942</v>
      </c>
      <c r="G404" s="42"/>
      <c r="H404" s="42" t="n">
        <v>6540000</v>
      </c>
      <c r="I404" s="44" t="s">
        <v>719</v>
      </c>
      <c r="J404" s="11" t="n">
        <f aca="false">IF(D404="","",N(G404)-N(H404))</f>
        <v>-6540000</v>
      </c>
      <c r="K404" s="34" t="str">
        <f aca="false">IF(D404="","",IFERROR(INDEX(I_COA!$C$6:$C$265,MATCH(D404,I_COA!$A$6:$A$265,0)),"AKUN BARU"))</f>
        <v>Neraca</v>
      </c>
      <c r="L404" s="34" t="str">
        <f aca="false">IF(K404="LabaRugi",INDEX(I_COA!$D$6:$D$265,MATCH(D404,I_COA!$A$6:$A$265,0)),"")</f>
        <v/>
      </c>
      <c r="M404" s="34" t="str">
        <f aca="false">IF(K404="Neraca",INDEX(I_COA!$E$6:$E$265,MATCH(D404,I_COA!$A$6:$A$265,0)),"")</f>
        <v>Other Payable - Third Parties</v>
      </c>
      <c r="N404" s="34" t="str">
        <f aca="false">IF(D404="","",IFERROR(INDEX(I_COA!$G$6:$G$265,MATCH(D404,I_COA!$A$6:$A$265,0)),"N"))</f>
        <v>N</v>
      </c>
      <c r="O404" s="11" t="n">
        <f aca="false">IF(N404="N",ABS(J404),"")</f>
        <v>6540000</v>
      </c>
      <c r="P404" s="18" t="str">
        <f aca="false">IF(N404="N",B404&amp;"|"&amp;ROUND(O404,0),"")</f>
        <v>PI26080018|6540000</v>
      </c>
      <c r="Q404" s="18" t="str">
        <f aca="false">IF(N404&lt;&gt;"Y","",IFERROR(INDEX($D$6:$D$4005,MATCH(B404&amp;"|"&amp;ROUND(_xlfn.MAXIFS($O$6:$O$4005,$B$6:$B$4005,B404,$N$6:$N$4005,"N"),0),$P$6:$P$4005,0)),"(tanpa lawan)"))</f>
        <v/>
      </c>
      <c r="R404" s="44"/>
      <c r="S404" s="9" t="str">
        <f aca="false">IF(N404&lt;&gt;"Y","",IF(R404&lt;&gt;"",R404,IF(Q404="(tanpa lawan)","Transfer antar rekening",IFERROR(INDEX(I_COA!$F$6:$F$265,MATCH(Q404,I_COA!$A$6:$A$265,0)),"?"))))</f>
        <v/>
      </c>
    </row>
    <row r="405" customFormat="false" ht="15" hidden="false" customHeight="false" outlineLevel="0" collapsed="false">
      <c r="A405" s="37" t="n">
        <v>46241</v>
      </c>
      <c r="B405" s="44" t="s">
        <v>943</v>
      </c>
      <c r="C405" s="44" t="s">
        <v>707</v>
      </c>
      <c r="D405" s="44" t="n">
        <v>6100006</v>
      </c>
      <c r="E405" s="44" t="s">
        <v>717</v>
      </c>
      <c r="F405" s="44" t="s">
        <v>944</v>
      </c>
      <c r="G405" s="42" t="n">
        <v>820000</v>
      </c>
      <c r="H405" s="42"/>
      <c r="I405" s="44" t="s">
        <v>900</v>
      </c>
      <c r="J405" s="11" t="n">
        <f aca="false">IF(D405="","",N(G405)-N(H405))</f>
        <v>820000</v>
      </c>
      <c r="K405" s="34" t="str">
        <f aca="false">IF(D405="","",IFERROR(INDEX(I_COA!$C$6:$C$265,MATCH(D405,I_COA!$A$6:$A$265,0)),"AKUN BARU"))</f>
        <v>LabaRugi</v>
      </c>
      <c r="L405" s="34" t="str">
        <f aca="false">IF(K405="LabaRugi",INDEX(I_COA!$D$6:$D$265,MATCH(D405,I_COA!$A$6:$A$265,0)),"")</f>
        <v>Delivery Expenses</v>
      </c>
      <c r="M405" s="34" t="str">
        <f aca="false">IF(K405="Neraca",INDEX(I_COA!$E$6:$E$265,MATCH(D405,I_COA!$A$6:$A$265,0)),"")</f>
        <v/>
      </c>
      <c r="N405" s="34" t="str">
        <f aca="false">IF(D405="","",IFERROR(INDEX(I_COA!$G$6:$G$265,MATCH(D405,I_COA!$A$6:$A$265,0)),"N"))</f>
        <v>N</v>
      </c>
      <c r="O405" s="11" t="n">
        <f aca="false">IF(N405="N",ABS(J405),"")</f>
        <v>820000</v>
      </c>
      <c r="P405" s="18" t="str">
        <f aca="false">IF(N405="N",B405&amp;"|"&amp;ROUND(O405,0),"")</f>
        <v>PI26080019|820000</v>
      </c>
      <c r="Q405" s="18" t="str">
        <f aca="false">IF(N405&lt;&gt;"Y","",IFERROR(INDEX($D$6:$D$4005,MATCH(B405&amp;"|"&amp;ROUND(_xlfn.MAXIFS($O$6:$O$4005,$B$6:$B$4005,B405,$N$6:$N$4005,"N"),0),$P$6:$P$4005,0)),"(tanpa lawan)"))</f>
        <v/>
      </c>
      <c r="R405" s="44"/>
      <c r="S405" s="9" t="str">
        <f aca="false">IF(N405&lt;&gt;"Y","",IF(R405&lt;&gt;"",R405,IF(Q405="(tanpa lawan)","Transfer antar rekening",IFERROR(INDEX(I_COA!$F$6:$F$265,MATCH(Q405,I_COA!$A$6:$A$265,0)),"?"))))</f>
        <v/>
      </c>
    </row>
    <row r="406" customFormat="false" ht="15" hidden="false" customHeight="false" outlineLevel="0" collapsed="false">
      <c r="A406" s="37" t="n">
        <v>46241</v>
      </c>
      <c r="B406" s="44" t="s">
        <v>943</v>
      </c>
      <c r="C406" s="44" t="s">
        <v>707</v>
      </c>
      <c r="D406" s="44" t="n">
        <v>2102003</v>
      </c>
      <c r="E406" s="44" t="s">
        <v>722</v>
      </c>
      <c r="F406" s="44" t="s">
        <v>945</v>
      </c>
      <c r="G406" s="42"/>
      <c r="H406" s="42" t="n">
        <v>16400</v>
      </c>
      <c r="I406" s="44" t="s">
        <v>900</v>
      </c>
      <c r="J406" s="11" t="n">
        <f aca="false">IF(D406="","",N(G406)-N(H406))</f>
        <v>-16400</v>
      </c>
      <c r="K406" s="34" t="str">
        <f aca="false">IF(D406="","",IFERROR(INDEX(I_COA!$C$6:$C$265,MATCH(D406,I_COA!$A$6:$A$265,0)),"AKUN BARU"))</f>
        <v>Neraca</v>
      </c>
      <c r="L406" s="34" t="str">
        <f aca="false">IF(K406="LabaRugi",INDEX(I_COA!$D$6:$D$265,MATCH(D406,I_COA!$A$6:$A$265,0)),"")</f>
        <v/>
      </c>
      <c r="M406" s="34" t="str">
        <f aca="false">IF(K406="Neraca",INDEX(I_COA!$E$6:$E$265,MATCH(D406,I_COA!$A$6:$A$265,0)),"")</f>
        <v>Taxes Payable</v>
      </c>
      <c r="N406" s="34" t="str">
        <f aca="false">IF(D406="","",IFERROR(INDEX(I_COA!$G$6:$G$265,MATCH(D406,I_COA!$A$6:$A$265,0)),"N"))</f>
        <v>N</v>
      </c>
      <c r="O406" s="11" t="n">
        <f aca="false">IF(N406="N",ABS(J406),"")</f>
        <v>16400</v>
      </c>
      <c r="P406" s="18" t="str">
        <f aca="false">IF(N406="N",B406&amp;"|"&amp;ROUND(O406,0),"")</f>
        <v>PI26080019|16400</v>
      </c>
      <c r="Q406" s="18" t="str">
        <f aca="false">IF(N406&lt;&gt;"Y","",IFERROR(INDEX($D$6:$D$4005,MATCH(B406&amp;"|"&amp;ROUND(_xlfn.MAXIFS($O$6:$O$4005,$B$6:$B$4005,B406,$N$6:$N$4005,"N"),0),$P$6:$P$4005,0)),"(tanpa lawan)"))</f>
        <v/>
      </c>
      <c r="R406" s="44"/>
      <c r="S406" s="9" t="str">
        <f aca="false">IF(N406&lt;&gt;"Y","",IF(R406&lt;&gt;"",R406,IF(Q406="(tanpa lawan)","Transfer antar rekening",IFERROR(INDEX(I_COA!$F$6:$F$265,MATCH(Q406,I_COA!$A$6:$A$265,0)),"?"))))</f>
        <v/>
      </c>
    </row>
    <row r="407" customFormat="false" ht="15" hidden="false" customHeight="false" outlineLevel="0" collapsed="false">
      <c r="A407" s="37" t="n">
        <v>46241</v>
      </c>
      <c r="B407" s="44" t="s">
        <v>943</v>
      </c>
      <c r="C407" s="44" t="s">
        <v>707</v>
      </c>
      <c r="D407" s="44" t="n">
        <v>2101003</v>
      </c>
      <c r="E407" s="44" t="s">
        <v>679</v>
      </c>
      <c r="F407" s="44" t="s">
        <v>944</v>
      </c>
      <c r="G407" s="42"/>
      <c r="H407" s="42" t="n">
        <v>803600</v>
      </c>
      <c r="I407" s="44" t="s">
        <v>900</v>
      </c>
      <c r="J407" s="11" t="n">
        <f aca="false">IF(D407="","",N(G407)-N(H407))</f>
        <v>-803600</v>
      </c>
      <c r="K407" s="34" t="str">
        <f aca="false">IF(D407="","",IFERROR(INDEX(I_COA!$C$6:$C$265,MATCH(D407,I_COA!$A$6:$A$265,0)),"AKUN BARU"))</f>
        <v>Neraca</v>
      </c>
      <c r="L407" s="34" t="str">
        <f aca="false">IF(K407="LabaRugi",INDEX(I_COA!$D$6:$D$265,MATCH(D407,I_COA!$A$6:$A$265,0)),"")</f>
        <v/>
      </c>
      <c r="M407" s="34" t="str">
        <f aca="false">IF(K407="Neraca",INDEX(I_COA!$E$6:$E$265,MATCH(D407,I_COA!$A$6:$A$265,0)),"")</f>
        <v>Other Payable - Third Parties</v>
      </c>
      <c r="N407" s="34" t="str">
        <f aca="false">IF(D407="","",IFERROR(INDEX(I_COA!$G$6:$G$265,MATCH(D407,I_COA!$A$6:$A$265,0)),"N"))</f>
        <v>N</v>
      </c>
      <c r="O407" s="11" t="n">
        <f aca="false">IF(N407="N",ABS(J407),"")</f>
        <v>803600</v>
      </c>
      <c r="P407" s="18" t="str">
        <f aca="false">IF(N407="N",B407&amp;"|"&amp;ROUND(O407,0),"")</f>
        <v>PI26080019|803600</v>
      </c>
      <c r="Q407" s="18" t="str">
        <f aca="false">IF(N407&lt;&gt;"Y","",IFERROR(INDEX($D$6:$D$4005,MATCH(B407&amp;"|"&amp;ROUND(_xlfn.MAXIFS($O$6:$O$4005,$B$6:$B$4005,B407,$N$6:$N$4005,"N"),0),$P$6:$P$4005,0)),"(tanpa lawan)"))</f>
        <v/>
      </c>
      <c r="R407" s="44"/>
      <c r="S407" s="9" t="str">
        <f aca="false">IF(N407&lt;&gt;"Y","",IF(R407&lt;&gt;"",R407,IF(Q407="(tanpa lawan)","Transfer antar rekening",IFERROR(INDEX(I_COA!$F$6:$F$265,MATCH(Q407,I_COA!$A$6:$A$265,0)),"?"))))</f>
        <v/>
      </c>
    </row>
    <row r="408" customFormat="false" ht="15" hidden="false" customHeight="false" outlineLevel="0" collapsed="false">
      <c r="A408" s="37" t="n">
        <v>46241</v>
      </c>
      <c r="B408" s="44" t="s">
        <v>946</v>
      </c>
      <c r="C408" s="44" t="s">
        <v>707</v>
      </c>
      <c r="D408" s="44" t="n">
        <v>5100007</v>
      </c>
      <c r="E408" s="44" t="s">
        <v>708</v>
      </c>
      <c r="F408" s="44" t="s">
        <v>947</v>
      </c>
      <c r="G408" s="42" t="n">
        <v>9000000</v>
      </c>
      <c r="H408" s="42"/>
      <c r="I408" s="44" t="s">
        <v>681</v>
      </c>
      <c r="J408" s="11" t="n">
        <f aca="false">IF(D408="","",N(G408)-N(H408))</f>
        <v>9000000</v>
      </c>
      <c r="K408" s="34" t="str">
        <f aca="false">IF(D408="","",IFERROR(INDEX(I_COA!$C$6:$C$265,MATCH(D408,I_COA!$A$6:$A$265,0)),"AKUN BARU"))</f>
        <v>LabaRugi</v>
      </c>
      <c r="L408" s="34" t="str">
        <f aca="false">IF(K408="LabaRugi",INDEX(I_COA!$D$6:$D$265,MATCH(D408,I_COA!$A$6:$A$265,0)),"")</f>
        <v>Other COGS - Expedition</v>
      </c>
      <c r="M408" s="34" t="str">
        <f aca="false">IF(K408="Neraca",INDEX(I_COA!$E$6:$E$265,MATCH(D408,I_COA!$A$6:$A$265,0)),"")</f>
        <v/>
      </c>
      <c r="N408" s="34" t="str">
        <f aca="false">IF(D408="","",IFERROR(INDEX(I_COA!$G$6:$G$265,MATCH(D408,I_COA!$A$6:$A$265,0)),"N"))</f>
        <v>N</v>
      </c>
      <c r="O408" s="11" t="n">
        <f aca="false">IF(N408="N",ABS(J408),"")</f>
        <v>9000000</v>
      </c>
      <c r="P408" s="18" t="str">
        <f aca="false">IF(N408="N",B408&amp;"|"&amp;ROUND(O408,0),"")</f>
        <v>PI26080026|9000000</v>
      </c>
      <c r="Q408" s="18" t="str">
        <f aca="false">IF(N408&lt;&gt;"Y","",IFERROR(INDEX($D$6:$D$4005,MATCH(B408&amp;"|"&amp;ROUND(_xlfn.MAXIFS($O$6:$O$4005,$B$6:$B$4005,B408,$N$6:$N$4005,"N"),0),$P$6:$P$4005,0)),"(tanpa lawan)"))</f>
        <v/>
      </c>
      <c r="R408" s="44"/>
      <c r="S408" s="9" t="str">
        <f aca="false">IF(N408&lt;&gt;"Y","",IF(R408&lt;&gt;"",R408,IF(Q408="(tanpa lawan)","Transfer antar rekening",IFERROR(INDEX(I_COA!$F$6:$F$265,MATCH(Q408,I_COA!$A$6:$A$265,0)),"?"))))</f>
        <v/>
      </c>
    </row>
    <row r="409" customFormat="false" ht="15" hidden="false" customHeight="false" outlineLevel="0" collapsed="false">
      <c r="A409" s="37" t="n">
        <v>46241</v>
      </c>
      <c r="B409" s="44" t="s">
        <v>946</v>
      </c>
      <c r="C409" s="44" t="s">
        <v>707</v>
      </c>
      <c r="D409" s="44" t="n">
        <v>2102002</v>
      </c>
      <c r="E409" s="44" t="s">
        <v>633</v>
      </c>
      <c r="F409" s="44" t="s">
        <v>948</v>
      </c>
      <c r="G409" s="42"/>
      <c r="H409" s="42" t="n">
        <v>225000</v>
      </c>
      <c r="I409" s="44" t="s">
        <v>681</v>
      </c>
      <c r="J409" s="11" t="n">
        <f aca="false">IF(D409="","",N(G409)-N(H409))</f>
        <v>-225000</v>
      </c>
      <c r="K409" s="34" t="str">
        <f aca="false">IF(D409="","",IFERROR(INDEX(I_COA!$C$6:$C$265,MATCH(D409,I_COA!$A$6:$A$265,0)),"AKUN BARU"))</f>
        <v>Neraca</v>
      </c>
      <c r="L409" s="34" t="str">
        <f aca="false">IF(K409="LabaRugi",INDEX(I_COA!$D$6:$D$265,MATCH(D409,I_COA!$A$6:$A$265,0)),"")</f>
        <v/>
      </c>
      <c r="M409" s="34" t="str">
        <f aca="false">IF(K409="Neraca",INDEX(I_COA!$E$6:$E$265,MATCH(D409,I_COA!$A$6:$A$265,0)),"")</f>
        <v>Taxes Payable</v>
      </c>
      <c r="N409" s="34" t="str">
        <f aca="false">IF(D409="","",IFERROR(INDEX(I_COA!$G$6:$G$265,MATCH(D409,I_COA!$A$6:$A$265,0)),"N"))</f>
        <v>N</v>
      </c>
      <c r="O409" s="11" t="n">
        <f aca="false">IF(N409="N",ABS(J409),"")</f>
        <v>225000</v>
      </c>
      <c r="P409" s="18" t="str">
        <f aca="false">IF(N409="N",B409&amp;"|"&amp;ROUND(O409,0),"")</f>
        <v>PI26080026|225000</v>
      </c>
      <c r="Q409" s="18" t="str">
        <f aca="false">IF(N409&lt;&gt;"Y","",IFERROR(INDEX($D$6:$D$4005,MATCH(B409&amp;"|"&amp;ROUND(_xlfn.MAXIFS($O$6:$O$4005,$B$6:$B$4005,B409,$N$6:$N$4005,"N"),0),$P$6:$P$4005,0)),"(tanpa lawan)"))</f>
        <v/>
      </c>
      <c r="R409" s="44"/>
      <c r="S409" s="9" t="str">
        <f aca="false">IF(N409&lt;&gt;"Y","",IF(R409&lt;&gt;"",R409,IF(Q409="(tanpa lawan)","Transfer antar rekening",IFERROR(INDEX(I_COA!$F$6:$F$265,MATCH(Q409,I_COA!$A$6:$A$265,0)),"?"))))</f>
        <v/>
      </c>
    </row>
    <row r="410" customFormat="false" ht="15" hidden="false" customHeight="false" outlineLevel="0" collapsed="false">
      <c r="A410" s="37" t="n">
        <v>46241</v>
      </c>
      <c r="B410" s="44" t="s">
        <v>946</v>
      </c>
      <c r="C410" s="44" t="s">
        <v>707</v>
      </c>
      <c r="D410" s="44" t="n">
        <v>2101003</v>
      </c>
      <c r="E410" s="44" t="s">
        <v>679</v>
      </c>
      <c r="F410" s="44" t="s">
        <v>947</v>
      </c>
      <c r="G410" s="42"/>
      <c r="H410" s="42" t="n">
        <v>8775000</v>
      </c>
      <c r="I410" s="44" t="s">
        <v>681</v>
      </c>
      <c r="J410" s="11" t="n">
        <f aca="false">IF(D410="","",N(G410)-N(H410))</f>
        <v>-8775000</v>
      </c>
      <c r="K410" s="34" t="str">
        <f aca="false">IF(D410="","",IFERROR(INDEX(I_COA!$C$6:$C$265,MATCH(D410,I_COA!$A$6:$A$265,0)),"AKUN BARU"))</f>
        <v>Neraca</v>
      </c>
      <c r="L410" s="34" t="str">
        <f aca="false">IF(K410="LabaRugi",INDEX(I_COA!$D$6:$D$265,MATCH(D410,I_COA!$A$6:$A$265,0)),"")</f>
        <v/>
      </c>
      <c r="M410" s="34" t="str">
        <f aca="false">IF(K410="Neraca",INDEX(I_COA!$E$6:$E$265,MATCH(D410,I_COA!$A$6:$A$265,0)),"")</f>
        <v>Other Payable - Third Parties</v>
      </c>
      <c r="N410" s="34" t="str">
        <f aca="false">IF(D410="","",IFERROR(INDEX(I_COA!$G$6:$G$265,MATCH(D410,I_COA!$A$6:$A$265,0)),"N"))</f>
        <v>N</v>
      </c>
      <c r="O410" s="11" t="n">
        <f aca="false">IF(N410="N",ABS(J410),"")</f>
        <v>8775000</v>
      </c>
      <c r="P410" s="18" t="str">
        <f aca="false">IF(N410="N",B410&amp;"|"&amp;ROUND(O410,0),"")</f>
        <v>PI26080026|8775000</v>
      </c>
      <c r="Q410" s="18" t="str">
        <f aca="false">IF(N410&lt;&gt;"Y","",IFERROR(INDEX($D$6:$D$4005,MATCH(B410&amp;"|"&amp;ROUND(_xlfn.MAXIFS($O$6:$O$4005,$B$6:$B$4005,B410,$N$6:$N$4005,"N"),0),$P$6:$P$4005,0)),"(tanpa lawan)"))</f>
        <v/>
      </c>
      <c r="R410" s="44"/>
      <c r="S410" s="9" t="str">
        <f aca="false">IF(N410&lt;&gt;"Y","",IF(R410&lt;&gt;"",R410,IF(Q410="(tanpa lawan)","Transfer antar rekening",IFERROR(INDEX(I_COA!$F$6:$F$265,MATCH(Q410,I_COA!$A$6:$A$265,0)),"?"))))</f>
        <v/>
      </c>
    </row>
    <row r="411" customFormat="false" ht="15" hidden="false" customHeight="false" outlineLevel="0" collapsed="false">
      <c r="A411" s="37" t="n">
        <v>46241</v>
      </c>
      <c r="B411" s="44" t="s">
        <v>949</v>
      </c>
      <c r="C411" s="44" t="s">
        <v>707</v>
      </c>
      <c r="D411" s="44" t="n">
        <v>2103011</v>
      </c>
      <c r="E411" s="44" t="s">
        <v>693</v>
      </c>
      <c r="F411" s="44" t="s">
        <v>916</v>
      </c>
      <c r="G411" s="42" t="n">
        <v>188200799.95</v>
      </c>
      <c r="H411" s="42"/>
      <c r="I411" s="44" t="s">
        <v>888</v>
      </c>
      <c r="J411" s="11" t="n">
        <f aca="false">IF(D411="","",N(G411)-N(H411))</f>
        <v>188200799.95</v>
      </c>
      <c r="K411" s="34" t="str">
        <f aca="false">IF(D411="","",IFERROR(INDEX(I_COA!$C$6:$C$265,MATCH(D411,I_COA!$A$6:$A$265,0)),"AKUN BARU"))</f>
        <v>Neraca</v>
      </c>
      <c r="L411" s="34" t="str">
        <f aca="false">IF(K411="LabaRugi",INDEX(I_COA!$D$6:$D$265,MATCH(D411,I_COA!$A$6:$A$265,0)),"")</f>
        <v/>
      </c>
      <c r="M411" s="34" t="str">
        <f aca="false">IF(K411="Neraca",INDEX(I_COA!$E$6:$E$265,MATCH(D411,I_COA!$A$6:$A$265,0)),"")</f>
        <v>Accrued Expenses - Third Parties</v>
      </c>
      <c r="N411" s="34" t="str">
        <f aca="false">IF(D411="","",IFERROR(INDEX(I_COA!$G$6:$G$265,MATCH(D411,I_COA!$A$6:$A$265,0)),"N"))</f>
        <v>N</v>
      </c>
      <c r="O411" s="11" t="n">
        <f aca="false">IF(N411="N",ABS(J411),"")</f>
        <v>188200799.95</v>
      </c>
      <c r="P411" s="18" t="str">
        <f aca="false">IF(N411="N",B411&amp;"|"&amp;ROUND(O411,0),"")</f>
        <v>PI26080028|188200800</v>
      </c>
      <c r="Q411" s="18" t="str">
        <f aca="false">IF(N411&lt;&gt;"Y","",IFERROR(INDEX($D$6:$D$4005,MATCH(B411&amp;"|"&amp;ROUND(_xlfn.MAXIFS($O$6:$O$4005,$B$6:$B$4005,B411,$N$6:$N$4005,"N"),0),$P$6:$P$4005,0)),"(tanpa lawan)"))</f>
        <v/>
      </c>
      <c r="R411" s="44"/>
      <c r="S411" s="9" t="str">
        <f aca="false">IF(N411&lt;&gt;"Y","",IF(R411&lt;&gt;"",R411,IF(Q411="(tanpa lawan)","Transfer antar rekening",IFERROR(INDEX(I_COA!$F$6:$F$265,MATCH(Q411,I_COA!$A$6:$A$265,0)),"?"))))</f>
        <v/>
      </c>
    </row>
    <row r="412" customFormat="false" ht="15" hidden="false" customHeight="false" outlineLevel="0" collapsed="false">
      <c r="A412" s="37" t="n">
        <v>46241</v>
      </c>
      <c r="B412" s="44" t="s">
        <v>949</v>
      </c>
      <c r="C412" s="44" t="s">
        <v>707</v>
      </c>
      <c r="D412" s="44" t="n">
        <v>5100007</v>
      </c>
      <c r="E412" s="44" t="s">
        <v>708</v>
      </c>
      <c r="F412" s="44" t="s">
        <v>947</v>
      </c>
      <c r="G412" s="42"/>
      <c r="H412" s="42" t="n">
        <v>9000000</v>
      </c>
      <c r="I412" s="44" t="s">
        <v>888</v>
      </c>
      <c r="J412" s="11" t="n">
        <f aca="false">IF(D412="","",N(G412)-N(H412))</f>
        <v>-9000000</v>
      </c>
      <c r="K412" s="34" t="str">
        <f aca="false">IF(D412="","",IFERROR(INDEX(I_COA!$C$6:$C$265,MATCH(D412,I_COA!$A$6:$A$265,0)),"AKUN BARU"))</f>
        <v>LabaRugi</v>
      </c>
      <c r="L412" s="34" t="str">
        <f aca="false">IF(K412="LabaRugi",INDEX(I_COA!$D$6:$D$265,MATCH(D412,I_COA!$A$6:$A$265,0)),"")</f>
        <v>Other COGS - Expedition</v>
      </c>
      <c r="M412" s="34" t="str">
        <f aca="false">IF(K412="Neraca",INDEX(I_COA!$E$6:$E$265,MATCH(D412,I_COA!$A$6:$A$265,0)),"")</f>
        <v/>
      </c>
      <c r="N412" s="34" t="str">
        <f aca="false">IF(D412="","",IFERROR(INDEX(I_COA!$G$6:$G$265,MATCH(D412,I_COA!$A$6:$A$265,0)),"N"))</f>
        <v>N</v>
      </c>
      <c r="O412" s="11" t="n">
        <f aca="false">IF(N412="N",ABS(J412),"")</f>
        <v>9000000</v>
      </c>
      <c r="P412" s="18" t="str">
        <f aca="false">IF(N412="N",B412&amp;"|"&amp;ROUND(O412,0),"")</f>
        <v>PI26080028|9000000</v>
      </c>
      <c r="Q412" s="18" t="str">
        <f aca="false">IF(N412&lt;&gt;"Y","",IFERROR(INDEX($D$6:$D$4005,MATCH(B412&amp;"|"&amp;ROUND(_xlfn.MAXIFS($O$6:$O$4005,$B$6:$B$4005,B412,$N$6:$N$4005,"N"),0),$P$6:$P$4005,0)),"(tanpa lawan)"))</f>
        <v/>
      </c>
      <c r="R412" s="44"/>
      <c r="S412" s="9" t="str">
        <f aca="false">IF(N412&lt;&gt;"Y","",IF(R412&lt;&gt;"",R412,IF(Q412="(tanpa lawan)","Transfer antar rekening",IFERROR(INDEX(I_COA!$F$6:$F$265,MATCH(Q412,I_COA!$A$6:$A$265,0)),"?"))))</f>
        <v/>
      </c>
    </row>
    <row r="413" customFormat="false" ht="15" hidden="false" customHeight="false" outlineLevel="0" collapsed="false">
      <c r="A413" s="37" t="n">
        <v>46241</v>
      </c>
      <c r="B413" s="44" t="s">
        <v>949</v>
      </c>
      <c r="C413" s="44" t="s">
        <v>707</v>
      </c>
      <c r="D413" s="44" t="n">
        <v>5100006</v>
      </c>
      <c r="E413" s="44" t="s">
        <v>950</v>
      </c>
      <c r="F413" s="44" t="s">
        <v>951</v>
      </c>
      <c r="G413" s="42"/>
      <c r="H413" s="42" t="n">
        <v>10500800</v>
      </c>
      <c r="I413" s="44" t="s">
        <v>888</v>
      </c>
      <c r="J413" s="11" t="n">
        <f aca="false">IF(D413="","",N(G413)-N(H413))</f>
        <v>-10500800</v>
      </c>
      <c r="K413" s="34" t="str">
        <f aca="false">IF(D413="","",IFERROR(INDEX(I_COA!$C$6:$C$265,MATCH(D413,I_COA!$A$6:$A$265,0)),"AKUN BARU"))</f>
        <v>LabaRugi</v>
      </c>
      <c r="L413" s="34" t="str">
        <f aca="false">IF(K413="LabaRugi",INDEX(I_COA!$D$6:$D$265,MATCH(D413,I_COA!$A$6:$A$265,0)),"")</f>
        <v>COGS - Live Bird</v>
      </c>
      <c r="M413" s="34" t="str">
        <f aca="false">IF(K413="Neraca",INDEX(I_COA!$E$6:$E$265,MATCH(D413,I_COA!$A$6:$A$265,0)),"")</f>
        <v/>
      </c>
      <c r="N413" s="34" t="str">
        <f aca="false">IF(D413="","",IFERROR(INDEX(I_COA!$G$6:$G$265,MATCH(D413,I_COA!$A$6:$A$265,0)),"N"))</f>
        <v>N</v>
      </c>
      <c r="O413" s="11" t="n">
        <f aca="false">IF(N413="N",ABS(J413),"")</f>
        <v>10500800</v>
      </c>
      <c r="P413" s="18" t="str">
        <f aca="false">IF(N413="N",B413&amp;"|"&amp;ROUND(O413,0),"")</f>
        <v>PI26080028|10500800</v>
      </c>
      <c r="Q413" s="18" t="str">
        <f aca="false">IF(N413&lt;&gt;"Y","",IFERROR(INDEX($D$6:$D$4005,MATCH(B413&amp;"|"&amp;ROUND(_xlfn.MAXIFS($O$6:$O$4005,$B$6:$B$4005,B413,$N$6:$N$4005,"N"),0),$P$6:$P$4005,0)),"(tanpa lawan)"))</f>
        <v/>
      </c>
      <c r="R413" s="44"/>
      <c r="S413" s="9" t="str">
        <f aca="false">IF(N413&lt;&gt;"Y","",IF(R413&lt;&gt;"",R413,IF(Q413="(tanpa lawan)","Transfer antar rekening",IFERROR(INDEX(I_COA!$F$6:$F$265,MATCH(Q413,I_COA!$A$6:$A$265,0)),"?"))))</f>
        <v/>
      </c>
    </row>
    <row r="414" customFormat="false" ht="15" hidden="false" customHeight="false" outlineLevel="0" collapsed="false">
      <c r="A414" s="37" t="n">
        <v>46241</v>
      </c>
      <c r="B414" s="44" t="s">
        <v>949</v>
      </c>
      <c r="C414" s="44" t="s">
        <v>707</v>
      </c>
      <c r="D414" s="44" t="n">
        <v>7100008</v>
      </c>
      <c r="E414" s="44" t="s">
        <v>952</v>
      </c>
      <c r="F414" s="44" t="s">
        <v>916</v>
      </c>
      <c r="G414" s="42" t="n">
        <v>0.05</v>
      </c>
      <c r="H414" s="42"/>
      <c r="I414" s="44" t="s">
        <v>888</v>
      </c>
      <c r="J414" s="11" t="n">
        <f aca="false">IF(D414="","",N(G414)-N(H414))</f>
        <v>0.05</v>
      </c>
      <c r="K414" s="34" t="str">
        <f aca="false">IF(D414="","",IFERROR(INDEX(I_COA!$C$6:$C$265,MATCH(D414,I_COA!$A$6:$A$265,0)),"AKUN BARU"))</f>
        <v>LabaRugi</v>
      </c>
      <c r="L414" s="34" t="str">
        <f aca="false">IF(K414="LabaRugi",INDEX(I_COA!$D$6:$D$265,MATCH(D414,I_COA!$A$6:$A$265,0)),"")</f>
        <v>Other Income</v>
      </c>
      <c r="M414" s="34" t="str">
        <f aca="false">IF(K414="Neraca",INDEX(I_COA!$E$6:$E$265,MATCH(D414,I_COA!$A$6:$A$265,0)),"")</f>
        <v/>
      </c>
      <c r="N414" s="34" t="str">
        <f aca="false">IF(D414="","",IFERROR(INDEX(I_COA!$G$6:$G$265,MATCH(D414,I_COA!$A$6:$A$265,0)),"N"))</f>
        <v>N</v>
      </c>
      <c r="O414" s="11" t="n">
        <f aca="false">IF(N414="N",ABS(J414),"")</f>
        <v>0.05</v>
      </c>
      <c r="P414" s="18" t="str">
        <f aca="false">IF(N414="N",B414&amp;"|"&amp;ROUND(O414,0),"")</f>
        <v>PI26080028|0</v>
      </c>
      <c r="Q414" s="18" t="str">
        <f aca="false">IF(N414&lt;&gt;"Y","",IFERROR(INDEX($D$6:$D$4005,MATCH(B414&amp;"|"&amp;ROUND(_xlfn.MAXIFS($O$6:$O$4005,$B$6:$B$4005,B414,$N$6:$N$4005,"N"),0),$P$6:$P$4005,0)),"(tanpa lawan)"))</f>
        <v/>
      </c>
      <c r="R414" s="44"/>
      <c r="S414" s="9" t="str">
        <f aca="false">IF(N414&lt;&gt;"Y","",IF(R414&lt;&gt;"",R414,IF(Q414="(tanpa lawan)","Transfer antar rekening",IFERROR(INDEX(I_COA!$F$6:$F$265,MATCH(Q414,I_COA!$A$6:$A$265,0)),"?"))))</f>
        <v/>
      </c>
    </row>
    <row r="415" customFormat="false" ht="15" hidden="false" customHeight="false" outlineLevel="0" collapsed="false">
      <c r="A415" s="37" t="n">
        <v>46241</v>
      </c>
      <c r="B415" s="44" t="s">
        <v>949</v>
      </c>
      <c r="C415" s="44" t="s">
        <v>707</v>
      </c>
      <c r="D415" s="44" t="n">
        <v>7200010</v>
      </c>
      <c r="E415" s="44" t="s">
        <v>953</v>
      </c>
      <c r="F415" s="44" t="s">
        <v>954</v>
      </c>
      <c r="G415" s="42" t="n">
        <v>421750</v>
      </c>
      <c r="H415" s="42"/>
      <c r="I415" s="44" t="s">
        <v>888</v>
      </c>
      <c r="J415" s="11" t="n">
        <f aca="false">IF(D415="","",N(G415)-N(H415))</f>
        <v>421750</v>
      </c>
      <c r="K415" s="34" t="str">
        <f aca="false">IF(D415="","",IFERROR(INDEX(I_COA!$C$6:$C$265,MATCH(D415,I_COA!$A$6:$A$265,0)),"AKUN BARU"))</f>
        <v>LabaRugi</v>
      </c>
      <c r="L415" s="34" t="str">
        <f aca="false">IF(K415="LabaRugi",INDEX(I_COA!$D$6:$D$265,MATCH(D415,I_COA!$A$6:$A$265,0)),"")</f>
        <v>Tax expenses</v>
      </c>
      <c r="M415" s="34" t="str">
        <f aca="false">IF(K415="Neraca",INDEX(I_COA!$E$6:$E$265,MATCH(D415,I_COA!$A$6:$A$265,0)),"")</f>
        <v/>
      </c>
      <c r="N415" s="34" t="str">
        <f aca="false">IF(D415="","",IFERROR(INDEX(I_COA!$G$6:$G$265,MATCH(D415,I_COA!$A$6:$A$265,0)),"N"))</f>
        <v>N</v>
      </c>
      <c r="O415" s="11" t="n">
        <f aca="false">IF(N415="N",ABS(J415),"")</f>
        <v>421750</v>
      </c>
      <c r="P415" s="18" t="str">
        <f aca="false">IF(N415="N",B415&amp;"|"&amp;ROUND(O415,0),"")</f>
        <v>PI26080028|421750</v>
      </c>
      <c r="Q415" s="18" t="str">
        <f aca="false">IF(N415&lt;&gt;"Y","",IFERROR(INDEX($D$6:$D$4005,MATCH(B415&amp;"|"&amp;ROUND(_xlfn.MAXIFS($O$6:$O$4005,$B$6:$B$4005,B415,$N$6:$N$4005,"N"),0),$P$6:$P$4005,0)),"(tanpa lawan)"))</f>
        <v/>
      </c>
      <c r="R415" s="44"/>
      <c r="S415" s="9" t="str">
        <f aca="false">IF(N415&lt;&gt;"Y","",IF(R415&lt;&gt;"",R415,IF(Q415="(tanpa lawan)","Transfer antar rekening",IFERROR(INDEX(I_COA!$F$6:$F$265,MATCH(Q415,I_COA!$A$6:$A$265,0)),"?"))))</f>
        <v/>
      </c>
    </row>
    <row r="416" customFormat="false" ht="15" hidden="false" customHeight="false" outlineLevel="0" collapsed="false">
      <c r="A416" s="37" t="n">
        <v>46241</v>
      </c>
      <c r="B416" s="44" t="s">
        <v>949</v>
      </c>
      <c r="C416" s="44" t="s">
        <v>707</v>
      </c>
      <c r="D416" s="44" t="n">
        <v>2102007</v>
      </c>
      <c r="E416" s="44" t="s">
        <v>955</v>
      </c>
      <c r="F416" s="44" t="s">
        <v>954</v>
      </c>
      <c r="G416" s="42"/>
      <c r="H416" s="42" t="n">
        <v>421750</v>
      </c>
      <c r="I416" s="44" t="s">
        <v>888</v>
      </c>
      <c r="J416" s="11" t="n">
        <f aca="false">IF(D416="","",N(G416)-N(H416))</f>
        <v>-421750</v>
      </c>
      <c r="K416" s="34" t="str">
        <f aca="false">IF(D416="","",IFERROR(INDEX(I_COA!$C$6:$C$265,MATCH(D416,I_COA!$A$6:$A$265,0)),"AKUN BARU"))</f>
        <v>Neraca</v>
      </c>
      <c r="L416" s="34" t="str">
        <f aca="false">IF(K416="LabaRugi",INDEX(I_COA!$D$6:$D$265,MATCH(D416,I_COA!$A$6:$A$265,0)),"")</f>
        <v/>
      </c>
      <c r="M416" s="34" t="str">
        <f aca="false">IF(K416="Neraca",INDEX(I_COA!$E$6:$E$265,MATCH(D416,I_COA!$A$6:$A$265,0)),"")</f>
        <v>Taxes Payable</v>
      </c>
      <c r="N416" s="34" t="str">
        <f aca="false">IF(D416="","",IFERROR(INDEX(I_COA!$G$6:$G$265,MATCH(D416,I_COA!$A$6:$A$265,0)),"N"))</f>
        <v>N</v>
      </c>
      <c r="O416" s="11" t="n">
        <f aca="false">IF(N416="N",ABS(J416),"")</f>
        <v>421750</v>
      </c>
      <c r="P416" s="18" t="str">
        <f aca="false">IF(N416="N",B416&amp;"|"&amp;ROUND(O416,0),"")</f>
        <v>PI26080028|421750</v>
      </c>
      <c r="Q416" s="18" t="str">
        <f aca="false">IF(N416&lt;&gt;"Y","",IFERROR(INDEX($D$6:$D$4005,MATCH(B416&amp;"|"&amp;ROUND(_xlfn.MAXIFS($O$6:$O$4005,$B$6:$B$4005,B416,$N$6:$N$4005,"N"),0),$P$6:$P$4005,0)),"(tanpa lawan)"))</f>
        <v/>
      </c>
      <c r="R416" s="44"/>
      <c r="S416" s="9" t="str">
        <f aca="false">IF(N416&lt;&gt;"Y","",IF(R416&lt;&gt;"",R416,IF(Q416="(tanpa lawan)","Transfer antar rekening",IFERROR(INDEX(I_COA!$F$6:$F$265,MATCH(Q416,I_COA!$A$6:$A$265,0)),"?"))))</f>
        <v/>
      </c>
    </row>
    <row r="417" customFormat="false" ht="15" hidden="false" customHeight="false" outlineLevel="0" collapsed="false">
      <c r="A417" s="37" t="n">
        <v>46241</v>
      </c>
      <c r="B417" s="44" t="s">
        <v>949</v>
      </c>
      <c r="C417" s="44" t="s">
        <v>707</v>
      </c>
      <c r="D417" s="44" t="n">
        <v>2101001</v>
      </c>
      <c r="E417" s="44" t="s">
        <v>595</v>
      </c>
      <c r="F417" s="44" t="s">
        <v>916</v>
      </c>
      <c r="G417" s="42"/>
      <c r="H417" s="42" t="n">
        <v>168700000</v>
      </c>
      <c r="I417" s="44" t="s">
        <v>888</v>
      </c>
      <c r="J417" s="11" t="n">
        <f aca="false">IF(D417="","",N(G417)-N(H417))</f>
        <v>-168700000</v>
      </c>
      <c r="K417" s="34" t="str">
        <f aca="false">IF(D417="","",IFERROR(INDEX(I_COA!$C$6:$C$265,MATCH(D417,I_COA!$A$6:$A$265,0)),"AKUN BARU"))</f>
        <v>Neraca</v>
      </c>
      <c r="L417" s="34" t="str">
        <f aca="false">IF(K417="LabaRugi",INDEX(I_COA!$D$6:$D$265,MATCH(D417,I_COA!$A$6:$A$265,0)),"")</f>
        <v/>
      </c>
      <c r="M417" s="34" t="str">
        <f aca="false">IF(K417="Neraca",INDEX(I_COA!$E$6:$E$265,MATCH(D417,I_COA!$A$6:$A$265,0)),"")</f>
        <v>Trade Payables - Third Parties</v>
      </c>
      <c r="N417" s="34" t="str">
        <f aca="false">IF(D417="","",IFERROR(INDEX(I_COA!$G$6:$G$265,MATCH(D417,I_COA!$A$6:$A$265,0)),"N"))</f>
        <v>N</v>
      </c>
      <c r="O417" s="11" t="n">
        <f aca="false">IF(N417="N",ABS(J417),"")</f>
        <v>168700000</v>
      </c>
      <c r="P417" s="18" t="str">
        <f aca="false">IF(N417="N",B417&amp;"|"&amp;ROUND(O417,0),"")</f>
        <v>PI26080028|168700000</v>
      </c>
      <c r="Q417" s="18" t="str">
        <f aca="false">IF(N417&lt;&gt;"Y","",IFERROR(INDEX($D$6:$D$4005,MATCH(B417&amp;"|"&amp;ROUND(_xlfn.MAXIFS($O$6:$O$4005,$B$6:$B$4005,B417,$N$6:$N$4005,"N"),0),$P$6:$P$4005,0)),"(tanpa lawan)"))</f>
        <v/>
      </c>
      <c r="R417" s="44"/>
      <c r="S417" s="9" t="str">
        <f aca="false">IF(N417&lt;&gt;"Y","",IF(R417&lt;&gt;"",R417,IF(Q417="(tanpa lawan)","Transfer antar rekening",IFERROR(INDEX(I_COA!$F$6:$F$265,MATCH(Q417,I_COA!$A$6:$A$265,0)),"?"))))</f>
        <v/>
      </c>
    </row>
    <row r="418" customFormat="false" ht="15" hidden="false" customHeight="false" outlineLevel="0" collapsed="false">
      <c r="A418" s="37" t="n">
        <v>46242</v>
      </c>
      <c r="B418" s="44" t="s">
        <v>956</v>
      </c>
      <c r="C418" s="44" t="s">
        <v>585</v>
      </c>
      <c r="D418" s="44" t="n">
        <v>1102001</v>
      </c>
      <c r="E418" s="44" t="s">
        <v>586</v>
      </c>
      <c r="F418" s="44" t="s">
        <v>957</v>
      </c>
      <c r="G418" s="42" t="n">
        <v>19338000</v>
      </c>
      <c r="H418" s="42"/>
      <c r="I418" s="44" t="s">
        <v>432</v>
      </c>
      <c r="J418" s="11" t="n">
        <f aca="false">IF(D418="","",N(G418)-N(H418))</f>
        <v>19338000</v>
      </c>
      <c r="K418" s="34" t="str">
        <f aca="false">IF(D418="","",IFERROR(INDEX(I_COA!$C$6:$C$265,MATCH(D418,I_COA!$A$6:$A$265,0)),"AKUN BARU"))</f>
        <v>Neraca</v>
      </c>
      <c r="L418" s="34" t="str">
        <f aca="false">IF(K418="LabaRugi",INDEX(I_COA!$D$6:$D$265,MATCH(D418,I_COA!$A$6:$A$265,0)),"")</f>
        <v/>
      </c>
      <c r="M418" s="34" t="str">
        <f aca="false">IF(K418="Neraca",INDEX(I_COA!$E$6:$E$265,MATCH(D418,I_COA!$A$6:$A$265,0)),"")</f>
        <v>Cash and cash equivalents</v>
      </c>
      <c r="N418" s="34" t="str">
        <f aca="false">IF(D418="","",IFERROR(INDEX(I_COA!$G$6:$G$265,MATCH(D418,I_COA!$A$6:$A$265,0)),"N"))</f>
        <v>Y</v>
      </c>
      <c r="O418" s="11" t="str">
        <f aca="false">IF(N418="N",ABS(J418),"")</f>
        <v/>
      </c>
      <c r="P418" s="18" t="str">
        <f aca="false">IF(N418="N",B418&amp;"|"&amp;ROUND(O418,0),"")</f>
        <v/>
      </c>
      <c r="Q418" s="18" t="n">
        <f aca="false">IF(N418&lt;&gt;"Y","",IFERROR(INDEX($D$6:$D$4005,MATCH(B418&amp;"|"&amp;ROUND(_xlfn.MAXIFS($O$6:$O$4005,$B$6:$B$4005,B418,$N$6:$N$4005,"N"),0),$P$6:$P$4005,0)),"(tanpa lawan)"))</f>
        <v>1103101</v>
      </c>
      <c r="R418" s="44"/>
      <c r="S418" s="9" t="str">
        <f aca="false">IF(N418&lt;&gt;"Y","",IF(R418&lt;&gt;"",R418,IF(Q418="(tanpa lawan)","Transfer antar rekening",IFERROR(INDEX(I_COA!$F$6:$F$265,MATCH(Q418,I_COA!$A$6:$A$265,0)),"?"))))</f>
        <v>Penerimaan dari pelanggan</v>
      </c>
    </row>
    <row r="419" customFormat="false" ht="15" hidden="false" customHeight="false" outlineLevel="0" collapsed="false">
      <c r="A419" s="37" t="n">
        <v>46242</v>
      </c>
      <c r="B419" s="44" t="s">
        <v>956</v>
      </c>
      <c r="C419" s="44" t="s">
        <v>585</v>
      </c>
      <c r="D419" s="44" t="n">
        <v>1103101</v>
      </c>
      <c r="E419" s="44" t="s">
        <v>589</v>
      </c>
      <c r="F419" s="44" t="s">
        <v>957</v>
      </c>
      <c r="G419" s="42"/>
      <c r="H419" s="42" t="n">
        <v>19338000</v>
      </c>
      <c r="I419" s="44" t="s">
        <v>432</v>
      </c>
      <c r="J419" s="11" t="n">
        <f aca="false">IF(D419="","",N(G419)-N(H419))</f>
        <v>-19338000</v>
      </c>
      <c r="K419" s="34" t="str">
        <f aca="false">IF(D419="","",IFERROR(INDEX(I_COA!$C$6:$C$265,MATCH(D419,I_COA!$A$6:$A$265,0)),"AKUN BARU"))</f>
        <v>Neraca</v>
      </c>
      <c r="L419" s="34" t="str">
        <f aca="false">IF(K419="LabaRugi",INDEX(I_COA!$D$6:$D$265,MATCH(D419,I_COA!$A$6:$A$265,0)),"")</f>
        <v/>
      </c>
      <c r="M419" s="34" t="str">
        <f aca="false">IF(K419="Neraca",INDEX(I_COA!$E$6:$E$265,MATCH(D419,I_COA!$A$6:$A$265,0)),"")</f>
        <v>Trade Receivables - Third Parties</v>
      </c>
      <c r="N419" s="34" t="str">
        <f aca="false">IF(D419="","",IFERROR(INDEX(I_COA!$G$6:$G$265,MATCH(D419,I_COA!$A$6:$A$265,0)),"N"))</f>
        <v>N</v>
      </c>
      <c r="O419" s="11" t="n">
        <f aca="false">IF(N419="N",ABS(J419),"")</f>
        <v>19338000</v>
      </c>
      <c r="P419" s="18" t="str">
        <f aca="false">IF(N419="N",B419&amp;"|"&amp;ROUND(O419,0),"")</f>
        <v>B7626080031|19338000</v>
      </c>
      <c r="Q419" s="18" t="str">
        <f aca="false">IF(N419&lt;&gt;"Y","",IFERROR(INDEX($D$6:$D$4005,MATCH(B419&amp;"|"&amp;ROUND(_xlfn.MAXIFS($O$6:$O$4005,$B$6:$B$4005,B419,$N$6:$N$4005,"N"),0),$P$6:$P$4005,0)),"(tanpa lawan)"))</f>
        <v/>
      </c>
      <c r="R419" s="44"/>
      <c r="S419" s="9" t="str">
        <f aca="false">IF(N419&lt;&gt;"Y","",IF(R419&lt;&gt;"",R419,IF(Q419="(tanpa lawan)","Transfer antar rekening",IFERROR(INDEX(I_COA!$F$6:$F$265,MATCH(Q419,I_COA!$A$6:$A$265,0)),"?"))))</f>
        <v/>
      </c>
    </row>
    <row r="420" customFormat="false" ht="15" hidden="false" customHeight="false" outlineLevel="0" collapsed="false">
      <c r="A420" s="37" t="n">
        <v>46242</v>
      </c>
      <c r="B420" s="44" t="s">
        <v>958</v>
      </c>
      <c r="C420" s="44" t="s">
        <v>580</v>
      </c>
      <c r="D420" s="44" t="n">
        <v>1102001</v>
      </c>
      <c r="E420" s="44" t="s">
        <v>586</v>
      </c>
      <c r="F420" s="44" t="s">
        <v>959</v>
      </c>
      <c r="G420" s="42" t="n">
        <v>87000000</v>
      </c>
      <c r="H420" s="42"/>
      <c r="I420" s="44"/>
      <c r="J420" s="11" t="n">
        <f aca="false">IF(D420="","",N(G420)-N(H420))</f>
        <v>87000000</v>
      </c>
      <c r="K420" s="34" t="str">
        <f aca="false">IF(D420="","",IFERROR(INDEX(I_COA!$C$6:$C$265,MATCH(D420,I_COA!$A$6:$A$265,0)),"AKUN BARU"))</f>
        <v>Neraca</v>
      </c>
      <c r="L420" s="34" t="str">
        <f aca="false">IF(K420="LabaRugi",INDEX(I_COA!$D$6:$D$265,MATCH(D420,I_COA!$A$6:$A$265,0)),"")</f>
        <v/>
      </c>
      <c r="M420" s="34" t="str">
        <f aca="false">IF(K420="Neraca",INDEX(I_COA!$E$6:$E$265,MATCH(D420,I_COA!$A$6:$A$265,0)),"")</f>
        <v>Cash and cash equivalents</v>
      </c>
      <c r="N420" s="34" t="str">
        <f aca="false">IF(D420="","",IFERROR(INDEX(I_COA!$G$6:$G$265,MATCH(D420,I_COA!$A$6:$A$265,0)),"N"))</f>
        <v>Y</v>
      </c>
      <c r="O420" s="11" t="str">
        <f aca="false">IF(N420="N",ABS(J420),"")</f>
        <v/>
      </c>
      <c r="P420" s="18" t="str">
        <f aca="false">IF(N420="N",B420&amp;"|"&amp;ROUND(O420,0),"")</f>
        <v/>
      </c>
      <c r="Q420" s="18" t="n">
        <f aca="false">IF(N420&lt;&gt;"Y","",IFERROR(INDEX($D$6:$D$4005,MATCH(B420&amp;"|"&amp;ROUND(_xlfn.MAXIFS($O$6:$O$4005,$B$6:$B$4005,B420,$N$6:$N$4005,"N"),0),$P$6:$P$4005,0)),"(tanpa lawan)"))</f>
        <v>2101020</v>
      </c>
      <c r="R420" s="44"/>
      <c r="S420" s="9" t="str">
        <f aca="false">IF(N420&lt;&gt;"Y","",IF(R420&lt;&gt;"",R420,IF(Q420="(tanpa lawan)","Transfer antar rekening",IFERROR(INDEX(I_COA!$F$6:$F$265,MATCH(Q420,I_COA!$A$6:$A$265,0)),"?"))))</f>
        <v>Penerimaan dari pelanggan</v>
      </c>
    </row>
    <row r="421" customFormat="false" ht="15" hidden="false" customHeight="false" outlineLevel="0" collapsed="false">
      <c r="A421" s="37" t="n">
        <v>46242</v>
      </c>
      <c r="B421" s="44" t="s">
        <v>958</v>
      </c>
      <c r="C421" s="44" t="s">
        <v>580</v>
      </c>
      <c r="D421" s="44" t="n">
        <v>2101020</v>
      </c>
      <c r="E421" s="44" t="s">
        <v>653</v>
      </c>
      <c r="F421" s="44" t="s">
        <v>959</v>
      </c>
      <c r="G421" s="42"/>
      <c r="H421" s="42" t="n">
        <v>87000000</v>
      </c>
      <c r="I421" s="44" t="s">
        <v>432</v>
      </c>
      <c r="J421" s="11" t="n">
        <f aca="false">IF(D421="","",N(G421)-N(H421))</f>
        <v>-87000000</v>
      </c>
      <c r="K421" s="34" t="str">
        <f aca="false">IF(D421="","",IFERROR(INDEX(I_COA!$C$6:$C$265,MATCH(D421,I_COA!$A$6:$A$265,0)),"AKUN BARU"))</f>
        <v>Neraca</v>
      </c>
      <c r="L421" s="34" t="str">
        <f aca="false">IF(K421="LabaRugi",INDEX(I_COA!$D$6:$D$265,MATCH(D421,I_COA!$A$6:$A$265,0)),"")</f>
        <v/>
      </c>
      <c r="M421" s="34" t="str">
        <f aca="false">IF(K421="Neraca",INDEX(I_COA!$E$6:$E$265,MATCH(D421,I_COA!$A$6:$A$265,0)),"")</f>
        <v>Unearned Revenue</v>
      </c>
      <c r="N421" s="34" t="str">
        <f aca="false">IF(D421="","",IFERROR(INDEX(I_COA!$G$6:$G$265,MATCH(D421,I_COA!$A$6:$A$265,0)),"N"))</f>
        <v>N</v>
      </c>
      <c r="O421" s="11" t="n">
        <f aca="false">IF(N421="N",ABS(J421),"")</f>
        <v>87000000</v>
      </c>
      <c r="P421" s="18" t="str">
        <f aca="false">IF(N421="N",B421&amp;"|"&amp;ROUND(O421,0),"")</f>
        <v>B7626080032|87000000</v>
      </c>
      <c r="Q421" s="18" t="str">
        <f aca="false">IF(N421&lt;&gt;"Y","",IFERROR(INDEX($D$6:$D$4005,MATCH(B421&amp;"|"&amp;ROUND(_xlfn.MAXIFS($O$6:$O$4005,$B$6:$B$4005,B421,$N$6:$N$4005,"N"),0),$P$6:$P$4005,0)),"(tanpa lawan)"))</f>
        <v/>
      </c>
      <c r="R421" s="44"/>
      <c r="S421" s="9" t="str">
        <f aca="false">IF(N421&lt;&gt;"Y","",IF(R421&lt;&gt;"",R421,IF(Q421="(tanpa lawan)","Transfer antar rekening",IFERROR(INDEX(I_COA!$F$6:$F$265,MATCH(Q421,I_COA!$A$6:$A$265,0)),"?"))))</f>
        <v/>
      </c>
    </row>
    <row r="422" customFormat="false" ht="15" hidden="false" customHeight="false" outlineLevel="0" collapsed="false">
      <c r="A422" s="37" t="n">
        <v>46242</v>
      </c>
      <c r="B422" s="44" t="s">
        <v>960</v>
      </c>
      <c r="C422" s="44" t="s">
        <v>585</v>
      </c>
      <c r="D422" s="44" t="n">
        <v>1102001</v>
      </c>
      <c r="E422" s="44" t="s">
        <v>586</v>
      </c>
      <c r="F422" s="44" t="s">
        <v>961</v>
      </c>
      <c r="G422" s="42" t="n">
        <v>38733400</v>
      </c>
      <c r="H422" s="42"/>
      <c r="I422" s="44" t="s">
        <v>437</v>
      </c>
      <c r="J422" s="11" t="n">
        <f aca="false">IF(D422="","",N(G422)-N(H422))</f>
        <v>38733400</v>
      </c>
      <c r="K422" s="34" t="str">
        <f aca="false">IF(D422="","",IFERROR(INDEX(I_COA!$C$6:$C$265,MATCH(D422,I_COA!$A$6:$A$265,0)),"AKUN BARU"))</f>
        <v>Neraca</v>
      </c>
      <c r="L422" s="34" t="str">
        <f aca="false">IF(K422="LabaRugi",INDEX(I_COA!$D$6:$D$265,MATCH(D422,I_COA!$A$6:$A$265,0)),"")</f>
        <v/>
      </c>
      <c r="M422" s="34" t="str">
        <f aca="false">IF(K422="Neraca",INDEX(I_COA!$E$6:$E$265,MATCH(D422,I_COA!$A$6:$A$265,0)),"")</f>
        <v>Cash and cash equivalents</v>
      </c>
      <c r="N422" s="34" t="str">
        <f aca="false">IF(D422="","",IFERROR(INDEX(I_COA!$G$6:$G$265,MATCH(D422,I_COA!$A$6:$A$265,0)),"N"))</f>
        <v>Y</v>
      </c>
      <c r="O422" s="11" t="str">
        <f aca="false">IF(N422="N",ABS(J422),"")</f>
        <v/>
      </c>
      <c r="P422" s="18" t="str">
        <f aca="false">IF(N422="N",B422&amp;"|"&amp;ROUND(O422,0),"")</f>
        <v/>
      </c>
      <c r="Q422" s="18" t="n">
        <f aca="false">IF(N422&lt;&gt;"Y","",IFERROR(INDEX($D$6:$D$4005,MATCH(B422&amp;"|"&amp;ROUND(_xlfn.MAXIFS($O$6:$O$4005,$B$6:$B$4005,B422,$N$6:$N$4005,"N"),0),$P$6:$P$4005,0)),"(tanpa lawan)"))</f>
        <v>1103101</v>
      </c>
      <c r="R422" s="44"/>
      <c r="S422" s="9" t="str">
        <f aca="false">IF(N422&lt;&gt;"Y","",IF(R422&lt;&gt;"",R422,IF(Q422="(tanpa lawan)","Transfer antar rekening",IFERROR(INDEX(I_COA!$F$6:$F$265,MATCH(Q422,I_COA!$A$6:$A$265,0)),"?"))))</f>
        <v>Penerimaan dari pelanggan</v>
      </c>
    </row>
    <row r="423" customFormat="false" ht="15" hidden="false" customHeight="false" outlineLevel="0" collapsed="false">
      <c r="A423" s="37" t="n">
        <v>46242</v>
      </c>
      <c r="B423" s="44" t="s">
        <v>960</v>
      </c>
      <c r="C423" s="44" t="s">
        <v>585</v>
      </c>
      <c r="D423" s="44" t="n">
        <v>1103101</v>
      </c>
      <c r="E423" s="44" t="s">
        <v>589</v>
      </c>
      <c r="F423" s="44" t="s">
        <v>961</v>
      </c>
      <c r="G423" s="42"/>
      <c r="H423" s="42" t="n">
        <v>38733400</v>
      </c>
      <c r="I423" s="44" t="s">
        <v>437</v>
      </c>
      <c r="J423" s="11" t="n">
        <f aca="false">IF(D423="","",N(G423)-N(H423))</f>
        <v>-38733400</v>
      </c>
      <c r="K423" s="34" t="str">
        <f aca="false">IF(D423="","",IFERROR(INDEX(I_COA!$C$6:$C$265,MATCH(D423,I_COA!$A$6:$A$265,0)),"AKUN BARU"))</f>
        <v>Neraca</v>
      </c>
      <c r="L423" s="34" t="str">
        <f aca="false">IF(K423="LabaRugi",INDEX(I_COA!$D$6:$D$265,MATCH(D423,I_COA!$A$6:$A$265,0)),"")</f>
        <v/>
      </c>
      <c r="M423" s="34" t="str">
        <f aca="false">IF(K423="Neraca",INDEX(I_COA!$E$6:$E$265,MATCH(D423,I_COA!$A$6:$A$265,0)),"")</f>
        <v>Trade Receivables - Third Parties</v>
      </c>
      <c r="N423" s="34" t="str">
        <f aca="false">IF(D423="","",IFERROR(INDEX(I_COA!$G$6:$G$265,MATCH(D423,I_COA!$A$6:$A$265,0)),"N"))</f>
        <v>N</v>
      </c>
      <c r="O423" s="11" t="n">
        <f aca="false">IF(N423="N",ABS(J423),"")</f>
        <v>38733400</v>
      </c>
      <c r="P423" s="18" t="str">
        <f aca="false">IF(N423="N",B423&amp;"|"&amp;ROUND(O423,0),"")</f>
        <v>B7626080033|38733400</v>
      </c>
      <c r="Q423" s="18" t="str">
        <f aca="false">IF(N423&lt;&gt;"Y","",IFERROR(INDEX($D$6:$D$4005,MATCH(B423&amp;"|"&amp;ROUND(_xlfn.MAXIFS($O$6:$O$4005,$B$6:$B$4005,B423,$N$6:$N$4005,"N"),0),$P$6:$P$4005,0)),"(tanpa lawan)"))</f>
        <v/>
      </c>
      <c r="R423" s="44"/>
      <c r="S423" s="9" t="str">
        <f aca="false">IF(N423&lt;&gt;"Y","",IF(R423&lt;&gt;"",R423,IF(Q423="(tanpa lawan)","Transfer antar rekening",IFERROR(INDEX(I_COA!$F$6:$F$265,MATCH(Q423,I_COA!$A$6:$A$265,0)),"?"))))</f>
        <v/>
      </c>
    </row>
    <row r="424" customFormat="false" ht="15" hidden="false" customHeight="false" outlineLevel="0" collapsed="false">
      <c r="A424" s="37" t="n">
        <v>46242</v>
      </c>
      <c r="B424" s="44" t="s">
        <v>962</v>
      </c>
      <c r="C424" s="44" t="s">
        <v>585</v>
      </c>
      <c r="D424" s="44" t="n">
        <v>1102001</v>
      </c>
      <c r="E424" s="44" t="s">
        <v>586</v>
      </c>
      <c r="F424" s="44" t="s">
        <v>963</v>
      </c>
      <c r="G424" s="42" t="n">
        <v>839800</v>
      </c>
      <c r="H424" s="42"/>
      <c r="I424" s="44" t="s">
        <v>603</v>
      </c>
      <c r="J424" s="11" t="n">
        <f aca="false">IF(D424="","",N(G424)-N(H424))</f>
        <v>839800</v>
      </c>
      <c r="K424" s="34" t="str">
        <f aca="false">IF(D424="","",IFERROR(INDEX(I_COA!$C$6:$C$265,MATCH(D424,I_COA!$A$6:$A$265,0)),"AKUN BARU"))</f>
        <v>Neraca</v>
      </c>
      <c r="L424" s="34" t="str">
        <f aca="false">IF(K424="LabaRugi",INDEX(I_COA!$D$6:$D$265,MATCH(D424,I_COA!$A$6:$A$265,0)),"")</f>
        <v/>
      </c>
      <c r="M424" s="34" t="str">
        <f aca="false">IF(K424="Neraca",INDEX(I_COA!$E$6:$E$265,MATCH(D424,I_COA!$A$6:$A$265,0)),"")</f>
        <v>Cash and cash equivalents</v>
      </c>
      <c r="N424" s="34" t="str">
        <f aca="false">IF(D424="","",IFERROR(INDEX(I_COA!$G$6:$G$265,MATCH(D424,I_COA!$A$6:$A$265,0)),"N"))</f>
        <v>Y</v>
      </c>
      <c r="O424" s="11" t="str">
        <f aca="false">IF(N424="N",ABS(J424),"")</f>
        <v/>
      </c>
      <c r="P424" s="18" t="str">
        <f aca="false">IF(N424="N",B424&amp;"|"&amp;ROUND(O424,0),"")</f>
        <v/>
      </c>
      <c r="Q424" s="18" t="n">
        <f aca="false">IF(N424&lt;&gt;"Y","",IFERROR(INDEX($D$6:$D$4005,MATCH(B424&amp;"|"&amp;ROUND(_xlfn.MAXIFS($O$6:$O$4005,$B$6:$B$4005,B424,$N$6:$N$4005,"N"),0),$P$6:$P$4005,0)),"(tanpa lawan)"))</f>
        <v>1103101</v>
      </c>
      <c r="R424" s="44"/>
      <c r="S424" s="9" t="str">
        <f aca="false">IF(N424&lt;&gt;"Y","",IF(R424&lt;&gt;"",R424,IF(Q424="(tanpa lawan)","Transfer antar rekening",IFERROR(INDEX(I_COA!$F$6:$F$265,MATCH(Q424,I_COA!$A$6:$A$265,0)),"?"))))</f>
        <v>Penerimaan dari pelanggan</v>
      </c>
    </row>
    <row r="425" customFormat="false" ht="15" hidden="false" customHeight="false" outlineLevel="0" collapsed="false">
      <c r="A425" s="37" t="n">
        <v>46242</v>
      </c>
      <c r="B425" s="44" t="s">
        <v>962</v>
      </c>
      <c r="C425" s="44" t="s">
        <v>585</v>
      </c>
      <c r="D425" s="44" t="n">
        <v>1103101</v>
      </c>
      <c r="E425" s="44" t="s">
        <v>589</v>
      </c>
      <c r="F425" s="44" t="s">
        <v>963</v>
      </c>
      <c r="G425" s="42"/>
      <c r="H425" s="42" t="n">
        <v>839800</v>
      </c>
      <c r="I425" s="44" t="s">
        <v>603</v>
      </c>
      <c r="J425" s="11" t="n">
        <f aca="false">IF(D425="","",N(G425)-N(H425))</f>
        <v>-839800</v>
      </c>
      <c r="K425" s="34" t="str">
        <f aca="false">IF(D425="","",IFERROR(INDEX(I_COA!$C$6:$C$265,MATCH(D425,I_COA!$A$6:$A$265,0)),"AKUN BARU"))</f>
        <v>Neraca</v>
      </c>
      <c r="L425" s="34" t="str">
        <f aca="false">IF(K425="LabaRugi",INDEX(I_COA!$D$6:$D$265,MATCH(D425,I_COA!$A$6:$A$265,0)),"")</f>
        <v/>
      </c>
      <c r="M425" s="34" t="str">
        <f aca="false">IF(K425="Neraca",INDEX(I_COA!$E$6:$E$265,MATCH(D425,I_COA!$A$6:$A$265,0)),"")</f>
        <v>Trade Receivables - Third Parties</v>
      </c>
      <c r="N425" s="34" t="str">
        <f aca="false">IF(D425="","",IFERROR(INDEX(I_COA!$G$6:$G$265,MATCH(D425,I_COA!$A$6:$A$265,0)),"N"))</f>
        <v>N</v>
      </c>
      <c r="O425" s="11" t="n">
        <f aca="false">IF(N425="N",ABS(J425),"")</f>
        <v>839800</v>
      </c>
      <c r="P425" s="18" t="str">
        <f aca="false">IF(N425="N",B425&amp;"|"&amp;ROUND(O425,0),"")</f>
        <v>B7626080034|839800</v>
      </c>
      <c r="Q425" s="18" t="str">
        <f aca="false">IF(N425&lt;&gt;"Y","",IFERROR(INDEX($D$6:$D$4005,MATCH(B425&amp;"|"&amp;ROUND(_xlfn.MAXIFS($O$6:$O$4005,$B$6:$B$4005,B425,$N$6:$N$4005,"N"),0),$P$6:$P$4005,0)),"(tanpa lawan)"))</f>
        <v/>
      </c>
      <c r="R425" s="44"/>
      <c r="S425" s="9" t="str">
        <f aca="false">IF(N425&lt;&gt;"Y","",IF(R425&lt;&gt;"",R425,IF(Q425="(tanpa lawan)","Transfer antar rekening",IFERROR(INDEX(I_COA!$F$6:$F$265,MATCH(Q425,I_COA!$A$6:$A$265,0)),"?"))))</f>
        <v/>
      </c>
    </row>
    <row r="426" customFormat="false" ht="15" hidden="false" customHeight="false" outlineLevel="0" collapsed="false">
      <c r="A426" s="37" t="n">
        <v>46242</v>
      </c>
      <c r="B426" s="44" t="s">
        <v>964</v>
      </c>
      <c r="C426" s="44" t="s">
        <v>690</v>
      </c>
      <c r="D426" s="44" t="n">
        <v>1104006</v>
      </c>
      <c r="E426" s="44" t="s">
        <v>212</v>
      </c>
      <c r="F426" s="44" t="s">
        <v>965</v>
      </c>
      <c r="G426" s="42" t="n">
        <v>830148800</v>
      </c>
      <c r="H426" s="42"/>
      <c r="I426" s="44" t="s">
        <v>597</v>
      </c>
      <c r="J426" s="11" t="n">
        <f aca="false">IF(D426="","",N(G426)-N(H426))</f>
        <v>830148800</v>
      </c>
      <c r="K426" s="34" t="str">
        <f aca="false">IF(D426="","",IFERROR(INDEX(I_COA!$C$6:$C$265,MATCH(D426,I_COA!$A$6:$A$265,0)),"AKUN BARU"))</f>
        <v>Neraca</v>
      </c>
      <c r="L426" s="34" t="str">
        <f aca="false">IF(K426="LabaRugi",INDEX(I_COA!$D$6:$D$265,MATCH(D426,I_COA!$A$6:$A$265,0)),"")</f>
        <v/>
      </c>
      <c r="M426" s="34" t="str">
        <f aca="false">IF(K426="Neraca",INDEX(I_COA!$E$6:$E$265,MATCH(D426,I_COA!$A$6:$A$265,0)),"")</f>
        <v>Inventory - Trading</v>
      </c>
      <c r="N426" s="34" t="str">
        <f aca="false">IF(D426="","",IFERROR(INDEX(I_COA!$G$6:$G$265,MATCH(D426,I_COA!$A$6:$A$265,0)),"N"))</f>
        <v>N</v>
      </c>
      <c r="O426" s="11" t="n">
        <f aca="false">IF(N426="N",ABS(J426),"")</f>
        <v>830148800</v>
      </c>
      <c r="P426" s="18" t="str">
        <f aca="false">IF(N426="N",B426&amp;"|"&amp;ROUND(O426,0),"")</f>
        <v>GR26080004|830148800</v>
      </c>
      <c r="Q426" s="18" t="str">
        <f aca="false">IF(N426&lt;&gt;"Y","",IFERROR(INDEX($D$6:$D$4005,MATCH(B426&amp;"|"&amp;ROUND(_xlfn.MAXIFS($O$6:$O$4005,$B$6:$B$4005,B426,$N$6:$N$4005,"N"),0),$P$6:$P$4005,0)),"(tanpa lawan)"))</f>
        <v/>
      </c>
      <c r="R426" s="44"/>
      <c r="S426" s="9" t="str">
        <f aca="false">IF(N426&lt;&gt;"Y","",IF(R426&lt;&gt;"",R426,IF(Q426="(tanpa lawan)","Transfer antar rekening",IFERROR(INDEX(I_COA!$F$6:$F$265,MATCH(Q426,I_COA!$A$6:$A$265,0)),"?"))))</f>
        <v/>
      </c>
    </row>
    <row r="427" customFormat="false" ht="15" hidden="false" customHeight="false" outlineLevel="0" collapsed="false">
      <c r="A427" s="37" t="n">
        <v>46242</v>
      </c>
      <c r="B427" s="44" t="s">
        <v>964</v>
      </c>
      <c r="C427" s="44" t="s">
        <v>690</v>
      </c>
      <c r="D427" s="44" t="n">
        <v>2103011</v>
      </c>
      <c r="E427" s="44" t="s">
        <v>693</v>
      </c>
      <c r="F427" s="44" t="s">
        <v>965</v>
      </c>
      <c r="G427" s="42"/>
      <c r="H427" s="42" t="n">
        <v>830148800</v>
      </c>
      <c r="I427" s="44" t="s">
        <v>597</v>
      </c>
      <c r="J427" s="11" t="n">
        <f aca="false">IF(D427="","",N(G427)-N(H427))</f>
        <v>-830148800</v>
      </c>
      <c r="K427" s="34" t="str">
        <f aca="false">IF(D427="","",IFERROR(INDEX(I_COA!$C$6:$C$265,MATCH(D427,I_COA!$A$6:$A$265,0)),"AKUN BARU"))</f>
        <v>Neraca</v>
      </c>
      <c r="L427" s="34" t="str">
        <f aca="false">IF(K427="LabaRugi",INDEX(I_COA!$D$6:$D$265,MATCH(D427,I_COA!$A$6:$A$265,0)),"")</f>
        <v/>
      </c>
      <c r="M427" s="34" t="str">
        <f aca="false">IF(K427="Neraca",INDEX(I_COA!$E$6:$E$265,MATCH(D427,I_COA!$A$6:$A$265,0)),"")</f>
        <v>Accrued Expenses - Third Parties</v>
      </c>
      <c r="N427" s="34" t="str">
        <f aca="false">IF(D427="","",IFERROR(INDEX(I_COA!$G$6:$G$265,MATCH(D427,I_COA!$A$6:$A$265,0)),"N"))</f>
        <v>N</v>
      </c>
      <c r="O427" s="11" t="n">
        <f aca="false">IF(N427="N",ABS(J427),"")</f>
        <v>830148800</v>
      </c>
      <c r="P427" s="18" t="str">
        <f aca="false">IF(N427="N",B427&amp;"|"&amp;ROUND(O427,0),"")</f>
        <v>GR26080004|830148800</v>
      </c>
      <c r="Q427" s="18" t="str">
        <f aca="false">IF(N427&lt;&gt;"Y","",IFERROR(INDEX($D$6:$D$4005,MATCH(B427&amp;"|"&amp;ROUND(_xlfn.MAXIFS($O$6:$O$4005,$B$6:$B$4005,B427,$N$6:$N$4005,"N"),0),$P$6:$P$4005,0)),"(tanpa lawan)"))</f>
        <v/>
      </c>
      <c r="R427" s="44"/>
      <c r="S427" s="9" t="str">
        <f aca="false">IF(N427&lt;&gt;"Y","",IF(R427&lt;&gt;"",R427,IF(Q427="(tanpa lawan)","Transfer antar rekening",IFERROR(INDEX(I_COA!$F$6:$F$265,MATCH(Q427,I_COA!$A$6:$A$265,0)),"?"))))</f>
        <v/>
      </c>
    </row>
    <row r="428" customFormat="false" ht="15" hidden="false" customHeight="false" outlineLevel="0" collapsed="false">
      <c r="A428" s="37" t="n">
        <v>46242</v>
      </c>
      <c r="B428" s="44" t="s">
        <v>966</v>
      </c>
      <c r="C428" s="44" t="s">
        <v>600</v>
      </c>
      <c r="D428" s="44" t="n">
        <v>1104002</v>
      </c>
      <c r="E428" s="44" t="s">
        <v>601</v>
      </c>
      <c r="F428" s="44" t="s">
        <v>967</v>
      </c>
      <c r="G428" s="42" t="n">
        <v>36071674.09</v>
      </c>
      <c r="H428" s="42"/>
      <c r="I428" s="44" t="s">
        <v>968</v>
      </c>
      <c r="J428" s="11" t="n">
        <f aca="false">IF(D428="","",N(G428)-N(H428))</f>
        <v>36071674.09</v>
      </c>
      <c r="K428" s="34" t="str">
        <f aca="false">IF(D428="","",IFERROR(INDEX(I_COA!$C$6:$C$265,MATCH(D428,I_COA!$A$6:$A$265,0)),"AKUN BARU"))</f>
        <v>Neraca</v>
      </c>
      <c r="L428" s="34" t="str">
        <f aca="false">IF(K428="LabaRugi",INDEX(I_COA!$D$6:$D$265,MATCH(D428,I_COA!$A$6:$A$265,0)),"")</f>
        <v/>
      </c>
      <c r="M428" s="34" t="str">
        <f aca="false">IF(K428="Neraca",INDEX(I_COA!$E$6:$E$265,MATCH(D428,I_COA!$A$6:$A$265,0)),"")</f>
        <v>Inventory - Product</v>
      </c>
      <c r="N428" s="34" t="str">
        <f aca="false">IF(D428="","",IFERROR(INDEX(I_COA!$G$6:$G$265,MATCH(D428,I_COA!$A$6:$A$265,0)),"N"))</f>
        <v>N</v>
      </c>
      <c r="O428" s="11" t="n">
        <f aca="false">IF(N428="N",ABS(J428),"")</f>
        <v>36071674.09</v>
      </c>
      <c r="P428" s="18" t="str">
        <f aca="false">IF(N428="N",B428&amp;"|"&amp;ROUND(O428,0),"")</f>
        <v>KGR26.00224|36071674</v>
      </c>
      <c r="Q428" s="18" t="str">
        <f aca="false">IF(N428&lt;&gt;"Y","",IFERROR(INDEX($D$6:$D$4005,MATCH(B428&amp;"|"&amp;ROUND(_xlfn.MAXIFS($O$6:$O$4005,$B$6:$B$4005,B428,$N$6:$N$4005,"N"),0),$P$6:$P$4005,0)),"(tanpa lawan)"))</f>
        <v/>
      </c>
      <c r="R428" s="44"/>
      <c r="S428" s="9" t="str">
        <f aca="false">IF(N428&lt;&gt;"Y","",IF(R428&lt;&gt;"",R428,IF(Q428="(tanpa lawan)","Transfer antar rekening",IFERROR(INDEX(I_COA!$F$6:$F$265,MATCH(Q428,I_COA!$A$6:$A$265,0)),"?"))))</f>
        <v/>
      </c>
    </row>
    <row r="429" customFormat="false" ht="15" hidden="false" customHeight="false" outlineLevel="0" collapsed="false">
      <c r="A429" s="37" t="n">
        <v>46242</v>
      </c>
      <c r="B429" s="44" t="s">
        <v>966</v>
      </c>
      <c r="C429" s="44" t="s">
        <v>600</v>
      </c>
      <c r="D429" s="44" t="n">
        <v>1104003</v>
      </c>
      <c r="E429" s="44" t="s">
        <v>613</v>
      </c>
      <c r="F429" s="44" t="s">
        <v>967</v>
      </c>
      <c r="G429" s="42"/>
      <c r="H429" s="42" t="n">
        <v>36071674.09</v>
      </c>
      <c r="I429" s="44" t="s">
        <v>968</v>
      </c>
      <c r="J429" s="11" t="n">
        <f aca="false">IF(D429="","",N(G429)-N(H429))</f>
        <v>-36071674.09</v>
      </c>
      <c r="K429" s="34" t="str">
        <f aca="false">IF(D429="","",IFERROR(INDEX(I_COA!$C$6:$C$265,MATCH(D429,I_COA!$A$6:$A$265,0)),"AKUN BARU"))</f>
        <v>Neraca</v>
      </c>
      <c r="L429" s="34" t="str">
        <f aca="false">IF(K429="LabaRugi",INDEX(I_COA!$D$6:$D$265,MATCH(D429,I_COA!$A$6:$A$265,0)),"")</f>
        <v/>
      </c>
      <c r="M429" s="34" t="str">
        <f aca="false">IF(K429="Neraca",INDEX(I_COA!$E$6:$E$265,MATCH(D429,I_COA!$A$6:$A$265,0)),"")</f>
        <v>Inventory - Product</v>
      </c>
      <c r="N429" s="34" t="str">
        <f aca="false">IF(D429="","",IFERROR(INDEX(I_COA!$G$6:$G$265,MATCH(D429,I_COA!$A$6:$A$265,0)),"N"))</f>
        <v>N</v>
      </c>
      <c r="O429" s="11" t="n">
        <f aca="false">IF(N429="N",ABS(J429),"")</f>
        <v>36071674.09</v>
      </c>
      <c r="P429" s="18" t="str">
        <f aca="false">IF(N429="N",B429&amp;"|"&amp;ROUND(O429,0),"")</f>
        <v>KGR26.00224|36071674</v>
      </c>
      <c r="Q429" s="18" t="str">
        <f aca="false">IF(N429&lt;&gt;"Y","",IFERROR(INDEX($D$6:$D$4005,MATCH(B429&amp;"|"&amp;ROUND(_xlfn.MAXIFS($O$6:$O$4005,$B$6:$B$4005,B429,$N$6:$N$4005,"N"),0),$P$6:$P$4005,0)),"(tanpa lawan)"))</f>
        <v/>
      </c>
      <c r="R429" s="44"/>
      <c r="S429" s="9" t="str">
        <f aca="false">IF(N429&lt;&gt;"Y","",IF(R429&lt;&gt;"",R429,IF(Q429="(tanpa lawan)","Transfer antar rekening",IFERROR(INDEX(I_COA!$F$6:$F$265,MATCH(Q429,I_COA!$A$6:$A$265,0)),"?"))))</f>
        <v/>
      </c>
    </row>
    <row r="430" customFormat="false" ht="15" hidden="false" customHeight="false" outlineLevel="0" collapsed="false">
      <c r="A430" s="37" t="n">
        <v>46242</v>
      </c>
      <c r="B430" s="44" t="s">
        <v>969</v>
      </c>
      <c r="C430" s="44" t="s">
        <v>600</v>
      </c>
      <c r="D430" s="44" t="n">
        <v>1104002</v>
      </c>
      <c r="E430" s="44" t="s">
        <v>601</v>
      </c>
      <c r="F430" s="44" t="s">
        <v>970</v>
      </c>
      <c r="G430" s="42" t="n">
        <v>18939286.86</v>
      </c>
      <c r="H430" s="42"/>
      <c r="I430" s="44" t="s">
        <v>432</v>
      </c>
      <c r="J430" s="11" t="n">
        <f aca="false">IF(D430="","",N(G430)-N(H430))</f>
        <v>18939286.86</v>
      </c>
      <c r="K430" s="34" t="str">
        <f aca="false">IF(D430="","",IFERROR(INDEX(I_COA!$C$6:$C$265,MATCH(D430,I_COA!$A$6:$A$265,0)),"AKUN BARU"))</f>
        <v>Neraca</v>
      </c>
      <c r="L430" s="34" t="str">
        <f aca="false">IF(K430="LabaRugi",INDEX(I_COA!$D$6:$D$265,MATCH(D430,I_COA!$A$6:$A$265,0)),"")</f>
        <v/>
      </c>
      <c r="M430" s="34" t="str">
        <f aca="false">IF(K430="Neraca",INDEX(I_COA!$E$6:$E$265,MATCH(D430,I_COA!$A$6:$A$265,0)),"")</f>
        <v>Inventory - Product</v>
      </c>
      <c r="N430" s="34" t="str">
        <f aca="false">IF(D430="","",IFERROR(INDEX(I_COA!$G$6:$G$265,MATCH(D430,I_COA!$A$6:$A$265,0)),"N"))</f>
        <v>N</v>
      </c>
      <c r="O430" s="11" t="n">
        <f aca="false">IF(N430="N",ABS(J430),"")</f>
        <v>18939286.86</v>
      </c>
      <c r="P430" s="18" t="str">
        <f aca="false">IF(N430="N",B430&amp;"|"&amp;ROUND(O430,0),"")</f>
        <v>KGR26.00225|18939287</v>
      </c>
      <c r="Q430" s="18" t="str">
        <f aca="false">IF(N430&lt;&gt;"Y","",IFERROR(INDEX($D$6:$D$4005,MATCH(B430&amp;"|"&amp;ROUND(_xlfn.MAXIFS($O$6:$O$4005,$B$6:$B$4005,B430,$N$6:$N$4005,"N"),0),$P$6:$P$4005,0)),"(tanpa lawan)"))</f>
        <v/>
      </c>
      <c r="R430" s="44"/>
      <c r="S430" s="9" t="str">
        <f aca="false">IF(N430&lt;&gt;"Y","",IF(R430&lt;&gt;"",R430,IF(Q430="(tanpa lawan)","Transfer antar rekening",IFERROR(INDEX(I_COA!$F$6:$F$265,MATCH(Q430,I_COA!$A$6:$A$265,0)),"?"))))</f>
        <v/>
      </c>
    </row>
    <row r="431" customFormat="false" ht="15" hidden="false" customHeight="false" outlineLevel="0" collapsed="false">
      <c r="A431" s="37" t="n">
        <v>46242</v>
      </c>
      <c r="B431" s="44" t="s">
        <v>969</v>
      </c>
      <c r="C431" s="44" t="s">
        <v>600</v>
      </c>
      <c r="D431" s="44" t="n">
        <v>1104006</v>
      </c>
      <c r="E431" s="44" t="s">
        <v>212</v>
      </c>
      <c r="F431" s="44" t="s">
        <v>970</v>
      </c>
      <c r="G431" s="42"/>
      <c r="H431" s="42" t="n">
        <v>18939286.86</v>
      </c>
      <c r="I431" s="44" t="s">
        <v>432</v>
      </c>
      <c r="J431" s="11" t="n">
        <f aca="false">IF(D431="","",N(G431)-N(H431))</f>
        <v>-18939286.86</v>
      </c>
      <c r="K431" s="34" t="str">
        <f aca="false">IF(D431="","",IFERROR(INDEX(I_COA!$C$6:$C$265,MATCH(D431,I_COA!$A$6:$A$265,0)),"AKUN BARU"))</f>
        <v>Neraca</v>
      </c>
      <c r="L431" s="34" t="str">
        <f aca="false">IF(K431="LabaRugi",INDEX(I_COA!$D$6:$D$265,MATCH(D431,I_COA!$A$6:$A$265,0)),"")</f>
        <v/>
      </c>
      <c r="M431" s="34" t="str">
        <f aca="false">IF(K431="Neraca",INDEX(I_COA!$E$6:$E$265,MATCH(D431,I_COA!$A$6:$A$265,0)),"")</f>
        <v>Inventory - Trading</v>
      </c>
      <c r="N431" s="34" t="str">
        <f aca="false">IF(D431="","",IFERROR(INDEX(I_COA!$G$6:$G$265,MATCH(D431,I_COA!$A$6:$A$265,0)),"N"))</f>
        <v>N</v>
      </c>
      <c r="O431" s="11" t="n">
        <f aca="false">IF(N431="N",ABS(J431),"")</f>
        <v>18939286.86</v>
      </c>
      <c r="P431" s="18" t="str">
        <f aca="false">IF(N431="N",B431&amp;"|"&amp;ROUND(O431,0),"")</f>
        <v>KGR26.00225|18939287</v>
      </c>
      <c r="Q431" s="18" t="str">
        <f aca="false">IF(N431&lt;&gt;"Y","",IFERROR(INDEX($D$6:$D$4005,MATCH(B431&amp;"|"&amp;ROUND(_xlfn.MAXIFS($O$6:$O$4005,$B$6:$B$4005,B431,$N$6:$N$4005,"N"),0),$P$6:$P$4005,0)),"(tanpa lawan)"))</f>
        <v/>
      </c>
      <c r="R431" s="44"/>
      <c r="S431" s="9" t="str">
        <f aca="false">IF(N431&lt;&gt;"Y","",IF(R431&lt;&gt;"",R431,IF(Q431="(tanpa lawan)","Transfer antar rekening",IFERROR(INDEX(I_COA!$F$6:$F$265,MATCH(Q431,I_COA!$A$6:$A$265,0)),"?"))))</f>
        <v/>
      </c>
    </row>
    <row r="432" customFormat="false" ht="15" hidden="false" customHeight="false" outlineLevel="0" collapsed="false">
      <c r="A432" s="37" t="n">
        <v>46242</v>
      </c>
      <c r="B432" s="44" t="s">
        <v>971</v>
      </c>
      <c r="C432" s="44" t="s">
        <v>600</v>
      </c>
      <c r="D432" s="44" t="n">
        <v>1104002</v>
      </c>
      <c r="E432" s="44" t="s">
        <v>601</v>
      </c>
      <c r="F432" s="44" t="s">
        <v>972</v>
      </c>
      <c r="G432" s="42" t="n">
        <v>2277754.83</v>
      </c>
      <c r="H432" s="42"/>
      <c r="I432" s="44" t="s">
        <v>440</v>
      </c>
      <c r="J432" s="11" t="n">
        <f aca="false">IF(D432="","",N(G432)-N(H432))</f>
        <v>2277754.83</v>
      </c>
      <c r="K432" s="34" t="str">
        <f aca="false">IF(D432="","",IFERROR(INDEX(I_COA!$C$6:$C$265,MATCH(D432,I_COA!$A$6:$A$265,0)),"AKUN BARU"))</f>
        <v>Neraca</v>
      </c>
      <c r="L432" s="34" t="str">
        <f aca="false">IF(K432="LabaRugi",INDEX(I_COA!$D$6:$D$265,MATCH(D432,I_COA!$A$6:$A$265,0)),"")</f>
        <v/>
      </c>
      <c r="M432" s="34" t="str">
        <f aca="false">IF(K432="Neraca",INDEX(I_COA!$E$6:$E$265,MATCH(D432,I_COA!$A$6:$A$265,0)),"")</f>
        <v>Inventory - Product</v>
      </c>
      <c r="N432" s="34" t="str">
        <f aca="false">IF(D432="","",IFERROR(INDEX(I_COA!$G$6:$G$265,MATCH(D432,I_COA!$A$6:$A$265,0)),"N"))</f>
        <v>N</v>
      </c>
      <c r="O432" s="11" t="n">
        <f aca="false">IF(N432="N",ABS(J432),"")</f>
        <v>2277754.83</v>
      </c>
      <c r="P432" s="18" t="str">
        <f aca="false">IF(N432="N",B432&amp;"|"&amp;ROUND(O432,0),"")</f>
        <v>KGR26.00227|2277755</v>
      </c>
      <c r="Q432" s="18" t="str">
        <f aca="false">IF(N432&lt;&gt;"Y","",IFERROR(INDEX($D$6:$D$4005,MATCH(B432&amp;"|"&amp;ROUND(_xlfn.MAXIFS($O$6:$O$4005,$B$6:$B$4005,B432,$N$6:$N$4005,"N"),0),$P$6:$P$4005,0)),"(tanpa lawan)"))</f>
        <v/>
      </c>
      <c r="R432" s="44"/>
      <c r="S432" s="9" t="str">
        <f aca="false">IF(N432&lt;&gt;"Y","",IF(R432&lt;&gt;"",R432,IF(Q432="(tanpa lawan)","Transfer antar rekening",IFERROR(INDEX(I_COA!$F$6:$F$265,MATCH(Q432,I_COA!$A$6:$A$265,0)),"?"))))</f>
        <v/>
      </c>
    </row>
    <row r="433" customFormat="false" ht="15" hidden="false" customHeight="false" outlineLevel="0" collapsed="false">
      <c r="A433" s="37" t="n">
        <v>46242</v>
      </c>
      <c r="B433" s="44" t="s">
        <v>971</v>
      </c>
      <c r="C433" s="44" t="s">
        <v>600</v>
      </c>
      <c r="D433" s="44" t="n">
        <v>1104004</v>
      </c>
      <c r="E433" s="44" t="s">
        <v>917</v>
      </c>
      <c r="F433" s="44" t="s">
        <v>972</v>
      </c>
      <c r="G433" s="42"/>
      <c r="H433" s="42" t="n">
        <v>2277754.83</v>
      </c>
      <c r="I433" s="44" t="s">
        <v>440</v>
      </c>
      <c r="J433" s="11" t="n">
        <f aca="false">IF(D433="","",N(G433)-N(H433))</f>
        <v>-2277754.83</v>
      </c>
      <c r="K433" s="34" t="str">
        <f aca="false">IF(D433="","",IFERROR(INDEX(I_COA!$C$6:$C$265,MATCH(D433,I_COA!$A$6:$A$265,0)),"AKUN BARU"))</f>
        <v>Neraca</v>
      </c>
      <c r="L433" s="34" t="str">
        <f aca="false">IF(K433="LabaRugi",INDEX(I_COA!$D$6:$D$265,MATCH(D433,I_COA!$A$6:$A$265,0)),"")</f>
        <v/>
      </c>
      <c r="M433" s="34" t="str">
        <f aca="false">IF(K433="Neraca",INDEX(I_COA!$E$6:$E$265,MATCH(D433,I_COA!$A$6:$A$265,0)),"")</f>
        <v>Inventory - Product</v>
      </c>
      <c r="N433" s="34" t="str">
        <f aca="false">IF(D433="","",IFERROR(INDEX(I_COA!$G$6:$G$265,MATCH(D433,I_COA!$A$6:$A$265,0)),"N"))</f>
        <v>N</v>
      </c>
      <c r="O433" s="11" t="n">
        <f aca="false">IF(N433="N",ABS(J433),"")</f>
        <v>2277754.83</v>
      </c>
      <c r="P433" s="18" t="str">
        <f aca="false">IF(N433="N",B433&amp;"|"&amp;ROUND(O433,0),"")</f>
        <v>KGR26.00227|2277755</v>
      </c>
      <c r="Q433" s="18" t="str">
        <f aca="false">IF(N433&lt;&gt;"Y","",IFERROR(INDEX($D$6:$D$4005,MATCH(B433&amp;"|"&amp;ROUND(_xlfn.MAXIFS($O$6:$O$4005,$B$6:$B$4005,B433,$N$6:$N$4005,"N"),0),$P$6:$P$4005,0)),"(tanpa lawan)"))</f>
        <v/>
      </c>
      <c r="R433" s="44"/>
      <c r="S433" s="9" t="str">
        <f aca="false">IF(N433&lt;&gt;"Y","",IF(R433&lt;&gt;"",R433,IF(Q433="(tanpa lawan)","Transfer antar rekening",IFERROR(INDEX(I_COA!$F$6:$F$265,MATCH(Q433,I_COA!$A$6:$A$265,0)),"?"))))</f>
        <v/>
      </c>
    </row>
    <row r="434" customFormat="false" ht="15" hidden="false" customHeight="false" outlineLevel="0" collapsed="false">
      <c r="A434" s="37" t="n">
        <v>46242</v>
      </c>
      <c r="B434" s="44" t="s">
        <v>973</v>
      </c>
      <c r="C434" s="44" t="s">
        <v>600</v>
      </c>
      <c r="D434" s="44" t="n">
        <v>1104002</v>
      </c>
      <c r="E434" s="44" t="s">
        <v>601</v>
      </c>
      <c r="F434" s="44" t="s">
        <v>974</v>
      </c>
      <c r="G434" s="42" t="n">
        <v>2905006.4</v>
      </c>
      <c r="H434" s="42"/>
      <c r="I434" s="44" t="s">
        <v>440</v>
      </c>
      <c r="J434" s="11" t="n">
        <f aca="false">IF(D434="","",N(G434)-N(H434))</f>
        <v>2905006.4</v>
      </c>
      <c r="K434" s="34" t="str">
        <f aca="false">IF(D434="","",IFERROR(INDEX(I_COA!$C$6:$C$265,MATCH(D434,I_COA!$A$6:$A$265,0)),"AKUN BARU"))</f>
        <v>Neraca</v>
      </c>
      <c r="L434" s="34" t="str">
        <f aca="false">IF(K434="LabaRugi",INDEX(I_COA!$D$6:$D$265,MATCH(D434,I_COA!$A$6:$A$265,0)),"")</f>
        <v/>
      </c>
      <c r="M434" s="34" t="str">
        <f aca="false">IF(K434="Neraca",INDEX(I_COA!$E$6:$E$265,MATCH(D434,I_COA!$A$6:$A$265,0)),"")</f>
        <v>Inventory - Product</v>
      </c>
      <c r="N434" s="34" t="str">
        <f aca="false">IF(D434="","",IFERROR(INDEX(I_COA!$G$6:$G$265,MATCH(D434,I_COA!$A$6:$A$265,0)),"N"))</f>
        <v>N</v>
      </c>
      <c r="O434" s="11" t="n">
        <f aca="false">IF(N434="N",ABS(J434),"")</f>
        <v>2905006.4</v>
      </c>
      <c r="P434" s="18" t="str">
        <f aca="false">IF(N434="N",B434&amp;"|"&amp;ROUND(O434,0),"")</f>
        <v>KGR26.00228|2905006</v>
      </c>
      <c r="Q434" s="18" t="str">
        <f aca="false">IF(N434&lt;&gt;"Y","",IFERROR(INDEX($D$6:$D$4005,MATCH(B434&amp;"|"&amp;ROUND(_xlfn.MAXIFS($O$6:$O$4005,$B$6:$B$4005,B434,$N$6:$N$4005,"N"),0),$P$6:$P$4005,0)),"(tanpa lawan)"))</f>
        <v/>
      </c>
      <c r="R434" s="44"/>
      <c r="S434" s="9" t="str">
        <f aca="false">IF(N434&lt;&gt;"Y","",IF(R434&lt;&gt;"",R434,IF(Q434="(tanpa lawan)","Transfer antar rekening",IFERROR(INDEX(I_COA!$F$6:$F$265,MATCH(Q434,I_COA!$A$6:$A$265,0)),"?"))))</f>
        <v/>
      </c>
    </row>
    <row r="435" customFormat="false" ht="15" hidden="false" customHeight="false" outlineLevel="0" collapsed="false">
      <c r="A435" s="37" t="n">
        <v>46242</v>
      </c>
      <c r="B435" s="44" t="s">
        <v>973</v>
      </c>
      <c r="C435" s="44" t="s">
        <v>600</v>
      </c>
      <c r="D435" s="44" t="n">
        <v>1104004</v>
      </c>
      <c r="E435" s="44" t="s">
        <v>917</v>
      </c>
      <c r="F435" s="44" t="s">
        <v>974</v>
      </c>
      <c r="G435" s="42"/>
      <c r="H435" s="42" t="n">
        <v>2905006.4</v>
      </c>
      <c r="I435" s="44" t="s">
        <v>440</v>
      </c>
      <c r="J435" s="11" t="n">
        <f aca="false">IF(D435="","",N(G435)-N(H435))</f>
        <v>-2905006.4</v>
      </c>
      <c r="K435" s="34" t="str">
        <f aca="false">IF(D435="","",IFERROR(INDEX(I_COA!$C$6:$C$265,MATCH(D435,I_COA!$A$6:$A$265,0)),"AKUN BARU"))</f>
        <v>Neraca</v>
      </c>
      <c r="L435" s="34" t="str">
        <f aca="false">IF(K435="LabaRugi",INDEX(I_COA!$D$6:$D$265,MATCH(D435,I_COA!$A$6:$A$265,0)),"")</f>
        <v/>
      </c>
      <c r="M435" s="34" t="str">
        <f aca="false">IF(K435="Neraca",INDEX(I_COA!$E$6:$E$265,MATCH(D435,I_COA!$A$6:$A$265,0)),"")</f>
        <v>Inventory - Product</v>
      </c>
      <c r="N435" s="34" t="str">
        <f aca="false">IF(D435="","",IFERROR(INDEX(I_COA!$G$6:$G$265,MATCH(D435,I_COA!$A$6:$A$265,0)),"N"))</f>
        <v>N</v>
      </c>
      <c r="O435" s="11" t="n">
        <f aca="false">IF(N435="N",ABS(J435),"")</f>
        <v>2905006.4</v>
      </c>
      <c r="P435" s="18" t="str">
        <f aca="false">IF(N435="N",B435&amp;"|"&amp;ROUND(O435,0),"")</f>
        <v>KGR26.00228|2905006</v>
      </c>
      <c r="Q435" s="18" t="str">
        <f aca="false">IF(N435&lt;&gt;"Y","",IFERROR(INDEX($D$6:$D$4005,MATCH(B435&amp;"|"&amp;ROUND(_xlfn.MAXIFS($O$6:$O$4005,$B$6:$B$4005,B435,$N$6:$N$4005,"N"),0),$P$6:$P$4005,0)),"(tanpa lawan)"))</f>
        <v/>
      </c>
      <c r="R435" s="44"/>
      <c r="S435" s="9" t="str">
        <f aca="false">IF(N435&lt;&gt;"Y","",IF(R435&lt;&gt;"",R435,IF(Q435="(tanpa lawan)","Transfer antar rekening",IFERROR(INDEX(I_COA!$F$6:$F$265,MATCH(Q435,I_COA!$A$6:$A$265,0)),"?"))))</f>
        <v/>
      </c>
    </row>
    <row r="436" customFormat="false" ht="15" hidden="false" customHeight="false" outlineLevel="0" collapsed="false">
      <c r="A436" s="37" t="n">
        <v>46242</v>
      </c>
      <c r="B436" s="44" t="s">
        <v>975</v>
      </c>
      <c r="C436" s="44" t="s">
        <v>600</v>
      </c>
      <c r="D436" s="44" t="n">
        <v>1104002</v>
      </c>
      <c r="E436" s="44" t="s">
        <v>601</v>
      </c>
      <c r="F436" s="44" t="s">
        <v>976</v>
      </c>
      <c r="G436" s="42" t="n">
        <v>39981817.82</v>
      </c>
      <c r="H436" s="42"/>
      <c r="I436" s="44" t="s">
        <v>437</v>
      </c>
      <c r="J436" s="11" t="n">
        <f aca="false">IF(D436="","",N(G436)-N(H436))</f>
        <v>39981817.82</v>
      </c>
      <c r="K436" s="34" t="str">
        <f aca="false">IF(D436="","",IFERROR(INDEX(I_COA!$C$6:$C$265,MATCH(D436,I_COA!$A$6:$A$265,0)),"AKUN BARU"))</f>
        <v>Neraca</v>
      </c>
      <c r="L436" s="34" t="str">
        <f aca="false">IF(K436="LabaRugi",INDEX(I_COA!$D$6:$D$265,MATCH(D436,I_COA!$A$6:$A$265,0)),"")</f>
        <v/>
      </c>
      <c r="M436" s="34" t="str">
        <f aca="false">IF(K436="Neraca",INDEX(I_COA!$E$6:$E$265,MATCH(D436,I_COA!$A$6:$A$265,0)),"")</f>
        <v>Inventory - Product</v>
      </c>
      <c r="N436" s="34" t="str">
        <f aca="false">IF(D436="","",IFERROR(INDEX(I_COA!$G$6:$G$265,MATCH(D436,I_COA!$A$6:$A$265,0)),"N"))</f>
        <v>N</v>
      </c>
      <c r="O436" s="11" t="n">
        <f aca="false">IF(N436="N",ABS(J436),"")</f>
        <v>39981817.82</v>
      </c>
      <c r="P436" s="18" t="str">
        <f aca="false">IF(N436="N",B436&amp;"|"&amp;ROUND(O436,0),"")</f>
        <v>KGR26.00229|39981818</v>
      </c>
      <c r="Q436" s="18" t="str">
        <f aca="false">IF(N436&lt;&gt;"Y","",IFERROR(INDEX($D$6:$D$4005,MATCH(B436&amp;"|"&amp;ROUND(_xlfn.MAXIFS($O$6:$O$4005,$B$6:$B$4005,B436,$N$6:$N$4005,"N"),0),$P$6:$P$4005,0)),"(tanpa lawan)"))</f>
        <v/>
      </c>
      <c r="R436" s="44"/>
      <c r="S436" s="9" t="str">
        <f aca="false">IF(N436&lt;&gt;"Y","",IF(R436&lt;&gt;"",R436,IF(Q436="(tanpa lawan)","Transfer antar rekening",IFERROR(INDEX(I_COA!$F$6:$F$265,MATCH(Q436,I_COA!$A$6:$A$265,0)),"?"))))</f>
        <v/>
      </c>
    </row>
    <row r="437" customFormat="false" ht="15" hidden="false" customHeight="false" outlineLevel="0" collapsed="false">
      <c r="A437" s="37" t="n">
        <v>46242</v>
      </c>
      <c r="B437" s="44" t="s">
        <v>975</v>
      </c>
      <c r="C437" s="44" t="s">
        <v>600</v>
      </c>
      <c r="D437" s="44" t="n">
        <v>1104006</v>
      </c>
      <c r="E437" s="44" t="s">
        <v>212</v>
      </c>
      <c r="F437" s="44" t="s">
        <v>976</v>
      </c>
      <c r="G437" s="42"/>
      <c r="H437" s="42" t="n">
        <v>39981817.82</v>
      </c>
      <c r="I437" s="44" t="s">
        <v>437</v>
      </c>
      <c r="J437" s="11" t="n">
        <f aca="false">IF(D437="","",N(G437)-N(H437))</f>
        <v>-39981817.82</v>
      </c>
      <c r="K437" s="34" t="str">
        <f aca="false">IF(D437="","",IFERROR(INDEX(I_COA!$C$6:$C$265,MATCH(D437,I_COA!$A$6:$A$265,0)),"AKUN BARU"))</f>
        <v>Neraca</v>
      </c>
      <c r="L437" s="34" t="str">
        <f aca="false">IF(K437="LabaRugi",INDEX(I_COA!$D$6:$D$265,MATCH(D437,I_COA!$A$6:$A$265,0)),"")</f>
        <v/>
      </c>
      <c r="M437" s="34" t="str">
        <f aca="false">IF(K437="Neraca",INDEX(I_COA!$E$6:$E$265,MATCH(D437,I_COA!$A$6:$A$265,0)),"")</f>
        <v>Inventory - Trading</v>
      </c>
      <c r="N437" s="34" t="str">
        <f aca="false">IF(D437="","",IFERROR(INDEX(I_COA!$G$6:$G$265,MATCH(D437,I_COA!$A$6:$A$265,0)),"N"))</f>
        <v>N</v>
      </c>
      <c r="O437" s="11" t="n">
        <f aca="false">IF(N437="N",ABS(J437),"")</f>
        <v>39981817.82</v>
      </c>
      <c r="P437" s="18" t="str">
        <f aca="false">IF(N437="N",B437&amp;"|"&amp;ROUND(O437,0),"")</f>
        <v>KGR26.00229|39981818</v>
      </c>
      <c r="Q437" s="18" t="str">
        <f aca="false">IF(N437&lt;&gt;"Y","",IFERROR(INDEX($D$6:$D$4005,MATCH(B437&amp;"|"&amp;ROUND(_xlfn.MAXIFS($O$6:$O$4005,$B$6:$B$4005,B437,$N$6:$N$4005,"N"),0),$P$6:$P$4005,0)),"(tanpa lawan)"))</f>
        <v/>
      </c>
      <c r="R437" s="44"/>
      <c r="S437" s="9" t="str">
        <f aca="false">IF(N437&lt;&gt;"Y","",IF(R437&lt;&gt;"",R437,IF(Q437="(tanpa lawan)","Transfer antar rekening",IFERROR(INDEX(I_COA!$F$6:$F$265,MATCH(Q437,I_COA!$A$6:$A$265,0)),"?"))))</f>
        <v/>
      </c>
    </row>
    <row r="438" customFormat="false" ht="15" hidden="false" customHeight="false" outlineLevel="0" collapsed="false">
      <c r="A438" s="37" t="n">
        <v>46242</v>
      </c>
      <c r="B438" s="44" t="s">
        <v>977</v>
      </c>
      <c r="C438" s="44" t="s">
        <v>600</v>
      </c>
      <c r="D438" s="44" t="n">
        <v>1104002</v>
      </c>
      <c r="E438" s="44" t="s">
        <v>601</v>
      </c>
      <c r="F438" s="44" t="s">
        <v>978</v>
      </c>
      <c r="G438" s="42" t="n">
        <v>866867.63</v>
      </c>
      <c r="H438" s="42"/>
      <c r="I438" s="44" t="s">
        <v>603</v>
      </c>
      <c r="J438" s="11" t="n">
        <f aca="false">IF(D438="","",N(G438)-N(H438))</f>
        <v>866867.63</v>
      </c>
      <c r="K438" s="34" t="str">
        <f aca="false">IF(D438="","",IFERROR(INDEX(I_COA!$C$6:$C$265,MATCH(D438,I_COA!$A$6:$A$265,0)),"AKUN BARU"))</f>
        <v>Neraca</v>
      </c>
      <c r="L438" s="34" t="str">
        <f aca="false">IF(K438="LabaRugi",INDEX(I_COA!$D$6:$D$265,MATCH(D438,I_COA!$A$6:$A$265,0)),"")</f>
        <v/>
      </c>
      <c r="M438" s="34" t="str">
        <f aca="false">IF(K438="Neraca",INDEX(I_COA!$E$6:$E$265,MATCH(D438,I_COA!$A$6:$A$265,0)),"")</f>
        <v>Inventory - Product</v>
      </c>
      <c r="N438" s="34" t="str">
        <f aca="false">IF(D438="","",IFERROR(INDEX(I_COA!$G$6:$G$265,MATCH(D438,I_COA!$A$6:$A$265,0)),"N"))</f>
        <v>N</v>
      </c>
      <c r="O438" s="11" t="n">
        <f aca="false">IF(N438="N",ABS(J438),"")</f>
        <v>866867.63</v>
      </c>
      <c r="P438" s="18" t="str">
        <f aca="false">IF(N438="N",B438&amp;"|"&amp;ROUND(O438,0),"")</f>
        <v>KGR26.00230|866868</v>
      </c>
      <c r="Q438" s="18" t="str">
        <f aca="false">IF(N438&lt;&gt;"Y","",IFERROR(INDEX($D$6:$D$4005,MATCH(B438&amp;"|"&amp;ROUND(_xlfn.MAXIFS($O$6:$O$4005,$B$6:$B$4005,B438,$N$6:$N$4005,"N"),0),$P$6:$P$4005,0)),"(tanpa lawan)"))</f>
        <v/>
      </c>
      <c r="R438" s="44"/>
      <c r="S438" s="9" t="str">
        <f aca="false">IF(N438&lt;&gt;"Y","",IF(R438&lt;&gt;"",R438,IF(Q438="(tanpa lawan)","Transfer antar rekening",IFERROR(INDEX(I_COA!$F$6:$F$265,MATCH(Q438,I_COA!$A$6:$A$265,0)),"?"))))</f>
        <v/>
      </c>
    </row>
    <row r="439" customFormat="false" ht="15" hidden="false" customHeight="false" outlineLevel="0" collapsed="false">
      <c r="A439" s="37" t="n">
        <v>46242</v>
      </c>
      <c r="B439" s="44" t="s">
        <v>977</v>
      </c>
      <c r="C439" s="44" t="s">
        <v>600</v>
      </c>
      <c r="D439" s="44" t="n">
        <v>1104006</v>
      </c>
      <c r="E439" s="44" t="s">
        <v>212</v>
      </c>
      <c r="F439" s="44" t="s">
        <v>978</v>
      </c>
      <c r="G439" s="42"/>
      <c r="H439" s="42" t="n">
        <v>866867.63</v>
      </c>
      <c r="I439" s="44" t="s">
        <v>603</v>
      </c>
      <c r="J439" s="11" t="n">
        <f aca="false">IF(D439="","",N(G439)-N(H439))</f>
        <v>-866867.63</v>
      </c>
      <c r="K439" s="34" t="str">
        <f aca="false">IF(D439="","",IFERROR(INDEX(I_COA!$C$6:$C$265,MATCH(D439,I_COA!$A$6:$A$265,0)),"AKUN BARU"))</f>
        <v>Neraca</v>
      </c>
      <c r="L439" s="34" t="str">
        <f aca="false">IF(K439="LabaRugi",INDEX(I_COA!$D$6:$D$265,MATCH(D439,I_COA!$A$6:$A$265,0)),"")</f>
        <v/>
      </c>
      <c r="M439" s="34" t="str">
        <f aca="false">IF(K439="Neraca",INDEX(I_COA!$E$6:$E$265,MATCH(D439,I_COA!$A$6:$A$265,0)),"")</f>
        <v>Inventory - Trading</v>
      </c>
      <c r="N439" s="34" t="str">
        <f aca="false">IF(D439="","",IFERROR(INDEX(I_COA!$G$6:$G$265,MATCH(D439,I_COA!$A$6:$A$265,0)),"N"))</f>
        <v>N</v>
      </c>
      <c r="O439" s="11" t="n">
        <f aca="false">IF(N439="N",ABS(J439),"")</f>
        <v>866867.63</v>
      </c>
      <c r="P439" s="18" t="str">
        <f aca="false">IF(N439="N",B439&amp;"|"&amp;ROUND(O439,0),"")</f>
        <v>KGR26.00230|866868</v>
      </c>
      <c r="Q439" s="18" t="str">
        <f aca="false">IF(N439&lt;&gt;"Y","",IFERROR(INDEX($D$6:$D$4005,MATCH(B439&amp;"|"&amp;ROUND(_xlfn.MAXIFS($O$6:$O$4005,$B$6:$B$4005,B439,$N$6:$N$4005,"N"),0),$P$6:$P$4005,0)),"(tanpa lawan)"))</f>
        <v/>
      </c>
      <c r="R439" s="44"/>
      <c r="S439" s="9" t="str">
        <f aca="false">IF(N439&lt;&gt;"Y","",IF(R439&lt;&gt;"",R439,IF(Q439="(tanpa lawan)","Transfer antar rekening",IFERROR(INDEX(I_COA!$F$6:$F$265,MATCH(Q439,I_COA!$A$6:$A$265,0)),"?"))))</f>
        <v/>
      </c>
    </row>
    <row r="440" customFormat="false" ht="15" hidden="false" customHeight="false" outlineLevel="0" collapsed="false">
      <c r="A440" s="37" t="n">
        <v>46242</v>
      </c>
      <c r="B440" s="44" t="s">
        <v>979</v>
      </c>
      <c r="C440" s="44" t="s">
        <v>617</v>
      </c>
      <c r="D440" s="44" t="n">
        <v>1103101</v>
      </c>
      <c r="E440" s="44" t="s">
        <v>589</v>
      </c>
      <c r="F440" s="44" t="s">
        <v>980</v>
      </c>
      <c r="G440" s="42" t="n">
        <v>33406350</v>
      </c>
      <c r="H440" s="42"/>
      <c r="I440" s="44" t="s">
        <v>968</v>
      </c>
      <c r="J440" s="11" t="n">
        <f aca="false">IF(D440="","",N(G440)-N(H440))</f>
        <v>33406350</v>
      </c>
      <c r="K440" s="34" t="str">
        <f aca="false">IF(D440="","",IFERROR(INDEX(I_COA!$C$6:$C$265,MATCH(D440,I_COA!$A$6:$A$265,0)),"AKUN BARU"))</f>
        <v>Neraca</v>
      </c>
      <c r="L440" s="34" t="str">
        <f aca="false">IF(K440="LabaRugi",INDEX(I_COA!$D$6:$D$265,MATCH(D440,I_COA!$A$6:$A$265,0)),"")</f>
        <v/>
      </c>
      <c r="M440" s="34" t="str">
        <f aca="false">IF(K440="Neraca",INDEX(I_COA!$E$6:$E$265,MATCH(D440,I_COA!$A$6:$A$265,0)),"")</f>
        <v>Trade Receivables - Third Parties</v>
      </c>
      <c r="N440" s="34" t="str">
        <f aca="false">IF(D440="","",IFERROR(INDEX(I_COA!$G$6:$G$265,MATCH(D440,I_COA!$A$6:$A$265,0)),"N"))</f>
        <v>N</v>
      </c>
      <c r="O440" s="11" t="n">
        <f aca="false">IF(N440="N",ABS(J440),"")</f>
        <v>33406350</v>
      </c>
      <c r="P440" s="18" t="str">
        <f aca="false">IF(N440="N",B440&amp;"|"&amp;ROUND(O440,0),"")</f>
        <v>KGR26/0224|33406350</v>
      </c>
      <c r="Q440" s="18" t="str">
        <f aca="false">IF(N440&lt;&gt;"Y","",IFERROR(INDEX($D$6:$D$4005,MATCH(B440&amp;"|"&amp;ROUND(_xlfn.MAXIFS($O$6:$O$4005,$B$6:$B$4005,B440,$N$6:$N$4005,"N"),0),$P$6:$P$4005,0)),"(tanpa lawan)"))</f>
        <v/>
      </c>
      <c r="R440" s="44"/>
      <c r="S440" s="9" t="str">
        <f aca="false">IF(N440&lt;&gt;"Y","",IF(R440&lt;&gt;"",R440,IF(Q440="(tanpa lawan)","Transfer antar rekening",IFERROR(INDEX(I_COA!$F$6:$F$265,MATCH(Q440,I_COA!$A$6:$A$265,0)),"?"))))</f>
        <v/>
      </c>
    </row>
    <row r="441" customFormat="false" ht="15" hidden="false" customHeight="false" outlineLevel="0" collapsed="false">
      <c r="A441" s="37" t="n">
        <v>46242</v>
      </c>
      <c r="B441" s="44" t="s">
        <v>979</v>
      </c>
      <c r="C441" s="44" t="s">
        <v>617</v>
      </c>
      <c r="D441" s="44" t="n">
        <v>4101006</v>
      </c>
      <c r="E441" s="44" t="s">
        <v>626</v>
      </c>
      <c r="F441" s="44" t="s">
        <v>980</v>
      </c>
      <c r="G441" s="42"/>
      <c r="H441" s="42" t="n">
        <v>33406350</v>
      </c>
      <c r="I441" s="44" t="s">
        <v>968</v>
      </c>
      <c r="J441" s="11" t="n">
        <f aca="false">IF(D441="","",N(G441)-N(H441))</f>
        <v>-33406350</v>
      </c>
      <c r="K441" s="34" t="str">
        <f aca="false">IF(D441="","",IFERROR(INDEX(I_COA!$C$6:$C$265,MATCH(D441,I_COA!$A$6:$A$265,0)),"AKUN BARU"))</f>
        <v>LabaRugi</v>
      </c>
      <c r="L441" s="34" t="str">
        <f aca="false">IF(K441="LabaRugi",INDEX(I_COA!$D$6:$D$265,MATCH(D441,I_COA!$A$6:$A$265,0)),"")</f>
        <v>Revenue - LB Main Product</v>
      </c>
      <c r="M441" s="34" t="str">
        <f aca="false">IF(K441="Neraca",INDEX(I_COA!$E$6:$E$265,MATCH(D441,I_COA!$A$6:$A$265,0)),"")</f>
        <v/>
      </c>
      <c r="N441" s="34" t="str">
        <f aca="false">IF(D441="","",IFERROR(INDEX(I_COA!$G$6:$G$265,MATCH(D441,I_COA!$A$6:$A$265,0)),"N"))</f>
        <v>N</v>
      </c>
      <c r="O441" s="11" t="n">
        <f aca="false">IF(N441="N",ABS(J441),"")</f>
        <v>33406350</v>
      </c>
      <c r="P441" s="18" t="str">
        <f aca="false">IF(N441="N",B441&amp;"|"&amp;ROUND(O441,0),"")</f>
        <v>KGR26/0224|33406350</v>
      </c>
      <c r="Q441" s="18" t="str">
        <f aca="false">IF(N441&lt;&gt;"Y","",IFERROR(INDEX($D$6:$D$4005,MATCH(B441&amp;"|"&amp;ROUND(_xlfn.MAXIFS($O$6:$O$4005,$B$6:$B$4005,B441,$N$6:$N$4005,"N"),0),$P$6:$P$4005,0)),"(tanpa lawan)"))</f>
        <v/>
      </c>
      <c r="R441" s="44"/>
      <c r="S441" s="9" t="str">
        <f aca="false">IF(N441&lt;&gt;"Y","",IF(R441&lt;&gt;"",R441,IF(Q441="(tanpa lawan)","Transfer antar rekening",IFERROR(INDEX(I_COA!$F$6:$F$265,MATCH(Q441,I_COA!$A$6:$A$265,0)),"?"))))</f>
        <v/>
      </c>
    </row>
    <row r="442" customFormat="false" ht="15" hidden="false" customHeight="false" outlineLevel="0" collapsed="false">
      <c r="A442" s="37" t="n">
        <v>46242</v>
      </c>
      <c r="B442" s="44" t="s">
        <v>979</v>
      </c>
      <c r="C442" s="44" t="s">
        <v>617</v>
      </c>
      <c r="D442" s="44" t="n">
        <v>5100004</v>
      </c>
      <c r="E442" s="44" t="s">
        <v>627</v>
      </c>
      <c r="F442" s="44" t="s">
        <v>980</v>
      </c>
      <c r="G442" s="42" t="n">
        <v>36071674.09</v>
      </c>
      <c r="H442" s="42"/>
      <c r="I442" s="44" t="s">
        <v>968</v>
      </c>
      <c r="J442" s="11" t="n">
        <f aca="false">IF(D442="","",N(G442)-N(H442))</f>
        <v>36071674.09</v>
      </c>
      <c r="K442" s="34" t="str">
        <f aca="false">IF(D442="","",IFERROR(INDEX(I_COA!$C$6:$C$265,MATCH(D442,I_COA!$A$6:$A$265,0)),"AKUN BARU"))</f>
        <v>LabaRugi</v>
      </c>
      <c r="L442" s="34" t="str">
        <f aca="false">IF(K442="LabaRugi",INDEX(I_COA!$D$6:$D$265,MATCH(D442,I_COA!$A$6:$A$265,0)),"")</f>
        <v>COGS - Live Bird</v>
      </c>
      <c r="M442" s="34" t="str">
        <f aca="false">IF(K442="Neraca",INDEX(I_COA!$E$6:$E$265,MATCH(D442,I_COA!$A$6:$A$265,0)),"")</f>
        <v/>
      </c>
      <c r="N442" s="34" t="str">
        <f aca="false">IF(D442="","",IFERROR(INDEX(I_COA!$G$6:$G$265,MATCH(D442,I_COA!$A$6:$A$265,0)),"N"))</f>
        <v>N</v>
      </c>
      <c r="O442" s="11" t="n">
        <f aca="false">IF(N442="N",ABS(J442),"")</f>
        <v>36071674.09</v>
      </c>
      <c r="P442" s="18" t="str">
        <f aca="false">IF(N442="N",B442&amp;"|"&amp;ROUND(O442,0),"")</f>
        <v>KGR26/0224|36071674</v>
      </c>
      <c r="Q442" s="18" t="str">
        <f aca="false">IF(N442&lt;&gt;"Y","",IFERROR(INDEX($D$6:$D$4005,MATCH(B442&amp;"|"&amp;ROUND(_xlfn.MAXIFS($O$6:$O$4005,$B$6:$B$4005,B442,$N$6:$N$4005,"N"),0),$P$6:$P$4005,0)),"(tanpa lawan)"))</f>
        <v/>
      </c>
      <c r="R442" s="44"/>
      <c r="S442" s="9" t="str">
        <f aca="false">IF(N442&lt;&gt;"Y","",IF(R442&lt;&gt;"",R442,IF(Q442="(tanpa lawan)","Transfer antar rekening",IFERROR(INDEX(I_COA!$F$6:$F$265,MATCH(Q442,I_COA!$A$6:$A$265,0)),"?"))))</f>
        <v/>
      </c>
    </row>
    <row r="443" customFormat="false" ht="15" hidden="false" customHeight="false" outlineLevel="0" collapsed="false">
      <c r="A443" s="37" t="n">
        <v>46242</v>
      </c>
      <c r="B443" s="44" t="s">
        <v>979</v>
      </c>
      <c r="C443" s="44" t="s">
        <v>617</v>
      </c>
      <c r="D443" s="44" t="n">
        <v>1104002</v>
      </c>
      <c r="E443" s="44" t="s">
        <v>601</v>
      </c>
      <c r="F443" s="44" t="s">
        <v>980</v>
      </c>
      <c r="G443" s="42"/>
      <c r="H443" s="42" t="n">
        <v>36071674.09</v>
      </c>
      <c r="I443" s="44" t="s">
        <v>968</v>
      </c>
      <c r="J443" s="11" t="n">
        <f aca="false">IF(D443="","",N(G443)-N(H443))</f>
        <v>-36071674.09</v>
      </c>
      <c r="K443" s="34" t="str">
        <f aca="false">IF(D443="","",IFERROR(INDEX(I_COA!$C$6:$C$265,MATCH(D443,I_COA!$A$6:$A$265,0)),"AKUN BARU"))</f>
        <v>Neraca</v>
      </c>
      <c r="L443" s="34" t="str">
        <f aca="false">IF(K443="LabaRugi",INDEX(I_COA!$D$6:$D$265,MATCH(D443,I_COA!$A$6:$A$265,0)),"")</f>
        <v/>
      </c>
      <c r="M443" s="34" t="str">
        <f aca="false">IF(K443="Neraca",INDEX(I_COA!$E$6:$E$265,MATCH(D443,I_COA!$A$6:$A$265,0)),"")</f>
        <v>Inventory - Product</v>
      </c>
      <c r="N443" s="34" t="str">
        <f aca="false">IF(D443="","",IFERROR(INDEX(I_COA!$G$6:$G$265,MATCH(D443,I_COA!$A$6:$A$265,0)),"N"))</f>
        <v>N</v>
      </c>
      <c r="O443" s="11" t="n">
        <f aca="false">IF(N443="N",ABS(J443),"")</f>
        <v>36071674.09</v>
      </c>
      <c r="P443" s="18" t="str">
        <f aca="false">IF(N443="N",B443&amp;"|"&amp;ROUND(O443,0),"")</f>
        <v>KGR26/0224|36071674</v>
      </c>
      <c r="Q443" s="18" t="str">
        <f aca="false">IF(N443&lt;&gt;"Y","",IFERROR(INDEX($D$6:$D$4005,MATCH(B443&amp;"|"&amp;ROUND(_xlfn.MAXIFS($O$6:$O$4005,$B$6:$B$4005,B443,$N$6:$N$4005,"N"),0),$P$6:$P$4005,0)),"(tanpa lawan)"))</f>
        <v/>
      </c>
      <c r="R443" s="44"/>
      <c r="S443" s="9" t="str">
        <f aca="false">IF(N443&lt;&gt;"Y","",IF(R443&lt;&gt;"",R443,IF(Q443="(tanpa lawan)","Transfer antar rekening",IFERROR(INDEX(I_COA!$F$6:$F$265,MATCH(Q443,I_COA!$A$6:$A$265,0)),"?"))))</f>
        <v/>
      </c>
    </row>
    <row r="444" customFormat="false" ht="15" hidden="false" customHeight="false" outlineLevel="0" collapsed="false">
      <c r="A444" s="37" t="n">
        <v>46242</v>
      </c>
      <c r="B444" s="44" t="s">
        <v>981</v>
      </c>
      <c r="C444" s="44" t="s">
        <v>617</v>
      </c>
      <c r="D444" s="44" t="n">
        <v>1103101</v>
      </c>
      <c r="E444" s="44" t="s">
        <v>589</v>
      </c>
      <c r="F444" s="44" t="s">
        <v>982</v>
      </c>
      <c r="G444" s="42" t="n">
        <v>19338000</v>
      </c>
      <c r="H444" s="42"/>
      <c r="I444" s="44" t="s">
        <v>432</v>
      </c>
      <c r="J444" s="11" t="n">
        <f aca="false">IF(D444="","",N(G444)-N(H444))</f>
        <v>19338000</v>
      </c>
      <c r="K444" s="34" t="str">
        <f aca="false">IF(D444="","",IFERROR(INDEX(I_COA!$C$6:$C$265,MATCH(D444,I_COA!$A$6:$A$265,0)),"AKUN BARU"))</f>
        <v>Neraca</v>
      </c>
      <c r="L444" s="34" t="str">
        <f aca="false">IF(K444="LabaRugi",INDEX(I_COA!$D$6:$D$265,MATCH(D444,I_COA!$A$6:$A$265,0)),"")</f>
        <v/>
      </c>
      <c r="M444" s="34" t="str">
        <f aca="false">IF(K444="Neraca",INDEX(I_COA!$E$6:$E$265,MATCH(D444,I_COA!$A$6:$A$265,0)),"")</f>
        <v>Trade Receivables - Third Parties</v>
      </c>
      <c r="N444" s="34" t="str">
        <f aca="false">IF(D444="","",IFERROR(INDEX(I_COA!$G$6:$G$265,MATCH(D444,I_COA!$A$6:$A$265,0)),"N"))</f>
        <v>N</v>
      </c>
      <c r="O444" s="11" t="n">
        <f aca="false">IF(N444="N",ABS(J444),"")</f>
        <v>19338000</v>
      </c>
      <c r="P444" s="18" t="str">
        <f aca="false">IF(N444="N",B444&amp;"|"&amp;ROUND(O444,0),"")</f>
        <v>KGR26/0225|19338000</v>
      </c>
      <c r="Q444" s="18" t="str">
        <f aca="false">IF(N444&lt;&gt;"Y","",IFERROR(INDEX($D$6:$D$4005,MATCH(B444&amp;"|"&amp;ROUND(_xlfn.MAXIFS($O$6:$O$4005,$B$6:$B$4005,B444,$N$6:$N$4005,"N"),0),$P$6:$P$4005,0)),"(tanpa lawan)"))</f>
        <v/>
      </c>
      <c r="R444" s="44"/>
      <c r="S444" s="9" t="str">
        <f aca="false">IF(N444&lt;&gt;"Y","",IF(R444&lt;&gt;"",R444,IF(Q444="(tanpa lawan)","Transfer antar rekening",IFERROR(INDEX(I_COA!$F$6:$F$265,MATCH(Q444,I_COA!$A$6:$A$265,0)),"?"))))</f>
        <v/>
      </c>
    </row>
    <row r="445" customFormat="false" ht="15" hidden="false" customHeight="false" outlineLevel="0" collapsed="false">
      <c r="A445" s="37" t="n">
        <v>46242</v>
      </c>
      <c r="B445" s="44" t="s">
        <v>981</v>
      </c>
      <c r="C445" s="44" t="s">
        <v>617</v>
      </c>
      <c r="D445" s="44" t="n">
        <v>4101012</v>
      </c>
      <c r="E445" s="44" t="s">
        <v>619</v>
      </c>
      <c r="F445" s="44" t="s">
        <v>982</v>
      </c>
      <c r="G445" s="42"/>
      <c r="H445" s="42" t="n">
        <v>19338000</v>
      </c>
      <c r="I445" s="44" t="s">
        <v>432</v>
      </c>
      <c r="J445" s="11" t="n">
        <f aca="false">IF(D445="","",N(G445)-N(H445))</f>
        <v>-19338000</v>
      </c>
      <c r="K445" s="34" t="str">
        <f aca="false">IF(D445="","",IFERROR(INDEX(I_COA!$C$6:$C$265,MATCH(D445,I_COA!$A$6:$A$265,0)),"AKUN BARU"))</f>
        <v>LabaRugi</v>
      </c>
      <c r="L445" s="34" t="str">
        <f aca="false">IF(K445="LabaRugi",INDEX(I_COA!$D$6:$D$265,MATCH(D445,I_COA!$A$6:$A$265,0)),"")</f>
        <v>Revenue - Trading</v>
      </c>
      <c r="M445" s="34" t="str">
        <f aca="false">IF(K445="Neraca",INDEX(I_COA!$E$6:$E$265,MATCH(D445,I_COA!$A$6:$A$265,0)),"")</f>
        <v/>
      </c>
      <c r="N445" s="34" t="str">
        <f aca="false">IF(D445="","",IFERROR(INDEX(I_COA!$G$6:$G$265,MATCH(D445,I_COA!$A$6:$A$265,0)),"N"))</f>
        <v>N</v>
      </c>
      <c r="O445" s="11" t="n">
        <f aca="false">IF(N445="N",ABS(J445),"")</f>
        <v>19338000</v>
      </c>
      <c r="P445" s="18" t="str">
        <f aca="false">IF(N445="N",B445&amp;"|"&amp;ROUND(O445,0),"")</f>
        <v>KGR26/0225|19338000</v>
      </c>
      <c r="Q445" s="18" t="str">
        <f aca="false">IF(N445&lt;&gt;"Y","",IFERROR(INDEX($D$6:$D$4005,MATCH(B445&amp;"|"&amp;ROUND(_xlfn.MAXIFS($O$6:$O$4005,$B$6:$B$4005,B445,$N$6:$N$4005,"N"),0),$P$6:$P$4005,0)),"(tanpa lawan)"))</f>
        <v/>
      </c>
      <c r="R445" s="44"/>
      <c r="S445" s="9" t="str">
        <f aca="false">IF(N445&lt;&gt;"Y","",IF(R445&lt;&gt;"",R445,IF(Q445="(tanpa lawan)","Transfer antar rekening",IFERROR(INDEX(I_COA!$F$6:$F$265,MATCH(Q445,I_COA!$A$6:$A$265,0)),"?"))))</f>
        <v/>
      </c>
    </row>
    <row r="446" customFormat="false" ht="15" hidden="false" customHeight="false" outlineLevel="0" collapsed="false">
      <c r="A446" s="37" t="n">
        <v>46242</v>
      </c>
      <c r="B446" s="44" t="s">
        <v>981</v>
      </c>
      <c r="C446" s="44" t="s">
        <v>617</v>
      </c>
      <c r="D446" s="44" t="n">
        <v>5100011</v>
      </c>
      <c r="E446" s="44" t="s">
        <v>166</v>
      </c>
      <c r="F446" s="44" t="s">
        <v>982</v>
      </c>
      <c r="G446" s="42" t="n">
        <v>18939286.86</v>
      </c>
      <c r="H446" s="42"/>
      <c r="I446" s="44" t="s">
        <v>432</v>
      </c>
      <c r="J446" s="11" t="n">
        <f aca="false">IF(D446="","",N(G446)-N(H446))</f>
        <v>18939286.86</v>
      </c>
      <c r="K446" s="34" t="str">
        <f aca="false">IF(D446="","",IFERROR(INDEX(I_COA!$C$6:$C$265,MATCH(D446,I_COA!$A$6:$A$265,0)),"AKUN BARU"))</f>
        <v>LabaRugi</v>
      </c>
      <c r="L446" s="34" t="str">
        <f aca="false">IF(K446="LabaRugi",INDEX(I_COA!$D$6:$D$265,MATCH(D446,I_COA!$A$6:$A$265,0)),"")</f>
        <v>COGS - Trading</v>
      </c>
      <c r="M446" s="34" t="str">
        <f aca="false">IF(K446="Neraca",INDEX(I_COA!$E$6:$E$265,MATCH(D446,I_COA!$A$6:$A$265,0)),"")</f>
        <v/>
      </c>
      <c r="N446" s="34" t="str">
        <f aca="false">IF(D446="","",IFERROR(INDEX(I_COA!$G$6:$G$265,MATCH(D446,I_COA!$A$6:$A$265,0)),"N"))</f>
        <v>N</v>
      </c>
      <c r="O446" s="11" t="n">
        <f aca="false">IF(N446="N",ABS(J446),"")</f>
        <v>18939286.86</v>
      </c>
      <c r="P446" s="18" t="str">
        <f aca="false">IF(N446="N",B446&amp;"|"&amp;ROUND(O446,0),"")</f>
        <v>KGR26/0225|18939287</v>
      </c>
      <c r="Q446" s="18" t="str">
        <f aca="false">IF(N446&lt;&gt;"Y","",IFERROR(INDEX($D$6:$D$4005,MATCH(B446&amp;"|"&amp;ROUND(_xlfn.MAXIFS($O$6:$O$4005,$B$6:$B$4005,B446,$N$6:$N$4005,"N"),0),$P$6:$P$4005,0)),"(tanpa lawan)"))</f>
        <v/>
      </c>
      <c r="R446" s="44"/>
      <c r="S446" s="9" t="str">
        <f aca="false">IF(N446&lt;&gt;"Y","",IF(R446&lt;&gt;"",R446,IF(Q446="(tanpa lawan)","Transfer antar rekening",IFERROR(INDEX(I_COA!$F$6:$F$265,MATCH(Q446,I_COA!$A$6:$A$265,0)),"?"))))</f>
        <v/>
      </c>
    </row>
    <row r="447" customFormat="false" ht="15" hidden="false" customHeight="false" outlineLevel="0" collapsed="false">
      <c r="A447" s="37" t="n">
        <v>46242</v>
      </c>
      <c r="B447" s="44" t="s">
        <v>981</v>
      </c>
      <c r="C447" s="44" t="s">
        <v>617</v>
      </c>
      <c r="D447" s="44" t="n">
        <v>1104002</v>
      </c>
      <c r="E447" s="44" t="s">
        <v>601</v>
      </c>
      <c r="F447" s="44" t="s">
        <v>982</v>
      </c>
      <c r="G447" s="42"/>
      <c r="H447" s="42" t="n">
        <v>18939286.86</v>
      </c>
      <c r="I447" s="44" t="s">
        <v>432</v>
      </c>
      <c r="J447" s="11" t="n">
        <f aca="false">IF(D447="","",N(G447)-N(H447))</f>
        <v>-18939286.86</v>
      </c>
      <c r="K447" s="34" t="str">
        <f aca="false">IF(D447="","",IFERROR(INDEX(I_COA!$C$6:$C$265,MATCH(D447,I_COA!$A$6:$A$265,0)),"AKUN BARU"))</f>
        <v>Neraca</v>
      </c>
      <c r="L447" s="34" t="str">
        <f aca="false">IF(K447="LabaRugi",INDEX(I_COA!$D$6:$D$265,MATCH(D447,I_COA!$A$6:$A$265,0)),"")</f>
        <v/>
      </c>
      <c r="M447" s="34" t="str">
        <f aca="false">IF(K447="Neraca",INDEX(I_COA!$E$6:$E$265,MATCH(D447,I_COA!$A$6:$A$265,0)),"")</f>
        <v>Inventory - Product</v>
      </c>
      <c r="N447" s="34" t="str">
        <f aca="false">IF(D447="","",IFERROR(INDEX(I_COA!$G$6:$G$265,MATCH(D447,I_COA!$A$6:$A$265,0)),"N"))</f>
        <v>N</v>
      </c>
      <c r="O447" s="11" t="n">
        <f aca="false">IF(N447="N",ABS(J447),"")</f>
        <v>18939286.86</v>
      </c>
      <c r="P447" s="18" t="str">
        <f aca="false">IF(N447="N",B447&amp;"|"&amp;ROUND(O447,0),"")</f>
        <v>KGR26/0225|18939287</v>
      </c>
      <c r="Q447" s="18" t="str">
        <f aca="false">IF(N447&lt;&gt;"Y","",IFERROR(INDEX($D$6:$D$4005,MATCH(B447&amp;"|"&amp;ROUND(_xlfn.MAXIFS($O$6:$O$4005,$B$6:$B$4005,B447,$N$6:$N$4005,"N"),0),$P$6:$P$4005,0)),"(tanpa lawan)"))</f>
        <v/>
      </c>
      <c r="R447" s="44"/>
      <c r="S447" s="9" t="str">
        <f aca="false">IF(N447&lt;&gt;"Y","",IF(R447&lt;&gt;"",R447,IF(Q447="(tanpa lawan)","Transfer antar rekening",IFERROR(INDEX(I_COA!$F$6:$F$265,MATCH(Q447,I_COA!$A$6:$A$265,0)),"?"))))</f>
        <v/>
      </c>
    </row>
    <row r="448" customFormat="false" ht="15" hidden="false" customHeight="false" outlineLevel="0" collapsed="false">
      <c r="A448" s="37" t="n">
        <v>46242</v>
      </c>
      <c r="B448" s="44" t="s">
        <v>983</v>
      </c>
      <c r="C448" s="44" t="s">
        <v>617</v>
      </c>
      <c r="D448" s="44" t="n">
        <v>1103101</v>
      </c>
      <c r="E448" s="44" t="s">
        <v>589</v>
      </c>
      <c r="F448" s="44" t="s">
        <v>984</v>
      </c>
      <c r="G448" s="42" t="n">
        <v>2399000</v>
      </c>
      <c r="H448" s="42"/>
      <c r="I448" s="44" t="s">
        <v>440</v>
      </c>
      <c r="J448" s="11" t="n">
        <f aca="false">IF(D448="","",N(G448)-N(H448))</f>
        <v>2399000</v>
      </c>
      <c r="K448" s="34" t="str">
        <f aca="false">IF(D448="","",IFERROR(INDEX(I_COA!$C$6:$C$265,MATCH(D448,I_COA!$A$6:$A$265,0)),"AKUN BARU"))</f>
        <v>Neraca</v>
      </c>
      <c r="L448" s="34" t="str">
        <f aca="false">IF(K448="LabaRugi",INDEX(I_COA!$D$6:$D$265,MATCH(D448,I_COA!$A$6:$A$265,0)),"")</f>
        <v/>
      </c>
      <c r="M448" s="34" t="str">
        <f aca="false">IF(K448="Neraca",INDEX(I_COA!$E$6:$E$265,MATCH(D448,I_COA!$A$6:$A$265,0)),"")</f>
        <v>Trade Receivables - Third Parties</v>
      </c>
      <c r="N448" s="34" t="str">
        <f aca="false">IF(D448="","",IFERROR(INDEX(I_COA!$G$6:$G$265,MATCH(D448,I_COA!$A$6:$A$265,0)),"N"))</f>
        <v>N</v>
      </c>
      <c r="O448" s="11" t="n">
        <f aca="false">IF(N448="N",ABS(J448),"")</f>
        <v>2399000</v>
      </c>
      <c r="P448" s="18" t="str">
        <f aca="false">IF(N448="N",B448&amp;"|"&amp;ROUND(O448,0),"")</f>
        <v>KGR26/0227|2399000</v>
      </c>
      <c r="Q448" s="18" t="str">
        <f aca="false">IF(N448&lt;&gt;"Y","",IFERROR(INDEX($D$6:$D$4005,MATCH(B448&amp;"|"&amp;ROUND(_xlfn.MAXIFS($O$6:$O$4005,$B$6:$B$4005,B448,$N$6:$N$4005,"N"),0),$P$6:$P$4005,0)),"(tanpa lawan)"))</f>
        <v/>
      </c>
      <c r="R448" s="44"/>
      <c r="S448" s="9" t="str">
        <f aca="false">IF(N448&lt;&gt;"Y","",IF(R448&lt;&gt;"",R448,IF(Q448="(tanpa lawan)","Transfer antar rekening",IFERROR(INDEX(I_COA!$F$6:$F$265,MATCH(Q448,I_COA!$A$6:$A$265,0)),"?"))))</f>
        <v/>
      </c>
    </row>
    <row r="449" customFormat="false" ht="15" hidden="false" customHeight="false" outlineLevel="0" collapsed="false">
      <c r="A449" s="37" t="n">
        <v>46242</v>
      </c>
      <c r="B449" s="44" t="s">
        <v>983</v>
      </c>
      <c r="C449" s="44" t="s">
        <v>617</v>
      </c>
      <c r="D449" s="44" t="n">
        <v>4101007</v>
      </c>
      <c r="E449" s="44" t="s">
        <v>985</v>
      </c>
      <c r="F449" s="44" t="s">
        <v>984</v>
      </c>
      <c r="G449" s="42"/>
      <c r="H449" s="42" t="n">
        <v>2399000</v>
      </c>
      <c r="I449" s="44" t="s">
        <v>440</v>
      </c>
      <c r="J449" s="11" t="n">
        <f aca="false">IF(D449="","",N(G449)-N(H449))</f>
        <v>-2399000</v>
      </c>
      <c r="K449" s="34" t="str">
        <f aca="false">IF(D449="","",IFERROR(INDEX(I_COA!$C$6:$C$265,MATCH(D449,I_COA!$A$6:$A$265,0)),"AKUN BARU"))</f>
        <v>LabaRugi</v>
      </c>
      <c r="L449" s="34" t="str">
        <f aca="false">IF(K449="LabaRugi",INDEX(I_COA!$D$6:$D$265,MATCH(D449,I_COA!$A$6:$A$265,0)),"")</f>
        <v>Revenue - LB By Product</v>
      </c>
      <c r="M449" s="34" t="str">
        <f aca="false">IF(K449="Neraca",INDEX(I_COA!$E$6:$E$265,MATCH(D449,I_COA!$A$6:$A$265,0)),"")</f>
        <v/>
      </c>
      <c r="N449" s="34" t="str">
        <f aca="false">IF(D449="","",IFERROR(INDEX(I_COA!$G$6:$G$265,MATCH(D449,I_COA!$A$6:$A$265,0)),"N"))</f>
        <v>N</v>
      </c>
      <c r="O449" s="11" t="n">
        <f aca="false">IF(N449="N",ABS(J449),"")</f>
        <v>2399000</v>
      </c>
      <c r="P449" s="18" t="str">
        <f aca="false">IF(N449="N",B449&amp;"|"&amp;ROUND(O449,0),"")</f>
        <v>KGR26/0227|2399000</v>
      </c>
      <c r="Q449" s="18" t="str">
        <f aca="false">IF(N449&lt;&gt;"Y","",IFERROR(INDEX($D$6:$D$4005,MATCH(B449&amp;"|"&amp;ROUND(_xlfn.MAXIFS($O$6:$O$4005,$B$6:$B$4005,B449,$N$6:$N$4005,"N"),0),$P$6:$P$4005,0)),"(tanpa lawan)"))</f>
        <v/>
      </c>
      <c r="R449" s="44"/>
      <c r="S449" s="9" t="str">
        <f aca="false">IF(N449&lt;&gt;"Y","",IF(R449&lt;&gt;"",R449,IF(Q449="(tanpa lawan)","Transfer antar rekening",IFERROR(INDEX(I_COA!$F$6:$F$265,MATCH(Q449,I_COA!$A$6:$A$265,0)),"?"))))</f>
        <v/>
      </c>
    </row>
    <row r="450" customFormat="false" ht="15" hidden="false" customHeight="false" outlineLevel="0" collapsed="false">
      <c r="A450" s="37" t="n">
        <v>46242</v>
      </c>
      <c r="B450" s="44" t="s">
        <v>983</v>
      </c>
      <c r="C450" s="44" t="s">
        <v>617</v>
      </c>
      <c r="D450" s="44" t="n">
        <v>5100005</v>
      </c>
      <c r="E450" s="44" t="s">
        <v>986</v>
      </c>
      <c r="F450" s="44" t="s">
        <v>984</v>
      </c>
      <c r="G450" s="42" t="n">
        <v>2277754.83</v>
      </c>
      <c r="H450" s="42"/>
      <c r="I450" s="44" t="s">
        <v>440</v>
      </c>
      <c r="J450" s="11" t="n">
        <f aca="false">IF(D450="","",N(G450)-N(H450))</f>
        <v>2277754.83</v>
      </c>
      <c r="K450" s="34" t="str">
        <f aca="false">IF(D450="","",IFERROR(INDEX(I_COA!$C$6:$C$265,MATCH(D450,I_COA!$A$6:$A$265,0)),"AKUN BARU"))</f>
        <v>LabaRugi</v>
      </c>
      <c r="L450" s="34" t="str">
        <f aca="false">IF(K450="LabaRugi",INDEX(I_COA!$D$6:$D$265,MATCH(D450,I_COA!$A$6:$A$265,0)),"")</f>
        <v>COGS - Live Bird</v>
      </c>
      <c r="M450" s="34" t="str">
        <f aca="false">IF(K450="Neraca",INDEX(I_COA!$E$6:$E$265,MATCH(D450,I_COA!$A$6:$A$265,0)),"")</f>
        <v/>
      </c>
      <c r="N450" s="34" t="str">
        <f aca="false">IF(D450="","",IFERROR(INDEX(I_COA!$G$6:$G$265,MATCH(D450,I_COA!$A$6:$A$265,0)),"N"))</f>
        <v>N</v>
      </c>
      <c r="O450" s="11" t="n">
        <f aca="false">IF(N450="N",ABS(J450),"")</f>
        <v>2277754.83</v>
      </c>
      <c r="P450" s="18" t="str">
        <f aca="false">IF(N450="N",B450&amp;"|"&amp;ROUND(O450,0),"")</f>
        <v>KGR26/0227|2277755</v>
      </c>
      <c r="Q450" s="18" t="str">
        <f aca="false">IF(N450&lt;&gt;"Y","",IFERROR(INDEX($D$6:$D$4005,MATCH(B450&amp;"|"&amp;ROUND(_xlfn.MAXIFS($O$6:$O$4005,$B$6:$B$4005,B450,$N$6:$N$4005,"N"),0),$P$6:$P$4005,0)),"(tanpa lawan)"))</f>
        <v/>
      </c>
      <c r="R450" s="44"/>
      <c r="S450" s="9" t="str">
        <f aca="false">IF(N450&lt;&gt;"Y","",IF(R450&lt;&gt;"",R450,IF(Q450="(tanpa lawan)","Transfer antar rekening",IFERROR(INDEX(I_COA!$F$6:$F$265,MATCH(Q450,I_COA!$A$6:$A$265,0)),"?"))))</f>
        <v/>
      </c>
    </row>
    <row r="451" customFormat="false" ht="15" hidden="false" customHeight="false" outlineLevel="0" collapsed="false">
      <c r="A451" s="37" t="n">
        <v>46242</v>
      </c>
      <c r="B451" s="44" t="s">
        <v>983</v>
      </c>
      <c r="C451" s="44" t="s">
        <v>617</v>
      </c>
      <c r="D451" s="44" t="n">
        <v>1104002</v>
      </c>
      <c r="E451" s="44" t="s">
        <v>601</v>
      </c>
      <c r="F451" s="44" t="s">
        <v>984</v>
      </c>
      <c r="G451" s="42"/>
      <c r="H451" s="42" t="n">
        <v>2277754.83</v>
      </c>
      <c r="I451" s="44" t="s">
        <v>440</v>
      </c>
      <c r="J451" s="11" t="n">
        <f aca="false">IF(D451="","",N(G451)-N(H451))</f>
        <v>-2277754.83</v>
      </c>
      <c r="K451" s="34" t="str">
        <f aca="false">IF(D451="","",IFERROR(INDEX(I_COA!$C$6:$C$265,MATCH(D451,I_COA!$A$6:$A$265,0)),"AKUN BARU"))</f>
        <v>Neraca</v>
      </c>
      <c r="L451" s="34" t="str">
        <f aca="false">IF(K451="LabaRugi",INDEX(I_COA!$D$6:$D$265,MATCH(D451,I_COA!$A$6:$A$265,0)),"")</f>
        <v/>
      </c>
      <c r="M451" s="34" t="str">
        <f aca="false">IF(K451="Neraca",INDEX(I_COA!$E$6:$E$265,MATCH(D451,I_COA!$A$6:$A$265,0)),"")</f>
        <v>Inventory - Product</v>
      </c>
      <c r="N451" s="34" t="str">
        <f aca="false">IF(D451="","",IFERROR(INDEX(I_COA!$G$6:$G$265,MATCH(D451,I_COA!$A$6:$A$265,0)),"N"))</f>
        <v>N</v>
      </c>
      <c r="O451" s="11" t="n">
        <f aca="false">IF(N451="N",ABS(J451),"")</f>
        <v>2277754.83</v>
      </c>
      <c r="P451" s="18" t="str">
        <f aca="false">IF(N451="N",B451&amp;"|"&amp;ROUND(O451,0),"")</f>
        <v>KGR26/0227|2277755</v>
      </c>
      <c r="Q451" s="18" t="str">
        <f aca="false">IF(N451&lt;&gt;"Y","",IFERROR(INDEX($D$6:$D$4005,MATCH(B451&amp;"|"&amp;ROUND(_xlfn.MAXIFS($O$6:$O$4005,$B$6:$B$4005,B451,$N$6:$N$4005,"N"),0),$P$6:$P$4005,0)),"(tanpa lawan)"))</f>
        <v/>
      </c>
      <c r="R451" s="44"/>
      <c r="S451" s="9" t="str">
        <f aca="false">IF(N451&lt;&gt;"Y","",IF(R451&lt;&gt;"",R451,IF(Q451="(tanpa lawan)","Transfer antar rekening",IFERROR(INDEX(I_COA!$F$6:$F$265,MATCH(Q451,I_COA!$A$6:$A$265,0)),"?"))))</f>
        <v/>
      </c>
    </row>
    <row r="452" customFormat="false" ht="15" hidden="false" customHeight="false" outlineLevel="0" collapsed="false">
      <c r="A452" s="37" t="n">
        <v>46242</v>
      </c>
      <c r="B452" s="44" t="s">
        <v>987</v>
      </c>
      <c r="C452" s="44" t="s">
        <v>617</v>
      </c>
      <c r="D452" s="44" t="n">
        <v>1103101</v>
      </c>
      <c r="E452" s="44" t="s">
        <v>589</v>
      </c>
      <c r="F452" s="44" t="s">
        <v>988</v>
      </c>
      <c r="G452" s="42" t="n">
        <v>2289500</v>
      </c>
      <c r="H452" s="42"/>
      <c r="I452" s="44" t="s">
        <v>440</v>
      </c>
      <c r="J452" s="11" t="n">
        <f aca="false">IF(D452="","",N(G452)-N(H452))</f>
        <v>2289500</v>
      </c>
      <c r="K452" s="34" t="str">
        <f aca="false">IF(D452="","",IFERROR(INDEX(I_COA!$C$6:$C$265,MATCH(D452,I_COA!$A$6:$A$265,0)),"AKUN BARU"))</f>
        <v>Neraca</v>
      </c>
      <c r="L452" s="34" t="str">
        <f aca="false">IF(K452="LabaRugi",INDEX(I_COA!$D$6:$D$265,MATCH(D452,I_COA!$A$6:$A$265,0)),"")</f>
        <v/>
      </c>
      <c r="M452" s="34" t="str">
        <f aca="false">IF(K452="Neraca",INDEX(I_COA!$E$6:$E$265,MATCH(D452,I_COA!$A$6:$A$265,0)),"")</f>
        <v>Trade Receivables - Third Parties</v>
      </c>
      <c r="N452" s="34" t="str">
        <f aca="false">IF(D452="","",IFERROR(INDEX(I_COA!$G$6:$G$265,MATCH(D452,I_COA!$A$6:$A$265,0)),"N"))</f>
        <v>N</v>
      </c>
      <c r="O452" s="11" t="n">
        <f aca="false">IF(N452="N",ABS(J452),"")</f>
        <v>2289500</v>
      </c>
      <c r="P452" s="18" t="str">
        <f aca="false">IF(N452="N",B452&amp;"|"&amp;ROUND(O452,0),"")</f>
        <v>KGR26/0228|2289500</v>
      </c>
      <c r="Q452" s="18" t="str">
        <f aca="false">IF(N452&lt;&gt;"Y","",IFERROR(INDEX($D$6:$D$4005,MATCH(B452&amp;"|"&amp;ROUND(_xlfn.MAXIFS($O$6:$O$4005,$B$6:$B$4005,B452,$N$6:$N$4005,"N"),0),$P$6:$P$4005,0)),"(tanpa lawan)"))</f>
        <v/>
      </c>
      <c r="R452" s="44"/>
      <c r="S452" s="9" t="str">
        <f aca="false">IF(N452&lt;&gt;"Y","",IF(R452&lt;&gt;"",R452,IF(Q452="(tanpa lawan)","Transfer antar rekening",IFERROR(INDEX(I_COA!$F$6:$F$265,MATCH(Q452,I_COA!$A$6:$A$265,0)),"?"))))</f>
        <v/>
      </c>
    </row>
    <row r="453" customFormat="false" ht="15" hidden="false" customHeight="false" outlineLevel="0" collapsed="false">
      <c r="A453" s="37" t="n">
        <v>46242</v>
      </c>
      <c r="B453" s="44" t="s">
        <v>987</v>
      </c>
      <c r="C453" s="44" t="s">
        <v>617</v>
      </c>
      <c r="D453" s="44" t="n">
        <v>4101007</v>
      </c>
      <c r="E453" s="44" t="s">
        <v>985</v>
      </c>
      <c r="F453" s="44" t="s">
        <v>988</v>
      </c>
      <c r="G453" s="42"/>
      <c r="H453" s="42" t="n">
        <v>2289500</v>
      </c>
      <c r="I453" s="44" t="s">
        <v>440</v>
      </c>
      <c r="J453" s="11" t="n">
        <f aca="false">IF(D453="","",N(G453)-N(H453))</f>
        <v>-2289500</v>
      </c>
      <c r="K453" s="34" t="str">
        <f aca="false">IF(D453="","",IFERROR(INDEX(I_COA!$C$6:$C$265,MATCH(D453,I_COA!$A$6:$A$265,0)),"AKUN BARU"))</f>
        <v>LabaRugi</v>
      </c>
      <c r="L453" s="34" t="str">
        <f aca="false">IF(K453="LabaRugi",INDEX(I_COA!$D$6:$D$265,MATCH(D453,I_COA!$A$6:$A$265,0)),"")</f>
        <v>Revenue - LB By Product</v>
      </c>
      <c r="M453" s="34" t="str">
        <f aca="false">IF(K453="Neraca",INDEX(I_COA!$E$6:$E$265,MATCH(D453,I_COA!$A$6:$A$265,0)),"")</f>
        <v/>
      </c>
      <c r="N453" s="34" t="str">
        <f aca="false">IF(D453="","",IFERROR(INDEX(I_COA!$G$6:$G$265,MATCH(D453,I_COA!$A$6:$A$265,0)),"N"))</f>
        <v>N</v>
      </c>
      <c r="O453" s="11" t="n">
        <f aca="false">IF(N453="N",ABS(J453),"")</f>
        <v>2289500</v>
      </c>
      <c r="P453" s="18" t="str">
        <f aca="false">IF(N453="N",B453&amp;"|"&amp;ROUND(O453,0),"")</f>
        <v>KGR26/0228|2289500</v>
      </c>
      <c r="Q453" s="18" t="str">
        <f aca="false">IF(N453&lt;&gt;"Y","",IFERROR(INDEX($D$6:$D$4005,MATCH(B453&amp;"|"&amp;ROUND(_xlfn.MAXIFS($O$6:$O$4005,$B$6:$B$4005,B453,$N$6:$N$4005,"N"),0),$P$6:$P$4005,0)),"(tanpa lawan)"))</f>
        <v/>
      </c>
      <c r="R453" s="44"/>
      <c r="S453" s="9" t="str">
        <f aca="false">IF(N453&lt;&gt;"Y","",IF(R453&lt;&gt;"",R453,IF(Q453="(tanpa lawan)","Transfer antar rekening",IFERROR(INDEX(I_COA!$F$6:$F$265,MATCH(Q453,I_COA!$A$6:$A$265,0)),"?"))))</f>
        <v/>
      </c>
    </row>
    <row r="454" customFormat="false" ht="15" hidden="false" customHeight="false" outlineLevel="0" collapsed="false">
      <c r="A454" s="37" t="n">
        <v>46242</v>
      </c>
      <c r="B454" s="44" t="s">
        <v>987</v>
      </c>
      <c r="C454" s="44" t="s">
        <v>617</v>
      </c>
      <c r="D454" s="44" t="n">
        <v>5100005</v>
      </c>
      <c r="E454" s="44" t="s">
        <v>986</v>
      </c>
      <c r="F454" s="44" t="s">
        <v>988</v>
      </c>
      <c r="G454" s="42" t="n">
        <v>2905006.4</v>
      </c>
      <c r="H454" s="42"/>
      <c r="I454" s="44" t="s">
        <v>440</v>
      </c>
      <c r="J454" s="11" t="n">
        <f aca="false">IF(D454="","",N(G454)-N(H454))</f>
        <v>2905006.4</v>
      </c>
      <c r="K454" s="34" t="str">
        <f aca="false">IF(D454="","",IFERROR(INDEX(I_COA!$C$6:$C$265,MATCH(D454,I_COA!$A$6:$A$265,0)),"AKUN BARU"))</f>
        <v>LabaRugi</v>
      </c>
      <c r="L454" s="34" t="str">
        <f aca="false">IF(K454="LabaRugi",INDEX(I_COA!$D$6:$D$265,MATCH(D454,I_COA!$A$6:$A$265,0)),"")</f>
        <v>COGS - Live Bird</v>
      </c>
      <c r="M454" s="34" t="str">
        <f aca="false">IF(K454="Neraca",INDEX(I_COA!$E$6:$E$265,MATCH(D454,I_COA!$A$6:$A$265,0)),"")</f>
        <v/>
      </c>
      <c r="N454" s="34" t="str">
        <f aca="false">IF(D454="","",IFERROR(INDEX(I_COA!$G$6:$G$265,MATCH(D454,I_COA!$A$6:$A$265,0)),"N"))</f>
        <v>N</v>
      </c>
      <c r="O454" s="11" t="n">
        <f aca="false">IF(N454="N",ABS(J454),"")</f>
        <v>2905006.4</v>
      </c>
      <c r="P454" s="18" t="str">
        <f aca="false">IF(N454="N",B454&amp;"|"&amp;ROUND(O454,0),"")</f>
        <v>KGR26/0228|2905006</v>
      </c>
      <c r="Q454" s="18" t="str">
        <f aca="false">IF(N454&lt;&gt;"Y","",IFERROR(INDEX($D$6:$D$4005,MATCH(B454&amp;"|"&amp;ROUND(_xlfn.MAXIFS($O$6:$O$4005,$B$6:$B$4005,B454,$N$6:$N$4005,"N"),0),$P$6:$P$4005,0)),"(tanpa lawan)"))</f>
        <v/>
      </c>
      <c r="R454" s="44"/>
      <c r="S454" s="9" t="str">
        <f aca="false">IF(N454&lt;&gt;"Y","",IF(R454&lt;&gt;"",R454,IF(Q454="(tanpa lawan)","Transfer antar rekening",IFERROR(INDEX(I_COA!$F$6:$F$265,MATCH(Q454,I_COA!$A$6:$A$265,0)),"?"))))</f>
        <v/>
      </c>
    </row>
    <row r="455" customFormat="false" ht="15" hidden="false" customHeight="false" outlineLevel="0" collapsed="false">
      <c r="A455" s="37" t="n">
        <v>46242</v>
      </c>
      <c r="B455" s="44" t="s">
        <v>987</v>
      </c>
      <c r="C455" s="44" t="s">
        <v>617</v>
      </c>
      <c r="D455" s="44" t="n">
        <v>1104002</v>
      </c>
      <c r="E455" s="44" t="s">
        <v>601</v>
      </c>
      <c r="F455" s="44" t="s">
        <v>988</v>
      </c>
      <c r="G455" s="42"/>
      <c r="H455" s="42" t="n">
        <v>2905006.4</v>
      </c>
      <c r="I455" s="44" t="s">
        <v>440</v>
      </c>
      <c r="J455" s="11" t="n">
        <f aca="false">IF(D455="","",N(G455)-N(H455))</f>
        <v>-2905006.4</v>
      </c>
      <c r="K455" s="34" t="str">
        <f aca="false">IF(D455="","",IFERROR(INDEX(I_COA!$C$6:$C$265,MATCH(D455,I_COA!$A$6:$A$265,0)),"AKUN BARU"))</f>
        <v>Neraca</v>
      </c>
      <c r="L455" s="34" t="str">
        <f aca="false">IF(K455="LabaRugi",INDEX(I_COA!$D$6:$D$265,MATCH(D455,I_COA!$A$6:$A$265,0)),"")</f>
        <v/>
      </c>
      <c r="M455" s="34" t="str">
        <f aca="false">IF(K455="Neraca",INDEX(I_COA!$E$6:$E$265,MATCH(D455,I_COA!$A$6:$A$265,0)),"")</f>
        <v>Inventory - Product</v>
      </c>
      <c r="N455" s="34" t="str">
        <f aca="false">IF(D455="","",IFERROR(INDEX(I_COA!$G$6:$G$265,MATCH(D455,I_COA!$A$6:$A$265,0)),"N"))</f>
        <v>N</v>
      </c>
      <c r="O455" s="11" t="n">
        <f aca="false">IF(N455="N",ABS(J455),"")</f>
        <v>2905006.4</v>
      </c>
      <c r="P455" s="18" t="str">
        <f aca="false">IF(N455="N",B455&amp;"|"&amp;ROUND(O455,0),"")</f>
        <v>KGR26/0228|2905006</v>
      </c>
      <c r="Q455" s="18" t="str">
        <f aca="false">IF(N455&lt;&gt;"Y","",IFERROR(INDEX($D$6:$D$4005,MATCH(B455&amp;"|"&amp;ROUND(_xlfn.MAXIFS($O$6:$O$4005,$B$6:$B$4005,B455,$N$6:$N$4005,"N"),0),$P$6:$P$4005,0)),"(tanpa lawan)"))</f>
        <v/>
      </c>
      <c r="R455" s="44"/>
      <c r="S455" s="9" t="str">
        <f aca="false">IF(N455&lt;&gt;"Y","",IF(R455&lt;&gt;"",R455,IF(Q455="(tanpa lawan)","Transfer antar rekening",IFERROR(INDEX(I_COA!$F$6:$F$265,MATCH(Q455,I_COA!$A$6:$A$265,0)),"?"))))</f>
        <v/>
      </c>
    </row>
    <row r="456" customFormat="false" ht="15" hidden="false" customHeight="false" outlineLevel="0" collapsed="false">
      <c r="A456" s="37" t="n">
        <v>46242</v>
      </c>
      <c r="B456" s="44" t="s">
        <v>989</v>
      </c>
      <c r="C456" s="44" t="s">
        <v>617</v>
      </c>
      <c r="D456" s="44" t="n">
        <v>1103101</v>
      </c>
      <c r="E456" s="44" t="s">
        <v>589</v>
      </c>
      <c r="F456" s="44" t="s">
        <v>990</v>
      </c>
      <c r="G456" s="42" t="n">
        <v>38733400</v>
      </c>
      <c r="H456" s="42"/>
      <c r="I456" s="44" t="s">
        <v>437</v>
      </c>
      <c r="J456" s="11" t="n">
        <f aca="false">IF(D456="","",N(G456)-N(H456))</f>
        <v>38733400</v>
      </c>
      <c r="K456" s="34" t="str">
        <f aca="false">IF(D456="","",IFERROR(INDEX(I_COA!$C$6:$C$265,MATCH(D456,I_COA!$A$6:$A$265,0)),"AKUN BARU"))</f>
        <v>Neraca</v>
      </c>
      <c r="L456" s="34" t="str">
        <f aca="false">IF(K456="LabaRugi",INDEX(I_COA!$D$6:$D$265,MATCH(D456,I_COA!$A$6:$A$265,0)),"")</f>
        <v/>
      </c>
      <c r="M456" s="34" t="str">
        <f aca="false">IF(K456="Neraca",INDEX(I_COA!$E$6:$E$265,MATCH(D456,I_COA!$A$6:$A$265,0)),"")</f>
        <v>Trade Receivables - Third Parties</v>
      </c>
      <c r="N456" s="34" t="str">
        <f aca="false">IF(D456="","",IFERROR(INDEX(I_COA!$G$6:$G$265,MATCH(D456,I_COA!$A$6:$A$265,0)),"N"))</f>
        <v>N</v>
      </c>
      <c r="O456" s="11" t="n">
        <f aca="false">IF(N456="N",ABS(J456),"")</f>
        <v>38733400</v>
      </c>
      <c r="P456" s="18" t="str">
        <f aca="false">IF(N456="N",B456&amp;"|"&amp;ROUND(O456,0),"")</f>
        <v>KGR26/0229|38733400</v>
      </c>
      <c r="Q456" s="18" t="str">
        <f aca="false">IF(N456&lt;&gt;"Y","",IFERROR(INDEX($D$6:$D$4005,MATCH(B456&amp;"|"&amp;ROUND(_xlfn.MAXIFS($O$6:$O$4005,$B$6:$B$4005,B456,$N$6:$N$4005,"N"),0),$P$6:$P$4005,0)),"(tanpa lawan)"))</f>
        <v/>
      </c>
      <c r="R456" s="44"/>
      <c r="S456" s="9" t="str">
        <f aca="false">IF(N456&lt;&gt;"Y","",IF(R456&lt;&gt;"",R456,IF(Q456="(tanpa lawan)","Transfer antar rekening",IFERROR(INDEX(I_COA!$F$6:$F$265,MATCH(Q456,I_COA!$A$6:$A$265,0)),"?"))))</f>
        <v/>
      </c>
    </row>
    <row r="457" customFormat="false" ht="15" hidden="false" customHeight="false" outlineLevel="0" collapsed="false">
      <c r="A457" s="37" t="n">
        <v>46242</v>
      </c>
      <c r="B457" s="44" t="s">
        <v>989</v>
      </c>
      <c r="C457" s="44" t="s">
        <v>617</v>
      </c>
      <c r="D457" s="44" t="n">
        <v>4101012</v>
      </c>
      <c r="E457" s="44" t="s">
        <v>619</v>
      </c>
      <c r="F457" s="44" t="s">
        <v>990</v>
      </c>
      <c r="G457" s="42"/>
      <c r="H457" s="42" t="n">
        <v>38733400</v>
      </c>
      <c r="I457" s="44" t="s">
        <v>437</v>
      </c>
      <c r="J457" s="11" t="n">
        <f aca="false">IF(D457="","",N(G457)-N(H457))</f>
        <v>-38733400</v>
      </c>
      <c r="K457" s="34" t="str">
        <f aca="false">IF(D457="","",IFERROR(INDEX(I_COA!$C$6:$C$265,MATCH(D457,I_COA!$A$6:$A$265,0)),"AKUN BARU"))</f>
        <v>LabaRugi</v>
      </c>
      <c r="L457" s="34" t="str">
        <f aca="false">IF(K457="LabaRugi",INDEX(I_COA!$D$6:$D$265,MATCH(D457,I_COA!$A$6:$A$265,0)),"")</f>
        <v>Revenue - Trading</v>
      </c>
      <c r="M457" s="34" t="str">
        <f aca="false">IF(K457="Neraca",INDEX(I_COA!$E$6:$E$265,MATCH(D457,I_COA!$A$6:$A$265,0)),"")</f>
        <v/>
      </c>
      <c r="N457" s="34" t="str">
        <f aca="false">IF(D457="","",IFERROR(INDEX(I_COA!$G$6:$G$265,MATCH(D457,I_COA!$A$6:$A$265,0)),"N"))</f>
        <v>N</v>
      </c>
      <c r="O457" s="11" t="n">
        <f aca="false">IF(N457="N",ABS(J457),"")</f>
        <v>38733400</v>
      </c>
      <c r="P457" s="18" t="str">
        <f aca="false">IF(N457="N",B457&amp;"|"&amp;ROUND(O457,0),"")</f>
        <v>KGR26/0229|38733400</v>
      </c>
      <c r="Q457" s="18" t="str">
        <f aca="false">IF(N457&lt;&gt;"Y","",IFERROR(INDEX($D$6:$D$4005,MATCH(B457&amp;"|"&amp;ROUND(_xlfn.MAXIFS($O$6:$O$4005,$B$6:$B$4005,B457,$N$6:$N$4005,"N"),0),$P$6:$P$4005,0)),"(tanpa lawan)"))</f>
        <v/>
      </c>
      <c r="R457" s="44"/>
      <c r="S457" s="9" t="str">
        <f aca="false">IF(N457&lt;&gt;"Y","",IF(R457&lt;&gt;"",R457,IF(Q457="(tanpa lawan)","Transfer antar rekening",IFERROR(INDEX(I_COA!$F$6:$F$265,MATCH(Q457,I_COA!$A$6:$A$265,0)),"?"))))</f>
        <v/>
      </c>
    </row>
    <row r="458" customFormat="false" ht="15" hidden="false" customHeight="false" outlineLevel="0" collapsed="false">
      <c r="A458" s="37" t="n">
        <v>46242</v>
      </c>
      <c r="B458" s="44" t="s">
        <v>989</v>
      </c>
      <c r="C458" s="44" t="s">
        <v>617</v>
      </c>
      <c r="D458" s="44" t="n">
        <v>5100011</v>
      </c>
      <c r="E458" s="44" t="s">
        <v>166</v>
      </c>
      <c r="F458" s="44" t="s">
        <v>990</v>
      </c>
      <c r="G458" s="42" t="n">
        <v>39981817.82</v>
      </c>
      <c r="H458" s="42"/>
      <c r="I458" s="44" t="s">
        <v>437</v>
      </c>
      <c r="J458" s="11" t="n">
        <f aca="false">IF(D458="","",N(G458)-N(H458))</f>
        <v>39981817.82</v>
      </c>
      <c r="K458" s="34" t="str">
        <f aca="false">IF(D458="","",IFERROR(INDEX(I_COA!$C$6:$C$265,MATCH(D458,I_COA!$A$6:$A$265,0)),"AKUN BARU"))</f>
        <v>LabaRugi</v>
      </c>
      <c r="L458" s="34" t="str">
        <f aca="false">IF(K458="LabaRugi",INDEX(I_COA!$D$6:$D$265,MATCH(D458,I_COA!$A$6:$A$265,0)),"")</f>
        <v>COGS - Trading</v>
      </c>
      <c r="M458" s="34" t="str">
        <f aca="false">IF(K458="Neraca",INDEX(I_COA!$E$6:$E$265,MATCH(D458,I_COA!$A$6:$A$265,0)),"")</f>
        <v/>
      </c>
      <c r="N458" s="34" t="str">
        <f aca="false">IF(D458="","",IFERROR(INDEX(I_COA!$G$6:$G$265,MATCH(D458,I_COA!$A$6:$A$265,0)),"N"))</f>
        <v>N</v>
      </c>
      <c r="O458" s="11" t="n">
        <f aca="false">IF(N458="N",ABS(J458),"")</f>
        <v>39981817.82</v>
      </c>
      <c r="P458" s="18" t="str">
        <f aca="false">IF(N458="N",B458&amp;"|"&amp;ROUND(O458,0),"")</f>
        <v>KGR26/0229|39981818</v>
      </c>
      <c r="Q458" s="18" t="str">
        <f aca="false">IF(N458&lt;&gt;"Y","",IFERROR(INDEX($D$6:$D$4005,MATCH(B458&amp;"|"&amp;ROUND(_xlfn.MAXIFS($O$6:$O$4005,$B$6:$B$4005,B458,$N$6:$N$4005,"N"),0),$P$6:$P$4005,0)),"(tanpa lawan)"))</f>
        <v/>
      </c>
      <c r="R458" s="44"/>
      <c r="S458" s="9" t="str">
        <f aca="false">IF(N458&lt;&gt;"Y","",IF(R458&lt;&gt;"",R458,IF(Q458="(tanpa lawan)","Transfer antar rekening",IFERROR(INDEX(I_COA!$F$6:$F$265,MATCH(Q458,I_COA!$A$6:$A$265,0)),"?"))))</f>
        <v/>
      </c>
    </row>
    <row r="459" customFormat="false" ht="15" hidden="false" customHeight="false" outlineLevel="0" collapsed="false">
      <c r="A459" s="37" t="n">
        <v>46242</v>
      </c>
      <c r="B459" s="44" t="s">
        <v>989</v>
      </c>
      <c r="C459" s="44" t="s">
        <v>617</v>
      </c>
      <c r="D459" s="44" t="n">
        <v>1104002</v>
      </c>
      <c r="E459" s="44" t="s">
        <v>601</v>
      </c>
      <c r="F459" s="44" t="s">
        <v>990</v>
      </c>
      <c r="G459" s="42"/>
      <c r="H459" s="42" t="n">
        <v>39981817.82</v>
      </c>
      <c r="I459" s="44" t="s">
        <v>437</v>
      </c>
      <c r="J459" s="11" t="n">
        <f aca="false">IF(D459="","",N(G459)-N(H459))</f>
        <v>-39981817.82</v>
      </c>
      <c r="K459" s="34" t="str">
        <f aca="false">IF(D459="","",IFERROR(INDEX(I_COA!$C$6:$C$265,MATCH(D459,I_COA!$A$6:$A$265,0)),"AKUN BARU"))</f>
        <v>Neraca</v>
      </c>
      <c r="L459" s="34" t="str">
        <f aca="false">IF(K459="LabaRugi",INDEX(I_COA!$D$6:$D$265,MATCH(D459,I_COA!$A$6:$A$265,0)),"")</f>
        <v/>
      </c>
      <c r="M459" s="34" t="str">
        <f aca="false">IF(K459="Neraca",INDEX(I_COA!$E$6:$E$265,MATCH(D459,I_COA!$A$6:$A$265,0)),"")</f>
        <v>Inventory - Product</v>
      </c>
      <c r="N459" s="34" t="str">
        <f aca="false">IF(D459="","",IFERROR(INDEX(I_COA!$G$6:$G$265,MATCH(D459,I_COA!$A$6:$A$265,0)),"N"))</f>
        <v>N</v>
      </c>
      <c r="O459" s="11" t="n">
        <f aca="false">IF(N459="N",ABS(J459),"")</f>
        <v>39981817.82</v>
      </c>
      <c r="P459" s="18" t="str">
        <f aca="false">IF(N459="N",B459&amp;"|"&amp;ROUND(O459,0),"")</f>
        <v>KGR26/0229|39981818</v>
      </c>
      <c r="Q459" s="18" t="str">
        <f aca="false">IF(N459&lt;&gt;"Y","",IFERROR(INDEX($D$6:$D$4005,MATCH(B459&amp;"|"&amp;ROUND(_xlfn.MAXIFS($O$6:$O$4005,$B$6:$B$4005,B459,$N$6:$N$4005,"N"),0),$P$6:$P$4005,0)),"(tanpa lawan)"))</f>
        <v/>
      </c>
      <c r="R459" s="44"/>
      <c r="S459" s="9" t="str">
        <f aca="false">IF(N459&lt;&gt;"Y","",IF(R459&lt;&gt;"",R459,IF(Q459="(tanpa lawan)","Transfer antar rekening",IFERROR(INDEX(I_COA!$F$6:$F$265,MATCH(Q459,I_COA!$A$6:$A$265,0)),"?"))))</f>
        <v/>
      </c>
    </row>
    <row r="460" customFormat="false" ht="15" hidden="false" customHeight="false" outlineLevel="0" collapsed="false">
      <c r="A460" s="37" t="n">
        <v>46242</v>
      </c>
      <c r="B460" s="44" t="s">
        <v>991</v>
      </c>
      <c r="C460" s="44" t="s">
        <v>617</v>
      </c>
      <c r="D460" s="44" t="n">
        <v>1103101</v>
      </c>
      <c r="E460" s="44" t="s">
        <v>589</v>
      </c>
      <c r="F460" s="44" t="s">
        <v>992</v>
      </c>
      <c r="G460" s="42" t="n">
        <v>839800</v>
      </c>
      <c r="H460" s="42"/>
      <c r="I460" s="44" t="s">
        <v>603</v>
      </c>
      <c r="J460" s="11" t="n">
        <f aca="false">IF(D460="","",N(G460)-N(H460))</f>
        <v>839800</v>
      </c>
      <c r="K460" s="34" t="str">
        <f aca="false">IF(D460="","",IFERROR(INDEX(I_COA!$C$6:$C$265,MATCH(D460,I_COA!$A$6:$A$265,0)),"AKUN BARU"))</f>
        <v>Neraca</v>
      </c>
      <c r="L460" s="34" t="str">
        <f aca="false">IF(K460="LabaRugi",INDEX(I_COA!$D$6:$D$265,MATCH(D460,I_COA!$A$6:$A$265,0)),"")</f>
        <v/>
      </c>
      <c r="M460" s="34" t="str">
        <f aca="false">IF(K460="Neraca",INDEX(I_COA!$E$6:$E$265,MATCH(D460,I_COA!$A$6:$A$265,0)),"")</f>
        <v>Trade Receivables - Third Parties</v>
      </c>
      <c r="N460" s="34" t="str">
        <f aca="false">IF(D460="","",IFERROR(INDEX(I_COA!$G$6:$G$265,MATCH(D460,I_COA!$A$6:$A$265,0)),"N"))</f>
        <v>N</v>
      </c>
      <c r="O460" s="11" t="n">
        <f aca="false">IF(N460="N",ABS(J460),"")</f>
        <v>839800</v>
      </c>
      <c r="P460" s="18" t="str">
        <f aca="false">IF(N460="N",B460&amp;"|"&amp;ROUND(O460,0),"")</f>
        <v>KGR26/0230|839800</v>
      </c>
      <c r="Q460" s="18" t="str">
        <f aca="false">IF(N460&lt;&gt;"Y","",IFERROR(INDEX($D$6:$D$4005,MATCH(B460&amp;"|"&amp;ROUND(_xlfn.MAXIFS($O$6:$O$4005,$B$6:$B$4005,B460,$N$6:$N$4005,"N"),0),$P$6:$P$4005,0)),"(tanpa lawan)"))</f>
        <v/>
      </c>
      <c r="R460" s="44"/>
      <c r="S460" s="9" t="str">
        <f aca="false">IF(N460&lt;&gt;"Y","",IF(R460&lt;&gt;"",R460,IF(Q460="(tanpa lawan)","Transfer antar rekening",IFERROR(INDEX(I_COA!$F$6:$F$265,MATCH(Q460,I_COA!$A$6:$A$265,0)),"?"))))</f>
        <v/>
      </c>
    </row>
    <row r="461" customFormat="false" ht="15" hidden="false" customHeight="false" outlineLevel="0" collapsed="false">
      <c r="A461" s="37" t="n">
        <v>46242</v>
      </c>
      <c r="B461" s="44" t="s">
        <v>991</v>
      </c>
      <c r="C461" s="44" t="s">
        <v>617</v>
      </c>
      <c r="D461" s="44" t="n">
        <v>4101012</v>
      </c>
      <c r="E461" s="44" t="s">
        <v>619</v>
      </c>
      <c r="F461" s="44" t="s">
        <v>992</v>
      </c>
      <c r="G461" s="42"/>
      <c r="H461" s="42" t="n">
        <v>839800</v>
      </c>
      <c r="I461" s="44" t="s">
        <v>603</v>
      </c>
      <c r="J461" s="11" t="n">
        <f aca="false">IF(D461="","",N(G461)-N(H461))</f>
        <v>-839800</v>
      </c>
      <c r="K461" s="34" t="str">
        <f aca="false">IF(D461="","",IFERROR(INDEX(I_COA!$C$6:$C$265,MATCH(D461,I_COA!$A$6:$A$265,0)),"AKUN BARU"))</f>
        <v>LabaRugi</v>
      </c>
      <c r="L461" s="34" t="str">
        <f aca="false">IF(K461="LabaRugi",INDEX(I_COA!$D$6:$D$265,MATCH(D461,I_COA!$A$6:$A$265,0)),"")</f>
        <v>Revenue - Trading</v>
      </c>
      <c r="M461" s="34" t="str">
        <f aca="false">IF(K461="Neraca",INDEX(I_COA!$E$6:$E$265,MATCH(D461,I_COA!$A$6:$A$265,0)),"")</f>
        <v/>
      </c>
      <c r="N461" s="34" t="str">
        <f aca="false">IF(D461="","",IFERROR(INDEX(I_COA!$G$6:$G$265,MATCH(D461,I_COA!$A$6:$A$265,0)),"N"))</f>
        <v>N</v>
      </c>
      <c r="O461" s="11" t="n">
        <f aca="false">IF(N461="N",ABS(J461),"")</f>
        <v>839800</v>
      </c>
      <c r="P461" s="18" t="str">
        <f aca="false">IF(N461="N",B461&amp;"|"&amp;ROUND(O461,0),"")</f>
        <v>KGR26/0230|839800</v>
      </c>
      <c r="Q461" s="18" t="str">
        <f aca="false">IF(N461&lt;&gt;"Y","",IFERROR(INDEX($D$6:$D$4005,MATCH(B461&amp;"|"&amp;ROUND(_xlfn.MAXIFS($O$6:$O$4005,$B$6:$B$4005,B461,$N$6:$N$4005,"N"),0),$P$6:$P$4005,0)),"(tanpa lawan)"))</f>
        <v/>
      </c>
      <c r="R461" s="44"/>
      <c r="S461" s="9" t="str">
        <f aca="false">IF(N461&lt;&gt;"Y","",IF(R461&lt;&gt;"",R461,IF(Q461="(tanpa lawan)","Transfer antar rekening",IFERROR(INDEX(I_COA!$F$6:$F$265,MATCH(Q461,I_COA!$A$6:$A$265,0)),"?"))))</f>
        <v/>
      </c>
    </row>
    <row r="462" customFormat="false" ht="15" hidden="false" customHeight="false" outlineLevel="0" collapsed="false">
      <c r="A462" s="37" t="n">
        <v>46242</v>
      </c>
      <c r="B462" s="44" t="s">
        <v>991</v>
      </c>
      <c r="C462" s="44" t="s">
        <v>617</v>
      </c>
      <c r="D462" s="44" t="n">
        <v>5100011</v>
      </c>
      <c r="E462" s="44" t="s">
        <v>166</v>
      </c>
      <c r="F462" s="44" t="s">
        <v>992</v>
      </c>
      <c r="G462" s="42" t="n">
        <v>866867.63</v>
      </c>
      <c r="H462" s="42"/>
      <c r="I462" s="44" t="s">
        <v>603</v>
      </c>
      <c r="J462" s="11" t="n">
        <f aca="false">IF(D462="","",N(G462)-N(H462))</f>
        <v>866867.63</v>
      </c>
      <c r="K462" s="34" t="str">
        <f aca="false">IF(D462="","",IFERROR(INDEX(I_COA!$C$6:$C$265,MATCH(D462,I_COA!$A$6:$A$265,0)),"AKUN BARU"))</f>
        <v>LabaRugi</v>
      </c>
      <c r="L462" s="34" t="str">
        <f aca="false">IF(K462="LabaRugi",INDEX(I_COA!$D$6:$D$265,MATCH(D462,I_COA!$A$6:$A$265,0)),"")</f>
        <v>COGS - Trading</v>
      </c>
      <c r="M462" s="34" t="str">
        <f aca="false">IF(K462="Neraca",INDEX(I_COA!$E$6:$E$265,MATCH(D462,I_COA!$A$6:$A$265,0)),"")</f>
        <v/>
      </c>
      <c r="N462" s="34" t="str">
        <f aca="false">IF(D462="","",IFERROR(INDEX(I_COA!$G$6:$G$265,MATCH(D462,I_COA!$A$6:$A$265,0)),"N"))</f>
        <v>N</v>
      </c>
      <c r="O462" s="11" t="n">
        <f aca="false">IF(N462="N",ABS(J462),"")</f>
        <v>866867.63</v>
      </c>
      <c r="P462" s="18" t="str">
        <f aca="false">IF(N462="N",B462&amp;"|"&amp;ROUND(O462,0),"")</f>
        <v>KGR26/0230|866868</v>
      </c>
      <c r="Q462" s="18" t="str">
        <f aca="false">IF(N462&lt;&gt;"Y","",IFERROR(INDEX($D$6:$D$4005,MATCH(B462&amp;"|"&amp;ROUND(_xlfn.MAXIFS($O$6:$O$4005,$B$6:$B$4005,B462,$N$6:$N$4005,"N"),0),$P$6:$P$4005,0)),"(tanpa lawan)"))</f>
        <v/>
      </c>
      <c r="R462" s="44"/>
      <c r="S462" s="9" t="str">
        <f aca="false">IF(N462&lt;&gt;"Y","",IF(R462&lt;&gt;"",R462,IF(Q462="(tanpa lawan)","Transfer antar rekening",IFERROR(INDEX(I_COA!$F$6:$F$265,MATCH(Q462,I_COA!$A$6:$A$265,0)),"?"))))</f>
        <v/>
      </c>
    </row>
    <row r="463" customFormat="false" ht="15" hidden="false" customHeight="false" outlineLevel="0" collapsed="false">
      <c r="A463" s="37" t="n">
        <v>46242</v>
      </c>
      <c r="B463" s="44" t="s">
        <v>991</v>
      </c>
      <c r="C463" s="44" t="s">
        <v>617</v>
      </c>
      <c r="D463" s="44" t="n">
        <v>1104002</v>
      </c>
      <c r="E463" s="44" t="s">
        <v>601</v>
      </c>
      <c r="F463" s="44" t="s">
        <v>992</v>
      </c>
      <c r="G463" s="42"/>
      <c r="H463" s="42" t="n">
        <v>866867.63</v>
      </c>
      <c r="I463" s="44" t="s">
        <v>603</v>
      </c>
      <c r="J463" s="11" t="n">
        <f aca="false">IF(D463="","",N(G463)-N(H463))</f>
        <v>-866867.63</v>
      </c>
      <c r="K463" s="34" t="str">
        <f aca="false">IF(D463="","",IFERROR(INDEX(I_COA!$C$6:$C$265,MATCH(D463,I_COA!$A$6:$A$265,0)),"AKUN BARU"))</f>
        <v>Neraca</v>
      </c>
      <c r="L463" s="34" t="str">
        <f aca="false">IF(K463="LabaRugi",INDEX(I_COA!$D$6:$D$265,MATCH(D463,I_COA!$A$6:$A$265,0)),"")</f>
        <v/>
      </c>
      <c r="M463" s="34" t="str">
        <f aca="false">IF(K463="Neraca",INDEX(I_COA!$E$6:$E$265,MATCH(D463,I_COA!$A$6:$A$265,0)),"")</f>
        <v>Inventory - Product</v>
      </c>
      <c r="N463" s="34" t="str">
        <f aca="false">IF(D463="","",IFERROR(INDEX(I_COA!$G$6:$G$265,MATCH(D463,I_COA!$A$6:$A$265,0)),"N"))</f>
        <v>N</v>
      </c>
      <c r="O463" s="11" t="n">
        <f aca="false">IF(N463="N",ABS(J463),"")</f>
        <v>866867.63</v>
      </c>
      <c r="P463" s="18" t="str">
        <f aca="false">IF(N463="N",B463&amp;"|"&amp;ROUND(O463,0),"")</f>
        <v>KGR26/0230|866868</v>
      </c>
      <c r="Q463" s="18" t="str">
        <f aca="false">IF(N463&lt;&gt;"Y","",IFERROR(INDEX($D$6:$D$4005,MATCH(B463&amp;"|"&amp;ROUND(_xlfn.MAXIFS($O$6:$O$4005,$B$6:$B$4005,B463,$N$6:$N$4005,"N"),0),$P$6:$P$4005,0)),"(tanpa lawan)"))</f>
        <v/>
      </c>
      <c r="R463" s="44"/>
      <c r="S463" s="9" t="str">
        <f aca="false">IF(N463&lt;&gt;"Y","",IF(R463&lt;&gt;"",R463,IF(Q463="(tanpa lawan)","Transfer antar rekening",IFERROR(INDEX(I_COA!$F$6:$F$265,MATCH(Q463,I_COA!$A$6:$A$265,0)),"?"))))</f>
        <v/>
      </c>
    </row>
    <row r="464" customFormat="false" ht="15" hidden="false" customHeight="false" outlineLevel="0" collapsed="false">
      <c r="A464" s="37" t="n">
        <v>46242</v>
      </c>
      <c r="B464" s="44" t="s">
        <v>993</v>
      </c>
      <c r="C464" s="44" t="s">
        <v>707</v>
      </c>
      <c r="D464" s="44" t="n">
        <v>5100008</v>
      </c>
      <c r="E464" s="44" t="s">
        <v>713</v>
      </c>
      <c r="F464" s="44" t="s">
        <v>994</v>
      </c>
      <c r="G464" s="42" t="n">
        <v>1723200</v>
      </c>
      <c r="H464" s="42"/>
      <c r="I464" s="44" t="s">
        <v>429</v>
      </c>
      <c r="J464" s="11" t="n">
        <f aca="false">IF(D464="","",N(G464)-N(H464))</f>
        <v>1723200</v>
      </c>
      <c r="K464" s="34" t="str">
        <f aca="false">IF(D464="","",IFERROR(INDEX(I_COA!$C$6:$C$265,MATCH(D464,I_COA!$A$6:$A$265,0)),"AKUN BARU"))</f>
        <v>LabaRugi</v>
      </c>
      <c r="L464" s="34" t="str">
        <f aca="false">IF(K464="LabaRugi",INDEX(I_COA!$D$6:$D$265,MATCH(D464,I_COA!$A$6:$A$265,0)),"")</f>
        <v>Packaging</v>
      </c>
      <c r="M464" s="34" t="str">
        <f aca="false">IF(K464="Neraca",INDEX(I_COA!$E$6:$E$265,MATCH(D464,I_COA!$A$6:$A$265,0)),"")</f>
        <v/>
      </c>
      <c r="N464" s="34" t="str">
        <f aca="false">IF(D464="","",IFERROR(INDEX(I_COA!$G$6:$G$265,MATCH(D464,I_COA!$A$6:$A$265,0)),"N"))</f>
        <v>N</v>
      </c>
      <c r="O464" s="11" t="n">
        <f aca="false">IF(N464="N",ABS(J464),"")</f>
        <v>1723200</v>
      </c>
      <c r="P464" s="18" t="str">
        <f aca="false">IF(N464="N",B464&amp;"|"&amp;ROUND(O464,0),"")</f>
        <v>PI26080015|1723200</v>
      </c>
      <c r="Q464" s="18" t="str">
        <f aca="false">IF(N464&lt;&gt;"Y","",IFERROR(INDEX($D$6:$D$4005,MATCH(B464&amp;"|"&amp;ROUND(_xlfn.MAXIFS($O$6:$O$4005,$B$6:$B$4005,B464,$N$6:$N$4005,"N"),0),$P$6:$P$4005,0)),"(tanpa lawan)"))</f>
        <v/>
      </c>
      <c r="R464" s="44"/>
      <c r="S464" s="9" t="str">
        <f aca="false">IF(N464&lt;&gt;"Y","",IF(R464&lt;&gt;"",R464,IF(Q464="(tanpa lawan)","Transfer antar rekening",IFERROR(INDEX(I_COA!$F$6:$F$265,MATCH(Q464,I_COA!$A$6:$A$265,0)),"?"))))</f>
        <v/>
      </c>
    </row>
    <row r="465" customFormat="false" ht="15" hidden="false" customHeight="false" outlineLevel="0" collapsed="false">
      <c r="A465" s="37" t="n">
        <v>46242</v>
      </c>
      <c r="B465" s="44" t="s">
        <v>993</v>
      </c>
      <c r="C465" s="44" t="s">
        <v>707</v>
      </c>
      <c r="D465" s="44" t="n">
        <v>2102002</v>
      </c>
      <c r="E465" s="44" t="s">
        <v>633</v>
      </c>
      <c r="F465" s="44" t="s">
        <v>995</v>
      </c>
      <c r="G465" s="42"/>
      <c r="H465" s="42" t="n">
        <v>43080</v>
      </c>
      <c r="I465" s="44" t="s">
        <v>429</v>
      </c>
      <c r="J465" s="11" t="n">
        <f aca="false">IF(D465="","",N(G465)-N(H465))</f>
        <v>-43080</v>
      </c>
      <c r="K465" s="34" t="str">
        <f aca="false">IF(D465="","",IFERROR(INDEX(I_COA!$C$6:$C$265,MATCH(D465,I_COA!$A$6:$A$265,0)),"AKUN BARU"))</f>
        <v>Neraca</v>
      </c>
      <c r="L465" s="34" t="str">
        <f aca="false">IF(K465="LabaRugi",INDEX(I_COA!$D$6:$D$265,MATCH(D465,I_COA!$A$6:$A$265,0)),"")</f>
        <v/>
      </c>
      <c r="M465" s="34" t="str">
        <f aca="false">IF(K465="Neraca",INDEX(I_COA!$E$6:$E$265,MATCH(D465,I_COA!$A$6:$A$265,0)),"")</f>
        <v>Taxes Payable</v>
      </c>
      <c r="N465" s="34" t="str">
        <f aca="false">IF(D465="","",IFERROR(INDEX(I_COA!$G$6:$G$265,MATCH(D465,I_COA!$A$6:$A$265,0)),"N"))</f>
        <v>N</v>
      </c>
      <c r="O465" s="11" t="n">
        <f aca="false">IF(N465="N",ABS(J465),"")</f>
        <v>43080</v>
      </c>
      <c r="P465" s="18" t="str">
        <f aca="false">IF(N465="N",B465&amp;"|"&amp;ROUND(O465,0),"")</f>
        <v>PI26080015|43080</v>
      </c>
      <c r="Q465" s="18" t="str">
        <f aca="false">IF(N465&lt;&gt;"Y","",IFERROR(INDEX($D$6:$D$4005,MATCH(B465&amp;"|"&amp;ROUND(_xlfn.MAXIFS($O$6:$O$4005,$B$6:$B$4005,B465,$N$6:$N$4005,"N"),0),$P$6:$P$4005,0)),"(tanpa lawan)"))</f>
        <v/>
      </c>
      <c r="R465" s="44"/>
      <c r="S465" s="9" t="str">
        <f aca="false">IF(N465&lt;&gt;"Y","",IF(R465&lt;&gt;"",R465,IF(Q465="(tanpa lawan)","Transfer antar rekening",IFERROR(INDEX(I_COA!$F$6:$F$265,MATCH(Q465,I_COA!$A$6:$A$265,0)),"?"))))</f>
        <v/>
      </c>
    </row>
    <row r="466" customFormat="false" ht="15" hidden="false" customHeight="false" outlineLevel="0" collapsed="false">
      <c r="A466" s="37" t="n">
        <v>46242</v>
      </c>
      <c r="B466" s="44" t="s">
        <v>993</v>
      </c>
      <c r="C466" s="44" t="s">
        <v>707</v>
      </c>
      <c r="D466" s="44" t="n">
        <v>2101003</v>
      </c>
      <c r="E466" s="44" t="s">
        <v>679</v>
      </c>
      <c r="F466" s="44" t="s">
        <v>994</v>
      </c>
      <c r="G466" s="42"/>
      <c r="H466" s="42" t="n">
        <v>1680120</v>
      </c>
      <c r="I466" s="44" t="s">
        <v>429</v>
      </c>
      <c r="J466" s="11" t="n">
        <f aca="false">IF(D466="","",N(G466)-N(H466))</f>
        <v>-1680120</v>
      </c>
      <c r="K466" s="34" t="str">
        <f aca="false">IF(D466="","",IFERROR(INDEX(I_COA!$C$6:$C$265,MATCH(D466,I_COA!$A$6:$A$265,0)),"AKUN BARU"))</f>
        <v>Neraca</v>
      </c>
      <c r="L466" s="34" t="str">
        <f aca="false">IF(K466="LabaRugi",INDEX(I_COA!$D$6:$D$265,MATCH(D466,I_COA!$A$6:$A$265,0)),"")</f>
        <v/>
      </c>
      <c r="M466" s="34" t="str">
        <f aca="false">IF(K466="Neraca",INDEX(I_COA!$E$6:$E$265,MATCH(D466,I_COA!$A$6:$A$265,0)),"")</f>
        <v>Other Payable - Third Parties</v>
      </c>
      <c r="N466" s="34" t="str">
        <f aca="false">IF(D466="","",IFERROR(INDEX(I_COA!$G$6:$G$265,MATCH(D466,I_COA!$A$6:$A$265,0)),"N"))</f>
        <v>N</v>
      </c>
      <c r="O466" s="11" t="n">
        <f aca="false">IF(N466="N",ABS(J466),"")</f>
        <v>1680120</v>
      </c>
      <c r="P466" s="18" t="str">
        <f aca="false">IF(N466="N",B466&amp;"|"&amp;ROUND(O466,0),"")</f>
        <v>PI26080015|1680120</v>
      </c>
      <c r="Q466" s="18" t="str">
        <f aca="false">IF(N466&lt;&gt;"Y","",IFERROR(INDEX($D$6:$D$4005,MATCH(B466&amp;"|"&amp;ROUND(_xlfn.MAXIFS($O$6:$O$4005,$B$6:$B$4005,B466,$N$6:$N$4005,"N"),0),$P$6:$P$4005,0)),"(tanpa lawan)"))</f>
        <v/>
      </c>
      <c r="R466" s="44"/>
      <c r="S466" s="9" t="str">
        <f aca="false">IF(N466&lt;&gt;"Y","",IF(R466&lt;&gt;"",R466,IF(Q466="(tanpa lawan)","Transfer antar rekening",IFERROR(INDEX(I_COA!$F$6:$F$265,MATCH(Q466,I_COA!$A$6:$A$265,0)),"?"))))</f>
        <v/>
      </c>
    </row>
    <row r="467" customFormat="false" ht="15" hidden="false" customHeight="false" outlineLevel="0" collapsed="false">
      <c r="A467" s="37" t="n">
        <v>46242</v>
      </c>
      <c r="B467" s="44" t="s">
        <v>996</v>
      </c>
      <c r="C467" s="44" t="s">
        <v>707</v>
      </c>
      <c r="D467" s="44" t="n">
        <v>2103011</v>
      </c>
      <c r="E467" s="44" t="s">
        <v>693</v>
      </c>
      <c r="F467" s="44" t="s">
        <v>965</v>
      </c>
      <c r="G467" s="42" t="n">
        <v>830148800</v>
      </c>
      <c r="H467" s="42"/>
      <c r="I467" s="44" t="s">
        <v>597</v>
      </c>
      <c r="J467" s="11" t="n">
        <f aca="false">IF(D467="","",N(G467)-N(H467))</f>
        <v>830148800</v>
      </c>
      <c r="K467" s="34" t="str">
        <f aca="false">IF(D467="","",IFERROR(INDEX(I_COA!$C$6:$C$265,MATCH(D467,I_COA!$A$6:$A$265,0)),"AKUN BARU"))</f>
        <v>Neraca</v>
      </c>
      <c r="L467" s="34" t="str">
        <f aca="false">IF(K467="LabaRugi",INDEX(I_COA!$D$6:$D$265,MATCH(D467,I_COA!$A$6:$A$265,0)),"")</f>
        <v/>
      </c>
      <c r="M467" s="34" t="str">
        <f aca="false">IF(K467="Neraca",INDEX(I_COA!$E$6:$E$265,MATCH(D467,I_COA!$A$6:$A$265,0)),"")</f>
        <v>Accrued Expenses - Third Parties</v>
      </c>
      <c r="N467" s="34" t="str">
        <f aca="false">IF(D467="","",IFERROR(INDEX(I_COA!$G$6:$G$265,MATCH(D467,I_COA!$A$6:$A$265,0)),"N"))</f>
        <v>N</v>
      </c>
      <c r="O467" s="11" t="n">
        <f aca="false">IF(N467="N",ABS(J467),"")</f>
        <v>830148800</v>
      </c>
      <c r="P467" s="18" t="str">
        <f aca="false">IF(N467="N",B467&amp;"|"&amp;ROUND(O467,0),"")</f>
        <v>PI26080017|830148800</v>
      </c>
      <c r="Q467" s="18" t="str">
        <f aca="false">IF(N467&lt;&gt;"Y","",IFERROR(INDEX($D$6:$D$4005,MATCH(B467&amp;"|"&amp;ROUND(_xlfn.MAXIFS($O$6:$O$4005,$B$6:$B$4005,B467,$N$6:$N$4005,"N"),0),$P$6:$P$4005,0)),"(tanpa lawan)"))</f>
        <v/>
      </c>
      <c r="R467" s="44"/>
      <c r="S467" s="9" t="str">
        <f aca="false">IF(N467&lt;&gt;"Y","",IF(R467&lt;&gt;"",R467,IF(Q467="(tanpa lawan)","Transfer antar rekening",IFERROR(INDEX(I_COA!$F$6:$F$265,MATCH(Q467,I_COA!$A$6:$A$265,0)),"?"))))</f>
        <v/>
      </c>
    </row>
    <row r="468" customFormat="false" ht="15" hidden="false" customHeight="false" outlineLevel="0" collapsed="false">
      <c r="A468" s="37" t="n">
        <v>46242</v>
      </c>
      <c r="B468" s="44" t="s">
        <v>996</v>
      </c>
      <c r="C468" s="44" t="s">
        <v>707</v>
      </c>
      <c r="D468" s="44" t="n">
        <v>2101001</v>
      </c>
      <c r="E468" s="44" t="s">
        <v>595</v>
      </c>
      <c r="F468" s="44" t="s">
        <v>965</v>
      </c>
      <c r="G468" s="42"/>
      <c r="H468" s="42" t="n">
        <v>830148800</v>
      </c>
      <c r="I468" s="44" t="s">
        <v>597</v>
      </c>
      <c r="J468" s="11" t="n">
        <f aca="false">IF(D468="","",N(G468)-N(H468))</f>
        <v>-830148800</v>
      </c>
      <c r="K468" s="34" t="str">
        <f aca="false">IF(D468="","",IFERROR(INDEX(I_COA!$C$6:$C$265,MATCH(D468,I_COA!$A$6:$A$265,0)),"AKUN BARU"))</f>
        <v>Neraca</v>
      </c>
      <c r="L468" s="34" t="str">
        <f aca="false">IF(K468="LabaRugi",INDEX(I_COA!$D$6:$D$265,MATCH(D468,I_COA!$A$6:$A$265,0)),"")</f>
        <v/>
      </c>
      <c r="M468" s="34" t="str">
        <f aca="false">IF(K468="Neraca",INDEX(I_COA!$E$6:$E$265,MATCH(D468,I_COA!$A$6:$A$265,0)),"")</f>
        <v>Trade Payables - Third Parties</v>
      </c>
      <c r="N468" s="34" t="str">
        <f aca="false">IF(D468="","",IFERROR(INDEX(I_COA!$G$6:$G$265,MATCH(D468,I_COA!$A$6:$A$265,0)),"N"))</f>
        <v>N</v>
      </c>
      <c r="O468" s="11" t="n">
        <f aca="false">IF(N468="N",ABS(J468),"")</f>
        <v>830148800</v>
      </c>
      <c r="P468" s="18" t="str">
        <f aca="false">IF(N468="N",B468&amp;"|"&amp;ROUND(O468,0),"")</f>
        <v>PI26080017|830148800</v>
      </c>
      <c r="Q468" s="18" t="str">
        <f aca="false">IF(N468&lt;&gt;"Y","",IFERROR(INDEX($D$6:$D$4005,MATCH(B468&amp;"|"&amp;ROUND(_xlfn.MAXIFS($O$6:$O$4005,$B$6:$B$4005,B468,$N$6:$N$4005,"N"),0),$P$6:$P$4005,0)),"(tanpa lawan)"))</f>
        <v/>
      </c>
      <c r="R468" s="44"/>
      <c r="S468" s="9" t="str">
        <f aca="false">IF(N468&lt;&gt;"Y","",IF(R468&lt;&gt;"",R468,IF(Q468="(tanpa lawan)","Transfer antar rekening",IFERROR(INDEX(I_COA!$F$6:$F$265,MATCH(Q468,I_COA!$A$6:$A$265,0)),"?"))))</f>
        <v/>
      </c>
    </row>
    <row r="469" customFormat="false" ht="15" hidden="false" customHeight="false" outlineLevel="0" collapsed="false">
      <c r="A469" s="37" t="n">
        <v>46242</v>
      </c>
      <c r="B469" s="44" t="s">
        <v>997</v>
      </c>
      <c r="C469" s="44" t="s">
        <v>707</v>
      </c>
      <c r="D469" s="44" t="n">
        <v>5100006</v>
      </c>
      <c r="E469" s="44" t="s">
        <v>950</v>
      </c>
      <c r="F469" s="44" t="s">
        <v>951</v>
      </c>
      <c r="G469" s="42" t="n">
        <v>10500800</v>
      </c>
      <c r="H469" s="42"/>
      <c r="I469" s="44" t="s">
        <v>440</v>
      </c>
      <c r="J469" s="11" t="n">
        <f aca="false">IF(D469="","",N(G469)-N(H469))</f>
        <v>10500800</v>
      </c>
      <c r="K469" s="34" t="str">
        <f aca="false">IF(D469="","",IFERROR(INDEX(I_COA!$C$6:$C$265,MATCH(D469,I_COA!$A$6:$A$265,0)),"AKUN BARU"))</f>
        <v>LabaRugi</v>
      </c>
      <c r="L469" s="34" t="str">
        <f aca="false">IF(K469="LabaRugi",INDEX(I_COA!$D$6:$D$265,MATCH(D469,I_COA!$A$6:$A$265,0)),"")</f>
        <v>COGS - Live Bird</v>
      </c>
      <c r="M469" s="34" t="str">
        <f aca="false">IF(K469="Neraca",INDEX(I_COA!$E$6:$E$265,MATCH(D469,I_COA!$A$6:$A$265,0)),"")</f>
        <v/>
      </c>
      <c r="N469" s="34" t="str">
        <f aca="false">IF(D469="","",IFERROR(INDEX(I_COA!$G$6:$G$265,MATCH(D469,I_COA!$A$6:$A$265,0)),"N"))</f>
        <v>N</v>
      </c>
      <c r="O469" s="11" t="n">
        <f aca="false">IF(N469="N",ABS(J469),"")</f>
        <v>10500800</v>
      </c>
      <c r="P469" s="18" t="str">
        <f aca="false">IF(N469="N",B469&amp;"|"&amp;ROUND(O469,0),"")</f>
        <v>PI26080027|10500800</v>
      </c>
      <c r="Q469" s="18" t="str">
        <f aca="false">IF(N469&lt;&gt;"Y","",IFERROR(INDEX($D$6:$D$4005,MATCH(B469&amp;"|"&amp;ROUND(_xlfn.MAXIFS($O$6:$O$4005,$B$6:$B$4005,B469,$N$6:$N$4005,"N"),0),$P$6:$P$4005,0)),"(tanpa lawan)"))</f>
        <v/>
      </c>
      <c r="R469" s="44"/>
      <c r="S469" s="9" t="str">
        <f aca="false">IF(N469&lt;&gt;"Y","",IF(R469&lt;&gt;"",R469,IF(Q469="(tanpa lawan)","Transfer antar rekening",IFERROR(INDEX(I_COA!$F$6:$F$265,MATCH(Q469,I_COA!$A$6:$A$265,0)),"?"))))</f>
        <v/>
      </c>
    </row>
    <row r="470" customFormat="false" ht="15" hidden="false" customHeight="false" outlineLevel="0" collapsed="false">
      <c r="A470" s="37" t="n">
        <v>46242</v>
      </c>
      <c r="B470" s="44" t="s">
        <v>997</v>
      </c>
      <c r="C470" s="44" t="s">
        <v>707</v>
      </c>
      <c r="D470" s="44" t="n">
        <v>2102003</v>
      </c>
      <c r="E470" s="44" t="s">
        <v>722</v>
      </c>
      <c r="F470" s="44" t="s">
        <v>998</v>
      </c>
      <c r="G470" s="42"/>
      <c r="H470" s="42" t="n">
        <v>210016</v>
      </c>
      <c r="I470" s="44" t="s">
        <v>440</v>
      </c>
      <c r="J470" s="11" t="n">
        <f aca="false">IF(D470="","",N(G470)-N(H470))</f>
        <v>-210016</v>
      </c>
      <c r="K470" s="34" t="str">
        <f aca="false">IF(D470="","",IFERROR(INDEX(I_COA!$C$6:$C$265,MATCH(D470,I_COA!$A$6:$A$265,0)),"AKUN BARU"))</f>
        <v>Neraca</v>
      </c>
      <c r="L470" s="34" t="str">
        <f aca="false">IF(K470="LabaRugi",INDEX(I_COA!$D$6:$D$265,MATCH(D470,I_COA!$A$6:$A$265,0)),"")</f>
        <v/>
      </c>
      <c r="M470" s="34" t="str">
        <f aca="false">IF(K470="Neraca",INDEX(I_COA!$E$6:$E$265,MATCH(D470,I_COA!$A$6:$A$265,0)),"")</f>
        <v>Taxes Payable</v>
      </c>
      <c r="N470" s="34" t="str">
        <f aca="false">IF(D470="","",IFERROR(INDEX(I_COA!$G$6:$G$265,MATCH(D470,I_COA!$A$6:$A$265,0)),"N"))</f>
        <v>N</v>
      </c>
      <c r="O470" s="11" t="n">
        <f aca="false">IF(N470="N",ABS(J470),"")</f>
        <v>210016</v>
      </c>
      <c r="P470" s="18" t="str">
        <f aca="false">IF(N470="N",B470&amp;"|"&amp;ROUND(O470,0),"")</f>
        <v>PI26080027|210016</v>
      </c>
      <c r="Q470" s="18" t="str">
        <f aca="false">IF(N470&lt;&gt;"Y","",IFERROR(INDEX($D$6:$D$4005,MATCH(B470&amp;"|"&amp;ROUND(_xlfn.MAXIFS($O$6:$O$4005,$B$6:$B$4005,B470,$N$6:$N$4005,"N"),0),$P$6:$P$4005,0)),"(tanpa lawan)"))</f>
        <v/>
      </c>
      <c r="R470" s="44"/>
      <c r="S470" s="9" t="str">
        <f aca="false">IF(N470&lt;&gt;"Y","",IF(R470&lt;&gt;"",R470,IF(Q470="(tanpa lawan)","Transfer antar rekening",IFERROR(INDEX(I_COA!$F$6:$F$265,MATCH(Q470,I_COA!$A$6:$A$265,0)),"?"))))</f>
        <v/>
      </c>
    </row>
    <row r="471" customFormat="false" ht="15" hidden="false" customHeight="false" outlineLevel="0" collapsed="false">
      <c r="A471" s="37" t="n">
        <v>46242</v>
      </c>
      <c r="B471" s="44" t="s">
        <v>997</v>
      </c>
      <c r="C471" s="44" t="s">
        <v>707</v>
      </c>
      <c r="D471" s="44" t="n">
        <v>1106001</v>
      </c>
      <c r="E471" s="44" t="s">
        <v>720</v>
      </c>
      <c r="F471" s="44" t="s">
        <v>721</v>
      </c>
      <c r="G471" s="42" t="n">
        <v>1155070</v>
      </c>
      <c r="H471" s="42"/>
      <c r="I471" s="44" t="s">
        <v>440</v>
      </c>
      <c r="J471" s="11" t="n">
        <f aca="false">IF(D471="","",N(G471)-N(H471))</f>
        <v>1155070</v>
      </c>
      <c r="K471" s="34" t="str">
        <f aca="false">IF(D471="","",IFERROR(INDEX(I_COA!$C$6:$C$265,MATCH(D471,I_COA!$A$6:$A$265,0)),"AKUN BARU"))</f>
        <v>Neraca</v>
      </c>
      <c r="L471" s="34" t="str">
        <f aca="false">IF(K471="LabaRugi",INDEX(I_COA!$D$6:$D$265,MATCH(D471,I_COA!$A$6:$A$265,0)),"")</f>
        <v/>
      </c>
      <c r="M471" s="34" t="str">
        <f aca="false">IF(K471="Neraca",INDEX(I_COA!$E$6:$E$265,MATCH(D471,I_COA!$A$6:$A$265,0)),"")</f>
        <v>Prepaid Tax</v>
      </c>
      <c r="N471" s="34" t="str">
        <f aca="false">IF(D471="","",IFERROR(INDEX(I_COA!$G$6:$G$265,MATCH(D471,I_COA!$A$6:$A$265,0)),"N"))</f>
        <v>N</v>
      </c>
      <c r="O471" s="11" t="n">
        <f aca="false">IF(N471="N",ABS(J471),"")</f>
        <v>1155070</v>
      </c>
      <c r="P471" s="18" t="str">
        <f aca="false">IF(N471="N",B471&amp;"|"&amp;ROUND(O471,0),"")</f>
        <v>PI26080027|1155070</v>
      </c>
      <c r="Q471" s="18" t="str">
        <f aca="false">IF(N471&lt;&gt;"Y","",IFERROR(INDEX($D$6:$D$4005,MATCH(B471&amp;"|"&amp;ROUND(_xlfn.MAXIFS($O$6:$O$4005,$B$6:$B$4005,B471,$N$6:$N$4005,"N"),0),$P$6:$P$4005,0)),"(tanpa lawan)"))</f>
        <v/>
      </c>
      <c r="R471" s="44"/>
      <c r="S471" s="9" t="str">
        <f aca="false">IF(N471&lt;&gt;"Y","",IF(R471&lt;&gt;"",R471,IF(Q471="(tanpa lawan)","Transfer antar rekening",IFERROR(INDEX(I_COA!$F$6:$F$265,MATCH(Q471,I_COA!$A$6:$A$265,0)),"?"))))</f>
        <v/>
      </c>
    </row>
    <row r="472" customFormat="false" ht="15" hidden="false" customHeight="false" outlineLevel="0" collapsed="false">
      <c r="A472" s="37" t="n">
        <v>46242</v>
      </c>
      <c r="B472" s="44" t="s">
        <v>997</v>
      </c>
      <c r="C472" s="44" t="s">
        <v>707</v>
      </c>
      <c r="D472" s="44" t="n">
        <v>2101003</v>
      </c>
      <c r="E472" s="44" t="s">
        <v>679</v>
      </c>
      <c r="F472" s="44" t="s">
        <v>951</v>
      </c>
      <c r="G472" s="42"/>
      <c r="H472" s="42" t="n">
        <v>11445854</v>
      </c>
      <c r="I472" s="44" t="s">
        <v>440</v>
      </c>
      <c r="J472" s="11" t="n">
        <f aca="false">IF(D472="","",N(G472)-N(H472))</f>
        <v>-11445854</v>
      </c>
      <c r="K472" s="34" t="str">
        <f aca="false">IF(D472="","",IFERROR(INDEX(I_COA!$C$6:$C$265,MATCH(D472,I_COA!$A$6:$A$265,0)),"AKUN BARU"))</f>
        <v>Neraca</v>
      </c>
      <c r="L472" s="34" t="str">
        <f aca="false">IF(K472="LabaRugi",INDEX(I_COA!$D$6:$D$265,MATCH(D472,I_COA!$A$6:$A$265,0)),"")</f>
        <v/>
      </c>
      <c r="M472" s="34" t="str">
        <f aca="false">IF(K472="Neraca",INDEX(I_COA!$E$6:$E$265,MATCH(D472,I_COA!$A$6:$A$265,0)),"")</f>
        <v>Other Payable - Third Parties</v>
      </c>
      <c r="N472" s="34" t="str">
        <f aca="false">IF(D472="","",IFERROR(INDEX(I_COA!$G$6:$G$265,MATCH(D472,I_COA!$A$6:$A$265,0)),"N"))</f>
        <v>N</v>
      </c>
      <c r="O472" s="11" t="n">
        <f aca="false">IF(N472="N",ABS(J472),"")</f>
        <v>11445854</v>
      </c>
      <c r="P472" s="18" t="str">
        <f aca="false">IF(N472="N",B472&amp;"|"&amp;ROUND(O472,0),"")</f>
        <v>PI26080027|11445854</v>
      </c>
      <c r="Q472" s="18" t="str">
        <f aca="false">IF(N472&lt;&gt;"Y","",IFERROR(INDEX($D$6:$D$4005,MATCH(B472&amp;"|"&amp;ROUND(_xlfn.MAXIFS($O$6:$O$4005,$B$6:$B$4005,B472,$N$6:$N$4005,"N"),0),$P$6:$P$4005,0)),"(tanpa lawan)"))</f>
        <v/>
      </c>
      <c r="R472" s="44"/>
      <c r="S472" s="9" t="str">
        <f aca="false">IF(N472&lt;&gt;"Y","",IF(R472&lt;&gt;"",R472,IF(Q472="(tanpa lawan)","Transfer antar rekening",IFERROR(INDEX(I_COA!$F$6:$F$265,MATCH(Q472,I_COA!$A$6:$A$265,0)),"?"))))</f>
        <v/>
      </c>
    </row>
    <row r="473" customFormat="false" ht="15" hidden="false" customHeight="false" outlineLevel="0" collapsed="false">
      <c r="A473" s="37" t="n">
        <v>46243</v>
      </c>
      <c r="B473" s="44" t="s">
        <v>999</v>
      </c>
      <c r="C473" s="44" t="s">
        <v>585</v>
      </c>
      <c r="D473" s="44" t="n">
        <v>1102001</v>
      </c>
      <c r="E473" s="44" t="s">
        <v>586</v>
      </c>
      <c r="F473" s="44" t="s">
        <v>1000</v>
      </c>
      <c r="G473" s="42" t="n">
        <v>33406350</v>
      </c>
      <c r="H473" s="42"/>
      <c r="I473" s="44" t="s">
        <v>968</v>
      </c>
      <c r="J473" s="11" t="n">
        <f aca="false">IF(D473="","",N(G473)-N(H473))</f>
        <v>33406350</v>
      </c>
      <c r="K473" s="34" t="str">
        <f aca="false">IF(D473="","",IFERROR(INDEX(I_COA!$C$6:$C$265,MATCH(D473,I_COA!$A$6:$A$265,0)),"AKUN BARU"))</f>
        <v>Neraca</v>
      </c>
      <c r="L473" s="34" t="str">
        <f aca="false">IF(K473="LabaRugi",INDEX(I_COA!$D$6:$D$265,MATCH(D473,I_COA!$A$6:$A$265,0)),"")</f>
        <v/>
      </c>
      <c r="M473" s="34" t="str">
        <f aca="false">IF(K473="Neraca",INDEX(I_COA!$E$6:$E$265,MATCH(D473,I_COA!$A$6:$A$265,0)),"")</f>
        <v>Cash and cash equivalents</v>
      </c>
      <c r="N473" s="34" t="str">
        <f aca="false">IF(D473="","",IFERROR(INDEX(I_COA!$G$6:$G$265,MATCH(D473,I_COA!$A$6:$A$265,0)),"N"))</f>
        <v>Y</v>
      </c>
      <c r="O473" s="11" t="str">
        <f aca="false">IF(N473="N",ABS(J473),"")</f>
        <v/>
      </c>
      <c r="P473" s="18" t="str">
        <f aca="false">IF(N473="N",B473&amp;"|"&amp;ROUND(O473,0),"")</f>
        <v/>
      </c>
      <c r="Q473" s="18" t="n">
        <f aca="false">IF(N473&lt;&gt;"Y","",IFERROR(INDEX($D$6:$D$4005,MATCH(B473&amp;"|"&amp;ROUND(_xlfn.MAXIFS($O$6:$O$4005,$B$6:$B$4005,B473,$N$6:$N$4005,"N"),0),$P$6:$P$4005,0)),"(tanpa lawan)"))</f>
        <v>1103101</v>
      </c>
      <c r="R473" s="44"/>
      <c r="S473" s="9" t="str">
        <f aca="false">IF(N473&lt;&gt;"Y","",IF(R473&lt;&gt;"",R473,IF(Q473="(tanpa lawan)","Transfer antar rekening",IFERROR(INDEX(I_COA!$F$6:$F$265,MATCH(Q473,I_COA!$A$6:$A$265,0)),"?"))))</f>
        <v>Penerimaan dari pelanggan</v>
      </c>
    </row>
    <row r="474" customFormat="false" ht="15" hidden="false" customHeight="false" outlineLevel="0" collapsed="false">
      <c r="A474" s="37" t="n">
        <v>46243</v>
      </c>
      <c r="B474" s="44" t="s">
        <v>999</v>
      </c>
      <c r="C474" s="44" t="s">
        <v>585</v>
      </c>
      <c r="D474" s="44" t="n">
        <v>1103101</v>
      </c>
      <c r="E474" s="44" t="s">
        <v>589</v>
      </c>
      <c r="F474" s="44" t="s">
        <v>1000</v>
      </c>
      <c r="G474" s="42"/>
      <c r="H474" s="42" t="n">
        <v>33406350</v>
      </c>
      <c r="I474" s="44" t="s">
        <v>968</v>
      </c>
      <c r="J474" s="11" t="n">
        <f aca="false">IF(D474="","",N(G474)-N(H474))</f>
        <v>-33406350</v>
      </c>
      <c r="K474" s="34" t="str">
        <f aca="false">IF(D474="","",IFERROR(INDEX(I_COA!$C$6:$C$265,MATCH(D474,I_COA!$A$6:$A$265,0)),"AKUN BARU"))</f>
        <v>Neraca</v>
      </c>
      <c r="L474" s="34" t="str">
        <f aca="false">IF(K474="LabaRugi",INDEX(I_COA!$D$6:$D$265,MATCH(D474,I_COA!$A$6:$A$265,0)),"")</f>
        <v/>
      </c>
      <c r="M474" s="34" t="str">
        <f aca="false">IF(K474="Neraca",INDEX(I_COA!$E$6:$E$265,MATCH(D474,I_COA!$A$6:$A$265,0)),"")</f>
        <v>Trade Receivables - Third Parties</v>
      </c>
      <c r="N474" s="34" t="str">
        <f aca="false">IF(D474="","",IFERROR(INDEX(I_COA!$G$6:$G$265,MATCH(D474,I_COA!$A$6:$A$265,0)),"N"))</f>
        <v>N</v>
      </c>
      <c r="O474" s="11" t="n">
        <f aca="false">IF(N474="N",ABS(J474),"")</f>
        <v>33406350</v>
      </c>
      <c r="P474" s="18" t="str">
        <f aca="false">IF(N474="N",B474&amp;"|"&amp;ROUND(O474,0),"")</f>
        <v>B7626080035|33406350</v>
      </c>
      <c r="Q474" s="18" t="str">
        <f aca="false">IF(N474&lt;&gt;"Y","",IFERROR(INDEX($D$6:$D$4005,MATCH(B474&amp;"|"&amp;ROUND(_xlfn.MAXIFS($O$6:$O$4005,$B$6:$B$4005,B474,$N$6:$N$4005,"N"),0),$P$6:$P$4005,0)),"(tanpa lawan)"))</f>
        <v/>
      </c>
      <c r="R474" s="44"/>
      <c r="S474" s="9" t="str">
        <f aca="false">IF(N474&lt;&gt;"Y","",IF(R474&lt;&gt;"",R474,IF(Q474="(tanpa lawan)","Transfer antar rekening",IFERROR(INDEX(I_COA!$F$6:$F$265,MATCH(Q474,I_COA!$A$6:$A$265,0)),"?"))))</f>
        <v/>
      </c>
    </row>
    <row r="475" customFormat="false" ht="15" hidden="false" customHeight="false" outlineLevel="0" collapsed="false">
      <c r="A475" s="37" t="n">
        <v>46243</v>
      </c>
      <c r="B475" s="44" t="s">
        <v>1001</v>
      </c>
      <c r="C475" s="44" t="s">
        <v>580</v>
      </c>
      <c r="D475" s="44" t="n">
        <v>1102001</v>
      </c>
      <c r="E475" s="44" t="s">
        <v>586</v>
      </c>
      <c r="F475" s="44" t="s">
        <v>959</v>
      </c>
      <c r="G475" s="42" t="n">
        <v>3000000</v>
      </c>
      <c r="H475" s="42"/>
      <c r="I475" s="44"/>
      <c r="J475" s="11" t="n">
        <f aca="false">IF(D475="","",N(G475)-N(H475))</f>
        <v>3000000</v>
      </c>
      <c r="K475" s="34" t="str">
        <f aca="false">IF(D475="","",IFERROR(INDEX(I_COA!$C$6:$C$265,MATCH(D475,I_COA!$A$6:$A$265,0)),"AKUN BARU"))</f>
        <v>Neraca</v>
      </c>
      <c r="L475" s="34" t="str">
        <f aca="false">IF(K475="LabaRugi",INDEX(I_COA!$D$6:$D$265,MATCH(D475,I_COA!$A$6:$A$265,0)),"")</f>
        <v/>
      </c>
      <c r="M475" s="34" t="str">
        <f aca="false">IF(K475="Neraca",INDEX(I_COA!$E$6:$E$265,MATCH(D475,I_COA!$A$6:$A$265,0)),"")</f>
        <v>Cash and cash equivalents</v>
      </c>
      <c r="N475" s="34" t="str">
        <f aca="false">IF(D475="","",IFERROR(INDEX(I_COA!$G$6:$G$265,MATCH(D475,I_COA!$A$6:$A$265,0)),"N"))</f>
        <v>Y</v>
      </c>
      <c r="O475" s="11" t="str">
        <f aca="false">IF(N475="N",ABS(J475),"")</f>
        <v/>
      </c>
      <c r="P475" s="18" t="str">
        <f aca="false">IF(N475="N",B475&amp;"|"&amp;ROUND(O475,0),"")</f>
        <v/>
      </c>
      <c r="Q475" s="18" t="n">
        <f aca="false">IF(N475&lt;&gt;"Y","",IFERROR(INDEX($D$6:$D$4005,MATCH(B475&amp;"|"&amp;ROUND(_xlfn.MAXIFS($O$6:$O$4005,$B$6:$B$4005,B475,$N$6:$N$4005,"N"),0),$P$6:$P$4005,0)),"(tanpa lawan)"))</f>
        <v>1103101</v>
      </c>
      <c r="R475" s="44"/>
      <c r="S475" s="9" t="str">
        <f aca="false">IF(N475&lt;&gt;"Y","",IF(R475&lt;&gt;"",R475,IF(Q475="(tanpa lawan)","Transfer antar rekening",IFERROR(INDEX(I_COA!$F$6:$F$265,MATCH(Q475,I_COA!$A$6:$A$265,0)),"?"))))</f>
        <v>Penerimaan dari pelanggan</v>
      </c>
    </row>
    <row r="476" customFormat="false" ht="15" hidden="false" customHeight="false" outlineLevel="0" collapsed="false">
      <c r="A476" s="37" t="n">
        <v>46243</v>
      </c>
      <c r="B476" s="44" t="s">
        <v>1001</v>
      </c>
      <c r="C476" s="44" t="s">
        <v>580</v>
      </c>
      <c r="D476" s="44" t="n">
        <v>2101020</v>
      </c>
      <c r="E476" s="44" t="s">
        <v>653</v>
      </c>
      <c r="F476" s="44" t="s">
        <v>959</v>
      </c>
      <c r="G476" s="42"/>
      <c r="H476" s="42" t="n">
        <v>3000000</v>
      </c>
      <c r="I476" s="44" t="s">
        <v>432</v>
      </c>
      <c r="J476" s="11" t="n">
        <f aca="false">IF(D476="","",N(G476)-N(H476))</f>
        <v>-3000000</v>
      </c>
      <c r="K476" s="34" t="str">
        <f aca="false">IF(D476="","",IFERROR(INDEX(I_COA!$C$6:$C$265,MATCH(D476,I_COA!$A$6:$A$265,0)),"AKUN BARU"))</f>
        <v>Neraca</v>
      </c>
      <c r="L476" s="34" t="str">
        <f aca="false">IF(K476="LabaRugi",INDEX(I_COA!$D$6:$D$265,MATCH(D476,I_COA!$A$6:$A$265,0)),"")</f>
        <v/>
      </c>
      <c r="M476" s="34" t="str">
        <f aca="false">IF(K476="Neraca",INDEX(I_COA!$E$6:$E$265,MATCH(D476,I_COA!$A$6:$A$265,0)),"")</f>
        <v>Unearned Revenue</v>
      </c>
      <c r="N476" s="34" t="str">
        <f aca="false">IF(D476="","",IFERROR(INDEX(I_COA!$G$6:$G$265,MATCH(D476,I_COA!$A$6:$A$265,0)),"N"))</f>
        <v>N</v>
      </c>
      <c r="O476" s="11" t="n">
        <f aca="false">IF(N476="N",ABS(J476),"")</f>
        <v>3000000</v>
      </c>
      <c r="P476" s="18" t="str">
        <f aca="false">IF(N476="N",B476&amp;"|"&amp;ROUND(O476,0),"")</f>
        <v>B7626080036|3000000</v>
      </c>
      <c r="Q476" s="18" t="str">
        <f aca="false">IF(N476&lt;&gt;"Y","",IFERROR(INDEX($D$6:$D$4005,MATCH(B476&amp;"|"&amp;ROUND(_xlfn.MAXIFS($O$6:$O$4005,$B$6:$B$4005,B476,$N$6:$N$4005,"N"),0),$P$6:$P$4005,0)),"(tanpa lawan)"))</f>
        <v/>
      </c>
      <c r="R476" s="44"/>
      <c r="S476" s="9" t="str">
        <f aca="false">IF(N476&lt;&gt;"Y","",IF(R476&lt;&gt;"",R476,IF(Q476="(tanpa lawan)","Transfer antar rekening",IFERROR(INDEX(I_COA!$F$6:$F$265,MATCH(Q476,I_COA!$A$6:$A$265,0)),"?"))))</f>
        <v/>
      </c>
    </row>
    <row r="477" customFormat="false" ht="15" hidden="false" customHeight="false" outlineLevel="0" collapsed="false">
      <c r="A477" s="37" t="n">
        <v>46243</v>
      </c>
      <c r="B477" s="44" t="s">
        <v>1002</v>
      </c>
      <c r="C477" s="44" t="s">
        <v>707</v>
      </c>
      <c r="D477" s="44" t="n">
        <v>5100009</v>
      </c>
      <c r="E477" s="44" t="s">
        <v>1003</v>
      </c>
      <c r="F477" s="44" t="s">
        <v>1004</v>
      </c>
      <c r="G477" s="42" t="n">
        <v>1415125</v>
      </c>
      <c r="H477" s="42"/>
      <c r="I477" s="44" t="s">
        <v>1005</v>
      </c>
      <c r="J477" s="11" t="n">
        <f aca="false">IF(D477="","",N(G477)-N(H477))</f>
        <v>1415125</v>
      </c>
      <c r="K477" s="34" t="str">
        <f aca="false">IF(D477="","",IFERROR(INDEX(I_COA!$C$6:$C$265,MATCH(D477,I_COA!$A$6:$A$265,0)),"AKUN BARU"))</f>
        <v>LabaRugi</v>
      </c>
      <c r="L477" s="34" t="str">
        <f aca="false">IF(K477="LabaRugi",INDEX(I_COA!$D$6:$D$265,MATCH(D477,I_COA!$A$6:$A$265,0)),"")</f>
        <v>COGS - Blasting</v>
      </c>
      <c r="M477" s="34" t="str">
        <f aca="false">IF(K477="Neraca",INDEX(I_COA!$E$6:$E$265,MATCH(D477,I_COA!$A$6:$A$265,0)),"")</f>
        <v/>
      </c>
      <c r="N477" s="34" t="str">
        <f aca="false">IF(D477="","",IFERROR(INDEX(I_COA!$G$6:$G$265,MATCH(D477,I_COA!$A$6:$A$265,0)),"N"))</f>
        <v>N</v>
      </c>
      <c r="O477" s="11" t="n">
        <f aca="false">IF(N477="N",ABS(J477),"")</f>
        <v>1415125</v>
      </c>
      <c r="P477" s="18" t="str">
        <f aca="false">IF(N477="N",B477&amp;"|"&amp;ROUND(O477,0),"")</f>
        <v>PI26080012|1415125</v>
      </c>
      <c r="Q477" s="18" t="str">
        <f aca="false">IF(N477&lt;&gt;"Y","",IFERROR(INDEX($D$6:$D$4005,MATCH(B477&amp;"|"&amp;ROUND(_xlfn.MAXIFS($O$6:$O$4005,$B$6:$B$4005,B477,$N$6:$N$4005,"N"),0),$P$6:$P$4005,0)),"(tanpa lawan)"))</f>
        <v/>
      </c>
      <c r="R477" s="44"/>
      <c r="S477" s="9" t="str">
        <f aca="false">IF(N477&lt;&gt;"Y","",IF(R477&lt;&gt;"",R477,IF(Q477="(tanpa lawan)","Transfer antar rekening",IFERROR(INDEX(I_COA!$F$6:$F$265,MATCH(Q477,I_COA!$A$6:$A$265,0)),"?"))))</f>
        <v/>
      </c>
    </row>
    <row r="478" customFormat="false" ht="15" hidden="false" customHeight="false" outlineLevel="0" collapsed="false">
      <c r="A478" s="37" t="n">
        <v>46243</v>
      </c>
      <c r="B478" s="44" t="s">
        <v>1002</v>
      </c>
      <c r="C478" s="44" t="s">
        <v>707</v>
      </c>
      <c r="D478" s="44" t="n">
        <v>5100009</v>
      </c>
      <c r="E478" s="44" t="s">
        <v>1003</v>
      </c>
      <c r="F478" s="44" t="s">
        <v>1006</v>
      </c>
      <c r="G478" s="42" t="n">
        <v>119600</v>
      </c>
      <c r="H478" s="42"/>
      <c r="I478" s="44" t="s">
        <v>1005</v>
      </c>
      <c r="J478" s="11" t="n">
        <f aca="false">IF(D478="","",N(G478)-N(H478))</f>
        <v>119600</v>
      </c>
      <c r="K478" s="34" t="str">
        <f aca="false">IF(D478="","",IFERROR(INDEX(I_COA!$C$6:$C$265,MATCH(D478,I_COA!$A$6:$A$265,0)),"AKUN BARU"))</f>
        <v>LabaRugi</v>
      </c>
      <c r="L478" s="34" t="str">
        <f aca="false">IF(K478="LabaRugi",INDEX(I_COA!$D$6:$D$265,MATCH(D478,I_COA!$A$6:$A$265,0)),"")</f>
        <v>COGS - Blasting</v>
      </c>
      <c r="M478" s="34" t="str">
        <f aca="false">IF(K478="Neraca",INDEX(I_COA!$E$6:$E$265,MATCH(D478,I_COA!$A$6:$A$265,0)),"")</f>
        <v/>
      </c>
      <c r="N478" s="34" t="str">
        <f aca="false">IF(D478="","",IFERROR(INDEX(I_COA!$G$6:$G$265,MATCH(D478,I_COA!$A$6:$A$265,0)),"N"))</f>
        <v>N</v>
      </c>
      <c r="O478" s="11" t="n">
        <f aca="false">IF(N478="N",ABS(J478),"")</f>
        <v>119600</v>
      </c>
      <c r="P478" s="18" t="str">
        <f aca="false">IF(N478="N",B478&amp;"|"&amp;ROUND(O478,0),"")</f>
        <v>PI26080012|119600</v>
      </c>
      <c r="Q478" s="18" t="str">
        <f aca="false">IF(N478&lt;&gt;"Y","",IFERROR(INDEX($D$6:$D$4005,MATCH(B478&amp;"|"&amp;ROUND(_xlfn.MAXIFS($O$6:$O$4005,$B$6:$B$4005,B478,$N$6:$N$4005,"N"),0),$P$6:$P$4005,0)),"(tanpa lawan)"))</f>
        <v/>
      </c>
      <c r="R478" s="44"/>
      <c r="S478" s="9" t="str">
        <f aca="false">IF(N478&lt;&gt;"Y","",IF(R478&lt;&gt;"",R478,IF(Q478="(tanpa lawan)","Transfer antar rekening",IFERROR(INDEX(I_COA!$F$6:$F$265,MATCH(Q478,I_COA!$A$6:$A$265,0)),"?"))))</f>
        <v/>
      </c>
    </row>
    <row r="479" customFormat="false" ht="15" hidden="false" customHeight="false" outlineLevel="0" collapsed="false">
      <c r="A479" s="37" t="n">
        <v>46243</v>
      </c>
      <c r="B479" s="44" t="s">
        <v>1002</v>
      </c>
      <c r="C479" s="44" t="s">
        <v>707</v>
      </c>
      <c r="D479" s="44" t="n">
        <v>5100008</v>
      </c>
      <c r="E479" s="44" t="s">
        <v>713</v>
      </c>
      <c r="F479" s="44" t="s">
        <v>1007</v>
      </c>
      <c r="G479" s="42" t="n">
        <v>339630</v>
      </c>
      <c r="H479" s="42"/>
      <c r="I479" s="44" t="s">
        <v>1005</v>
      </c>
      <c r="J479" s="11" t="n">
        <f aca="false">IF(D479="","",N(G479)-N(H479))</f>
        <v>339630</v>
      </c>
      <c r="K479" s="34" t="str">
        <f aca="false">IF(D479="","",IFERROR(INDEX(I_COA!$C$6:$C$265,MATCH(D479,I_COA!$A$6:$A$265,0)),"AKUN BARU"))</f>
        <v>LabaRugi</v>
      </c>
      <c r="L479" s="34" t="str">
        <f aca="false">IF(K479="LabaRugi",INDEX(I_COA!$D$6:$D$265,MATCH(D479,I_COA!$A$6:$A$265,0)),"")</f>
        <v>Packaging</v>
      </c>
      <c r="M479" s="34" t="str">
        <f aca="false">IF(K479="Neraca",INDEX(I_COA!$E$6:$E$265,MATCH(D479,I_COA!$A$6:$A$265,0)),"")</f>
        <v/>
      </c>
      <c r="N479" s="34" t="str">
        <f aca="false">IF(D479="","",IFERROR(INDEX(I_COA!$G$6:$G$265,MATCH(D479,I_COA!$A$6:$A$265,0)),"N"))</f>
        <v>N</v>
      </c>
      <c r="O479" s="11" t="n">
        <f aca="false">IF(N479="N",ABS(J479),"")</f>
        <v>339630</v>
      </c>
      <c r="P479" s="18" t="str">
        <f aca="false">IF(N479="N",B479&amp;"|"&amp;ROUND(O479,0),"")</f>
        <v>PI26080012|339630</v>
      </c>
      <c r="Q479" s="18" t="str">
        <f aca="false">IF(N479&lt;&gt;"Y","",IFERROR(INDEX($D$6:$D$4005,MATCH(B479&amp;"|"&amp;ROUND(_xlfn.MAXIFS($O$6:$O$4005,$B$6:$B$4005,B479,$N$6:$N$4005,"N"),0),$P$6:$P$4005,0)),"(tanpa lawan)"))</f>
        <v/>
      </c>
      <c r="R479" s="44"/>
      <c r="S479" s="9" t="str">
        <f aca="false">IF(N479&lt;&gt;"Y","",IF(R479&lt;&gt;"",R479,IF(Q479="(tanpa lawan)","Transfer antar rekening",IFERROR(INDEX(I_COA!$F$6:$F$265,MATCH(Q479,I_COA!$A$6:$A$265,0)),"?"))))</f>
        <v/>
      </c>
    </row>
    <row r="480" customFormat="false" ht="15" hidden="false" customHeight="false" outlineLevel="0" collapsed="false">
      <c r="A480" s="37" t="n">
        <v>46243</v>
      </c>
      <c r="B480" s="44" t="s">
        <v>1002</v>
      </c>
      <c r="C480" s="44" t="s">
        <v>707</v>
      </c>
      <c r="D480" s="44" t="n">
        <v>5100008</v>
      </c>
      <c r="E480" s="44" t="s">
        <v>713</v>
      </c>
      <c r="F480" s="44" t="s">
        <v>1008</v>
      </c>
      <c r="G480" s="42" t="n">
        <v>283025</v>
      </c>
      <c r="H480" s="42"/>
      <c r="I480" s="44" t="s">
        <v>1005</v>
      </c>
      <c r="J480" s="11" t="n">
        <f aca="false">IF(D480="","",N(G480)-N(H480))</f>
        <v>283025</v>
      </c>
      <c r="K480" s="34" t="str">
        <f aca="false">IF(D480="","",IFERROR(INDEX(I_COA!$C$6:$C$265,MATCH(D480,I_COA!$A$6:$A$265,0)),"AKUN BARU"))</f>
        <v>LabaRugi</v>
      </c>
      <c r="L480" s="34" t="str">
        <f aca="false">IF(K480="LabaRugi",INDEX(I_COA!$D$6:$D$265,MATCH(D480,I_COA!$A$6:$A$265,0)),"")</f>
        <v>Packaging</v>
      </c>
      <c r="M480" s="34" t="str">
        <f aca="false">IF(K480="Neraca",INDEX(I_COA!$E$6:$E$265,MATCH(D480,I_COA!$A$6:$A$265,0)),"")</f>
        <v/>
      </c>
      <c r="N480" s="34" t="str">
        <f aca="false">IF(D480="","",IFERROR(INDEX(I_COA!$G$6:$G$265,MATCH(D480,I_COA!$A$6:$A$265,0)),"N"))</f>
        <v>N</v>
      </c>
      <c r="O480" s="11" t="n">
        <f aca="false">IF(N480="N",ABS(J480),"")</f>
        <v>283025</v>
      </c>
      <c r="P480" s="18" t="str">
        <f aca="false">IF(N480="N",B480&amp;"|"&amp;ROUND(O480,0),"")</f>
        <v>PI26080012|283025</v>
      </c>
      <c r="Q480" s="18" t="str">
        <f aca="false">IF(N480&lt;&gt;"Y","",IFERROR(INDEX($D$6:$D$4005,MATCH(B480&amp;"|"&amp;ROUND(_xlfn.MAXIFS($O$6:$O$4005,$B$6:$B$4005,B480,$N$6:$N$4005,"N"),0),$P$6:$P$4005,0)),"(tanpa lawan)"))</f>
        <v/>
      </c>
      <c r="R480" s="44"/>
      <c r="S480" s="9" t="str">
        <f aca="false">IF(N480&lt;&gt;"Y","",IF(R480&lt;&gt;"",R480,IF(Q480="(tanpa lawan)","Transfer antar rekening",IFERROR(INDEX(I_COA!$F$6:$F$265,MATCH(Q480,I_COA!$A$6:$A$265,0)),"?"))))</f>
        <v/>
      </c>
    </row>
    <row r="481" customFormat="false" ht="15" hidden="false" customHeight="false" outlineLevel="0" collapsed="false">
      <c r="A481" s="37" t="n">
        <v>46243</v>
      </c>
      <c r="B481" s="44" t="s">
        <v>1002</v>
      </c>
      <c r="C481" s="44" t="s">
        <v>707</v>
      </c>
      <c r="D481" s="44" t="n">
        <v>2102003</v>
      </c>
      <c r="E481" s="44" t="s">
        <v>722</v>
      </c>
      <c r="F481" s="44" t="s">
        <v>1009</v>
      </c>
      <c r="G481" s="42"/>
      <c r="H481" s="42" t="n">
        <v>40755.6</v>
      </c>
      <c r="I481" s="44" t="s">
        <v>1005</v>
      </c>
      <c r="J481" s="11" t="n">
        <f aca="false">IF(D481="","",N(G481)-N(H481))</f>
        <v>-40755.6</v>
      </c>
      <c r="K481" s="34" t="str">
        <f aca="false">IF(D481="","",IFERROR(INDEX(I_COA!$C$6:$C$265,MATCH(D481,I_COA!$A$6:$A$265,0)),"AKUN BARU"))</f>
        <v>Neraca</v>
      </c>
      <c r="L481" s="34" t="str">
        <f aca="false">IF(K481="LabaRugi",INDEX(I_COA!$D$6:$D$265,MATCH(D481,I_COA!$A$6:$A$265,0)),"")</f>
        <v/>
      </c>
      <c r="M481" s="34" t="str">
        <f aca="false">IF(K481="Neraca",INDEX(I_COA!$E$6:$E$265,MATCH(D481,I_COA!$A$6:$A$265,0)),"")</f>
        <v>Taxes Payable</v>
      </c>
      <c r="N481" s="34" t="str">
        <f aca="false">IF(D481="","",IFERROR(INDEX(I_COA!$G$6:$G$265,MATCH(D481,I_COA!$A$6:$A$265,0)),"N"))</f>
        <v>N</v>
      </c>
      <c r="O481" s="11" t="n">
        <f aca="false">IF(N481="N",ABS(J481),"")</f>
        <v>40755.6</v>
      </c>
      <c r="P481" s="18" t="str">
        <f aca="false">IF(N481="N",B481&amp;"|"&amp;ROUND(O481,0),"")</f>
        <v>PI26080012|40756</v>
      </c>
      <c r="Q481" s="18" t="str">
        <f aca="false">IF(N481&lt;&gt;"Y","",IFERROR(INDEX($D$6:$D$4005,MATCH(B481&amp;"|"&amp;ROUND(_xlfn.MAXIFS($O$6:$O$4005,$B$6:$B$4005,B481,$N$6:$N$4005,"N"),0),$P$6:$P$4005,0)),"(tanpa lawan)"))</f>
        <v/>
      </c>
      <c r="R481" s="44"/>
      <c r="S481" s="9" t="str">
        <f aca="false">IF(N481&lt;&gt;"Y","",IF(R481&lt;&gt;"",R481,IF(Q481="(tanpa lawan)","Transfer antar rekening",IFERROR(INDEX(I_COA!$F$6:$F$265,MATCH(Q481,I_COA!$A$6:$A$265,0)),"?"))))</f>
        <v/>
      </c>
    </row>
    <row r="482" customFormat="false" ht="15" hidden="false" customHeight="false" outlineLevel="0" collapsed="false">
      <c r="A482" s="37" t="n">
        <v>46243</v>
      </c>
      <c r="B482" s="44" t="s">
        <v>1002</v>
      </c>
      <c r="C482" s="44" t="s">
        <v>707</v>
      </c>
      <c r="D482" s="44" t="n">
        <v>2101003</v>
      </c>
      <c r="E482" s="44" t="s">
        <v>679</v>
      </c>
      <c r="F482" s="44" t="s">
        <v>1010</v>
      </c>
      <c r="G482" s="42"/>
      <c r="H482" s="42" t="n">
        <v>2116624.4</v>
      </c>
      <c r="I482" s="44" t="s">
        <v>1005</v>
      </c>
      <c r="J482" s="11" t="n">
        <f aca="false">IF(D482="","",N(G482)-N(H482))</f>
        <v>-2116624.4</v>
      </c>
      <c r="K482" s="34" t="str">
        <f aca="false">IF(D482="","",IFERROR(INDEX(I_COA!$C$6:$C$265,MATCH(D482,I_COA!$A$6:$A$265,0)),"AKUN BARU"))</f>
        <v>Neraca</v>
      </c>
      <c r="L482" s="34" t="str">
        <f aca="false">IF(K482="LabaRugi",INDEX(I_COA!$D$6:$D$265,MATCH(D482,I_COA!$A$6:$A$265,0)),"")</f>
        <v/>
      </c>
      <c r="M482" s="34" t="str">
        <f aca="false">IF(K482="Neraca",INDEX(I_COA!$E$6:$E$265,MATCH(D482,I_COA!$A$6:$A$265,0)),"")</f>
        <v>Other Payable - Third Parties</v>
      </c>
      <c r="N482" s="34" t="str">
        <f aca="false">IF(D482="","",IFERROR(INDEX(I_COA!$G$6:$G$265,MATCH(D482,I_COA!$A$6:$A$265,0)),"N"))</f>
        <v>N</v>
      </c>
      <c r="O482" s="11" t="n">
        <f aca="false">IF(N482="N",ABS(J482),"")</f>
        <v>2116624.4</v>
      </c>
      <c r="P482" s="18" t="str">
        <f aca="false">IF(N482="N",B482&amp;"|"&amp;ROUND(O482,0),"")</f>
        <v>PI26080012|2116624</v>
      </c>
      <c r="Q482" s="18" t="str">
        <f aca="false">IF(N482&lt;&gt;"Y","",IFERROR(INDEX($D$6:$D$4005,MATCH(B482&amp;"|"&amp;ROUND(_xlfn.MAXIFS($O$6:$O$4005,$B$6:$B$4005,B482,$N$6:$N$4005,"N"),0),$P$6:$P$4005,0)),"(tanpa lawan)"))</f>
        <v/>
      </c>
      <c r="R482" s="44"/>
      <c r="S482" s="9" t="str">
        <f aca="false">IF(N482&lt;&gt;"Y","",IF(R482&lt;&gt;"",R482,IF(Q482="(tanpa lawan)","Transfer antar rekening",IFERROR(INDEX(I_COA!$F$6:$F$265,MATCH(Q482,I_COA!$A$6:$A$265,0)),"?"))))</f>
        <v/>
      </c>
    </row>
    <row r="483" customFormat="false" ht="15" hidden="false" customHeight="false" outlineLevel="0" collapsed="false">
      <c r="A483" s="37" t="n">
        <v>46243</v>
      </c>
      <c r="B483" s="44" t="s">
        <v>1011</v>
      </c>
      <c r="C483" s="44" t="s">
        <v>707</v>
      </c>
      <c r="D483" s="44" t="n">
        <v>5100007</v>
      </c>
      <c r="E483" s="44" t="s">
        <v>708</v>
      </c>
      <c r="F483" s="44" t="s">
        <v>1012</v>
      </c>
      <c r="G483" s="42" t="n">
        <v>24000000</v>
      </c>
      <c r="H483" s="42"/>
      <c r="I483" s="44" t="s">
        <v>681</v>
      </c>
      <c r="J483" s="11" t="n">
        <f aca="false">IF(D483="","",N(G483)-N(H483))</f>
        <v>24000000</v>
      </c>
      <c r="K483" s="34" t="str">
        <f aca="false">IF(D483="","",IFERROR(INDEX(I_COA!$C$6:$C$265,MATCH(D483,I_COA!$A$6:$A$265,0)),"AKUN BARU"))</f>
        <v>LabaRugi</v>
      </c>
      <c r="L483" s="34" t="str">
        <f aca="false">IF(K483="LabaRugi",INDEX(I_COA!$D$6:$D$265,MATCH(D483,I_COA!$A$6:$A$265,0)),"")</f>
        <v>Other COGS - Expedition</v>
      </c>
      <c r="M483" s="34" t="str">
        <f aca="false">IF(K483="Neraca",INDEX(I_COA!$E$6:$E$265,MATCH(D483,I_COA!$A$6:$A$265,0)),"")</f>
        <v/>
      </c>
      <c r="N483" s="34" t="str">
        <f aca="false">IF(D483="","",IFERROR(INDEX(I_COA!$G$6:$G$265,MATCH(D483,I_COA!$A$6:$A$265,0)),"N"))</f>
        <v>N</v>
      </c>
      <c r="O483" s="11" t="n">
        <f aca="false">IF(N483="N",ABS(J483),"")</f>
        <v>24000000</v>
      </c>
      <c r="P483" s="18" t="str">
        <f aca="false">IF(N483="N",B483&amp;"|"&amp;ROUND(O483,0),"")</f>
        <v>PI26080029|24000000</v>
      </c>
      <c r="Q483" s="18" t="str">
        <f aca="false">IF(N483&lt;&gt;"Y","",IFERROR(INDEX($D$6:$D$4005,MATCH(B483&amp;"|"&amp;ROUND(_xlfn.MAXIFS($O$6:$O$4005,$B$6:$B$4005,B483,$N$6:$N$4005,"N"),0),$P$6:$P$4005,0)),"(tanpa lawan)"))</f>
        <v/>
      </c>
      <c r="R483" s="44"/>
      <c r="S483" s="9" t="str">
        <f aca="false">IF(N483&lt;&gt;"Y","",IF(R483&lt;&gt;"",R483,IF(Q483="(tanpa lawan)","Transfer antar rekening",IFERROR(INDEX(I_COA!$F$6:$F$265,MATCH(Q483,I_COA!$A$6:$A$265,0)),"?"))))</f>
        <v/>
      </c>
    </row>
    <row r="484" customFormat="false" ht="15" hidden="false" customHeight="false" outlineLevel="0" collapsed="false">
      <c r="A484" s="37" t="n">
        <v>46243</v>
      </c>
      <c r="B484" s="44" t="s">
        <v>1011</v>
      </c>
      <c r="C484" s="44" t="s">
        <v>707</v>
      </c>
      <c r="D484" s="44" t="n">
        <v>2102002</v>
      </c>
      <c r="E484" s="44" t="s">
        <v>633</v>
      </c>
      <c r="F484" s="44" t="s">
        <v>1013</v>
      </c>
      <c r="G484" s="42"/>
      <c r="H484" s="42" t="n">
        <v>600000</v>
      </c>
      <c r="I484" s="44" t="s">
        <v>681</v>
      </c>
      <c r="J484" s="11" t="n">
        <f aca="false">IF(D484="","",N(G484)-N(H484))</f>
        <v>-600000</v>
      </c>
      <c r="K484" s="34" t="str">
        <f aca="false">IF(D484="","",IFERROR(INDEX(I_COA!$C$6:$C$265,MATCH(D484,I_COA!$A$6:$A$265,0)),"AKUN BARU"))</f>
        <v>Neraca</v>
      </c>
      <c r="L484" s="34" t="str">
        <f aca="false">IF(K484="LabaRugi",INDEX(I_COA!$D$6:$D$265,MATCH(D484,I_COA!$A$6:$A$265,0)),"")</f>
        <v/>
      </c>
      <c r="M484" s="34" t="str">
        <f aca="false">IF(K484="Neraca",INDEX(I_COA!$E$6:$E$265,MATCH(D484,I_COA!$A$6:$A$265,0)),"")</f>
        <v>Taxes Payable</v>
      </c>
      <c r="N484" s="34" t="str">
        <f aca="false">IF(D484="","",IFERROR(INDEX(I_COA!$G$6:$G$265,MATCH(D484,I_COA!$A$6:$A$265,0)),"N"))</f>
        <v>N</v>
      </c>
      <c r="O484" s="11" t="n">
        <f aca="false">IF(N484="N",ABS(J484),"")</f>
        <v>600000</v>
      </c>
      <c r="P484" s="18" t="str">
        <f aca="false">IF(N484="N",B484&amp;"|"&amp;ROUND(O484,0),"")</f>
        <v>PI26080029|600000</v>
      </c>
      <c r="Q484" s="18" t="str">
        <f aca="false">IF(N484&lt;&gt;"Y","",IFERROR(INDEX($D$6:$D$4005,MATCH(B484&amp;"|"&amp;ROUND(_xlfn.MAXIFS($O$6:$O$4005,$B$6:$B$4005,B484,$N$6:$N$4005,"N"),0),$P$6:$P$4005,0)),"(tanpa lawan)"))</f>
        <v/>
      </c>
      <c r="R484" s="44"/>
      <c r="S484" s="9" t="str">
        <f aca="false">IF(N484&lt;&gt;"Y","",IF(R484&lt;&gt;"",R484,IF(Q484="(tanpa lawan)","Transfer antar rekening",IFERROR(INDEX(I_COA!$F$6:$F$265,MATCH(Q484,I_COA!$A$6:$A$265,0)),"?"))))</f>
        <v/>
      </c>
    </row>
    <row r="485" customFormat="false" ht="15" hidden="false" customHeight="false" outlineLevel="0" collapsed="false">
      <c r="A485" s="37" t="n">
        <v>46243</v>
      </c>
      <c r="B485" s="44" t="s">
        <v>1011</v>
      </c>
      <c r="C485" s="44" t="s">
        <v>707</v>
      </c>
      <c r="D485" s="44" t="n">
        <v>2101003</v>
      </c>
      <c r="E485" s="44" t="s">
        <v>679</v>
      </c>
      <c r="F485" s="44" t="s">
        <v>1012</v>
      </c>
      <c r="G485" s="42"/>
      <c r="H485" s="42" t="n">
        <v>23400000</v>
      </c>
      <c r="I485" s="44" t="s">
        <v>681</v>
      </c>
      <c r="J485" s="11" t="n">
        <f aca="false">IF(D485="","",N(G485)-N(H485))</f>
        <v>-23400000</v>
      </c>
      <c r="K485" s="34" t="str">
        <f aca="false">IF(D485="","",IFERROR(INDEX(I_COA!$C$6:$C$265,MATCH(D485,I_COA!$A$6:$A$265,0)),"AKUN BARU"))</f>
        <v>Neraca</v>
      </c>
      <c r="L485" s="34" t="str">
        <f aca="false">IF(K485="LabaRugi",INDEX(I_COA!$D$6:$D$265,MATCH(D485,I_COA!$A$6:$A$265,0)),"")</f>
        <v/>
      </c>
      <c r="M485" s="34" t="str">
        <f aca="false">IF(K485="Neraca",INDEX(I_COA!$E$6:$E$265,MATCH(D485,I_COA!$A$6:$A$265,0)),"")</f>
        <v>Other Payable - Third Parties</v>
      </c>
      <c r="N485" s="34" t="str">
        <f aca="false">IF(D485="","",IFERROR(INDEX(I_COA!$G$6:$G$265,MATCH(D485,I_COA!$A$6:$A$265,0)),"N"))</f>
        <v>N</v>
      </c>
      <c r="O485" s="11" t="n">
        <f aca="false">IF(N485="N",ABS(J485),"")</f>
        <v>23400000</v>
      </c>
      <c r="P485" s="18" t="str">
        <f aca="false">IF(N485="N",B485&amp;"|"&amp;ROUND(O485,0),"")</f>
        <v>PI26080029|23400000</v>
      </c>
      <c r="Q485" s="18" t="str">
        <f aca="false">IF(N485&lt;&gt;"Y","",IFERROR(INDEX($D$6:$D$4005,MATCH(B485&amp;"|"&amp;ROUND(_xlfn.MAXIFS($O$6:$O$4005,$B$6:$B$4005,B485,$N$6:$N$4005,"N"),0),$P$6:$P$4005,0)),"(tanpa lawan)"))</f>
        <v/>
      </c>
      <c r="R485" s="44"/>
      <c r="S485" s="9" t="str">
        <f aca="false">IF(N485&lt;&gt;"Y","",IF(R485&lt;&gt;"",R485,IF(Q485="(tanpa lawan)","Transfer antar rekening",IFERROR(INDEX(I_COA!$F$6:$F$265,MATCH(Q485,I_COA!$A$6:$A$265,0)),"?"))))</f>
        <v/>
      </c>
    </row>
    <row r="486" customFormat="false" ht="15" hidden="false" customHeight="false" outlineLevel="0" collapsed="false">
      <c r="A486" s="37" t="n">
        <v>46244</v>
      </c>
      <c r="B486" s="44" t="s">
        <v>1001</v>
      </c>
      <c r="C486" s="44" t="s">
        <v>585</v>
      </c>
      <c r="D486" s="44" t="n">
        <v>1102001</v>
      </c>
      <c r="E486" s="44" t="s">
        <v>586</v>
      </c>
      <c r="F486" s="44" t="s">
        <v>1014</v>
      </c>
      <c r="G486" s="42" t="n">
        <v>12460775</v>
      </c>
      <c r="H486" s="42"/>
      <c r="I486" s="44" t="s">
        <v>429</v>
      </c>
      <c r="J486" s="11" t="n">
        <f aca="false">IF(D486="","",N(G486)-N(H486))</f>
        <v>12460775</v>
      </c>
      <c r="K486" s="34" t="str">
        <f aca="false">IF(D486="","",IFERROR(INDEX(I_COA!$C$6:$C$265,MATCH(D486,I_COA!$A$6:$A$265,0)),"AKUN BARU"))</f>
        <v>Neraca</v>
      </c>
      <c r="L486" s="34" t="str">
        <f aca="false">IF(K486="LabaRugi",INDEX(I_COA!$D$6:$D$265,MATCH(D486,I_COA!$A$6:$A$265,0)),"")</f>
        <v/>
      </c>
      <c r="M486" s="34" t="str">
        <f aca="false">IF(K486="Neraca",INDEX(I_COA!$E$6:$E$265,MATCH(D486,I_COA!$A$6:$A$265,0)),"")</f>
        <v>Cash and cash equivalents</v>
      </c>
      <c r="N486" s="34" t="str">
        <f aca="false">IF(D486="","",IFERROR(INDEX(I_COA!$G$6:$G$265,MATCH(D486,I_COA!$A$6:$A$265,0)),"N"))</f>
        <v>Y</v>
      </c>
      <c r="O486" s="11" t="str">
        <f aca="false">IF(N486="N",ABS(J486),"")</f>
        <v/>
      </c>
      <c r="P486" s="18" t="str">
        <f aca="false">IF(N486="N",B486&amp;"|"&amp;ROUND(O486,0),"")</f>
        <v/>
      </c>
      <c r="Q486" s="18" t="n">
        <f aca="false">IF(N486&lt;&gt;"Y","",IFERROR(INDEX($D$6:$D$4005,MATCH(B486&amp;"|"&amp;ROUND(_xlfn.MAXIFS($O$6:$O$4005,$B$6:$B$4005,B486,$N$6:$N$4005,"N"),0),$P$6:$P$4005,0)),"(tanpa lawan)"))</f>
        <v>1103101</v>
      </c>
      <c r="R486" s="44"/>
      <c r="S486" s="9" t="str">
        <f aca="false">IF(N486&lt;&gt;"Y","",IF(R486&lt;&gt;"",R486,IF(Q486="(tanpa lawan)","Transfer antar rekening",IFERROR(INDEX(I_COA!$F$6:$F$265,MATCH(Q486,I_COA!$A$6:$A$265,0)),"?"))))</f>
        <v>Penerimaan dari pelanggan</v>
      </c>
    </row>
    <row r="487" customFormat="false" ht="15" hidden="false" customHeight="false" outlineLevel="0" collapsed="false">
      <c r="A487" s="37" t="n">
        <v>46244</v>
      </c>
      <c r="B487" s="44" t="s">
        <v>1001</v>
      </c>
      <c r="C487" s="44" t="s">
        <v>585</v>
      </c>
      <c r="D487" s="44" t="n">
        <v>1103101</v>
      </c>
      <c r="E487" s="44" t="s">
        <v>589</v>
      </c>
      <c r="F487" s="44" t="s">
        <v>1014</v>
      </c>
      <c r="G487" s="42"/>
      <c r="H487" s="42" t="n">
        <v>12460775</v>
      </c>
      <c r="I487" s="44" t="s">
        <v>429</v>
      </c>
      <c r="J487" s="11" t="n">
        <f aca="false">IF(D487="","",N(G487)-N(H487))</f>
        <v>-12460775</v>
      </c>
      <c r="K487" s="34" t="str">
        <f aca="false">IF(D487="","",IFERROR(INDEX(I_COA!$C$6:$C$265,MATCH(D487,I_COA!$A$6:$A$265,0)),"AKUN BARU"))</f>
        <v>Neraca</v>
      </c>
      <c r="L487" s="34" t="str">
        <f aca="false">IF(K487="LabaRugi",INDEX(I_COA!$D$6:$D$265,MATCH(D487,I_COA!$A$6:$A$265,0)),"")</f>
        <v/>
      </c>
      <c r="M487" s="34" t="str">
        <f aca="false">IF(K487="Neraca",INDEX(I_COA!$E$6:$E$265,MATCH(D487,I_COA!$A$6:$A$265,0)),"")</f>
        <v>Trade Receivables - Third Parties</v>
      </c>
      <c r="N487" s="34" t="str">
        <f aca="false">IF(D487="","",IFERROR(INDEX(I_COA!$G$6:$G$265,MATCH(D487,I_COA!$A$6:$A$265,0)),"N"))</f>
        <v>N</v>
      </c>
      <c r="O487" s="11" t="n">
        <f aca="false">IF(N487="N",ABS(J487),"")</f>
        <v>12460775</v>
      </c>
      <c r="P487" s="18" t="str">
        <f aca="false">IF(N487="N",B487&amp;"|"&amp;ROUND(O487,0),"")</f>
        <v>B7626080036|12460775</v>
      </c>
      <c r="Q487" s="18" t="str">
        <f aca="false">IF(N487&lt;&gt;"Y","",IFERROR(INDEX($D$6:$D$4005,MATCH(B487&amp;"|"&amp;ROUND(_xlfn.MAXIFS($O$6:$O$4005,$B$6:$B$4005,B487,$N$6:$N$4005,"N"),0),$P$6:$P$4005,0)),"(tanpa lawan)"))</f>
        <v/>
      </c>
      <c r="R487" s="44"/>
      <c r="S487" s="9" t="str">
        <f aca="false">IF(N487&lt;&gt;"Y","",IF(R487&lt;&gt;"",R487,IF(Q487="(tanpa lawan)","Transfer antar rekening",IFERROR(INDEX(I_COA!$F$6:$F$265,MATCH(Q487,I_COA!$A$6:$A$265,0)),"?"))))</f>
        <v/>
      </c>
    </row>
    <row r="488" customFormat="false" ht="15" hidden="false" customHeight="false" outlineLevel="0" collapsed="false">
      <c r="A488" s="37" t="n">
        <v>46244</v>
      </c>
      <c r="B488" s="44" t="s">
        <v>1015</v>
      </c>
      <c r="C488" s="44" t="s">
        <v>585</v>
      </c>
      <c r="D488" s="44" t="n">
        <v>1102001</v>
      </c>
      <c r="E488" s="44" t="s">
        <v>586</v>
      </c>
      <c r="F488" s="44" t="s">
        <v>1016</v>
      </c>
      <c r="G488" s="42" t="n">
        <v>19725800</v>
      </c>
      <c r="H488" s="42"/>
      <c r="I488" s="44" t="s">
        <v>437</v>
      </c>
      <c r="J488" s="11" t="n">
        <f aca="false">IF(D488="","",N(G488)-N(H488))</f>
        <v>19725800</v>
      </c>
      <c r="K488" s="34" t="str">
        <f aca="false">IF(D488="","",IFERROR(INDEX(I_COA!$C$6:$C$265,MATCH(D488,I_COA!$A$6:$A$265,0)),"AKUN BARU"))</f>
        <v>Neraca</v>
      </c>
      <c r="L488" s="34" t="str">
        <f aca="false">IF(K488="LabaRugi",INDEX(I_COA!$D$6:$D$265,MATCH(D488,I_COA!$A$6:$A$265,0)),"")</f>
        <v/>
      </c>
      <c r="M488" s="34" t="str">
        <f aca="false">IF(K488="Neraca",INDEX(I_COA!$E$6:$E$265,MATCH(D488,I_COA!$A$6:$A$265,0)),"")</f>
        <v>Cash and cash equivalents</v>
      </c>
      <c r="N488" s="34" t="str">
        <f aca="false">IF(D488="","",IFERROR(INDEX(I_COA!$G$6:$G$265,MATCH(D488,I_COA!$A$6:$A$265,0)),"N"))</f>
        <v>Y</v>
      </c>
      <c r="O488" s="11" t="str">
        <f aca="false">IF(N488="N",ABS(J488),"")</f>
        <v/>
      </c>
      <c r="P488" s="18" t="str">
        <f aca="false">IF(N488="N",B488&amp;"|"&amp;ROUND(O488,0),"")</f>
        <v/>
      </c>
      <c r="Q488" s="18" t="n">
        <f aca="false">IF(N488&lt;&gt;"Y","",IFERROR(INDEX($D$6:$D$4005,MATCH(B488&amp;"|"&amp;ROUND(_xlfn.MAXIFS($O$6:$O$4005,$B$6:$B$4005,B488,$N$6:$N$4005,"N"),0),$P$6:$P$4005,0)),"(tanpa lawan)"))</f>
        <v>1103101</v>
      </c>
      <c r="R488" s="44"/>
      <c r="S488" s="9" t="str">
        <f aca="false">IF(N488&lt;&gt;"Y","",IF(R488&lt;&gt;"",R488,IF(Q488="(tanpa lawan)","Transfer antar rekening",IFERROR(INDEX(I_COA!$F$6:$F$265,MATCH(Q488,I_COA!$A$6:$A$265,0)),"?"))))</f>
        <v>Penerimaan dari pelanggan</v>
      </c>
    </row>
    <row r="489" customFormat="false" ht="15" hidden="false" customHeight="false" outlineLevel="0" collapsed="false">
      <c r="A489" s="37" t="n">
        <v>46244</v>
      </c>
      <c r="B489" s="44" t="s">
        <v>1015</v>
      </c>
      <c r="C489" s="44" t="s">
        <v>585</v>
      </c>
      <c r="D489" s="44" t="n">
        <v>1103101</v>
      </c>
      <c r="E489" s="44" t="s">
        <v>589</v>
      </c>
      <c r="F489" s="44" t="s">
        <v>1016</v>
      </c>
      <c r="G489" s="42"/>
      <c r="H489" s="42" t="n">
        <v>19725800</v>
      </c>
      <c r="I489" s="44" t="s">
        <v>437</v>
      </c>
      <c r="J489" s="11" t="n">
        <f aca="false">IF(D489="","",N(G489)-N(H489))</f>
        <v>-19725800</v>
      </c>
      <c r="K489" s="34" t="str">
        <f aca="false">IF(D489="","",IFERROR(INDEX(I_COA!$C$6:$C$265,MATCH(D489,I_COA!$A$6:$A$265,0)),"AKUN BARU"))</f>
        <v>Neraca</v>
      </c>
      <c r="L489" s="34" t="str">
        <f aca="false">IF(K489="LabaRugi",INDEX(I_COA!$D$6:$D$265,MATCH(D489,I_COA!$A$6:$A$265,0)),"")</f>
        <v/>
      </c>
      <c r="M489" s="34" t="str">
        <f aca="false">IF(K489="Neraca",INDEX(I_COA!$E$6:$E$265,MATCH(D489,I_COA!$A$6:$A$265,0)),"")</f>
        <v>Trade Receivables - Third Parties</v>
      </c>
      <c r="N489" s="34" t="str">
        <f aca="false">IF(D489="","",IFERROR(INDEX(I_COA!$G$6:$G$265,MATCH(D489,I_COA!$A$6:$A$265,0)),"N"))</f>
        <v>N</v>
      </c>
      <c r="O489" s="11" t="n">
        <f aca="false">IF(N489="N",ABS(J489),"")</f>
        <v>19725800</v>
      </c>
      <c r="P489" s="18" t="str">
        <f aca="false">IF(N489="N",B489&amp;"|"&amp;ROUND(O489,0),"")</f>
        <v>B7626080038|19725800</v>
      </c>
      <c r="Q489" s="18" t="str">
        <f aca="false">IF(N489&lt;&gt;"Y","",IFERROR(INDEX($D$6:$D$4005,MATCH(B489&amp;"|"&amp;ROUND(_xlfn.MAXIFS($O$6:$O$4005,$B$6:$B$4005,B489,$N$6:$N$4005,"N"),0),$P$6:$P$4005,0)),"(tanpa lawan)"))</f>
        <v/>
      </c>
      <c r="R489" s="44"/>
      <c r="S489" s="9" t="str">
        <f aca="false">IF(N489&lt;&gt;"Y","",IF(R489&lt;&gt;"",R489,IF(Q489="(tanpa lawan)","Transfer antar rekening",IFERROR(INDEX(I_COA!$F$6:$F$265,MATCH(Q489,I_COA!$A$6:$A$265,0)),"?"))))</f>
        <v/>
      </c>
    </row>
    <row r="490" customFormat="false" ht="15" hidden="false" customHeight="false" outlineLevel="0" collapsed="false">
      <c r="A490" s="37" t="n">
        <v>46244</v>
      </c>
      <c r="B490" s="44" t="s">
        <v>1017</v>
      </c>
      <c r="C490" s="44" t="s">
        <v>585</v>
      </c>
      <c r="D490" s="44" t="n">
        <v>1102001</v>
      </c>
      <c r="E490" s="44" t="s">
        <v>586</v>
      </c>
      <c r="F490" s="44" t="s">
        <v>1018</v>
      </c>
      <c r="G490" s="42" t="n">
        <v>17820000</v>
      </c>
      <c r="H490" s="42"/>
      <c r="I490" s="44" t="s">
        <v>432</v>
      </c>
      <c r="J490" s="11" t="n">
        <f aca="false">IF(D490="","",N(G490)-N(H490))</f>
        <v>17820000</v>
      </c>
      <c r="K490" s="34" t="str">
        <f aca="false">IF(D490="","",IFERROR(INDEX(I_COA!$C$6:$C$265,MATCH(D490,I_COA!$A$6:$A$265,0)),"AKUN BARU"))</f>
        <v>Neraca</v>
      </c>
      <c r="L490" s="34" t="str">
        <f aca="false">IF(K490="LabaRugi",INDEX(I_COA!$D$6:$D$265,MATCH(D490,I_COA!$A$6:$A$265,0)),"")</f>
        <v/>
      </c>
      <c r="M490" s="34" t="str">
        <f aca="false">IF(K490="Neraca",INDEX(I_COA!$E$6:$E$265,MATCH(D490,I_COA!$A$6:$A$265,0)),"")</f>
        <v>Cash and cash equivalents</v>
      </c>
      <c r="N490" s="34" t="str">
        <f aca="false">IF(D490="","",IFERROR(INDEX(I_COA!$G$6:$G$265,MATCH(D490,I_COA!$A$6:$A$265,0)),"N"))</f>
        <v>Y</v>
      </c>
      <c r="O490" s="11" t="str">
        <f aca="false">IF(N490="N",ABS(J490),"")</f>
        <v/>
      </c>
      <c r="P490" s="18" t="str">
        <f aca="false">IF(N490="N",B490&amp;"|"&amp;ROUND(O490,0),"")</f>
        <v/>
      </c>
      <c r="Q490" s="18" t="n">
        <f aca="false">IF(N490&lt;&gt;"Y","",IFERROR(INDEX($D$6:$D$4005,MATCH(B490&amp;"|"&amp;ROUND(_xlfn.MAXIFS($O$6:$O$4005,$B$6:$B$4005,B490,$N$6:$N$4005,"N"),0),$P$6:$P$4005,0)),"(tanpa lawan)"))</f>
        <v>1103101</v>
      </c>
      <c r="R490" s="44"/>
      <c r="S490" s="9" t="str">
        <f aca="false">IF(N490&lt;&gt;"Y","",IF(R490&lt;&gt;"",R490,IF(Q490="(tanpa lawan)","Transfer antar rekening",IFERROR(INDEX(I_COA!$F$6:$F$265,MATCH(Q490,I_COA!$A$6:$A$265,0)),"?"))))</f>
        <v>Penerimaan dari pelanggan</v>
      </c>
    </row>
    <row r="491" customFormat="false" ht="15" hidden="false" customHeight="false" outlineLevel="0" collapsed="false">
      <c r="A491" s="37" t="n">
        <v>46244</v>
      </c>
      <c r="B491" s="44" t="s">
        <v>1017</v>
      </c>
      <c r="C491" s="44" t="s">
        <v>585</v>
      </c>
      <c r="D491" s="44" t="n">
        <v>7200008</v>
      </c>
      <c r="E491" s="44" t="s">
        <v>683</v>
      </c>
      <c r="F491" s="44" t="s">
        <v>1018</v>
      </c>
      <c r="G491" s="42" t="n">
        <v>950</v>
      </c>
      <c r="H491" s="42"/>
      <c r="I491" s="44" t="s">
        <v>432</v>
      </c>
      <c r="J491" s="11" t="n">
        <f aca="false">IF(D491="","",N(G491)-N(H491))</f>
        <v>950</v>
      </c>
      <c r="K491" s="34" t="str">
        <f aca="false">IF(D491="","",IFERROR(INDEX(I_COA!$C$6:$C$265,MATCH(D491,I_COA!$A$6:$A$265,0)),"AKUN BARU"))</f>
        <v>LabaRugi</v>
      </c>
      <c r="L491" s="34" t="str">
        <f aca="false">IF(K491="LabaRugi",INDEX(I_COA!$D$6:$D$265,MATCH(D491,I_COA!$A$6:$A$265,0)),"")</f>
        <v>Other Expense</v>
      </c>
      <c r="M491" s="34" t="str">
        <f aca="false">IF(K491="Neraca",INDEX(I_COA!$E$6:$E$265,MATCH(D491,I_COA!$A$6:$A$265,0)),"")</f>
        <v/>
      </c>
      <c r="N491" s="34" t="str">
        <f aca="false">IF(D491="","",IFERROR(INDEX(I_COA!$G$6:$G$265,MATCH(D491,I_COA!$A$6:$A$265,0)),"N"))</f>
        <v>N</v>
      </c>
      <c r="O491" s="11" t="n">
        <f aca="false">IF(N491="N",ABS(J491),"")</f>
        <v>950</v>
      </c>
      <c r="P491" s="18" t="str">
        <f aca="false">IF(N491="N",B491&amp;"|"&amp;ROUND(O491,0),"")</f>
        <v>B7626080039|950</v>
      </c>
      <c r="Q491" s="18" t="str">
        <f aca="false">IF(N491&lt;&gt;"Y","",IFERROR(INDEX($D$6:$D$4005,MATCH(B491&amp;"|"&amp;ROUND(_xlfn.MAXIFS($O$6:$O$4005,$B$6:$B$4005,B491,$N$6:$N$4005,"N"),0),$P$6:$P$4005,0)),"(tanpa lawan)"))</f>
        <v/>
      </c>
      <c r="R491" s="44"/>
      <c r="S491" s="9" t="str">
        <f aca="false">IF(N491&lt;&gt;"Y","",IF(R491&lt;&gt;"",R491,IF(Q491="(tanpa lawan)","Transfer antar rekening",IFERROR(INDEX(I_COA!$F$6:$F$265,MATCH(Q491,I_COA!$A$6:$A$265,0)),"?"))))</f>
        <v/>
      </c>
    </row>
    <row r="492" customFormat="false" ht="15" hidden="false" customHeight="false" outlineLevel="0" collapsed="false">
      <c r="A492" s="37" t="n">
        <v>46244</v>
      </c>
      <c r="B492" s="44" t="s">
        <v>1017</v>
      </c>
      <c r="C492" s="44" t="s">
        <v>585</v>
      </c>
      <c r="D492" s="44" t="n">
        <v>1103101</v>
      </c>
      <c r="E492" s="44" t="s">
        <v>589</v>
      </c>
      <c r="F492" s="44" t="s">
        <v>1018</v>
      </c>
      <c r="G492" s="42"/>
      <c r="H492" s="42" t="n">
        <v>17820950</v>
      </c>
      <c r="I492" s="44" t="s">
        <v>432</v>
      </c>
      <c r="J492" s="11" t="n">
        <f aca="false">IF(D492="","",N(G492)-N(H492))</f>
        <v>-17820950</v>
      </c>
      <c r="K492" s="34" t="str">
        <f aca="false">IF(D492="","",IFERROR(INDEX(I_COA!$C$6:$C$265,MATCH(D492,I_COA!$A$6:$A$265,0)),"AKUN BARU"))</f>
        <v>Neraca</v>
      </c>
      <c r="L492" s="34" t="str">
        <f aca="false">IF(K492="LabaRugi",INDEX(I_COA!$D$6:$D$265,MATCH(D492,I_COA!$A$6:$A$265,0)),"")</f>
        <v/>
      </c>
      <c r="M492" s="34" t="str">
        <f aca="false">IF(K492="Neraca",INDEX(I_COA!$E$6:$E$265,MATCH(D492,I_COA!$A$6:$A$265,0)),"")</f>
        <v>Trade Receivables - Third Parties</v>
      </c>
      <c r="N492" s="34" t="str">
        <f aca="false">IF(D492="","",IFERROR(INDEX(I_COA!$G$6:$G$265,MATCH(D492,I_COA!$A$6:$A$265,0)),"N"))</f>
        <v>N</v>
      </c>
      <c r="O492" s="11" t="n">
        <f aca="false">IF(N492="N",ABS(J492),"")</f>
        <v>17820950</v>
      </c>
      <c r="P492" s="18" t="str">
        <f aca="false">IF(N492="N",B492&amp;"|"&amp;ROUND(O492,0),"")</f>
        <v>B7626080039|17820950</v>
      </c>
      <c r="Q492" s="18" t="str">
        <f aca="false">IF(N492&lt;&gt;"Y","",IFERROR(INDEX($D$6:$D$4005,MATCH(B492&amp;"|"&amp;ROUND(_xlfn.MAXIFS($O$6:$O$4005,$B$6:$B$4005,B492,$N$6:$N$4005,"N"),0),$P$6:$P$4005,0)),"(tanpa lawan)"))</f>
        <v/>
      </c>
      <c r="R492" s="44"/>
      <c r="S492" s="9" t="str">
        <f aca="false">IF(N492&lt;&gt;"Y","",IF(R492&lt;&gt;"",R492,IF(Q492="(tanpa lawan)","Transfer antar rekening",IFERROR(INDEX(I_COA!$F$6:$F$265,MATCH(Q492,I_COA!$A$6:$A$265,0)),"?"))))</f>
        <v/>
      </c>
    </row>
    <row r="493" customFormat="false" ht="15" hidden="false" customHeight="false" outlineLevel="0" collapsed="false">
      <c r="A493" s="37" t="n">
        <v>46244</v>
      </c>
      <c r="B493" s="44" t="s">
        <v>1019</v>
      </c>
      <c r="C493" s="44" t="s">
        <v>585</v>
      </c>
      <c r="D493" s="44" t="n">
        <v>1102001</v>
      </c>
      <c r="E493" s="44" t="s">
        <v>586</v>
      </c>
      <c r="F493" s="44" t="s">
        <v>1020</v>
      </c>
      <c r="G493" s="42" t="n">
        <v>38068400</v>
      </c>
      <c r="H493" s="42"/>
      <c r="I493" s="44" t="s">
        <v>437</v>
      </c>
      <c r="J493" s="11" t="n">
        <f aca="false">IF(D493="","",N(G493)-N(H493))</f>
        <v>38068400</v>
      </c>
      <c r="K493" s="34" t="str">
        <f aca="false">IF(D493="","",IFERROR(INDEX(I_COA!$C$6:$C$265,MATCH(D493,I_COA!$A$6:$A$265,0)),"AKUN BARU"))</f>
        <v>Neraca</v>
      </c>
      <c r="L493" s="34" t="str">
        <f aca="false">IF(K493="LabaRugi",INDEX(I_COA!$D$6:$D$265,MATCH(D493,I_COA!$A$6:$A$265,0)),"")</f>
        <v/>
      </c>
      <c r="M493" s="34" t="str">
        <f aca="false">IF(K493="Neraca",INDEX(I_COA!$E$6:$E$265,MATCH(D493,I_COA!$A$6:$A$265,0)),"")</f>
        <v>Cash and cash equivalents</v>
      </c>
      <c r="N493" s="34" t="str">
        <f aca="false">IF(D493="","",IFERROR(INDEX(I_COA!$G$6:$G$265,MATCH(D493,I_COA!$A$6:$A$265,0)),"N"))</f>
        <v>Y</v>
      </c>
      <c r="O493" s="11" t="str">
        <f aca="false">IF(N493="N",ABS(J493),"")</f>
        <v/>
      </c>
      <c r="P493" s="18" t="str">
        <f aca="false">IF(N493="N",B493&amp;"|"&amp;ROUND(O493,0),"")</f>
        <v/>
      </c>
      <c r="Q493" s="18" t="n">
        <f aca="false">IF(N493&lt;&gt;"Y","",IFERROR(INDEX($D$6:$D$4005,MATCH(B493&amp;"|"&amp;ROUND(_xlfn.MAXIFS($O$6:$O$4005,$B$6:$B$4005,B493,$N$6:$N$4005,"N"),0),$P$6:$P$4005,0)),"(tanpa lawan)"))</f>
        <v>1103101</v>
      </c>
      <c r="R493" s="44"/>
      <c r="S493" s="9" t="str">
        <f aca="false">IF(N493&lt;&gt;"Y","",IF(R493&lt;&gt;"",R493,IF(Q493="(tanpa lawan)","Transfer antar rekening",IFERROR(INDEX(I_COA!$F$6:$F$265,MATCH(Q493,I_COA!$A$6:$A$265,0)),"?"))))</f>
        <v>Penerimaan dari pelanggan</v>
      </c>
    </row>
    <row r="494" customFormat="false" ht="15" hidden="false" customHeight="false" outlineLevel="0" collapsed="false">
      <c r="A494" s="37" t="n">
        <v>46244</v>
      </c>
      <c r="B494" s="44" t="s">
        <v>1019</v>
      </c>
      <c r="C494" s="44" t="s">
        <v>585</v>
      </c>
      <c r="D494" s="44" t="n">
        <v>1103101</v>
      </c>
      <c r="E494" s="44" t="s">
        <v>589</v>
      </c>
      <c r="F494" s="44" t="s">
        <v>1020</v>
      </c>
      <c r="G494" s="42"/>
      <c r="H494" s="42" t="n">
        <v>38068400</v>
      </c>
      <c r="I494" s="44" t="s">
        <v>437</v>
      </c>
      <c r="J494" s="11" t="n">
        <f aca="false">IF(D494="","",N(G494)-N(H494))</f>
        <v>-38068400</v>
      </c>
      <c r="K494" s="34" t="str">
        <f aca="false">IF(D494="","",IFERROR(INDEX(I_COA!$C$6:$C$265,MATCH(D494,I_COA!$A$6:$A$265,0)),"AKUN BARU"))</f>
        <v>Neraca</v>
      </c>
      <c r="L494" s="34" t="str">
        <f aca="false">IF(K494="LabaRugi",INDEX(I_COA!$D$6:$D$265,MATCH(D494,I_COA!$A$6:$A$265,0)),"")</f>
        <v/>
      </c>
      <c r="M494" s="34" t="str">
        <f aca="false">IF(K494="Neraca",INDEX(I_COA!$E$6:$E$265,MATCH(D494,I_COA!$A$6:$A$265,0)),"")</f>
        <v>Trade Receivables - Third Parties</v>
      </c>
      <c r="N494" s="34" t="str">
        <f aca="false">IF(D494="","",IFERROR(INDEX(I_COA!$G$6:$G$265,MATCH(D494,I_COA!$A$6:$A$265,0)),"N"))</f>
        <v>N</v>
      </c>
      <c r="O494" s="11" t="n">
        <f aca="false">IF(N494="N",ABS(J494),"")</f>
        <v>38068400</v>
      </c>
      <c r="P494" s="18" t="str">
        <f aca="false">IF(N494="N",B494&amp;"|"&amp;ROUND(O494,0),"")</f>
        <v>B7626080040|38068400</v>
      </c>
      <c r="Q494" s="18" t="str">
        <f aca="false">IF(N494&lt;&gt;"Y","",IFERROR(INDEX($D$6:$D$4005,MATCH(B494&amp;"|"&amp;ROUND(_xlfn.MAXIFS($O$6:$O$4005,$B$6:$B$4005,B494,$N$6:$N$4005,"N"),0),$P$6:$P$4005,0)),"(tanpa lawan)"))</f>
        <v/>
      </c>
      <c r="R494" s="44"/>
      <c r="S494" s="9" t="str">
        <f aca="false">IF(N494&lt;&gt;"Y","",IF(R494&lt;&gt;"",R494,IF(Q494="(tanpa lawan)","Transfer antar rekening",IFERROR(INDEX(I_COA!$F$6:$F$265,MATCH(Q494,I_COA!$A$6:$A$265,0)),"?"))))</f>
        <v/>
      </c>
    </row>
    <row r="495" customFormat="false" ht="15" hidden="false" customHeight="false" outlineLevel="0" collapsed="false">
      <c r="A495" s="37" t="n">
        <v>46244</v>
      </c>
      <c r="B495" s="44" t="s">
        <v>1021</v>
      </c>
      <c r="C495" s="44" t="s">
        <v>580</v>
      </c>
      <c r="D495" s="44" t="n">
        <v>1102008</v>
      </c>
      <c r="E495" s="44" t="s">
        <v>781</v>
      </c>
      <c r="F495" s="44" t="s">
        <v>870</v>
      </c>
      <c r="G495" s="42" t="n">
        <v>500000000</v>
      </c>
      <c r="H495" s="42"/>
      <c r="I495" s="44"/>
      <c r="J495" s="11" t="n">
        <f aca="false">IF(D495="","",N(G495)-N(H495))</f>
        <v>500000000</v>
      </c>
      <c r="K495" s="34" t="str">
        <f aca="false">IF(D495="","",IFERROR(INDEX(I_COA!$C$6:$C$265,MATCH(D495,I_COA!$A$6:$A$265,0)),"AKUN BARU"))</f>
        <v>Neraca</v>
      </c>
      <c r="L495" s="34" t="str">
        <f aca="false">IF(K495="LabaRugi",INDEX(I_COA!$D$6:$D$265,MATCH(D495,I_COA!$A$6:$A$265,0)),"")</f>
        <v/>
      </c>
      <c r="M495" s="34" t="str">
        <f aca="false">IF(K495="Neraca",INDEX(I_COA!$E$6:$E$265,MATCH(D495,I_COA!$A$6:$A$265,0)),"")</f>
        <v>Advance Payment</v>
      </c>
      <c r="N495" s="34" t="str">
        <f aca="false">IF(D495="","",IFERROR(INDEX(I_COA!$G$6:$G$265,MATCH(D495,I_COA!$A$6:$A$265,0)),"N"))</f>
        <v>N</v>
      </c>
      <c r="O495" s="11" t="n">
        <f aca="false">IF(N495="N",ABS(J495),"")</f>
        <v>500000000</v>
      </c>
      <c r="P495" s="18" t="str">
        <f aca="false">IF(N495="N",B495&amp;"|"&amp;ROUND(O495,0),"")</f>
        <v>B7726080004|500000000</v>
      </c>
      <c r="Q495" s="18" t="str">
        <f aca="false">IF(N495&lt;&gt;"Y","",IFERROR(INDEX($D$6:$D$4005,MATCH(B495&amp;"|"&amp;ROUND(_xlfn.MAXIFS($O$6:$O$4005,$B$6:$B$4005,B495,$N$6:$N$4005,"N"),0),$P$6:$P$4005,0)),"(tanpa lawan)"))</f>
        <v/>
      </c>
      <c r="R495" s="44"/>
      <c r="S495" s="9" t="str">
        <f aca="false">IF(N495&lt;&gt;"Y","",IF(R495&lt;&gt;"",R495,IF(Q495="(tanpa lawan)","Transfer antar rekening",IFERROR(INDEX(I_COA!$F$6:$F$265,MATCH(Q495,I_COA!$A$6:$A$265,0)),"?"))))</f>
        <v/>
      </c>
    </row>
    <row r="496" customFormat="false" ht="15" hidden="false" customHeight="false" outlineLevel="0" collapsed="false">
      <c r="A496" s="37" t="n">
        <v>46244</v>
      </c>
      <c r="B496" s="44" t="s">
        <v>1021</v>
      </c>
      <c r="C496" s="44" t="s">
        <v>580</v>
      </c>
      <c r="D496" s="44" t="n">
        <v>1102001</v>
      </c>
      <c r="E496" s="44" t="s">
        <v>586</v>
      </c>
      <c r="F496" s="44" t="s">
        <v>782</v>
      </c>
      <c r="G496" s="42"/>
      <c r="H496" s="42" t="n">
        <v>500000000</v>
      </c>
      <c r="I496" s="44"/>
      <c r="J496" s="11" t="n">
        <f aca="false">IF(D496="","",N(G496)-N(H496))</f>
        <v>-500000000</v>
      </c>
      <c r="K496" s="34" t="str">
        <f aca="false">IF(D496="","",IFERROR(INDEX(I_COA!$C$6:$C$265,MATCH(D496,I_COA!$A$6:$A$265,0)),"AKUN BARU"))</f>
        <v>Neraca</v>
      </c>
      <c r="L496" s="34" t="str">
        <f aca="false">IF(K496="LabaRugi",INDEX(I_COA!$D$6:$D$265,MATCH(D496,I_COA!$A$6:$A$265,0)),"")</f>
        <v/>
      </c>
      <c r="M496" s="34" t="str">
        <f aca="false">IF(K496="Neraca",INDEX(I_COA!$E$6:$E$265,MATCH(D496,I_COA!$A$6:$A$265,0)),"")</f>
        <v>Cash and cash equivalents</v>
      </c>
      <c r="N496" s="34" t="str">
        <f aca="false">IF(D496="","",IFERROR(INDEX(I_COA!$G$6:$G$265,MATCH(D496,I_COA!$A$6:$A$265,0)),"N"))</f>
        <v>Y</v>
      </c>
      <c r="O496" s="11" t="str">
        <f aca="false">IF(N496="N",ABS(J496),"")</f>
        <v/>
      </c>
      <c r="P496" s="18" t="str">
        <f aca="false">IF(N496="N",B496&amp;"|"&amp;ROUND(O496,0),"")</f>
        <v/>
      </c>
      <c r="Q496" s="18" t="n">
        <f aca="false">IF(N496&lt;&gt;"Y","",IFERROR(INDEX($D$6:$D$4005,MATCH(B496&amp;"|"&amp;ROUND(_xlfn.MAXIFS($O$6:$O$4005,$B$6:$B$4005,B496,$N$6:$N$4005,"N"),0),$P$6:$P$4005,0)),"(tanpa lawan)"))</f>
        <v>1102008</v>
      </c>
      <c r="R496" s="44"/>
      <c r="S496" s="9" t="str">
        <f aca="false">IF(N496&lt;&gt;"Y","",IF(R496&lt;&gt;"",R496,IF(Q496="(tanpa lawan)","Transfer antar rekening",IFERROR(INDEX(I_COA!$F$6:$F$265,MATCH(Q496,I_COA!$A$6:$A$265,0)),"?"))))</f>
        <v>Transfer antar rekening</v>
      </c>
    </row>
    <row r="497" customFormat="false" ht="15" hidden="false" customHeight="false" outlineLevel="0" collapsed="false">
      <c r="A497" s="37" t="n">
        <v>46244</v>
      </c>
      <c r="B497" s="44" t="s">
        <v>1022</v>
      </c>
      <c r="C497" s="44" t="s">
        <v>580</v>
      </c>
      <c r="D497" s="44" t="n">
        <v>1102002</v>
      </c>
      <c r="E497" s="44" t="s">
        <v>598</v>
      </c>
      <c r="F497" s="44" t="s">
        <v>784</v>
      </c>
      <c r="G497" s="42" t="n">
        <v>500000000</v>
      </c>
      <c r="H497" s="42"/>
      <c r="I497" s="44"/>
      <c r="J497" s="11" t="n">
        <f aca="false">IF(D497="","",N(G497)-N(H497))</f>
        <v>500000000</v>
      </c>
      <c r="K497" s="34" t="str">
        <f aca="false">IF(D497="","",IFERROR(INDEX(I_COA!$C$6:$C$265,MATCH(D497,I_COA!$A$6:$A$265,0)),"AKUN BARU"))</f>
        <v>Neraca</v>
      </c>
      <c r="L497" s="34" t="str">
        <f aca="false">IF(K497="LabaRugi",INDEX(I_COA!$D$6:$D$265,MATCH(D497,I_COA!$A$6:$A$265,0)),"")</f>
        <v/>
      </c>
      <c r="M497" s="34" t="str">
        <f aca="false">IF(K497="Neraca",INDEX(I_COA!$E$6:$E$265,MATCH(D497,I_COA!$A$6:$A$265,0)),"")</f>
        <v>Cash and cash equivalents</v>
      </c>
      <c r="N497" s="34" t="str">
        <f aca="false">IF(D497="","",IFERROR(INDEX(I_COA!$G$6:$G$265,MATCH(D497,I_COA!$A$6:$A$265,0)),"N"))</f>
        <v>Y</v>
      </c>
      <c r="O497" s="11" t="str">
        <f aca="false">IF(N497="N",ABS(J497),"")</f>
        <v/>
      </c>
      <c r="P497" s="18" t="str">
        <f aca="false">IF(N497="N",B497&amp;"|"&amp;ROUND(O497,0),"")</f>
        <v/>
      </c>
      <c r="Q497" s="18" t="n">
        <f aca="false">IF(N497&lt;&gt;"Y","",IFERROR(INDEX($D$6:$D$4005,MATCH(B497&amp;"|"&amp;ROUND(_xlfn.MAXIFS($O$6:$O$4005,$B$6:$B$4005,B497,$N$6:$N$4005,"N"),0),$P$6:$P$4005,0)),"(tanpa lawan)"))</f>
        <v>1102008</v>
      </c>
      <c r="R497" s="44"/>
      <c r="S497" s="9" t="str">
        <f aca="false">IF(N497&lt;&gt;"Y","",IF(R497&lt;&gt;"",R497,IF(Q497="(tanpa lawan)","Transfer antar rekening",IFERROR(INDEX(I_COA!$F$6:$F$265,MATCH(Q497,I_COA!$A$6:$A$265,0)),"?"))))</f>
        <v>Transfer antar rekening</v>
      </c>
    </row>
    <row r="498" customFormat="false" ht="15" hidden="false" customHeight="false" outlineLevel="0" collapsed="false">
      <c r="A498" s="37" t="n">
        <v>46244</v>
      </c>
      <c r="B498" s="44" t="s">
        <v>1022</v>
      </c>
      <c r="C498" s="44" t="s">
        <v>580</v>
      </c>
      <c r="D498" s="44" t="n">
        <v>1102008</v>
      </c>
      <c r="E498" s="44" t="s">
        <v>781</v>
      </c>
      <c r="F498" s="44" t="s">
        <v>784</v>
      </c>
      <c r="G498" s="42"/>
      <c r="H498" s="42" t="n">
        <v>500000000</v>
      </c>
      <c r="I498" s="44"/>
      <c r="J498" s="11" t="n">
        <f aca="false">IF(D498="","",N(G498)-N(H498))</f>
        <v>-500000000</v>
      </c>
      <c r="K498" s="34" t="str">
        <f aca="false">IF(D498="","",IFERROR(INDEX(I_COA!$C$6:$C$265,MATCH(D498,I_COA!$A$6:$A$265,0)),"AKUN BARU"))</f>
        <v>Neraca</v>
      </c>
      <c r="L498" s="34" t="str">
        <f aca="false">IF(K498="LabaRugi",INDEX(I_COA!$D$6:$D$265,MATCH(D498,I_COA!$A$6:$A$265,0)),"")</f>
        <v/>
      </c>
      <c r="M498" s="34" t="str">
        <f aca="false">IF(K498="Neraca",INDEX(I_COA!$E$6:$E$265,MATCH(D498,I_COA!$A$6:$A$265,0)),"")</f>
        <v>Advance Payment</v>
      </c>
      <c r="N498" s="34" t="str">
        <f aca="false">IF(D498="","",IFERROR(INDEX(I_COA!$G$6:$G$265,MATCH(D498,I_COA!$A$6:$A$265,0)),"N"))</f>
        <v>N</v>
      </c>
      <c r="O498" s="11" t="n">
        <f aca="false">IF(N498="N",ABS(J498),"")</f>
        <v>500000000</v>
      </c>
      <c r="P498" s="18" t="str">
        <f aca="false">IF(N498="N",B498&amp;"|"&amp;ROUND(O498,0),"")</f>
        <v>B8426080005|500000000</v>
      </c>
      <c r="Q498" s="18" t="str">
        <f aca="false">IF(N498&lt;&gt;"Y","",IFERROR(INDEX($D$6:$D$4005,MATCH(B498&amp;"|"&amp;ROUND(_xlfn.MAXIFS($O$6:$O$4005,$B$6:$B$4005,B498,$N$6:$N$4005,"N"),0),$P$6:$P$4005,0)),"(tanpa lawan)"))</f>
        <v/>
      </c>
      <c r="R498" s="44"/>
      <c r="S498" s="9" t="str">
        <f aca="false">IF(N498&lt;&gt;"Y","",IF(R498&lt;&gt;"",R498,IF(Q498="(tanpa lawan)","Transfer antar rekening",IFERROR(INDEX(I_COA!$F$6:$F$265,MATCH(Q498,I_COA!$A$6:$A$265,0)),"?"))))</f>
        <v/>
      </c>
    </row>
    <row r="499" customFormat="false" ht="15" hidden="false" customHeight="false" outlineLevel="0" collapsed="false">
      <c r="A499" s="37" t="n">
        <v>46244</v>
      </c>
      <c r="B499" s="44" t="s">
        <v>1023</v>
      </c>
      <c r="C499" s="44" t="s">
        <v>594</v>
      </c>
      <c r="D499" s="44" t="n">
        <v>2101001</v>
      </c>
      <c r="E499" s="44" t="s">
        <v>595</v>
      </c>
      <c r="F499" s="44" t="s">
        <v>1024</v>
      </c>
      <c r="G499" s="42" t="n">
        <v>86856420</v>
      </c>
      <c r="H499" s="42"/>
      <c r="I499" s="44" t="s">
        <v>597</v>
      </c>
      <c r="J499" s="11" t="n">
        <f aca="false">IF(D499="","",N(G499)-N(H499))</f>
        <v>86856420</v>
      </c>
      <c r="K499" s="34" t="str">
        <f aca="false">IF(D499="","",IFERROR(INDEX(I_COA!$C$6:$C$265,MATCH(D499,I_COA!$A$6:$A$265,0)),"AKUN BARU"))</f>
        <v>Neraca</v>
      </c>
      <c r="L499" s="34" t="str">
        <f aca="false">IF(K499="LabaRugi",INDEX(I_COA!$D$6:$D$265,MATCH(D499,I_COA!$A$6:$A$265,0)),"")</f>
        <v/>
      </c>
      <c r="M499" s="34" t="str">
        <f aca="false">IF(K499="Neraca",INDEX(I_COA!$E$6:$E$265,MATCH(D499,I_COA!$A$6:$A$265,0)),"")</f>
        <v>Trade Payables - Third Parties</v>
      </c>
      <c r="N499" s="34" t="str">
        <f aca="false">IF(D499="","",IFERROR(INDEX(I_COA!$G$6:$G$265,MATCH(D499,I_COA!$A$6:$A$265,0)),"N"))</f>
        <v>N</v>
      </c>
      <c r="O499" s="11" t="n">
        <f aca="false">IF(N499="N",ABS(J499),"")</f>
        <v>86856420</v>
      </c>
      <c r="P499" s="18" t="str">
        <f aca="false">IF(N499="N",B499&amp;"|"&amp;ROUND(O499,0),"")</f>
        <v>B8526080034|86856420</v>
      </c>
      <c r="Q499" s="18" t="str">
        <f aca="false">IF(N499&lt;&gt;"Y","",IFERROR(INDEX($D$6:$D$4005,MATCH(B499&amp;"|"&amp;ROUND(_xlfn.MAXIFS($O$6:$O$4005,$B$6:$B$4005,B499,$N$6:$N$4005,"N"),0),$P$6:$P$4005,0)),"(tanpa lawan)"))</f>
        <v/>
      </c>
      <c r="R499" s="44"/>
      <c r="S499" s="9" t="str">
        <f aca="false">IF(N499&lt;&gt;"Y","",IF(R499&lt;&gt;"",R499,IF(Q499="(tanpa lawan)","Transfer antar rekening",IFERROR(INDEX(I_COA!$F$6:$F$265,MATCH(Q499,I_COA!$A$6:$A$265,0)),"?"))))</f>
        <v/>
      </c>
    </row>
    <row r="500" customFormat="false" ht="15" hidden="false" customHeight="false" outlineLevel="0" collapsed="false">
      <c r="A500" s="37" t="n">
        <v>46244</v>
      </c>
      <c r="B500" s="44" t="s">
        <v>1023</v>
      </c>
      <c r="C500" s="44" t="s">
        <v>594</v>
      </c>
      <c r="D500" s="44" t="n">
        <v>6200023</v>
      </c>
      <c r="E500" s="44" t="s">
        <v>688</v>
      </c>
      <c r="F500" s="44" t="s">
        <v>1024</v>
      </c>
      <c r="G500" s="42"/>
      <c r="H500" s="42" t="n">
        <v>10000</v>
      </c>
      <c r="I500" s="44" t="s">
        <v>597</v>
      </c>
      <c r="J500" s="11" t="n">
        <f aca="false">IF(D500="","",N(G500)-N(H500))</f>
        <v>-10000</v>
      </c>
      <c r="K500" s="34" t="str">
        <f aca="false">IF(D500="","",IFERROR(INDEX(I_COA!$C$6:$C$265,MATCH(D500,I_COA!$A$6:$A$265,0)),"AKUN BARU"))</f>
        <v>LabaRugi</v>
      </c>
      <c r="L500" s="34" t="str">
        <f aca="false">IF(K500="LabaRugi",INDEX(I_COA!$D$6:$D$265,MATCH(D500,I_COA!$A$6:$A$265,0)),"")</f>
        <v>Tax expenses</v>
      </c>
      <c r="M500" s="34" t="str">
        <f aca="false">IF(K500="Neraca",INDEX(I_COA!$E$6:$E$265,MATCH(D500,I_COA!$A$6:$A$265,0)),"")</f>
        <v/>
      </c>
      <c r="N500" s="34" t="str">
        <f aca="false">IF(D500="","",IFERROR(INDEX(I_COA!$G$6:$G$265,MATCH(D500,I_COA!$A$6:$A$265,0)),"N"))</f>
        <v>N</v>
      </c>
      <c r="O500" s="11" t="n">
        <f aca="false">IF(N500="N",ABS(J500),"")</f>
        <v>10000</v>
      </c>
      <c r="P500" s="18" t="str">
        <f aca="false">IF(N500="N",B500&amp;"|"&amp;ROUND(O500,0),"")</f>
        <v>B8526080034|10000</v>
      </c>
      <c r="Q500" s="18" t="str">
        <f aca="false">IF(N500&lt;&gt;"Y","",IFERROR(INDEX($D$6:$D$4005,MATCH(B500&amp;"|"&amp;ROUND(_xlfn.MAXIFS($O$6:$O$4005,$B$6:$B$4005,B500,$N$6:$N$4005,"N"),0),$P$6:$P$4005,0)),"(tanpa lawan)"))</f>
        <v/>
      </c>
      <c r="R500" s="44"/>
      <c r="S500" s="9" t="str">
        <f aca="false">IF(N500&lt;&gt;"Y","",IF(R500&lt;&gt;"",R500,IF(Q500="(tanpa lawan)","Transfer antar rekening",IFERROR(INDEX(I_COA!$F$6:$F$265,MATCH(Q500,I_COA!$A$6:$A$265,0)),"?"))))</f>
        <v/>
      </c>
    </row>
    <row r="501" customFormat="false" ht="15" hidden="false" customHeight="false" outlineLevel="0" collapsed="false">
      <c r="A501" s="37" t="n">
        <v>46244</v>
      </c>
      <c r="B501" s="44" t="s">
        <v>1023</v>
      </c>
      <c r="C501" s="44" t="s">
        <v>594</v>
      </c>
      <c r="D501" s="44" t="n">
        <v>1102002</v>
      </c>
      <c r="E501" s="44" t="s">
        <v>598</v>
      </c>
      <c r="F501" s="44" t="s">
        <v>1024</v>
      </c>
      <c r="G501" s="42"/>
      <c r="H501" s="42" t="n">
        <v>86846420</v>
      </c>
      <c r="I501" s="44" t="s">
        <v>597</v>
      </c>
      <c r="J501" s="11" t="n">
        <f aca="false">IF(D501="","",N(G501)-N(H501))</f>
        <v>-86846420</v>
      </c>
      <c r="K501" s="34" t="str">
        <f aca="false">IF(D501="","",IFERROR(INDEX(I_COA!$C$6:$C$265,MATCH(D501,I_COA!$A$6:$A$265,0)),"AKUN BARU"))</f>
        <v>Neraca</v>
      </c>
      <c r="L501" s="34" t="str">
        <f aca="false">IF(K501="LabaRugi",INDEX(I_COA!$D$6:$D$265,MATCH(D501,I_COA!$A$6:$A$265,0)),"")</f>
        <v/>
      </c>
      <c r="M501" s="34" t="str">
        <f aca="false">IF(K501="Neraca",INDEX(I_COA!$E$6:$E$265,MATCH(D501,I_COA!$A$6:$A$265,0)),"")</f>
        <v>Cash and cash equivalents</v>
      </c>
      <c r="N501" s="34" t="str">
        <f aca="false">IF(D501="","",IFERROR(INDEX(I_COA!$G$6:$G$265,MATCH(D501,I_COA!$A$6:$A$265,0)),"N"))</f>
        <v>Y</v>
      </c>
      <c r="O501" s="11" t="str">
        <f aca="false">IF(N501="N",ABS(J501),"")</f>
        <v/>
      </c>
      <c r="P501" s="18" t="str">
        <f aca="false">IF(N501="N",B501&amp;"|"&amp;ROUND(O501,0),"")</f>
        <v/>
      </c>
      <c r="Q501" s="18" t="n">
        <f aca="false">IF(N501&lt;&gt;"Y","",IFERROR(INDEX($D$6:$D$4005,MATCH(B501&amp;"|"&amp;ROUND(_xlfn.MAXIFS($O$6:$O$4005,$B$6:$B$4005,B501,$N$6:$N$4005,"N"),0),$P$6:$P$4005,0)),"(tanpa lawan)"))</f>
        <v>2101001</v>
      </c>
      <c r="R501" s="44"/>
      <c r="S501" s="9" t="str">
        <f aca="false">IF(N501&lt;&gt;"Y","",IF(R501&lt;&gt;"",R501,IF(Q501="(tanpa lawan)","Transfer antar rekening",IFERROR(INDEX(I_COA!$F$6:$F$265,MATCH(Q501,I_COA!$A$6:$A$265,0)),"?"))))</f>
        <v>Bayar pemasok barang (live bird &amp; trading)</v>
      </c>
    </row>
    <row r="502" customFormat="false" ht="15" hidden="false" customHeight="false" outlineLevel="0" collapsed="false">
      <c r="A502" s="37" t="n">
        <v>46244</v>
      </c>
      <c r="B502" s="44" t="s">
        <v>1025</v>
      </c>
      <c r="C502" s="44" t="s">
        <v>594</v>
      </c>
      <c r="D502" s="44" t="n">
        <v>2101001</v>
      </c>
      <c r="E502" s="44" t="s">
        <v>595</v>
      </c>
      <c r="F502" s="44" t="s">
        <v>1026</v>
      </c>
      <c r="G502" s="42" t="n">
        <v>71978900</v>
      </c>
      <c r="H502" s="42"/>
      <c r="I502" s="44" t="s">
        <v>597</v>
      </c>
      <c r="J502" s="11" t="n">
        <f aca="false">IF(D502="","",N(G502)-N(H502))</f>
        <v>71978900</v>
      </c>
      <c r="K502" s="34" t="str">
        <f aca="false">IF(D502="","",IFERROR(INDEX(I_COA!$C$6:$C$265,MATCH(D502,I_COA!$A$6:$A$265,0)),"AKUN BARU"))</f>
        <v>Neraca</v>
      </c>
      <c r="L502" s="34" t="str">
        <f aca="false">IF(K502="LabaRugi",INDEX(I_COA!$D$6:$D$265,MATCH(D502,I_COA!$A$6:$A$265,0)),"")</f>
        <v/>
      </c>
      <c r="M502" s="34" t="str">
        <f aca="false">IF(K502="Neraca",INDEX(I_COA!$E$6:$E$265,MATCH(D502,I_COA!$A$6:$A$265,0)),"")</f>
        <v>Trade Payables - Third Parties</v>
      </c>
      <c r="N502" s="34" t="str">
        <f aca="false">IF(D502="","",IFERROR(INDEX(I_COA!$G$6:$G$265,MATCH(D502,I_COA!$A$6:$A$265,0)),"N"))</f>
        <v>N</v>
      </c>
      <c r="O502" s="11" t="n">
        <f aca="false">IF(N502="N",ABS(J502),"")</f>
        <v>71978900</v>
      </c>
      <c r="P502" s="18" t="str">
        <f aca="false">IF(N502="N",B502&amp;"|"&amp;ROUND(O502,0),"")</f>
        <v>B8526080035|71978900</v>
      </c>
      <c r="Q502" s="18" t="str">
        <f aca="false">IF(N502&lt;&gt;"Y","",IFERROR(INDEX($D$6:$D$4005,MATCH(B502&amp;"|"&amp;ROUND(_xlfn.MAXIFS($O$6:$O$4005,$B$6:$B$4005,B502,$N$6:$N$4005,"N"),0),$P$6:$P$4005,0)),"(tanpa lawan)"))</f>
        <v/>
      </c>
      <c r="R502" s="44"/>
      <c r="S502" s="9" t="str">
        <f aca="false">IF(N502&lt;&gt;"Y","",IF(R502&lt;&gt;"",R502,IF(Q502="(tanpa lawan)","Transfer antar rekening",IFERROR(INDEX(I_COA!$F$6:$F$265,MATCH(Q502,I_COA!$A$6:$A$265,0)),"?"))))</f>
        <v/>
      </c>
    </row>
    <row r="503" customFormat="false" ht="15" hidden="false" customHeight="false" outlineLevel="0" collapsed="false">
      <c r="A503" s="37" t="n">
        <v>46244</v>
      </c>
      <c r="B503" s="44" t="s">
        <v>1025</v>
      </c>
      <c r="C503" s="44" t="s">
        <v>594</v>
      </c>
      <c r="D503" s="44" t="n">
        <v>6200023</v>
      </c>
      <c r="E503" s="44" t="s">
        <v>688</v>
      </c>
      <c r="F503" s="44" t="s">
        <v>1026</v>
      </c>
      <c r="G503" s="42"/>
      <c r="H503" s="42" t="n">
        <v>10000</v>
      </c>
      <c r="I503" s="44" t="s">
        <v>597</v>
      </c>
      <c r="J503" s="11" t="n">
        <f aca="false">IF(D503="","",N(G503)-N(H503))</f>
        <v>-10000</v>
      </c>
      <c r="K503" s="34" t="str">
        <f aca="false">IF(D503="","",IFERROR(INDEX(I_COA!$C$6:$C$265,MATCH(D503,I_COA!$A$6:$A$265,0)),"AKUN BARU"))</f>
        <v>LabaRugi</v>
      </c>
      <c r="L503" s="34" t="str">
        <f aca="false">IF(K503="LabaRugi",INDEX(I_COA!$D$6:$D$265,MATCH(D503,I_COA!$A$6:$A$265,0)),"")</f>
        <v>Tax expenses</v>
      </c>
      <c r="M503" s="34" t="str">
        <f aca="false">IF(K503="Neraca",INDEX(I_COA!$E$6:$E$265,MATCH(D503,I_COA!$A$6:$A$265,0)),"")</f>
        <v/>
      </c>
      <c r="N503" s="34" t="str">
        <f aca="false">IF(D503="","",IFERROR(INDEX(I_COA!$G$6:$G$265,MATCH(D503,I_COA!$A$6:$A$265,0)),"N"))</f>
        <v>N</v>
      </c>
      <c r="O503" s="11" t="n">
        <f aca="false">IF(N503="N",ABS(J503),"")</f>
        <v>10000</v>
      </c>
      <c r="P503" s="18" t="str">
        <f aca="false">IF(N503="N",B503&amp;"|"&amp;ROUND(O503,0),"")</f>
        <v>B8526080035|10000</v>
      </c>
      <c r="Q503" s="18" t="str">
        <f aca="false">IF(N503&lt;&gt;"Y","",IFERROR(INDEX($D$6:$D$4005,MATCH(B503&amp;"|"&amp;ROUND(_xlfn.MAXIFS($O$6:$O$4005,$B$6:$B$4005,B503,$N$6:$N$4005,"N"),0),$P$6:$P$4005,0)),"(tanpa lawan)"))</f>
        <v/>
      </c>
      <c r="R503" s="44"/>
      <c r="S503" s="9" t="str">
        <f aca="false">IF(N503&lt;&gt;"Y","",IF(R503&lt;&gt;"",R503,IF(Q503="(tanpa lawan)","Transfer antar rekening",IFERROR(INDEX(I_COA!$F$6:$F$265,MATCH(Q503,I_COA!$A$6:$A$265,0)),"?"))))</f>
        <v/>
      </c>
    </row>
    <row r="504" customFormat="false" ht="15" hidden="false" customHeight="false" outlineLevel="0" collapsed="false">
      <c r="A504" s="37" t="n">
        <v>46244</v>
      </c>
      <c r="B504" s="44" t="s">
        <v>1025</v>
      </c>
      <c r="C504" s="44" t="s">
        <v>594</v>
      </c>
      <c r="D504" s="44" t="n">
        <v>1102002</v>
      </c>
      <c r="E504" s="44" t="s">
        <v>598</v>
      </c>
      <c r="F504" s="44" t="s">
        <v>1026</v>
      </c>
      <c r="G504" s="42"/>
      <c r="H504" s="42" t="n">
        <v>71968900</v>
      </c>
      <c r="I504" s="44" t="s">
        <v>597</v>
      </c>
      <c r="J504" s="11" t="n">
        <f aca="false">IF(D504="","",N(G504)-N(H504))</f>
        <v>-71968900</v>
      </c>
      <c r="K504" s="34" t="str">
        <f aca="false">IF(D504="","",IFERROR(INDEX(I_COA!$C$6:$C$265,MATCH(D504,I_COA!$A$6:$A$265,0)),"AKUN BARU"))</f>
        <v>Neraca</v>
      </c>
      <c r="L504" s="34" t="str">
        <f aca="false">IF(K504="LabaRugi",INDEX(I_COA!$D$6:$D$265,MATCH(D504,I_COA!$A$6:$A$265,0)),"")</f>
        <v/>
      </c>
      <c r="M504" s="34" t="str">
        <f aca="false">IF(K504="Neraca",INDEX(I_COA!$E$6:$E$265,MATCH(D504,I_COA!$A$6:$A$265,0)),"")</f>
        <v>Cash and cash equivalents</v>
      </c>
      <c r="N504" s="34" t="str">
        <f aca="false">IF(D504="","",IFERROR(INDEX(I_COA!$G$6:$G$265,MATCH(D504,I_COA!$A$6:$A$265,0)),"N"))</f>
        <v>Y</v>
      </c>
      <c r="O504" s="11" t="str">
        <f aca="false">IF(N504="N",ABS(J504),"")</f>
        <v/>
      </c>
      <c r="P504" s="18" t="str">
        <f aca="false">IF(N504="N",B504&amp;"|"&amp;ROUND(O504,0),"")</f>
        <v/>
      </c>
      <c r="Q504" s="18" t="n">
        <f aca="false">IF(N504&lt;&gt;"Y","",IFERROR(INDEX($D$6:$D$4005,MATCH(B504&amp;"|"&amp;ROUND(_xlfn.MAXIFS($O$6:$O$4005,$B$6:$B$4005,B504,$N$6:$N$4005,"N"),0),$P$6:$P$4005,0)),"(tanpa lawan)"))</f>
        <v>2101001</v>
      </c>
      <c r="R504" s="44"/>
      <c r="S504" s="9" t="str">
        <f aca="false">IF(N504&lt;&gt;"Y","",IF(R504&lt;&gt;"",R504,IF(Q504="(tanpa lawan)","Transfer antar rekening",IFERROR(INDEX(I_COA!$F$6:$F$265,MATCH(Q504,I_COA!$A$6:$A$265,0)),"?"))))</f>
        <v>Bayar pemasok barang (live bird &amp; trading)</v>
      </c>
    </row>
    <row r="505" customFormat="false" ht="15" hidden="false" customHeight="false" outlineLevel="0" collapsed="false">
      <c r="A505" s="37" t="n">
        <v>46244</v>
      </c>
      <c r="B505" s="44" t="s">
        <v>1027</v>
      </c>
      <c r="C505" s="44" t="s">
        <v>594</v>
      </c>
      <c r="D505" s="44" t="n">
        <v>2101001</v>
      </c>
      <c r="E505" s="44" t="s">
        <v>595</v>
      </c>
      <c r="F505" s="44" t="s">
        <v>1028</v>
      </c>
      <c r="G505" s="42" t="n">
        <v>85096550</v>
      </c>
      <c r="H505" s="42"/>
      <c r="I505" s="44" t="s">
        <v>597</v>
      </c>
      <c r="J505" s="11" t="n">
        <f aca="false">IF(D505="","",N(G505)-N(H505))</f>
        <v>85096550</v>
      </c>
      <c r="K505" s="34" t="str">
        <f aca="false">IF(D505="","",IFERROR(INDEX(I_COA!$C$6:$C$265,MATCH(D505,I_COA!$A$6:$A$265,0)),"AKUN BARU"))</f>
        <v>Neraca</v>
      </c>
      <c r="L505" s="34" t="str">
        <f aca="false">IF(K505="LabaRugi",INDEX(I_COA!$D$6:$D$265,MATCH(D505,I_COA!$A$6:$A$265,0)),"")</f>
        <v/>
      </c>
      <c r="M505" s="34" t="str">
        <f aca="false">IF(K505="Neraca",INDEX(I_COA!$E$6:$E$265,MATCH(D505,I_COA!$A$6:$A$265,0)),"")</f>
        <v>Trade Payables - Third Parties</v>
      </c>
      <c r="N505" s="34" t="str">
        <f aca="false">IF(D505="","",IFERROR(INDEX(I_COA!$G$6:$G$265,MATCH(D505,I_COA!$A$6:$A$265,0)),"N"))</f>
        <v>N</v>
      </c>
      <c r="O505" s="11" t="n">
        <f aca="false">IF(N505="N",ABS(J505),"")</f>
        <v>85096550</v>
      </c>
      <c r="P505" s="18" t="str">
        <f aca="false">IF(N505="N",B505&amp;"|"&amp;ROUND(O505,0),"")</f>
        <v>B8526080036|85096550</v>
      </c>
      <c r="Q505" s="18" t="str">
        <f aca="false">IF(N505&lt;&gt;"Y","",IFERROR(INDEX($D$6:$D$4005,MATCH(B505&amp;"|"&amp;ROUND(_xlfn.MAXIFS($O$6:$O$4005,$B$6:$B$4005,B505,$N$6:$N$4005,"N"),0),$P$6:$P$4005,0)),"(tanpa lawan)"))</f>
        <v/>
      </c>
      <c r="R505" s="44"/>
      <c r="S505" s="9" t="str">
        <f aca="false">IF(N505&lt;&gt;"Y","",IF(R505&lt;&gt;"",R505,IF(Q505="(tanpa lawan)","Transfer antar rekening",IFERROR(INDEX(I_COA!$F$6:$F$265,MATCH(Q505,I_COA!$A$6:$A$265,0)),"?"))))</f>
        <v/>
      </c>
    </row>
    <row r="506" customFormat="false" ht="15" hidden="false" customHeight="false" outlineLevel="0" collapsed="false">
      <c r="A506" s="37" t="n">
        <v>46244</v>
      </c>
      <c r="B506" s="44" t="s">
        <v>1027</v>
      </c>
      <c r="C506" s="44" t="s">
        <v>594</v>
      </c>
      <c r="D506" s="44" t="n">
        <v>6200023</v>
      </c>
      <c r="E506" s="44" t="s">
        <v>688</v>
      </c>
      <c r="F506" s="44" t="s">
        <v>1028</v>
      </c>
      <c r="G506" s="42"/>
      <c r="H506" s="42" t="n">
        <v>10000</v>
      </c>
      <c r="I506" s="44" t="s">
        <v>597</v>
      </c>
      <c r="J506" s="11" t="n">
        <f aca="false">IF(D506="","",N(G506)-N(H506))</f>
        <v>-10000</v>
      </c>
      <c r="K506" s="34" t="str">
        <f aca="false">IF(D506="","",IFERROR(INDEX(I_COA!$C$6:$C$265,MATCH(D506,I_COA!$A$6:$A$265,0)),"AKUN BARU"))</f>
        <v>LabaRugi</v>
      </c>
      <c r="L506" s="34" t="str">
        <f aca="false">IF(K506="LabaRugi",INDEX(I_COA!$D$6:$D$265,MATCH(D506,I_COA!$A$6:$A$265,0)),"")</f>
        <v>Tax expenses</v>
      </c>
      <c r="M506" s="34" t="str">
        <f aca="false">IF(K506="Neraca",INDEX(I_COA!$E$6:$E$265,MATCH(D506,I_COA!$A$6:$A$265,0)),"")</f>
        <v/>
      </c>
      <c r="N506" s="34" t="str">
        <f aca="false">IF(D506="","",IFERROR(INDEX(I_COA!$G$6:$G$265,MATCH(D506,I_COA!$A$6:$A$265,0)),"N"))</f>
        <v>N</v>
      </c>
      <c r="O506" s="11" t="n">
        <f aca="false">IF(N506="N",ABS(J506),"")</f>
        <v>10000</v>
      </c>
      <c r="P506" s="18" t="str">
        <f aca="false">IF(N506="N",B506&amp;"|"&amp;ROUND(O506,0),"")</f>
        <v>B8526080036|10000</v>
      </c>
      <c r="Q506" s="18" t="str">
        <f aca="false">IF(N506&lt;&gt;"Y","",IFERROR(INDEX($D$6:$D$4005,MATCH(B506&amp;"|"&amp;ROUND(_xlfn.MAXIFS($O$6:$O$4005,$B$6:$B$4005,B506,$N$6:$N$4005,"N"),0),$P$6:$P$4005,0)),"(tanpa lawan)"))</f>
        <v/>
      </c>
      <c r="R506" s="44"/>
      <c r="S506" s="9" t="str">
        <f aca="false">IF(N506&lt;&gt;"Y","",IF(R506&lt;&gt;"",R506,IF(Q506="(tanpa lawan)","Transfer antar rekening",IFERROR(INDEX(I_COA!$F$6:$F$265,MATCH(Q506,I_COA!$A$6:$A$265,0)),"?"))))</f>
        <v/>
      </c>
    </row>
    <row r="507" customFormat="false" ht="15" hidden="false" customHeight="false" outlineLevel="0" collapsed="false">
      <c r="A507" s="37" t="n">
        <v>46244</v>
      </c>
      <c r="B507" s="44" t="s">
        <v>1027</v>
      </c>
      <c r="C507" s="44" t="s">
        <v>594</v>
      </c>
      <c r="D507" s="44" t="n">
        <v>1102002</v>
      </c>
      <c r="E507" s="44" t="s">
        <v>598</v>
      </c>
      <c r="F507" s="44" t="s">
        <v>1028</v>
      </c>
      <c r="G507" s="42"/>
      <c r="H507" s="42" t="n">
        <v>85086550</v>
      </c>
      <c r="I507" s="44" t="s">
        <v>597</v>
      </c>
      <c r="J507" s="11" t="n">
        <f aca="false">IF(D507="","",N(G507)-N(H507))</f>
        <v>-85086550</v>
      </c>
      <c r="K507" s="34" t="str">
        <f aca="false">IF(D507="","",IFERROR(INDEX(I_COA!$C$6:$C$265,MATCH(D507,I_COA!$A$6:$A$265,0)),"AKUN BARU"))</f>
        <v>Neraca</v>
      </c>
      <c r="L507" s="34" t="str">
        <f aca="false">IF(K507="LabaRugi",INDEX(I_COA!$D$6:$D$265,MATCH(D507,I_COA!$A$6:$A$265,0)),"")</f>
        <v/>
      </c>
      <c r="M507" s="34" t="str">
        <f aca="false">IF(K507="Neraca",INDEX(I_COA!$E$6:$E$265,MATCH(D507,I_COA!$A$6:$A$265,0)),"")</f>
        <v>Cash and cash equivalents</v>
      </c>
      <c r="N507" s="34" t="str">
        <f aca="false">IF(D507="","",IFERROR(INDEX(I_COA!$G$6:$G$265,MATCH(D507,I_COA!$A$6:$A$265,0)),"N"))</f>
        <v>Y</v>
      </c>
      <c r="O507" s="11" t="str">
        <f aca="false">IF(N507="N",ABS(J507),"")</f>
        <v/>
      </c>
      <c r="P507" s="18" t="str">
        <f aca="false">IF(N507="N",B507&amp;"|"&amp;ROUND(O507,0),"")</f>
        <v/>
      </c>
      <c r="Q507" s="18" t="n">
        <f aca="false">IF(N507&lt;&gt;"Y","",IFERROR(INDEX($D$6:$D$4005,MATCH(B507&amp;"|"&amp;ROUND(_xlfn.MAXIFS($O$6:$O$4005,$B$6:$B$4005,B507,$N$6:$N$4005,"N"),0),$P$6:$P$4005,0)),"(tanpa lawan)"))</f>
        <v>2101001</v>
      </c>
      <c r="R507" s="44"/>
      <c r="S507" s="9" t="str">
        <f aca="false">IF(N507&lt;&gt;"Y","",IF(R507&lt;&gt;"",R507,IF(Q507="(tanpa lawan)","Transfer antar rekening",IFERROR(INDEX(I_COA!$F$6:$F$265,MATCH(Q507,I_COA!$A$6:$A$265,0)),"?"))))</f>
        <v>Bayar pemasok barang (live bird &amp; trading)</v>
      </c>
    </row>
    <row r="508" customFormat="false" ht="15" hidden="false" customHeight="false" outlineLevel="0" collapsed="false">
      <c r="A508" s="37" t="n">
        <v>46244</v>
      </c>
      <c r="B508" s="44" t="s">
        <v>1029</v>
      </c>
      <c r="C508" s="44" t="s">
        <v>594</v>
      </c>
      <c r="D508" s="44" t="n">
        <v>2101003</v>
      </c>
      <c r="E508" s="44" t="s">
        <v>679</v>
      </c>
      <c r="F508" s="44" t="s">
        <v>1030</v>
      </c>
      <c r="G508" s="42" t="n">
        <v>1282637.91</v>
      </c>
      <c r="H508" s="42"/>
      <c r="I508" s="44" t="s">
        <v>1031</v>
      </c>
      <c r="J508" s="11" t="n">
        <f aca="false">IF(D508="","",N(G508)-N(H508))</f>
        <v>1282637.91</v>
      </c>
      <c r="K508" s="34" t="str">
        <f aca="false">IF(D508="","",IFERROR(INDEX(I_COA!$C$6:$C$265,MATCH(D508,I_COA!$A$6:$A$265,0)),"AKUN BARU"))</f>
        <v>Neraca</v>
      </c>
      <c r="L508" s="34" t="str">
        <f aca="false">IF(K508="LabaRugi",INDEX(I_COA!$D$6:$D$265,MATCH(D508,I_COA!$A$6:$A$265,0)),"")</f>
        <v/>
      </c>
      <c r="M508" s="34" t="str">
        <f aca="false">IF(K508="Neraca",INDEX(I_COA!$E$6:$E$265,MATCH(D508,I_COA!$A$6:$A$265,0)),"")</f>
        <v>Other Payable - Third Parties</v>
      </c>
      <c r="N508" s="34" t="str">
        <f aca="false">IF(D508="","",IFERROR(INDEX(I_COA!$G$6:$G$265,MATCH(D508,I_COA!$A$6:$A$265,0)),"N"))</f>
        <v>N</v>
      </c>
      <c r="O508" s="11" t="n">
        <f aca="false">IF(N508="N",ABS(J508),"")</f>
        <v>1282637.91</v>
      </c>
      <c r="P508" s="18" t="str">
        <f aca="false">IF(N508="N",B508&amp;"|"&amp;ROUND(O508,0),"")</f>
        <v>B8526080037|1282638</v>
      </c>
      <c r="Q508" s="18" t="str">
        <f aca="false">IF(N508&lt;&gt;"Y","",IFERROR(INDEX($D$6:$D$4005,MATCH(B508&amp;"|"&amp;ROUND(_xlfn.MAXIFS($O$6:$O$4005,$B$6:$B$4005,B508,$N$6:$N$4005,"N"),0),$P$6:$P$4005,0)),"(tanpa lawan)"))</f>
        <v/>
      </c>
      <c r="R508" s="44"/>
      <c r="S508" s="9" t="str">
        <f aca="false">IF(N508&lt;&gt;"Y","",IF(R508&lt;&gt;"",R508,IF(Q508="(tanpa lawan)","Transfer antar rekening",IFERROR(INDEX(I_COA!$F$6:$F$265,MATCH(Q508,I_COA!$A$6:$A$265,0)),"?"))))</f>
        <v/>
      </c>
    </row>
    <row r="509" customFormat="false" ht="15" hidden="false" customHeight="false" outlineLevel="0" collapsed="false">
      <c r="A509" s="37" t="n">
        <v>46244</v>
      </c>
      <c r="B509" s="44" t="s">
        <v>1029</v>
      </c>
      <c r="C509" s="44" t="s">
        <v>594</v>
      </c>
      <c r="D509" s="44" t="n">
        <v>7100009</v>
      </c>
      <c r="E509" s="44" t="s">
        <v>189</v>
      </c>
      <c r="F509" s="44" t="s">
        <v>1030</v>
      </c>
      <c r="G509" s="42"/>
      <c r="H509" s="42" t="n">
        <v>0.91</v>
      </c>
      <c r="I509" s="44" t="s">
        <v>1031</v>
      </c>
      <c r="J509" s="11" t="n">
        <f aca="false">IF(D509="","",N(G509)-N(H509))</f>
        <v>-0.91</v>
      </c>
      <c r="K509" s="34" t="str">
        <f aca="false">IF(D509="","",IFERROR(INDEX(I_COA!$C$6:$C$265,MATCH(D509,I_COA!$A$6:$A$265,0)),"AKUN BARU"))</f>
        <v>LabaRugi</v>
      </c>
      <c r="L509" s="34" t="str">
        <f aca="false">IF(K509="LabaRugi",INDEX(I_COA!$D$6:$D$265,MATCH(D509,I_COA!$A$6:$A$265,0)),"")</f>
        <v>Other Income</v>
      </c>
      <c r="M509" s="34" t="str">
        <f aca="false">IF(K509="Neraca",INDEX(I_COA!$E$6:$E$265,MATCH(D509,I_COA!$A$6:$A$265,0)),"")</f>
        <v/>
      </c>
      <c r="N509" s="34" t="str">
        <f aca="false">IF(D509="","",IFERROR(INDEX(I_COA!$G$6:$G$265,MATCH(D509,I_COA!$A$6:$A$265,0)),"N"))</f>
        <v>N</v>
      </c>
      <c r="O509" s="11" t="n">
        <f aca="false">IF(N509="N",ABS(J509),"")</f>
        <v>0.91</v>
      </c>
      <c r="P509" s="18" t="str">
        <f aca="false">IF(N509="N",B509&amp;"|"&amp;ROUND(O509,0),"")</f>
        <v>B8526080037|1</v>
      </c>
      <c r="Q509" s="18" t="str">
        <f aca="false">IF(N509&lt;&gt;"Y","",IFERROR(INDEX($D$6:$D$4005,MATCH(B509&amp;"|"&amp;ROUND(_xlfn.MAXIFS($O$6:$O$4005,$B$6:$B$4005,B509,$N$6:$N$4005,"N"),0),$P$6:$P$4005,0)),"(tanpa lawan)"))</f>
        <v/>
      </c>
      <c r="R509" s="44"/>
      <c r="S509" s="9" t="str">
        <f aca="false">IF(N509&lt;&gt;"Y","",IF(R509&lt;&gt;"",R509,IF(Q509="(tanpa lawan)","Transfer antar rekening",IFERROR(INDEX(I_COA!$F$6:$F$265,MATCH(Q509,I_COA!$A$6:$A$265,0)),"?"))))</f>
        <v/>
      </c>
    </row>
    <row r="510" customFormat="false" ht="15" hidden="false" customHeight="false" outlineLevel="0" collapsed="false">
      <c r="A510" s="37" t="n">
        <v>46244</v>
      </c>
      <c r="B510" s="44" t="s">
        <v>1029</v>
      </c>
      <c r="C510" s="44" t="s">
        <v>594</v>
      </c>
      <c r="D510" s="44" t="n">
        <v>1102002</v>
      </c>
      <c r="E510" s="44" t="s">
        <v>598</v>
      </c>
      <c r="F510" s="44" t="s">
        <v>1030</v>
      </c>
      <c r="G510" s="42"/>
      <c r="H510" s="42" t="n">
        <v>1282637</v>
      </c>
      <c r="I510" s="44" t="s">
        <v>1031</v>
      </c>
      <c r="J510" s="11" t="n">
        <f aca="false">IF(D510="","",N(G510)-N(H510))</f>
        <v>-1282637</v>
      </c>
      <c r="K510" s="34" t="str">
        <f aca="false">IF(D510="","",IFERROR(INDEX(I_COA!$C$6:$C$265,MATCH(D510,I_COA!$A$6:$A$265,0)),"AKUN BARU"))</f>
        <v>Neraca</v>
      </c>
      <c r="L510" s="34" t="str">
        <f aca="false">IF(K510="LabaRugi",INDEX(I_COA!$D$6:$D$265,MATCH(D510,I_COA!$A$6:$A$265,0)),"")</f>
        <v/>
      </c>
      <c r="M510" s="34" t="str">
        <f aca="false">IF(K510="Neraca",INDEX(I_COA!$E$6:$E$265,MATCH(D510,I_COA!$A$6:$A$265,0)),"")</f>
        <v>Cash and cash equivalents</v>
      </c>
      <c r="N510" s="34" t="str">
        <f aca="false">IF(D510="","",IFERROR(INDEX(I_COA!$G$6:$G$265,MATCH(D510,I_COA!$A$6:$A$265,0)),"N"))</f>
        <v>Y</v>
      </c>
      <c r="O510" s="11" t="str">
        <f aca="false">IF(N510="N",ABS(J510),"")</f>
        <v/>
      </c>
      <c r="P510" s="18" t="str">
        <f aca="false">IF(N510="N",B510&amp;"|"&amp;ROUND(O510,0),"")</f>
        <v/>
      </c>
      <c r="Q510" s="18" t="n">
        <f aca="false">IF(N510&lt;&gt;"Y","",IFERROR(INDEX($D$6:$D$4005,MATCH(B510&amp;"|"&amp;ROUND(_xlfn.MAXIFS($O$6:$O$4005,$B$6:$B$4005,B510,$N$6:$N$4005,"N"),0),$P$6:$P$4005,0)),"(tanpa lawan)"))</f>
        <v>2101003</v>
      </c>
      <c r="R510" s="44"/>
      <c r="S510" s="9" t="str">
        <f aca="false">IF(N510&lt;&gt;"Y","",IF(R510&lt;&gt;"",R510,IF(Q510="(tanpa lawan)","Transfer antar rekening",IFERROR(INDEX(I_COA!$F$6:$F$265,MATCH(Q510,I_COA!$A$6:$A$265,0)),"?"))))</f>
        <v>Bayar jasa (maklon, angkut, cold storage, sewa)</v>
      </c>
    </row>
    <row r="511" customFormat="false" ht="15" hidden="false" customHeight="false" outlineLevel="0" collapsed="false">
      <c r="A511" s="37" t="n">
        <v>46244</v>
      </c>
      <c r="B511" s="44" t="s">
        <v>1032</v>
      </c>
      <c r="C511" s="44" t="s">
        <v>580</v>
      </c>
      <c r="D511" s="44" t="n">
        <v>7200003</v>
      </c>
      <c r="E511" s="44" t="s">
        <v>581</v>
      </c>
      <c r="F511" s="44" t="s">
        <v>890</v>
      </c>
      <c r="G511" s="42" t="n">
        <v>2500</v>
      </c>
      <c r="H511" s="42"/>
      <c r="I511" s="44"/>
      <c r="J511" s="11" t="n">
        <f aca="false">IF(D511="","",N(G511)-N(H511))</f>
        <v>2500</v>
      </c>
      <c r="K511" s="34" t="str">
        <f aca="false">IF(D511="","",IFERROR(INDEX(I_COA!$C$6:$C$265,MATCH(D511,I_COA!$A$6:$A$265,0)),"AKUN BARU"))</f>
        <v>LabaRugi</v>
      </c>
      <c r="L511" s="34" t="str">
        <f aca="false">IF(K511="LabaRugi",INDEX(I_COA!$D$6:$D$265,MATCH(D511,I_COA!$A$6:$A$265,0)),"")</f>
        <v>Other Expense</v>
      </c>
      <c r="M511" s="34" t="str">
        <f aca="false">IF(K511="Neraca",INDEX(I_COA!$E$6:$E$265,MATCH(D511,I_COA!$A$6:$A$265,0)),"")</f>
        <v/>
      </c>
      <c r="N511" s="34" t="str">
        <f aca="false">IF(D511="","",IFERROR(INDEX(I_COA!$G$6:$G$265,MATCH(D511,I_COA!$A$6:$A$265,0)),"N"))</f>
        <v>N</v>
      </c>
      <c r="O511" s="11" t="n">
        <f aca="false">IF(N511="N",ABS(J511),"")</f>
        <v>2500</v>
      </c>
      <c r="P511" s="18" t="str">
        <f aca="false">IF(N511="N",B511&amp;"|"&amp;ROUND(O511,0),"")</f>
        <v>B8526080038|2500</v>
      </c>
      <c r="Q511" s="18" t="str">
        <f aca="false">IF(N511&lt;&gt;"Y","",IFERROR(INDEX($D$6:$D$4005,MATCH(B511&amp;"|"&amp;ROUND(_xlfn.MAXIFS($O$6:$O$4005,$B$6:$B$4005,B511,$N$6:$N$4005,"N"),0),$P$6:$P$4005,0)),"(tanpa lawan)"))</f>
        <v/>
      </c>
      <c r="R511" s="44"/>
      <c r="S511" s="9" t="str">
        <f aca="false">IF(N511&lt;&gt;"Y","",IF(R511&lt;&gt;"",R511,IF(Q511="(tanpa lawan)","Transfer antar rekening",IFERROR(INDEX(I_COA!$F$6:$F$265,MATCH(Q511,I_COA!$A$6:$A$265,0)),"?"))))</f>
        <v/>
      </c>
    </row>
    <row r="512" customFormat="false" ht="15" hidden="false" customHeight="false" outlineLevel="0" collapsed="false">
      <c r="A512" s="37" t="n">
        <v>46244</v>
      </c>
      <c r="B512" s="44" t="s">
        <v>1032</v>
      </c>
      <c r="C512" s="44" t="s">
        <v>580</v>
      </c>
      <c r="D512" s="44" t="n">
        <v>1102002</v>
      </c>
      <c r="E512" s="44" t="s">
        <v>598</v>
      </c>
      <c r="F512" s="44" t="s">
        <v>1033</v>
      </c>
      <c r="G512" s="42"/>
      <c r="H512" s="42" t="n">
        <v>2500</v>
      </c>
      <c r="I512" s="44"/>
      <c r="J512" s="11" t="n">
        <f aca="false">IF(D512="","",N(G512)-N(H512))</f>
        <v>-2500</v>
      </c>
      <c r="K512" s="34" t="str">
        <f aca="false">IF(D512="","",IFERROR(INDEX(I_COA!$C$6:$C$265,MATCH(D512,I_COA!$A$6:$A$265,0)),"AKUN BARU"))</f>
        <v>Neraca</v>
      </c>
      <c r="L512" s="34" t="str">
        <f aca="false">IF(K512="LabaRugi",INDEX(I_COA!$D$6:$D$265,MATCH(D512,I_COA!$A$6:$A$265,0)),"")</f>
        <v/>
      </c>
      <c r="M512" s="34" t="str">
        <f aca="false">IF(K512="Neraca",INDEX(I_COA!$E$6:$E$265,MATCH(D512,I_COA!$A$6:$A$265,0)),"")</f>
        <v>Cash and cash equivalents</v>
      </c>
      <c r="N512" s="34" t="str">
        <f aca="false">IF(D512="","",IFERROR(INDEX(I_COA!$G$6:$G$265,MATCH(D512,I_COA!$A$6:$A$265,0)),"N"))</f>
        <v>Y</v>
      </c>
      <c r="O512" s="11" t="str">
        <f aca="false">IF(N512="N",ABS(J512),"")</f>
        <v/>
      </c>
      <c r="P512" s="18" t="str">
        <f aca="false">IF(N512="N",B512&amp;"|"&amp;ROUND(O512,0),"")</f>
        <v/>
      </c>
      <c r="Q512" s="18" t="n">
        <f aca="false">IF(N512&lt;&gt;"Y","",IFERROR(INDEX($D$6:$D$4005,MATCH(B512&amp;"|"&amp;ROUND(_xlfn.MAXIFS($O$6:$O$4005,$B$6:$B$4005,B512,$N$6:$N$4005,"N"),0),$P$6:$P$4005,0)),"(tanpa lawan)"))</f>
        <v>7200003</v>
      </c>
      <c r="R512" s="44"/>
      <c r="S512" s="9" t="str">
        <f aca="false">IF(N512&lt;&gt;"Y","",IF(R512&lt;&gt;"",R512,IF(Q512="(tanpa lawan)","Transfer antar rekening",IFERROR(INDEX(I_COA!$F$6:$F$265,MATCH(Q512,I_COA!$A$6:$A$265,0)),"?"))))</f>
        <v>Bunga &amp; biaya bank</v>
      </c>
    </row>
    <row r="513" customFormat="false" ht="15" hidden="false" customHeight="false" outlineLevel="0" collapsed="false">
      <c r="A513" s="37" t="n">
        <v>46244</v>
      </c>
      <c r="B513" s="44" t="s">
        <v>1034</v>
      </c>
      <c r="C513" s="44" t="s">
        <v>594</v>
      </c>
      <c r="D513" s="44" t="n">
        <v>2101003</v>
      </c>
      <c r="E513" s="44" t="s">
        <v>679</v>
      </c>
      <c r="F513" s="44" t="s">
        <v>1035</v>
      </c>
      <c r="G513" s="42" t="n">
        <v>1680120</v>
      </c>
      <c r="H513" s="42"/>
      <c r="I513" s="44" t="s">
        <v>429</v>
      </c>
      <c r="J513" s="11" t="n">
        <f aca="false">IF(D513="","",N(G513)-N(H513))</f>
        <v>1680120</v>
      </c>
      <c r="K513" s="34" t="str">
        <f aca="false">IF(D513="","",IFERROR(INDEX(I_COA!$C$6:$C$265,MATCH(D513,I_COA!$A$6:$A$265,0)),"AKUN BARU"))</f>
        <v>Neraca</v>
      </c>
      <c r="L513" s="34" t="str">
        <f aca="false">IF(K513="LabaRugi",INDEX(I_COA!$D$6:$D$265,MATCH(D513,I_COA!$A$6:$A$265,0)),"")</f>
        <v/>
      </c>
      <c r="M513" s="34" t="str">
        <f aca="false">IF(K513="Neraca",INDEX(I_COA!$E$6:$E$265,MATCH(D513,I_COA!$A$6:$A$265,0)),"")</f>
        <v>Other Payable - Third Parties</v>
      </c>
      <c r="N513" s="34" t="str">
        <f aca="false">IF(D513="","",IFERROR(INDEX(I_COA!$G$6:$G$265,MATCH(D513,I_COA!$A$6:$A$265,0)),"N"))</f>
        <v>N</v>
      </c>
      <c r="O513" s="11" t="n">
        <f aca="false">IF(N513="N",ABS(J513),"")</f>
        <v>1680120</v>
      </c>
      <c r="P513" s="18" t="str">
        <f aca="false">IF(N513="N",B513&amp;"|"&amp;ROUND(O513,0),"")</f>
        <v>B8526080039|1680120</v>
      </c>
      <c r="Q513" s="18" t="str">
        <f aca="false">IF(N513&lt;&gt;"Y","",IFERROR(INDEX($D$6:$D$4005,MATCH(B513&amp;"|"&amp;ROUND(_xlfn.MAXIFS($O$6:$O$4005,$B$6:$B$4005,B513,$N$6:$N$4005,"N"),0),$P$6:$P$4005,0)),"(tanpa lawan)"))</f>
        <v/>
      </c>
      <c r="R513" s="44"/>
      <c r="S513" s="9" t="str">
        <f aca="false">IF(N513&lt;&gt;"Y","",IF(R513&lt;&gt;"",R513,IF(Q513="(tanpa lawan)","Transfer antar rekening",IFERROR(INDEX(I_COA!$F$6:$F$265,MATCH(Q513,I_COA!$A$6:$A$265,0)),"?"))))</f>
        <v/>
      </c>
    </row>
    <row r="514" customFormat="false" ht="15" hidden="false" customHeight="false" outlineLevel="0" collapsed="false">
      <c r="A514" s="37" t="n">
        <v>46244</v>
      </c>
      <c r="B514" s="44" t="s">
        <v>1034</v>
      </c>
      <c r="C514" s="44" t="s">
        <v>594</v>
      </c>
      <c r="D514" s="44" t="n">
        <v>1102002</v>
      </c>
      <c r="E514" s="44" t="s">
        <v>598</v>
      </c>
      <c r="F514" s="44" t="s">
        <v>1035</v>
      </c>
      <c r="G514" s="42"/>
      <c r="H514" s="42" t="n">
        <v>1680120</v>
      </c>
      <c r="I514" s="44" t="s">
        <v>429</v>
      </c>
      <c r="J514" s="11" t="n">
        <f aca="false">IF(D514="","",N(G514)-N(H514))</f>
        <v>-1680120</v>
      </c>
      <c r="K514" s="34" t="str">
        <f aca="false">IF(D514="","",IFERROR(INDEX(I_COA!$C$6:$C$265,MATCH(D514,I_COA!$A$6:$A$265,0)),"AKUN BARU"))</f>
        <v>Neraca</v>
      </c>
      <c r="L514" s="34" t="str">
        <f aca="false">IF(K514="LabaRugi",INDEX(I_COA!$D$6:$D$265,MATCH(D514,I_COA!$A$6:$A$265,0)),"")</f>
        <v/>
      </c>
      <c r="M514" s="34" t="str">
        <f aca="false">IF(K514="Neraca",INDEX(I_COA!$E$6:$E$265,MATCH(D514,I_COA!$A$6:$A$265,0)),"")</f>
        <v>Cash and cash equivalents</v>
      </c>
      <c r="N514" s="34" t="str">
        <f aca="false">IF(D514="","",IFERROR(INDEX(I_COA!$G$6:$G$265,MATCH(D514,I_COA!$A$6:$A$265,0)),"N"))</f>
        <v>Y</v>
      </c>
      <c r="O514" s="11" t="str">
        <f aca="false">IF(N514="N",ABS(J514),"")</f>
        <v/>
      </c>
      <c r="P514" s="18" t="str">
        <f aca="false">IF(N514="N",B514&amp;"|"&amp;ROUND(O514,0),"")</f>
        <v/>
      </c>
      <c r="Q514" s="18" t="n">
        <f aca="false">IF(N514&lt;&gt;"Y","",IFERROR(INDEX($D$6:$D$4005,MATCH(B514&amp;"|"&amp;ROUND(_xlfn.MAXIFS($O$6:$O$4005,$B$6:$B$4005,B514,$N$6:$N$4005,"N"),0),$P$6:$P$4005,0)),"(tanpa lawan)"))</f>
        <v>2101003</v>
      </c>
      <c r="R514" s="44"/>
      <c r="S514" s="9" t="str">
        <f aca="false">IF(N514&lt;&gt;"Y","",IF(R514&lt;&gt;"",R514,IF(Q514="(tanpa lawan)","Transfer antar rekening",IFERROR(INDEX(I_COA!$F$6:$F$265,MATCH(Q514,I_COA!$A$6:$A$265,0)),"?"))))</f>
        <v>Bayar jasa (maklon, angkut, cold storage, sewa)</v>
      </c>
    </row>
    <row r="515" customFormat="false" ht="15" hidden="false" customHeight="false" outlineLevel="0" collapsed="false">
      <c r="A515" s="37" t="n">
        <v>46244</v>
      </c>
      <c r="B515" s="44" t="s">
        <v>1036</v>
      </c>
      <c r="C515" s="44" t="s">
        <v>594</v>
      </c>
      <c r="D515" s="44" t="n">
        <v>2101003</v>
      </c>
      <c r="E515" s="44" t="s">
        <v>679</v>
      </c>
      <c r="F515" s="44" t="s">
        <v>1037</v>
      </c>
      <c r="G515" s="42" t="n">
        <v>2116624.4</v>
      </c>
      <c r="H515" s="42"/>
      <c r="I515" s="44" t="s">
        <v>1005</v>
      </c>
      <c r="J515" s="11" t="n">
        <f aca="false">IF(D515="","",N(G515)-N(H515))</f>
        <v>2116624.4</v>
      </c>
      <c r="K515" s="34" t="str">
        <f aca="false">IF(D515="","",IFERROR(INDEX(I_COA!$C$6:$C$265,MATCH(D515,I_COA!$A$6:$A$265,0)),"AKUN BARU"))</f>
        <v>Neraca</v>
      </c>
      <c r="L515" s="34" t="str">
        <f aca="false">IF(K515="LabaRugi",INDEX(I_COA!$D$6:$D$265,MATCH(D515,I_COA!$A$6:$A$265,0)),"")</f>
        <v/>
      </c>
      <c r="M515" s="34" t="str">
        <f aca="false">IF(K515="Neraca",INDEX(I_COA!$E$6:$E$265,MATCH(D515,I_COA!$A$6:$A$265,0)),"")</f>
        <v>Other Payable - Third Parties</v>
      </c>
      <c r="N515" s="34" t="str">
        <f aca="false">IF(D515="","",IFERROR(INDEX(I_COA!$G$6:$G$265,MATCH(D515,I_COA!$A$6:$A$265,0)),"N"))</f>
        <v>N</v>
      </c>
      <c r="O515" s="11" t="n">
        <f aca="false">IF(N515="N",ABS(J515),"")</f>
        <v>2116624.4</v>
      </c>
      <c r="P515" s="18" t="str">
        <f aca="false">IF(N515="N",B515&amp;"|"&amp;ROUND(O515,0),"")</f>
        <v>B8526080040|2116624</v>
      </c>
      <c r="Q515" s="18" t="str">
        <f aca="false">IF(N515&lt;&gt;"Y","",IFERROR(INDEX($D$6:$D$4005,MATCH(B515&amp;"|"&amp;ROUND(_xlfn.MAXIFS($O$6:$O$4005,$B$6:$B$4005,B515,$N$6:$N$4005,"N"),0),$P$6:$P$4005,0)),"(tanpa lawan)"))</f>
        <v/>
      </c>
      <c r="R515" s="44"/>
      <c r="S515" s="9" t="str">
        <f aca="false">IF(N515&lt;&gt;"Y","",IF(R515&lt;&gt;"",R515,IF(Q515="(tanpa lawan)","Transfer antar rekening",IFERROR(INDEX(I_COA!$F$6:$F$265,MATCH(Q515,I_COA!$A$6:$A$265,0)),"?"))))</f>
        <v/>
      </c>
    </row>
    <row r="516" customFormat="false" ht="15" hidden="false" customHeight="false" outlineLevel="0" collapsed="false">
      <c r="A516" s="37" t="n">
        <v>46244</v>
      </c>
      <c r="B516" s="44" t="s">
        <v>1036</v>
      </c>
      <c r="C516" s="44" t="s">
        <v>594</v>
      </c>
      <c r="D516" s="44" t="n">
        <v>7100009</v>
      </c>
      <c r="E516" s="44" t="s">
        <v>189</v>
      </c>
      <c r="F516" s="44" t="s">
        <v>1037</v>
      </c>
      <c r="G516" s="42"/>
      <c r="H516" s="42" t="n">
        <v>0.4</v>
      </c>
      <c r="I516" s="44" t="s">
        <v>1005</v>
      </c>
      <c r="J516" s="11" t="n">
        <f aca="false">IF(D516="","",N(G516)-N(H516))</f>
        <v>-0.4</v>
      </c>
      <c r="K516" s="34" t="str">
        <f aca="false">IF(D516="","",IFERROR(INDEX(I_COA!$C$6:$C$265,MATCH(D516,I_COA!$A$6:$A$265,0)),"AKUN BARU"))</f>
        <v>LabaRugi</v>
      </c>
      <c r="L516" s="34" t="str">
        <f aca="false">IF(K516="LabaRugi",INDEX(I_COA!$D$6:$D$265,MATCH(D516,I_COA!$A$6:$A$265,0)),"")</f>
        <v>Other Income</v>
      </c>
      <c r="M516" s="34" t="str">
        <f aca="false">IF(K516="Neraca",INDEX(I_COA!$E$6:$E$265,MATCH(D516,I_COA!$A$6:$A$265,0)),"")</f>
        <v/>
      </c>
      <c r="N516" s="34" t="str">
        <f aca="false">IF(D516="","",IFERROR(INDEX(I_COA!$G$6:$G$265,MATCH(D516,I_COA!$A$6:$A$265,0)),"N"))</f>
        <v>N</v>
      </c>
      <c r="O516" s="11" t="n">
        <f aca="false">IF(N516="N",ABS(J516),"")</f>
        <v>0.4</v>
      </c>
      <c r="P516" s="18" t="str">
        <f aca="false">IF(N516="N",B516&amp;"|"&amp;ROUND(O516,0),"")</f>
        <v>B8526080040|0</v>
      </c>
      <c r="Q516" s="18" t="str">
        <f aca="false">IF(N516&lt;&gt;"Y","",IFERROR(INDEX($D$6:$D$4005,MATCH(B516&amp;"|"&amp;ROUND(_xlfn.MAXIFS($O$6:$O$4005,$B$6:$B$4005,B516,$N$6:$N$4005,"N"),0),$P$6:$P$4005,0)),"(tanpa lawan)"))</f>
        <v/>
      </c>
      <c r="R516" s="44"/>
      <c r="S516" s="9" t="str">
        <f aca="false">IF(N516&lt;&gt;"Y","",IF(R516&lt;&gt;"",R516,IF(Q516="(tanpa lawan)","Transfer antar rekening",IFERROR(INDEX(I_COA!$F$6:$F$265,MATCH(Q516,I_COA!$A$6:$A$265,0)),"?"))))</f>
        <v/>
      </c>
    </row>
    <row r="517" customFormat="false" ht="15" hidden="false" customHeight="false" outlineLevel="0" collapsed="false">
      <c r="A517" s="37" t="n">
        <v>46244</v>
      </c>
      <c r="B517" s="44" t="s">
        <v>1036</v>
      </c>
      <c r="C517" s="44" t="s">
        <v>594</v>
      </c>
      <c r="D517" s="44" t="n">
        <v>1102002</v>
      </c>
      <c r="E517" s="44" t="s">
        <v>598</v>
      </c>
      <c r="F517" s="44" t="s">
        <v>1037</v>
      </c>
      <c r="G517" s="42"/>
      <c r="H517" s="42" t="n">
        <v>2116624</v>
      </c>
      <c r="I517" s="44" t="s">
        <v>1005</v>
      </c>
      <c r="J517" s="11" t="n">
        <f aca="false">IF(D517="","",N(G517)-N(H517))</f>
        <v>-2116624</v>
      </c>
      <c r="K517" s="34" t="str">
        <f aca="false">IF(D517="","",IFERROR(INDEX(I_COA!$C$6:$C$265,MATCH(D517,I_COA!$A$6:$A$265,0)),"AKUN BARU"))</f>
        <v>Neraca</v>
      </c>
      <c r="L517" s="34" t="str">
        <f aca="false">IF(K517="LabaRugi",INDEX(I_COA!$D$6:$D$265,MATCH(D517,I_COA!$A$6:$A$265,0)),"")</f>
        <v/>
      </c>
      <c r="M517" s="34" t="str">
        <f aca="false">IF(K517="Neraca",INDEX(I_COA!$E$6:$E$265,MATCH(D517,I_COA!$A$6:$A$265,0)),"")</f>
        <v>Cash and cash equivalents</v>
      </c>
      <c r="N517" s="34" t="str">
        <f aca="false">IF(D517="","",IFERROR(INDEX(I_COA!$G$6:$G$265,MATCH(D517,I_COA!$A$6:$A$265,0)),"N"))</f>
        <v>Y</v>
      </c>
      <c r="O517" s="11" t="str">
        <f aca="false">IF(N517="N",ABS(J517),"")</f>
        <v/>
      </c>
      <c r="P517" s="18" t="str">
        <f aca="false">IF(N517="N",B517&amp;"|"&amp;ROUND(O517,0),"")</f>
        <v/>
      </c>
      <c r="Q517" s="18" t="n">
        <f aca="false">IF(N517&lt;&gt;"Y","",IFERROR(INDEX($D$6:$D$4005,MATCH(B517&amp;"|"&amp;ROUND(_xlfn.MAXIFS($O$6:$O$4005,$B$6:$B$4005,B517,$N$6:$N$4005,"N"),0),$P$6:$P$4005,0)),"(tanpa lawan)"))</f>
        <v>2101003</v>
      </c>
      <c r="R517" s="44"/>
      <c r="S517" s="9" t="str">
        <f aca="false">IF(N517&lt;&gt;"Y","",IF(R517&lt;&gt;"",R517,IF(Q517="(tanpa lawan)","Transfer antar rekening",IFERROR(INDEX(I_COA!$F$6:$F$265,MATCH(Q517,I_COA!$A$6:$A$265,0)),"?"))))</f>
        <v>Bayar jasa (maklon, angkut, cold storage, sewa)</v>
      </c>
    </row>
    <row r="518" customFormat="false" ht="15" hidden="false" customHeight="false" outlineLevel="0" collapsed="false">
      <c r="A518" s="37" t="n">
        <v>46244</v>
      </c>
      <c r="B518" s="44" t="s">
        <v>1038</v>
      </c>
      <c r="C518" s="44" t="s">
        <v>594</v>
      </c>
      <c r="D518" s="44" t="n">
        <v>2101003</v>
      </c>
      <c r="E518" s="44" t="s">
        <v>679</v>
      </c>
      <c r="F518" s="44" t="s">
        <v>1039</v>
      </c>
      <c r="G518" s="42" t="n">
        <v>6540000</v>
      </c>
      <c r="H518" s="42"/>
      <c r="I518" s="44" t="s">
        <v>719</v>
      </c>
      <c r="J518" s="11" t="n">
        <f aca="false">IF(D518="","",N(G518)-N(H518))</f>
        <v>6540000</v>
      </c>
      <c r="K518" s="34" t="str">
        <f aca="false">IF(D518="","",IFERROR(INDEX(I_COA!$C$6:$C$265,MATCH(D518,I_COA!$A$6:$A$265,0)),"AKUN BARU"))</f>
        <v>Neraca</v>
      </c>
      <c r="L518" s="34" t="str">
        <f aca="false">IF(K518="LabaRugi",INDEX(I_COA!$D$6:$D$265,MATCH(D518,I_COA!$A$6:$A$265,0)),"")</f>
        <v/>
      </c>
      <c r="M518" s="34" t="str">
        <f aca="false">IF(K518="Neraca",INDEX(I_COA!$E$6:$E$265,MATCH(D518,I_COA!$A$6:$A$265,0)),"")</f>
        <v>Other Payable - Third Parties</v>
      </c>
      <c r="N518" s="34" t="str">
        <f aca="false">IF(D518="","",IFERROR(INDEX(I_COA!$G$6:$G$265,MATCH(D518,I_COA!$A$6:$A$265,0)),"N"))</f>
        <v>N</v>
      </c>
      <c r="O518" s="11" t="n">
        <f aca="false">IF(N518="N",ABS(J518),"")</f>
        <v>6540000</v>
      </c>
      <c r="P518" s="18" t="str">
        <f aca="false">IF(N518="N",B518&amp;"|"&amp;ROUND(O518,0),"")</f>
        <v>B8526080041|6540000</v>
      </c>
      <c r="Q518" s="18" t="str">
        <f aca="false">IF(N518&lt;&gt;"Y","",IFERROR(INDEX($D$6:$D$4005,MATCH(B518&amp;"|"&amp;ROUND(_xlfn.MAXIFS($O$6:$O$4005,$B$6:$B$4005,B518,$N$6:$N$4005,"N"),0),$P$6:$P$4005,0)),"(tanpa lawan)"))</f>
        <v/>
      </c>
      <c r="R518" s="44"/>
      <c r="S518" s="9" t="str">
        <f aca="false">IF(N518&lt;&gt;"Y","",IF(R518&lt;&gt;"",R518,IF(Q518="(tanpa lawan)","Transfer antar rekening",IFERROR(INDEX(I_COA!$F$6:$F$265,MATCH(Q518,I_COA!$A$6:$A$265,0)),"?"))))</f>
        <v/>
      </c>
    </row>
    <row r="519" customFormat="false" ht="15" hidden="false" customHeight="false" outlineLevel="0" collapsed="false">
      <c r="A519" s="37" t="n">
        <v>46244</v>
      </c>
      <c r="B519" s="44" t="s">
        <v>1038</v>
      </c>
      <c r="C519" s="44" t="s">
        <v>594</v>
      </c>
      <c r="D519" s="44" t="n">
        <v>1102002</v>
      </c>
      <c r="E519" s="44" t="s">
        <v>598</v>
      </c>
      <c r="F519" s="44" t="s">
        <v>1039</v>
      </c>
      <c r="G519" s="42"/>
      <c r="H519" s="42" t="n">
        <v>6540000</v>
      </c>
      <c r="I519" s="44" t="s">
        <v>719</v>
      </c>
      <c r="J519" s="11" t="n">
        <f aca="false">IF(D519="","",N(G519)-N(H519))</f>
        <v>-6540000</v>
      </c>
      <c r="K519" s="34" t="str">
        <f aca="false">IF(D519="","",IFERROR(INDEX(I_COA!$C$6:$C$265,MATCH(D519,I_COA!$A$6:$A$265,0)),"AKUN BARU"))</f>
        <v>Neraca</v>
      </c>
      <c r="L519" s="34" t="str">
        <f aca="false">IF(K519="LabaRugi",INDEX(I_COA!$D$6:$D$265,MATCH(D519,I_COA!$A$6:$A$265,0)),"")</f>
        <v/>
      </c>
      <c r="M519" s="34" t="str">
        <f aca="false">IF(K519="Neraca",INDEX(I_COA!$E$6:$E$265,MATCH(D519,I_COA!$A$6:$A$265,0)),"")</f>
        <v>Cash and cash equivalents</v>
      </c>
      <c r="N519" s="34" t="str">
        <f aca="false">IF(D519="","",IFERROR(INDEX(I_COA!$G$6:$G$265,MATCH(D519,I_COA!$A$6:$A$265,0)),"N"))</f>
        <v>Y</v>
      </c>
      <c r="O519" s="11" t="str">
        <f aca="false">IF(N519="N",ABS(J519),"")</f>
        <v/>
      </c>
      <c r="P519" s="18" t="str">
        <f aca="false">IF(N519="N",B519&amp;"|"&amp;ROUND(O519,0),"")</f>
        <v/>
      </c>
      <c r="Q519" s="18" t="n">
        <f aca="false">IF(N519&lt;&gt;"Y","",IFERROR(INDEX($D$6:$D$4005,MATCH(B519&amp;"|"&amp;ROUND(_xlfn.MAXIFS($O$6:$O$4005,$B$6:$B$4005,B519,$N$6:$N$4005,"N"),0),$P$6:$P$4005,0)),"(tanpa lawan)"))</f>
        <v>2101003</v>
      </c>
      <c r="R519" s="44"/>
      <c r="S519" s="9" t="str">
        <f aca="false">IF(N519&lt;&gt;"Y","",IF(R519&lt;&gt;"",R519,IF(Q519="(tanpa lawan)","Transfer antar rekening",IFERROR(INDEX(I_COA!$F$6:$F$265,MATCH(Q519,I_COA!$A$6:$A$265,0)),"?"))))</f>
        <v>Bayar jasa (maklon, angkut, cold storage, sewa)</v>
      </c>
    </row>
    <row r="520" customFormat="false" ht="15" hidden="false" customHeight="false" outlineLevel="0" collapsed="false">
      <c r="A520" s="37" t="n">
        <v>46244</v>
      </c>
      <c r="B520" s="44" t="s">
        <v>1040</v>
      </c>
      <c r="C520" s="44" t="s">
        <v>594</v>
      </c>
      <c r="D520" s="44" t="n">
        <v>2101003</v>
      </c>
      <c r="E520" s="44" t="s">
        <v>679</v>
      </c>
      <c r="F520" s="44" t="s">
        <v>1041</v>
      </c>
      <c r="G520" s="42" t="n">
        <v>2975000</v>
      </c>
      <c r="H520" s="42"/>
      <c r="I520" s="44" t="s">
        <v>765</v>
      </c>
      <c r="J520" s="11" t="n">
        <f aca="false">IF(D520="","",N(G520)-N(H520))</f>
        <v>2975000</v>
      </c>
      <c r="K520" s="34" t="str">
        <f aca="false">IF(D520="","",IFERROR(INDEX(I_COA!$C$6:$C$265,MATCH(D520,I_COA!$A$6:$A$265,0)),"AKUN BARU"))</f>
        <v>Neraca</v>
      </c>
      <c r="L520" s="34" t="str">
        <f aca="false">IF(K520="LabaRugi",INDEX(I_COA!$D$6:$D$265,MATCH(D520,I_COA!$A$6:$A$265,0)),"")</f>
        <v/>
      </c>
      <c r="M520" s="34" t="str">
        <f aca="false">IF(K520="Neraca",INDEX(I_COA!$E$6:$E$265,MATCH(D520,I_COA!$A$6:$A$265,0)),"")</f>
        <v>Other Payable - Third Parties</v>
      </c>
      <c r="N520" s="34" t="str">
        <f aca="false">IF(D520="","",IFERROR(INDEX(I_COA!$G$6:$G$265,MATCH(D520,I_COA!$A$6:$A$265,0)),"N"))</f>
        <v>N</v>
      </c>
      <c r="O520" s="11" t="n">
        <f aca="false">IF(N520="N",ABS(J520),"")</f>
        <v>2975000</v>
      </c>
      <c r="P520" s="18" t="str">
        <f aca="false">IF(N520="N",B520&amp;"|"&amp;ROUND(O520,0),"")</f>
        <v>B8526080042|2975000</v>
      </c>
      <c r="Q520" s="18" t="str">
        <f aca="false">IF(N520&lt;&gt;"Y","",IFERROR(INDEX($D$6:$D$4005,MATCH(B520&amp;"|"&amp;ROUND(_xlfn.MAXIFS($O$6:$O$4005,$B$6:$B$4005,B520,$N$6:$N$4005,"N"),0),$P$6:$P$4005,0)),"(tanpa lawan)"))</f>
        <v/>
      </c>
      <c r="R520" s="44"/>
      <c r="S520" s="9" t="str">
        <f aca="false">IF(N520&lt;&gt;"Y","",IF(R520&lt;&gt;"",R520,IF(Q520="(tanpa lawan)","Transfer antar rekening",IFERROR(INDEX(I_COA!$F$6:$F$265,MATCH(Q520,I_COA!$A$6:$A$265,0)),"?"))))</f>
        <v/>
      </c>
    </row>
    <row r="521" customFormat="false" ht="15" hidden="false" customHeight="false" outlineLevel="0" collapsed="false">
      <c r="A521" s="37" t="n">
        <v>46244</v>
      </c>
      <c r="B521" s="44" t="s">
        <v>1040</v>
      </c>
      <c r="C521" s="44" t="s">
        <v>594</v>
      </c>
      <c r="D521" s="44" t="n">
        <v>1102002</v>
      </c>
      <c r="E521" s="44" t="s">
        <v>598</v>
      </c>
      <c r="F521" s="44" t="s">
        <v>1041</v>
      </c>
      <c r="G521" s="42"/>
      <c r="H521" s="42" t="n">
        <v>2975000</v>
      </c>
      <c r="I521" s="44" t="s">
        <v>765</v>
      </c>
      <c r="J521" s="11" t="n">
        <f aca="false">IF(D521="","",N(G521)-N(H521))</f>
        <v>-2975000</v>
      </c>
      <c r="K521" s="34" t="str">
        <f aca="false">IF(D521="","",IFERROR(INDEX(I_COA!$C$6:$C$265,MATCH(D521,I_COA!$A$6:$A$265,0)),"AKUN BARU"))</f>
        <v>Neraca</v>
      </c>
      <c r="L521" s="34" t="str">
        <f aca="false">IF(K521="LabaRugi",INDEX(I_COA!$D$6:$D$265,MATCH(D521,I_COA!$A$6:$A$265,0)),"")</f>
        <v/>
      </c>
      <c r="M521" s="34" t="str">
        <f aca="false">IF(K521="Neraca",INDEX(I_COA!$E$6:$E$265,MATCH(D521,I_COA!$A$6:$A$265,0)),"")</f>
        <v>Cash and cash equivalents</v>
      </c>
      <c r="N521" s="34" t="str">
        <f aca="false">IF(D521="","",IFERROR(INDEX(I_COA!$G$6:$G$265,MATCH(D521,I_COA!$A$6:$A$265,0)),"N"))</f>
        <v>Y</v>
      </c>
      <c r="O521" s="11" t="str">
        <f aca="false">IF(N521="N",ABS(J521),"")</f>
        <v/>
      </c>
      <c r="P521" s="18" t="str">
        <f aca="false">IF(N521="N",B521&amp;"|"&amp;ROUND(O521,0),"")</f>
        <v/>
      </c>
      <c r="Q521" s="18" t="n">
        <f aca="false">IF(N521&lt;&gt;"Y","",IFERROR(INDEX($D$6:$D$4005,MATCH(B521&amp;"|"&amp;ROUND(_xlfn.MAXIFS($O$6:$O$4005,$B$6:$B$4005,B521,$N$6:$N$4005,"N"),0),$P$6:$P$4005,0)),"(tanpa lawan)"))</f>
        <v>2101003</v>
      </c>
      <c r="R521" s="44"/>
      <c r="S521" s="9" t="str">
        <f aca="false">IF(N521&lt;&gt;"Y","",IF(R521&lt;&gt;"",R521,IF(Q521="(tanpa lawan)","Transfer antar rekening",IFERROR(INDEX(I_COA!$F$6:$F$265,MATCH(Q521,I_COA!$A$6:$A$265,0)),"?"))))</f>
        <v>Bayar jasa (maklon, angkut, cold storage, sewa)</v>
      </c>
    </row>
    <row r="522" customFormat="false" ht="15" hidden="false" customHeight="false" outlineLevel="0" collapsed="false">
      <c r="A522" s="37" t="n">
        <v>46244</v>
      </c>
      <c r="B522" s="44" t="s">
        <v>1042</v>
      </c>
      <c r="C522" s="44" t="s">
        <v>580</v>
      </c>
      <c r="D522" s="44" t="n">
        <v>7200003</v>
      </c>
      <c r="E522" s="44" t="s">
        <v>581</v>
      </c>
      <c r="F522" s="44" t="s">
        <v>890</v>
      </c>
      <c r="G522" s="42" t="n">
        <v>2500</v>
      </c>
      <c r="H522" s="42"/>
      <c r="I522" s="44"/>
      <c r="J522" s="11" t="n">
        <f aca="false">IF(D522="","",N(G522)-N(H522))</f>
        <v>2500</v>
      </c>
      <c r="K522" s="34" t="str">
        <f aca="false">IF(D522="","",IFERROR(INDEX(I_COA!$C$6:$C$265,MATCH(D522,I_COA!$A$6:$A$265,0)),"AKUN BARU"))</f>
        <v>LabaRugi</v>
      </c>
      <c r="L522" s="34" t="str">
        <f aca="false">IF(K522="LabaRugi",INDEX(I_COA!$D$6:$D$265,MATCH(D522,I_COA!$A$6:$A$265,0)),"")</f>
        <v>Other Expense</v>
      </c>
      <c r="M522" s="34" t="str">
        <f aca="false">IF(K522="Neraca",INDEX(I_COA!$E$6:$E$265,MATCH(D522,I_COA!$A$6:$A$265,0)),"")</f>
        <v/>
      </c>
      <c r="N522" s="34" t="str">
        <f aca="false">IF(D522="","",IFERROR(INDEX(I_COA!$G$6:$G$265,MATCH(D522,I_COA!$A$6:$A$265,0)),"N"))</f>
        <v>N</v>
      </c>
      <c r="O522" s="11" t="n">
        <f aca="false">IF(N522="N",ABS(J522),"")</f>
        <v>2500</v>
      </c>
      <c r="P522" s="18" t="str">
        <f aca="false">IF(N522="N",B522&amp;"|"&amp;ROUND(O522,0),"")</f>
        <v>B8526080043|2500</v>
      </c>
      <c r="Q522" s="18" t="str">
        <f aca="false">IF(N522&lt;&gt;"Y","",IFERROR(INDEX($D$6:$D$4005,MATCH(B522&amp;"|"&amp;ROUND(_xlfn.MAXIFS($O$6:$O$4005,$B$6:$B$4005,B522,$N$6:$N$4005,"N"),0),$P$6:$P$4005,0)),"(tanpa lawan)"))</f>
        <v/>
      </c>
      <c r="R522" s="44"/>
      <c r="S522" s="9" t="str">
        <f aca="false">IF(N522&lt;&gt;"Y","",IF(R522&lt;&gt;"",R522,IF(Q522="(tanpa lawan)","Transfer antar rekening",IFERROR(INDEX(I_COA!$F$6:$F$265,MATCH(Q522,I_COA!$A$6:$A$265,0)),"?"))))</f>
        <v/>
      </c>
    </row>
    <row r="523" customFormat="false" ht="15" hidden="false" customHeight="false" outlineLevel="0" collapsed="false">
      <c r="A523" s="37" t="n">
        <v>46244</v>
      </c>
      <c r="B523" s="44" t="s">
        <v>1042</v>
      </c>
      <c r="C523" s="44" t="s">
        <v>580</v>
      </c>
      <c r="D523" s="44" t="n">
        <v>1102002</v>
      </c>
      <c r="E523" s="44" t="s">
        <v>598</v>
      </c>
      <c r="F523" s="44" t="s">
        <v>1043</v>
      </c>
      <c r="G523" s="42"/>
      <c r="H523" s="42" t="n">
        <v>2500</v>
      </c>
      <c r="I523" s="44"/>
      <c r="J523" s="11" t="n">
        <f aca="false">IF(D523="","",N(G523)-N(H523))</f>
        <v>-2500</v>
      </c>
      <c r="K523" s="34" t="str">
        <f aca="false">IF(D523="","",IFERROR(INDEX(I_COA!$C$6:$C$265,MATCH(D523,I_COA!$A$6:$A$265,0)),"AKUN BARU"))</f>
        <v>Neraca</v>
      </c>
      <c r="L523" s="34" t="str">
        <f aca="false">IF(K523="LabaRugi",INDEX(I_COA!$D$6:$D$265,MATCH(D523,I_COA!$A$6:$A$265,0)),"")</f>
        <v/>
      </c>
      <c r="M523" s="34" t="str">
        <f aca="false">IF(K523="Neraca",INDEX(I_COA!$E$6:$E$265,MATCH(D523,I_COA!$A$6:$A$265,0)),"")</f>
        <v>Cash and cash equivalents</v>
      </c>
      <c r="N523" s="34" t="str">
        <f aca="false">IF(D523="","",IFERROR(INDEX(I_COA!$G$6:$G$265,MATCH(D523,I_COA!$A$6:$A$265,0)),"N"))</f>
        <v>Y</v>
      </c>
      <c r="O523" s="11" t="str">
        <f aca="false">IF(N523="N",ABS(J523),"")</f>
        <v/>
      </c>
      <c r="P523" s="18" t="str">
        <f aca="false">IF(N523="N",B523&amp;"|"&amp;ROUND(O523,0),"")</f>
        <v/>
      </c>
      <c r="Q523" s="18" t="n">
        <f aca="false">IF(N523&lt;&gt;"Y","",IFERROR(INDEX($D$6:$D$4005,MATCH(B523&amp;"|"&amp;ROUND(_xlfn.MAXIFS($O$6:$O$4005,$B$6:$B$4005,B523,$N$6:$N$4005,"N"),0),$P$6:$P$4005,0)),"(tanpa lawan)"))</f>
        <v>7200003</v>
      </c>
      <c r="R523" s="44"/>
      <c r="S523" s="9" t="str">
        <f aca="false">IF(N523&lt;&gt;"Y","",IF(R523&lt;&gt;"",R523,IF(Q523="(tanpa lawan)","Transfer antar rekening",IFERROR(INDEX(I_COA!$F$6:$F$265,MATCH(Q523,I_COA!$A$6:$A$265,0)),"?"))))</f>
        <v>Bunga &amp; biaya bank</v>
      </c>
    </row>
    <row r="524" customFormat="false" ht="15" hidden="false" customHeight="false" outlineLevel="0" collapsed="false">
      <c r="A524" s="37" t="n">
        <v>46244</v>
      </c>
      <c r="B524" s="44" t="s">
        <v>1044</v>
      </c>
      <c r="C524" s="44" t="s">
        <v>594</v>
      </c>
      <c r="D524" s="44" t="n">
        <v>2101001</v>
      </c>
      <c r="E524" s="44" t="s">
        <v>595</v>
      </c>
      <c r="F524" s="44" t="s">
        <v>1045</v>
      </c>
      <c r="G524" s="42" t="n">
        <v>168000000</v>
      </c>
      <c r="H524" s="42"/>
      <c r="I524" s="44" t="s">
        <v>1046</v>
      </c>
      <c r="J524" s="11" t="n">
        <f aca="false">IF(D524="","",N(G524)-N(H524))</f>
        <v>168000000</v>
      </c>
      <c r="K524" s="34" t="str">
        <f aca="false">IF(D524="","",IFERROR(INDEX(I_COA!$C$6:$C$265,MATCH(D524,I_COA!$A$6:$A$265,0)),"AKUN BARU"))</f>
        <v>Neraca</v>
      </c>
      <c r="L524" s="34" t="str">
        <f aca="false">IF(K524="LabaRugi",INDEX(I_COA!$D$6:$D$265,MATCH(D524,I_COA!$A$6:$A$265,0)),"")</f>
        <v/>
      </c>
      <c r="M524" s="34" t="str">
        <f aca="false">IF(K524="Neraca",INDEX(I_COA!$E$6:$E$265,MATCH(D524,I_COA!$A$6:$A$265,0)),"")</f>
        <v>Trade Payables - Third Parties</v>
      </c>
      <c r="N524" s="34" t="str">
        <f aca="false">IF(D524="","",IFERROR(INDEX(I_COA!$G$6:$G$265,MATCH(D524,I_COA!$A$6:$A$265,0)),"N"))</f>
        <v>N</v>
      </c>
      <c r="O524" s="11" t="n">
        <f aca="false">IF(N524="N",ABS(J524),"")</f>
        <v>168000000</v>
      </c>
      <c r="P524" s="18" t="str">
        <f aca="false">IF(N524="N",B524&amp;"|"&amp;ROUND(O524,0),"")</f>
        <v>B8526080044|168000000</v>
      </c>
      <c r="Q524" s="18" t="str">
        <f aca="false">IF(N524&lt;&gt;"Y","",IFERROR(INDEX($D$6:$D$4005,MATCH(B524&amp;"|"&amp;ROUND(_xlfn.MAXIFS($O$6:$O$4005,$B$6:$B$4005,B524,$N$6:$N$4005,"N"),0),$P$6:$P$4005,0)),"(tanpa lawan)"))</f>
        <v/>
      </c>
      <c r="R524" s="44"/>
      <c r="S524" s="9" t="str">
        <f aca="false">IF(N524&lt;&gt;"Y","",IF(R524&lt;&gt;"",R524,IF(Q524="(tanpa lawan)","Transfer antar rekening",IFERROR(INDEX(I_COA!$F$6:$F$265,MATCH(Q524,I_COA!$A$6:$A$265,0)),"?"))))</f>
        <v/>
      </c>
    </row>
    <row r="525" customFormat="false" ht="15" hidden="false" customHeight="false" outlineLevel="0" collapsed="false">
      <c r="A525" s="37" t="n">
        <v>46244</v>
      </c>
      <c r="B525" s="44" t="s">
        <v>1044</v>
      </c>
      <c r="C525" s="44" t="s">
        <v>594</v>
      </c>
      <c r="D525" s="44" t="n">
        <v>1102002</v>
      </c>
      <c r="E525" s="44" t="s">
        <v>598</v>
      </c>
      <c r="F525" s="44" t="s">
        <v>1045</v>
      </c>
      <c r="G525" s="42"/>
      <c r="H525" s="42" t="n">
        <v>168000000</v>
      </c>
      <c r="I525" s="44" t="s">
        <v>1046</v>
      </c>
      <c r="J525" s="11" t="n">
        <f aca="false">IF(D525="","",N(G525)-N(H525))</f>
        <v>-168000000</v>
      </c>
      <c r="K525" s="34" t="str">
        <f aca="false">IF(D525="","",IFERROR(INDEX(I_COA!$C$6:$C$265,MATCH(D525,I_COA!$A$6:$A$265,0)),"AKUN BARU"))</f>
        <v>Neraca</v>
      </c>
      <c r="L525" s="34" t="str">
        <f aca="false">IF(K525="LabaRugi",INDEX(I_COA!$D$6:$D$265,MATCH(D525,I_COA!$A$6:$A$265,0)),"")</f>
        <v/>
      </c>
      <c r="M525" s="34" t="str">
        <f aca="false">IF(K525="Neraca",INDEX(I_COA!$E$6:$E$265,MATCH(D525,I_COA!$A$6:$A$265,0)),"")</f>
        <v>Cash and cash equivalents</v>
      </c>
      <c r="N525" s="34" t="str">
        <f aca="false">IF(D525="","",IFERROR(INDEX(I_COA!$G$6:$G$265,MATCH(D525,I_COA!$A$6:$A$265,0)),"N"))</f>
        <v>Y</v>
      </c>
      <c r="O525" s="11" t="str">
        <f aca="false">IF(N525="N",ABS(J525),"")</f>
        <v/>
      </c>
      <c r="P525" s="18" t="str">
        <f aca="false">IF(N525="N",B525&amp;"|"&amp;ROUND(O525,0),"")</f>
        <v/>
      </c>
      <c r="Q525" s="18" t="n">
        <f aca="false">IF(N525&lt;&gt;"Y","",IFERROR(INDEX($D$6:$D$4005,MATCH(B525&amp;"|"&amp;ROUND(_xlfn.MAXIFS($O$6:$O$4005,$B$6:$B$4005,B525,$N$6:$N$4005,"N"),0),$P$6:$P$4005,0)),"(tanpa lawan)"))</f>
        <v>2101001</v>
      </c>
      <c r="R525" s="44"/>
      <c r="S525" s="9" t="str">
        <f aca="false">IF(N525&lt;&gt;"Y","",IF(R525&lt;&gt;"",R525,IF(Q525="(tanpa lawan)","Transfer antar rekening",IFERROR(INDEX(I_COA!$F$6:$F$265,MATCH(Q525,I_COA!$A$6:$A$265,0)),"?"))))</f>
        <v>Bayar pemasok barang (live bird &amp; trading)</v>
      </c>
    </row>
    <row r="526" customFormat="false" ht="15" hidden="false" customHeight="false" outlineLevel="0" collapsed="false">
      <c r="A526" s="37" t="n">
        <v>46244</v>
      </c>
      <c r="B526" s="44" t="s">
        <v>1047</v>
      </c>
      <c r="C526" s="44" t="s">
        <v>594</v>
      </c>
      <c r="D526" s="44" t="n">
        <v>2101003</v>
      </c>
      <c r="E526" s="44" t="s">
        <v>679</v>
      </c>
      <c r="F526" s="44" t="s">
        <v>1048</v>
      </c>
      <c r="G526" s="42" t="n">
        <v>23400000</v>
      </c>
      <c r="H526" s="42"/>
      <c r="I526" s="44" t="s">
        <v>681</v>
      </c>
      <c r="J526" s="11" t="n">
        <f aca="false">IF(D526="","",N(G526)-N(H526))</f>
        <v>23400000</v>
      </c>
      <c r="K526" s="34" t="str">
        <f aca="false">IF(D526="","",IFERROR(INDEX(I_COA!$C$6:$C$265,MATCH(D526,I_COA!$A$6:$A$265,0)),"AKUN BARU"))</f>
        <v>Neraca</v>
      </c>
      <c r="L526" s="34" t="str">
        <f aca="false">IF(K526="LabaRugi",INDEX(I_COA!$D$6:$D$265,MATCH(D526,I_COA!$A$6:$A$265,0)),"")</f>
        <v/>
      </c>
      <c r="M526" s="34" t="str">
        <f aca="false">IF(K526="Neraca",INDEX(I_COA!$E$6:$E$265,MATCH(D526,I_COA!$A$6:$A$265,0)),"")</f>
        <v>Other Payable - Third Parties</v>
      </c>
      <c r="N526" s="34" t="str">
        <f aca="false">IF(D526="","",IFERROR(INDEX(I_COA!$G$6:$G$265,MATCH(D526,I_COA!$A$6:$A$265,0)),"N"))</f>
        <v>N</v>
      </c>
      <c r="O526" s="11" t="n">
        <f aca="false">IF(N526="N",ABS(J526),"")</f>
        <v>23400000</v>
      </c>
      <c r="P526" s="18" t="str">
        <f aca="false">IF(N526="N",B526&amp;"|"&amp;ROUND(O526,0),"")</f>
        <v>B8526080045|23400000</v>
      </c>
      <c r="Q526" s="18" t="str">
        <f aca="false">IF(N526&lt;&gt;"Y","",IFERROR(INDEX($D$6:$D$4005,MATCH(B526&amp;"|"&amp;ROUND(_xlfn.MAXIFS($O$6:$O$4005,$B$6:$B$4005,B526,$N$6:$N$4005,"N"),0),$P$6:$P$4005,0)),"(tanpa lawan)"))</f>
        <v/>
      </c>
      <c r="R526" s="44"/>
      <c r="S526" s="9" t="str">
        <f aca="false">IF(N526&lt;&gt;"Y","",IF(R526&lt;&gt;"",R526,IF(Q526="(tanpa lawan)","Transfer antar rekening",IFERROR(INDEX(I_COA!$F$6:$F$265,MATCH(Q526,I_COA!$A$6:$A$265,0)),"?"))))</f>
        <v/>
      </c>
    </row>
    <row r="527" customFormat="false" ht="15" hidden="false" customHeight="false" outlineLevel="0" collapsed="false">
      <c r="A527" s="37" t="n">
        <v>46244</v>
      </c>
      <c r="B527" s="44" t="s">
        <v>1047</v>
      </c>
      <c r="C527" s="44" t="s">
        <v>594</v>
      </c>
      <c r="D527" s="44" t="n">
        <v>6200023</v>
      </c>
      <c r="E527" s="44" t="s">
        <v>688</v>
      </c>
      <c r="F527" s="44" t="s">
        <v>1048</v>
      </c>
      <c r="G527" s="42"/>
      <c r="H527" s="42" t="n">
        <v>10000</v>
      </c>
      <c r="I527" s="44" t="s">
        <v>681</v>
      </c>
      <c r="J527" s="11" t="n">
        <f aca="false">IF(D527="","",N(G527)-N(H527))</f>
        <v>-10000</v>
      </c>
      <c r="K527" s="34" t="str">
        <f aca="false">IF(D527="","",IFERROR(INDEX(I_COA!$C$6:$C$265,MATCH(D527,I_COA!$A$6:$A$265,0)),"AKUN BARU"))</f>
        <v>LabaRugi</v>
      </c>
      <c r="L527" s="34" t="str">
        <f aca="false">IF(K527="LabaRugi",INDEX(I_COA!$D$6:$D$265,MATCH(D527,I_COA!$A$6:$A$265,0)),"")</f>
        <v>Tax expenses</v>
      </c>
      <c r="M527" s="34" t="str">
        <f aca="false">IF(K527="Neraca",INDEX(I_COA!$E$6:$E$265,MATCH(D527,I_COA!$A$6:$A$265,0)),"")</f>
        <v/>
      </c>
      <c r="N527" s="34" t="str">
        <f aca="false">IF(D527="","",IFERROR(INDEX(I_COA!$G$6:$G$265,MATCH(D527,I_COA!$A$6:$A$265,0)),"N"))</f>
        <v>N</v>
      </c>
      <c r="O527" s="11" t="n">
        <f aca="false">IF(N527="N",ABS(J527),"")</f>
        <v>10000</v>
      </c>
      <c r="P527" s="18" t="str">
        <f aca="false">IF(N527="N",B527&amp;"|"&amp;ROUND(O527,0),"")</f>
        <v>B8526080045|10000</v>
      </c>
      <c r="Q527" s="18" t="str">
        <f aca="false">IF(N527&lt;&gt;"Y","",IFERROR(INDEX($D$6:$D$4005,MATCH(B527&amp;"|"&amp;ROUND(_xlfn.MAXIFS($O$6:$O$4005,$B$6:$B$4005,B527,$N$6:$N$4005,"N"),0),$P$6:$P$4005,0)),"(tanpa lawan)"))</f>
        <v/>
      </c>
      <c r="R527" s="44"/>
      <c r="S527" s="9" t="str">
        <f aca="false">IF(N527&lt;&gt;"Y","",IF(R527&lt;&gt;"",R527,IF(Q527="(tanpa lawan)","Transfer antar rekening",IFERROR(INDEX(I_COA!$F$6:$F$265,MATCH(Q527,I_COA!$A$6:$A$265,0)),"?"))))</f>
        <v/>
      </c>
    </row>
    <row r="528" customFormat="false" ht="15" hidden="false" customHeight="false" outlineLevel="0" collapsed="false">
      <c r="A528" s="37" t="n">
        <v>46244</v>
      </c>
      <c r="B528" s="44" t="s">
        <v>1047</v>
      </c>
      <c r="C528" s="44" t="s">
        <v>594</v>
      </c>
      <c r="D528" s="44" t="n">
        <v>1102002</v>
      </c>
      <c r="E528" s="44" t="s">
        <v>598</v>
      </c>
      <c r="F528" s="44" t="s">
        <v>1048</v>
      </c>
      <c r="G528" s="42"/>
      <c r="H528" s="42" t="n">
        <v>23390000</v>
      </c>
      <c r="I528" s="44" t="s">
        <v>681</v>
      </c>
      <c r="J528" s="11" t="n">
        <f aca="false">IF(D528="","",N(G528)-N(H528))</f>
        <v>-23390000</v>
      </c>
      <c r="K528" s="34" t="str">
        <f aca="false">IF(D528="","",IFERROR(INDEX(I_COA!$C$6:$C$265,MATCH(D528,I_COA!$A$6:$A$265,0)),"AKUN BARU"))</f>
        <v>Neraca</v>
      </c>
      <c r="L528" s="34" t="str">
        <f aca="false">IF(K528="LabaRugi",INDEX(I_COA!$D$6:$D$265,MATCH(D528,I_COA!$A$6:$A$265,0)),"")</f>
        <v/>
      </c>
      <c r="M528" s="34" t="str">
        <f aca="false">IF(K528="Neraca",INDEX(I_COA!$E$6:$E$265,MATCH(D528,I_COA!$A$6:$A$265,0)),"")</f>
        <v>Cash and cash equivalents</v>
      </c>
      <c r="N528" s="34" t="str">
        <f aca="false">IF(D528="","",IFERROR(INDEX(I_COA!$G$6:$G$265,MATCH(D528,I_COA!$A$6:$A$265,0)),"N"))</f>
        <v>Y</v>
      </c>
      <c r="O528" s="11" t="str">
        <f aca="false">IF(N528="N",ABS(J528),"")</f>
        <v/>
      </c>
      <c r="P528" s="18" t="str">
        <f aca="false">IF(N528="N",B528&amp;"|"&amp;ROUND(O528,0),"")</f>
        <v/>
      </c>
      <c r="Q528" s="18" t="n">
        <f aca="false">IF(N528&lt;&gt;"Y","",IFERROR(INDEX($D$6:$D$4005,MATCH(B528&amp;"|"&amp;ROUND(_xlfn.MAXIFS($O$6:$O$4005,$B$6:$B$4005,B528,$N$6:$N$4005,"N"),0),$P$6:$P$4005,0)),"(tanpa lawan)"))</f>
        <v>2101003</v>
      </c>
      <c r="R528" s="44"/>
      <c r="S528" s="9" t="str">
        <f aca="false">IF(N528&lt;&gt;"Y","",IF(R528&lt;&gt;"",R528,IF(Q528="(tanpa lawan)","Transfer antar rekening",IFERROR(INDEX(I_COA!$F$6:$F$265,MATCH(Q528,I_COA!$A$6:$A$265,0)),"?"))))</f>
        <v>Bayar jasa (maklon, angkut, cold storage, sewa)</v>
      </c>
    </row>
    <row r="529" customFormat="false" ht="15" hidden="false" customHeight="false" outlineLevel="0" collapsed="false">
      <c r="A529" s="37" t="n">
        <v>46244</v>
      </c>
      <c r="B529" s="44" t="s">
        <v>1049</v>
      </c>
      <c r="C529" s="44" t="s">
        <v>690</v>
      </c>
      <c r="D529" s="44" t="n">
        <v>1104006</v>
      </c>
      <c r="E529" s="44" t="s">
        <v>212</v>
      </c>
      <c r="F529" s="44" t="s">
        <v>1050</v>
      </c>
      <c r="G529" s="42" t="n">
        <v>229921250</v>
      </c>
      <c r="H529" s="42"/>
      <c r="I529" s="44" t="s">
        <v>597</v>
      </c>
      <c r="J529" s="11" t="n">
        <f aca="false">IF(D529="","",N(G529)-N(H529))</f>
        <v>229921250</v>
      </c>
      <c r="K529" s="34" t="str">
        <f aca="false">IF(D529="","",IFERROR(INDEX(I_COA!$C$6:$C$265,MATCH(D529,I_COA!$A$6:$A$265,0)),"AKUN BARU"))</f>
        <v>Neraca</v>
      </c>
      <c r="L529" s="34" t="str">
        <f aca="false">IF(K529="LabaRugi",INDEX(I_COA!$D$6:$D$265,MATCH(D529,I_COA!$A$6:$A$265,0)),"")</f>
        <v/>
      </c>
      <c r="M529" s="34" t="str">
        <f aca="false">IF(K529="Neraca",INDEX(I_COA!$E$6:$E$265,MATCH(D529,I_COA!$A$6:$A$265,0)),"")</f>
        <v>Inventory - Trading</v>
      </c>
      <c r="N529" s="34" t="str">
        <f aca="false">IF(D529="","",IFERROR(INDEX(I_COA!$G$6:$G$265,MATCH(D529,I_COA!$A$6:$A$265,0)),"N"))</f>
        <v>N</v>
      </c>
      <c r="O529" s="11" t="n">
        <f aca="false">IF(N529="N",ABS(J529),"")</f>
        <v>229921250</v>
      </c>
      <c r="P529" s="18" t="str">
        <f aca="false">IF(N529="N",B529&amp;"|"&amp;ROUND(O529,0),"")</f>
        <v>GR26080003|229921250</v>
      </c>
      <c r="Q529" s="18" t="str">
        <f aca="false">IF(N529&lt;&gt;"Y","",IFERROR(INDEX($D$6:$D$4005,MATCH(B529&amp;"|"&amp;ROUND(_xlfn.MAXIFS($O$6:$O$4005,$B$6:$B$4005,B529,$N$6:$N$4005,"N"),0),$P$6:$P$4005,0)),"(tanpa lawan)"))</f>
        <v/>
      </c>
      <c r="R529" s="44"/>
      <c r="S529" s="9" t="str">
        <f aca="false">IF(N529&lt;&gt;"Y","",IF(R529&lt;&gt;"",R529,IF(Q529="(tanpa lawan)","Transfer antar rekening",IFERROR(INDEX(I_COA!$F$6:$F$265,MATCH(Q529,I_COA!$A$6:$A$265,0)),"?"))))</f>
        <v/>
      </c>
    </row>
    <row r="530" customFormat="false" ht="15" hidden="false" customHeight="false" outlineLevel="0" collapsed="false">
      <c r="A530" s="37" t="n">
        <v>46244</v>
      </c>
      <c r="B530" s="44" t="s">
        <v>1049</v>
      </c>
      <c r="C530" s="44" t="s">
        <v>690</v>
      </c>
      <c r="D530" s="44" t="n">
        <v>2103011</v>
      </c>
      <c r="E530" s="44" t="s">
        <v>693</v>
      </c>
      <c r="F530" s="44" t="s">
        <v>1050</v>
      </c>
      <c r="G530" s="42"/>
      <c r="H530" s="42" t="n">
        <v>229921250</v>
      </c>
      <c r="I530" s="44" t="s">
        <v>597</v>
      </c>
      <c r="J530" s="11" t="n">
        <f aca="false">IF(D530="","",N(G530)-N(H530))</f>
        <v>-229921250</v>
      </c>
      <c r="K530" s="34" t="str">
        <f aca="false">IF(D530="","",IFERROR(INDEX(I_COA!$C$6:$C$265,MATCH(D530,I_COA!$A$6:$A$265,0)),"AKUN BARU"))</f>
        <v>Neraca</v>
      </c>
      <c r="L530" s="34" t="str">
        <f aca="false">IF(K530="LabaRugi",INDEX(I_COA!$D$6:$D$265,MATCH(D530,I_COA!$A$6:$A$265,0)),"")</f>
        <v/>
      </c>
      <c r="M530" s="34" t="str">
        <f aca="false">IF(K530="Neraca",INDEX(I_COA!$E$6:$E$265,MATCH(D530,I_COA!$A$6:$A$265,0)),"")</f>
        <v>Accrued Expenses - Third Parties</v>
      </c>
      <c r="N530" s="34" t="str">
        <f aca="false">IF(D530="","",IFERROR(INDEX(I_COA!$G$6:$G$265,MATCH(D530,I_COA!$A$6:$A$265,0)),"N"))</f>
        <v>N</v>
      </c>
      <c r="O530" s="11" t="n">
        <f aca="false">IF(N530="N",ABS(J530),"")</f>
        <v>229921250</v>
      </c>
      <c r="P530" s="18" t="str">
        <f aca="false">IF(N530="N",B530&amp;"|"&amp;ROUND(O530,0),"")</f>
        <v>GR26080003|229921250</v>
      </c>
      <c r="Q530" s="18" t="str">
        <f aca="false">IF(N530&lt;&gt;"Y","",IFERROR(INDEX($D$6:$D$4005,MATCH(B530&amp;"|"&amp;ROUND(_xlfn.MAXIFS($O$6:$O$4005,$B$6:$B$4005,B530,$N$6:$N$4005,"N"),0),$P$6:$P$4005,0)),"(tanpa lawan)"))</f>
        <v/>
      </c>
      <c r="R530" s="44"/>
      <c r="S530" s="9" t="str">
        <f aca="false">IF(N530&lt;&gt;"Y","",IF(R530&lt;&gt;"",R530,IF(Q530="(tanpa lawan)","Transfer antar rekening",IFERROR(INDEX(I_COA!$F$6:$F$265,MATCH(Q530,I_COA!$A$6:$A$265,0)),"?"))))</f>
        <v/>
      </c>
    </row>
    <row r="531" customFormat="false" ht="15" hidden="false" customHeight="false" outlineLevel="0" collapsed="false">
      <c r="A531" s="37" t="n">
        <v>46244</v>
      </c>
      <c r="B531" s="44" t="s">
        <v>1051</v>
      </c>
      <c r="C531" s="44" t="s">
        <v>690</v>
      </c>
      <c r="D531" s="44" t="n">
        <v>1104003</v>
      </c>
      <c r="E531" s="44" t="s">
        <v>613</v>
      </c>
      <c r="F531" s="44" t="s">
        <v>1052</v>
      </c>
      <c r="G531" s="42" t="n">
        <v>267648302.05</v>
      </c>
      <c r="H531" s="42"/>
      <c r="I531" s="44" t="s">
        <v>597</v>
      </c>
      <c r="J531" s="11" t="n">
        <f aca="false">IF(D531="","",N(G531)-N(H531))</f>
        <v>267648302.05</v>
      </c>
      <c r="K531" s="34" t="str">
        <f aca="false">IF(D531="","",IFERROR(INDEX(I_COA!$C$6:$C$265,MATCH(D531,I_COA!$A$6:$A$265,0)),"AKUN BARU"))</f>
        <v>Neraca</v>
      </c>
      <c r="L531" s="34" t="str">
        <f aca="false">IF(K531="LabaRugi",INDEX(I_COA!$D$6:$D$265,MATCH(D531,I_COA!$A$6:$A$265,0)),"")</f>
        <v/>
      </c>
      <c r="M531" s="34" t="str">
        <f aca="false">IF(K531="Neraca",INDEX(I_COA!$E$6:$E$265,MATCH(D531,I_COA!$A$6:$A$265,0)),"")</f>
        <v>Inventory - Product</v>
      </c>
      <c r="N531" s="34" t="str">
        <f aca="false">IF(D531="","",IFERROR(INDEX(I_COA!$G$6:$G$265,MATCH(D531,I_COA!$A$6:$A$265,0)),"N"))</f>
        <v>N</v>
      </c>
      <c r="O531" s="11" t="n">
        <f aca="false">IF(N531="N",ABS(J531),"")</f>
        <v>267648302.05</v>
      </c>
      <c r="P531" s="18" t="str">
        <f aca="false">IF(N531="N",B531&amp;"|"&amp;ROUND(O531,0),"")</f>
        <v>GR26080008|267648302</v>
      </c>
      <c r="Q531" s="18" t="str">
        <f aca="false">IF(N531&lt;&gt;"Y","",IFERROR(INDEX($D$6:$D$4005,MATCH(B531&amp;"|"&amp;ROUND(_xlfn.MAXIFS($O$6:$O$4005,$B$6:$B$4005,B531,$N$6:$N$4005,"N"),0),$P$6:$P$4005,0)),"(tanpa lawan)"))</f>
        <v/>
      </c>
      <c r="R531" s="44"/>
      <c r="S531" s="9" t="str">
        <f aca="false">IF(N531&lt;&gt;"Y","",IF(R531&lt;&gt;"",R531,IF(Q531="(tanpa lawan)","Transfer antar rekening",IFERROR(INDEX(I_COA!$F$6:$F$265,MATCH(Q531,I_COA!$A$6:$A$265,0)),"?"))))</f>
        <v/>
      </c>
    </row>
    <row r="532" customFormat="false" ht="15" hidden="false" customHeight="false" outlineLevel="0" collapsed="false">
      <c r="A532" s="37" t="n">
        <v>46244</v>
      </c>
      <c r="B532" s="44" t="s">
        <v>1051</v>
      </c>
      <c r="C532" s="44" t="s">
        <v>690</v>
      </c>
      <c r="D532" s="44" t="n">
        <v>2103011</v>
      </c>
      <c r="E532" s="44" t="s">
        <v>693</v>
      </c>
      <c r="F532" s="44" t="s">
        <v>1052</v>
      </c>
      <c r="G532" s="42"/>
      <c r="H532" s="42" t="n">
        <v>284169790.08</v>
      </c>
      <c r="I532" s="44" t="s">
        <v>597</v>
      </c>
      <c r="J532" s="11" t="n">
        <f aca="false">IF(D532="","",N(G532)-N(H532))</f>
        <v>-284169790.08</v>
      </c>
      <c r="K532" s="34" t="str">
        <f aca="false">IF(D532="","",IFERROR(INDEX(I_COA!$C$6:$C$265,MATCH(D532,I_COA!$A$6:$A$265,0)),"AKUN BARU"))</f>
        <v>Neraca</v>
      </c>
      <c r="L532" s="34" t="str">
        <f aca="false">IF(K532="LabaRugi",INDEX(I_COA!$D$6:$D$265,MATCH(D532,I_COA!$A$6:$A$265,0)),"")</f>
        <v/>
      </c>
      <c r="M532" s="34" t="str">
        <f aca="false">IF(K532="Neraca",INDEX(I_COA!$E$6:$E$265,MATCH(D532,I_COA!$A$6:$A$265,0)),"")</f>
        <v>Accrued Expenses - Third Parties</v>
      </c>
      <c r="N532" s="34" t="str">
        <f aca="false">IF(D532="","",IFERROR(INDEX(I_COA!$G$6:$G$265,MATCH(D532,I_COA!$A$6:$A$265,0)),"N"))</f>
        <v>N</v>
      </c>
      <c r="O532" s="11" t="n">
        <f aca="false">IF(N532="N",ABS(J532),"")</f>
        <v>284169790.08</v>
      </c>
      <c r="P532" s="18" t="str">
        <f aca="false">IF(N532="N",B532&amp;"|"&amp;ROUND(O532,0),"")</f>
        <v>GR26080008|284169790</v>
      </c>
      <c r="Q532" s="18" t="str">
        <f aca="false">IF(N532&lt;&gt;"Y","",IFERROR(INDEX($D$6:$D$4005,MATCH(B532&amp;"|"&amp;ROUND(_xlfn.MAXIFS($O$6:$O$4005,$B$6:$B$4005,B532,$N$6:$N$4005,"N"),0),$P$6:$P$4005,0)),"(tanpa lawan)"))</f>
        <v/>
      </c>
      <c r="R532" s="44"/>
      <c r="S532" s="9" t="str">
        <f aca="false">IF(N532&lt;&gt;"Y","",IF(R532&lt;&gt;"",R532,IF(Q532="(tanpa lawan)","Transfer antar rekening",IFERROR(INDEX(I_COA!$F$6:$F$265,MATCH(Q532,I_COA!$A$6:$A$265,0)),"?"))))</f>
        <v/>
      </c>
    </row>
    <row r="533" customFormat="false" ht="15" hidden="false" customHeight="false" outlineLevel="0" collapsed="false">
      <c r="A533" s="37" t="n">
        <v>46244</v>
      </c>
      <c r="B533" s="44" t="s">
        <v>1051</v>
      </c>
      <c r="C533" s="44" t="s">
        <v>690</v>
      </c>
      <c r="D533" s="44" t="n">
        <v>1104004</v>
      </c>
      <c r="E533" s="44" t="s">
        <v>917</v>
      </c>
      <c r="F533" s="44" t="s">
        <v>1052</v>
      </c>
      <c r="G533" s="42" t="n">
        <v>16521488.03</v>
      </c>
      <c r="H533" s="42"/>
      <c r="I533" s="44" t="s">
        <v>597</v>
      </c>
      <c r="J533" s="11" t="n">
        <f aca="false">IF(D533="","",N(G533)-N(H533))</f>
        <v>16521488.03</v>
      </c>
      <c r="K533" s="34" t="str">
        <f aca="false">IF(D533="","",IFERROR(INDEX(I_COA!$C$6:$C$265,MATCH(D533,I_COA!$A$6:$A$265,0)),"AKUN BARU"))</f>
        <v>Neraca</v>
      </c>
      <c r="L533" s="34" t="str">
        <f aca="false">IF(K533="LabaRugi",INDEX(I_COA!$D$6:$D$265,MATCH(D533,I_COA!$A$6:$A$265,0)),"")</f>
        <v/>
      </c>
      <c r="M533" s="34" t="str">
        <f aca="false">IF(K533="Neraca",INDEX(I_COA!$E$6:$E$265,MATCH(D533,I_COA!$A$6:$A$265,0)),"")</f>
        <v>Inventory - Product</v>
      </c>
      <c r="N533" s="34" t="str">
        <f aca="false">IF(D533="","",IFERROR(INDEX(I_COA!$G$6:$G$265,MATCH(D533,I_COA!$A$6:$A$265,0)),"N"))</f>
        <v>N</v>
      </c>
      <c r="O533" s="11" t="n">
        <f aca="false">IF(N533="N",ABS(J533),"")</f>
        <v>16521488.03</v>
      </c>
      <c r="P533" s="18" t="str">
        <f aca="false">IF(N533="N",B533&amp;"|"&amp;ROUND(O533,0),"")</f>
        <v>GR26080008|16521488</v>
      </c>
      <c r="Q533" s="18" t="str">
        <f aca="false">IF(N533&lt;&gt;"Y","",IFERROR(INDEX($D$6:$D$4005,MATCH(B533&amp;"|"&amp;ROUND(_xlfn.MAXIFS($O$6:$O$4005,$B$6:$B$4005,B533,$N$6:$N$4005,"N"),0),$P$6:$P$4005,0)),"(tanpa lawan)"))</f>
        <v/>
      </c>
      <c r="R533" s="44"/>
      <c r="S533" s="9" t="str">
        <f aca="false">IF(N533&lt;&gt;"Y","",IF(R533&lt;&gt;"",R533,IF(Q533="(tanpa lawan)","Transfer antar rekening",IFERROR(INDEX(I_COA!$F$6:$F$265,MATCH(Q533,I_COA!$A$6:$A$265,0)),"?"))))</f>
        <v/>
      </c>
    </row>
    <row r="534" customFormat="false" ht="15" hidden="false" customHeight="false" outlineLevel="0" collapsed="false">
      <c r="A534" s="37" t="n">
        <v>46244</v>
      </c>
      <c r="B534" s="44" t="s">
        <v>1053</v>
      </c>
      <c r="C534" s="44" t="s">
        <v>690</v>
      </c>
      <c r="D534" s="44" t="n">
        <v>1104003</v>
      </c>
      <c r="E534" s="44" t="s">
        <v>613</v>
      </c>
      <c r="F534" s="44" t="s">
        <v>1054</v>
      </c>
      <c r="G534" s="42" t="n">
        <v>174071232.18</v>
      </c>
      <c r="H534" s="42"/>
      <c r="I534" s="44" t="s">
        <v>1046</v>
      </c>
      <c r="J534" s="11" t="n">
        <f aca="false">IF(D534="","",N(G534)-N(H534))</f>
        <v>174071232.18</v>
      </c>
      <c r="K534" s="34" t="str">
        <f aca="false">IF(D534="","",IFERROR(INDEX(I_COA!$C$6:$C$265,MATCH(D534,I_COA!$A$6:$A$265,0)),"AKUN BARU"))</f>
        <v>Neraca</v>
      </c>
      <c r="L534" s="34" t="str">
        <f aca="false">IF(K534="LabaRugi",INDEX(I_COA!$D$6:$D$265,MATCH(D534,I_COA!$A$6:$A$265,0)),"")</f>
        <v/>
      </c>
      <c r="M534" s="34" t="str">
        <f aca="false">IF(K534="Neraca",INDEX(I_COA!$E$6:$E$265,MATCH(D534,I_COA!$A$6:$A$265,0)),"")</f>
        <v>Inventory - Product</v>
      </c>
      <c r="N534" s="34" t="str">
        <f aca="false">IF(D534="","",IFERROR(INDEX(I_COA!$G$6:$G$265,MATCH(D534,I_COA!$A$6:$A$265,0)),"N"))</f>
        <v>N</v>
      </c>
      <c r="O534" s="11" t="n">
        <f aca="false">IF(N534="N",ABS(J534),"")</f>
        <v>174071232.18</v>
      </c>
      <c r="P534" s="18" t="str">
        <f aca="false">IF(N534="N",B534&amp;"|"&amp;ROUND(O534,0),"")</f>
        <v>GR26080009|174071232</v>
      </c>
      <c r="Q534" s="18" t="str">
        <f aca="false">IF(N534&lt;&gt;"Y","",IFERROR(INDEX($D$6:$D$4005,MATCH(B534&amp;"|"&amp;ROUND(_xlfn.MAXIFS($O$6:$O$4005,$B$6:$B$4005,B534,$N$6:$N$4005,"N"),0),$P$6:$P$4005,0)),"(tanpa lawan)"))</f>
        <v/>
      </c>
      <c r="R534" s="44"/>
      <c r="S534" s="9" t="str">
        <f aca="false">IF(N534&lt;&gt;"Y","",IF(R534&lt;&gt;"",R534,IF(Q534="(tanpa lawan)","Transfer antar rekening",IFERROR(INDEX(I_COA!$F$6:$F$265,MATCH(Q534,I_COA!$A$6:$A$265,0)),"?"))))</f>
        <v/>
      </c>
    </row>
    <row r="535" customFormat="false" ht="15" hidden="false" customHeight="false" outlineLevel="0" collapsed="false">
      <c r="A535" s="37" t="n">
        <v>46244</v>
      </c>
      <c r="B535" s="44" t="s">
        <v>1053</v>
      </c>
      <c r="C535" s="44" t="s">
        <v>690</v>
      </c>
      <c r="D535" s="44" t="n">
        <v>2103011</v>
      </c>
      <c r="E535" s="44" t="s">
        <v>693</v>
      </c>
      <c r="F535" s="44" t="s">
        <v>1054</v>
      </c>
      <c r="G535" s="42"/>
      <c r="H535" s="42" t="n">
        <v>185553120.07</v>
      </c>
      <c r="I535" s="44" t="s">
        <v>1046</v>
      </c>
      <c r="J535" s="11" t="n">
        <f aca="false">IF(D535="","",N(G535)-N(H535))</f>
        <v>-185553120.07</v>
      </c>
      <c r="K535" s="34" t="str">
        <f aca="false">IF(D535="","",IFERROR(INDEX(I_COA!$C$6:$C$265,MATCH(D535,I_COA!$A$6:$A$265,0)),"AKUN BARU"))</f>
        <v>Neraca</v>
      </c>
      <c r="L535" s="34" t="str">
        <f aca="false">IF(K535="LabaRugi",INDEX(I_COA!$D$6:$D$265,MATCH(D535,I_COA!$A$6:$A$265,0)),"")</f>
        <v/>
      </c>
      <c r="M535" s="34" t="str">
        <f aca="false">IF(K535="Neraca",INDEX(I_COA!$E$6:$E$265,MATCH(D535,I_COA!$A$6:$A$265,0)),"")</f>
        <v>Accrued Expenses - Third Parties</v>
      </c>
      <c r="N535" s="34" t="str">
        <f aca="false">IF(D535="","",IFERROR(INDEX(I_COA!$G$6:$G$265,MATCH(D535,I_COA!$A$6:$A$265,0)),"N"))</f>
        <v>N</v>
      </c>
      <c r="O535" s="11" t="n">
        <f aca="false">IF(N535="N",ABS(J535),"")</f>
        <v>185553120.07</v>
      </c>
      <c r="P535" s="18" t="str">
        <f aca="false">IF(N535="N",B535&amp;"|"&amp;ROUND(O535,0),"")</f>
        <v>GR26080009|185553120</v>
      </c>
      <c r="Q535" s="18" t="str">
        <f aca="false">IF(N535&lt;&gt;"Y","",IFERROR(INDEX($D$6:$D$4005,MATCH(B535&amp;"|"&amp;ROUND(_xlfn.MAXIFS($O$6:$O$4005,$B$6:$B$4005,B535,$N$6:$N$4005,"N"),0),$P$6:$P$4005,0)),"(tanpa lawan)"))</f>
        <v/>
      </c>
      <c r="R535" s="44"/>
      <c r="S535" s="9" t="str">
        <f aca="false">IF(N535&lt;&gt;"Y","",IF(R535&lt;&gt;"",R535,IF(Q535="(tanpa lawan)","Transfer antar rekening",IFERROR(INDEX(I_COA!$F$6:$F$265,MATCH(Q535,I_COA!$A$6:$A$265,0)),"?"))))</f>
        <v/>
      </c>
    </row>
    <row r="536" customFormat="false" ht="15" hidden="false" customHeight="false" outlineLevel="0" collapsed="false">
      <c r="A536" s="37" t="n">
        <v>46244</v>
      </c>
      <c r="B536" s="44" t="s">
        <v>1053</v>
      </c>
      <c r="C536" s="44" t="s">
        <v>690</v>
      </c>
      <c r="D536" s="44" t="n">
        <v>1104004</v>
      </c>
      <c r="E536" s="44" t="s">
        <v>917</v>
      </c>
      <c r="F536" s="44" t="s">
        <v>1054</v>
      </c>
      <c r="G536" s="42" t="n">
        <v>11481887.89</v>
      </c>
      <c r="H536" s="42"/>
      <c r="I536" s="44" t="s">
        <v>1046</v>
      </c>
      <c r="J536" s="11" t="n">
        <f aca="false">IF(D536="","",N(G536)-N(H536))</f>
        <v>11481887.89</v>
      </c>
      <c r="K536" s="34" t="str">
        <f aca="false">IF(D536="","",IFERROR(INDEX(I_COA!$C$6:$C$265,MATCH(D536,I_COA!$A$6:$A$265,0)),"AKUN BARU"))</f>
        <v>Neraca</v>
      </c>
      <c r="L536" s="34" t="str">
        <f aca="false">IF(K536="LabaRugi",INDEX(I_COA!$D$6:$D$265,MATCH(D536,I_COA!$A$6:$A$265,0)),"")</f>
        <v/>
      </c>
      <c r="M536" s="34" t="str">
        <f aca="false">IF(K536="Neraca",INDEX(I_COA!$E$6:$E$265,MATCH(D536,I_COA!$A$6:$A$265,0)),"")</f>
        <v>Inventory - Product</v>
      </c>
      <c r="N536" s="34" t="str">
        <f aca="false">IF(D536="","",IFERROR(INDEX(I_COA!$G$6:$G$265,MATCH(D536,I_COA!$A$6:$A$265,0)),"N"))</f>
        <v>N</v>
      </c>
      <c r="O536" s="11" t="n">
        <f aca="false">IF(N536="N",ABS(J536),"")</f>
        <v>11481887.89</v>
      </c>
      <c r="P536" s="18" t="str">
        <f aca="false">IF(N536="N",B536&amp;"|"&amp;ROUND(O536,0),"")</f>
        <v>GR26080009|11481888</v>
      </c>
      <c r="Q536" s="18" t="str">
        <f aca="false">IF(N536&lt;&gt;"Y","",IFERROR(INDEX($D$6:$D$4005,MATCH(B536&amp;"|"&amp;ROUND(_xlfn.MAXIFS($O$6:$O$4005,$B$6:$B$4005,B536,$N$6:$N$4005,"N"),0),$P$6:$P$4005,0)),"(tanpa lawan)"))</f>
        <v/>
      </c>
      <c r="R536" s="44"/>
      <c r="S536" s="9" t="str">
        <f aca="false">IF(N536&lt;&gt;"Y","",IF(R536&lt;&gt;"",R536,IF(Q536="(tanpa lawan)","Transfer antar rekening",IFERROR(INDEX(I_COA!$F$6:$F$265,MATCH(Q536,I_COA!$A$6:$A$265,0)),"?"))))</f>
        <v/>
      </c>
    </row>
    <row r="537" customFormat="false" ht="15" hidden="false" customHeight="false" outlineLevel="0" collapsed="false">
      <c r="A537" s="37" t="n">
        <v>46244</v>
      </c>
      <c r="B537" s="44" t="s">
        <v>1055</v>
      </c>
      <c r="C537" s="44" t="s">
        <v>1056</v>
      </c>
      <c r="D537" s="44" t="n">
        <v>1104003</v>
      </c>
      <c r="E537" s="44" t="s">
        <v>613</v>
      </c>
      <c r="F537" s="44" t="s">
        <v>1057</v>
      </c>
      <c r="G537" s="42"/>
      <c r="H537" s="42"/>
      <c r="I537" s="44"/>
      <c r="J537" s="11" t="n">
        <f aca="false">IF(D537="","",N(G537)-N(H537))</f>
        <v>0</v>
      </c>
      <c r="K537" s="34" t="str">
        <f aca="false">IF(D537="","",IFERROR(INDEX(I_COA!$C$6:$C$265,MATCH(D537,I_COA!$A$6:$A$265,0)),"AKUN BARU"))</f>
        <v>Neraca</v>
      </c>
      <c r="L537" s="34" t="str">
        <f aca="false">IF(K537="LabaRugi",INDEX(I_COA!$D$6:$D$265,MATCH(D537,I_COA!$A$6:$A$265,0)),"")</f>
        <v/>
      </c>
      <c r="M537" s="34" t="str">
        <f aca="false">IF(K537="Neraca",INDEX(I_COA!$E$6:$E$265,MATCH(D537,I_COA!$A$6:$A$265,0)),"")</f>
        <v>Inventory - Product</v>
      </c>
      <c r="N537" s="34" t="str">
        <f aca="false">IF(D537="","",IFERROR(INDEX(I_COA!$G$6:$G$265,MATCH(D537,I_COA!$A$6:$A$265,0)),"N"))</f>
        <v>N</v>
      </c>
      <c r="O537" s="11" t="n">
        <f aca="false">IF(N537="N",ABS(J537),"")</f>
        <v>0</v>
      </c>
      <c r="P537" s="18" t="str">
        <f aca="false">IF(N537="N",B537&amp;"|"&amp;ROUND(O537,0),"")</f>
        <v>IA26080001|0</v>
      </c>
      <c r="Q537" s="18" t="str">
        <f aca="false">IF(N537&lt;&gt;"Y","",IFERROR(INDEX($D$6:$D$4005,MATCH(B537&amp;"|"&amp;ROUND(_xlfn.MAXIFS($O$6:$O$4005,$B$6:$B$4005,B537,$N$6:$N$4005,"N"),0),$P$6:$P$4005,0)),"(tanpa lawan)"))</f>
        <v/>
      </c>
      <c r="R537" s="44"/>
      <c r="S537" s="9" t="str">
        <f aca="false">IF(N537&lt;&gt;"Y","",IF(R537&lt;&gt;"",R537,IF(Q537="(tanpa lawan)","Transfer antar rekening",IFERROR(INDEX(I_COA!$F$6:$F$265,MATCH(Q537,I_COA!$A$6:$A$265,0)),"?"))))</f>
        <v/>
      </c>
    </row>
    <row r="538" customFormat="false" ht="15" hidden="false" customHeight="false" outlineLevel="0" collapsed="false">
      <c r="A538" s="37" t="n">
        <v>46244</v>
      </c>
      <c r="B538" s="44" t="s">
        <v>1055</v>
      </c>
      <c r="C538" s="44" t="s">
        <v>1056</v>
      </c>
      <c r="D538" s="44" t="n">
        <v>7100006</v>
      </c>
      <c r="E538" s="44" t="s">
        <v>1058</v>
      </c>
      <c r="F538" s="44" t="s">
        <v>1057</v>
      </c>
      <c r="G538" s="42"/>
      <c r="H538" s="42"/>
      <c r="I538" s="44"/>
      <c r="J538" s="11" t="n">
        <f aca="false">IF(D538="","",N(G538)-N(H538))</f>
        <v>0</v>
      </c>
      <c r="K538" s="34" t="str">
        <f aca="false">IF(D538="","",IFERROR(INDEX(I_COA!$C$6:$C$265,MATCH(D538,I_COA!$A$6:$A$265,0)),"AKUN BARU"))</f>
        <v>LabaRugi</v>
      </c>
      <c r="L538" s="34" t="str">
        <f aca="false">IF(K538="LabaRugi",INDEX(I_COA!$D$6:$D$265,MATCH(D538,I_COA!$A$6:$A$265,0)),"")</f>
        <v>Other Income</v>
      </c>
      <c r="M538" s="34" t="str">
        <f aca="false">IF(K538="Neraca",INDEX(I_COA!$E$6:$E$265,MATCH(D538,I_COA!$A$6:$A$265,0)),"")</f>
        <v/>
      </c>
      <c r="N538" s="34" t="str">
        <f aca="false">IF(D538="","",IFERROR(INDEX(I_COA!$G$6:$G$265,MATCH(D538,I_COA!$A$6:$A$265,0)),"N"))</f>
        <v>N</v>
      </c>
      <c r="O538" s="11" t="n">
        <f aca="false">IF(N538="N",ABS(J538),"")</f>
        <v>0</v>
      </c>
      <c r="P538" s="18" t="str">
        <f aca="false">IF(N538="N",B538&amp;"|"&amp;ROUND(O538,0),"")</f>
        <v>IA26080001|0</v>
      </c>
      <c r="Q538" s="18" t="str">
        <f aca="false">IF(N538&lt;&gt;"Y","",IFERROR(INDEX($D$6:$D$4005,MATCH(B538&amp;"|"&amp;ROUND(_xlfn.MAXIFS($O$6:$O$4005,$B$6:$B$4005,B538,$N$6:$N$4005,"N"),0),$P$6:$P$4005,0)),"(tanpa lawan)"))</f>
        <v/>
      </c>
      <c r="R538" s="44"/>
      <c r="S538" s="9" t="str">
        <f aca="false">IF(N538&lt;&gt;"Y","",IF(R538&lt;&gt;"",R538,IF(Q538="(tanpa lawan)","Transfer antar rekening",IFERROR(INDEX(I_COA!$F$6:$F$265,MATCH(Q538,I_COA!$A$6:$A$265,0)),"?"))))</f>
        <v/>
      </c>
    </row>
    <row r="539" customFormat="false" ht="15" hidden="false" customHeight="false" outlineLevel="0" collapsed="false">
      <c r="A539" s="37" t="n">
        <v>46244</v>
      </c>
      <c r="B539" s="44" t="s">
        <v>1059</v>
      </c>
      <c r="C539" s="44" t="s">
        <v>1056</v>
      </c>
      <c r="D539" s="44" t="n">
        <v>1104006</v>
      </c>
      <c r="E539" s="44" t="s">
        <v>212</v>
      </c>
      <c r="F539" s="44" t="s">
        <v>1060</v>
      </c>
      <c r="G539" s="42" t="n">
        <v>13669060.85</v>
      </c>
      <c r="H539" s="42"/>
      <c r="I539" s="44"/>
      <c r="J539" s="11" t="n">
        <f aca="false">IF(D539="","",N(G539)-N(H539))</f>
        <v>13669060.85</v>
      </c>
      <c r="K539" s="34" t="str">
        <f aca="false">IF(D539="","",IFERROR(INDEX(I_COA!$C$6:$C$265,MATCH(D539,I_COA!$A$6:$A$265,0)),"AKUN BARU"))</f>
        <v>Neraca</v>
      </c>
      <c r="L539" s="34" t="str">
        <f aca="false">IF(K539="LabaRugi",INDEX(I_COA!$D$6:$D$265,MATCH(D539,I_COA!$A$6:$A$265,0)),"")</f>
        <v/>
      </c>
      <c r="M539" s="34" t="str">
        <f aca="false">IF(K539="Neraca",INDEX(I_COA!$E$6:$E$265,MATCH(D539,I_COA!$A$6:$A$265,0)),"")</f>
        <v>Inventory - Trading</v>
      </c>
      <c r="N539" s="34" t="str">
        <f aca="false">IF(D539="","",IFERROR(INDEX(I_COA!$G$6:$G$265,MATCH(D539,I_COA!$A$6:$A$265,0)),"N"))</f>
        <v>N</v>
      </c>
      <c r="O539" s="11" t="n">
        <f aca="false">IF(N539="N",ABS(J539),"")</f>
        <v>13669060.85</v>
      </c>
      <c r="P539" s="18" t="str">
        <f aca="false">IF(N539="N",B539&amp;"|"&amp;ROUND(O539,0),"")</f>
        <v>IA26080003|13669061</v>
      </c>
      <c r="Q539" s="18" t="str">
        <f aca="false">IF(N539&lt;&gt;"Y","",IFERROR(INDEX($D$6:$D$4005,MATCH(B539&amp;"|"&amp;ROUND(_xlfn.MAXIFS($O$6:$O$4005,$B$6:$B$4005,B539,$N$6:$N$4005,"N"),0),$P$6:$P$4005,0)),"(tanpa lawan)"))</f>
        <v/>
      </c>
      <c r="R539" s="44"/>
      <c r="S539" s="9" t="str">
        <f aca="false">IF(N539&lt;&gt;"Y","",IF(R539&lt;&gt;"",R539,IF(Q539="(tanpa lawan)","Transfer antar rekening",IFERROR(INDEX(I_COA!$F$6:$F$265,MATCH(Q539,I_COA!$A$6:$A$265,0)),"?"))))</f>
        <v/>
      </c>
    </row>
    <row r="540" customFormat="false" ht="15" hidden="false" customHeight="false" outlineLevel="0" collapsed="false">
      <c r="A540" s="37" t="n">
        <v>46244</v>
      </c>
      <c r="B540" s="44" t="s">
        <v>1059</v>
      </c>
      <c r="C540" s="44" t="s">
        <v>1056</v>
      </c>
      <c r="D540" s="44" t="n">
        <v>1104003</v>
      </c>
      <c r="E540" s="44" t="s">
        <v>613</v>
      </c>
      <c r="F540" s="44" t="s">
        <v>1060</v>
      </c>
      <c r="G540" s="42"/>
      <c r="H540" s="42" t="n">
        <v>11463617.01</v>
      </c>
      <c r="I540" s="44"/>
      <c r="J540" s="11" t="n">
        <f aca="false">IF(D540="","",N(G540)-N(H540))</f>
        <v>-11463617.01</v>
      </c>
      <c r="K540" s="34" t="str">
        <f aca="false">IF(D540="","",IFERROR(INDEX(I_COA!$C$6:$C$265,MATCH(D540,I_COA!$A$6:$A$265,0)),"AKUN BARU"))</f>
        <v>Neraca</v>
      </c>
      <c r="L540" s="34" t="str">
        <f aca="false">IF(K540="LabaRugi",INDEX(I_COA!$D$6:$D$265,MATCH(D540,I_COA!$A$6:$A$265,0)),"")</f>
        <v/>
      </c>
      <c r="M540" s="34" t="str">
        <f aca="false">IF(K540="Neraca",INDEX(I_COA!$E$6:$E$265,MATCH(D540,I_COA!$A$6:$A$265,0)),"")</f>
        <v>Inventory - Product</v>
      </c>
      <c r="N540" s="34" t="str">
        <f aca="false">IF(D540="","",IFERROR(INDEX(I_COA!$G$6:$G$265,MATCH(D540,I_COA!$A$6:$A$265,0)),"N"))</f>
        <v>N</v>
      </c>
      <c r="O540" s="11" t="n">
        <f aca="false">IF(N540="N",ABS(J540),"")</f>
        <v>11463617.01</v>
      </c>
      <c r="P540" s="18" t="str">
        <f aca="false">IF(N540="N",B540&amp;"|"&amp;ROUND(O540,0),"")</f>
        <v>IA26080003|11463617</v>
      </c>
      <c r="Q540" s="18" t="str">
        <f aca="false">IF(N540&lt;&gt;"Y","",IFERROR(INDEX($D$6:$D$4005,MATCH(B540&amp;"|"&amp;ROUND(_xlfn.MAXIFS($O$6:$O$4005,$B$6:$B$4005,B540,$N$6:$N$4005,"N"),0),$P$6:$P$4005,0)),"(tanpa lawan)"))</f>
        <v/>
      </c>
      <c r="R540" s="44"/>
      <c r="S540" s="9" t="str">
        <f aca="false">IF(N540&lt;&gt;"Y","",IF(R540&lt;&gt;"",R540,IF(Q540="(tanpa lawan)","Transfer antar rekening",IFERROR(INDEX(I_COA!$F$6:$F$265,MATCH(Q540,I_COA!$A$6:$A$265,0)),"?"))))</f>
        <v/>
      </c>
    </row>
    <row r="541" customFormat="false" ht="15" hidden="false" customHeight="false" outlineLevel="0" collapsed="false">
      <c r="A541" s="37" t="n">
        <v>46244</v>
      </c>
      <c r="B541" s="44" t="s">
        <v>1059</v>
      </c>
      <c r="C541" s="44" t="s">
        <v>1056</v>
      </c>
      <c r="D541" s="44" t="n">
        <v>7100006</v>
      </c>
      <c r="E541" s="44" t="s">
        <v>1058</v>
      </c>
      <c r="F541" s="44" t="s">
        <v>1060</v>
      </c>
      <c r="G541" s="42"/>
      <c r="H541" s="42" t="n">
        <v>2205443.84</v>
      </c>
      <c r="I541" s="44"/>
      <c r="J541" s="11" t="n">
        <f aca="false">IF(D541="","",N(G541)-N(H541))</f>
        <v>-2205443.84</v>
      </c>
      <c r="K541" s="34" t="str">
        <f aca="false">IF(D541="","",IFERROR(INDEX(I_COA!$C$6:$C$265,MATCH(D541,I_COA!$A$6:$A$265,0)),"AKUN BARU"))</f>
        <v>LabaRugi</v>
      </c>
      <c r="L541" s="34" t="str">
        <f aca="false">IF(K541="LabaRugi",INDEX(I_COA!$D$6:$D$265,MATCH(D541,I_COA!$A$6:$A$265,0)),"")</f>
        <v>Other Income</v>
      </c>
      <c r="M541" s="34" t="str">
        <f aca="false">IF(K541="Neraca",INDEX(I_COA!$E$6:$E$265,MATCH(D541,I_COA!$A$6:$A$265,0)),"")</f>
        <v/>
      </c>
      <c r="N541" s="34" t="str">
        <f aca="false">IF(D541="","",IFERROR(INDEX(I_COA!$G$6:$G$265,MATCH(D541,I_COA!$A$6:$A$265,0)),"N"))</f>
        <v>N</v>
      </c>
      <c r="O541" s="11" t="n">
        <f aca="false">IF(N541="N",ABS(J541),"")</f>
        <v>2205443.84</v>
      </c>
      <c r="P541" s="18" t="str">
        <f aca="false">IF(N541="N",B541&amp;"|"&amp;ROUND(O541,0),"")</f>
        <v>IA26080003|2205444</v>
      </c>
      <c r="Q541" s="18" t="str">
        <f aca="false">IF(N541&lt;&gt;"Y","",IFERROR(INDEX($D$6:$D$4005,MATCH(B541&amp;"|"&amp;ROUND(_xlfn.MAXIFS($O$6:$O$4005,$B$6:$B$4005,B541,$N$6:$N$4005,"N"),0),$P$6:$P$4005,0)),"(tanpa lawan)"))</f>
        <v/>
      </c>
      <c r="R541" s="44"/>
      <c r="S541" s="9" t="str">
        <f aca="false">IF(N541&lt;&gt;"Y","",IF(R541&lt;&gt;"",R541,IF(Q541="(tanpa lawan)","Transfer antar rekening",IFERROR(INDEX(I_COA!$F$6:$F$265,MATCH(Q541,I_COA!$A$6:$A$265,0)),"?"))))</f>
        <v/>
      </c>
    </row>
    <row r="542" customFormat="false" ht="15" hidden="false" customHeight="false" outlineLevel="0" collapsed="false">
      <c r="A542" s="37" t="n">
        <v>46244</v>
      </c>
      <c r="B542" s="44" t="s">
        <v>1061</v>
      </c>
      <c r="C542" s="44" t="s">
        <v>600</v>
      </c>
      <c r="D542" s="44" t="n">
        <v>1104002</v>
      </c>
      <c r="E542" s="44" t="s">
        <v>601</v>
      </c>
      <c r="F542" s="44" t="s">
        <v>1062</v>
      </c>
      <c r="G542" s="42" t="n">
        <v>13114656.94</v>
      </c>
      <c r="H542" s="42"/>
      <c r="I542" s="44" t="s">
        <v>429</v>
      </c>
      <c r="J542" s="11" t="n">
        <f aca="false">IF(D542="","",N(G542)-N(H542))</f>
        <v>13114656.94</v>
      </c>
      <c r="K542" s="34" t="str">
        <f aca="false">IF(D542="","",IFERROR(INDEX(I_COA!$C$6:$C$265,MATCH(D542,I_COA!$A$6:$A$265,0)),"AKUN BARU"))</f>
        <v>Neraca</v>
      </c>
      <c r="L542" s="34" t="str">
        <f aca="false">IF(K542="LabaRugi",INDEX(I_COA!$D$6:$D$265,MATCH(D542,I_COA!$A$6:$A$265,0)),"")</f>
        <v/>
      </c>
      <c r="M542" s="34" t="str">
        <f aca="false">IF(K542="Neraca",INDEX(I_COA!$E$6:$E$265,MATCH(D542,I_COA!$A$6:$A$265,0)),"")</f>
        <v>Inventory - Product</v>
      </c>
      <c r="N542" s="34" t="str">
        <f aca="false">IF(D542="","",IFERROR(INDEX(I_COA!$G$6:$G$265,MATCH(D542,I_COA!$A$6:$A$265,0)),"N"))</f>
        <v>N</v>
      </c>
      <c r="O542" s="11" t="n">
        <f aca="false">IF(N542="N",ABS(J542),"")</f>
        <v>13114656.94</v>
      </c>
      <c r="P542" s="18" t="str">
        <f aca="false">IF(N542="N",B542&amp;"|"&amp;ROUND(O542,0),"")</f>
        <v>KGR26.00231|13114657</v>
      </c>
      <c r="Q542" s="18" t="str">
        <f aca="false">IF(N542&lt;&gt;"Y","",IFERROR(INDEX($D$6:$D$4005,MATCH(B542&amp;"|"&amp;ROUND(_xlfn.MAXIFS($O$6:$O$4005,$B$6:$B$4005,B542,$N$6:$N$4005,"N"),0),$P$6:$P$4005,0)),"(tanpa lawan)"))</f>
        <v/>
      </c>
      <c r="R542" s="44"/>
      <c r="S542" s="9" t="str">
        <f aca="false">IF(N542&lt;&gt;"Y","",IF(R542&lt;&gt;"",R542,IF(Q542="(tanpa lawan)","Transfer antar rekening",IFERROR(INDEX(I_COA!$F$6:$F$265,MATCH(Q542,I_COA!$A$6:$A$265,0)),"?"))))</f>
        <v/>
      </c>
    </row>
    <row r="543" customFormat="false" ht="15" hidden="false" customHeight="false" outlineLevel="0" collapsed="false">
      <c r="A543" s="37" t="n">
        <v>46244</v>
      </c>
      <c r="B543" s="44" t="s">
        <v>1061</v>
      </c>
      <c r="C543" s="44" t="s">
        <v>600</v>
      </c>
      <c r="D543" s="44" t="n">
        <v>1104003</v>
      </c>
      <c r="E543" s="44" t="s">
        <v>613</v>
      </c>
      <c r="F543" s="44" t="s">
        <v>1062</v>
      </c>
      <c r="G543" s="42"/>
      <c r="H543" s="42" t="n">
        <v>9581448.61</v>
      </c>
      <c r="I543" s="44" t="s">
        <v>429</v>
      </c>
      <c r="J543" s="11" t="n">
        <f aca="false">IF(D543="","",N(G543)-N(H543))</f>
        <v>-9581448.61</v>
      </c>
      <c r="K543" s="34" t="str">
        <f aca="false">IF(D543="","",IFERROR(INDEX(I_COA!$C$6:$C$265,MATCH(D543,I_COA!$A$6:$A$265,0)),"AKUN BARU"))</f>
        <v>Neraca</v>
      </c>
      <c r="L543" s="34" t="str">
        <f aca="false">IF(K543="LabaRugi",INDEX(I_COA!$D$6:$D$265,MATCH(D543,I_COA!$A$6:$A$265,0)),"")</f>
        <v/>
      </c>
      <c r="M543" s="34" t="str">
        <f aca="false">IF(K543="Neraca",INDEX(I_COA!$E$6:$E$265,MATCH(D543,I_COA!$A$6:$A$265,0)),"")</f>
        <v>Inventory - Product</v>
      </c>
      <c r="N543" s="34" t="str">
        <f aca="false">IF(D543="","",IFERROR(INDEX(I_COA!$G$6:$G$265,MATCH(D543,I_COA!$A$6:$A$265,0)),"N"))</f>
        <v>N</v>
      </c>
      <c r="O543" s="11" t="n">
        <f aca="false">IF(N543="N",ABS(J543),"")</f>
        <v>9581448.61</v>
      </c>
      <c r="P543" s="18" t="str">
        <f aca="false">IF(N543="N",B543&amp;"|"&amp;ROUND(O543,0),"")</f>
        <v>KGR26.00231|9581449</v>
      </c>
      <c r="Q543" s="18" t="str">
        <f aca="false">IF(N543&lt;&gt;"Y","",IFERROR(INDEX($D$6:$D$4005,MATCH(B543&amp;"|"&amp;ROUND(_xlfn.MAXIFS($O$6:$O$4005,$B$6:$B$4005,B543,$N$6:$N$4005,"N"),0),$P$6:$P$4005,0)),"(tanpa lawan)"))</f>
        <v/>
      </c>
      <c r="R543" s="44"/>
      <c r="S543" s="9" t="str">
        <f aca="false">IF(N543&lt;&gt;"Y","",IF(R543&lt;&gt;"",R543,IF(Q543="(tanpa lawan)","Transfer antar rekening",IFERROR(INDEX(I_COA!$F$6:$F$265,MATCH(Q543,I_COA!$A$6:$A$265,0)),"?"))))</f>
        <v/>
      </c>
    </row>
    <row r="544" customFormat="false" ht="15" hidden="false" customHeight="false" outlineLevel="0" collapsed="false">
      <c r="A544" s="37" t="n">
        <v>46244</v>
      </c>
      <c r="B544" s="44" t="s">
        <v>1061</v>
      </c>
      <c r="C544" s="44" t="s">
        <v>600</v>
      </c>
      <c r="D544" s="44" t="n">
        <v>1104006</v>
      </c>
      <c r="E544" s="44" t="s">
        <v>212</v>
      </c>
      <c r="F544" s="44" t="s">
        <v>1062</v>
      </c>
      <c r="G544" s="42"/>
      <c r="H544" s="42" t="n">
        <v>3533208.33</v>
      </c>
      <c r="I544" s="44" t="s">
        <v>429</v>
      </c>
      <c r="J544" s="11" t="n">
        <f aca="false">IF(D544="","",N(G544)-N(H544))</f>
        <v>-3533208.33</v>
      </c>
      <c r="K544" s="34" t="str">
        <f aca="false">IF(D544="","",IFERROR(INDEX(I_COA!$C$6:$C$265,MATCH(D544,I_COA!$A$6:$A$265,0)),"AKUN BARU"))</f>
        <v>Neraca</v>
      </c>
      <c r="L544" s="34" t="str">
        <f aca="false">IF(K544="LabaRugi",INDEX(I_COA!$D$6:$D$265,MATCH(D544,I_COA!$A$6:$A$265,0)),"")</f>
        <v/>
      </c>
      <c r="M544" s="34" t="str">
        <f aca="false">IF(K544="Neraca",INDEX(I_COA!$E$6:$E$265,MATCH(D544,I_COA!$A$6:$A$265,0)),"")</f>
        <v>Inventory - Trading</v>
      </c>
      <c r="N544" s="34" t="str">
        <f aca="false">IF(D544="","",IFERROR(INDEX(I_COA!$G$6:$G$265,MATCH(D544,I_COA!$A$6:$A$265,0)),"N"))</f>
        <v>N</v>
      </c>
      <c r="O544" s="11" t="n">
        <f aca="false">IF(N544="N",ABS(J544),"")</f>
        <v>3533208.33</v>
      </c>
      <c r="P544" s="18" t="str">
        <f aca="false">IF(N544="N",B544&amp;"|"&amp;ROUND(O544,0),"")</f>
        <v>KGR26.00231|3533208</v>
      </c>
      <c r="Q544" s="18" t="str">
        <f aca="false">IF(N544&lt;&gt;"Y","",IFERROR(INDEX($D$6:$D$4005,MATCH(B544&amp;"|"&amp;ROUND(_xlfn.MAXIFS($O$6:$O$4005,$B$6:$B$4005,B544,$N$6:$N$4005,"N"),0),$P$6:$P$4005,0)),"(tanpa lawan)"))</f>
        <v/>
      </c>
      <c r="R544" s="44"/>
      <c r="S544" s="9" t="str">
        <f aca="false">IF(N544&lt;&gt;"Y","",IF(R544&lt;&gt;"",R544,IF(Q544="(tanpa lawan)","Transfer antar rekening",IFERROR(INDEX(I_COA!$F$6:$F$265,MATCH(Q544,I_COA!$A$6:$A$265,0)),"?"))))</f>
        <v/>
      </c>
    </row>
    <row r="545" customFormat="false" ht="15" hidden="false" customHeight="false" outlineLevel="0" collapsed="false">
      <c r="A545" s="37" t="n">
        <v>46244</v>
      </c>
      <c r="B545" s="44" t="s">
        <v>1063</v>
      </c>
      <c r="C545" s="44" t="s">
        <v>600</v>
      </c>
      <c r="D545" s="44" t="n">
        <v>1104002</v>
      </c>
      <c r="E545" s="44" t="s">
        <v>601</v>
      </c>
      <c r="F545" s="44" t="s">
        <v>1064</v>
      </c>
      <c r="G545" s="42" t="n">
        <v>20361583.07</v>
      </c>
      <c r="H545" s="42"/>
      <c r="I545" s="44" t="s">
        <v>437</v>
      </c>
      <c r="J545" s="11" t="n">
        <f aca="false">IF(D545="","",N(G545)-N(H545))</f>
        <v>20361583.07</v>
      </c>
      <c r="K545" s="34" t="str">
        <f aca="false">IF(D545="","",IFERROR(INDEX(I_COA!$C$6:$C$265,MATCH(D545,I_COA!$A$6:$A$265,0)),"AKUN BARU"))</f>
        <v>Neraca</v>
      </c>
      <c r="L545" s="34" t="str">
        <f aca="false">IF(K545="LabaRugi",INDEX(I_COA!$D$6:$D$265,MATCH(D545,I_COA!$A$6:$A$265,0)),"")</f>
        <v/>
      </c>
      <c r="M545" s="34" t="str">
        <f aca="false">IF(K545="Neraca",INDEX(I_COA!$E$6:$E$265,MATCH(D545,I_COA!$A$6:$A$265,0)),"")</f>
        <v>Inventory - Product</v>
      </c>
      <c r="N545" s="34" t="str">
        <f aca="false">IF(D545="","",IFERROR(INDEX(I_COA!$G$6:$G$265,MATCH(D545,I_COA!$A$6:$A$265,0)),"N"))</f>
        <v>N</v>
      </c>
      <c r="O545" s="11" t="n">
        <f aca="false">IF(N545="N",ABS(J545),"")</f>
        <v>20361583.07</v>
      </c>
      <c r="P545" s="18" t="str">
        <f aca="false">IF(N545="N",B545&amp;"|"&amp;ROUND(O545,0),"")</f>
        <v>KGR26.00233|20361583</v>
      </c>
      <c r="Q545" s="18" t="str">
        <f aca="false">IF(N545&lt;&gt;"Y","",IFERROR(INDEX($D$6:$D$4005,MATCH(B545&amp;"|"&amp;ROUND(_xlfn.MAXIFS($O$6:$O$4005,$B$6:$B$4005,B545,$N$6:$N$4005,"N"),0),$P$6:$P$4005,0)),"(tanpa lawan)"))</f>
        <v/>
      </c>
      <c r="R545" s="44"/>
      <c r="S545" s="9" t="str">
        <f aca="false">IF(N545&lt;&gt;"Y","",IF(R545&lt;&gt;"",R545,IF(Q545="(tanpa lawan)","Transfer antar rekening",IFERROR(INDEX(I_COA!$F$6:$F$265,MATCH(Q545,I_COA!$A$6:$A$265,0)),"?"))))</f>
        <v/>
      </c>
    </row>
    <row r="546" customFormat="false" ht="15" hidden="false" customHeight="false" outlineLevel="0" collapsed="false">
      <c r="A546" s="37" t="n">
        <v>46244</v>
      </c>
      <c r="B546" s="44" t="s">
        <v>1063</v>
      </c>
      <c r="C546" s="44" t="s">
        <v>600</v>
      </c>
      <c r="D546" s="44" t="n">
        <v>1104006</v>
      </c>
      <c r="E546" s="44" t="s">
        <v>212</v>
      </c>
      <c r="F546" s="44" t="s">
        <v>1064</v>
      </c>
      <c r="G546" s="42"/>
      <c r="H546" s="42" t="n">
        <v>20361583.07</v>
      </c>
      <c r="I546" s="44" t="s">
        <v>437</v>
      </c>
      <c r="J546" s="11" t="n">
        <f aca="false">IF(D546="","",N(G546)-N(H546))</f>
        <v>-20361583.07</v>
      </c>
      <c r="K546" s="34" t="str">
        <f aca="false">IF(D546="","",IFERROR(INDEX(I_COA!$C$6:$C$265,MATCH(D546,I_COA!$A$6:$A$265,0)),"AKUN BARU"))</f>
        <v>Neraca</v>
      </c>
      <c r="L546" s="34" t="str">
        <f aca="false">IF(K546="LabaRugi",INDEX(I_COA!$D$6:$D$265,MATCH(D546,I_COA!$A$6:$A$265,0)),"")</f>
        <v/>
      </c>
      <c r="M546" s="34" t="str">
        <f aca="false">IF(K546="Neraca",INDEX(I_COA!$E$6:$E$265,MATCH(D546,I_COA!$A$6:$A$265,0)),"")</f>
        <v>Inventory - Trading</v>
      </c>
      <c r="N546" s="34" t="str">
        <f aca="false">IF(D546="","",IFERROR(INDEX(I_COA!$G$6:$G$265,MATCH(D546,I_COA!$A$6:$A$265,0)),"N"))</f>
        <v>N</v>
      </c>
      <c r="O546" s="11" t="n">
        <f aca="false">IF(N546="N",ABS(J546),"")</f>
        <v>20361583.07</v>
      </c>
      <c r="P546" s="18" t="str">
        <f aca="false">IF(N546="N",B546&amp;"|"&amp;ROUND(O546,0),"")</f>
        <v>KGR26.00233|20361583</v>
      </c>
      <c r="Q546" s="18" t="str">
        <f aca="false">IF(N546&lt;&gt;"Y","",IFERROR(INDEX($D$6:$D$4005,MATCH(B546&amp;"|"&amp;ROUND(_xlfn.MAXIFS($O$6:$O$4005,$B$6:$B$4005,B546,$N$6:$N$4005,"N"),0),$P$6:$P$4005,0)),"(tanpa lawan)"))</f>
        <v/>
      </c>
      <c r="R546" s="44"/>
      <c r="S546" s="9" t="str">
        <f aca="false">IF(N546&lt;&gt;"Y","",IF(R546&lt;&gt;"",R546,IF(Q546="(tanpa lawan)","Transfer antar rekening",IFERROR(INDEX(I_COA!$F$6:$F$265,MATCH(Q546,I_COA!$A$6:$A$265,0)),"?"))))</f>
        <v/>
      </c>
    </row>
    <row r="547" customFormat="false" ht="15" hidden="false" customHeight="false" outlineLevel="0" collapsed="false">
      <c r="A547" s="37" t="n">
        <v>46244</v>
      </c>
      <c r="B547" s="44" t="s">
        <v>1065</v>
      </c>
      <c r="C547" s="44" t="s">
        <v>600</v>
      </c>
      <c r="D547" s="44" t="n">
        <v>1104002</v>
      </c>
      <c r="E547" s="44" t="s">
        <v>601</v>
      </c>
      <c r="F547" s="44" t="s">
        <v>1066</v>
      </c>
      <c r="G547" s="42" t="n">
        <v>19383250.4</v>
      </c>
      <c r="H547" s="42"/>
      <c r="I547" s="44" t="s">
        <v>432</v>
      </c>
      <c r="J547" s="11" t="n">
        <f aca="false">IF(D547="","",N(G547)-N(H547))</f>
        <v>19383250.4</v>
      </c>
      <c r="K547" s="34" t="str">
        <f aca="false">IF(D547="","",IFERROR(INDEX(I_COA!$C$6:$C$265,MATCH(D547,I_COA!$A$6:$A$265,0)),"AKUN BARU"))</f>
        <v>Neraca</v>
      </c>
      <c r="L547" s="34" t="str">
        <f aca="false">IF(K547="LabaRugi",INDEX(I_COA!$D$6:$D$265,MATCH(D547,I_COA!$A$6:$A$265,0)),"")</f>
        <v/>
      </c>
      <c r="M547" s="34" t="str">
        <f aca="false">IF(K547="Neraca",INDEX(I_COA!$E$6:$E$265,MATCH(D547,I_COA!$A$6:$A$265,0)),"")</f>
        <v>Inventory - Product</v>
      </c>
      <c r="N547" s="34" t="str">
        <f aca="false">IF(D547="","",IFERROR(INDEX(I_COA!$G$6:$G$265,MATCH(D547,I_COA!$A$6:$A$265,0)),"N"))</f>
        <v>N</v>
      </c>
      <c r="O547" s="11" t="n">
        <f aca="false">IF(N547="N",ABS(J547),"")</f>
        <v>19383250.4</v>
      </c>
      <c r="P547" s="18" t="str">
        <f aca="false">IF(N547="N",B547&amp;"|"&amp;ROUND(O547,0),"")</f>
        <v>KGR26.00234|19383250</v>
      </c>
      <c r="Q547" s="18" t="str">
        <f aca="false">IF(N547&lt;&gt;"Y","",IFERROR(INDEX($D$6:$D$4005,MATCH(B547&amp;"|"&amp;ROUND(_xlfn.MAXIFS($O$6:$O$4005,$B$6:$B$4005,B547,$N$6:$N$4005,"N"),0),$P$6:$P$4005,0)),"(tanpa lawan)"))</f>
        <v/>
      </c>
      <c r="R547" s="44"/>
      <c r="S547" s="9" t="str">
        <f aca="false">IF(N547&lt;&gt;"Y","",IF(R547&lt;&gt;"",R547,IF(Q547="(tanpa lawan)","Transfer antar rekening",IFERROR(INDEX(I_COA!$F$6:$F$265,MATCH(Q547,I_COA!$A$6:$A$265,0)),"?"))))</f>
        <v/>
      </c>
    </row>
    <row r="548" customFormat="false" ht="15" hidden="false" customHeight="false" outlineLevel="0" collapsed="false">
      <c r="A548" s="37" t="n">
        <v>46244</v>
      </c>
      <c r="B548" s="44" t="s">
        <v>1065</v>
      </c>
      <c r="C548" s="44" t="s">
        <v>600</v>
      </c>
      <c r="D548" s="44" t="n">
        <v>1104006</v>
      </c>
      <c r="E548" s="44" t="s">
        <v>212</v>
      </c>
      <c r="F548" s="44" t="s">
        <v>1066</v>
      </c>
      <c r="G548" s="42"/>
      <c r="H548" s="42" t="n">
        <v>19383250.4</v>
      </c>
      <c r="I548" s="44" t="s">
        <v>432</v>
      </c>
      <c r="J548" s="11" t="n">
        <f aca="false">IF(D548="","",N(G548)-N(H548))</f>
        <v>-19383250.4</v>
      </c>
      <c r="K548" s="34" t="str">
        <f aca="false">IF(D548="","",IFERROR(INDEX(I_COA!$C$6:$C$265,MATCH(D548,I_COA!$A$6:$A$265,0)),"AKUN BARU"))</f>
        <v>Neraca</v>
      </c>
      <c r="L548" s="34" t="str">
        <f aca="false">IF(K548="LabaRugi",INDEX(I_COA!$D$6:$D$265,MATCH(D548,I_COA!$A$6:$A$265,0)),"")</f>
        <v/>
      </c>
      <c r="M548" s="34" t="str">
        <f aca="false">IF(K548="Neraca",INDEX(I_COA!$E$6:$E$265,MATCH(D548,I_COA!$A$6:$A$265,0)),"")</f>
        <v>Inventory - Trading</v>
      </c>
      <c r="N548" s="34" t="str">
        <f aca="false">IF(D548="","",IFERROR(INDEX(I_COA!$G$6:$G$265,MATCH(D548,I_COA!$A$6:$A$265,0)),"N"))</f>
        <v>N</v>
      </c>
      <c r="O548" s="11" t="n">
        <f aca="false">IF(N548="N",ABS(J548),"")</f>
        <v>19383250.4</v>
      </c>
      <c r="P548" s="18" t="str">
        <f aca="false">IF(N548="N",B548&amp;"|"&amp;ROUND(O548,0),"")</f>
        <v>KGR26.00234|19383250</v>
      </c>
      <c r="Q548" s="18" t="str">
        <f aca="false">IF(N548&lt;&gt;"Y","",IFERROR(INDEX($D$6:$D$4005,MATCH(B548&amp;"|"&amp;ROUND(_xlfn.MAXIFS($O$6:$O$4005,$B$6:$B$4005,B548,$N$6:$N$4005,"N"),0),$P$6:$P$4005,0)),"(tanpa lawan)"))</f>
        <v/>
      </c>
      <c r="R548" s="44"/>
      <c r="S548" s="9" t="str">
        <f aca="false">IF(N548&lt;&gt;"Y","",IF(R548&lt;&gt;"",R548,IF(Q548="(tanpa lawan)","Transfer antar rekening",IFERROR(INDEX(I_COA!$F$6:$F$265,MATCH(Q548,I_COA!$A$6:$A$265,0)),"?"))))</f>
        <v/>
      </c>
    </row>
    <row r="549" customFormat="false" ht="15" hidden="false" customHeight="false" outlineLevel="0" collapsed="false">
      <c r="A549" s="37" t="n">
        <v>46244</v>
      </c>
      <c r="B549" s="44" t="s">
        <v>1067</v>
      </c>
      <c r="C549" s="44" t="s">
        <v>600</v>
      </c>
      <c r="D549" s="44" t="n">
        <v>1104002</v>
      </c>
      <c r="E549" s="44" t="s">
        <v>601</v>
      </c>
      <c r="F549" s="44" t="s">
        <v>1068</v>
      </c>
      <c r="G549" s="42" t="n">
        <v>93961690.75</v>
      </c>
      <c r="H549" s="42"/>
      <c r="I549" s="44" t="s">
        <v>841</v>
      </c>
      <c r="J549" s="11" t="n">
        <f aca="false">IF(D549="","",N(G549)-N(H549))</f>
        <v>93961690.75</v>
      </c>
      <c r="K549" s="34" t="str">
        <f aca="false">IF(D549="","",IFERROR(INDEX(I_COA!$C$6:$C$265,MATCH(D549,I_COA!$A$6:$A$265,0)),"AKUN BARU"))</f>
        <v>Neraca</v>
      </c>
      <c r="L549" s="34" t="str">
        <f aca="false">IF(K549="LabaRugi",INDEX(I_COA!$D$6:$D$265,MATCH(D549,I_COA!$A$6:$A$265,0)),"")</f>
        <v/>
      </c>
      <c r="M549" s="34" t="str">
        <f aca="false">IF(K549="Neraca",INDEX(I_COA!$E$6:$E$265,MATCH(D549,I_COA!$A$6:$A$265,0)),"")</f>
        <v>Inventory - Product</v>
      </c>
      <c r="N549" s="34" t="str">
        <f aca="false">IF(D549="","",IFERROR(INDEX(I_COA!$G$6:$G$265,MATCH(D549,I_COA!$A$6:$A$265,0)),"N"))</f>
        <v>N</v>
      </c>
      <c r="O549" s="11" t="n">
        <f aca="false">IF(N549="N",ABS(J549),"")</f>
        <v>93961690.75</v>
      </c>
      <c r="P549" s="18" t="str">
        <f aca="false">IF(N549="N",B549&amp;"|"&amp;ROUND(O549,0),"")</f>
        <v>KGR26.00235|93961691</v>
      </c>
      <c r="Q549" s="18" t="str">
        <f aca="false">IF(N549&lt;&gt;"Y","",IFERROR(INDEX($D$6:$D$4005,MATCH(B549&amp;"|"&amp;ROUND(_xlfn.MAXIFS($O$6:$O$4005,$B$6:$B$4005,B549,$N$6:$N$4005,"N"),0),$P$6:$P$4005,0)),"(tanpa lawan)"))</f>
        <v/>
      </c>
      <c r="R549" s="44"/>
      <c r="S549" s="9" t="str">
        <f aca="false">IF(N549&lt;&gt;"Y","",IF(R549&lt;&gt;"",R549,IF(Q549="(tanpa lawan)","Transfer antar rekening",IFERROR(INDEX(I_COA!$F$6:$F$265,MATCH(Q549,I_COA!$A$6:$A$265,0)),"?"))))</f>
        <v/>
      </c>
    </row>
    <row r="550" customFormat="false" ht="15" hidden="false" customHeight="false" outlineLevel="0" collapsed="false">
      <c r="A550" s="37" t="n">
        <v>46244</v>
      </c>
      <c r="B550" s="44" t="s">
        <v>1067</v>
      </c>
      <c r="C550" s="44" t="s">
        <v>600</v>
      </c>
      <c r="D550" s="44" t="n">
        <v>1104006</v>
      </c>
      <c r="E550" s="44" t="s">
        <v>212</v>
      </c>
      <c r="F550" s="44" t="s">
        <v>1068</v>
      </c>
      <c r="G550" s="42"/>
      <c r="H550" s="42" t="n">
        <v>93961690.75</v>
      </c>
      <c r="I550" s="44" t="s">
        <v>841</v>
      </c>
      <c r="J550" s="11" t="n">
        <f aca="false">IF(D550="","",N(G550)-N(H550))</f>
        <v>-93961690.75</v>
      </c>
      <c r="K550" s="34" t="str">
        <f aca="false">IF(D550="","",IFERROR(INDEX(I_COA!$C$6:$C$265,MATCH(D550,I_COA!$A$6:$A$265,0)),"AKUN BARU"))</f>
        <v>Neraca</v>
      </c>
      <c r="L550" s="34" t="str">
        <f aca="false">IF(K550="LabaRugi",INDEX(I_COA!$D$6:$D$265,MATCH(D550,I_COA!$A$6:$A$265,0)),"")</f>
        <v/>
      </c>
      <c r="M550" s="34" t="str">
        <f aca="false">IF(K550="Neraca",INDEX(I_COA!$E$6:$E$265,MATCH(D550,I_COA!$A$6:$A$265,0)),"")</f>
        <v>Inventory - Trading</v>
      </c>
      <c r="N550" s="34" t="str">
        <f aca="false">IF(D550="","",IFERROR(INDEX(I_COA!$G$6:$G$265,MATCH(D550,I_COA!$A$6:$A$265,0)),"N"))</f>
        <v>N</v>
      </c>
      <c r="O550" s="11" t="n">
        <f aca="false">IF(N550="N",ABS(J550),"")</f>
        <v>93961690.75</v>
      </c>
      <c r="P550" s="18" t="str">
        <f aca="false">IF(N550="N",B550&amp;"|"&amp;ROUND(O550,0),"")</f>
        <v>KGR26.00235|93961691</v>
      </c>
      <c r="Q550" s="18" t="str">
        <f aca="false">IF(N550&lt;&gt;"Y","",IFERROR(INDEX($D$6:$D$4005,MATCH(B550&amp;"|"&amp;ROUND(_xlfn.MAXIFS($O$6:$O$4005,$B$6:$B$4005,B550,$N$6:$N$4005,"N"),0),$P$6:$P$4005,0)),"(tanpa lawan)"))</f>
        <v/>
      </c>
      <c r="R550" s="44"/>
      <c r="S550" s="9" t="str">
        <f aca="false">IF(N550&lt;&gt;"Y","",IF(R550&lt;&gt;"",R550,IF(Q550="(tanpa lawan)","Transfer antar rekening",IFERROR(INDEX(I_COA!$F$6:$F$265,MATCH(Q550,I_COA!$A$6:$A$265,0)),"?"))))</f>
        <v/>
      </c>
    </row>
    <row r="551" customFormat="false" ht="15" hidden="false" customHeight="false" outlineLevel="0" collapsed="false">
      <c r="A551" s="37" t="n">
        <v>46244</v>
      </c>
      <c r="B551" s="44" t="s">
        <v>1069</v>
      </c>
      <c r="C551" s="44" t="s">
        <v>600</v>
      </c>
      <c r="D551" s="44" t="n">
        <v>1104002</v>
      </c>
      <c r="E551" s="44" t="s">
        <v>601</v>
      </c>
      <c r="F551" s="44" t="s">
        <v>1070</v>
      </c>
      <c r="G551" s="42" t="n">
        <v>26939820.25</v>
      </c>
      <c r="H551" s="42"/>
      <c r="I551" s="44" t="s">
        <v>432</v>
      </c>
      <c r="J551" s="11" t="n">
        <f aca="false">IF(D551="","",N(G551)-N(H551))</f>
        <v>26939820.25</v>
      </c>
      <c r="K551" s="34" t="str">
        <f aca="false">IF(D551="","",IFERROR(INDEX(I_COA!$C$6:$C$265,MATCH(D551,I_COA!$A$6:$A$265,0)),"AKUN BARU"))</f>
        <v>Neraca</v>
      </c>
      <c r="L551" s="34" t="str">
        <f aca="false">IF(K551="LabaRugi",INDEX(I_COA!$D$6:$D$265,MATCH(D551,I_COA!$A$6:$A$265,0)),"")</f>
        <v/>
      </c>
      <c r="M551" s="34" t="str">
        <f aca="false">IF(K551="Neraca",INDEX(I_COA!$E$6:$E$265,MATCH(D551,I_COA!$A$6:$A$265,0)),"")</f>
        <v>Inventory - Product</v>
      </c>
      <c r="N551" s="34" t="str">
        <f aca="false">IF(D551="","",IFERROR(INDEX(I_COA!$G$6:$G$265,MATCH(D551,I_COA!$A$6:$A$265,0)),"N"))</f>
        <v>N</v>
      </c>
      <c r="O551" s="11" t="n">
        <f aca="false">IF(N551="N",ABS(J551),"")</f>
        <v>26939820.25</v>
      </c>
      <c r="P551" s="18" t="str">
        <f aca="false">IF(N551="N",B551&amp;"|"&amp;ROUND(O551,0),"")</f>
        <v>KGR26.00236|26939820</v>
      </c>
      <c r="Q551" s="18" t="str">
        <f aca="false">IF(N551&lt;&gt;"Y","",IFERROR(INDEX($D$6:$D$4005,MATCH(B551&amp;"|"&amp;ROUND(_xlfn.MAXIFS($O$6:$O$4005,$B$6:$B$4005,B551,$N$6:$N$4005,"N"),0),$P$6:$P$4005,0)),"(tanpa lawan)"))</f>
        <v/>
      </c>
      <c r="R551" s="44"/>
      <c r="S551" s="9" t="str">
        <f aca="false">IF(N551&lt;&gt;"Y","",IF(R551&lt;&gt;"",R551,IF(Q551="(tanpa lawan)","Transfer antar rekening",IFERROR(INDEX(I_COA!$F$6:$F$265,MATCH(Q551,I_COA!$A$6:$A$265,0)),"?"))))</f>
        <v/>
      </c>
    </row>
    <row r="552" customFormat="false" ht="15" hidden="false" customHeight="false" outlineLevel="0" collapsed="false">
      <c r="A552" s="37" t="n">
        <v>46244</v>
      </c>
      <c r="B552" s="44" t="s">
        <v>1069</v>
      </c>
      <c r="C552" s="44" t="s">
        <v>600</v>
      </c>
      <c r="D552" s="44" t="n">
        <v>1104006</v>
      </c>
      <c r="E552" s="44" t="s">
        <v>212</v>
      </c>
      <c r="F552" s="44" t="s">
        <v>1070</v>
      </c>
      <c r="G552" s="42"/>
      <c r="H552" s="42" t="n">
        <v>26939820.25</v>
      </c>
      <c r="I552" s="44" t="s">
        <v>432</v>
      </c>
      <c r="J552" s="11" t="n">
        <f aca="false">IF(D552="","",N(G552)-N(H552))</f>
        <v>-26939820.25</v>
      </c>
      <c r="K552" s="34" t="str">
        <f aca="false">IF(D552="","",IFERROR(INDEX(I_COA!$C$6:$C$265,MATCH(D552,I_COA!$A$6:$A$265,0)),"AKUN BARU"))</f>
        <v>Neraca</v>
      </c>
      <c r="L552" s="34" t="str">
        <f aca="false">IF(K552="LabaRugi",INDEX(I_COA!$D$6:$D$265,MATCH(D552,I_COA!$A$6:$A$265,0)),"")</f>
        <v/>
      </c>
      <c r="M552" s="34" t="str">
        <f aca="false">IF(K552="Neraca",INDEX(I_COA!$E$6:$E$265,MATCH(D552,I_COA!$A$6:$A$265,0)),"")</f>
        <v>Inventory - Trading</v>
      </c>
      <c r="N552" s="34" t="str">
        <f aca="false">IF(D552="","",IFERROR(INDEX(I_COA!$G$6:$G$265,MATCH(D552,I_COA!$A$6:$A$265,0)),"N"))</f>
        <v>N</v>
      </c>
      <c r="O552" s="11" t="n">
        <f aca="false">IF(N552="N",ABS(J552),"")</f>
        <v>26939820.25</v>
      </c>
      <c r="P552" s="18" t="str">
        <f aca="false">IF(N552="N",B552&amp;"|"&amp;ROUND(O552,0),"")</f>
        <v>KGR26.00236|26939820</v>
      </c>
      <c r="Q552" s="18" t="str">
        <f aca="false">IF(N552&lt;&gt;"Y","",IFERROR(INDEX($D$6:$D$4005,MATCH(B552&amp;"|"&amp;ROUND(_xlfn.MAXIFS($O$6:$O$4005,$B$6:$B$4005,B552,$N$6:$N$4005,"N"),0),$P$6:$P$4005,0)),"(tanpa lawan)"))</f>
        <v/>
      </c>
      <c r="R552" s="44"/>
      <c r="S552" s="9" t="str">
        <f aca="false">IF(N552&lt;&gt;"Y","",IF(R552&lt;&gt;"",R552,IF(Q552="(tanpa lawan)","Transfer antar rekening",IFERROR(INDEX(I_COA!$F$6:$F$265,MATCH(Q552,I_COA!$A$6:$A$265,0)),"?"))))</f>
        <v/>
      </c>
    </row>
    <row r="553" customFormat="false" ht="15" hidden="false" customHeight="false" outlineLevel="0" collapsed="false">
      <c r="A553" s="37" t="n">
        <v>46244</v>
      </c>
      <c r="B553" s="44" t="s">
        <v>1071</v>
      </c>
      <c r="C553" s="44" t="s">
        <v>600</v>
      </c>
      <c r="D553" s="44" t="n">
        <v>1104002</v>
      </c>
      <c r="E553" s="44" t="s">
        <v>601</v>
      </c>
      <c r="F553" s="44" t="s">
        <v>1072</v>
      </c>
      <c r="G553" s="42" t="n">
        <v>39295384.17</v>
      </c>
      <c r="H553" s="42"/>
      <c r="I553" s="44" t="s">
        <v>437</v>
      </c>
      <c r="J553" s="11" t="n">
        <f aca="false">IF(D553="","",N(G553)-N(H553))</f>
        <v>39295384.17</v>
      </c>
      <c r="K553" s="34" t="str">
        <f aca="false">IF(D553="","",IFERROR(INDEX(I_COA!$C$6:$C$265,MATCH(D553,I_COA!$A$6:$A$265,0)),"AKUN BARU"))</f>
        <v>Neraca</v>
      </c>
      <c r="L553" s="34" t="str">
        <f aca="false">IF(K553="LabaRugi",INDEX(I_COA!$D$6:$D$265,MATCH(D553,I_COA!$A$6:$A$265,0)),"")</f>
        <v/>
      </c>
      <c r="M553" s="34" t="str">
        <f aca="false">IF(K553="Neraca",INDEX(I_COA!$E$6:$E$265,MATCH(D553,I_COA!$A$6:$A$265,0)),"")</f>
        <v>Inventory - Product</v>
      </c>
      <c r="N553" s="34" t="str">
        <f aca="false">IF(D553="","",IFERROR(INDEX(I_COA!$G$6:$G$265,MATCH(D553,I_COA!$A$6:$A$265,0)),"N"))</f>
        <v>N</v>
      </c>
      <c r="O553" s="11" t="n">
        <f aca="false">IF(N553="N",ABS(J553),"")</f>
        <v>39295384.17</v>
      </c>
      <c r="P553" s="18" t="str">
        <f aca="false">IF(N553="N",B553&amp;"|"&amp;ROUND(O553,0),"")</f>
        <v>KGR26.00237|39295384</v>
      </c>
      <c r="Q553" s="18" t="str">
        <f aca="false">IF(N553&lt;&gt;"Y","",IFERROR(INDEX($D$6:$D$4005,MATCH(B553&amp;"|"&amp;ROUND(_xlfn.MAXIFS($O$6:$O$4005,$B$6:$B$4005,B553,$N$6:$N$4005,"N"),0),$P$6:$P$4005,0)),"(tanpa lawan)"))</f>
        <v/>
      </c>
      <c r="R553" s="44"/>
      <c r="S553" s="9" t="str">
        <f aca="false">IF(N553&lt;&gt;"Y","",IF(R553&lt;&gt;"",R553,IF(Q553="(tanpa lawan)","Transfer antar rekening",IFERROR(INDEX(I_COA!$F$6:$F$265,MATCH(Q553,I_COA!$A$6:$A$265,0)),"?"))))</f>
        <v/>
      </c>
    </row>
    <row r="554" customFormat="false" ht="15" hidden="false" customHeight="false" outlineLevel="0" collapsed="false">
      <c r="A554" s="37" t="n">
        <v>46244</v>
      </c>
      <c r="B554" s="44" t="s">
        <v>1071</v>
      </c>
      <c r="C554" s="44" t="s">
        <v>600</v>
      </c>
      <c r="D554" s="44" t="n">
        <v>1104006</v>
      </c>
      <c r="E554" s="44" t="s">
        <v>212</v>
      </c>
      <c r="F554" s="44" t="s">
        <v>1072</v>
      </c>
      <c r="G554" s="42"/>
      <c r="H554" s="42" t="n">
        <v>39295384.17</v>
      </c>
      <c r="I554" s="44" t="s">
        <v>437</v>
      </c>
      <c r="J554" s="11" t="n">
        <f aca="false">IF(D554="","",N(G554)-N(H554))</f>
        <v>-39295384.17</v>
      </c>
      <c r="K554" s="34" t="str">
        <f aca="false">IF(D554="","",IFERROR(INDEX(I_COA!$C$6:$C$265,MATCH(D554,I_COA!$A$6:$A$265,0)),"AKUN BARU"))</f>
        <v>Neraca</v>
      </c>
      <c r="L554" s="34" t="str">
        <f aca="false">IF(K554="LabaRugi",INDEX(I_COA!$D$6:$D$265,MATCH(D554,I_COA!$A$6:$A$265,0)),"")</f>
        <v/>
      </c>
      <c r="M554" s="34" t="str">
        <f aca="false">IF(K554="Neraca",INDEX(I_COA!$E$6:$E$265,MATCH(D554,I_COA!$A$6:$A$265,0)),"")</f>
        <v>Inventory - Trading</v>
      </c>
      <c r="N554" s="34" t="str">
        <f aca="false">IF(D554="","",IFERROR(INDEX(I_COA!$G$6:$G$265,MATCH(D554,I_COA!$A$6:$A$265,0)),"N"))</f>
        <v>N</v>
      </c>
      <c r="O554" s="11" t="n">
        <f aca="false">IF(N554="N",ABS(J554),"")</f>
        <v>39295384.17</v>
      </c>
      <c r="P554" s="18" t="str">
        <f aca="false">IF(N554="N",B554&amp;"|"&amp;ROUND(O554,0),"")</f>
        <v>KGR26.00237|39295384</v>
      </c>
      <c r="Q554" s="18" t="str">
        <f aca="false">IF(N554&lt;&gt;"Y","",IFERROR(INDEX($D$6:$D$4005,MATCH(B554&amp;"|"&amp;ROUND(_xlfn.MAXIFS($O$6:$O$4005,$B$6:$B$4005,B554,$N$6:$N$4005,"N"),0),$P$6:$P$4005,0)),"(tanpa lawan)"))</f>
        <v/>
      </c>
      <c r="R554" s="44"/>
      <c r="S554" s="9" t="str">
        <f aca="false">IF(N554&lt;&gt;"Y","",IF(R554&lt;&gt;"",R554,IF(Q554="(tanpa lawan)","Transfer antar rekening",IFERROR(INDEX(I_COA!$F$6:$F$265,MATCH(Q554,I_COA!$A$6:$A$265,0)),"?"))))</f>
        <v/>
      </c>
    </row>
    <row r="555" customFormat="false" ht="15" hidden="false" customHeight="false" outlineLevel="0" collapsed="false">
      <c r="A555" s="37" t="n">
        <v>46244</v>
      </c>
      <c r="B555" s="44" t="s">
        <v>1073</v>
      </c>
      <c r="C555" s="44" t="s">
        <v>600</v>
      </c>
      <c r="D555" s="44" t="n">
        <v>1104002</v>
      </c>
      <c r="E555" s="44" t="s">
        <v>601</v>
      </c>
      <c r="F555" s="44" t="s">
        <v>1074</v>
      </c>
      <c r="G555" s="42" t="n">
        <v>19412343.41</v>
      </c>
      <c r="H555" s="42"/>
      <c r="I555" s="44" t="s">
        <v>465</v>
      </c>
      <c r="J555" s="11" t="n">
        <f aca="false">IF(D555="","",N(G555)-N(H555))</f>
        <v>19412343.41</v>
      </c>
      <c r="K555" s="34" t="str">
        <f aca="false">IF(D555="","",IFERROR(INDEX(I_COA!$C$6:$C$265,MATCH(D555,I_COA!$A$6:$A$265,0)),"AKUN BARU"))</f>
        <v>Neraca</v>
      </c>
      <c r="L555" s="34" t="str">
        <f aca="false">IF(K555="LabaRugi",INDEX(I_COA!$D$6:$D$265,MATCH(D555,I_COA!$A$6:$A$265,0)),"")</f>
        <v/>
      </c>
      <c r="M555" s="34" t="str">
        <f aca="false">IF(K555="Neraca",INDEX(I_COA!$E$6:$E$265,MATCH(D555,I_COA!$A$6:$A$265,0)),"")</f>
        <v>Inventory - Product</v>
      </c>
      <c r="N555" s="34" t="str">
        <f aca="false">IF(D555="","",IFERROR(INDEX(I_COA!$G$6:$G$265,MATCH(D555,I_COA!$A$6:$A$265,0)),"N"))</f>
        <v>N</v>
      </c>
      <c r="O555" s="11" t="n">
        <f aca="false">IF(N555="N",ABS(J555),"")</f>
        <v>19412343.41</v>
      </c>
      <c r="P555" s="18" t="str">
        <f aca="false">IF(N555="N",B555&amp;"|"&amp;ROUND(O555,0),"")</f>
        <v>KGR26.00238|19412343</v>
      </c>
      <c r="Q555" s="18" t="str">
        <f aca="false">IF(N555&lt;&gt;"Y","",IFERROR(INDEX($D$6:$D$4005,MATCH(B555&amp;"|"&amp;ROUND(_xlfn.MAXIFS($O$6:$O$4005,$B$6:$B$4005,B555,$N$6:$N$4005,"N"),0),$P$6:$P$4005,0)),"(tanpa lawan)"))</f>
        <v/>
      </c>
      <c r="R555" s="44"/>
      <c r="S555" s="9" t="str">
        <f aca="false">IF(N555&lt;&gt;"Y","",IF(R555&lt;&gt;"",R555,IF(Q555="(tanpa lawan)","Transfer antar rekening",IFERROR(INDEX(I_COA!$F$6:$F$265,MATCH(Q555,I_COA!$A$6:$A$265,0)),"?"))))</f>
        <v/>
      </c>
    </row>
    <row r="556" customFormat="false" ht="15" hidden="false" customHeight="false" outlineLevel="0" collapsed="false">
      <c r="A556" s="37" t="n">
        <v>46244</v>
      </c>
      <c r="B556" s="44" t="s">
        <v>1073</v>
      </c>
      <c r="C556" s="44" t="s">
        <v>600</v>
      </c>
      <c r="D556" s="44" t="n">
        <v>1104006</v>
      </c>
      <c r="E556" s="44" t="s">
        <v>212</v>
      </c>
      <c r="F556" s="44" t="s">
        <v>1074</v>
      </c>
      <c r="G556" s="42"/>
      <c r="H556" s="42" t="n">
        <v>19412343.41</v>
      </c>
      <c r="I556" s="44" t="s">
        <v>465</v>
      </c>
      <c r="J556" s="11" t="n">
        <f aca="false">IF(D556="","",N(G556)-N(H556))</f>
        <v>-19412343.41</v>
      </c>
      <c r="K556" s="34" t="str">
        <f aca="false">IF(D556="","",IFERROR(INDEX(I_COA!$C$6:$C$265,MATCH(D556,I_COA!$A$6:$A$265,0)),"AKUN BARU"))</f>
        <v>Neraca</v>
      </c>
      <c r="L556" s="34" t="str">
        <f aca="false">IF(K556="LabaRugi",INDEX(I_COA!$D$6:$D$265,MATCH(D556,I_COA!$A$6:$A$265,0)),"")</f>
        <v/>
      </c>
      <c r="M556" s="34" t="str">
        <f aca="false">IF(K556="Neraca",INDEX(I_COA!$E$6:$E$265,MATCH(D556,I_COA!$A$6:$A$265,0)),"")</f>
        <v>Inventory - Trading</v>
      </c>
      <c r="N556" s="34" t="str">
        <f aca="false">IF(D556="","",IFERROR(INDEX(I_COA!$G$6:$G$265,MATCH(D556,I_COA!$A$6:$A$265,0)),"N"))</f>
        <v>N</v>
      </c>
      <c r="O556" s="11" t="n">
        <f aca="false">IF(N556="N",ABS(J556),"")</f>
        <v>19412343.41</v>
      </c>
      <c r="P556" s="18" t="str">
        <f aca="false">IF(N556="N",B556&amp;"|"&amp;ROUND(O556,0),"")</f>
        <v>KGR26.00238|19412343</v>
      </c>
      <c r="Q556" s="18" t="str">
        <f aca="false">IF(N556&lt;&gt;"Y","",IFERROR(INDEX($D$6:$D$4005,MATCH(B556&amp;"|"&amp;ROUND(_xlfn.MAXIFS($O$6:$O$4005,$B$6:$B$4005,B556,$N$6:$N$4005,"N"),0),$P$6:$P$4005,0)),"(tanpa lawan)"))</f>
        <v/>
      </c>
      <c r="R556" s="44"/>
      <c r="S556" s="9" t="str">
        <f aca="false">IF(N556&lt;&gt;"Y","",IF(R556&lt;&gt;"",R556,IF(Q556="(tanpa lawan)","Transfer antar rekening",IFERROR(INDEX(I_COA!$F$6:$F$265,MATCH(Q556,I_COA!$A$6:$A$265,0)),"?"))))</f>
        <v/>
      </c>
    </row>
    <row r="557" customFormat="false" ht="15" hidden="false" customHeight="false" outlineLevel="0" collapsed="false">
      <c r="A557" s="37" t="n">
        <v>46244</v>
      </c>
      <c r="B557" s="44" t="s">
        <v>1075</v>
      </c>
      <c r="C557" s="44" t="s">
        <v>600</v>
      </c>
      <c r="D557" s="44" t="n">
        <v>1104002</v>
      </c>
      <c r="E557" s="44" t="s">
        <v>601</v>
      </c>
      <c r="F557" s="44" t="s">
        <v>1076</v>
      </c>
      <c r="G557" s="42" t="n">
        <v>102865993.05</v>
      </c>
      <c r="H557" s="42"/>
      <c r="I557" s="44" t="s">
        <v>592</v>
      </c>
      <c r="J557" s="11" t="n">
        <f aca="false">IF(D557="","",N(G557)-N(H557))</f>
        <v>102865993.05</v>
      </c>
      <c r="K557" s="34" t="str">
        <f aca="false">IF(D557="","",IFERROR(INDEX(I_COA!$C$6:$C$265,MATCH(D557,I_COA!$A$6:$A$265,0)),"AKUN BARU"))</f>
        <v>Neraca</v>
      </c>
      <c r="L557" s="34" t="str">
        <f aca="false">IF(K557="LabaRugi",INDEX(I_COA!$D$6:$D$265,MATCH(D557,I_COA!$A$6:$A$265,0)),"")</f>
        <v/>
      </c>
      <c r="M557" s="34" t="str">
        <f aca="false">IF(K557="Neraca",INDEX(I_COA!$E$6:$E$265,MATCH(D557,I_COA!$A$6:$A$265,0)),"")</f>
        <v>Inventory - Product</v>
      </c>
      <c r="N557" s="34" t="str">
        <f aca="false">IF(D557="","",IFERROR(INDEX(I_COA!$G$6:$G$265,MATCH(D557,I_COA!$A$6:$A$265,0)),"N"))</f>
        <v>N</v>
      </c>
      <c r="O557" s="11" t="n">
        <f aca="false">IF(N557="N",ABS(J557),"")</f>
        <v>102865993.05</v>
      </c>
      <c r="P557" s="18" t="str">
        <f aca="false">IF(N557="N",B557&amp;"|"&amp;ROUND(O557,0),"")</f>
        <v>KGR26.00239|102865993</v>
      </c>
      <c r="Q557" s="18" t="str">
        <f aca="false">IF(N557&lt;&gt;"Y","",IFERROR(INDEX($D$6:$D$4005,MATCH(B557&amp;"|"&amp;ROUND(_xlfn.MAXIFS($O$6:$O$4005,$B$6:$B$4005,B557,$N$6:$N$4005,"N"),0),$P$6:$P$4005,0)),"(tanpa lawan)"))</f>
        <v/>
      </c>
      <c r="R557" s="44"/>
      <c r="S557" s="9" t="str">
        <f aca="false">IF(N557&lt;&gt;"Y","",IF(R557&lt;&gt;"",R557,IF(Q557="(tanpa lawan)","Transfer antar rekening",IFERROR(INDEX(I_COA!$F$6:$F$265,MATCH(Q557,I_COA!$A$6:$A$265,0)),"?"))))</f>
        <v/>
      </c>
    </row>
    <row r="558" customFormat="false" ht="15" hidden="false" customHeight="false" outlineLevel="0" collapsed="false">
      <c r="A558" s="37" t="n">
        <v>46244</v>
      </c>
      <c r="B558" s="44" t="s">
        <v>1075</v>
      </c>
      <c r="C558" s="44" t="s">
        <v>600</v>
      </c>
      <c r="D558" s="44" t="n">
        <v>1104006</v>
      </c>
      <c r="E558" s="44" t="s">
        <v>212</v>
      </c>
      <c r="F558" s="44" t="s">
        <v>1076</v>
      </c>
      <c r="G558" s="42"/>
      <c r="H558" s="42" t="n">
        <v>102865993.05</v>
      </c>
      <c r="I558" s="44" t="s">
        <v>592</v>
      </c>
      <c r="J558" s="11" t="n">
        <f aca="false">IF(D558="","",N(G558)-N(H558))</f>
        <v>-102865993.05</v>
      </c>
      <c r="K558" s="34" t="str">
        <f aca="false">IF(D558="","",IFERROR(INDEX(I_COA!$C$6:$C$265,MATCH(D558,I_COA!$A$6:$A$265,0)),"AKUN BARU"))</f>
        <v>Neraca</v>
      </c>
      <c r="L558" s="34" t="str">
        <f aca="false">IF(K558="LabaRugi",INDEX(I_COA!$D$6:$D$265,MATCH(D558,I_COA!$A$6:$A$265,0)),"")</f>
        <v/>
      </c>
      <c r="M558" s="34" t="str">
        <f aca="false">IF(K558="Neraca",INDEX(I_COA!$E$6:$E$265,MATCH(D558,I_COA!$A$6:$A$265,0)),"")</f>
        <v>Inventory - Trading</v>
      </c>
      <c r="N558" s="34" t="str">
        <f aca="false">IF(D558="","",IFERROR(INDEX(I_COA!$G$6:$G$265,MATCH(D558,I_COA!$A$6:$A$265,0)),"N"))</f>
        <v>N</v>
      </c>
      <c r="O558" s="11" t="n">
        <f aca="false">IF(N558="N",ABS(J558),"")</f>
        <v>102865993.05</v>
      </c>
      <c r="P558" s="18" t="str">
        <f aca="false">IF(N558="N",B558&amp;"|"&amp;ROUND(O558,0),"")</f>
        <v>KGR26.00239|102865993</v>
      </c>
      <c r="Q558" s="18" t="str">
        <f aca="false">IF(N558&lt;&gt;"Y","",IFERROR(INDEX($D$6:$D$4005,MATCH(B558&amp;"|"&amp;ROUND(_xlfn.MAXIFS($O$6:$O$4005,$B$6:$B$4005,B558,$N$6:$N$4005,"N"),0),$P$6:$P$4005,0)),"(tanpa lawan)"))</f>
        <v/>
      </c>
      <c r="R558" s="44"/>
      <c r="S558" s="9" t="str">
        <f aca="false">IF(N558&lt;&gt;"Y","",IF(R558&lt;&gt;"",R558,IF(Q558="(tanpa lawan)","Transfer antar rekening",IFERROR(INDEX(I_COA!$F$6:$F$265,MATCH(Q558,I_COA!$A$6:$A$265,0)),"?"))))</f>
        <v/>
      </c>
    </row>
    <row r="559" customFormat="false" ht="15" hidden="false" customHeight="false" outlineLevel="0" collapsed="false">
      <c r="A559" s="37" t="n">
        <v>46244</v>
      </c>
      <c r="B559" s="44" t="s">
        <v>1077</v>
      </c>
      <c r="C559" s="44" t="s">
        <v>600</v>
      </c>
      <c r="D559" s="44" t="n">
        <v>1104002</v>
      </c>
      <c r="E559" s="44" t="s">
        <v>601</v>
      </c>
      <c r="F559" s="44" t="s">
        <v>1078</v>
      </c>
      <c r="G559" s="42" t="n">
        <v>89338638.45</v>
      </c>
      <c r="H559" s="42"/>
      <c r="I559" s="44" t="s">
        <v>774</v>
      </c>
      <c r="J559" s="11" t="n">
        <f aca="false">IF(D559="","",N(G559)-N(H559))</f>
        <v>89338638.45</v>
      </c>
      <c r="K559" s="34" t="str">
        <f aca="false">IF(D559="","",IFERROR(INDEX(I_COA!$C$6:$C$265,MATCH(D559,I_COA!$A$6:$A$265,0)),"AKUN BARU"))</f>
        <v>Neraca</v>
      </c>
      <c r="L559" s="34" t="str">
        <f aca="false">IF(K559="LabaRugi",INDEX(I_COA!$D$6:$D$265,MATCH(D559,I_COA!$A$6:$A$265,0)),"")</f>
        <v/>
      </c>
      <c r="M559" s="34" t="str">
        <f aca="false">IF(K559="Neraca",INDEX(I_COA!$E$6:$E$265,MATCH(D559,I_COA!$A$6:$A$265,0)),"")</f>
        <v>Inventory - Product</v>
      </c>
      <c r="N559" s="34" t="str">
        <f aca="false">IF(D559="","",IFERROR(INDEX(I_COA!$G$6:$G$265,MATCH(D559,I_COA!$A$6:$A$265,0)),"N"))</f>
        <v>N</v>
      </c>
      <c r="O559" s="11" t="n">
        <f aca="false">IF(N559="N",ABS(J559),"")</f>
        <v>89338638.45</v>
      </c>
      <c r="P559" s="18" t="str">
        <f aca="false">IF(N559="N",B559&amp;"|"&amp;ROUND(O559,0),"")</f>
        <v>KGR26.00240|89338638</v>
      </c>
      <c r="Q559" s="18" t="str">
        <f aca="false">IF(N559&lt;&gt;"Y","",IFERROR(INDEX($D$6:$D$4005,MATCH(B559&amp;"|"&amp;ROUND(_xlfn.MAXIFS($O$6:$O$4005,$B$6:$B$4005,B559,$N$6:$N$4005,"N"),0),$P$6:$P$4005,0)),"(tanpa lawan)"))</f>
        <v/>
      </c>
      <c r="R559" s="44"/>
      <c r="S559" s="9" t="str">
        <f aca="false">IF(N559&lt;&gt;"Y","",IF(R559&lt;&gt;"",R559,IF(Q559="(tanpa lawan)","Transfer antar rekening",IFERROR(INDEX(I_COA!$F$6:$F$265,MATCH(Q559,I_COA!$A$6:$A$265,0)),"?"))))</f>
        <v/>
      </c>
    </row>
    <row r="560" customFormat="false" ht="15" hidden="false" customHeight="false" outlineLevel="0" collapsed="false">
      <c r="A560" s="37" t="n">
        <v>46244</v>
      </c>
      <c r="B560" s="44" t="s">
        <v>1077</v>
      </c>
      <c r="C560" s="44" t="s">
        <v>600</v>
      </c>
      <c r="D560" s="44" t="n">
        <v>1104006</v>
      </c>
      <c r="E560" s="44" t="s">
        <v>212</v>
      </c>
      <c r="F560" s="44" t="s">
        <v>1078</v>
      </c>
      <c r="G560" s="42"/>
      <c r="H560" s="42" t="n">
        <v>89338638.45</v>
      </c>
      <c r="I560" s="44" t="s">
        <v>774</v>
      </c>
      <c r="J560" s="11" t="n">
        <f aca="false">IF(D560="","",N(G560)-N(H560))</f>
        <v>-89338638.45</v>
      </c>
      <c r="K560" s="34" t="str">
        <f aca="false">IF(D560="","",IFERROR(INDEX(I_COA!$C$6:$C$265,MATCH(D560,I_COA!$A$6:$A$265,0)),"AKUN BARU"))</f>
        <v>Neraca</v>
      </c>
      <c r="L560" s="34" t="str">
        <f aca="false">IF(K560="LabaRugi",INDEX(I_COA!$D$6:$D$265,MATCH(D560,I_COA!$A$6:$A$265,0)),"")</f>
        <v/>
      </c>
      <c r="M560" s="34" t="str">
        <f aca="false">IF(K560="Neraca",INDEX(I_COA!$E$6:$E$265,MATCH(D560,I_COA!$A$6:$A$265,0)),"")</f>
        <v>Inventory - Trading</v>
      </c>
      <c r="N560" s="34" t="str">
        <f aca="false">IF(D560="","",IFERROR(INDEX(I_COA!$G$6:$G$265,MATCH(D560,I_COA!$A$6:$A$265,0)),"N"))</f>
        <v>N</v>
      </c>
      <c r="O560" s="11" t="n">
        <f aca="false">IF(N560="N",ABS(J560),"")</f>
        <v>89338638.45</v>
      </c>
      <c r="P560" s="18" t="str">
        <f aca="false">IF(N560="N",B560&amp;"|"&amp;ROUND(O560,0),"")</f>
        <v>KGR26.00240|89338638</v>
      </c>
      <c r="Q560" s="18" t="str">
        <f aca="false">IF(N560&lt;&gt;"Y","",IFERROR(INDEX($D$6:$D$4005,MATCH(B560&amp;"|"&amp;ROUND(_xlfn.MAXIFS($O$6:$O$4005,$B$6:$B$4005,B560,$N$6:$N$4005,"N"),0),$P$6:$P$4005,0)),"(tanpa lawan)"))</f>
        <v/>
      </c>
      <c r="R560" s="44"/>
      <c r="S560" s="9" t="str">
        <f aca="false">IF(N560&lt;&gt;"Y","",IF(R560&lt;&gt;"",R560,IF(Q560="(tanpa lawan)","Transfer antar rekening",IFERROR(INDEX(I_COA!$F$6:$F$265,MATCH(Q560,I_COA!$A$6:$A$265,0)),"?"))))</f>
        <v/>
      </c>
    </row>
    <row r="561" customFormat="false" ht="15" hidden="false" customHeight="false" outlineLevel="0" collapsed="false">
      <c r="A561" s="37" t="n">
        <v>46244</v>
      </c>
      <c r="B561" s="44" t="s">
        <v>1079</v>
      </c>
      <c r="C561" s="44" t="s">
        <v>600</v>
      </c>
      <c r="D561" s="44" t="n">
        <v>1104002</v>
      </c>
      <c r="E561" s="44" t="s">
        <v>601</v>
      </c>
      <c r="F561" s="44" t="s">
        <v>1080</v>
      </c>
      <c r="G561" s="42" t="n">
        <v>86328135.6</v>
      </c>
      <c r="H561" s="42"/>
      <c r="I561" s="44" t="s">
        <v>437</v>
      </c>
      <c r="J561" s="11" t="n">
        <f aca="false">IF(D561="","",N(G561)-N(H561))</f>
        <v>86328135.6</v>
      </c>
      <c r="K561" s="34" t="str">
        <f aca="false">IF(D561="","",IFERROR(INDEX(I_COA!$C$6:$C$265,MATCH(D561,I_COA!$A$6:$A$265,0)),"AKUN BARU"))</f>
        <v>Neraca</v>
      </c>
      <c r="L561" s="34" t="str">
        <f aca="false">IF(K561="LabaRugi",INDEX(I_COA!$D$6:$D$265,MATCH(D561,I_COA!$A$6:$A$265,0)),"")</f>
        <v/>
      </c>
      <c r="M561" s="34" t="str">
        <f aca="false">IF(K561="Neraca",INDEX(I_COA!$E$6:$E$265,MATCH(D561,I_COA!$A$6:$A$265,0)),"")</f>
        <v>Inventory - Product</v>
      </c>
      <c r="N561" s="34" t="str">
        <f aca="false">IF(D561="","",IFERROR(INDEX(I_COA!$G$6:$G$265,MATCH(D561,I_COA!$A$6:$A$265,0)),"N"))</f>
        <v>N</v>
      </c>
      <c r="O561" s="11" t="n">
        <f aca="false">IF(N561="N",ABS(J561),"")</f>
        <v>86328135.6</v>
      </c>
      <c r="P561" s="18" t="str">
        <f aca="false">IF(N561="N",B561&amp;"|"&amp;ROUND(O561,0),"")</f>
        <v>KGR26.00241|86328136</v>
      </c>
      <c r="Q561" s="18" t="str">
        <f aca="false">IF(N561&lt;&gt;"Y","",IFERROR(INDEX($D$6:$D$4005,MATCH(B561&amp;"|"&amp;ROUND(_xlfn.MAXIFS($O$6:$O$4005,$B$6:$B$4005,B561,$N$6:$N$4005,"N"),0),$P$6:$P$4005,0)),"(tanpa lawan)"))</f>
        <v/>
      </c>
      <c r="R561" s="44"/>
      <c r="S561" s="9" t="str">
        <f aca="false">IF(N561&lt;&gt;"Y","",IF(R561&lt;&gt;"",R561,IF(Q561="(tanpa lawan)","Transfer antar rekening",IFERROR(INDEX(I_COA!$F$6:$F$265,MATCH(Q561,I_COA!$A$6:$A$265,0)),"?"))))</f>
        <v/>
      </c>
    </row>
    <row r="562" customFormat="false" ht="15" hidden="false" customHeight="false" outlineLevel="0" collapsed="false">
      <c r="A562" s="37" t="n">
        <v>46244</v>
      </c>
      <c r="B562" s="44" t="s">
        <v>1079</v>
      </c>
      <c r="C562" s="44" t="s">
        <v>600</v>
      </c>
      <c r="D562" s="44" t="n">
        <v>1104006</v>
      </c>
      <c r="E562" s="44" t="s">
        <v>212</v>
      </c>
      <c r="F562" s="44" t="s">
        <v>1080</v>
      </c>
      <c r="G562" s="42"/>
      <c r="H562" s="42" t="n">
        <v>86328135.6</v>
      </c>
      <c r="I562" s="44" t="s">
        <v>437</v>
      </c>
      <c r="J562" s="11" t="n">
        <f aca="false">IF(D562="","",N(G562)-N(H562))</f>
        <v>-86328135.6</v>
      </c>
      <c r="K562" s="34" t="str">
        <f aca="false">IF(D562="","",IFERROR(INDEX(I_COA!$C$6:$C$265,MATCH(D562,I_COA!$A$6:$A$265,0)),"AKUN BARU"))</f>
        <v>Neraca</v>
      </c>
      <c r="L562" s="34" t="str">
        <f aca="false">IF(K562="LabaRugi",INDEX(I_COA!$D$6:$D$265,MATCH(D562,I_COA!$A$6:$A$265,0)),"")</f>
        <v/>
      </c>
      <c r="M562" s="34" t="str">
        <f aca="false">IF(K562="Neraca",INDEX(I_COA!$E$6:$E$265,MATCH(D562,I_COA!$A$6:$A$265,0)),"")</f>
        <v>Inventory - Trading</v>
      </c>
      <c r="N562" s="34" t="str">
        <f aca="false">IF(D562="","",IFERROR(INDEX(I_COA!$G$6:$G$265,MATCH(D562,I_COA!$A$6:$A$265,0)),"N"))</f>
        <v>N</v>
      </c>
      <c r="O562" s="11" t="n">
        <f aca="false">IF(N562="N",ABS(J562),"")</f>
        <v>86328135.6</v>
      </c>
      <c r="P562" s="18" t="str">
        <f aca="false">IF(N562="N",B562&amp;"|"&amp;ROUND(O562,0),"")</f>
        <v>KGR26.00241|86328136</v>
      </c>
      <c r="Q562" s="18" t="str">
        <f aca="false">IF(N562&lt;&gt;"Y","",IFERROR(INDEX($D$6:$D$4005,MATCH(B562&amp;"|"&amp;ROUND(_xlfn.MAXIFS($O$6:$O$4005,$B$6:$B$4005,B562,$N$6:$N$4005,"N"),0),$P$6:$P$4005,0)),"(tanpa lawan)"))</f>
        <v/>
      </c>
      <c r="R562" s="44"/>
      <c r="S562" s="9" t="str">
        <f aca="false">IF(N562&lt;&gt;"Y","",IF(R562&lt;&gt;"",R562,IF(Q562="(tanpa lawan)","Transfer antar rekening",IFERROR(INDEX(I_COA!$F$6:$F$265,MATCH(Q562,I_COA!$A$6:$A$265,0)),"?"))))</f>
        <v/>
      </c>
    </row>
    <row r="563" customFormat="false" ht="15" hidden="false" customHeight="false" outlineLevel="0" collapsed="false">
      <c r="A563" s="37" t="n">
        <v>46244</v>
      </c>
      <c r="B563" s="44" t="s">
        <v>1081</v>
      </c>
      <c r="C563" s="44" t="s">
        <v>600</v>
      </c>
      <c r="D563" s="44" t="n">
        <v>1104002</v>
      </c>
      <c r="E563" s="44" t="s">
        <v>601</v>
      </c>
      <c r="F563" s="44" t="s">
        <v>1082</v>
      </c>
      <c r="G563" s="42" t="n">
        <v>88058427.63</v>
      </c>
      <c r="H563" s="42"/>
      <c r="I563" s="44" t="s">
        <v>437</v>
      </c>
      <c r="J563" s="11" t="n">
        <f aca="false">IF(D563="","",N(G563)-N(H563))</f>
        <v>88058427.63</v>
      </c>
      <c r="K563" s="34" t="str">
        <f aca="false">IF(D563="","",IFERROR(INDEX(I_COA!$C$6:$C$265,MATCH(D563,I_COA!$A$6:$A$265,0)),"AKUN BARU"))</f>
        <v>Neraca</v>
      </c>
      <c r="L563" s="34" t="str">
        <f aca="false">IF(K563="LabaRugi",INDEX(I_COA!$D$6:$D$265,MATCH(D563,I_COA!$A$6:$A$265,0)),"")</f>
        <v/>
      </c>
      <c r="M563" s="34" t="str">
        <f aca="false">IF(K563="Neraca",INDEX(I_COA!$E$6:$E$265,MATCH(D563,I_COA!$A$6:$A$265,0)),"")</f>
        <v>Inventory - Product</v>
      </c>
      <c r="N563" s="34" t="str">
        <f aca="false">IF(D563="","",IFERROR(INDEX(I_COA!$G$6:$G$265,MATCH(D563,I_COA!$A$6:$A$265,0)),"N"))</f>
        <v>N</v>
      </c>
      <c r="O563" s="11" t="n">
        <f aca="false">IF(N563="N",ABS(J563),"")</f>
        <v>88058427.63</v>
      </c>
      <c r="P563" s="18" t="str">
        <f aca="false">IF(N563="N",B563&amp;"|"&amp;ROUND(O563,0),"")</f>
        <v>KGR26.00242|88058428</v>
      </c>
      <c r="Q563" s="18" t="str">
        <f aca="false">IF(N563&lt;&gt;"Y","",IFERROR(INDEX($D$6:$D$4005,MATCH(B563&amp;"|"&amp;ROUND(_xlfn.MAXIFS($O$6:$O$4005,$B$6:$B$4005,B563,$N$6:$N$4005,"N"),0),$P$6:$P$4005,0)),"(tanpa lawan)"))</f>
        <v/>
      </c>
      <c r="R563" s="44"/>
      <c r="S563" s="9" t="str">
        <f aca="false">IF(N563&lt;&gt;"Y","",IF(R563&lt;&gt;"",R563,IF(Q563="(tanpa lawan)","Transfer antar rekening",IFERROR(INDEX(I_COA!$F$6:$F$265,MATCH(Q563,I_COA!$A$6:$A$265,0)),"?"))))</f>
        <v/>
      </c>
    </row>
    <row r="564" customFormat="false" ht="15" hidden="false" customHeight="false" outlineLevel="0" collapsed="false">
      <c r="A564" s="37" t="n">
        <v>46244</v>
      </c>
      <c r="B564" s="44" t="s">
        <v>1081</v>
      </c>
      <c r="C564" s="44" t="s">
        <v>600</v>
      </c>
      <c r="D564" s="44" t="n">
        <v>1104006</v>
      </c>
      <c r="E564" s="44" t="s">
        <v>212</v>
      </c>
      <c r="F564" s="44" t="s">
        <v>1082</v>
      </c>
      <c r="G564" s="42"/>
      <c r="H564" s="42" t="n">
        <v>88058427.63</v>
      </c>
      <c r="I564" s="44" t="s">
        <v>437</v>
      </c>
      <c r="J564" s="11" t="n">
        <f aca="false">IF(D564="","",N(G564)-N(H564))</f>
        <v>-88058427.63</v>
      </c>
      <c r="K564" s="34" t="str">
        <f aca="false">IF(D564="","",IFERROR(INDEX(I_COA!$C$6:$C$265,MATCH(D564,I_COA!$A$6:$A$265,0)),"AKUN BARU"))</f>
        <v>Neraca</v>
      </c>
      <c r="L564" s="34" t="str">
        <f aca="false">IF(K564="LabaRugi",INDEX(I_COA!$D$6:$D$265,MATCH(D564,I_COA!$A$6:$A$265,0)),"")</f>
        <v/>
      </c>
      <c r="M564" s="34" t="str">
        <f aca="false">IF(K564="Neraca",INDEX(I_COA!$E$6:$E$265,MATCH(D564,I_COA!$A$6:$A$265,0)),"")</f>
        <v>Inventory - Trading</v>
      </c>
      <c r="N564" s="34" t="str">
        <f aca="false">IF(D564="","",IFERROR(INDEX(I_COA!$G$6:$G$265,MATCH(D564,I_COA!$A$6:$A$265,0)),"N"))</f>
        <v>N</v>
      </c>
      <c r="O564" s="11" t="n">
        <f aca="false">IF(N564="N",ABS(J564),"")</f>
        <v>88058427.63</v>
      </c>
      <c r="P564" s="18" t="str">
        <f aca="false">IF(N564="N",B564&amp;"|"&amp;ROUND(O564,0),"")</f>
        <v>KGR26.00242|88058428</v>
      </c>
      <c r="Q564" s="18" t="str">
        <f aca="false">IF(N564&lt;&gt;"Y","",IFERROR(INDEX($D$6:$D$4005,MATCH(B564&amp;"|"&amp;ROUND(_xlfn.MAXIFS($O$6:$O$4005,$B$6:$B$4005,B564,$N$6:$N$4005,"N"),0),$P$6:$P$4005,0)),"(tanpa lawan)"))</f>
        <v/>
      </c>
      <c r="R564" s="44"/>
      <c r="S564" s="9" t="str">
        <f aca="false">IF(N564&lt;&gt;"Y","",IF(R564&lt;&gt;"",R564,IF(Q564="(tanpa lawan)","Transfer antar rekening",IFERROR(INDEX(I_COA!$F$6:$F$265,MATCH(Q564,I_COA!$A$6:$A$265,0)),"?"))))</f>
        <v/>
      </c>
    </row>
    <row r="565" customFormat="false" ht="15" hidden="false" customHeight="false" outlineLevel="0" collapsed="false">
      <c r="A565" s="37" t="n">
        <v>46244</v>
      </c>
      <c r="B565" s="44" t="s">
        <v>1083</v>
      </c>
      <c r="C565" s="44" t="s">
        <v>617</v>
      </c>
      <c r="D565" s="44" t="n">
        <v>1103101</v>
      </c>
      <c r="E565" s="44" t="s">
        <v>589</v>
      </c>
      <c r="F565" s="44" t="s">
        <v>1084</v>
      </c>
      <c r="G565" s="42" t="n">
        <v>12460775</v>
      </c>
      <c r="H565" s="42"/>
      <c r="I565" s="44" t="s">
        <v>429</v>
      </c>
      <c r="J565" s="11" t="n">
        <f aca="false">IF(D565="","",N(G565)-N(H565))</f>
        <v>12460775</v>
      </c>
      <c r="K565" s="34" t="str">
        <f aca="false">IF(D565="","",IFERROR(INDEX(I_COA!$C$6:$C$265,MATCH(D565,I_COA!$A$6:$A$265,0)),"AKUN BARU"))</f>
        <v>Neraca</v>
      </c>
      <c r="L565" s="34" t="str">
        <f aca="false">IF(K565="LabaRugi",INDEX(I_COA!$D$6:$D$265,MATCH(D565,I_COA!$A$6:$A$265,0)),"")</f>
        <v/>
      </c>
      <c r="M565" s="34" t="str">
        <f aca="false">IF(K565="Neraca",INDEX(I_COA!$E$6:$E$265,MATCH(D565,I_COA!$A$6:$A$265,0)),"")</f>
        <v>Trade Receivables - Third Parties</v>
      </c>
      <c r="N565" s="34" t="str">
        <f aca="false">IF(D565="","",IFERROR(INDEX(I_COA!$G$6:$G$265,MATCH(D565,I_COA!$A$6:$A$265,0)),"N"))</f>
        <v>N</v>
      </c>
      <c r="O565" s="11" t="n">
        <f aca="false">IF(N565="N",ABS(J565),"")</f>
        <v>12460775</v>
      </c>
      <c r="P565" s="18" t="str">
        <f aca="false">IF(N565="N",B565&amp;"|"&amp;ROUND(O565,0),"")</f>
        <v>KGR26/0231|12460775</v>
      </c>
      <c r="Q565" s="18" t="str">
        <f aca="false">IF(N565&lt;&gt;"Y","",IFERROR(INDEX($D$6:$D$4005,MATCH(B565&amp;"|"&amp;ROUND(_xlfn.MAXIFS($O$6:$O$4005,$B$6:$B$4005,B565,$N$6:$N$4005,"N"),0),$P$6:$P$4005,0)),"(tanpa lawan)"))</f>
        <v/>
      </c>
      <c r="R565" s="44"/>
      <c r="S565" s="9" t="str">
        <f aca="false">IF(N565&lt;&gt;"Y","",IF(R565&lt;&gt;"",R565,IF(Q565="(tanpa lawan)","Transfer antar rekening",IFERROR(INDEX(I_COA!$F$6:$F$265,MATCH(Q565,I_COA!$A$6:$A$265,0)),"?"))))</f>
        <v/>
      </c>
    </row>
    <row r="566" customFormat="false" ht="15" hidden="false" customHeight="false" outlineLevel="0" collapsed="false">
      <c r="A566" s="37" t="n">
        <v>46244</v>
      </c>
      <c r="B566" s="44" t="s">
        <v>1083</v>
      </c>
      <c r="C566" s="44" t="s">
        <v>617</v>
      </c>
      <c r="D566" s="44" t="n">
        <v>4101006</v>
      </c>
      <c r="E566" s="44" t="s">
        <v>626</v>
      </c>
      <c r="F566" s="44" t="s">
        <v>1084</v>
      </c>
      <c r="G566" s="42"/>
      <c r="H566" s="42" t="n">
        <v>7858325</v>
      </c>
      <c r="I566" s="44" t="s">
        <v>429</v>
      </c>
      <c r="J566" s="11" t="n">
        <f aca="false">IF(D566="","",N(G566)-N(H566))</f>
        <v>-7858325</v>
      </c>
      <c r="K566" s="34" t="str">
        <f aca="false">IF(D566="","",IFERROR(INDEX(I_COA!$C$6:$C$265,MATCH(D566,I_COA!$A$6:$A$265,0)),"AKUN BARU"))</f>
        <v>LabaRugi</v>
      </c>
      <c r="L566" s="34" t="str">
        <f aca="false">IF(K566="LabaRugi",INDEX(I_COA!$D$6:$D$265,MATCH(D566,I_COA!$A$6:$A$265,0)),"")</f>
        <v>Revenue - LB Main Product</v>
      </c>
      <c r="M566" s="34" t="str">
        <f aca="false">IF(K566="Neraca",INDEX(I_COA!$E$6:$E$265,MATCH(D566,I_COA!$A$6:$A$265,0)),"")</f>
        <v/>
      </c>
      <c r="N566" s="34" t="str">
        <f aca="false">IF(D566="","",IFERROR(INDEX(I_COA!$G$6:$G$265,MATCH(D566,I_COA!$A$6:$A$265,0)),"N"))</f>
        <v>N</v>
      </c>
      <c r="O566" s="11" t="n">
        <f aca="false">IF(N566="N",ABS(J566),"")</f>
        <v>7858325</v>
      </c>
      <c r="P566" s="18" t="str">
        <f aca="false">IF(N566="N",B566&amp;"|"&amp;ROUND(O566,0),"")</f>
        <v>KGR26/0231|7858325</v>
      </c>
      <c r="Q566" s="18" t="str">
        <f aca="false">IF(N566&lt;&gt;"Y","",IFERROR(INDEX($D$6:$D$4005,MATCH(B566&amp;"|"&amp;ROUND(_xlfn.MAXIFS($O$6:$O$4005,$B$6:$B$4005,B566,$N$6:$N$4005,"N"),0),$P$6:$P$4005,0)),"(tanpa lawan)"))</f>
        <v/>
      </c>
      <c r="R566" s="44"/>
      <c r="S566" s="9" t="str">
        <f aca="false">IF(N566&lt;&gt;"Y","",IF(R566&lt;&gt;"",R566,IF(Q566="(tanpa lawan)","Transfer antar rekening",IFERROR(INDEX(I_COA!$F$6:$F$265,MATCH(Q566,I_COA!$A$6:$A$265,0)),"?"))))</f>
        <v/>
      </c>
    </row>
    <row r="567" customFormat="false" ht="15" hidden="false" customHeight="false" outlineLevel="0" collapsed="false">
      <c r="A567" s="37" t="n">
        <v>46244</v>
      </c>
      <c r="B567" s="44" t="s">
        <v>1083</v>
      </c>
      <c r="C567" s="44" t="s">
        <v>617</v>
      </c>
      <c r="D567" s="44" t="n">
        <v>5100004</v>
      </c>
      <c r="E567" s="44" t="s">
        <v>627</v>
      </c>
      <c r="F567" s="44" t="s">
        <v>1084</v>
      </c>
      <c r="G567" s="42" t="n">
        <v>9581448.61</v>
      </c>
      <c r="H567" s="42"/>
      <c r="I567" s="44" t="s">
        <v>429</v>
      </c>
      <c r="J567" s="11" t="n">
        <f aca="false">IF(D567="","",N(G567)-N(H567))</f>
        <v>9581448.61</v>
      </c>
      <c r="K567" s="34" t="str">
        <f aca="false">IF(D567="","",IFERROR(INDEX(I_COA!$C$6:$C$265,MATCH(D567,I_COA!$A$6:$A$265,0)),"AKUN BARU"))</f>
        <v>LabaRugi</v>
      </c>
      <c r="L567" s="34" t="str">
        <f aca="false">IF(K567="LabaRugi",INDEX(I_COA!$D$6:$D$265,MATCH(D567,I_COA!$A$6:$A$265,0)),"")</f>
        <v>COGS - Live Bird</v>
      </c>
      <c r="M567" s="34" t="str">
        <f aca="false">IF(K567="Neraca",INDEX(I_COA!$E$6:$E$265,MATCH(D567,I_COA!$A$6:$A$265,0)),"")</f>
        <v/>
      </c>
      <c r="N567" s="34" t="str">
        <f aca="false">IF(D567="","",IFERROR(INDEX(I_COA!$G$6:$G$265,MATCH(D567,I_COA!$A$6:$A$265,0)),"N"))</f>
        <v>N</v>
      </c>
      <c r="O567" s="11" t="n">
        <f aca="false">IF(N567="N",ABS(J567),"")</f>
        <v>9581448.61</v>
      </c>
      <c r="P567" s="18" t="str">
        <f aca="false">IF(N567="N",B567&amp;"|"&amp;ROUND(O567,0),"")</f>
        <v>KGR26/0231|9581449</v>
      </c>
      <c r="Q567" s="18" t="str">
        <f aca="false">IF(N567&lt;&gt;"Y","",IFERROR(INDEX($D$6:$D$4005,MATCH(B567&amp;"|"&amp;ROUND(_xlfn.MAXIFS($O$6:$O$4005,$B$6:$B$4005,B567,$N$6:$N$4005,"N"),0),$P$6:$P$4005,0)),"(tanpa lawan)"))</f>
        <v/>
      </c>
      <c r="R567" s="44"/>
      <c r="S567" s="9" t="str">
        <f aca="false">IF(N567&lt;&gt;"Y","",IF(R567&lt;&gt;"",R567,IF(Q567="(tanpa lawan)","Transfer antar rekening",IFERROR(INDEX(I_COA!$F$6:$F$265,MATCH(Q567,I_COA!$A$6:$A$265,0)),"?"))))</f>
        <v/>
      </c>
    </row>
    <row r="568" customFormat="false" ht="15" hidden="false" customHeight="false" outlineLevel="0" collapsed="false">
      <c r="A568" s="37" t="n">
        <v>46244</v>
      </c>
      <c r="B568" s="44" t="s">
        <v>1083</v>
      </c>
      <c r="C568" s="44" t="s">
        <v>617</v>
      </c>
      <c r="D568" s="44" t="n">
        <v>1104002</v>
      </c>
      <c r="E568" s="44" t="s">
        <v>601</v>
      </c>
      <c r="F568" s="44" t="s">
        <v>1084</v>
      </c>
      <c r="G568" s="42"/>
      <c r="H568" s="42" t="n">
        <v>13114656.94</v>
      </c>
      <c r="I568" s="44" t="s">
        <v>429</v>
      </c>
      <c r="J568" s="11" t="n">
        <f aca="false">IF(D568="","",N(G568)-N(H568))</f>
        <v>-13114656.94</v>
      </c>
      <c r="K568" s="34" t="str">
        <f aca="false">IF(D568="","",IFERROR(INDEX(I_COA!$C$6:$C$265,MATCH(D568,I_COA!$A$6:$A$265,0)),"AKUN BARU"))</f>
        <v>Neraca</v>
      </c>
      <c r="L568" s="34" t="str">
        <f aca="false">IF(K568="LabaRugi",INDEX(I_COA!$D$6:$D$265,MATCH(D568,I_COA!$A$6:$A$265,0)),"")</f>
        <v/>
      </c>
      <c r="M568" s="34" t="str">
        <f aca="false">IF(K568="Neraca",INDEX(I_COA!$E$6:$E$265,MATCH(D568,I_COA!$A$6:$A$265,0)),"")</f>
        <v>Inventory - Product</v>
      </c>
      <c r="N568" s="34" t="str">
        <f aca="false">IF(D568="","",IFERROR(INDEX(I_COA!$G$6:$G$265,MATCH(D568,I_COA!$A$6:$A$265,0)),"N"))</f>
        <v>N</v>
      </c>
      <c r="O568" s="11" t="n">
        <f aca="false">IF(N568="N",ABS(J568),"")</f>
        <v>13114656.94</v>
      </c>
      <c r="P568" s="18" t="str">
        <f aca="false">IF(N568="N",B568&amp;"|"&amp;ROUND(O568,0),"")</f>
        <v>KGR26/0231|13114657</v>
      </c>
      <c r="Q568" s="18" t="str">
        <f aca="false">IF(N568&lt;&gt;"Y","",IFERROR(INDEX($D$6:$D$4005,MATCH(B568&amp;"|"&amp;ROUND(_xlfn.MAXIFS($O$6:$O$4005,$B$6:$B$4005,B568,$N$6:$N$4005,"N"),0),$P$6:$P$4005,0)),"(tanpa lawan)"))</f>
        <v/>
      </c>
      <c r="R568" s="44"/>
      <c r="S568" s="9" t="str">
        <f aca="false">IF(N568&lt;&gt;"Y","",IF(R568&lt;&gt;"",R568,IF(Q568="(tanpa lawan)","Transfer antar rekening",IFERROR(INDEX(I_COA!$F$6:$F$265,MATCH(Q568,I_COA!$A$6:$A$265,0)),"?"))))</f>
        <v/>
      </c>
    </row>
    <row r="569" customFormat="false" ht="15" hidden="false" customHeight="false" outlineLevel="0" collapsed="false">
      <c r="A569" s="37" t="n">
        <v>46244</v>
      </c>
      <c r="B569" s="44" t="s">
        <v>1083</v>
      </c>
      <c r="C569" s="44" t="s">
        <v>617</v>
      </c>
      <c r="D569" s="44" t="n">
        <v>4101012</v>
      </c>
      <c r="E569" s="44" t="s">
        <v>619</v>
      </c>
      <c r="F569" s="44" t="s">
        <v>1084</v>
      </c>
      <c r="G569" s="42"/>
      <c r="H569" s="42" t="n">
        <v>4602450</v>
      </c>
      <c r="I569" s="44" t="s">
        <v>429</v>
      </c>
      <c r="J569" s="11" t="n">
        <f aca="false">IF(D569="","",N(G569)-N(H569))</f>
        <v>-4602450</v>
      </c>
      <c r="K569" s="34" t="str">
        <f aca="false">IF(D569="","",IFERROR(INDEX(I_COA!$C$6:$C$265,MATCH(D569,I_COA!$A$6:$A$265,0)),"AKUN BARU"))</f>
        <v>LabaRugi</v>
      </c>
      <c r="L569" s="34" t="str">
        <f aca="false">IF(K569="LabaRugi",INDEX(I_COA!$D$6:$D$265,MATCH(D569,I_COA!$A$6:$A$265,0)),"")</f>
        <v>Revenue - Trading</v>
      </c>
      <c r="M569" s="34" t="str">
        <f aca="false">IF(K569="Neraca",INDEX(I_COA!$E$6:$E$265,MATCH(D569,I_COA!$A$6:$A$265,0)),"")</f>
        <v/>
      </c>
      <c r="N569" s="34" t="str">
        <f aca="false">IF(D569="","",IFERROR(INDEX(I_COA!$G$6:$G$265,MATCH(D569,I_COA!$A$6:$A$265,0)),"N"))</f>
        <v>N</v>
      </c>
      <c r="O569" s="11" t="n">
        <f aca="false">IF(N569="N",ABS(J569),"")</f>
        <v>4602450</v>
      </c>
      <c r="P569" s="18" t="str">
        <f aca="false">IF(N569="N",B569&amp;"|"&amp;ROUND(O569,0),"")</f>
        <v>KGR26/0231|4602450</v>
      </c>
      <c r="Q569" s="18" t="str">
        <f aca="false">IF(N569&lt;&gt;"Y","",IFERROR(INDEX($D$6:$D$4005,MATCH(B569&amp;"|"&amp;ROUND(_xlfn.MAXIFS($O$6:$O$4005,$B$6:$B$4005,B569,$N$6:$N$4005,"N"),0),$P$6:$P$4005,0)),"(tanpa lawan)"))</f>
        <v/>
      </c>
      <c r="R569" s="44"/>
      <c r="S569" s="9" t="str">
        <f aca="false">IF(N569&lt;&gt;"Y","",IF(R569&lt;&gt;"",R569,IF(Q569="(tanpa lawan)","Transfer antar rekening",IFERROR(INDEX(I_COA!$F$6:$F$265,MATCH(Q569,I_COA!$A$6:$A$265,0)),"?"))))</f>
        <v/>
      </c>
    </row>
    <row r="570" customFormat="false" ht="15" hidden="false" customHeight="false" outlineLevel="0" collapsed="false">
      <c r="A570" s="37" t="n">
        <v>46244</v>
      </c>
      <c r="B570" s="44" t="s">
        <v>1083</v>
      </c>
      <c r="C570" s="44" t="s">
        <v>617</v>
      </c>
      <c r="D570" s="44" t="n">
        <v>5100011</v>
      </c>
      <c r="E570" s="44" t="s">
        <v>166</v>
      </c>
      <c r="F570" s="44" t="s">
        <v>1084</v>
      </c>
      <c r="G570" s="42" t="n">
        <v>3533208.33</v>
      </c>
      <c r="H570" s="42"/>
      <c r="I570" s="44" t="s">
        <v>429</v>
      </c>
      <c r="J570" s="11" t="n">
        <f aca="false">IF(D570="","",N(G570)-N(H570))</f>
        <v>3533208.33</v>
      </c>
      <c r="K570" s="34" t="str">
        <f aca="false">IF(D570="","",IFERROR(INDEX(I_COA!$C$6:$C$265,MATCH(D570,I_COA!$A$6:$A$265,0)),"AKUN BARU"))</f>
        <v>LabaRugi</v>
      </c>
      <c r="L570" s="34" t="str">
        <f aca="false">IF(K570="LabaRugi",INDEX(I_COA!$D$6:$D$265,MATCH(D570,I_COA!$A$6:$A$265,0)),"")</f>
        <v>COGS - Trading</v>
      </c>
      <c r="M570" s="34" t="str">
        <f aca="false">IF(K570="Neraca",INDEX(I_COA!$E$6:$E$265,MATCH(D570,I_COA!$A$6:$A$265,0)),"")</f>
        <v/>
      </c>
      <c r="N570" s="34" t="str">
        <f aca="false">IF(D570="","",IFERROR(INDEX(I_COA!$G$6:$G$265,MATCH(D570,I_COA!$A$6:$A$265,0)),"N"))</f>
        <v>N</v>
      </c>
      <c r="O570" s="11" t="n">
        <f aca="false">IF(N570="N",ABS(J570),"")</f>
        <v>3533208.33</v>
      </c>
      <c r="P570" s="18" t="str">
        <f aca="false">IF(N570="N",B570&amp;"|"&amp;ROUND(O570,0),"")</f>
        <v>KGR26/0231|3533208</v>
      </c>
      <c r="Q570" s="18" t="str">
        <f aca="false">IF(N570&lt;&gt;"Y","",IFERROR(INDEX($D$6:$D$4005,MATCH(B570&amp;"|"&amp;ROUND(_xlfn.MAXIFS($O$6:$O$4005,$B$6:$B$4005,B570,$N$6:$N$4005,"N"),0),$P$6:$P$4005,0)),"(tanpa lawan)"))</f>
        <v/>
      </c>
      <c r="R570" s="44"/>
      <c r="S570" s="9" t="str">
        <f aca="false">IF(N570&lt;&gt;"Y","",IF(R570&lt;&gt;"",R570,IF(Q570="(tanpa lawan)","Transfer antar rekening",IFERROR(INDEX(I_COA!$F$6:$F$265,MATCH(Q570,I_COA!$A$6:$A$265,0)),"?"))))</f>
        <v/>
      </c>
    </row>
    <row r="571" customFormat="false" ht="15" hidden="false" customHeight="false" outlineLevel="0" collapsed="false">
      <c r="A571" s="37" t="n">
        <v>46244</v>
      </c>
      <c r="B571" s="44" t="s">
        <v>1085</v>
      </c>
      <c r="C571" s="44" t="s">
        <v>617</v>
      </c>
      <c r="D571" s="44" t="n">
        <v>1103101</v>
      </c>
      <c r="E571" s="44" t="s">
        <v>589</v>
      </c>
      <c r="F571" s="44" t="s">
        <v>1086</v>
      </c>
      <c r="G571" s="42" t="n">
        <v>19725800</v>
      </c>
      <c r="H571" s="42"/>
      <c r="I571" s="44" t="s">
        <v>437</v>
      </c>
      <c r="J571" s="11" t="n">
        <f aca="false">IF(D571="","",N(G571)-N(H571))</f>
        <v>19725800</v>
      </c>
      <c r="K571" s="34" t="str">
        <f aca="false">IF(D571="","",IFERROR(INDEX(I_COA!$C$6:$C$265,MATCH(D571,I_COA!$A$6:$A$265,0)),"AKUN BARU"))</f>
        <v>Neraca</v>
      </c>
      <c r="L571" s="34" t="str">
        <f aca="false">IF(K571="LabaRugi",INDEX(I_COA!$D$6:$D$265,MATCH(D571,I_COA!$A$6:$A$265,0)),"")</f>
        <v/>
      </c>
      <c r="M571" s="34" t="str">
        <f aca="false">IF(K571="Neraca",INDEX(I_COA!$E$6:$E$265,MATCH(D571,I_COA!$A$6:$A$265,0)),"")</f>
        <v>Trade Receivables - Third Parties</v>
      </c>
      <c r="N571" s="34" t="str">
        <f aca="false">IF(D571="","",IFERROR(INDEX(I_COA!$G$6:$G$265,MATCH(D571,I_COA!$A$6:$A$265,0)),"N"))</f>
        <v>N</v>
      </c>
      <c r="O571" s="11" t="n">
        <f aca="false">IF(N571="N",ABS(J571),"")</f>
        <v>19725800</v>
      </c>
      <c r="P571" s="18" t="str">
        <f aca="false">IF(N571="N",B571&amp;"|"&amp;ROUND(O571,0),"")</f>
        <v>KGR26/0233|19725800</v>
      </c>
      <c r="Q571" s="18" t="str">
        <f aca="false">IF(N571&lt;&gt;"Y","",IFERROR(INDEX($D$6:$D$4005,MATCH(B571&amp;"|"&amp;ROUND(_xlfn.MAXIFS($O$6:$O$4005,$B$6:$B$4005,B571,$N$6:$N$4005,"N"),0),$P$6:$P$4005,0)),"(tanpa lawan)"))</f>
        <v/>
      </c>
      <c r="R571" s="44"/>
      <c r="S571" s="9" t="str">
        <f aca="false">IF(N571&lt;&gt;"Y","",IF(R571&lt;&gt;"",R571,IF(Q571="(tanpa lawan)","Transfer antar rekening",IFERROR(INDEX(I_COA!$F$6:$F$265,MATCH(Q571,I_COA!$A$6:$A$265,0)),"?"))))</f>
        <v/>
      </c>
    </row>
    <row r="572" customFormat="false" ht="15" hidden="false" customHeight="false" outlineLevel="0" collapsed="false">
      <c r="A572" s="37" t="n">
        <v>46244</v>
      </c>
      <c r="B572" s="44" t="s">
        <v>1085</v>
      </c>
      <c r="C572" s="44" t="s">
        <v>617</v>
      </c>
      <c r="D572" s="44" t="n">
        <v>4101012</v>
      </c>
      <c r="E572" s="44" t="s">
        <v>619</v>
      </c>
      <c r="F572" s="44" t="s">
        <v>1086</v>
      </c>
      <c r="G572" s="42"/>
      <c r="H572" s="42" t="n">
        <v>19725800</v>
      </c>
      <c r="I572" s="44" t="s">
        <v>437</v>
      </c>
      <c r="J572" s="11" t="n">
        <f aca="false">IF(D572="","",N(G572)-N(H572))</f>
        <v>-19725800</v>
      </c>
      <c r="K572" s="34" t="str">
        <f aca="false">IF(D572="","",IFERROR(INDEX(I_COA!$C$6:$C$265,MATCH(D572,I_COA!$A$6:$A$265,0)),"AKUN BARU"))</f>
        <v>LabaRugi</v>
      </c>
      <c r="L572" s="34" t="str">
        <f aca="false">IF(K572="LabaRugi",INDEX(I_COA!$D$6:$D$265,MATCH(D572,I_COA!$A$6:$A$265,0)),"")</f>
        <v>Revenue - Trading</v>
      </c>
      <c r="M572" s="34" t="str">
        <f aca="false">IF(K572="Neraca",INDEX(I_COA!$E$6:$E$265,MATCH(D572,I_COA!$A$6:$A$265,0)),"")</f>
        <v/>
      </c>
      <c r="N572" s="34" t="str">
        <f aca="false">IF(D572="","",IFERROR(INDEX(I_COA!$G$6:$G$265,MATCH(D572,I_COA!$A$6:$A$265,0)),"N"))</f>
        <v>N</v>
      </c>
      <c r="O572" s="11" t="n">
        <f aca="false">IF(N572="N",ABS(J572),"")</f>
        <v>19725800</v>
      </c>
      <c r="P572" s="18" t="str">
        <f aca="false">IF(N572="N",B572&amp;"|"&amp;ROUND(O572,0),"")</f>
        <v>KGR26/0233|19725800</v>
      </c>
      <c r="Q572" s="18" t="str">
        <f aca="false">IF(N572&lt;&gt;"Y","",IFERROR(INDEX($D$6:$D$4005,MATCH(B572&amp;"|"&amp;ROUND(_xlfn.MAXIFS($O$6:$O$4005,$B$6:$B$4005,B572,$N$6:$N$4005,"N"),0),$P$6:$P$4005,0)),"(tanpa lawan)"))</f>
        <v/>
      </c>
      <c r="R572" s="44"/>
      <c r="S572" s="9" t="str">
        <f aca="false">IF(N572&lt;&gt;"Y","",IF(R572&lt;&gt;"",R572,IF(Q572="(tanpa lawan)","Transfer antar rekening",IFERROR(INDEX(I_COA!$F$6:$F$265,MATCH(Q572,I_COA!$A$6:$A$265,0)),"?"))))</f>
        <v/>
      </c>
    </row>
    <row r="573" customFormat="false" ht="15" hidden="false" customHeight="false" outlineLevel="0" collapsed="false">
      <c r="A573" s="37" t="n">
        <v>46244</v>
      </c>
      <c r="B573" s="44" t="s">
        <v>1085</v>
      </c>
      <c r="C573" s="44" t="s">
        <v>617</v>
      </c>
      <c r="D573" s="44" t="n">
        <v>5100011</v>
      </c>
      <c r="E573" s="44" t="s">
        <v>166</v>
      </c>
      <c r="F573" s="44" t="s">
        <v>1086</v>
      </c>
      <c r="G573" s="42" t="n">
        <v>20361583.07</v>
      </c>
      <c r="H573" s="42"/>
      <c r="I573" s="44" t="s">
        <v>437</v>
      </c>
      <c r="J573" s="11" t="n">
        <f aca="false">IF(D573="","",N(G573)-N(H573))</f>
        <v>20361583.07</v>
      </c>
      <c r="K573" s="34" t="str">
        <f aca="false">IF(D573="","",IFERROR(INDEX(I_COA!$C$6:$C$265,MATCH(D573,I_COA!$A$6:$A$265,0)),"AKUN BARU"))</f>
        <v>LabaRugi</v>
      </c>
      <c r="L573" s="34" t="str">
        <f aca="false">IF(K573="LabaRugi",INDEX(I_COA!$D$6:$D$265,MATCH(D573,I_COA!$A$6:$A$265,0)),"")</f>
        <v>COGS - Trading</v>
      </c>
      <c r="M573" s="34" t="str">
        <f aca="false">IF(K573="Neraca",INDEX(I_COA!$E$6:$E$265,MATCH(D573,I_COA!$A$6:$A$265,0)),"")</f>
        <v/>
      </c>
      <c r="N573" s="34" t="str">
        <f aca="false">IF(D573="","",IFERROR(INDEX(I_COA!$G$6:$G$265,MATCH(D573,I_COA!$A$6:$A$265,0)),"N"))</f>
        <v>N</v>
      </c>
      <c r="O573" s="11" t="n">
        <f aca="false">IF(N573="N",ABS(J573),"")</f>
        <v>20361583.07</v>
      </c>
      <c r="P573" s="18" t="str">
        <f aca="false">IF(N573="N",B573&amp;"|"&amp;ROUND(O573,0),"")</f>
        <v>KGR26/0233|20361583</v>
      </c>
      <c r="Q573" s="18" t="str">
        <f aca="false">IF(N573&lt;&gt;"Y","",IFERROR(INDEX($D$6:$D$4005,MATCH(B573&amp;"|"&amp;ROUND(_xlfn.MAXIFS($O$6:$O$4005,$B$6:$B$4005,B573,$N$6:$N$4005,"N"),0),$P$6:$P$4005,0)),"(tanpa lawan)"))</f>
        <v/>
      </c>
      <c r="R573" s="44"/>
      <c r="S573" s="9" t="str">
        <f aca="false">IF(N573&lt;&gt;"Y","",IF(R573&lt;&gt;"",R573,IF(Q573="(tanpa lawan)","Transfer antar rekening",IFERROR(INDEX(I_COA!$F$6:$F$265,MATCH(Q573,I_COA!$A$6:$A$265,0)),"?"))))</f>
        <v/>
      </c>
    </row>
    <row r="574" customFormat="false" ht="15" hidden="false" customHeight="false" outlineLevel="0" collapsed="false">
      <c r="A574" s="37" t="n">
        <v>46244</v>
      </c>
      <c r="B574" s="44" t="s">
        <v>1085</v>
      </c>
      <c r="C574" s="44" t="s">
        <v>617</v>
      </c>
      <c r="D574" s="44" t="n">
        <v>1104002</v>
      </c>
      <c r="E574" s="44" t="s">
        <v>601</v>
      </c>
      <c r="F574" s="44" t="s">
        <v>1086</v>
      </c>
      <c r="G574" s="42"/>
      <c r="H574" s="42" t="n">
        <v>20361583.07</v>
      </c>
      <c r="I574" s="44" t="s">
        <v>437</v>
      </c>
      <c r="J574" s="11" t="n">
        <f aca="false">IF(D574="","",N(G574)-N(H574))</f>
        <v>-20361583.07</v>
      </c>
      <c r="K574" s="34" t="str">
        <f aca="false">IF(D574="","",IFERROR(INDEX(I_COA!$C$6:$C$265,MATCH(D574,I_COA!$A$6:$A$265,0)),"AKUN BARU"))</f>
        <v>Neraca</v>
      </c>
      <c r="L574" s="34" t="str">
        <f aca="false">IF(K574="LabaRugi",INDEX(I_COA!$D$6:$D$265,MATCH(D574,I_COA!$A$6:$A$265,0)),"")</f>
        <v/>
      </c>
      <c r="M574" s="34" t="str">
        <f aca="false">IF(K574="Neraca",INDEX(I_COA!$E$6:$E$265,MATCH(D574,I_COA!$A$6:$A$265,0)),"")</f>
        <v>Inventory - Product</v>
      </c>
      <c r="N574" s="34" t="str">
        <f aca="false">IF(D574="","",IFERROR(INDEX(I_COA!$G$6:$G$265,MATCH(D574,I_COA!$A$6:$A$265,0)),"N"))</f>
        <v>N</v>
      </c>
      <c r="O574" s="11" t="n">
        <f aca="false">IF(N574="N",ABS(J574),"")</f>
        <v>20361583.07</v>
      </c>
      <c r="P574" s="18" t="str">
        <f aca="false">IF(N574="N",B574&amp;"|"&amp;ROUND(O574,0),"")</f>
        <v>KGR26/0233|20361583</v>
      </c>
      <c r="Q574" s="18" t="str">
        <f aca="false">IF(N574&lt;&gt;"Y","",IFERROR(INDEX($D$6:$D$4005,MATCH(B574&amp;"|"&amp;ROUND(_xlfn.MAXIFS($O$6:$O$4005,$B$6:$B$4005,B574,$N$6:$N$4005,"N"),0),$P$6:$P$4005,0)),"(tanpa lawan)"))</f>
        <v/>
      </c>
      <c r="R574" s="44"/>
      <c r="S574" s="9" t="str">
        <f aca="false">IF(N574&lt;&gt;"Y","",IF(R574&lt;&gt;"",R574,IF(Q574="(tanpa lawan)","Transfer antar rekening",IFERROR(INDEX(I_COA!$F$6:$F$265,MATCH(Q574,I_COA!$A$6:$A$265,0)),"?"))))</f>
        <v/>
      </c>
    </row>
    <row r="575" customFormat="false" ht="15" hidden="false" customHeight="false" outlineLevel="0" collapsed="false">
      <c r="A575" s="37" t="n">
        <v>46244</v>
      </c>
      <c r="B575" s="44" t="s">
        <v>1087</v>
      </c>
      <c r="C575" s="44" t="s">
        <v>617</v>
      </c>
      <c r="D575" s="44" t="n">
        <v>1103101</v>
      </c>
      <c r="E575" s="44" t="s">
        <v>589</v>
      </c>
      <c r="F575" s="44" t="s">
        <v>1088</v>
      </c>
      <c r="G575" s="42" t="n">
        <v>17820950</v>
      </c>
      <c r="H575" s="42"/>
      <c r="I575" s="44" t="s">
        <v>432</v>
      </c>
      <c r="J575" s="11" t="n">
        <f aca="false">IF(D575="","",N(G575)-N(H575))</f>
        <v>17820950</v>
      </c>
      <c r="K575" s="34" t="str">
        <f aca="false">IF(D575="","",IFERROR(INDEX(I_COA!$C$6:$C$265,MATCH(D575,I_COA!$A$6:$A$265,0)),"AKUN BARU"))</f>
        <v>Neraca</v>
      </c>
      <c r="L575" s="34" t="str">
        <f aca="false">IF(K575="LabaRugi",INDEX(I_COA!$D$6:$D$265,MATCH(D575,I_COA!$A$6:$A$265,0)),"")</f>
        <v/>
      </c>
      <c r="M575" s="34" t="str">
        <f aca="false">IF(K575="Neraca",INDEX(I_COA!$E$6:$E$265,MATCH(D575,I_COA!$A$6:$A$265,0)),"")</f>
        <v>Trade Receivables - Third Parties</v>
      </c>
      <c r="N575" s="34" t="str">
        <f aca="false">IF(D575="","",IFERROR(INDEX(I_COA!$G$6:$G$265,MATCH(D575,I_COA!$A$6:$A$265,0)),"N"))</f>
        <v>N</v>
      </c>
      <c r="O575" s="11" t="n">
        <f aca="false">IF(N575="N",ABS(J575),"")</f>
        <v>17820950</v>
      </c>
      <c r="P575" s="18" t="str">
        <f aca="false">IF(N575="N",B575&amp;"|"&amp;ROUND(O575,0),"")</f>
        <v>KGR26/0234|17820950</v>
      </c>
      <c r="Q575" s="18" t="str">
        <f aca="false">IF(N575&lt;&gt;"Y","",IFERROR(INDEX($D$6:$D$4005,MATCH(B575&amp;"|"&amp;ROUND(_xlfn.MAXIFS($O$6:$O$4005,$B$6:$B$4005,B575,$N$6:$N$4005,"N"),0),$P$6:$P$4005,0)),"(tanpa lawan)"))</f>
        <v/>
      </c>
      <c r="R575" s="44"/>
      <c r="S575" s="9" t="str">
        <f aca="false">IF(N575&lt;&gt;"Y","",IF(R575&lt;&gt;"",R575,IF(Q575="(tanpa lawan)","Transfer antar rekening",IFERROR(INDEX(I_COA!$F$6:$F$265,MATCH(Q575,I_COA!$A$6:$A$265,0)),"?"))))</f>
        <v/>
      </c>
    </row>
    <row r="576" customFormat="false" ht="15" hidden="false" customHeight="false" outlineLevel="0" collapsed="false">
      <c r="A576" s="37" t="n">
        <v>46244</v>
      </c>
      <c r="B576" s="44" t="s">
        <v>1087</v>
      </c>
      <c r="C576" s="44" t="s">
        <v>617</v>
      </c>
      <c r="D576" s="44" t="n">
        <v>4101012</v>
      </c>
      <c r="E576" s="44" t="s">
        <v>619</v>
      </c>
      <c r="F576" s="44" t="s">
        <v>1088</v>
      </c>
      <c r="G576" s="42"/>
      <c r="H576" s="42" t="n">
        <v>17820950</v>
      </c>
      <c r="I576" s="44" t="s">
        <v>432</v>
      </c>
      <c r="J576" s="11" t="n">
        <f aca="false">IF(D576="","",N(G576)-N(H576))</f>
        <v>-17820950</v>
      </c>
      <c r="K576" s="34" t="str">
        <f aca="false">IF(D576="","",IFERROR(INDEX(I_COA!$C$6:$C$265,MATCH(D576,I_COA!$A$6:$A$265,0)),"AKUN BARU"))</f>
        <v>LabaRugi</v>
      </c>
      <c r="L576" s="34" t="str">
        <f aca="false">IF(K576="LabaRugi",INDEX(I_COA!$D$6:$D$265,MATCH(D576,I_COA!$A$6:$A$265,0)),"")</f>
        <v>Revenue - Trading</v>
      </c>
      <c r="M576" s="34" t="str">
        <f aca="false">IF(K576="Neraca",INDEX(I_COA!$E$6:$E$265,MATCH(D576,I_COA!$A$6:$A$265,0)),"")</f>
        <v/>
      </c>
      <c r="N576" s="34" t="str">
        <f aca="false">IF(D576="","",IFERROR(INDEX(I_COA!$G$6:$G$265,MATCH(D576,I_COA!$A$6:$A$265,0)),"N"))</f>
        <v>N</v>
      </c>
      <c r="O576" s="11" t="n">
        <f aca="false">IF(N576="N",ABS(J576),"")</f>
        <v>17820950</v>
      </c>
      <c r="P576" s="18" t="str">
        <f aca="false">IF(N576="N",B576&amp;"|"&amp;ROUND(O576,0),"")</f>
        <v>KGR26/0234|17820950</v>
      </c>
      <c r="Q576" s="18" t="str">
        <f aca="false">IF(N576&lt;&gt;"Y","",IFERROR(INDEX($D$6:$D$4005,MATCH(B576&amp;"|"&amp;ROUND(_xlfn.MAXIFS($O$6:$O$4005,$B$6:$B$4005,B576,$N$6:$N$4005,"N"),0),$P$6:$P$4005,0)),"(tanpa lawan)"))</f>
        <v/>
      </c>
      <c r="R576" s="44"/>
      <c r="S576" s="9" t="str">
        <f aca="false">IF(N576&lt;&gt;"Y","",IF(R576&lt;&gt;"",R576,IF(Q576="(tanpa lawan)","Transfer antar rekening",IFERROR(INDEX(I_COA!$F$6:$F$265,MATCH(Q576,I_COA!$A$6:$A$265,0)),"?"))))</f>
        <v/>
      </c>
    </row>
    <row r="577" customFormat="false" ht="15" hidden="false" customHeight="false" outlineLevel="0" collapsed="false">
      <c r="A577" s="37" t="n">
        <v>46244</v>
      </c>
      <c r="B577" s="44" t="s">
        <v>1087</v>
      </c>
      <c r="C577" s="44" t="s">
        <v>617</v>
      </c>
      <c r="D577" s="44" t="n">
        <v>5100011</v>
      </c>
      <c r="E577" s="44" t="s">
        <v>166</v>
      </c>
      <c r="F577" s="44" t="s">
        <v>1088</v>
      </c>
      <c r="G577" s="42" t="n">
        <v>19383250.4</v>
      </c>
      <c r="H577" s="42"/>
      <c r="I577" s="44" t="s">
        <v>432</v>
      </c>
      <c r="J577" s="11" t="n">
        <f aca="false">IF(D577="","",N(G577)-N(H577))</f>
        <v>19383250.4</v>
      </c>
      <c r="K577" s="34" t="str">
        <f aca="false">IF(D577="","",IFERROR(INDEX(I_COA!$C$6:$C$265,MATCH(D577,I_COA!$A$6:$A$265,0)),"AKUN BARU"))</f>
        <v>LabaRugi</v>
      </c>
      <c r="L577" s="34" t="str">
        <f aca="false">IF(K577="LabaRugi",INDEX(I_COA!$D$6:$D$265,MATCH(D577,I_COA!$A$6:$A$265,0)),"")</f>
        <v>COGS - Trading</v>
      </c>
      <c r="M577" s="34" t="str">
        <f aca="false">IF(K577="Neraca",INDEX(I_COA!$E$6:$E$265,MATCH(D577,I_COA!$A$6:$A$265,0)),"")</f>
        <v/>
      </c>
      <c r="N577" s="34" t="str">
        <f aca="false">IF(D577="","",IFERROR(INDEX(I_COA!$G$6:$G$265,MATCH(D577,I_COA!$A$6:$A$265,0)),"N"))</f>
        <v>N</v>
      </c>
      <c r="O577" s="11" t="n">
        <f aca="false">IF(N577="N",ABS(J577),"")</f>
        <v>19383250.4</v>
      </c>
      <c r="P577" s="18" t="str">
        <f aca="false">IF(N577="N",B577&amp;"|"&amp;ROUND(O577,0),"")</f>
        <v>KGR26/0234|19383250</v>
      </c>
      <c r="Q577" s="18" t="str">
        <f aca="false">IF(N577&lt;&gt;"Y","",IFERROR(INDEX($D$6:$D$4005,MATCH(B577&amp;"|"&amp;ROUND(_xlfn.MAXIFS($O$6:$O$4005,$B$6:$B$4005,B577,$N$6:$N$4005,"N"),0),$P$6:$P$4005,0)),"(tanpa lawan)"))</f>
        <v/>
      </c>
      <c r="R577" s="44"/>
      <c r="S577" s="9" t="str">
        <f aca="false">IF(N577&lt;&gt;"Y","",IF(R577&lt;&gt;"",R577,IF(Q577="(tanpa lawan)","Transfer antar rekening",IFERROR(INDEX(I_COA!$F$6:$F$265,MATCH(Q577,I_COA!$A$6:$A$265,0)),"?"))))</f>
        <v/>
      </c>
    </row>
    <row r="578" customFormat="false" ht="15" hidden="false" customHeight="false" outlineLevel="0" collapsed="false">
      <c r="A578" s="37" t="n">
        <v>46244</v>
      </c>
      <c r="B578" s="44" t="s">
        <v>1087</v>
      </c>
      <c r="C578" s="44" t="s">
        <v>617</v>
      </c>
      <c r="D578" s="44" t="n">
        <v>1104002</v>
      </c>
      <c r="E578" s="44" t="s">
        <v>601</v>
      </c>
      <c r="F578" s="44" t="s">
        <v>1088</v>
      </c>
      <c r="G578" s="42"/>
      <c r="H578" s="42" t="n">
        <v>19383250.4</v>
      </c>
      <c r="I578" s="44" t="s">
        <v>432</v>
      </c>
      <c r="J578" s="11" t="n">
        <f aca="false">IF(D578="","",N(G578)-N(H578))</f>
        <v>-19383250.4</v>
      </c>
      <c r="K578" s="34" t="str">
        <f aca="false">IF(D578="","",IFERROR(INDEX(I_COA!$C$6:$C$265,MATCH(D578,I_COA!$A$6:$A$265,0)),"AKUN BARU"))</f>
        <v>Neraca</v>
      </c>
      <c r="L578" s="34" t="str">
        <f aca="false">IF(K578="LabaRugi",INDEX(I_COA!$D$6:$D$265,MATCH(D578,I_COA!$A$6:$A$265,0)),"")</f>
        <v/>
      </c>
      <c r="M578" s="34" t="str">
        <f aca="false">IF(K578="Neraca",INDEX(I_COA!$E$6:$E$265,MATCH(D578,I_COA!$A$6:$A$265,0)),"")</f>
        <v>Inventory - Product</v>
      </c>
      <c r="N578" s="34" t="str">
        <f aca="false">IF(D578="","",IFERROR(INDEX(I_COA!$G$6:$G$265,MATCH(D578,I_COA!$A$6:$A$265,0)),"N"))</f>
        <v>N</v>
      </c>
      <c r="O578" s="11" t="n">
        <f aca="false">IF(N578="N",ABS(J578),"")</f>
        <v>19383250.4</v>
      </c>
      <c r="P578" s="18" t="str">
        <f aca="false">IF(N578="N",B578&amp;"|"&amp;ROUND(O578,0),"")</f>
        <v>KGR26/0234|19383250</v>
      </c>
      <c r="Q578" s="18" t="str">
        <f aca="false">IF(N578&lt;&gt;"Y","",IFERROR(INDEX($D$6:$D$4005,MATCH(B578&amp;"|"&amp;ROUND(_xlfn.MAXIFS($O$6:$O$4005,$B$6:$B$4005,B578,$N$6:$N$4005,"N"),0),$P$6:$P$4005,0)),"(tanpa lawan)"))</f>
        <v/>
      </c>
      <c r="R578" s="44"/>
      <c r="S578" s="9" t="str">
        <f aca="false">IF(N578&lt;&gt;"Y","",IF(R578&lt;&gt;"",R578,IF(Q578="(tanpa lawan)","Transfer antar rekening",IFERROR(INDEX(I_COA!$F$6:$F$265,MATCH(Q578,I_COA!$A$6:$A$265,0)),"?"))))</f>
        <v/>
      </c>
    </row>
    <row r="579" customFormat="false" ht="15" hidden="false" customHeight="false" outlineLevel="0" collapsed="false">
      <c r="A579" s="37" t="n">
        <v>46244</v>
      </c>
      <c r="B579" s="44" t="s">
        <v>1089</v>
      </c>
      <c r="C579" s="44" t="s">
        <v>617</v>
      </c>
      <c r="D579" s="44" t="n">
        <v>1103101</v>
      </c>
      <c r="E579" s="44" t="s">
        <v>589</v>
      </c>
      <c r="F579" s="44" t="s">
        <v>1090</v>
      </c>
      <c r="G579" s="42" t="n">
        <v>93771640</v>
      </c>
      <c r="H579" s="42"/>
      <c r="I579" s="44" t="s">
        <v>841</v>
      </c>
      <c r="J579" s="11" t="n">
        <f aca="false">IF(D579="","",N(G579)-N(H579))</f>
        <v>93771640</v>
      </c>
      <c r="K579" s="34" t="str">
        <f aca="false">IF(D579="","",IFERROR(INDEX(I_COA!$C$6:$C$265,MATCH(D579,I_COA!$A$6:$A$265,0)),"AKUN BARU"))</f>
        <v>Neraca</v>
      </c>
      <c r="L579" s="34" t="str">
        <f aca="false">IF(K579="LabaRugi",INDEX(I_COA!$D$6:$D$265,MATCH(D579,I_COA!$A$6:$A$265,0)),"")</f>
        <v/>
      </c>
      <c r="M579" s="34" t="str">
        <f aca="false">IF(K579="Neraca",INDEX(I_COA!$E$6:$E$265,MATCH(D579,I_COA!$A$6:$A$265,0)),"")</f>
        <v>Trade Receivables - Third Parties</v>
      </c>
      <c r="N579" s="34" t="str">
        <f aca="false">IF(D579="","",IFERROR(INDEX(I_COA!$G$6:$G$265,MATCH(D579,I_COA!$A$6:$A$265,0)),"N"))</f>
        <v>N</v>
      </c>
      <c r="O579" s="11" t="n">
        <f aca="false">IF(N579="N",ABS(J579),"")</f>
        <v>93771640</v>
      </c>
      <c r="P579" s="18" t="str">
        <f aca="false">IF(N579="N",B579&amp;"|"&amp;ROUND(O579,0),"")</f>
        <v>KGR26/0235|93771640</v>
      </c>
      <c r="Q579" s="18" t="str">
        <f aca="false">IF(N579&lt;&gt;"Y","",IFERROR(INDEX($D$6:$D$4005,MATCH(B579&amp;"|"&amp;ROUND(_xlfn.MAXIFS($O$6:$O$4005,$B$6:$B$4005,B579,$N$6:$N$4005,"N"),0),$P$6:$P$4005,0)),"(tanpa lawan)"))</f>
        <v/>
      </c>
      <c r="R579" s="44"/>
      <c r="S579" s="9" t="str">
        <f aca="false">IF(N579&lt;&gt;"Y","",IF(R579&lt;&gt;"",R579,IF(Q579="(tanpa lawan)","Transfer antar rekening",IFERROR(INDEX(I_COA!$F$6:$F$265,MATCH(Q579,I_COA!$A$6:$A$265,0)),"?"))))</f>
        <v/>
      </c>
    </row>
    <row r="580" customFormat="false" ht="15" hidden="false" customHeight="false" outlineLevel="0" collapsed="false">
      <c r="A580" s="37" t="n">
        <v>46244</v>
      </c>
      <c r="B580" s="44" t="s">
        <v>1089</v>
      </c>
      <c r="C580" s="44" t="s">
        <v>617</v>
      </c>
      <c r="D580" s="44" t="n">
        <v>4101004</v>
      </c>
      <c r="E580" s="44" t="s">
        <v>755</v>
      </c>
      <c r="F580" s="44" t="s">
        <v>1090</v>
      </c>
      <c r="G580" s="42" t="n">
        <v>1055320</v>
      </c>
      <c r="H580" s="42"/>
      <c r="I580" s="44" t="s">
        <v>841</v>
      </c>
      <c r="J580" s="11" t="n">
        <f aca="false">IF(D580="","",N(G580)-N(H580))</f>
        <v>1055320</v>
      </c>
      <c r="K580" s="34" t="str">
        <f aca="false">IF(D580="","",IFERROR(INDEX(I_COA!$C$6:$C$265,MATCH(D580,I_COA!$A$6:$A$265,0)),"AKUN BARU"))</f>
        <v>LabaRugi</v>
      </c>
      <c r="L580" s="34" t="str">
        <f aca="false">IF(K580="LabaRugi",INDEX(I_COA!$D$6:$D$265,MATCH(D580,I_COA!$A$6:$A$265,0)),"")</f>
        <v>Revenue - Trading</v>
      </c>
      <c r="M580" s="34" t="str">
        <f aca="false">IF(K580="Neraca",INDEX(I_COA!$E$6:$E$265,MATCH(D580,I_COA!$A$6:$A$265,0)),"")</f>
        <v/>
      </c>
      <c r="N580" s="34" t="str">
        <f aca="false">IF(D580="","",IFERROR(INDEX(I_COA!$G$6:$G$265,MATCH(D580,I_COA!$A$6:$A$265,0)),"N"))</f>
        <v>N</v>
      </c>
      <c r="O580" s="11" t="n">
        <f aca="false">IF(N580="N",ABS(J580),"")</f>
        <v>1055320</v>
      </c>
      <c r="P580" s="18" t="str">
        <f aca="false">IF(N580="N",B580&amp;"|"&amp;ROUND(O580,0),"")</f>
        <v>KGR26/0235|1055320</v>
      </c>
      <c r="Q580" s="18" t="str">
        <f aca="false">IF(N580&lt;&gt;"Y","",IFERROR(INDEX($D$6:$D$4005,MATCH(B580&amp;"|"&amp;ROUND(_xlfn.MAXIFS($O$6:$O$4005,$B$6:$B$4005,B580,$N$6:$N$4005,"N"),0),$P$6:$P$4005,0)),"(tanpa lawan)"))</f>
        <v/>
      </c>
      <c r="R580" s="44"/>
      <c r="S580" s="9" t="str">
        <f aca="false">IF(N580&lt;&gt;"Y","",IF(R580&lt;&gt;"",R580,IF(Q580="(tanpa lawan)","Transfer antar rekening",IFERROR(INDEX(I_COA!$F$6:$F$265,MATCH(Q580,I_COA!$A$6:$A$265,0)),"?"))))</f>
        <v/>
      </c>
    </row>
    <row r="581" customFormat="false" ht="15" hidden="false" customHeight="false" outlineLevel="0" collapsed="false">
      <c r="A581" s="37" t="n">
        <v>46244</v>
      </c>
      <c r="B581" s="44" t="s">
        <v>1089</v>
      </c>
      <c r="C581" s="44" t="s">
        <v>617</v>
      </c>
      <c r="D581" s="44" t="n">
        <v>4101012</v>
      </c>
      <c r="E581" s="44" t="s">
        <v>619</v>
      </c>
      <c r="F581" s="44" t="s">
        <v>1090</v>
      </c>
      <c r="G581" s="42"/>
      <c r="H581" s="42" t="n">
        <v>94826960</v>
      </c>
      <c r="I581" s="44" t="s">
        <v>841</v>
      </c>
      <c r="J581" s="11" t="n">
        <f aca="false">IF(D581="","",N(G581)-N(H581))</f>
        <v>-94826960</v>
      </c>
      <c r="K581" s="34" t="str">
        <f aca="false">IF(D581="","",IFERROR(INDEX(I_COA!$C$6:$C$265,MATCH(D581,I_COA!$A$6:$A$265,0)),"AKUN BARU"))</f>
        <v>LabaRugi</v>
      </c>
      <c r="L581" s="34" t="str">
        <f aca="false">IF(K581="LabaRugi",INDEX(I_COA!$D$6:$D$265,MATCH(D581,I_COA!$A$6:$A$265,0)),"")</f>
        <v>Revenue - Trading</v>
      </c>
      <c r="M581" s="34" t="str">
        <f aca="false">IF(K581="Neraca",INDEX(I_COA!$E$6:$E$265,MATCH(D581,I_COA!$A$6:$A$265,0)),"")</f>
        <v/>
      </c>
      <c r="N581" s="34" t="str">
        <f aca="false">IF(D581="","",IFERROR(INDEX(I_COA!$G$6:$G$265,MATCH(D581,I_COA!$A$6:$A$265,0)),"N"))</f>
        <v>N</v>
      </c>
      <c r="O581" s="11" t="n">
        <f aca="false">IF(N581="N",ABS(J581),"")</f>
        <v>94826960</v>
      </c>
      <c r="P581" s="18" t="str">
        <f aca="false">IF(N581="N",B581&amp;"|"&amp;ROUND(O581,0),"")</f>
        <v>KGR26/0235|94826960</v>
      </c>
      <c r="Q581" s="18" t="str">
        <f aca="false">IF(N581&lt;&gt;"Y","",IFERROR(INDEX($D$6:$D$4005,MATCH(B581&amp;"|"&amp;ROUND(_xlfn.MAXIFS($O$6:$O$4005,$B$6:$B$4005,B581,$N$6:$N$4005,"N"),0),$P$6:$P$4005,0)),"(tanpa lawan)"))</f>
        <v/>
      </c>
      <c r="R581" s="44"/>
      <c r="S581" s="9" t="str">
        <f aca="false">IF(N581&lt;&gt;"Y","",IF(R581&lt;&gt;"",R581,IF(Q581="(tanpa lawan)","Transfer antar rekening",IFERROR(INDEX(I_COA!$F$6:$F$265,MATCH(Q581,I_COA!$A$6:$A$265,0)),"?"))))</f>
        <v/>
      </c>
    </row>
    <row r="582" customFormat="false" ht="15" hidden="false" customHeight="false" outlineLevel="0" collapsed="false">
      <c r="A582" s="37" t="n">
        <v>46244</v>
      </c>
      <c r="B582" s="44" t="s">
        <v>1089</v>
      </c>
      <c r="C582" s="44" t="s">
        <v>617</v>
      </c>
      <c r="D582" s="44" t="n">
        <v>5100011</v>
      </c>
      <c r="E582" s="44" t="s">
        <v>166</v>
      </c>
      <c r="F582" s="44" t="s">
        <v>1090</v>
      </c>
      <c r="G582" s="42" t="n">
        <v>93961690.75</v>
      </c>
      <c r="H582" s="42"/>
      <c r="I582" s="44" t="s">
        <v>841</v>
      </c>
      <c r="J582" s="11" t="n">
        <f aca="false">IF(D582="","",N(G582)-N(H582))</f>
        <v>93961690.75</v>
      </c>
      <c r="K582" s="34" t="str">
        <f aca="false">IF(D582="","",IFERROR(INDEX(I_COA!$C$6:$C$265,MATCH(D582,I_COA!$A$6:$A$265,0)),"AKUN BARU"))</f>
        <v>LabaRugi</v>
      </c>
      <c r="L582" s="34" t="str">
        <f aca="false">IF(K582="LabaRugi",INDEX(I_COA!$D$6:$D$265,MATCH(D582,I_COA!$A$6:$A$265,0)),"")</f>
        <v>COGS - Trading</v>
      </c>
      <c r="M582" s="34" t="str">
        <f aca="false">IF(K582="Neraca",INDEX(I_COA!$E$6:$E$265,MATCH(D582,I_COA!$A$6:$A$265,0)),"")</f>
        <v/>
      </c>
      <c r="N582" s="34" t="str">
        <f aca="false">IF(D582="","",IFERROR(INDEX(I_COA!$G$6:$G$265,MATCH(D582,I_COA!$A$6:$A$265,0)),"N"))</f>
        <v>N</v>
      </c>
      <c r="O582" s="11" t="n">
        <f aca="false">IF(N582="N",ABS(J582),"")</f>
        <v>93961690.75</v>
      </c>
      <c r="P582" s="18" t="str">
        <f aca="false">IF(N582="N",B582&amp;"|"&amp;ROUND(O582,0),"")</f>
        <v>KGR26/0235|93961691</v>
      </c>
      <c r="Q582" s="18" t="str">
        <f aca="false">IF(N582&lt;&gt;"Y","",IFERROR(INDEX($D$6:$D$4005,MATCH(B582&amp;"|"&amp;ROUND(_xlfn.MAXIFS($O$6:$O$4005,$B$6:$B$4005,B582,$N$6:$N$4005,"N"),0),$P$6:$P$4005,0)),"(tanpa lawan)"))</f>
        <v/>
      </c>
      <c r="R582" s="44"/>
      <c r="S582" s="9" t="str">
        <f aca="false">IF(N582&lt;&gt;"Y","",IF(R582&lt;&gt;"",R582,IF(Q582="(tanpa lawan)","Transfer antar rekening",IFERROR(INDEX(I_COA!$F$6:$F$265,MATCH(Q582,I_COA!$A$6:$A$265,0)),"?"))))</f>
        <v/>
      </c>
    </row>
    <row r="583" customFormat="false" ht="15" hidden="false" customHeight="false" outlineLevel="0" collapsed="false">
      <c r="A583" s="37" t="n">
        <v>46244</v>
      </c>
      <c r="B583" s="44" t="s">
        <v>1089</v>
      </c>
      <c r="C583" s="44" t="s">
        <v>617</v>
      </c>
      <c r="D583" s="44" t="n">
        <v>1104002</v>
      </c>
      <c r="E583" s="44" t="s">
        <v>601</v>
      </c>
      <c r="F583" s="44" t="s">
        <v>1090</v>
      </c>
      <c r="G583" s="42"/>
      <c r="H583" s="42" t="n">
        <v>93961690.75</v>
      </c>
      <c r="I583" s="44" t="s">
        <v>841</v>
      </c>
      <c r="J583" s="11" t="n">
        <f aca="false">IF(D583="","",N(G583)-N(H583))</f>
        <v>-93961690.75</v>
      </c>
      <c r="K583" s="34" t="str">
        <f aca="false">IF(D583="","",IFERROR(INDEX(I_COA!$C$6:$C$265,MATCH(D583,I_COA!$A$6:$A$265,0)),"AKUN BARU"))</f>
        <v>Neraca</v>
      </c>
      <c r="L583" s="34" t="str">
        <f aca="false">IF(K583="LabaRugi",INDEX(I_COA!$D$6:$D$265,MATCH(D583,I_COA!$A$6:$A$265,0)),"")</f>
        <v/>
      </c>
      <c r="M583" s="34" t="str">
        <f aca="false">IF(K583="Neraca",INDEX(I_COA!$E$6:$E$265,MATCH(D583,I_COA!$A$6:$A$265,0)),"")</f>
        <v>Inventory - Product</v>
      </c>
      <c r="N583" s="34" t="str">
        <f aca="false">IF(D583="","",IFERROR(INDEX(I_COA!$G$6:$G$265,MATCH(D583,I_COA!$A$6:$A$265,0)),"N"))</f>
        <v>N</v>
      </c>
      <c r="O583" s="11" t="n">
        <f aca="false">IF(N583="N",ABS(J583),"")</f>
        <v>93961690.75</v>
      </c>
      <c r="P583" s="18" t="str">
        <f aca="false">IF(N583="N",B583&amp;"|"&amp;ROUND(O583,0),"")</f>
        <v>KGR26/0235|93961691</v>
      </c>
      <c r="Q583" s="18" t="str">
        <f aca="false">IF(N583&lt;&gt;"Y","",IFERROR(INDEX($D$6:$D$4005,MATCH(B583&amp;"|"&amp;ROUND(_xlfn.MAXIFS($O$6:$O$4005,$B$6:$B$4005,B583,$N$6:$N$4005,"N"),0),$P$6:$P$4005,0)),"(tanpa lawan)"))</f>
        <v/>
      </c>
      <c r="R583" s="44"/>
      <c r="S583" s="9" t="str">
        <f aca="false">IF(N583&lt;&gt;"Y","",IF(R583&lt;&gt;"",R583,IF(Q583="(tanpa lawan)","Transfer antar rekening",IFERROR(INDEX(I_COA!$F$6:$F$265,MATCH(Q583,I_COA!$A$6:$A$265,0)),"?"))))</f>
        <v/>
      </c>
    </row>
    <row r="584" customFormat="false" ht="15" hidden="false" customHeight="false" outlineLevel="0" collapsed="false">
      <c r="A584" s="37" t="n">
        <v>46244</v>
      </c>
      <c r="B584" s="44" t="s">
        <v>1091</v>
      </c>
      <c r="C584" s="44" t="s">
        <v>617</v>
      </c>
      <c r="D584" s="44" t="n">
        <v>1103101</v>
      </c>
      <c r="E584" s="44" t="s">
        <v>589</v>
      </c>
      <c r="F584" s="44" t="s">
        <v>1092</v>
      </c>
      <c r="G584" s="42" t="n">
        <v>25659000</v>
      </c>
      <c r="H584" s="42"/>
      <c r="I584" s="44" t="s">
        <v>432</v>
      </c>
      <c r="J584" s="11" t="n">
        <f aca="false">IF(D584="","",N(G584)-N(H584))</f>
        <v>25659000</v>
      </c>
      <c r="K584" s="34" t="str">
        <f aca="false">IF(D584="","",IFERROR(INDEX(I_COA!$C$6:$C$265,MATCH(D584,I_COA!$A$6:$A$265,0)),"AKUN BARU"))</f>
        <v>Neraca</v>
      </c>
      <c r="L584" s="34" t="str">
        <f aca="false">IF(K584="LabaRugi",INDEX(I_COA!$D$6:$D$265,MATCH(D584,I_COA!$A$6:$A$265,0)),"")</f>
        <v/>
      </c>
      <c r="M584" s="34" t="str">
        <f aca="false">IF(K584="Neraca",INDEX(I_COA!$E$6:$E$265,MATCH(D584,I_COA!$A$6:$A$265,0)),"")</f>
        <v>Trade Receivables - Third Parties</v>
      </c>
      <c r="N584" s="34" t="str">
        <f aca="false">IF(D584="","",IFERROR(INDEX(I_COA!$G$6:$G$265,MATCH(D584,I_COA!$A$6:$A$265,0)),"N"))</f>
        <v>N</v>
      </c>
      <c r="O584" s="11" t="n">
        <f aca="false">IF(N584="N",ABS(J584),"")</f>
        <v>25659000</v>
      </c>
      <c r="P584" s="18" t="str">
        <f aca="false">IF(N584="N",B584&amp;"|"&amp;ROUND(O584,0),"")</f>
        <v>KGR26/0236|25659000</v>
      </c>
      <c r="Q584" s="18" t="str">
        <f aca="false">IF(N584&lt;&gt;"Y","",IFERROR(INDEX($D$6:$D$4005,MATCH(B584&amp;"|"&amp;ROUND(_xlfn.MAXIFS($O$6:$O$4005,$B$6:$B$4005,B584,$N$6:$N$4005,"N"),0),$P$6:$P$4005,0)),"(tanpa lawan)"))</f>
        <v/>
      </c>
      <c r="R584" s="44"/>
      <c r="S584" s="9" t="str">
        <f aca="false">IF(N584&lt;&gt;"Y","",IF(R584&lt;&gt;"",R584,IF(Q584="(tanpa lawan)","Transfer antar rekening",IFERROR(INDEX(I_COA!$F$6:$F$265,MATCH(Q584,I_COA!$A$6:$A$265,0)),"?"))))</f>
        <v/>
      </c>
    </row>
    <row r="585" customFormat="false" ht="15" hidden="false" customHeight="false" outlineLevel="0" collapsed="false">
      <c r="A585" s="37" t="n">
        <v>46244</v>
      </c>
      <c r="B585" s="44" t="s">
        <v>1091</v>
      </c>
      <c r="C585" s="44" t="s">
        <v>617</v>
      </c>
      <c r="D585" s="44" t="n">
        <v>4101004</v>
      </c>
      <c r="E585" s="44" t="s">
        <v>755</v>
      </c>
      <c r="F585" s="44" t="s">
        <v>1092</v>
      </c>
      <c r="G585" s="42" t="n">
        <v>1707000</v>
      </c>
      <c r="H585" s="42"/>
      <c r="I585" s="44" t="s">
        <v>432</v>
      </c>
      <c r="J585" s="11" t="n">
        <f aca="false">IF(D585="","",N(G585)-N(H585))</f>
        <v>1707000</v>
      </c>
      <c r="K585" s="34" t="str">
        <f aca="false">IF(D585="","",IFERROR(INDEX(I_COA!$C$6:$C$265,MATCH(D585,I_COA!$A$6:$A$265,0)),"AKUN BARU"))</f>
        <v>LabaRugi</v>
      </c>
      <c r="L585" s="34" t="str">
        <f aca="false">IF(K585="LabaRugi",INDEX(I_COA!$D$6:$D$265,MATCH(D585,I_COA!$A$6:$A$265,0)),"")</f>
        <v>Revenue - Trading</v>
      </c>
      <c r="M585" s="34" t="str">
        <f aca="false">IF(K585="Neraca",INDEX(I_COA!$E$6:$E$265,MATCH(D585,I_COA!$A$6:$A$265,0)),"")</f>
        <v/>
      </c>
      <c r="N585" s="34" t="str">
        <f aca="false">IF(D585="","",IFERROR(INDEX(I_COA!$G$6:$G$265,MATCH(D585,I_COA!$A$6:$A$265,0)),"N"))</f>
        <v>N</v>
      </c>
      <c r="O585" s="11" t="n">
        <f aca="false">IF(N585="N",ABS(J585),"")</f>
        <v>1707000</v>
      </c>
      <c r="P585" s="18" t="str">
        <f aca="false">IF(N585="N",B585&amp;"|"&amp;ROUND(O585,0),"")</f>
        <v>KGR26/0236|1707000</v>
      </c>
      <c r="Q585" s="18" t="str">
        <f aca="false">IF(N585&lt;&gt;"Y","",IFERROR(INDEX($D$6:$D$4005,MATCH(B585&amp;"|"&amp;ROUND(_xlfn.MAXIFS($O$6:$O$4005,$B$6:$B$4005,B585,$N$6:$N$4005,"N"),0),$P$6:$P$4005,0)),"(tanpa lawan)"))</f>
        <v/>
      </c>
      <c r="R585" s="44"/>
      <c r="S585" s="9" t="str">
        <f aca="false">IF(N585&lt;&gt;"Y","",IF(R585&lt;&gt;"",R585,IF(Q585="(tanpa lawan)","Transfer antar rekening",IFERROR(INDEX(I_COA!$F$6:$F$265,MATCH(Q585,I_COA!$A$6:$A$265,0)),"?"))))</f>
        <v/>
      </c>
    </row>
    <row r="586" customFormat="false" ht="15" hidden="false" customHeight="false" outlineLevel="0" collapsed="false">
      <c r="A586" s="37" t="n">
        <v>46244</v>
      </c>
      <c r="B586" s="44" t="s">
        <v>1091</v>
      </c>
      <c r="C586" s="44" t="s">
        <v>617</v>
      </c>
      <c r="D586" s="44" t="n">
        <v>4101012</v>
      </c>
      <c r="E586" s="44" t="s">
        <v>619</v>
      </c>
      <c r="F586" s="44" t="s">
        <v>1092</v>
      </c>
      <c r="G586" s="42"/>
      <c r="H586" s="42" t="n">
        <v>27366000</v>
      </c>
      <c r="I586" s="44" t="s">
        <v>432</v>
      </c>
      <c r="J586" s="11" t="n">
        <f aca="false">IF(D586="","",N(G586)-N(H586))</f>
        <v>-27366000</v>
      </c>
      <c r="K586" s="34" t="str">
        <f aca="false">IF(D586="","",IFERROR(INDEX(I_COA!$C$6:$C$265,MATCH(D586,I_COA!$A$6:$A$265,0)),"AKUN BARU"))</f>
        <v>LabaRugi</v>
      </c>
      <c r="L586" s="34" t="str">
        <f aca="false">IF(K586="LabaRugi",INDEX(I_COA!$D$6:$D$265,MATCH(D586,I_COA!$A$6:$A$265,0)),"")</f>
        <v>Revenue - Trading</v>
      </c>
      <c r="M586" s="34" t="str">
        <f aca="false">IF(K586="Neraca",INDEX(I_COA!$E$6:$E$265,MATCH(D586,I_COA!$A$6:$A$265,0)),"")</f>
        <v/>
      </c>
      <c r="N586" s="34" t="str">
        <f aca="false">IF(D586="","",IFERROR(INDEX(I_COA!$G$6:$G$265,MATCH(D586,I_COA!$A$6:$A$265,0)),"N"))</f>
        <v>N</v>
      </c>
      <c r="O586" s="11" t="n">
        <f aca="false">IF(N586="N",ABS(J586),"")</f>
        <v>27366000</v>
      </c>
      <c r="P586" s="18" t="str">
        <f aca="false">IF(N586="N",B586&amp;"|"&amp;ROUND(O586,0),"")</f>
        <v>KGR26/0236|27366000</v>
      </c>
      <c r="Q586" s="18" t="str">
        <f aca="false">IF(N586&lt;&gt;"Y","",IFERROR(INDEX($D$6:$D$4005,MATCH(B586&amp;"|"&amp;ROUND(_xlfn.MAXIFS($O$6:$O$4005,$B$6:$B$4005,B586,$N$6:$N$4005,"N"),0),$P$6:$P$4005,0)),"(tanpa lawan)"))</f>
        <v/>
      </c>
      <c r="R586" s="44"/>
      <c r="S586" s="9" t="str">
        <f aca="false">IF(N586&lt;&gt;"Y","",IF(R586&lt;&gt;"",R586,IF(Q586="(tanpa lawan)","Transfer antar rekening",IFERROR(INDEX(I_COA!$F$6:$F$265,MATCH(Q586,I_COA!$A$6:$A$265,0)),"?"))))</f>
        <v/>
      </c>
    </row>
    <row r="587" customFormat="false" ht="15" hidden="false" customHeight="false" outlineLevel="0" collapsed="false">
      <c r="A587" s="37" t="n">
        <v>46244</v>
      </c>
      <c r="B587" s="44" t="s">
        <v>1091</v>
      </c>
      <c r="C587" s="44" t="s">
        <v>617</v>
      </c>
      <c r="D587" s="44" t="n">
        <v>5100011</v>
      </c>
      <c r="E587" s="44" t="s">
        <v>166</v>
      </c>
      <c r="F587" s="44" t="s">
        <v>1092</v>
      </c>
      <c r="G587" s="42" t="n">
        <v>26939820.25</v>
      </c>
      <c r="H587" s="42"/>
      <c r="I587" s="44" t="s">
        <v>432</v>
      </c>
      <c r="J587" s="11" t="n">
        <f aca="false">IF(D587="","",N(G587)-N(H587))</f>
        <v>26939820.25</v>
      </c>
      <c r="K587" s="34" t="str">
        <f aca="false">IF(D587="","",IFERROR(INDEX(I_COA!$C$6:$C$265,MATCH(D587,I_COA!$A$6:$A$265,0)),"AKUN BARU"))</f>
        <v>LabaRugi</v>
      </c>
      <c r="L587" s="34" t="str">
        <f aca="false">IF(K587="LabaRugi",INDEX(I_COA!$D$6:$D$265,MATCH(D587,I_COA!$A$6:$A$265,0)),"")</f>
        <v>COGS - Trading</v>
      </c>
      <c r="M587" s="34" t="str">
        <f aca="false">IF(K587="Neraca",INDEX(I_COA!$E$6:$E$265,MATCH(D587,I_COA!$A$6:$A$265,0)),"")</f>
        <v/>
      </c>
      <c r="N587" s="34" t="str">
        <f aca="false">IF(D587="","",IFERROR(INDEX(I_COA!$G$6:$G$265,MATCH(D587,I_COA!$A$6:$A$265,0)),"N"))</f>
        <v>N</v>
      </c>
      <c r="O587" s="11" t="n">
        <f aca="false">IF(N587="N",ABS(J587),"")</f>
        <v>26939820.25</v>
      </c>
      <c r="P587" s="18" t="str">
        <f aca="false">IF(N587="N",B587&amp;"|"&amp;ROUND(O587,0),"")</f>
        <v>KGR26/0236|26939820</v>
      </c>
      <c r="Q587" s="18" t="str">
        <f aca="false">IF(N587&lt;&gt;"Y","",IFERROR(INDEX($D$6:$D$4005,MATCH(B587&amp;"|"&amp;ROUND(_xlfn.MAXIFS($O$6:$O$4005,$B$6:$B$4005,B587,$N$6:$N$4005,"N"),0),$P$6:$P$4005,0)),"(tanpa lawan)"))</f>
        <v/>
      </c>
      <c r="R587" s="44"/>
      <c r="S587" s="9" t="str">
        <f aca="false">IF(N587&lt;&gt;"Y","",IF(R587&lt;&gt;"",R587,IF(Q587="(tanpa lawan)","Transfer antar rekening",IFERROR(INDEX(I_COA!$F$6:$F$265,MATCH(Q587,I_COA!$A$6:$A$265,0)),"?"))))</f>
        <v/>
      </c>
    </row>
    <row r="588" customFormat="false" ht="15" hidden="false" customHeight="false" outlineLevel="0" collapsed="false">
      <c r="A588" s="37" t="n">
        <v>46244</v>
      </c>
      <c r="B588" s="44" t="s">
        <v>1091</v>
      </c>
      <c r="C588" s="44" t="s">
        <v>617</v>
      </c>
      <c r="D588" s="44" t="n">
        <v>1104002</v>
      </c>
      <c r="E588" s="44" t="s">
        <v>601</v>
      </c>
      <c r="F588" s="44" t="s">
        <v>1092</v>
      </c>
      <c r="G588" s="42"/>
      <c r="H588" s="42" t="n">
        <v>26939820.25</v>
      </c>
      <c r="I588" s="44" t="s">
        <v>432</v>
      </c>
      <c r="J588" s="11" t="n">
        <f aca="false">IF(D588="","",N(G588)-N(H588))</f>
        <v>-26939820.25</v>
      </c>
      <c r="K588" s="34" t="str">
        <f aca="false">IF(D588="","",IFERROR(INDEX(I_COA!$C$6:$C$265,MATCH(D588,I_COA!$A$6:$A$265,0)),"AKUN BARU"))</f>
        <v>Neraca</v>
      </c>
      <c r="L588" s="34" t="str">
        <f aca="false">IF(K588="LabaRugi",INDEX(I_COA!$D$6:$D$265,MATCH(D588,I_COA!$A$6:$A$265,0)),"")</f>
        <v/>
      </c>
      <c r="M588" s="34" t="str">
        <f aca="false">IF(K588="Neraca",INDEX(I_COA!$E$6:$E$265,MATCH(D588,I_COA!$A$6:$A$265,0)),"")</f>
        <v>Inventory - Product</v>
      </c>
      <c r="N588" s="34" t="str">
        <f aca="false">IF(D588="","",IFERROR(INDEX(I_COA!$G$6:$G$265,MATCH(D588,I_COA!$A$6:$A$265,0)),"N"))</f>
        <v>N</v>
      </c>
      <c r="O588" s="11" t="n">
        <f aca="false">IF(N588="N",ABS(J588),"")</f>
        <v>26939820.25</v>
      </c>
      <c r="P588" s="18" t="str">
        <f aca="false">IF(N588="N",B588&amp;"|"&amp;ROUND(O588,0),"")</f>
        <v>KGR26/0236|26939820</v>
      </c>
      <c r="Q588" s="18" t="str">
        <f aca="false">IF(N588&lt;&gt;"Y","",IFERROR(INDEX($D$6:$D$4005,MATCH(B588&amp;"|"&amp;ROUND(_xlfn.MAXIFS($O$6:$O$4005,$B$6:$B$4005,B588,$N$6:$N$4005,"N"),0),$P$6:$P$4005,0)),"(tanpa lawan)"))</f>
        <v/>
      </c>
      <c r="R588" s="44"/>
      <c r="S588" s="9" t="str">
        <f aca="false">IF(N588&lt;&gt;"Y","",IF(R588&lt;&gt;"",R588,IF(Q588="(tanpa lawan)","Transfer antar rekening",IFERROR(INDEX(I_COA!$F$6:$F$265,MATCH(Q588,I_COA!$A$6:$A$265,0)),"?"))))</f>
        <v/>
      </c>
    </row>
    <row r="589" customFormat="false" ht="15" hidden="false" customHeight="false" outlineLevel="0" collapsed="false">
      <c r="A589" s="37" t="n">
        <v>46244</v>
      </c>
      <c r="B589" s="44" t="s">
        <v>1093</v>
      </c>
      <c r="C589" s="44" t="s">
        <v>617</v>
      </c>
      <c r="D589" s="44" t="n">
        <v>1103101</v>
      </c>
      <c r="E589" s="44" t="s">
        <v>589</v>
      </c>
      <c r="F589" s="44" t="s">
        <v>1094</v>
      </c>
      <c r="G589" s="42" t="n">
        <v>38068400</v>
      </c>
      <c r="H589" s="42"/>
      <c r="I589" s="44" t="s">
        <v>437</v>
      </c>
      <c r="J589" s="11" t="n">
        <f aca="false">IF(D589="","",N(G589)-N(H589))</f>
        <v>38068400</v>
      </c>
      <c r="K589" s="34" t="str">
        <f aca="false">IF(D589="","",IFERROR(INDEX(I_COA!$C$6:$C$265,MATCH(D589,I_COA!$A$6:$A$265,0)),"AKUN BARU"))</f>
        <v>Neraca</v>
      </c>
      <c r="L589" s="34" t="str">
        <f aca="false">IF(K589="LabaRugi",INDEX(I_COA!$D$6:$D$265,MATCH(D589,I_COA!$A$6:$A$265,0)),"")</f>
        <v/>
      </c>
      <c r="M589" s="34" t="str">
        <f aca="false">IF(K589="Neraca",INDEX(I_COA!$E$6:$E$265,MATCH(D589,I_COA!$A$6:$A$265,0)),"")</f>
        <v>Trade Receivables - Third Parties</v>
      </c>
      <c r="N589" s="34" t="str">
        <f aca="false">IF(D589="","",IFERROR(INDEX(I_COA!$G$6:$G$265,MATCH(D589,I_COA!$A$6:$A$265,0)),"N"))</f>
        <v>N</v>
      </c>
      <c r="O589" s="11" t="n">
        <f aca="false">IF(N589="N",ABS(J589),"")</f>
        <v>38068400</v>
      </c>
      <c r="P589" s="18" t="str">
        <f aca="false">IF(N589="N",B589&amp;"|"&amp;ROUND(O589,0),"")</f>
        <v>KGR26/0237|38068400</v>
      </c>
      <c r="Q589" s="18" t="str">
        <f aca="false">IF(N589&lt;&gt;"Y","",IFERROR(INDEX($D$6:$D$4005,MATCH(B589&amp;"|"&amp;ROUND(_xlfn.MAXIFS($O$6:$O$4005,$B$6:$B$4005,B589,$N$6:$N$4005,"N"),0),$P$6:$P$4005,0)),"(tanpa lawan)"))</f>
        <v/>
      </c>
      <c r="R589" s="44"/>
      <c r="S589" s="9" t="str">
        <f aca="false">IF(N589&lt;&gt;"Y","",IF(R589&lt;&gt;"",R589,IF(Q589="(tanpa lawan)","Transfer antar rekening",IFERROR(INDEX(I_COA!$F$6:$F$265,MATCH(Q589,I_COA!$A$6:$A$265,0)),"?"))))</f>
        <v/>
      </c>
    </row>
    <row r="590" customFormat="false" ht="15" hidden="false" customHeight="false" outlineLevel="0" collapsed="false">
      <c r="A590" s="37" t="n">
        <v>46244</v>
      </c>
      <c r="B590" s="44" t="s">
        <v>1093</v>
      </c>
      <c r="C590" s="44" t="s">
        <v>617</v>
      </c>
      <c r="D590" s="44" t="n">
        <v>4101012</v>
      </c>
      <c r="E590" s="44" t="s">
        <v>619</v>
      </c>
      <c r="F590" s="44" t="s">
        <v>1094</v>
      </c>
      <c r="G590" s="42"/>
      <c r="H590" s="42" t="n">
        <v>38068400</v>
      </c>
      <c r="I590" s="44" t="s">
        <v>437</v>
      </c>
      <c r="J590" s="11" t="n">
        <f aca="false">IF(D590="","",N(G590)-N(H590))</f>
        <v>-38068400</v>
      </c>
      <c r="K590" s="34" t="str">
        <f aca="false">IF(D590="","",IFERROR(INDEX(I_COA!$C$6:$C$265,MATCH(D590,I_COA!$A$6:$A$265,0)),"AKUN BARU"))</f>
        <v>LabaRugi</v>
      </c>
      <c r="L590" s="34" t="str">
        <f aca="false">IF(K590="LabaRugi",INDEX(I_COA!$D$6:$D$265,MATCH(D590,I_COA!$A$6:$A$265,0)),"")</f>
        <v>Revenue - Trading</v>
      </c>
      <c r="M590" s="34" t="str">
        <f aca="false">IF(K590="Neraca",INDEX(I_COA!$E$6:$E$265,MATCH(D590,I_COA!$A$6:$A$265,0)),"")</f>
        <v/>
      </c>
      <c r="N590" s="34" t="str">
        <f aca="false">IF(D590="","",IFERROR(INDEX(I_COA!$G$6:$G$265,MATCH(D590,I_COA!$A$6:$A$265,0)),"N"))</f>
        <v>N</v>
      </c>
      <c r="O590" s="11" t="n">
        <f aca="false">IF(N590="N",ABS(J590),"")</f>
        <v>38068400</v>
      </c>
      <c r="P590" s="18" t="str">
        <f aca="false">IF(N590="N",B590&amp;"|"&amp;ROUND(O590,0),"")</f>
        <v>KGR26/0237|38068400</v>
      </c>
      <c r="Q590" s="18" t="str">
        <f aca="false">IF(N590&lt;&gt;"Y","",IFERROR(INDEX($D$6:$D$4005,MATCH(B590&amp;"|"&amp;ROUND(_xlfn.MAXIFS($O$6:$O$4005,$B$6:$B$4005,B590,$N$6:$N$4005,"N"),0),$P$6:$P$4005,0)),"(tanpa lawan)"))</f>
        <v/>
      </c>
      <c r="R590" s="44"/>
      <c r="S590" s="9" t="str">
        <f aca="false">IF(N590&lt;&gt;"Y","",IF(R590&lt;&gt;"",R590,IF(Q590="(tanpa lawan)","Transfer antar rekening",IFERROR(INDEX(I_COA!$F$6:$F$265,MATCH(Q590,I_COA!$A$6:$A$265,0)),"?"))))</f>
        <v/>
      </c>
    </row>
    <row r="591" customFormat="false" ht="15" hidden="false" customHeight="false" outlineLevel="0" collapsed="false">
      <c r="A591" s="37" t="n">
        <v>46244</v>
      </c>
      <c r="B591" s="44" t="s">
        <v>1093</v>
      </c>
      <c r="C591" s="44" t="s">
        <v>617</v>
      </c>
      <c r="D591" s="44" t="n">
        <v>5100011</v>
      </c>
      <c r="E591" s="44" t="s">
        <v>166</v>
      </c>
      <c r="F591" s="44" t="s">
        <v>1094</v>
      </c>
      <c r="G591" s="42" t="n">
        <v>39295384.17</v>
      </c>
      <c r="H591" s="42"/>
      <c r="I591" s="44" t="s">
        <v>437</v>
      </c>
      <c r="J591" s="11" t="n">
        <f aca="false">IF(D591="","",N(G591)-N(H591))</f>
        <v>39295384.17</v>
      </c>
      <c r="K591" s="34" t="str">
        <f aca="false">IF(D591="","",IFERROR(INDEX(I_COA!$C$6:$C$265,MATCH(D591,I_COA!$A$6:$A$265,0)),"AKUN BARU"))</f>
        <v>LabaRugi</v>
      </c>
      <c r="L591" s="34" t="str">
        <f aca="false">IF(K591="LabaRugi",INDEX(I_COA!$D$6:$D$265,MATCH(D591,I_COA!$A$6:$A$265,0)),"")</f>
        <v>COGS - Trading</v>
      </c>
      <c r="M591" s="34" t="str">
        <f aca="false">IF(K591="Neraca",INDEX(I_COA!$E$6:$E$265,MATCH(D591,I_COA!$A$6:$A$265,0)),"")</f>
        <v/>
      </c>
      <c r="N591" s="34" t="str">
        <f aca="false">IF(D591="","",IFERROR(INDEX(I_COA!$G$6:$G$265,MATCH(D591,I_COA!$A$6:$A$265,0)),"N"))</f>
        <v>N</v>
      </c>
      <c r="O591" s="11" t="n">
        <f aca="false">IF(N591="N",ABS(J591),"")</f>
        <v>39295384.17</v>
      </c>
      <c r="P591" s="18" t="str">
        <f aca="false">IF(N591="N",B591&amp;"|"&amp;ROUND(O591,0),"")</f>
        <v>KGR26/0237|39295384</v>
      </c>
      <c r="Q591" s="18" t="str">
        <f aca="false">IF(N591&lt;&gt;"Y","",IFERROR(INDEX($D$6:$D$4005,MATCH(B591&amp;"|"&amp;ROUND(_xlfn.MAXIFS($O$6:$O$4005,$B$6:$B$4005,B591,$N$6:$N$4005,"N"),0),$P$6:$P$4005,0)),"(tanpa lawan)"))</f>
        <v/>
      </c>
      <c r="R591" s="44"/>
      <c r="S591" s="9" t="str">
        <f aca="false">IF(N591&lt;&gt;"Y","",IF(R591&lt;&gt;"",R591,IF(Q591="(tanpa lawan)","Transfer antar rekening",IFERROR(INDEX(I_COA!$F$6:$F$265,MATCH(Q591,I_COA!$A$6:$A$265,0)),"?"))))</f>
        <v/>
      </c>
    </row>
    <row r="592" customFormat="false" ht="15" hidden="false" customHeight="false" outlineLevel="0" collapsed="false">
      <c r="A592" s="37" t="n">
        <v>46244</v>
      </c>
      <c r="B592" s="44" t="s">
        <v>1093</v>
      </c>
      <c r="C592" s="44" t="s">
        <v>617</v>
      </c>
      <c r="D592" s="44" t="n">
        <v>1104002</v>
      </c>
      <c r="E592" s="44" t="s">
        <v>601</v>
      </c>
      <c r="F592" s="44" t="s">
        <v>1094</v>
      </c>
      <c r="G592" s="42"/>
      <c r="H592" s="42" t="n">
        <v>39295384.17</v>
      </c>
      <c r="I592" s="44" t="s">
        <v>437</v>
      </c>
      <c r="J592" s="11" t="n">
        <f aca="false">IF(D592="","",N(G592)-N(H592))</f>
        <v>-39295384.17</v>
      </c>
      <c r="K592" s="34" t="str">
        <f aca="false">IF(D592="","",IFERROR(INDEX(I_COA!$C$6:$C$265,MATCH(D592,I_COA!$A$6:$A$265,0)),"AKUN BARU"))</f>
        <v>Neraca</v>
      </c>
      <c r="L592" s="34" t="str">
        <f aca="false">IF(K592="LabaRugi",INDEX(I_COA!$D$6:$D$265,MATCH(D592,I_COA!$A$6:$A$265,0)),"")</f>
        <v/>
      </c>
      <c r="M592" s="34" t="str">
        <f aca="false">IF(K592="Neraca",INDEX(I_COA!$E$6:$E$265,MATCH(D592,I_COA!$A$6:$A$265,0)),"")</f>
        <v>Inventory - Product</v>
      </c>
      <c r="N592" s="34" t="str">
        <f aca="false">IF(D592="","",IFERROR(INDEX(I_COA!$G$6:$G$265,MATCH(D592,I_COA!$A$6:$A$265,0)),"N"))</f>
        <v>N</v>
      </c>
      <c r="O592" s="11" t="n">
        <f aca="false">IF(N592="N",ABS(J592),"")</f>
        <v>39295384.17</v>
      </c>
      <c r="P592" s="18" t="str">
        <f aca="false">IF(N592="N",B592&amp;"|"&amp;ROUND(O592,0),"")</f>
        <v>KGR26/0237|39295384</v>
      </c>
      <c r="Q592" s="18" t="str">
        <f aca="false">IF(N592&lt;&gt;"Y","",IFERROR(INDEX($D$6:$D$4005,MATCH(B592&amp;"|"&amp;ROUND(_xlfn.MAXIFS($O$6:$O$4005,$B$6:$B$4005,B592,$N$6:$N$4005,"N"),0),$P$6:$P$4005,0)),"(tanpa lawan)"))</f>
        <v/>
      </c>
      <c r="R592" s="44"/>
      <c r="S592" s="9" t="str">
        <f aca="false">IF(N592&lt;&gt;"Y","",IF(R592&lt;&gt;"",R592,IF(Q592="(tanpa lawan)","Transfer antar rekening",IFERROR(INDEX(I_COA!$F$6:$F$265,MATCH(Q592,I_COA!$A$6:$A$265,0)),"?"))))</f>
        <v/>
      </c>
    </row>
    <row r="593" customFormat="false" ht="15" hidden="false" customHeight="false" outlineLevel="0" collapsed="false">
      <c r="A593" s="37" t="n">
        <v>46244</v>
      </c>
      <c r="B593" s="44" t="s">
        <v>1095</v>
      </c>
      <c r="C593" s="44" t="s">
        <v>617</v>
      </c>
      <c r="D593" s="44" t="n">
        <v>1103101</v>
      </c>
      <c r="E593" s="44" t="s">
        <v>589</v>
      </c>
      <c r="F593" s="44" t="s">
        <v>1096</v>
      </c>
      <c r="G593" s="42" t="n">
        <v>18806200</v>
      </c>
      <c r="H593" s="42"/>
      <c r="I593" s="44" t="s">
        <v>465</v>
      </c>
      <c r="J593" s="11" t="n">
        <f aca="false">IF(D593="","",N(G593)-N(H593))</f>
        <v>18806200</v>
      </c>
      <c r="K593" s="34" t="str">
        <f aca="false">IF(D593="","",IFERROR(INDEX(I_COA!$C$6:$C$265,MATCH(D593,I_COA!$A$6:$A$265,0)),"AKUN BARU"))</f>
        <v>Neraca</v>
      </c>
      <c r="L593" s="34" t="str">
        <f aca="false">IF(K593="LabaRugi",INDEX(I_COA!$D$6:$D$265,MATCH(D593,I_COA!$A$6:$A$265,0)),"")</f>
        <v/>
      </c>
      <c r="M593" s="34" t="str">
        <f aca="false">IF(K593="Neraca",INDEX(I_COA!$E$6:$E$265,MATCH(D593,I_COA!$A$6:$A$265,0)),"")</f>
        <v>Trade Receivables - Third Parties</v>
      </c>
      <c r="N593" s="34" t="str">
        <f aca="false">IF(D593="","",IFERROR(INDEX(I_COA!$G$6:$G$265,MATCH(D593,I_COA!$A$6:$A$265,0)),"N"))</f>
        <v>N</v>
      </c>
      <c r="O593" s="11" t="n">
        <f aca="false">IF(N593="N",ABS(J593),"")</f>
        <v>18806200</v>
      </c>
      <c r="P593" s="18" t="str">
        <f aca="false">IF(N593="N",B593&amp;"|"&amp;ROUND(O593,0),"")</f>
        <v>KGR26/0238|18806200</v>
      </c>
      <c r="Q593" s="18" t="str">
        <f aca="false">IF(N593&lt;&gt;"Y","",IFERROR(INDEX($D$6:$D$4005,MATCH(B593&amp;"|"&amp;ROUND(_xlfn.MAXIFS($O$6:$O$4005,$B$6:$B$4005,B593,$N$6:$N$4005,"N"),0),$P$6:$P$4005,0)),"(tanpa lawan)"))</f>
        <v/>
      </c>
      <c r="R593" s="44"/>
      <c r="S593" s="9" t="str">
        <f aca="false">IF(N593&lt;&gt;"Y","",IF(R593&lt;&gt;"",R593,IF(Q593="(tanpa lawan)","Transfer antar rekening",IFERROR(INDEX(I_COA!$F$6:$F$265,MATCH(Q593,I_COA!$A$6:$A$265,0)),"?"))))</f>
        <v/>
      </c>
    </row>
    <row r="594" customFormat="false" ht="15" hidden="false" customHeight="false" outlineLevel="0" collapsed="false">
      <c r="A594" s="37" t="n">
        <v>46244</v>
      </c>
      <c r="B594" s="44" t="s">
        <v>1095</v>
      </c>
      <c r="C594" s="44" t="s">
        <v>617</v>
      </c>
      <c r="D594" s="44" t="n">
        <v>4101012</v>
      </c>
      <c r="E594" s="44" t="s">
        <v>619</v>
      </c>
      <c r="F594" s="44" t="s">
        <v>1096</v>
      </c>
      <c r="G594" s="42"/>
      <c r="H594" s="42" t="n">
        <v>18806200</v>
      </c>
      <c r="I594" s="44" t="s">
        <v>465</v>
      </c>
      <c r="J594" s="11" t="n">
        <f aca="false">IF(D594="","",N(G594)-N(H594))</f>
        <v>-18806200</v>
      </c>
      <c r="K594" s="34" t="str">
        <f aca="false">IF(D594="","",IFERROR(INDEX(I_COA!$C$6:$C$265,MATCH(D594,I_COA!$A$6:$A$265,0)),"AKUN BARU"))</f>
        <v>LabaRugi</v>
      </c>
      <c r="L594" s="34" t="str">
        <f aca="false">IF(K594="LabaRugi",INDEX(I_COA!$D$6:$D$265,MATCH(D594,I_COA!$A$6:$A$265,0)),"")</f>
        <v>Revenue - Trading</v>
      </c>
      <c r="M594" s="34" t="str">
        <f aca="false">IF(K594="Neraca",INDEX(I_COA!$E$6:$E$265,MATCH(D594,I_COA!$A$6:$A$265,0)),"")</f>
        <v/>
      </c>
      <c r="N594" s="34" t="str">
        <f aca="false">IF(D594="","",IFERROR(INDEX(I_COA!$G$6:$G$265,MATCH(D594,I_COA!$A$6:$A$265,0)),"N"))</f>
        <v>N</v>
      </c>
      <c r="O594" s="11" t="n">
        <f aca="false">IF(N594="N",ABS(J594),"")</f>
        <v>18806200</v>
      </c>
      <c r="P594" s="18" t="str">
        <f aca="false">IF(N594="N",B594&amp;"|"&amp;ROUND(O594,0),"")</f>
        <v>KGR26/0238|18806200</v>
      </c>
      <c r="Q594" s="18" t="str">
        <f aca="false">IF(N594&lt;&gt;"Y","",IFERROR(INDEX($D$6:$D$4005,MATCH(B594&amp;"|"&amp;ROUND(_xlfn.MAXIFS($O$6:$O$4005,$B$6:$B$4005,B594,$N$6:$N$4005,"N"),0),$P$6:$P$4005,0)),"(tanpa lawan)"))</f>
        <v/>
      </c>
      <c r="R594" s="44"/>
      <c r="S594" s="9" t="str">
        <f aca="false">IF(N594&lt;&gt;"Y","",IF(R594&lt;&gt;"",R594,IF(Q594="(tanpa lawan)","Transfer antar rekening",IFERROR(INDEX(I_COA!$F$6:$F$265,MATCH(Q594,I_COA!$A$6:$A$265,0)),"?"))))</f>
        <v/>
      </c>
    </row>
    <row r="595" customFormat="false" ht="15" hidden="false" customHeight="false" outlineLevel="0" collapsed="false">
      <c r="A595" s="37" t="n">
        <v>46244</v>
      </c>
      <c r="B595" s="44" t="s">
        <v>1095</v>
      </c>
      <c r="C595" s="44" t="s">
        <v>617</v>
      </c>
      <c r="D595" s="44" t="n">
        <v>5100011</v>
      </c>
      <c r="E595" s="44" t="s">
        <v>166</v>
      </c>
      <c r="F595" s="44" t="s">
        <v>1096</v>
      </c>
      <c r="G595" s="42" t="n">
        <v>19412343.41</v>
      </c>
      <c r="H595" s="42"/>
      <c r="I595" s="44" t="s">
        <v>465</v>
      </c>
      <c r="J595" s="11" t="n">
        <f aca="false">IF(D595="","",N(G595)-N(H595))</f>
        <v>19412343.41</v>
      </c>
      <c r="K595" s="34" t="str">
        <f aca="false">IF(D595="","",IFERROR(INDEX(I_COA!$C$6:$C$265,MATCH(D595,I_COA!$A$6:$A$265,0)),"AKUN BARU"))</f>
        <v>LabaRugi</v>
      </c>
      <c r="L595" s="34" t="str">
        <f aca="false">IF(K595="LabaRugi",INDEX(I_COA!$D$6:$D$265,MATCH(D595,I_COA!$A$6:$A$265,0)),"")</f>
        <v>COGS - Trading</v>
      </c>
      <c r="M595" s="34" t="str">
        <f aca="false">IF(K595="Neraca",INDEX(I_COA!$E$6:$E$265,MATCH(D595,I_COA!$A$6:$A$265,0)),"")</f>
        <v/>
      </c>
      <c r="N595" s="34" t="str">
        <f aca="false">IF(D595="","",IFERROR(INDEX(I_COA!$G$6:$G$265,MATCH(D595,I_COA!$A$6:$A$265,0)),"N"))</f>
        <v>N</v>
      </c>
      <c r="O595" s="11" t="n">
        <f aca="false">IF(N595="N",ABS(J595),"")</f>
        <v>19412343.41</v>
      </c>
      <c r="P595" s="18" t="str">
        <f aca="false">IF(N595="N",B595&amp;"|"&amp;ROUND(O595,0),"")</f>
        <v>KGR26/0238|19412343</v>
      </c>
      <c r="Q595" s="18" t="str">
        <f aca="false">IF(N595&lt;&gt;"Y","",IFERROR(INDEX($D$6:$D$4005,MATCH(B595&amp;"|"&amp;ROUND(_xlfn.MAXIFS($O$6:$O$4005,$B$6:$B$4005,B595,$N$6:$N$4005,"N"),0),$P$6:$P$4005,0)),"(tanpa lawan)"))</f>
        <v/>
      </c>
      <c r="R595" s="44"/>
      <c r="S595" s="9" t="str">
        <f aca="false">IF(N595&lt;&gt;"Y","",IF(R595&lt;&gt;"",R595,IF(Q595="(tanpa lawan)","Transfer antar rekening",IFERROR(INDEX(I_COA!$F$6:$F$265,MATCH(Q595,I_COA!$A$6:$A$265,0)),"?"))))</f>
        <v/>
      </c>
    </row>
    <row r="596" customFormat="false" ht="15" hidden="false" customHeight="false" outlineLevel="0" collapsed="false">
      <c r="A596" s="37" t="n">
        <v>46244</v>
      </c>
      <c r="B596" s="44" t="s">
        <v>1095</v>
      </c>
      <c r="C596" s="44" t="s">
        <v>617</v>
      </c>
      <c r="D596" s="44" t="n">
        <v>1104002</v>
      </c>
      <c r="E596" s="44" t="s">
        <v>601</v>
      </c>
      <c r="F596" s="44" t="s">
        <v>1096</v>
      </c>
      <c r="G596" s="42"/>
      <c r="H596" s="42" t="n">
        <v>19412343.41</v>
      </c>
      <c r="I596" s="44" t="s">
        <v>465</v>
      </c>
      <c r="J596" s="11" t="n">
        <f aca="false">IF(D596="","",N(G596)-N(H596))</f>
        <v>-19412343.41</v>
      </c>
      <c r="K596" s="34" t="str">
        <f aca="false">IF(D596="","",IFERROR(INDEX(I_COA!$C$6:$C$265,MATCH(D596,I_COA!$A$6:$A$265,0)),"AKUN BARU"))</f>
        <v>Neraca</v>
      </c>
      <c r="L596" s="34" t="str">
        <f aca="false">IF(K596="LabaRugi",INDEX(I_COA!$D$6:$D$265,MATCH(D596,I_COA!$A$6:$A$265,0)),"")</f>
        <v/>
      </c>
      <c r="M596" s="34" t="str">
        <f aca="false">IF(K596="Neraca",INDEX(I_COA!$E$6:$E$265,MATCH(D596,I_COA!$A$6:$A$265,0)),"")</f>
        <v>Inventory - Product</v>
      </c>
      <c r="N596" s="34" t="str">
        <f aca="false">IF(D596="","",IFERROR(INDEX(I_COA!$G$6:$G$265,MATCH(D596,I_COA!$A$6:$A$265,0)),"N"))</f>
        <v>N</v>
      </c>
      <c r="O596" s="11" t="n">
        <f aca="false">IF(N596="N",ABS(J596),"")</f>
        <v>19412343.41</v>
      </c>
      <c r="P596" s="18" t="str">
        <f aca="false">IF(N596="N",B596&amp;"|"&amp;ROUND(O596,0),"")</f>
        <v>KGR26/0238|19412343</v>
      </c>
      <c r="Q596" s="18" t="str">
        <f aca="false">IF(N596&lt;&gt;"Y","",IFERROR(INDEX($D$6:$D$4005,MATCH(B596&amp;"|"&amp;ROUND(_xlfn.MAXIFS($O$6:$O$4005,$B$6:$B$4005,B596,$N$6:$N$4005,"N"),0),$P$6:$P$4005,0)),"(tanpa lawan)"))</f>
        <v/>
      </c>
      <c r="R596" s="44"/>
      <c r="S596" s="9" t="str">
        <f aca="false">IF(N596&lt;&gt;"Y","",IF(R596&lt;&gt;"",R596,IF(Q596="(tanpa lawan)","Transfer antar rekening",IFERROR(INDEX(I_COA!$F$6:$F$265,MATCH(Q596,I_COA!$A$6:$A$265,0)),"?"))))</f>
        <v/>
      </c>
    </row>
    <row r="597" customFormat="false" ht="15" hidden="false" customHeight="false" outlineLevel="0" collapsed="false">
      <c r="A597" s="37" t="n">
        <v>46244</v>
      </c>
      <c r="B597" s="44" t="s">
        <v>1097</v>
      </c>
      <c r="C597" s="44" t="s">
        <v>617</v>
      </c>
      <c r="D597" s="44" t="n">
        <v>1103101</v>
      </c>
      <c r="E597" s="44" t="s">
        <v>589</v>
      </c>
      <c r="F597" s="44" t="s">
        <v>1098</v>
      </c>
      <c r="G597" s="42" t="n">
        <v>123936500</v>
      </c>
      <c r="H597" s="42"/>
      <c r="I597" s="44" t="s">
        <v>592</v>
      </c>
      <c r="J597" s="11" t="n">
        <f aca="false">IF(D597="","",N(G597)-N(H597))</f>
        <v>123936500</v>
      </c>
      <c r="K597" s="34" t="str">
        <f aca="false">IF(D597="","",IFERROR(INDEX(I_COA!$C$6:$C$265,MATCH(D597,I_COA!$A$6:$A$265,0)),"AKUN BARU"))</f>
        <v>Neraca</v>
      </c>
      <c r="L597" s="34" t="str">
        <f aca="false">IF(K597="LabaRugi",INDEX(I_COA!$D$6:$D$265,MATCH(D597,I_COA!$A$6:$A$265,0)),"")</f>
        <v/>
      </c>
      <c r="M597" s="34" t="str">
        <f aca="false">IF(K597="Neraca",INDEX(I_COA!$E$6:$E$265,MATCH(D597,I_COA!$A$6:$A$265,0)),"")</f>
        <v>Trade Receivables - Third Parties</v>
      </c>
      <c r="N597" s="34" t="str">
        <f aca="false">IF(D597="","",IFERROR(INDEX(I_COA!$G$6:$G$265,MATCH(D597,I_COA!$A$6:$A$265,0)),"N"))</f>
        <v>N</v>
      </c>
      <c r="O597" s="11" t="n">
        <f aca="false">IF(N597="N",ABS(J597),"")</f>
        <v>123936500</v>
      </c>
      <c r="P597" s="18" t="str">
        <f aca="false">IF(N597="N",B597&amp;"|"&amp;ROUND(O597,0),"")</f>
        <v>KGR26/0239|123936500</v>
      </c>
      <c r="Q597" s="18" t="str">
        <f aca="false">IF(N597&lt;&gt;"Y","",IFERROR(INDEX($D$6:$D$4005,MATCH(B597&amp;"|"&amp;ROUND(_xlfn.MAXIFS($O$6:$O$4005,$B$6:$B$4005,B597,$N$6:$N$4005,"N"),0),$P$6:$P$4005,0)),"(tanpa lawan)"))</f>
        <v/>
      </c>
      <c r="R597" s="44"/>
      <c r="S597" s="9" t="str">
        <f aca="false">IF(N597&lt;&gt;"Y","",IF(R597&lt;&gt;"",R597,IF(Q597="(tanpa lawan)","Transfer antar rekening",IFERROR(INDEX(I_COA!$F$6:$F$265,MATCH(Q597,I_COA!$A$6:$A$265,0)),"?"))))</f>
        <v/>
      </c>
    </row>
    <row r="598" customFormat="false" ht="15" hidden="false" customHeight="false" outlineLevel="0" collapsed="false">
      <c r="A598" s="37" t="n">
        <v>46244</v>
      </c>
      <c r="B598" s="44" t="s">
        <v>1097</v>
      </c>
      <c r="C598" s="44" t="s">
        <v>617</v>
      </c>
      <c r="D598" s="44" t="n">
        <v>4101012</v>
      </c>
      <c r="E598" s="44" t="s">
        <v>619</v>
      </c>
      <c r="F598" s="44" t="s">
        <v>1098</v>
      </c>
      <c r="G598" s="42"/>
      <c r="H598" s="42" t="n">
        <v>123936500</v>
      </c>
      <c r="I598" s="44" t="s">
        <v>592</v>
      </c>
      <c r="J598" s="11" t="n">
        <f aca="false">IF(D598="","",N(G598)-N(H598))</f>
        <v>-123936500</v>
      </c>
      <c r="K598" s="34" t="str">
        <f aca="false">IF(D598="","",IFERROR(INDEX(I_COA!$C$6:$C$265,MATCH(D598,I_COA!$A$6:$A$265,0)),"AKUN BARU"))</f>
        <v>LabaRugi</v>
      </c>
      <c r="L598" s="34" t="str">
        <f aca="false">IF(K598="LabaRugi",INDEX(I_COA!$D$6:$D$265,MATCH(D598,I_COA!$A$6:$A$265,0)),"")</f>
        <v>Revenue - Trading</v>
      </c>
      <c r="M598" s="34" t="str">
        <f aca="false">IF(K598="Neraca",INDEX(I_COA!$E$6:$E$265,MATCH(D598,I_COA!$A$6:$A$265,0)),"")</f>
        <v/>
      </c>
      <c r="N598" s="34" t="str">
        <f aca="false">IF(D598="","",IFERROR(INDEX(I_COA!$G$6:$G$265,MATCH(D598,I_COA!$A$6:$A$265,0)),"N"))</f>
        <v>N</v>
      </c>
      <c r="O598" s="11" t="n">
        <f aca="false">IF(N598="N",ABS(J598),"")</f>
        <v>123936500</v>
      </c>
      <c r="P598" s="18" t="str">
        <f aca="false">IF(N598="N",B598&amp;"|"&amp;ROUND(O598,0),"")</f>
        <v>KGR26/0239|123936500</v>
      </c>
      <c r="Q598" s="18" t="str">
        <f aca="false">IF(N598&lt;&gt;"Y","",IFERROR(INDEX($D$6:$D$4005,MATCH(B598&amp;"|"&amp;ROUND(_xlfn.MAXIFS($O$6:$O$4005,$B$6:$B$4005,B598,$N$6:$N$4005,"N"),0),$P$6:$P$4005,0)),"(tanpa lawan)"))</f>
        <v/>
      </c>
      <c r="R598" s="44"/>
      <c r="S598" s="9" t="str">
        <f aca="false">IF(N598&lt;&gt;"Y","",IF(R598&lt;&gt;"",R598,IF(Q598="(tanpa lawan)","Transfer antar rekening",IFERROR(INDEX(I_COA!$F$6:$F$265,MATCH(Q598,I_COA!$A$6:$A$265,0)),"?"))))</f>
        <v/>
      </c>
    </row>
    <row r="599" customFormat="false" ht="15" hidden="false" customHeight="false" outlineLevel="0" collapsed="false">
      <c r="A599" s="37" t="n">
        <v>46244</v>
      </c>
      <c r="B599" s="44" t="s">
        <v>1097</v>
      </c>
      <c r="C599" s="44" t="s">
        <v>617</v>
      </c>
      <c r="D599" s="44" t="n">
        <v>5100011</v>
      </c>
      <c r="E599" s="44" t="s">
        <v>166</v>
      </c>
      <c r="F599" s="44" t="s">
        <v>1098</v>
      </c>
      <c r="G599" s="42" t="n">
        <v>102865993.05</v>
      </c>
      <c r="H599" s="42"/>
      <c r="I599" s="44" t="s">
        <v>592</v>
      </c>
      <c r="J599" s="11" t="n">
        <f aca="false">IF(D599="","",N(G599)-N(H599))</f>
        <v>102865993.05</v>
      </c>
      <c r="K599" s="34" t="str">
        <f aca="false">IF(D599="","",IFERROR(INDEX(I_COA!$C$6:$C$265,MATCH(D599,I_COA!$A$6:$A$265,0)),"AKUN BARU"))</f>
        <v>LabaRugi</v>
      </c>
      <c r="L599" s="34" t="str">
        <f aca="false">IF(K599="LabaRugi",INDEX(I_COA!$D$6:$D$265,MATCH(D599,I_COA!$A$6:$A$265,0)),"")</f>
        <v>COGS - Trading</v>
      </c>
      <c r="M599" s="34" t="str">
        <f aca="false">IF(K599="Neraca",INDEX(I_COA!$E$6:$E$265,MATCH(D599,I_COA!$A$6:$A$265,0)),"")</f>
        <v/>
      </c>
      <c r="N599" s="34" t="str">
        <f aca="false">IF(D599="","",IFERROR(INDEX(I_COA!$G$6:$G$265,MATCH(D599,I_COA!$A$6:$A$265,0)),"N"))</f>
        <v>N</v>
      </c>
      <c r="O599" s="11" t="n">
        <f aca="false">IF(N599="N",ABS(J599),"")</f>
        <v>102865993.05</v>
      </c>
      <c r="P599" s="18" t="str">
        <f aca="false">IF(N599="N",B599&amp;"|"&amp;ROUND(O599,0),"")</f>
        <v>KGR26/0239|102865993</v>
      </c>
      <c r="Q599" s="18" t="str">
        <f aca="false">IF(N599&lt;&gt;"Y","",IFERROR(INDEX($D$6:$D$4005,MATCH(B599&amp;"|"&amp;ROUND(_xlfn.MAXIFS($O$6:$O$4005,$B$6:$B$4005,B599,$N$6:$N$4005,"N"),0),$P$6:$P$4005,0)),"(tanpa lawan)"))</f>
        <v/>
      </c>
      <c r="R599" s="44"/>
      <c r="S599" s="9" t="str">
        <f aca="false">IF(N599&lt;&gt;"Y","",IF(R599&lt;&gt;"",R599,IF(Q599="(tanpa lawan)","Transfer antar rekening",IFERROR(INDEX(I_COA!$F$6:$F$265,MATCH(Q599,I_COA!$A$6:$A$265,0)),"?"))))</f>
        <v/>
      </c>
    </row>
    <row r="600" customFormat="false" ht="15" hidden="false" customHeight="false" outlineLevel="0" collapsed="false">
      <c r="A600" s="37" t="n">
        <v>46244</v>
      </c>
      <c r="B600" s="44" t="s">
        <v>1097</v>
      </c>
      <c r="C600" s="44" t="s">
        <v>617</v>
      </c>
      <c r="D600" s="44" t="n">
        <v>1104002</v>
      </c>
      <c r="E600" s="44" t="s">
        <v>601</v>
      </c>
      <c r="F600" s="44" t="s">
        <v>1098</v>
      </c>
      <c r="G600" s="42"/>
      <c r="H600" s="42" t="n">
        <v>102865993.05</v>
      </c>
      <c r="I600" s="44" t="s">
        <v>592</v>
      </c>
      <c r="J600" s="11" t="n">
        <f aca="false">IF(D600="","",N(G600)-N(H600))</f>
        <v>-102865993.05</v>
      </c>
      <c r="K600" s="34" t="str">
        <f aca="false">IF(D600="","",IFERROR(INDEX(I_COA!$C$6:$C$265,MATCH(D600,I_COA!$A$6:$A$265,0)),"AKUN BARU"))</f>
        <v>Neraca</v>
      </c>
      <c r="L600" s="34" t="str">
        <f aca="false">IF(K600="LabaRugi",INDEX(I_COA!$D$6:$D$265,MATCH(D600,I_COA!$A$6:$A$265,0)),"")</f>
        <v/>
      </c>
      <c r="M600" s="34" t="str">
        <f aca="false">IF(K600="Neraca",INDEX(I_COA!$E$6:$E$265,MATCH(D600,I_COA!$A$6:$A$265,0)),"")</f>
        <v>Inventory - Product</v>
      </c>
      <c r="N600" s="34" t="str">
        <f aca="false">IF(D600="","",IFERROR(INDEX(I_COA!$G$6:$G$265,MATCH(D600,I_COA!$A$6:$A$265,0)),"N"))</f>
        <v>N</v>
      </c>
      <c r="O600" s="11" t="n">
        <f aca="false">IF(N600="N",ABS(J600),"")</f>
        <v>102865993.05</v>
      </c>
      <c r="P600" s="18" t="str">
        <f aca="false">IF(N600="N",B600&amp;"|"&amp;ROUND(O600,0),"")</f>
        <v>KGR26/0239|102865993</v>
      </c>
      <c r="Q600" s="18" t="str">
        <f aca="false">IF(N600&lt;&gt;"Y","",IFERROR(INDEX($D$6:$D$4005,MATCH(B600&amp;"|"&amp;ROUND(_xlfn.MAXIFS($O$6:$O$4005,$B$6:$B$4005,B600,$N$6:$N$4005,"N"),0),$P$6:$P$4005,0)),"(tanpa lawan)"))</f>
        <v/>
      </c>
      <c r="R600" s="44"/>
      <c r="S600" s="9" t="str">
        <f aca="false">IF(N600&lt;&gt;"Y","",IF(R600&lt;&gt;"",R600,IF(Q600="(tanpa lawan)","Transfer antar rekening",IFERROR(INDEX(I_COA!$F$6:$F$265,MATCH(Q600,I_COA!$A$6:$A$265,0)),"?"))))</f>
        <v/>
      </c>
    </row>
    <row r="601" customFormat="false" ht="15" hidden="false" customHeight="false" outlineLevel="0" collapsed="false">
      <c r="A601" s="37" t="n">
        <v>46244</v>
      </c>
      <c r="B601" s="44" t="s">
        <v>1099</v>
      </c>
      <c r="C601" s="44" t="s">
        <v>617</v>
      </c>
      <c r="D601" s="44" t="n">
        <v>1103101</v>
      </c>
      <c r="E601" s="44" t="s">
        <v>589</v>
      </c>
      <c r="F601" s="44" t="s">
        <v>1100</v>
      </c>
      <c r="G601" s="42" t="n">
        <v>99397880</v>
      </c>
      <c r="H601" s="42"/>
      <c r="I601" s="44" t="s">
        <v>774</v>
      </c>
      <c r="J601" s="11" t="n">
        <f aca="false">IF(D601="","",N(G601)-N(H601))</f>
        <v>99397880</v>
      </c>
      <c r="K601" s="34" t="str">
        <f aca="false">IF(D601="","",IFERROR(INDEX(I_COA!$C$6:$C$265,MATCH(D601,I_COA!$A$6:$A$265,0)),"AKUN BARU"))</f>
        <v>Neraca</v>
      </c>
      <c r="L601" s="34" t="str">
        <f aca="false">IF(K601="LabaRugi",INDEX(I_COA!$D$6:$D$265,MATCH(D601,I_COA!$A$6:$A$265,0)),"")</f>
        <v/>
      </c>
      <c r="M601" s="34" t="str">
        <f aca="false">IF(K601="Neraca",INDEX(I_COA!$E$6:$E$265,MATCH(D601,I_COA!$A$6:$A$265,0)),"")</f>
        <v>Trade Receivables - Third Parties</v>
      </c>
      <c r="N601" s="34" t="str">
        <f aca="false">IF(D601="","",IFERROR(INDEX(I_COA!$G$6:$G$265,MATCH(D601,I_COA!$A$6:$A$265,0)),"N"))</f>
        <v>N</v>
      </c>
      <c r="O601" s="11" t="n">
        <f aca="false">IF(N601="N",ABS(J601),"")</f>
        <v>99397880</v>
      </c>
      <c r="P601" s="18" t="str">
        <f aca="false">IF(N601="N",B601&amp;"|"&amp;ROUND(O601,0),"")</f>
        <v>KGR26/0240|99397880</v>
      </c>
      <c r="Q601" s="18" t="str">
        <f aca="false">IF(N601&lt;&gt;"Y","",IFERROR(INDEX($D$6:$D$4005,MATCH(B601&amp;"|"&amp;ROUND(_xlfn.MAXIFS($O$6:$O$4005,$B$6:$B$4005,B601,$N$6:$N$4005,"N"),0),$P$6:$P$4005,0)),"(tanpa lawan)"))</f>
        <v/>
      </c>
      <c r="R601" s="44"/>
      <c r="S601" s="9" t="str">
        <f aca="false">IF(N601&lt;&gt;"Y","",IF(R601&lt;&gt;"",R601,IF(Q601="(tanpa lawan)","Transfer antar rekening",IFERROR(INDEX(I_COA!$F$6:$F$265,MATCH(Q601,I_COA!$A$6:$A$265,0)),"?"))))</f>
        <v/>
      </c>
    </row>
    <row r="602" customFormat="false" ht="15" hidden="false" customHeight="false" outlineLevel="0" collapsed="false">
      <c r="A602" s="37" t="n">
        <v>46244</v>
      </c>
      <c r="B602" s="44" t="s">
        <v>1099</v>
      </c>
      <c r="C602" s="44" t="s">
        <v>617</v>
      </c>
      <c r="D602" s="44" t="n">
        <v>4101012</v>
      </c>
      <c r="E602" s="44" t="s">
        <v>619</v>
      </c>
      <c r="F602" s="44" t="s">
        <v>1100</v>
      </c>
      <c r="G602" s="42"/>
      <c r="H602" s="42" t="n">
        <v>99397880</v>
      </c>
      <c r="I602" s="44" t="s">
        <v>774</v>
      </c>
      <c r="J602" s="11" t="n">
        <f aca="false">IF(D602="","",N(G602)-N(H602))</f>
        <v>-99397880</v>
      </c>
      <c r="K602" s="34" t="str">
        <f aca="false">IF(D602="","",IFERROR(INDEX(I_COA!$C$6:$C$265,MATCH(D602,I_COA!$A$6:$A$265,0)),"AKUN BARU"))</f>
        <v>LabaRugi</v>
      </c>
      <c r="L602" s="34" t="str">
        <f aca="false">IF(K602="LabaRugi",INDEX(I_COA!$D$6:$D$265,MATCH(D602,I_COA!$A$6:$A$265,0)),"")</f>
        <v>Revenue - Trading</v>
      </c>
      <c r="M602" s="34" t="str">
        <f aca="false">IF(K602="Neraca",INDEX(I_COA!$E$6:$E$265,MATCH(D602,I_COA!$A$6:$A$265,0)),"")</f>
        <v/>
      </c>
      <c r="N602" s="34" t="str">
        <f aca="false">IF(D602="","",IFERROR(INDEX(I_COA!$G$6:$G$265,MATCH(D602,I_COA!$A$6:$A$265,0)),"N"))</f>
        <v>N</v>
      </c>
      <c r="O602" s="11" t="n">
        <f aca="false">IF(N602="N",ABS(J602),"")</f>
        <v>99397880</v>
      </c>
      <c r="P602" s="18" t="str">
        <f aca="false">IF(N602="N",B602&amp;"|"&amp;ROUND(O602,0),"")</f>
        <v>KGR26/0240|99397880</v>
      </c>
      <c r="Q602" s="18" t="str">
        <f aca="false">IF(N602&lt;&gt;"Y","",IFERROR(INDEX($D$6:$D$4005,MATCH(B602&amp;"|"&amp;ROUND(_xlfn.MAXIFS($O$6:$O$4005,$B$6:$B$4005,B602,$N$6:$N$4005,"N"),0),$P$6:$P$4005,0)),"(tanpa lawan)"))</f>
        <v/>
      </c>
      <c r="R602" s="44"/>
      <c r="S602" s="9" t="str">
        <f aca="false">IF(N602&lt;&gt;"Y","",IF(R602&lt;&gt;"",R602,IF(Q602="(tanpa lawan)","Transfer antar rekening",IFERROR(INDEX(I_COA!$F$6:$F$265,MATCH(Q602,I_COA!$A$6:$A$265,0)),"?"))))</f>
        <v/>
      </c>
    </row>
    <row r="603" customFormat="false" ht="15" hidden="false" customHeight="false" outlineLevel="0" collapsed="false">
      <c r="A603" s="37" t="n">
        <v>46244</v>
      </c>
      <c r="B603" s="44" t="s">
        <v>1099</v>
      </c>
      <c r="C603" s="44" t="s">
        <v>617</v>
      </c>
      <c r="D603" s="44" t="n">
        <v>5100011</v>
      </c>
      <c r="E603" s="44" t="s">
        <v>166</v>
      </c>
      <c r="F603" s="44" t="s">
        <v>1100</v>
      </c>
      <c r="G603" s="42" t="n">
        <v>89338638.45</v>
      </c>
      <c r="H603" s="42"/>
      <c r="I603" s="44" t="s">
        <v>774</v>
      </c>
      <c r="J603" s="11" t="n">
        <f aca="false">IF(D603="","",N(G603)-N(H603))</f>
        <v>89338638.45</v>
      </c>
      <c r="K603" s="34" t="str">
        <f aca="false">IF(D603="","",IFERROR(INDEX(I_COA!$C$6:$C$265,MATCH(D603,I_COA!$A$6:$A$265,0)),"AKUN BARU"))</f>
        <v>LabaRugi</v>
      </c>
      <c r="L603" s="34" t="str">
        <f aca="false">IF(K603="LabaRugi",INDEX(I_COA!$D$6:$D$265,MATCH(D603,I_COA!$A$6:$A$265,0)),"")</f>
        <v>COGS - Trading</v>
      </c>
      <c r="M603" s="34" t="str">
        <f aca="false">IF(K603="Neraca",INDEX(I_COA!$E$6:$E$265,MATCH(D603,I_COA!$A$6:$A$265,0)),"")</f>
        <v/>
      </c>
      <c r="N603" s="34" t="str">
        <f aca="false">IF(D603="","",IFERROR(INDEX(I_COA!$G$6:$G$265,MATCH(D603,I_COA!$A$6:$A$265,0)),"N"))</f>
        <v>N</v>
      </c>
      <c r="O603" s="11" t="n">
        <f aca="false">IF(N603="N",ABS(J603),"")</f>
        <v>89338638.45</v>
      </c>
      <c r="P603" s="18" t="str">
        <f aca="false">IF(N603="N",B603&amp;"|"&amp;ROUND(O603,0),"")</f>
        <v>KGR26/0240|89338638</v>
      </c>
      <c r="Q603" s="18" t="str">
        <f aca="false">IF(N603&lt;&gt;"Y","",IFERROR(INDEX($D$6:$D$4005,MATCH(B603&amp;"|"&amp;ROUND(_xlfn.MAXIFS($O$6:$O$4005,$B$6:$B$4005,B603,$N$6:$N$4005,"N"),0),$P$6:$P$4005,0)),"(tanpa lawan)"))</f>
        <v/>
      </c>
      <c r="R603" s="44"/>
      <c r="S603" s="9" t="str">
        <f aca="false">IF(N603&lt;&gt;"Y","",IF(R603&lt;&gt;"",R603,IF(Q603="(tanpa lawan)","Transfer antar rekening",IFERROR(INDEX(I_COA!$F$6:$F$265,MATCH(Q603,I_COA!$A$6:$A$265,0)),"?"))))</f>
        <v/>
      </c>
    </row>
    <row r="604" customFormat="false" ht="15" hidden="false" customHeight="false" outlineLevel="0" collapsed="false">
      <c r="A604" s="37" t="n">
        <v>46244</v>
      </c>
      <c r="B604" s="44" t="s">
        <v>1099</v>
      </c>
      <c r="C604" s="44" t="s">
        <v>617</v>
      </c>
      <c r="D604" s="44" t="n">
        <v>1104002</v>
      </c>
      <c r="E604" s="44" t="s">
        <v>601</v>
      </c>
      <c r="F604" s="44" t="s">
        <v>1100</v>
      </c>
      <c r="G604" s="42"/>
      <c r="H604" s="42" t="n">
        <v>89338638.45</v>
      </c>
      <c r="I604" s="44" t="s">
        <v>774</v>
      </c>
      <c r="J604" s="11" t="n">
        <f aca="false">IF(D604="","",N(G604)-N(H604))</f>
        <v>-89338638.45</v>
      </c>
      <c r="K604" s="34" t="str">
        <f aca="false">IF(D604="","",IFERROR(INDEX(I_COA!$C$6:$C$265,MATCH(D604,I_COA!$A$6:$A$265,0)),"AKUN BARU"))</f>
        <v>Neraca</v>
      </c>
      <c r="L604" s="34" t="str">
        <f aca="false">IF(K604="LabaRugi",INDEX(I_COA!$D$6:$D$265,MATCH(D604,I_COA!$A$6:$A$265,0)),"")</f>
        <v/>
      </c>
      <c r="M604" s="34" t="str">
        <f aca="false">IF(K604="Neraca",INDEX(I_COA!$E$6:$E$265,MATCH(D604,I_COA!$A$6:$A$265,0)),"")</f>
        <v>Inventory - Product</v>
      </c>
      <c r="N604" s="34" t="str">
        <f aca="false">IF(D604="","",IFERROR(INDEX(I_COA!$G$6:$G$265,MATCH(D604,I_COA!$A$6:$A$265,0)),"N"))</f>
        <v>N</v>
      </c>
      <c r="O604" s="11" t="n">
        <f aca="false">IF(N604="N",ABS(J604),"")</f>
        <v>89338638.45</v>
      </c>
      <c r="P604" s="18" t="str">
        <f aca="false">IF(N604="N",B604&amp;"|"&amp;ROUND(O604,0),"")</f>
        <v>KGR26/0240|89338638</v>
      </c>
      <c r="Q604" s="18" t="str">
        <f aca="false">IF(N604&lt;&gt;"Y","",IFERROR(INDEX($D$6:$D$4005,MATCH(B604&amp;"|"&amp;ROUND(_xlfn.MAXIFS($O$6:$O$4005,$B$6:$B$4005,B604,$N$6:$N$4005,"N"),0),$P$6:$P$4005,0)),"(tanpa lawan)"))</f>
        <v/>
      </c>
      <c r="R604" s="44"/>
      <c r="S604" s="9" t="str">
        <f aca="false">IF(N604&lt;&gt;"Y","",IF(R604&lt;&gt;"",R604,IF(Q604="(tanpa lawan)","Transfer antar rekening",IFERROR(INDEX(I_COA!$F$6:$F$265,MATCH(Q604,I_COA!$A$6:$A$265,0)),"?"))))</f>
        <v/>
      </c>
    </row>
    <row r="605" customFormat="false" ht="15" hidden="false" customHeight="false" outlineLevel="0" collapsed="false">
      <c r="A605" s="37" t="n">
        <v>46244</v>
      </c>
      <c r="B605" s="44" t="s">
        <v>1101</v>
      </c>
      <c r="C605" s="44" t="s">
        <v>617</v>
      </c>
      <c r="D605" s="44" t="n">
        <v>1103101</v>
      </c>
      <c r="E605" s="44" t="s">
        <v>589</v>
      </c>
      <c r="F605" s="44" t="s">
        <v>1102</v>
      </c>
      <c r="G605" s="42" t="n">
        <v>103260960</v>
      </c>
      <c r="H605" s="42"/>
      <c r="I605" s="44" t="s">
        <v>437</v>
      </c>
      <c r="J605" s="11" t="n">
        <f aca="false">IF(D605="","",N(G605)-N(H605))</f>
        <v>103260960</v>
      </c>
      <c r="K605" s="34" t="str">
        <f aca="false">IF(D605="","",IFERROR(INDEX(I_COA!$C$6:$C$265,MATCH(D605,I_COA!$A$6:$A$265,0)),"AKUN BARU"))</f>
        <v>Neraca</v>
      </c>
      <c r="L605" s="34" t="str">
        <f aca="false">IF(K605="LabaRugi",INDEX(I_COA!$D$6:$D$265,MATCH(D605,I_COA!$A$6:$A$265,0)),"")</f>
        <v/>
      </c>
      <c r="M605" s="34" t="str">
        <f aca="false">IF(K605="Neraca",INDEX(I_COA!$E$6:$E$265,MATCH(D605,I_COA!$A$6:$A$265,0)),"")</f>
        <v>Trade Receivables - Third Parties</v>
      </c>
      <c r="N605" s="34" t="str">
        <f aca="false">IF(D605="","",IFERROR(INDEX(I_COA!$G$6:$G$265,MATCH(D605,I_COA!$A$6:$A$265,0)),"N"))</f>
        <v>N</v>
      </c>
      <c r="O605" s="11" t="n">
        <f aca="false">IF(N605="N",ABS(J605),"")</f>
        <v>103260960</v>
      </c>
      <c r="P605" s="18" t="str">
        <f aca="false">IF(N605="N",B605&amp;"|"&amp;ROUND(O605,0),"")</f>
        <v>KGR26/0241|103260960</v>
      </c>
      <c r="Q605" s="18" t="str">
        <f aca="false">IF(N605&lt;&gt;"Y","",IFERROR(INDEX($D$6:$D$4005,MATCH(B605&amp;"|"&amp;ROUND(_xlfn.MAXIFS($O$6:$O$4005,$B$6:$B$4005,B605,$N$6:$N$4005,"N"),0),$P$6:$P$4005,0)),"(tanpa lawan)"))</f>
        <v/>
      </c>
      <c r="R605" s="44"/>
      <c r="S605" s="9" t="str">
        <f aca="false">IF(N605&lt;&gt;"Y","",IF(R605&lt;&gt;"",R605,IF(Q605="(tanpa lawan)","Transfer antar rekening",IFERROR(INDEX(I_COA!$F$6:$F$265,MATCH(Q605,I_COA!$A$6:$A$265,0)),"?"))))</f>
        <v/>
      </c>
    </row>
    <row r="606" customFormat="false" ht="15" hidden="false" customHeight="false" outlineLevel="0" collapsed="false">
      <c r="A606" s="37" t="n">
        <v>46244</v>
      </c>
      <c r="B606" s="44" t="s">
        <v>1101</v>
      </c>
      <c r="C606" s="44" t="s">
        <v>617</v>
      </c>
      <c r="D606" s="44" t="n">
        <v>4101012</v>
      </c>
      <c r="E606" s="44" t="s">
        <v>619</v>
      </c>
      <c r="F606" s="44" t="s">
        <v>1102</v>
      </c>
      <c r="G606" s="42"/>
      <c r="H606" s="42" t="n">
        <v>103260960</v>
      </c>
      <c r="I606" s="44" t="s">
        <v>437</v>
      </c>
      <c r="J606" s="11" t="n">
        <f aca="false">IF(D606="","",N(G606)-N(H606))</f>
        <v>-103260960</v>
      </c>
      <c r="K606" s="34" t="str">
        <f aca="false">IF(D606="","",IFERROR(INDEX(I_COA!$C$6:$C$265,MATCH(D606,I_COA!$A$6:$A$265,0)),"AKUN BARU"))</f>
        <v>LabaRugi</v>
      </c>
      <c r="L606" s="34" t="str">
        <f aca="false">IF(K606="LabaRugi",INDEX(I_COA!$D$6:$D$265,MATCH(D606,I_COA!$A$6:$A$265,0)),"")</f>
        <v>Revenue - Trading</v>
      </c>
      <c r="M606" s="34" t="str">
        <f aca="false">IF(K606="Neraca",INDEX(I_COA!$E$6:$E$265,MATCH(D606,I_COA!$A$6:$A$265,0)),"")</f>
        <v/>
      </c>
      <c r="N606" s="34" t="str">
        <f aca="false">IF(D606="","",IFERROR(INDEX(I_COA!$G$6:$G$265,MATCH(D606,I_COA!$A$6:$A$265,0)),"N"))</f>
        <v>N</v>
      </c>
      <c r="O606" s="11" t="n">
        <f aca="false">IF(N606="N",ABS(J606),"")</f>
        <v>103260960</v>
      </c>
      <c r="P606" s="18" t="str">
        <f aca="false">IF(N606="N",B606&amp;"|"&amp;ROUND(O606,0),"")</f>
        <v>KGR26/0241|103260960</v>
      </c>
      <c r="Q606" s="18" t="str">
        <f aca="false">IF(N606&lt;&gt;"Y","",IFERROR(INDEX($D$6:$D$4005,MATCH(B606&amp;"|"&amp;ROUND(_xlfn.MAXIFS($O$6:$O$4005,$B$6:$B$4005,B606,$N$6:$N$4005,"N"),0),$P$6:$P$4005,0)),"(tanpa lawan)"))</f>
        <v/>
      </c>
      <c r="R606" s="44"/>
      <c r="S606" s="9" t="str">
        <f aca="false">IF(N606&lt;&gt;"Y","",IF(R606&lt;&gt;"",R606,IF(Q606="(tanpa lawan)","Transfer antar rekening",IFERROR(INDEX(I_COA!$F$6:$F$265,MATCH(Q606,I_COA!$A$6:$A$265,0)),"?"))))</f>
        <v/>
      </c>
    </row>
    <row r="607" customFormat="false" ht="15" hidden="false" customHeight="false" outlineLevel="0" collapsed="false">
      <c r="A607" s="37" t="n">
        <v>46244</v>
      </c>
      <c r="B607" s="44" t="s">
        <v>1101</v>
      </c>
      <c r="C607" s="44" t="s">
        <v>617</v>
      </c>
      <c r="D607" s="44" t="n">
        <v>5100011</v>
      </c>
      <c r="E607" s="44" t="s">
        <v>166</v>
      </c>
      <c r="F607" s="44" t="s">
        <v>1102</v>
      </c>
      <c r="G607" s="42" t="n">
        <v>86328135.6</v>
      </c>
      <c r="H607" s="42"/>
      <c r="I607" s="44" t="s">
        <v>437</v>
      </c>
      <c r="J607" s="11" t="n">
        <f aca="false">IF(D607="","",N(G607)-N(H607))</f>
        <v>86328135.6</v>
      </c>
      <c r="K607" s="34" t="str">
        <f aca="false">IF(D607="","",IFERROR(INDEX(I_COA!$C$6:$C$265,MATCH(D607,I_COA!$A$6:$A$265,0)),"AKUN BARU"))</f>
        <v>LabaRugi</v>
      </c>
      <c r="L607" s="34" t="str">
        <f aca="false">IF(K607="LabaRugi",INDEX(I_COA!$D$6:$D$265,MATCH(D607,I_COA!$A$6:$A$265,0)),"")</f>
        <v>COGS - Trading</v>
      </c>
      <c r="M607" s="34" t="str">
        <f aca="false">IF(K607="Neraca",INDEX(I_COA!$E$6:$E$265,MATCH(D607,I_COA!$A$6:$A$265,0)),"")</f>
        <v/>
      </c>
      <c r="N607" s="34" t="str">
        <f aca="false">IF(D607="","",IFERROR(INDEX(I_COA!$G$6:$G$265,MATCH(D607,I_COA!$A$6:$A$265,0)),"N"))</f>
        <v>N</v>
      </c>
      <c r="O607" s="11" t="n">
        <f aca="false">IF(N607="N",ABS(J607),"")</f>
        <v>86328135.6</v>
      </c>
      <c r="P607" s="18" t="str">
        <f aca="false">IF(N607="N",B607&amp;"|"&amp;ROUND(O607,0),"")</f>
        <v>KGR26/0241|86328136</v>
      </c>
      <c r="Q607" s="18" t="str">
        <f aca="false">IF(N607&lt;&gt;"Y","",IFERROR(INDEX($D$6:$D$4005,MATCH(B607&amp;"|"&amp;ROUND(_xlfn.MAXIFS($O$6:$O$4005,$B$6:$B$4005,B607,$N$6:$N$4005,"N"),0),$P$6:$P$4005,0)),"(tanpa lawan)"))</f>
        <v/>
      </c>
      <c r="R607" s="44"/>
      <c r="S607" s="9" t="str">
        <f aca="false">IF(N607&lt;&gt;"Y","",IF(R607&lt;&gt;"",R607,IF(Q607="(tanpa lawan)","Transfer antar rekening",IFERROR(INDEX(I_COA!$F$6:$F$265,MATCH(Q607,I_COA!$A$6:$A$265,0)),"?"))))</f>
        <v/>
      </c>
    </row>
    <row r="608" customFormat="false" ht="15" hidden="false" customHeight="false" outlineLevel="0" collapsed="false">
      <c r="A608" s="37" t="n">
        <v>46244</v>
      </c>
      <c r="B608" s="44" t="s">
        <v>1101</v>
      </c>
      <c r="C608" s="44" t="s">
        <v>617</v>
      </c>
      <c r="D608" s="44" t="n">
        <v>1104002</v>
      </c>
      <c r="E608" s="44" t="s">
        <v>601</v>
      </c>
      <c r="F608" s="44" t="s">
        <v>1102</v>
      </c>
      <c r="G608" s="42"/>
      <c r="H608" s="42" t="n">
        <v>86328135.6</v>
      </c>
      <c r="I608" s="44" t="s">
        <v>437</v>
      </c>
      <c r="J608" s="11" t="n">
        <f aca="false">IF(D608="","",N(G608)-N(H608))</f>
        <v>-86328135.6</v>
      </c>
      <c r="K608" s="34" t="str">
        <f aca="false">IF(D608="","",IFERROR(INDEX(I_COA!$C$6:$C$265,MATCH(D608,I_COA!$A$6:$A$265,0)),"AKUN BARU"))</f>
        <v>Neraca</v>
      </c>
      <c r="L608" s="34" t="str">
        <f aca="false">IF(K608="LabaRugi",INDEX(I_COA!$D$6:$D$265,MATCH(D608,I_COA!$A$6:$A$265,0)),"")</f>
        <v/>
      </c>
      <c r="M608" s="34" t="str">
        <f aca="false">IF(K608="Neraca",INDEX(I_COA!$E$6:$E$265,MATCH(D608,I_COA!$A$6:$A$265,0)),"")</f>
        <v>Inventory - Product</v>
      </c>
      <c r="N608" s="34" t="str">
        <f aca="false">IF(D608="","",IFERROR(INDEX(I_COA!$G$6:$G$265,MATCH(D608,I_COA!$A$6:$A$265,0)),"N"))</f>
        <v>N</v>
      </c>
      <c r="O608" s="11" t="n">
        <f aca="false">IF(N608="N",ABS(J608),"")</f>
        <v>86328135.6</v>
      </c>
      <c r="P608" s="18" t="str">
        <f aca="false">IF(N608="N",B608&amp;"|"&amp;ROUND(O608,0),"")</f>
        <v>KGR26/0241|86328136</v>
      </c>
      <c r="Q608" s="18" t="str">
        <f aca="false">IF(N608&lt;&gt;"Y","",IFERROR(INDEX($D$6:$D$4005,MATCH(B608&amp;"|"&amp;ROUND(_xlfn.MAXIFS($O$6:$O$4005,$B$6:$B$4005,B608,$N$6:$N$4005,"N"),0),$P$6:$P$4005,0)),"(tanpa lawan)"))</f>
        <v/>
      </c>
      <c r="R608" s="44"/>
      <c r="S608" s="9" t="str">
        <f aca="false">IF(N608&lt;&gt;"Y","",IF(R608&lt;&gt;"",R608,IF(Q608="(tanpa lawan)","Transfer antar rekening",IFERROR(INDEX(I_COA!$F$6:$F$265,MATCH(Q608,I_COA!$A$6:$A$265,0)),"?"))))</f>
        <v/>
      </c>
    </row>
    <row r="609" customFormat="false" ht="15" hidden="false" customHeight="false" outlineLevel="0" collapsed="false">
      <c r="A609" s="37" t="n">
        <v>46244</v>
      </c>
      <c r="B609" s="44" t="s">
        <v>1103</v>
      </c>
      <c r="C609" s="44" t="s">
        <v>617</v>
      </c>
      <c r="D609" s="44" t="n">
        <v>1103101</v>
      </c>
      <c r="E609" s="44" t="s">
        <v>589</v>
      </c>
      <c r="F609" s="44" t="s">
        <v>1104</v>
      </c>
      <c r="G609" s="42" t="n">
        <v>105330640</v>
      </c>
      <c r="H609" s="42"/>
      <c r="I609" s="44" t="s">
        <v>437</v>
      </c>
      <c r="J609" s="11" t="n">
        <f aca="false">IF(D609="","",N(G609)-N(H609))</f>
        <v>105330640</v>
      </c>
      <c r="K609" s="34" t="str">
        <f aca="false">IF(D609="","",IFERROR(INDEX(I_COA!$C$6:$C$265,MATCH(D609,I_COA!$A$6:$A$265,0)),"AKUN BARU"))</f>
        <v>Neraca</v>
      </c>
      <c r="L609" s="34" t="str">
        <f aca="false">IF(K609="LabaRugi",INDEX(I_COA!$D$6:$D$265,MATCH(D609,I_COA!$A$6:$A$265,0)),"")</f>
        <v/>
      </c>
      <c r="M609" s="34" t="str">
        <f aca="false">IF(K609="Neraca",INDEX(I_COA!$E$6:$E$265,MATCH(D609,I_COA!$A$6:$A$265,0)),"")</f>
        <v>Trade Receivables - Third Parties</v>
      </c>
      <c r="N609" s="34" t="str">
        <f aca="false">IF(D609="","",IFERROR(INDEX(I_COA!$G$6:$G$265,MATCH(D609,I_COA!$A$6:$A$265,0)),"N"))</f>
        <v>N</v>
      </c>
      <c r="O609" s="11" t="n">
        <f aca="false">IF(N609="N",ABS(J609),"")</f>
        <v>105330640</v>
      </c>
      <c r="P609" s="18" t="str">
        <f aca="false">IF(N609="N",B609&amp;"|"&amp;ROUND(O609,0),"")</f>
        <v>KGR26/0242|105330640</v>
      </c>
      <c r="Q609" s="18" t="str">
        <f aca="false">IF(N609&lt;&gt;"Y","",IFERROR(INDEX($D$6:$D$4005,MATCH(B609&amp;"|"&amp;ROUND(_xlfn.MAXIFS($O$6:$O$4005,$B$6:$B$4005,B609,$N$6:$N$4005,"N"),0),$P$6:$P$4005,0)),"(tanpa lawan)"))</f>
        <v/>
      </c>
      <c r="R609" s="44"/>
      <c r="S609" s="9" t="str">
        <f aca="false">IF(N609&lt;&gt;"Y","",IF(R609&lt;&gt;"",R609,IF(Q609="(tanpa lawan)","Transfer antar rekening",IFERROR(INDEX(I_COA!$F$6:$F$265,MATCH(Q609,I_COA!$A$6:$A$265,0)),"?"))))</f>
        <v/>
      </c>
    </row>
    <row r="610" customFormat="false" ht="15" hidden="false" customHeight="false" outlineLevel="0" collapsed="false">
      <c r="A610" s="37" t="n">
        <v>46244</v>
      </c>
      <c r="B610" s="44" t="s">
        <v>1103</v>
      </c>
      <c r="C610" s="44" t="s">
        <v>617</v>
      </c>
      <c r="D610" s="44" t="n">
        <v>4101012</v>
      </c>
      <c r="E610" s="44" t="s">
        <v>619</v>
      </c>
      <c r="F610" s="44" t="s">
        <v>1104</v>
      </c>
      <c r="G610" s="42"/>
      <c r="H610" s="42" t="n">
        <v>105330640</v>
      </c>
      <c r="I610" s="44" t="s">
        <v>437</v>
      </c>
      <c r="J610" s="11" t="n">
        <f aca="false">IF(D610="","",N(G610)-N(H610))</f>
        <v>-105330640</v>
      </c>
      <c r="K610" s="34" t="str">
        <f aca="false">IF(D610="","",IFERROR(INDEX(I_COA!$C$6:$C$265,MATCH(D610,I_COA!$A$6:$A$265,0)),"AKUN BARU"))</f>
        <v>LabaRugi</v>
      </c>
      <c r="L610" s="34" t="str">
        <f aca="false">IF(K610="LabaRugi",INDEX(I_COA!$D$6:$D$265,MATCH(D610,I_COA!$A$6:$A$265,0)),"")</f>
        <v>Revenue - Trading</v>
      </c>
      <c r="M610" s="34" t="str">
        <f aca="false">IF(K610="Neraca",INDEX(I_COA!$E$6:$E$265,MATCH(D610,I_COA!$A$6:$A$265,0)),"")</f>
        <v/>
      </c>
      <c r="N610" s="34" t="str">
        <f aca="false">IF(D610="","",IFERROR(INDEX(I_COA!$G$6:$G$265,MATCH(D610,I_COA!$A$6:$A$265,0)),"N"))</f>
        <v>N</v>
      </c>
      <c r="O610" s="11" t="n">
        <f aca="false">IF(N610="N",ABS(J610),"")</f>
        <v>105330640</v>
      </c>
      <c r="P610" s="18" t="str">
        <f aca="false">IF(N610="N",B610&amp;"|"&amp;ROUND(O610,0),"")</f>
        <v>KGR26/0242|105330640</v>
      </c>
      <c r="Q610" s="18" t="str">
        <f aca="false">IF(N610&lt;&gt;"Y","",IFERROR(INDEX($D$6:$D$4005,MATCH(B610&amp;"|"&amp;ROUND(_xlfn.MAXIFS($O$6:$O$4005,$B$6:$B$4005,B610,$N$6:$N$4005,"N"),0),$P$6:$P$4005,0)),"(tanpa lawan)"))</f>
        <v/>
      </c>
      <c r="R610" s="44"/>
      <c r="S610" s="9" t="str">
        <f aca="false">IF(N610&lt;&gt;"Y","",IF(R610&lt;&gt;"",R610,IF(Q610="(tanpa lawan)","Transfer antar rekening",IFERROR(INDEX(I_COA!$F$6:$F$265,MATCH(Q610,I_COA!$A$6:$A$265,0)),"?"))))</f>
        <v/>
      </c>
    </row>
    <row r="611" customFormat="false" ht="15" hidden="false" customHeight="false" outlineLevel="0" collapsed="false">
      <c r="A611" s="37" t="n">
        <v>46244</v>
      </c>
      <c r="B611" s="44" t="s">
        <v>1103</v>
      </c>
      <c r="C611" s="44" t="s">
        <v>617</v>
      </c>
      <c r="D611" s="44" t="n">
        <v>5100011</v>
      </c>
      <c r="E611" s="44" t="s">
        <v>166</v>
      </c>
      <c r="F611" s="44" t="s">
        <v>1104</v>
      </c>
      <c r="G611" s="42" t="n">
        <v>88058427.63</v>
      </c>
      <c r="H611" s="42"/>
      <c r="I611" s="44" t="s">
        <v>437</v>
      </c>
      <c r="J611" s="11" t="n">
        <f aca="false">IF(D611="","",N(G611)-N(H611))</f>
        <v>88058427.63</v>
      </c>
      <c r="K611" s="34" t="str">
        <f aca="false">IF(D611="","",IFERROR(INDEX(I_COA!$C$6:$C$265,MATCH(D611,I_COA!$A$6:$A$265,0)),"AKUN BARU"))</f>
        <v>LabaRugi</v>
      </c>
      <c r="L611" s="34" t="str">
        <f aca="false">IF(K611="LabaRugi",INDEX(I_COA!$D$6:$D$265,MATCH(D611,I_COA!$A$6:$A$265,0)),"")</f>
        <v>COGS - Trading</v>
      </c>
      <c r="M611" s="34" t="str">
        <f aca="false">IF(K611="Neraca",INDEX(I_COA!$E$6:$E$265,MATCH(D611,I_COA!$A$6:$A$265,0)),"")</f>
        <v/>
      </c>
      <c r="N611" s="34" t="str">
        <f aca="false">IF(D611="","",IFERROR(INDEX(I_COA!$G$6:$G$265,MATCH(D611,I_COA!$A$6:$A$265,0)),"N"))</f>
        <v>N</v>
      </c>
      <c r="O611" s="11" t="n">
        <f aca="false">IF(N611="N",ABS(J611),"")</f>
        <v>88058427.63</v>
      </c>
      <c r="P611" s="18" t="str">
        <f aca="false">IF(N611="N",B611&amp;"|"&amp;ROUND(O611,0),"")</f>
        <v>KGR26/0242|88058428</v>
      </c>
      <c r="Q611" s="18" t="str">
        <f aca="false">IF(N611&lt;&gt;"Y","",IFERROR(INDEX($D$6:$D$4005,MATCH(B611&amp;"|"&amp;ROUND(_xlfn.MAXIFS($O$6:$O$4005,$B$6:$B$4005,B611,$N$6:$N$4005,"N"),0),$P$6:$P$4005,0)),"(tanpa lawan)"))</f>
        <v/>
      </c>
      <c r="R611" s="44"/>
      <c r="S611" s="9" t="str">
        <f aca="false">IF(N611&lt;&gt;"Y","",IF(R611&lt;&gt;"",R611,IF(Q611="(tanpa lawan)","Transfer antar rekening",IFERROR(INDEX(I_COA!$F$6:$F$265,MATCH(Q611,I_COA!$A$6:$A$265,0)),"?"))))</f>
        <v/>
      </c>
    </row>
    <row r="612" customFormat="false" ht="15" hidden="false" customHeight="false" outlineLevel="0" collapsed="false">
      <c r="A612" s="37" t="n">
        <v>46244</v>
      </c>
      <c r="B612" s="44" t="s">
        <v>1103</v>
      </c>
      <c r="C612" s="44" t="s">
        <v>617</v>
      </c>
      <c r="D612" s="44" t="n">
        <v>1104002</v>
      </c>
      <c r="E612" s="44" t="s">
        <v>601</v>
      </c>
      <c r="F612" s="44" t="s">
        <v>1104</v>
      </c>
      <c r="G612" s="42"/>
      <c r="H612" s="42" t="n">
        <v>88058427.63</v>
      </c>
      <c r="I612" s="44" t="s">
        <v>437</v>
      </c>
      <c r="J612" s="11" t="n">
        <f aca="false">IF(D612="","",N(G612)-N(H612))</f>
        <v>-88058427.63</v>
      </c>
      <c r="K612" s="34" t="str">
        <f aca="false">IF(D612="","",IFERROR(INDEX(I_COA!$C$6:$C$265,MATCH(D612,I_COA!$A$6:$A$265,0)),"AKUN BARU"))</f>
        <v>Neraca</v>
      </c>
      <c r="L612" s="34" t="str">
        <f aca="false">IF(K612="LabaRugi",INDEX(I_COA!$D$6:$D$265,MATCH(D612,I_COA!$A$6:$A$265,0)),"")</f>
        <v/>
      </c>
      <c r="M612" s="34" t="str">
        <f aca="false">IF(K612="Neraca",INDEX(I_COA!$E$6:$E$265,MATCH(D612,I_COA!$A$6:$A$265,0)),"")</f>
        <v>Inventory - Product</v>
      </c>
      <c r="N612" s="34" t="str">
        <f aca="false">IF(D612="","",IFERROR(INDEX(I_COA!$G$6:$G$265,MATCH(D612,I_COA!$A$6:$A$265,0)),"N"))</f>
        <v>N</v>
      </c>
      <c r="O612" s="11" t="n">
        <f aca="false">IF(N612="N",ABS(J612),"")</f>
        <v>88058427.63</v>
      </c>
      <c r="P612" s="18" t="str">
        <f aca="false">IF(N612="N",B612&amp;"|"&amp;ROUND(O612,0),"")</f>
        <v>KGR26/0242|88058428</v>
      </c>
      <c r="Q612" s="18" t="str">
        <f aca="false">IF(N612&lt;&gt;"Y","",IFERROR(INDEX($D$6:$D$4005,MATCH(B612&amp;"|"&amp;ROUND(_xlfn.MAXIFS($O$6:$O$4005,$B$6:$B$4005,B612,$N$6:$N$4005,"N"),0),$P$6:$P$4005,0)),"(tanpa lawan)"))</f>
        <v/>
      </c>
      <c r="R612" s="44"/>
      <c r="S612" s="9" t="str">
        <f aca="false">IF(N612&lt;&gt;"Y","",IF(R612&lt;&gt;"",R612,IF(Q612="(tanpa lawan)","Transfer antar rekening",IFERROR(INDEX(I_COA!$F$6:$F$265,MATCH(Q612,I_COA!$A$6:$A$265,0)),"?"))))</f>
        <v/>
      </c>
    </row>
    <row r="613" customFormat="false" ht="15" hidden="false" customHeight="false" outlineLevel="0" collapsed="false">
      <c r="A613" s="37" t="n">
        <v>46244</v>
      </c>
      <c r="B613" s="44" t="s">
        <v>1105</v>
      </c>
      <c r="C613" s="44" t="s">
        <v>707</v>
      </c>
      <c r="D613" s="44" t="n">
        <v>1103121</v>
      </c>
      <c r="E613" s="44" t="s">
        <v>685</v>
      </c>
      <c r="F613" s="44" t="s">
        <v>1106</v>
      </c>
      <c r="G613" s="42" t="n">
        <v>355650000</v>
      </c>
      <c r="H613" s="42"/>
      <c r="I613" s="44" t="s">
        <v>1107</v>
      </c>
      <c r="J613" s="11" t="n">
        <f aca="false">IF(D613="","",N(G613)-N(H613))</f>
        <v>355650000</v>
      </c>
      <c r="K613" s="34" t="str">
        <f aca="false">IF(D613="","",IFERROR(INDEX(I_COA!$C$6:$C$265,MATCH(D613,I_COA!$A$6:$A$265,0)),"AKUN BARU"))</f>
        <v>Neraca</v>
      </c>
      <c r="L613" s="34" t="str">
        <f aca="false">IF(K613="LabaRugi",INDEX(I_COA!$D$6:$D$265,MATCH(D613,I_COA!$A$6:$A$265,0)),"")</f>
        <v/>
      </c>
      <c r="M613" s="34" t="str">
        <f aca="false">IF(K613="Neraca",INDEX(I_COA!$E$6:$E$265,MATCH(D613,I_COA!$A$6:$A$265,0)),"")</f>
        <v>Advance Payment</v>
      </c>
      <c r="N613" s="34" t="str">
        <f aca="false">IF(D613="","",IFERROR(INDEX(I_COA!$G$6:$G$265,MATCH(D613,I_COA!$A$6:$A$265,0)),"N"))</f>
        <v>N</v>
      </c>
      <c r="O613" s="11" t="n">
        <f aca="false">IF(N613="N",ABS(J613),"")</f>
        <v>355650000</v>
      </c>
      <c r="P613" s="18" t="str">
        <f aca="false">IF(N613="N",B613&amp;"|"&amp;ROUND(O613,0),"")</f>
        <v>PI26080004|355650000</v>
      </c>
      <c r="Q613" s="18" t="str">
        <f aca="false">IF(N613&lt;&gt;"Y","",IFERROR(INDEX($D$6:$D$4005,MATCH(B613&amp;"|"&amp;ROUND(_xlfn.MAXIFS($O$6:$O$4005,$B$6:$B$4005,B613,$N$6:$N$4005,"N"),0),$P$6:$P$4005,0)),"(tanpa lawan)"))</f>
        <v/>
      </c>
      <c r="R613" s="44"/>
      <c r="S613" s="9" t="str">
        <f aca="false">IF(N613&lt;&gt;"Y","",IF(R613&lt;&gt;"",R613,IF(Q613="(tanpa lawan)","Transfer antar rekening",IFERROR(INDEX(I_COA!$F$6:$F$265,MATCH(Q613,I_COA!$A$6:$A$265,0)),"?"))))</f>
        <v/>
      </c>
    </row>
    <row r="614" customFormat="false" ht="15" hidden="false" customHeight="false" outlineLevel="0" collapsed="false">
      <c r="A614" s="37" t="n">
        <v>46244</v>
      </c>
      <c r="B614" s="44" t="s">
        <v>1105</v>
      </c>
      <c r="C614" s="44" t="s">
        <v>707</v>
      </c>
      <c r="D614" s="44" t="n">
        <v>2101003</v>
      </c>
      <c r="E614" s="44" t="s">
        <v>679</v>
      </c>
      <c r="F614" s="44" t="s">
        <v>1106</v>
      </c>
      <c r="G614" s="42"/>
      <c r="H614" s="42" t="n">
        <v>355650000</v>
      </c>
      <c r="I614" s="44" t="s">
        <v>1107</v>
      </c>
      <c r="J614" s="11" t="n">
        <f aca="false">IF(D614="","",N(G614)-N(H614))</f>
        <v>-355650000</v>
      </c>
      <c r="K614" s="34" t="str">
        <f aca="false">IF(D614="","",IFERROR(INDEX(I_COA!$C$6:$C$265,MATCH(D614,I_COA!$A$6:$A$265,0)),"AKUN BARU"))</f>
        <v>Neraca</v>
      </c>
      <c r="L614" s="34" t="str">
        <f aca="false">IF(K614="LabaRugi",INDEX(I_COA!$D$6:$D$265,MATCH(D614,I_COA!$A$6:$A$265,0)),"")</f>
        <v/>
      </c>
      <c r="M614" s="34" t="str">
        <f aca="false">IF(K614="Neraca",INDEX(I_COA!$E$6:$E$265,MATCH(D614,I_COA!$A$6:$A$265,0)),"")</f>
        <v>Other Payable - Third Parties</v>
      </c>
      <c r="N614" s="34" t="str">
        <f aca="false">IF(D614="","",IFERROR(INDEX(I_COA!$G$6:$G$265,MATCH(D614,I_COA!$A$6:$A$265,0)),"N"))</f>
        <v>N</v>
      </c>
      <c r="O614" s="11" t="n">
        <f aca="false">IF(N614="N",ABS(J614),"")</f>
        <v>355650000</v>
      </c>
      <c r="P614" s="18" t="str">
        <f aca="false">IF(N614="N",B614&amp;"|"&amp;ROUND(O614,0),"")</f>
        <v>PI26080004|355650000</v>
      </c>
      <c r="Q614" s="18" t="str">
        <f aca="false">IF(N614&lt;&gt;"Y","",IFERROR(INDEX($D$6:$D$4005,MATCH(B614&amp;"|"&amp;ROUND(_xlfn.MAXIFS($O$6:$O$4005,$B$6:$B$4005,B614,$N$6:$N$4005,"N"),0),$P$6:$P$4005,0)),"(tanpa lawan)"))</f>
        <v/>
      </c>
      <c r="R614" s="44"/>
      <c r="S614" s="9" t="str">
        <f aca="false">IF(N614&lt;&gt;"Y","",IF(R614&lt;&gt;"",R614,IF(Q614="(tanpa lawan)","Transfer antar rekening",IFERROR(INDEX(I_COA!$F$6:$F$265,MATCH(Q614,I_COA!$A$6:$A$265,0)),"?"))))</f>
        <v/>
      </c>
    </row>
    <row r="615" customFormat="false" ht="15" hidden="false" customHeight="false" outlineLevel="0" collapsed="false">
      <c r="A615" s="37" t="n">
        <v>46244</v>
      </c>
      <c r="B615" s="44" t="s">
        <v>1108</v>
      </c>
      <c r="C615" s="44" t="s">
        <v>707</v>
      </c>
      <c r="D615" s="44" t="n">
        <v>6200012</v>
      </c>
      <c r="E615" s="44" t="s">
        <v>737</v>
      </c>
      <c r="F615" s="44" t="s">
        <v>1109</v>
      </c>
      <c r="G615" s="42" t="n">
        <v>300000</v>
      </c>
      <c r="H615" s="42"/>
      <c r="I615" s="44" t="s">
        <v>1110</v>
      </c>
      <c r="J615" s="11" t="n">
        <f aca="false">IF(D615="","",N(G615)-N(H615))</f>
        <v>300000</v>
      </c>
      <c r="K615" s="34" t="str">
        <f aca="false">IF(D615="","",IFERROR(INDEX(I_COA!$C$6:$C$265,MATCH(D615,I_COA!$A$6:$A$265,0)),"AKUN BARU"))</f>
        <v>LabaRugi</v>
      </c>
      <c r="L615" s="34" t="str">
        <f aca="false">IF(K615="LabaRugi",INDEX(I_COA!$D$6:$D$265,MATCH(D615,I_COA!$A$6:$A$265,0)),"")</f>
        <v>Office Supplies &amp; Utilities</v>
      </c>
      <c r="M615" s="34" t="str">
        <f aca="false">IF(K615="Neraca",INDEX(I_COA!$E$6:$E$265,MATCH(D615,I_COA!$A$6:$A$265,0)),"")</f>
        <v/>
      </c>
      <c r="N615" s="34" t="str">
        <f aca="false">IF(D615="","",IFERROR(INDEX(I_COA!$G$6:$G$265,MATCH(D615,I_COA!$A$6:$A$265,0)),"N"))</f>
        <v>N</v>
      </c>
      <c r="O615" s="11" t="n">
        <f aca="false">IF(N615="N",ABS(J615),"")</f>
        <v>300000</v>
      </c>
      <c r="P615" s="18" t="str">
        <f aca="false">IF(N615="N",B615&amp;"|"&amp;ROUND(O615,0),"")</f>
        <v>PI26080009|300000</v>
      </c>
      <c r="Q615" s="18" t="str">
        <f aca="false">IF(N615&lt;&gt;"Y","",IFERROR(INDEX($D$6:$D$4005,MATCH(B615&amp;"|"&amp;ROUND(_xlfn.MAXIFS($O$6:$O$4005,$B$6:$B$4005,B615,$N$6:$N$4005,"N"),0),$P$6:$P$4005,0)),"(tanpa lawan)"))</f>
        <v/>
      </c>
      <c r="R615" s="44"/>
      <c r="S615" s="9" t="str">
        <f aca="false">IF(N615&lt;&gt;"Y","",IF(R615&lt;&gt;"",R615,IF(Q615="(tanpa lawan)","Transfer antar rekening",IFERROR(INDEX(I_COA!$F$6:$F$265,MATCH(Q615,I_COA!$A$6:$A$265,0)),"?"))))</f>
        <v/>
      </c>
    </row>
    <row r="616" customFormat="false" ht="15" hidden="false" customHeight="false" outlineLevel="0" collapsed="false">
      <c r="A616" s="37" t="n">
        <v>46244</v>
      </c>
      <c r="B616" s="44" t="s">
        <v>1108</v>
      </c>
      <c r="C616" s="44" t="s">
        <v>707</v>
      </c>
      <c r="D616" s="44" t="n">
        <v>2102003</v>
      </c>
      <c r="E616" s="44" t="s">
        <v>722</v>
      </c>
      <c r="F616" s="44" t="s">
        <v>1111</v>
      </c>
      <c r="G616" s="42"/>
      <c r="H616" s="42" t="n">
        <v>6000</v>
      </c>
      <c r="I616" s="44" t="s">
        <v>1110</v>
      </c>
      <c r="J616" s="11" t="n">
        <f aca="false">IF(D616="","",N(G616)-N(H616))</f>
        <v>-6000</v>
      </c>
      <c r="K616" s="34" t="str">
        <f aca="false">IF(D616="","",IFERROR(INDEX(I_COA!$C$6:$C$265,MATCH(D616,I_COA!$A$6:$A$265,0)),"AKUN BARU"))</f>
        <v>Neraca</v>
      </c>
      <c r="L616" s="34" t="str">
        <f aca="false">IF(K616="LabaRugi",INDEX(I_COA!$D$6:$D$265,MATCH(D616,I_COA!$A$6:$A$265,0)),"")</f>
        <v/>
      </c>
      <c r="M616" s="34" t="str">
        <f aca="false">IF(K616="Neraca",INDEX(I_COA!$E$6:$E$265,MATCH(D616,I_COA!$A$6:$A$265,0)),"")</f>
        <v>Taxes Payable</v>
      </c>
      <c r="N616" s="34" t="str">
        <f aca="false">IF(D616="","",IFERROR(INDEX(I_COA!$G$6:$G$265,MATCH(D616,I_COA!$A$6:$A$265,0)),"N"))</f>
        <v>N</v>
      </c>
      <c r="O616" s="11" t="n">
        <f aca="false">IF(N616="N",ABS(J616),"")</f>
        <v>6000</v>
      </c>
      <c r="P616" s="18" t="str">
        <f aca="false">IF(N616="N",B616&amp;"|"&amp;ROUND(O616,0),"")</f>
        <v>PI26080009|6000</v>
      </c>
      <c r="Q616" s="18" t="str">
        <f aca="false">IF(N616&lt;&gt;"Y","",IFERROR(INDEX($D$6:$D$4005,MATCH(B616&amp;"|"&amp;ROUND(_xlfn.MAXIFS($O$6:$O$4005,$B$6:$B$4005,B616,$N$6:$N$4005,"N"),0),$P$6:$P$4005,0)),"(tanpa lawan)"))</f>
        <v/>
      </c>
      <c r="R616" s="44"/>
      <c r="S616" s="9" t="str">
        <f aca="false">IF(N616&lt;&gt;"Y","",IF(R616&lt;&gt;"",R616,IF(Q616="(tanpa lawan)","Transfer antar rekening",IFERROR(INDEX(I_COA!$F$6:$F$265,MATCH(Q616,I_COA!$A$6:$A$265,0)),"?"))))</f>
        <v/>
      </c>
    </row>
    <row r="617" customFormat="false" ht="15" hidden="false" customHeight="false" outlineLevel="0" collapsed="false">
      <c r="A617" s="37" t="n">
        <v>46244</v>
      </c>
      <c r="B617" s="44" t="s">
        <v>1108</v>
      </c>
      <c r="C617" s="44" t="s">
        <v>707</v>
      </c>
      <c r="D617" s="44" t="n">
        <v>1106001</v>
      </c>
      <c r="E617" s="44" t="s">
        <v>720</v>
      </c>
      <c r="F617" s="44" t="s">
        <v>1112</v>
      </c>
      <c r="G617" s="42" t="n">
        <v>33000</v>
      </c>
      <c r="H617" s="42"/>
      <c r="I617" s="44" t="s">
        <v>1110</v>
      </c>
      <c r="J617" s="11" t="n">
        <f aca="false">IF(D617="","",N(G617)-N(H617))</f>
        <v>33000</v>
      </c>
      <c r="K617" s="34" t="str">
        <f aca="false">IF(D617="","",IFERROR(INDEX(I_COA!$C$6:$C$265,MATCH(D617,I_COA!$A$6:$A$265,0)),"AKUN BARU"))</f>
        <v>Neraca</v>
      </c>
      <c r="L617" s="34" t="str">
        <f aca="false">IF(K617="LabaRugi",INDEX(I_COA!$D$6:$D$265,MATCH(D617,I_COA!$A$6:$A$265,0)),"")</f>
        <v/>
      </c>
      <c r="M617" s="34" t="str">
        <f aca="false">IF(K617="Neraca",INDEX(I_COA!$E$6:$E$265,MATCH(D617,I_COA!$A$6:$A$265,0)),"")</f>
        <v>Prepaid Tax</v>
      </c>
      <c r="N617" s="34" t="str">
        <f aca="false">IF(D617="","",IFERROR(INDEX(I_COA!$G$6:$G$265,MATCH(D617,I_COA!$A$6:$A$265,0)),"N"))</f>
        <v>N</v>
      </c>
      <c r="O617" s="11" t="n">
        <f aca="false">IF(N617="N",ABS(J617),"")</f>
        <v>33000</v>
      </c>
      <c r="P617" s="18" t="str">
        <f aca="false">IF(N617="N",B617&amp;"|"&amp;ROUND(O617,0),"")</f>
        <v>PI26080009|33000</v>
      </c>
      <c r="Q617" s="18" t="str">
        <f aca="false">IF(N617&lt;&gt;"Y","",IFERROR(INDEX($D$6:$D$4005,MATCH(B617&amp;"|"&amp;ROUND(_xlfn.MAXIFS($O$6:$O$4005,$B$6:$B$4005,B617,$N$6:$N$4005,"N"),0),$P$6:$P$4005,0)),"(tanpa lawan)"))</f>
        <v/>
      </c>
      <c r="R617" s="44"/>
      <c r="S617" s="9" t="str">
        <f aca="false">IF(N617&lt;&gt;"Y","",IF(R617&lt;&gt;"",R617,IF(Q617="(tanpa lawan)","Transfer antar rekening",IFERROR(INDEX(I_COA!$F$6:$F$265,MATCH(Q617,I_COA!$A$6:$A$265,0)),"?"))))</f>
        <v/>
      </c>
    </row>
    <row r="618" customFormat="false" ht="15" hidden="false" customHeight="false" outlineLevel="0" collapsed="false">
      <c r="A618" s="37" t="n">
        <v>46244</v>
      </c>
      <c r="B618" s="44" t="s">
        <v>1108</v>
      </c>
      <c r="C618" s="44" t="s">
        <v>707</v>
      </c>
      <c r="D618" s="44" t="n">
        <v>2101003</v>
      </c>
      <c r="E618" s="44" t="s">
        <v>679</v>
      </c>
      <c r="F618" s="44" t="s">
        <v>1113</v>
      </c>
      <c r="G618" s="42"/>
      <c r="H618" s="42" t="n">
        <v>327000</v>
      </c>
      <c r="I618" s="44" t="s">
        <v>1110</v>
      </c>
      <c r="J618" s="11" t="n">
        <f aca="false">IF(D618="","",N(G618)-N(H618))</f>
        <v>-327000</v>
      </c>
      <c r="K618" s="34" t="str">
        <f aca="false">IF(D618="","",IFERROR(INDEX(I_COA!$C$6:$C$265,MATCH(D618,I_COA!$A$6:$A$265,0)),"AKUN BARU"))</f>
        <v>Neraca</v>
      </c>
      <c r="L618" s="34" t="str">
        <f aca="false">IF(K618="LabaRugi",INDEX(I_COA!$D$6:$D$265,MATCH(D618,I_COA!$A$6:$A$265,0)),"")</f>
        <v/>
      </c>
      <c r="M618" s="34" t="str">
        <f aca="false">IF(K618="Neraca",INDEX(I_COA!$E$6:$E$265,MATCH(D618,I_COA!$A$6:$A$265,0)),"")</f>
        <v>Other Payable - Third Parties</v>
      </c>
      <c r="N618" s="34" t="str">
        <f aca="false">IF(D618="","",IFERROR(INDEX(I_COA!$G$6:$G$265,MATCH(D618,I_COA!$A$6:$A$265,0)),"N"))</f>
        <v>N</v>
      </c>
      <c r="O618" s="11" t="n">
        <f aca="false">IF(N618="N",ABS(J618),"")</f>
        <v>327000</v>
      </c>
      <c r="P618" s="18" t="str">
        <f aca="false">IF(N618="N",B618&amp;"|"&amp;ROUND(O618,0),"")</f>
        <v>PI26080009|327000</v>
      </c>
      <c r="Q618" s="18" t="str">
        <f aca="false">IF(N618&lt;&gt;"Y","",IFERROR(INDEX($D$6:$D$4005,MATCH(B618&amp;"|"&amp;ROUND(_xlfn.MAXIFS($O$6:$O$4005,$B$6:$B$4005,B618,$N$6:$N$4005,"N"),0),$P$6:$P$4005,0)),"(tanpa lawan)"))</f>
        <v/>
      </c>
      <c r="R618" s="44"/>
      <c r="S618" s="9" t="str">
        <f aca="false">IF(N618&lt;&gt;"Y","",IF(R618&lt;&gt;"",R618,IF(Q618="(tanpa lawan)","Transfer antar rekening",IFERROR(INDEX(I_COA!$F$6:$F$265,MATCH(Q618,I_COA!$A$6:$A$265,0)),"?"))))</f>
        <v/>
      </c>
    </row>
    <row r="619" customFormat="false" ht="15" hidden="false" customHeight="false" outlineLevel="0" collapsed="false">
      <c r="A619" s="37" t="n">
        <v>46244</v>
      </c>
      <c r="B619" s="44" t="s">
        <v>1114</v>
      </c>
      <c r="C619" s="44" t="s">
        <v>707</v>
      </c>
      <c r="D619" s="44" t="n">
        <v>2103011</v>
      </c>
      <c r="E619" s="44" t="s">
        <v>693</v>
      </c>
      <c r="F619" s="44" t="s">
        <v>1050</v>
      </c>
      <c r="G619" s="42" t="n">
        <v>229921250</v>
      </c>
      <c r="H619" s="42"/>
      <c r="I619" s="44" t="s">
        <v>597</v>
      </c>
      <c r="J619" s="11" t="n">
        <f aca="false">IF(D619="","",N(G619)-N(H619))</f>
        <v>229921250</v>
      </c>
      <c r="K619" s="34" t="str">
        <f aca="false">IF(D619="","",IFERROR(INDEX(I_COA!$C$6:$C$265,MATCH(D619,I_COA!$A$6:$A$265,0)),"AKUN BARU"))</f>
        <v>Neraca</v>
      </c>
      <c r="L619" s="34" t="str">
        <f aca="false">IF(K619="LabaRugi",INDEX(I_COA!$D$6:$D$265,MATCH(D619,I_COA!$A$6:$A$265,0)),"")</f>
        <v/>
      </c>
      <c r="M619" s="34" t="str">
        <f aca="false">IF(K619="Neraca",INDEX(I_COA!$E$6:$E$265,MATCH(D619,I_COA!$A$6:$A$265,0)),"")</f>
        <v>Accrued Expenses - Third Parties</v>
      </c>
      <c r="N619" s="34" t="str">
        <f aca="false">IF(D619="","",IFERROR(INDEX(I_COA!$G$6:$G$265,MATCH(D619,I_COA!$A$6:$A$265,0)),"N"))</f>
        <v>N</v>
      </c>
      <c r="O619" s="11" t="n">
        <f aca="false">IF(N619="N",ABS(J619),"")</f>
        <v>229921250</v>
      </c>
      <c r="P619" s="18" t="str">
        <f aca="false">IF(N619="N",B619&amp;"|"&amp;ROUND(O619,0),"")</f>
        <v>PI26080016|229921250</v>
      </c>
      <c r="Q619" s="18" t="str">
        <f aca="false">IF(N619&lt;&gt;"Y","",IFERROR(INDEX($D$6:$D$4005,MATCH(B619&amp;"|"&amp;ROUND(_xlfn.MAXIFS($O$6:$O$4005,$B$6:$B$4005,B619,$N$6:$N$4005,"N"),0),$P$6:$P$4005,0)),"(tanpa lawan)"))</f>
        <v/>
      </c>
      <c r="R619" s="44"/>
      <c r="S619" s="9" t="str">
        <f aca="false">IF(N619&lt;&gt;"Y","",IF(R619&lt;&gt;"",R619,IF(Q619="(tanpa lawan)","Transfer antar rekening",IFERROR(INDEX(I_COA!$F$6:$F$265,MATCH(Q619,I_COA!$A$6:$A$265,0)),"?"))))</f>
        <v/>
      </c>
    </row>
    <row r="620" customFormat="false" ht="15" hidden="false" customHeight="false" outlineLevel="0" collapsed="false">
      <c r="A620" s="37" t="n">
        <v>46244</v>
      </c>
      <c r="B620" s="44" t="s">
        <v>1114</v>
      </c>
      <c r="C620" s="44" t="s">
        <v>707</v>
      </c>
      <c r="D620" s="44" t="n">
        <v>2101001</v>
      </c>
      <c r="E620" s="44" t="s">
        <v>595</v>
      </c>
      <c r="F620" s="44" t="s">
        <v>1050</v>
      </c>
      <c r="G620" s="42"/>
      <c r="H620" s="42" t="n">
        <v>229921250</v>
      </c>
      <c r="I620" s="44" t="s">
        <v>597</v>
      </c>
      <c r="J620" s="11" t="n">
        <f aca="false">IF(D620="","",N(G620)-N(H620))</f>
        <v>-229921250</v>
      </c>
      <c r="K620" s="34" t="str">
        <f aca="false">IF(D620="","",IFERROR(INDEX(I_COA!$C$6:$C$265,MATCH(D620,I_COA!$A$6:$A$265,0)),"AKUN BARU"))</f>
        <v>Neraca</v>
      </c>
      <c r="L620" s="34" t="str">
        <f aca="false">IF(K620="LabaRugi",INDEX(I_COA!$D$6:$D$265,MATCH(D620,I_COA!$A$6:$A$265,0)),"")</f>
        <v/>
      </c>
      <c r="M620" s="34" t="str">
        <f aca="false">IF(K620="Neraca",INDEX(I_COA!$E$6:$E$265,MATCH(D620,I_COA!$A$6:$A$265,0)),"")</f>
        <v>Trade Payables - Third Parties</v>
      </c>
      <c r="N620" s="34" t="str">
        <f aca="false">IF(D620="","",IFERROR(INDEX(I_COA!$G$6:$G$265,MATCH(D620,I_COA!$A$6:$A$265,0)),"N"))</f>
        <v>N</v>
      </c>
      <c r="O620" s="11" t="n">
        <f aca="false">IF(N620="N",ABS(J620),"")</f>
        <v>229921250</v>
      </c>
      <c r="P620" s="18" t="str">
        <f aca="false">IF(N620="N",B620&amp;"|"&amp;ROUND(O620,0),"")</f>
        <v>PI26080016|229921250</v>
      </c>
      <c r="Q620" s="18" t="str">
        <f aca="false">IF(N620&lt;&gt;"Y","",IFERROR(INDEX($D$6:$D$4005,MATCH(B620&amp;"|"&amp;ROUND(_xlfn.MAXIFS($O$6:$O$4005,$B$6:$B$4005,B620,$N$6:$N$4005,"N"),0),$P$6:$P$4005,0)),"(tanpa lawan)"))</f>
        <v/>
      </c>
      <c r="R620" s="44"/>
      <c r="S620" s="9" t="str">
        <f aca="false">IF(N620&lt;&gt;"Y","",IF(R620&lt;&gt;"",R620,IF(Q620="(tanpa lawan)","Transfer antar rekening",IFERROR(INDEX(I_COA!$F$6:$F$265,MATCH(Q620,I_COA!$A$6:$A$265,0)),"?"))))</f>
        <v/>
      </c>
    </row>
    <row r="621" customFormat="false" ht="15" hidden="false" customHeight="false" outlineLevel="0" collapsed="false">
      <c r="A621" s="37" t="n">
        <v>46244</v>
      </c>
      <c r="B621" s="44" t="s">
        <v>1115</v>
      </c>
      <c r="C621" s="44" t="s">
        <v>707</v>
      </c>
      <c r="D621" s="44" t="n">
        <v>5100006</v>
      </c>
      <c r="E621" s="44" t="s">
        <v>950</v>
      </c>
      <c r="F621" s="44" t="s">
        <v>1116</v>
      </c>
      <c r="G621" s="42" t="n">
        <v>16237920</v>
      </c>
      <c r="H621" s="42"/>
      <c r="I621" s="44" t="s">
        <v>440</v>
      </c>
      <c r="J621" s="11" t="n">
        <f aca="false">IF(D621="","",N(G621)-N(H621))</f>
        <v>16237920</v>
      </c>
      <c r="K621" s="34" t="str">
        <f aca="false">IF(D621="","",IFERROR(INDEX(I_COA!$C$6:$C$265,MATCH(D621,I_COA!$A$6:$A$265,0)),"AKUN BARU"))</f>
        <v>LabaRugi</v>
      </c>
      <c r="L621" s="34" t="str">
        <f aca="false">IF(K621="LabaRugi",INDEX(I_COA!$D$6:$D$265,MATCH(D621,I_COA!$A$6:$A$265,0)),"")</f>
        <v>COGS - Live Bird</v>
      </c>
      <c r="M621" s="34" t="str">
        <f aca="false">IF(K621="Neraca",INDEX(I_COA!$E$6:$E$265,MATCH(D621,I_COA!$A$6:$A$265,0)),"")</f>
        <v/>
      </c>
      <c r="N621" s="34" t="str">
        <f aca="false">IF(D621="","",IFERROR(INDEX(I_COA!$G$6:$G$265,MATCH(D621,I_COA!$A$6:$A$265,0)),"N"))</f>
        <v>N</v>
      </c>
      <c r="O621" s="11" t="n">
        <f aca="false">IF(N621="N",ABS(J621),"")</f>
        <v>16237920</v>
      </c>
      <c r="P621" s="18" t="str">
        <f aca="false">IF(N621="N",B621&amp;"|"&amp;ROUND(O621,0),"")</f>
        <v>PI26080030|16237920</v>
      </c>
      <c r="Q621" s="18" t="str">
        <f aca="false">IF(N621&lt;&gt;"Y","",IFERROR(INDEX($D$6:$D$4005,MATCH(B621&amp;"|"&amp;ROUND(_xlfn.MAXIFS($O$6:$O$4005,$B$6:$B$4005,B621,$N$6:$N$4005,"N"),0),$P$6:$P$4005,0)),"(tanpa lawan)"))</f>
        <v/>
      </c>
      <c r="R621" s="44"/>
      <c r="S621" s="9" t="str">
        <f aca="false">IF(N621&lt;&gt;"Y","",IF(R621&lt;&gt;"",R621,IF(Q621="(tanpa lawan)","Transfer antar rekening",IFERROR(INDEX(I_COA!$F$6:$F$265,MATCH(Q621,I_COA!$A$6:$A$265,0)),"?"))))</f>
        <v/>
      </c>
    </row>
    <row r="622" customFormat="false" ht="15" hidden="false" customHeight="false" outlineLevel="0" collapsed="false">
      <c r="A622" s="37" t="n">
        <v>46244</v>
      </c>
      <c r="B622" s="44" t="s">
        <v>1115</v>
      </c>
      <c r="C622" s="44" t="s">
        <v>707</v>
      </c>
      <c r="D622" s="44" t="n">
        <v>5100009</v>
      </c>
      <c r="E622" s="44" t="s">
        <v>1003</v>
      </c>
      <c r="F622" s="44" t="s">
        <v>1117</v>
      </c>
      <c r="G622" s="42" t="n">
        <v>1001920</v>
      </c>
      <c r="H622" s="42"/>
      <c r="I622" s="44" t="s">
        <v>440</v>
      </c>
      <c r="J622" s="11" t="n">
        <f aca="false">IF(D622="","",N(G622)-N(H622))</f>
        <v>1001920</v>
      </c>
      <c r="K622" s="34" t="str">
        <f aca="false">IF(D622="","",IFERROR(INDEX(I_COA!$C$6:$C$265,MATCH(D622,I_COA!$A$6:$A$265,0)),"AKUN BARU"))</f>
        <v>LabaRugi</v>
      </c>
      <c r="L622" s="34" t="str">
        <f aca="false">IF(K622="LabaRugi",INDEX(I_COA!$D$6:$D$265,MATCH(D622,I_COA!$A$6:$A$265,0)),"")</f>
        <v>COGS - Blasting</v>
      </c>
      <c r="M622" s="34" t="str">
        <f aca="false">IF(K622="Neraca",INDEX(I_COA!$E$6:$E$265,MATCH(D622,I_COA!$A$6:$A$265,0)),"")</f>
        <v/>
      </c>
      <c r="N622" s="34" t="str">
        <f aca="false">IF(D622="","",IFERROR(INDEX(I_COA!$G$6:$G$265,MATCH(D622,I_COA!$A$6:$A$265,0)),"N"))</f>
        <v>N</v>
      </c>
      <c r="O622" s="11" t="n">
        <f aca="false">IF(N622="N",ABS(J622),"")</f>
        <v>1001920</v>
      </c>
      <c r="P622" s="18" t="str">
        <f aca="false">IF(N622="N",B622&amp;"|"&amp;ROUND(O622,0),"")</f>
        <v>PI26080030|1001920</v>
      </c>
      <c r="Q622" s="18" t="str">
        <f aca="false">IF(N622&lt;&gt;"Y","",IFERROR(INDEX($D$6:$D$4005,MATCH(B622&amp;"|"&amp;ROUND(_xlfn.MAXIFS($O$6:$O$4005,$B$6:$B$4005,B622,$N$6:$N$4005,"N"),0),$P$6:$P$4005,0)),"(tanpa lawan)"))</f>
        <v/>
      </c>
      <c r="R622" s="44"/>
      <c r="S622" s="9" t="str">
        <f aca="false">IF(N622&lt;&gt;"Y","",IF(R622&lt;&gt;"",R622,IF(Q622="(tanpa lawan)","Transfer antar rekening",IFERROR(INDEX(I_COA!$F$6:$F$265,MATCH(Q622,I_COA!$A$6:$A$265,0)),"?"))))</f>
        <v/>
      </c>
    </row>
    <row r="623" customFormat="false" ht="15" hidden="false" customHeight="false" outlineLevel="0" collapsed="false">
      <c r="A623" s="37" t="n">
        <v>46244</v>
      </c>
      <c r="B623" s="44" t="s">
        <v>1115</v>
      </c>
      <c r="C623" s="44" t="s">
        <v>707</v>
      </c>
      <c r="D623" s="44" t="n">
        <v>2102003</v>
      </c>
      <c r="E623" s="44" t="s">
        <v>722</v>
      </c>
      <c r="F623" s="44" t="s">
        <v>1118</v>
      </c>
      <c r="G623" s="42"/>
      <c r="H623" s="42" t="n">
        <v>344796.8</v>
      </c>
      <c r="I623" s="44" t="s">
        <v>440</v>
      </c>
      <c r="J623" s="11" t="n">
        <f aca="false">IF(D623="","",N(G623)-N(H623))</f>
        <v>-344796.8</v>
      </c>
      <c r="K623" s="34" t="str">
        <f aca="false">IF(D623="","",IFERROR(INDEX(I_COA!$C$6:$C$265,MATCH(D623,I_COA!$A$6:$A$265,0)),"AKUN BARU"))</f>
        <v>Neraca</v>
      </c>
      <c r="L623" s="34" t="str">
        <f aca="false">IF(K623="LabaRugi",INDEX(I_COA!$D$6:$D$265,MATCH(D623,I_COA!$A$6:$A$265,0)),"")</f>
        <v/>
      </c>
      <c r="M623" s="34" t="str">
        <f aca="false">IF(K623="Neraca",INDEX(I_COA!$E$6:$E$265,MATCH(D623,I_COA!$A$6:$A$265,0)),"")</f>
        <v>Taxes Payable</v>
      </c>
      <c r="N623" s="34" t="str">
        <f aca="false">IF(D623="","",IFERROR(INDEX(I_COA!$G$6:$G$265,MATCH(D623,I_COA!$A$6:$A$265,0)),"N"))</f>
        <v>N</v>
      </c>
      <c r="O623" s="11" t="n">
        <f aca="false">IF(N623="N",ABS(J623),"")</f>
        <v>344796.8</v>
      </c>
      <c r="P623" s="18" t="str">
        <f aca="false">IF(N623="N",B623&amp;"|"&amp;ROUND(O623,0),"")</f>
        <v>PI26080030|344797</v>
      </c>
      <c r="Q623" s="18" t="str">
        <f aca="false">IF(N623&lt;&gt;"Y","",IFERROR(INDEX($D$6:$D$4005,MATCH(B623&amp;"|"&amp;ROUND(_xlfn.MAXIFS($O$6:$O$4005,$B$6:$B$4005,B623,$N$6:$N$4005,"N"),0),$P$6:$P$4005,0)),"(tanpa lawan)"))</f>
        <v/>
      </c>
      <c r="R623" s="44"/>
      <c r="S623" s="9" t="str">
        <f aca="false">IF(N623&lt;&gt;"Y","",IF(R623&lt;&gt;"",R623,IF(Q623="(tanpa lawan)","Transfer antar rekening",IFERROR(INDEX(I_COA!$F$6:$F$265,MATCH(Q623,I_COA!$A$6:$A$265,0)),"?"))))</f>
        <v/>
      </c>
    </row>
    <row r="624" customFormat="false" ht="15" hidden="false" customHeight="false" outlineLevel="0" collapsed="false">
      <c r="A624" s="37" t="n">
        <v>46244</v>
      </c>
      <c r="B624" s="44" t="s">
        <v>1115</v>
      </c>
      <c r="C624" s="44" t="s">
        <v>707</v>
      </c>
      <c r="D624" s="44" t="n">
        <v>1106001</v>
      </c>
      <c r="E624" s="44" t="s">
        <v>720</v>
      </c>
      <c r="F624" s="44" t="s">
        <v>1119</v>
      </c>
      <c r="G624" s="42" t="n">
        <v>1896382</v>
      </c>
      <c r="H624" s="42"/>
      <c r="I624" s="44" t="s">
        <v>440</v>
      </c>
      <c r="J624" s="11" t="n">
        <f aca="false">IF(D624="","",N(G624)-N(H624))</f>
        <v>1896382</v>
      </c>
      <c r="K624" s="34" t="str">
        <f aca="false">IF(D624="","",IFERROR(INDEX(I_COA!$C$6:$C$265,MATCH(D624,I_COA!$A$6:$A$265,0)),"AKUN BARU"))</f>
        <v>Neraca</v>
      </c>
      <c r="L624" s="34" t="str">
        <f aca="false">IF(K624="LabaRugi",INDEX(I_COA!$D$6:$D$265,MATCH(D624,I_COA!$A$6:$A$265,0)),"")</f>
        <v/>
      </c>
      <c r="M624" s="34" t="str">
        <f aca="false">IF(K624="Neraca",INDEX(I_COA!$E$6:$E$265,MATCH(D624,I_COA!$A$6:$A$265,0)),"")</f>
        <v>Prepaid Tax</v>
      </c>
      <c r="N624" s="34" t="str">
        <f aca="false">IF(D624="","",IFERROR(INDEX(I_COA!$G$6:$G$265,MATCH(D624,I_COA!$A$6:$A$265,0)),"N"))</f>
        <v>N</v>
      </c>
      <c r="O624" s="11" t="n">
        <f aca="false">IF(N624="N",ABS(J624),"")</f>
        <v>1896382</v>
      </c>
      <c r="P624" s="18" t="str">
        <f aca="false">IF(N624="N",B624&amp;"|"&amp;ROUND(O624,0),"")</f>
        <v>PI26080030|1896382</v>
      </c>
      <c r="Q624" s="18" t="str">
        <f aca="false">IF(N624&lt;&gt;"Y","",IFERROR(INDEX($D$6:$D$4005,MATCH(B624&amp;"|"&amp;ROUND(_xlfn.MAXIFS($O$6:$O$4005,$B$6:$B$4005,B624,$N$6:$N$4005,"N"),0),$P$6:$P$4005,0)),"(tanpa lawan)"))</f>
        <v/>
      </c>
      <c r="R624" s="44"/>
      <c r="S624" s="9" t="str">
        <f aca="false">IF(N624&lt;&gt;"Y","",IF(R624&lt;&gt;"",R624,IF(Q624="(tanpa lawan)","Transfer antar rekening",IFERROR(INDEX(I_COA!$F$6:$F$265,MATCH(Q624,I_COA!$A$6:$A$265,0)),"?"))))</f>
        <v/>
      </c>
    </row>
    <row r="625" customFormat="false" ht="15" hidden="false" customHeight="false" outlineLevel="0" collapsed="false">
      <c r="A625" s="37" t="n">
        <v>46244</v>
      </c>
      <c r="B625" s="44" t="s">
        <v>1115</v>
      </c>
      <c r="C625" s="44" t="s">
        <v>707</v>
      </c>
      <c r="D625" s="44" t="n">
        <v>2101003</v>
      </c>
      <c r="E625" s="44" t="s">
        <v>679</v>
      </c>
      <c r="F625" s="44" t="s">
        <v>1120</v>
      </c>
      <c r="G625" s="42"/>
      <c r="H625" s="42" t="n">
        <v>18791425.2</v>
      </c>
      <c r="I625" s="44" t="s">
        <v>440</v>
      </c>
      <c r="J625" s="11" t="n">
        <f aca="false">IF(D625="","",N(G625)-N(H625))</f>
        <v>-18791425.2</v>
      </c>
      <c r="K625" s="34" t="str">
        <f aca="false">IF(D625="","",IFERROR(INDEX(I_COA!$C$6:$C$265,MATCH(D625,I_COA!$A$6:$A$265,0)),"AKUN BARU"))</f>
        <v>Neraca</v>
      </c>
      <c r="L625" s="34" t="str">
        <f aca="false">IF(K625="LabaRugi",INDEX(I_COA!$D$6:$D$265,MATCH(D625,I_COA!$A$6:$A$265,0)),"")</f>
        <v/>
      </c>
      <c r="M625" s="34" t="str">
        <f aca="false">IF(K625="Neraca",INDEX(I_COA!$E$6:$E$265,MATCH(D625,I_COA!$A$6:$A$265,0)),"")</f>
        <v>Other Payable - Third Parties</v>
      </c>
      <c r="N625" s="34" t="str">
        <f aca="false">IF(D625="","",IFERROR(INDEX(I_COA!$G$6:$G$265,MATCH(D625,I_COA!$A$6:$A$265,0)),"N"))</f>
        <v>N</v>
      </c>
      <c r="O625" s="11" t="n">
        <f aca="false">IF(N625="N",ABS(J625),"")</f>
        <v>18791425.2</v>
      </c>
      <c r="P625" s="18" t="str">
        <f aca="false">IF(N625="N",B625&amp;"|"&amp;ROUND(O625,0),"")</f>
        <v>PI26080030|18791425</v>
      </c>
      <c r="Q625" s="18" t="str">
        <f aca="false">IF(N625&lt;&gt;"Y","",IFERROR(INDEX($D$6:$D$4005,MATCH(B625&amp;"|"&amp;ROUND(_xlfn.MAXIFS($O$6:$O$4005,$B$6:$B$4005,B625,$N$6:$N$4005,"N"),0),$P$6:$P$4005,0)),"(tanpa lawan)"))</f>
        <v/>
      </c>
      <c r="R625" s="44"/>
      <c r="S625" s="9" t="str">
        <f aca="false">IF(N625&lt;&gt;"Y","",IF(R625&lt;&gt;"",R625,IF(Q625="(tanpa lawan)","Transfer antar rekening",IFERROR(INDEX(I_COA!$F$6:$F$265,MATCH(Q625,I_COA!$A$6:$A$265,0)),"?"))))</f>
        <v/>
      </c>
    </row>
    <row r="626" customFormat="false" ht="15" hidden="false" customHeight="false" outlineLevel="0" collapsed="false">
      <c r="A626" s="37" t="n">
        <v>46244</v>
      </c>
      <c r="B626" s="44" t="s">
        <v>1121</v>
      </c>
      <c r="C626" s="44" t="s">
        <v>707</v>
      </c>
      <c r="D626" s="44" t="n">
        <v>2103011</v>
      </c>
      <c r="E626" s="44" t="s">
        <v>693</v>
      </c>
      <c r="F626" s="44" t="s">
        <v>1052</v>
      </c>
      <c r="G626" s="42" t="n">
        <v>284169790.08</v>
      </c>
      <c r="H626" s="42"/>
      <c r="I626" s="44" t="s">
        <v>597</v>
      </c>
      <c r="J626" s="11" t="n">
        <f aca="false">IF(D626="","",N(G626)-N(H626))</f>
        <v>284169790.08</v>
      </c>
      <c r="K626" s="34" t="str">
        <f aca="false">IF(D626="","",IFERROR(INDEX(I_COA!$C$6:$C$265,MATCH(D626,I_COA!$A$6:$A$265,0)),"AKUN BARU"))</f>
        <v>Neraca</v>
      </c>
      <c r="L626" s="34" t="str">
        <f aca="false">IF(K626="LabaRugi",INDEX(I_COA!$D$6:$D$265,MATCH(D626,I_COA!$A$6:$A$265,0)),"")</f>
        <v/>
      </c>
      <c r="M626" s="34" t="str">
        <f aca="false">IF(K626="Neraca",INDEX(I_COA!$E$6:$E$265,MATCH(D626,I_COA!$A$6:$A$265,0)),"")</f>
        <v>Accrued Expenses - Third Parties</v>
      </c>
      <c r="N626" s="34" t="str">
        <f aca="false">IF(D626="","",IFERROR(INDEX(I_COA!$G$6:$G$265,MATCH(D626,I_COA!$A$6:$A$265,0)),"N"))</f>
        <v>N</v>
      </c>
      <c r="O626" s="11" t="n">
        <f aca="false">IF(N626="N",ABS(J626),"")</f>
        <v>284169790.08</v>
      </c>
      <c r="P626" s="18" t="str">
        <f aca="false">IF(N626="N",B626&amp;"|"&amp;ROUND(O626,0),"")</f>
        <v>PI26080031|284169790</v>
      </c>
      <c r="Q626" s="18" t="str">
        <f aca="false">IF(N626&lt;&gt;"Y","",IFERROR(INDEX($D$6:$D$4005,MATCH(B626&amp;"|"&amp;ROUND(_xlfn.MAXIFS($O$6:$O$4005,$B$6:$B$4005,B626,$N$6:$N$4005,"N"),0),$P$6:$P$4005,0)),"(tanpa lawan)"))</f>
        <v/>
      </c>
      <c r="R626" s="44"/>
      <c r="S626" s="9" t="str">
        <f aca="false">IF(N626&lt;&gt;"Y","",IF(R626&lt;&gt;"",R626,IF(Q626="(tanpa lawan)","Transfer antar rekening",IFERROR(INDEX(I_COA!$F$6:$F$265,MATCH(Q626,I_COA!$A$6:$A$265,0)),"?"))))</f>
        <v/>
      </c>
    </row>
    <row r="627" customFormat="false" ht="15" hidden="false" customHeight="false" outlineLevel="0" collapsed="false">
      <c r="A627" s="37" t="n">
        <v>46244</v>
      </c>
      <c r="B627" s="44" t="s">
        <v>1121</v>
      </c>
      <c r="C627" s="44" t="s">
        <v>707</v>
      </c>
      <c r="D627" s="44" t="n">
        <v>5100006</v>
      </c>
      <c r="E627" s="44" t="s">
        <v>950</v>
      </c>
      <c r="F627" s="44" t="s">
        <v>1116</v>
      </c>
      <c r="G627" s="42"/>
      <c r="H627" s="42" t="n">
        <v>16237920</v>
      </c>
      <c r="I627" s="44" t="s">
        <v>597</v>
      </c>
      <c r="J627" s="11" t="n">
        <f aca="false">IF(D627="","",N(G627)-N(H627))</f>
        <v>-16237920</v>
      </c>
      <c r="K627" s="34" t="str">
        <f aca="false">IF(D627="","",IFERROR(INDEX(I_COA!$C$6:$C$265,MATCH(D627,I_COA!$A$6:$A$265,0)),"AKUN BARU"))</f>
        <v>LabaRugi</v>
      </c>
      <c r="L627" s="34" t="str">
        <f aca="false">IF(K627="LabaRugi",INDEX(I_COA!$D$6:$D$265,MATCH(D627,I_COA!$A$6:$A$265,0)),"")</f>
        <v>COGS - Live Bird</v>
      </c>
      <c r="M627" s="34" t="str">
        <f aca="false">IF(K627="Neraca",INDEX(I_COA!$E$6:$E$265,MATCH(D627,I_COA!$A$6:$A$265,0)),"")</f>
        <v/>
      </c>
      <c r="N627" s="34" t="str">
        <f aca="false">IF(D627="","",IFERROR(INDEX(I_COA!$G$6:$G$265,MATCH(D627,I_COA!$A$6:$A$265,0)),"N"))</f>
        <v>N</v>
      </c>
      <c r="O627" s="11" t="n">
        <f aca="false">IF(N627="N",ABS(J627),"")</f>
        <v>16237920</v>
      </c>
      <c r="P627" s="18" t="str">
        <f aca="false">IF(N627="N",B627&amp;"|"&amp;ROUND(O627,0),"")</f>
        <v>PI26080031|16237920</v>
      </c>
      <c r="Q627" s="18" t="str">
        <f aca="false">IF(N627&lt;&gt;"Y","",IFERROR(INDEX($D$6:$D$4005,MATCH(B627&amp;"|"&amp;ROUND(_xlfn.MAXIFS($O$6:$O$4005,$B$6:$B$4005,B627,$N$6:$N$4005,"N"),0),$P$6:$P$4005,0)),"(tanpa lawan)"))</f>
        <v/>
      </c>
      <c r="R627" s="44"/>
      <c r="S627" s="9" t="str">
        <f aca="false">IF(N627&lt;&gt;"Y","",IF(R627&lt;&gt;"",R627,IF(Q627="(tanpa lawan)","Transfer antar rekening",IFERROR(INDEX(I_COA!$F$6:$F$265,MATCH(Q627,I_COA!$A$6:$A$265,0)),"?"))))</f>
        <v/>
      </c>
    </row>
    <row r="628" customFormat="false" ht="15" hidden="false" customHeight="false" outlineLevel="0" collapsed="false">
      <c r="A628" s="37" t="n">
        <v>46244</v>
      </c>
      <c r="B628" s="44" t="s">
        <v>1121</v>
      </c>
      <c r="C628" s="44" t="s">
        <v>707</v>
      </c>
      <c r="D628" s="44" t="n">
        <v>5100007</v>
      </c>
      <c r="E628" s="44" t="s">
        <v>708</v>
      </c>
      <c r="F628" s="44" t="s">
        <v>1012</v>
      </c>
      <c r="G628" s="42"/>
      <c r="H628" s="42" t="n">
        <v>24000000</v>
      </c>
      <c r="I628" s="44" t="s">
        <v>597</v>
      </c>
      <c r="J628" s="11" t="n">
        <f aca="false">IF(D628="","",N(G628)-N(H628))</f>
        <v>-24000000</v>
      </c>
      <c r="K628" s="34" t="str">
        <f aca="false">IF(D628="","",IFERROR(INDEX(I_COA!$C$6:$C$265,MATCH(D628,I_COA!$A$6:$A$265,0)),"AKUN BARU"))</f>
        <v>LabaRugi</v>
      </c>
      <c r="L628" s="34" t="str">
        <f aca="false">IF(K628="LabaRugi",INDEX(I_COA!$D$6:$D$265,MATCH(D628,I_COA!$A$6:$A$265,0)),"")</f>
        <v>Other COGS - Expedition</v>
      </c>
      <c r="M628" s="34" t="str">
        <f aca="false">IF(K628="Neraca",INDEX(I_COA!$E$6:$E$265,MATCH(D628,I_COA!$A$6:$A$265,0)),"")</f>
        <v/>
      </c>
      <c r="N628" s="34" t="str">
        <f aca="false">IF(D628="","",IFERROR(INDEX(I_COA!$G$6:$G$265,MATCH(D628,I_COA!$A$6:$A$265,0)),"N"))</f>
        <v>N</v>
      </c>
      <c r="O628" s="11" t="n">
        <f aca="false">IF(N628="N",ABS(J628),"")</f>
        <v>24000000</v>
      </c>
      <c r="P628" s="18" t="str">
        <f aca="false">IF(N628="N",B628&amp;"|"&amp;ROUND(O628,0),"")</f>
        <v>PI26080031|24000000</v>
      </c>
      <c r="Q628" s="18" t="str">
        <f aca="false">IF(N628&lt;&gt;"Y","",IFERROR(INDEX($D$6:$D$4005,MATCH(B628&amp;"|"&amp;ROUND(_xlfn.MAXIFS($O$6:$O$4005,$B$6:$B$4005,B628,$N$6:$N$4005,"N"),0),$P$6:$P$4005,0)),"(tanpa lawan)"))</f>
        <v/>
      </c>
      <c r="R628" s="44"/>
      <c r="S628" s="9" t="str">
        <f aca="false">IF(N628&lt;&gt;"Y","",IF(R628&lt;&gt;"",R628,IF(Q628="(tanpa lawan)","Transfer antar rekening",IFERROR(INDEX(I_COA!$F$6:$F$265,MATCH(Q628,I_COA!$A$6:$A$265,0)),"?"))))</f>
        <v/>
      </c>
    </row>
    <row r="629" customFormat="false" ht="15" hidden="false" customHeight="false" outlineLevel="0" collapsed="false">
      <c r="A629" s="37" t="n">
        <v>46244</v>
      </c>
      <c r="B629" s="44" t="s">
        <v>1121</v>
      </c>
      <c r="C629" s="44" t="s">
        <v>707</v>
      </c>
      <c r="D629" s="44" t="n">
        <v>7100008</v>
      </c>
      <c r="E629" s="44" t="s">
        <v>952</v>
      </c>
      <c r="F629" s="44" t="s">
        <v>1052</v>
      </c>
      <c r="G629" s="42"/>
      <c r="H629" s="42" t="n">
        <v>0.08</v>
      </c>
      <c r="I629" s="44" t="s">
        <v>597</v>
      </c>
      <c r="J629" s="11" t="n">
        <f aca="false">IF(D629="","",N(G629)-N(H629))</f>
        <v>-0.08</v>
      </c>
      <c r="K629" s="34" t="str">
        <f aca="false">IF(D629="","",IFERROR(INDEX(I_COA!$C$6:$C$265,MATCH(D629,I_COA!$A$6:$A$265,0)),"AKUN BARU"))</f>
        <v>LabaRugi</v>
      </c>
      <c r="L629" s="34" t="str">
        <f aca="false">IF(K629="LabaRugi",INDEX(I_COA!$D$6:$D$265,MATCH(D629,I_COA!$A$6:$A$265,0)),"")</f>
        <v>Other Income</v>
      </c>
      <c r="M629" s="34" t="str">
        <f aca="false">IF(K629="Neraca",INDEX(I_COA!$E$6:$E$265,MATCH(D629,I_COA!$A$6:$A$265,0)),"")</f>
        <v/>
      </c>
      <c r="N629" s="34" t="str">
        <f aca="false">IF(D629="","",IFERROR(INDEX(I_COA!$G$6:$G$265,MATCH(D629,I_COA!$A$6:$A$265,0)),"N"))</f>
        <v>N</v>
      </c>
      <c r="O629" s="11" t="n">
        <f aca="false">IF(N629="N",ABS(J629),"")</f>
        <v>0.08</v>
      </c>
      <c r="P629" s="18" t="str">
        <f aca="false">IF(N629="N",B629&amp;"|"&amp;ROUND(O629,0),"")</f>
        <v>PI26080031|0</v>
      </c>
      <c r="Q629" s="18" t="str">
        <f aca="false">IF(N629&lt;&gt;"Y","",IFERROR(INDEX($D$6:$D$4005,MATCH(B629&amp;"|"&amp;ROUND(_xlfn.MAXIFS($O$6:$O$4005,$B$6:$B$4005,B629,$N$6:$N$4005,"N"),0),$P$6:$P$4005,0)),"(tanpa lawan)"))</f>
        <v/>
      </c>
      <c r="R629" s="44"/>
      <c r="S629" s="9" t="str">
        <f aca="false">IF(N629&lt;&gt;"Y","",IF(R629&lt;&gt;"",R629,IF(Q629="(tanpa lawan)","Transfer antar rekening",IFERROR(INDEX(I_COA!$F$6:$F$265,MATCH(Q629,I_COA!$A$6:$A$265,0)),"?"))))</f>
        <v/>
      </c>
    </row>
    <row r="630" customFormat="false" ht="15" hidden="false" customHeight="false" outlineLevel="0" collapsed="false">
      <c r="A630" s="37" t="n">
        <v>46244</v>
      </c>
      <c r="B630" s="44" t="s">
        <v>1121</v>
      </c>
      <c r="C630" s="44" t="s">
        <v>707</v>
      </c>
      <c r="D630" s="44" t="n">
        <v>7200010</v>
      </c>
      <c r="E630" s="44" t="s">
        <v>953</v>
      </c>
      <c r="F630" s="44" t="s">
        <v>1122</v>
      </c>
      <c r="G630" s="42" t="n">
        <v>609829.67</v>
      </c>
      <c r="H630" s="42"/>
      <c r="I630" s="44" t="s">
        <v>597</v>
      </c>
      <c r="J630" s="11" t="n">
        <f aca="false">IF(D630="","",N(G630)-N(H630))</f>
        <v>609829.67</v>
      </c>
      <c r="K630" s="34" t="str">
        <f aca="false">IF(D630="","",IFERROR(INDEX(I_COA!$C$6:$C$265,MATCH(D630,I_COA!$A$6:$A$265,0)),"AKUN BARU"))</f>
        <v>LabaRugi</v>
      </c>
      <c r="L630" s="34" t="str">
        <f aca="false">IF(K630="LabaRugi",INDEX(I_COA!$D$6:$D$265,MATCH(D630,I_COA!$A$6:$A$265,0)),"")</f>
        <v>Tax expenses</v>
      </c>
      <c r="M630" s="34" t="str">
        <f aca="false">IF(K630="Neraca",INDEX(I_COA!$E$6:$E$265,MATCH(D630,I_COA!$A$6:$A$265,0)),"")</f>
        <v/>
      </c>
      <c r="N630" s="34" t="str">
        <f aca="false">IF(D630="","",IFERROR(INDEX(I_COA!$G$6:$G$265,MATCH(D630,I_COA!$A$6:$A$265,0)),"N"))</f>
        <v>N</v>
      </c>
      <c r="O630" s="11" t="n">
        <f aca="false">IF(N630="N",ABS(J630),"")</f>
        <v>609829.67</v>
      </c>
      <c r="P630" s="18" t="str">
        <f aca="false">IF(N630="N",B630&amp;"|"&amp;ROUND(O630,0),"")</f>
        <v>PI26080031|609830</v>
      </c>
      <c r="Q630" s="18" t="str">
        <f aca="false">IF(N630&lt;&gt;"Y","",IFERROR(INDEX($D$6:$D$4005,MATCH(B630&amp;"|"&amp;ROUND(_xlfn.MAXIFS($O$6:$O$4005,$B$6:$B$4005,B630,$N$6:$N$4005,"N"),0),$P$6:$P$4005,0)),"(tanpa lawan)"))</f>
        <v/>
      </c>
      <c r="R630" s="44"/>
      <c r="S630" s="9" t="str">
        <f aca="false">IF(N630&lt;&gt;"Y","",IF(R630&lt;&gt;"",R630,IF(Q630="(tanpa lawan)","Transfer antar rekening",IFERROR(INDEX(I_COA!$F$6:$F$265,MATCH(Q630,I_COA!$A$6:$A$265,0)),"?"))))</f>
        <v/>
      </c>
    </row>
    <row r="631" customFormat="false" ht="15" hidden="false" customHeight="false" outlineLevel="0" collapsed="false">
      <c r="A631" s="37" t="n">
        <v>46244</v>
      </c>
      <c r="B631" s="44" t="s">
        <v>1121</v>
      </c>
      <c r="C631" s="44" t="s">
        <v>707</v>
      </c>
      <c r="D631" s="44" t="n">
        <v>2102007</v>
      </c>
      <c r="E631" s="44" t="s">
        <v>955</v>
      </c>
      <c r="F631" s="44" t="s">
        <v>1122</v>
      </c>
      <c r="G631" s="42"/>
      <c r="H631" s="42" t="n">
        <v>609829.67</v>
      </c>
      <c r="I631" s="44" t="s">
        <v>597</v>
      </c>
      <c r="J631" s="11" t="n">
        <f aca="false">IF(D631="","",N(G631)-N(H631))</f>
        <v>-609829.67</v>
      </c>
      <c r="K631" s="34" t="str">
        <f aca="false">IF(D631="","",IFERROR(INDEX(I_COA!$C$6:$C$265,MATCH(D631,I_COA!$A$6:$A$265,0)),"AKUN BARU"))</f>
        <v>Neraca</v>
      </c>
      <c r="L631" s="34" t="str">
        <f aca="false">IF(K631="LabaRugi",INDEX(I_COA!$D$6:$D$265,MATCH(D631,I_COA!$A$6:$A$265,0)),"")</f>
        <v/>
      </c>
      <c r="M631" s="34" t="str">
        <f aca="false">IF(K631="Neraca",INDEX(I_COA!$E$6:$E$265,MATCH(D631,I_COA!$A$6:$A$265,0)),"")</f>
        <v>Taxes Payable</v>
      </c>
      <c r="N631" s="34" t="str">
        <f aca="false">IF(D631="","",IFERROR(INDEX(I_COA!$G$6:$G$265,MATCH(D631,I_COA!$A$6:$A$265,0)),"N"))</f>
        <v>N</v>
      </c>
      <c r="O631" s="11" t="n">
        <f aca="false">IF(N631="N",ABS(J631),"")</f>
        <v>609829.67</v>
      </c>
      <c r="P631" s="18" t="str">
        <f aca="false">IF(N631="N",B631&amp;"|"&amp;ROUND(O631,0),"")</f>
        <v>PI26080031|609830</v>
      </c>
      <c r="Q631" s="18" t="str">
        <f aca="false">IF(N631&lt;&gt;"Y","",IFERROR(INDEX($D$6:$D$4005,MATCH(B631&amp;"|"&amp;ROUND(_xlfn.MAXIFS($O$6:$O$4005,$B$6:$B$4005,B631,$N$6:$N$4005,"N"),0),$P$6:$P$4005,0)),"(tanpa lawan)"))</f>
        <v/>
      </c>
      <c r="R631" s="44"/>
      <c r="S631" s="9" t="str">
        <f aca="false">IF(N631&lt;&gt;"Y","",IF(R631&lt;&gt;"",R631,IF(Q631="(tanpa lawan)","Transfer antar rekening",IFERROR(INDEX(I_COA!$F$6:$F$265,MATCH(Q631,I_COA!$A$6:$A$265,0)),"?"))))</f>
        <v/>
      </c>
    </row>
    <row r="632" customFormat="false" ht="15" hidden="false" customHeight="false" outlineLevel="0" collapsed="false">
      <c r="A632" s="37" t="n">
        <v>46244</v>
      </c>
      <c r="B632" s="44" t="s">
        <v>1121</v>
      </c>
      <c r="C632" s="44" t="s">
        <v>707</v>
      </c>
      <c r="D632" s="44" t="n">
        <v>2101001</v>
      </c>
      <c r="E632" s="44" t="s">
        <v>595</v>
      </c>
      <c r="F632" s="44" t="s">
        <v>1052</v>
      </c>
      <c r="G632" s="42"/>
      <c r="H632" s="42" t="n">
        <v>243931870</v>
      </c>
      <c r="I632" s="44" t="s">
        <v>597</v>
      </c>
      <c r="J632" s="11" t="n">
        <f aca="false">IF(D632="","",N(G632)-N(H632))</f>
        <v>-243931870</v>
      </c>
      <c r="K632" s="34" t="str">
        <f aca="false">IF(D632="","",IFERROR(INDEX(I_COA!$C$6:$C$265,MATCH(D632,I_COA!$A$6:$A$265,0)),"AKUN BARU"))</f>
        <v>Neraca</v>
      </c>
      <c r="L632" s="34" t="str">
        <f aca="false">IF(K632="LabaRugi",INDEX(I_COA!$D$6:$D$265,MATCH(D632,I_COA!$A$6:$A$265,0)),"")</f>
        <v/>
      </c>
      <c r="M632" s="34" t="str">
        <f aca="false">IF(K632="Neraca",INDEX(I_COA!$E$6:$E$265,MATCH(D632,I_COA!$A$6:$A$265,0)),"")</f>
        <v>Trade Payables - Third Parties</v>
      </c>
      <c r="N632" s="34" t="str">
        <f aca="false">IF(D632="","",IFERROR(INDEX(I_COA!$G$6:$G$265,MATCH(D632,I_COA!$A$6:$A$265,0)),"N"))</f>
        <v>N</v>
      </c>
      <c r="O632" s="11" t="n">
        <f aca="false">IF(N632="N",ABS(J632),"")</f>
        <v>243931870</v>
      </c>
      <c r="P632" s="18" t="str">
        <f aca="false">IF(N632="N",B632&amp;"|"&amp;ROUND(O632,0),"")</f>
        <v>PI26080031|243931870</v>
      </c>
      <c r="Q632" s="18" t="str">
        <f aca="false">IF(N632&lt;&gt;"Y","",IFERROR(INDEX($D$6:$D$4005,MATCH(B632&amp;"|"&amp;ROUND(_xlfn.MAXIFS($O$6:$O$4005,$B$6:$B$4005,B632,$N$6:$N$4005,"N"),0),$P$6:$P$4005,0)),"(tanpa lawan)"))</f>
        <v/>
      </c>
      <c r="R632" s="44"/>
      <c r="S632" s="9" t="str">
        <f aca="false">IF(N632&lt;&gt;"Y","",IF(R632&lt;&gt;"",R632,IF(Q632="(tanpa lawan)","Transfer antar rekening",IFERROR(INDEX(I_COA!$F$6:$F$265,MATCH(Q632,I_COA!$A$6:$A$265,0)),"?"))))</f>
        <v/>
      </c>
    </row>
    <row r="633" customFormat="false" ht="15" hidden="false" customHeight="false" outlineLevel="0" collapsed="false">
      <c r="A633" s="37" t="n">
        <v>46245</v>
      </c>
      <c r="B633" s="44" t="s">
        <v>1123</v>
      </c>
      <c r="C633" s="44" t="s">
        <v>585</v>
      </c>
      <c r="D633" s="44" t="n">
        <v>1102001</v>
      </c>
      <c r="E633" s="44" t="s">
        <v>586</v>
      </c>
      <c r="F633" s="44" t="s">
        <v>1124</v>
      </c>
      <c r="G633" s="42" t="n">
        <v>18806200</v>
      </c>
      <c r="H633" s="42"/>
      <c r="I633" s="44" t="s">
        <v>465</v>
      </c>
      <c r="J633" s="11" t="n">
        <f aca="false">IF(D633="","",N(G633)-N(H633))</f>
        <v>18806200</v>
      </c>
      <c r="K633" s="34" t="str">
        <f aca="false">IF(D633="","",IFERROR(INDEX(I_COA!$C$6:$C$265,MATCH(D633,I_COA!$A$6:$A$265,0)),"AKUN BARU"))</f>
        <v>Neraca</v>
      </c>
      <c r="L633" s="34" t="str">
        <f aca="false">IF(K633="LabaRugi",INDEX(I_COA!$D$6:$D$265,MATCH(D633,I_COA!$A$6:$A$265,0)),"")</f>
        <v/>
      </c>
      <c r="M633" s="34" t="str">
        <f aca="false">IF(K633="Neraca",INDEX(I_COA!$E$6:$E$265,MATCH(D633,I_COA!$A$6:$A$265,0)),"")</f>
        <v>Cash and cash equivalents</v>
      </c>
      <c r="N633" s="34" t="str">
        <f aca="false">IF(D633="","",IFERROR(INDEX(I_COA!$G$6:$G$265,MATCH(D633,I_COA!$A$6:$A$265,0)),"N"))</f>
        <v>Y</v>
      </c>
      <c r="O633" s="11" t="str">
        <f aca="false">IF(N633="N",ABS(J633),"")</f>
        <v/>
      </c>
      <c r="P633" s="18" t="str">
        <f aca="false">IF(N633="N",B633&amp;"|"&amp;ROUND(O633,0),"")</f>
        <v/>
      </c>
      <c r="Q633" s="18" t="n">
        <f aca="false">IF(N633&lt;&gt;"Y","",IFERROR(INDEX($D$6:$D$4005,MATCH(B633&amp;"|"&amp;ROUND(_xlfn.MAXIFS($O$6:$O$4005,$B$6:$B$4005,B633,$N$6:$N$4005,"N"),0),$P$6:$P$4005,0)),"(tanpa lawan)"))</f>
        <v>1103101</v>
      </c>
      <c r="R633" s="44"/>
      <c r="S633" s="9" t="str">
        <f aca="false">IF(N633&lt;&gt;"Y","",IF(R633&lt;&gt;"",R633,IF(Q633="(tanpa lawan)","Transfer antar rekening",IFERROR(INDEX(I_COA!$F$6:$F$265,MATCH(Q633,I_COA!$A$6:$A$265,0)),"?"))))</f>
        <v>Penerimaan dari pelanggan</v>
      </c>
    </row>
    <row r="634" customFormat="false" ht="15" hidden="false" customHeight="false" outlineLevel="0" collapsed="false">
      <c r="A634" s="37" t="n">
        <v>46245</v>
      </c>
      <c r="B634" s="44" t="s">
        <v>1123</v>
      </c>
      <c r="C634" s="44" t="s">
        <v>585</v>
      </c>
      <c r="D634" s="44" t="n">
        <v>1103101</v>
      </c>
      <c r="E634" s="44" t="s">
        <v>589</v>
      </c>
      <c r="F634" s="44" t="s">
        <v>1124</v>
      </c>
      <c r="G634" s="42"/>
      <c r="H634" s="42" t="n">
        <v>18806200</v>
      </c>
      <c r="I634" s="44" t="s">
        <v>465</v>
      </c>
      <c r="J634" s="11" t="n">
        <f aca="false">IF(D634="","",N(G634)-N(H634))</f>
        <v>-18806200</v>
      </c>
      <c r="K634" s="34" t="str">
        <f aca="false">IF(D634="","",IFERROR(INDEX(I_COA!$C$6:$C$265,MATCH(D634,I_COA!$A$6:$A$265,0)),"AKUN BARU"))</f>
        <v>Neraca</v>
      </c>
      <c r="L634" s="34" t="str">
        <f aca="false">IF(K634="LabaRugi",INDEX(I_COA!$D$6:$D$265,MATCH(D634,I_COA!$A$6:$A$265,0)),"")</f>
        <v/>
      </c>
      <c r="M634" s="34" t="str">
        <f aca="false">IF(K634="Neraca",INDEX(I_COA!$E$6:$E$265,MATCH(D634,I_COA!$A$6:$A$265,0)),"")</f>
        <v>Trade Receivables - Third Parties</v>
      </c>
      <c r="N634" s="34" t="str">
        <f aca="false">IF(D634="","",IFERROR(INDEX(I_COA!$G$6:$G$265,MATCH(D634,I_COA!$A$6:$A$265,0)),"N"))</f>
        <v>N</v>
      </c>
      <c r="O634" s="11" t="n">
        <f aca="false">IF(N634="N",ABS(J634),"")</f>
        <v>18806200</v>
      </c>
      <c r="P634" s="18" t="str">
        <f aca="false">IF(N634="N",B634&amp;"|"&amp;ROUND(O634,0),"")</f>
        <v>B7626080041|18806200</v>
      </c>
      <c r="Q634" s="18" t="str">
        <f aca="false">IF(N634&lt;&gt;"Y","",IFERROR(INDEX($D$6:$D$4005,MATCH(B634&amp;"|"&amp;ROUND(_xlfn.MAXIFS($O$6:$O$4005,$B$6:$B$4005,B634,$N$6:$N$4005,"N"),0),$P$6:$P$4005,0)),"(tanpa lawan)"))</f>
        <v/>
      </c>
      <c r="R634" s="44"/>
      <c r="S634" s="9" t="str">
        <f aca="false">IF(N634&lt;&gt;"Y","",IF(R634&lt;&gt;"",R634,IF(Q634="(tanpa lawan)","Transfer antar rekening",IFERROR(INDEX(I_COA!$F$6:$F$265,MATCH(Q634,I_COA!$A$6:$A$265,0)),"?"))))</f>
        <v/>
      </c>
    </row>
    <row r="635" customFormat="false" ht="15" hidden="false" customHeight="false" outlineLevel="0" collapsed="false">
      <c r="A635" s="37" t="n">
        <v>46245</v>
      </c>
      <c r="B635" s="44" t="s">
        <v>1125</v>
      </c>
      <c r="C635" s="44" t="s">
        <v>585</v>
      </c>
      <c r="D635" s="44" t="n">
        <v>1102001</v>
      </c>
      <c r="E635" s="44" t="s">
        <v>586</v>
      </c>
      <c r="F635" s="44" t="s">
        <v>1126</v>
      </c>
      <c r="G635" s="42" t="n">
        <v>25659000</v>
      </c>
      <c r="H635" s="42"/>
      <c r="I635" s="44" t="s">
        <v>432</v>
      </c>
      <c r="J635" s="11" t="n">
        <f aca="false">IF(D635="","",N(G635)-N(H635))</f>
        <v>25659000</v>
      </c>
      <c r="K635" s="34" t="str">
        <f aca="false">IF(D635="","",IFERROR(INDEX(I_COA!$C$6:$C$265,MATCH(D635,I_COA!$A$6:$A$265,0)),"AKUN BARU"))</f>
        <v>Neraca</v>
      </c>
      <c r="L635" s="34" t="str">
        <f aca="false">IF(K635="LabaRugi",INDEX(I_COA!$D$6:$D$265,MATCH(D635,I_COA!$A$6:$A$265,0)),"")</f>
        <v/>
      </c>
      <c r="M635" s="34" t="str">
        <f aca="false">IF(K635="Neraca",INDEX(I_COA!$E$6:$E$265,MATCH(D635,I_COA!$A$6:$A$265,0)),"")</f>
        <v>Cash and cash equivalents</v>
      </c>
      <c r="N635" s="34" t="str">
        <f aca="false">IF(D635="","",IFERROR(INDEX(I_COA!$G$6:$G$265,MATCH(D635,I_COA!$A$6:$A$265,0)),"N"))</f>
        <v>Y</v>
      </c>
      <c r="O635" s="11" t="str">
        <f aca="false">IF(N635="N",ABS(J635),"")</f>
        <v/>
      </c>
      <c r="P635" s="18" t="str">
        <f aca="false">IF(N635="N",B635&amp;"|"&amp;ROUND(O635,0),"")</f>
        <v/>
      </c>
      <c r="Q635" s="18" t="n">
        <f aca="false">IF(N635&lt;&gt;"Y","",IFERROR(INDEX($D$6:$D$4005,MATCH(B635&amp;"|"&amp;ROUND(_xlfn.MAXIFS($O$6:$O$4005,$B$6:$B$4005,B635,$N$6:$N$4005,"N"),0),$P$6:$P$4005,0)),"(tanpa lawan)"))</f>
        <v>1103101</v>
      </c>
      <c r="R635" s="44"/>
      <c r="S635" s="9" t="str">
        <f aca="false">IF(N635&lt;&gt;"Y","",IF(R635&lt;&gt;"",R635,IF(Q635="(tanpa lawan)","Transfer antar rekening",IFERROR(INDEX(I_COA!$F$6:$F$265,MATCH(Q635,I_COA!$A$6:$A$265,0)),"?"))))</f>
        <v>Penerimaan dari pelanggan</v>
      </c>
    </row>
    <row r="636" customFormat="false" ht="15" hidden="false" customHeight="false" outlineLevel="0" collapsed="false">
      <c r="A636" s="37" t="n">
        <v>46245</v>
      </c>
      <c r="B636" s="44" t="s">
        <v>1125</v>
      </c>
      <c r="C636" s="44" t="s">
        <v>585</v>
      </c>
      <c r="D636" s="44" t="n">
        <v>1103101</v>
      </c>
      <c r="E636" s="44" t="s">
        <v>589</v>
      </c>
      <c r="F636" s="44" t="s">
        <v>1126</v>
      </c>
      <c r="G636" s="42"/>
      <c r="H636" s="42" t="n">
        <v>25659000</v>
      </c>
      <c r="I636" s="44" t="s">
        <v>432</v>
      </c>
      <c r="J636" s="11" t="n">
        <f aca="false">IF(D636="","",N(G636)-N(H636))</f>
        <v>-25659000</v>
      </c>
      <c r="K636" s="34" t="str">
        <f aca="false">IF(D636="","",IFERROR(INDEX(I_COA!$C$6:$C$265,MATCH(D636,I_COA!$A$6:$A$265,0)),"AKUN BARU"))</f>
        <v>Neraca</v>
      </c>
      <c r="L636" s="34" t="str">
        <f aca="false">IF(K636="LabaRugi",INDEX(I_COA!$D$6:$D$265,MATCH(D636,I_COA!$A$6:$A$265,0)),"")</f>
        <v/>
      </c>
      <c r="M636" s="34" t="str">
        <f aca="false">IF(K636="Neraca",INDEX(I_COA!$E$6:$E$265,MATCH(D636,I_COA!$A$6:$A$265,0)),"")</f>
        <v>Trade Receivables - Third Parties</v>
      </c>
      <c r="N636" s="34" t="str">
        <f aca="false">IF(D636="","",IFERROR(INDEX(I_COA!$G$6:$G$265,MATCH(D636,I_COA!$A$6:$A$265,0)),"N"))</f>
        <v>N</v>
      </c>
      <c r="O636" s="11" t="n">
        <f aca="false">IF(N636="N",ABS(J636),"")</f>
        <v>25659000</v>
      </c>
      <c r="P636" s="18" t="str">
        <f aca="false">IF(N636="N",B636&amp;"|"&amp;ROUND(O636,0),"")</f>
        <v>B7626080042|25659000</v>
      </c>
      <c r="Q636" s="18" t="str">
        <f aca="false">IF(N636&lt;&gt;"Y","",IFERROR(INDEX($D$6:$D$4005,MATCH(B636&amp;"|"&amp;ROUND(_xlfn.MAXIFS($O$6:$O$4005,$B$6:$B$4005,B636,$N$6:$N$4005,"N"),0),$P$6:$P$4005,0)),"(tanpa lawan)"))</f>
        <v/>
      </c>
      <c r="R636" s="44"/>
      <c r="S636" s="9" t="str">
        <f aca="false">IF(N636&lt;&gt;"Y","",IF(R636&lt;&gt;"",R636,IF(Q636="(tanpa lawan)","Transfer antar rekening",IFERROR(INDEX(I_COA!$F$6:$F$265,MATCH(Q636,I_COA!$A$6:$A$265,0)),"?"))))</f>
        <v/>
      </c>
    </row>
    <row r="637" customFormat="false" ht="15" hidden="false" customHeight="false" outlineLevel="0" collapsed="false">
      <c r="A637" s="37" t="n">
        <v>46245</v>
      </c>
      <c r="B637" s="44" t="s">
        <v>1127</v>
      </c>
      <c r="C637" s="44" t="s">
        <v>585</v>
      </c>
      <c r="D637" s="44" t="n">
        <v>1102001</v>
      </c>
      <c r="E637" s="44" t="s">
        <v>586</v>
      </c>
      <c r="F637" s="44" t="s">
        <v>1128</v>
      </c>
      <c r="G637" s="42" t="n">
        <v>123936500</v>
      </c>
      <c r="H637" s="42"/>
      <c r="I637" s="44" t="s">
        <v>592</v>
      </c>
      <c r="J637" s="11" t="n">
        <f aca="false">IF(D637="","",N(G637)-N(H637))</f>
        <v>123936500</v>
      </c>
      <c r="K637" s="34" t="str">
        <f aca="false">IF(D637="","",IFERROR(INDEX(I_COA!$C$6:$C$265,MATCH(D637,I_COA!$A$6:$A$265,0)),"AKUN BARU"))</f>
        <v>Neraca</v>
      </c>
      <c r="L637" s="34" t="str">
        <f aca="false">IF(K637="LabaRugi",INDEX(I_COA!$D$6:$D$265,MATCH(D637,I_COA!$A$6:$A$265,0)),"")</f>
        <v/>
      </c>
      <c r="M637" s="34" t="str">
        <f aca="false">IF(K637="Neraca",INDEX(I_COA!$E$6:$E$265,MATCH(D637,I_COA!$A$6:$A$265,0)),"")</f>
        <v>Cash and cash equivalents</v>
      </c>
      <c r="N637" s="34" t="str">
        <f aca="false">IF(D637="","",IFERROR(INDEX(I_COA!$G$6:$G$265,MATCH(D637,I_COA!$A$6:$A$265,0)),"N"))</f>
        <v>Y</v>
      </c>
      <c r="O637" s="11" t="str">
        <f aca="false">IF(N637="N",ABS(J637),"")</f>
        <v/>
      </c>
      <c r="P637" s="18" t="str">
        <f aca="false">IF(N637="N",B637&amp;"|"&amp;ROUND(O637,0),"")</f>
        <v/>
      </c>
      <c r="Q637" s="18" t="n">
        <f aca="false">IF(N637&lt;&gt;"Y","",IFERROR(INDEX($D$6:$D$4005,MATCH(B637&amp;"|"&amp;ROUND(_xlfn.MAXIFS($O$6:$O$4005,$B$6:$B$4005,B637,$N$6:$N$4005,"N"),0),$P$6:$P$4005,0)),"(tanpa lawan)"))</f>
        <v>1103101</v>
      </c>
      <c r="R637" s="44"/>
      <c r="S637" s="9" t="str">
        <f aca="false">IF(N637&lt;&gt;"Y","",IF(R637&lt;&gt;"",R637,IF(Q637="(tanpa lawan)","Transfer antar rekening",IFERROR(INDEX(I_COA!$F$6:$F$265,MATCH(Q637,I_COA!$A$6:$A$265,0)),"?"))))</f>
        <v>Penerimaan dari pelanggan</v>
      </c>
    </row>
    <row r="638" customFormat="false" ht="15" hidden="false" customHeight="false" outlineLevel="0" collapsed="false">
      <c r="A638" s="37" t="n">
        <v>46245</v>
      </c>
      <c r="B638" s="44" t="s">
        <v>1127</v>
      </c>
      <c r="C638" s="44" t="s">
        <v>585</v>
      </c>
      <c r="D638" s="44" t="n">
        <v>1103101</v>
      </c>
      <c r="E638" s="44" t="s">
        <v>589</v>
      </c>
      <c r="F638" s="44" t="s">
        <v>1128</v>
      </c>
      <c r="G638" s="42"/>
      <c r="H638" s="42" t="n">
        <v>123936500</v>
      </c>
      <c r="I638" s="44" t="s">
        <v>592</v>
      </c>
      <c r="J638" s="11" t="n">
        <f aca="false">IF(D638="","",N(G638)-N(H638))</f>
        <v>-123936500</v>
      </c>
      <c r="K638" s="34" t="str">
        <f aca="false">IF(D638="","",IFERROR(INDEX(I_COA!$C$6:$C$265,MATCH(D638,I_COA!$A$6:$A$265,0)),"AKUN BARU"))</f>
        <v>Neraca</v>
      </c>
      <c r="L638" s="34" t="str">
        <f aca="false">IF(K638="LabaRugi",INDEX(I_COA!$D$6:$D$265,MATCH(D638,I_COA!$A$6:$A$265,0)),"")</f>
        <v/>
      </c>
      <c r="M638" s="34" t="str">
        <f aca="false">IF(K638="Neraca",INDEX(I_COA!$E$6:$E$265,MATCH(D638,I_COA!$A$6:$A$265,0)),"")</f>
        <v>Trade Receivables - Third Parties</v>
      </c>
      <c r="N638" s="34" t="str">
        <f aca="false">IF(D638="","",IFERROR(INDEX(I_COA!$G$6:$G$265,MATCH(D638,I_COA!$A$6:$A$265,0)),"N"))</f>
        <v>N</v>
      </c>
      <c r="O638" s="11" t="n">
        <f aca="false">IF(N638="N",ABS(J638),"")</f>
        <v>123936500</v>
      </c>
      <c r="P638" s="18" t="str">
        <f aca="false">IF(N638="N",B638&amp;"|"&amp;ROUND(O638,0),"")</f>
        <v>B7626080043|123936500</v>
      </c>
      <c r="Q638" s="18" t="str">
        <f aca="false">IF(N638&lt;&gt;"Y","",IFERROR(INDEX($D$6:$D$4005,MATCH(B638&amp;"|"&amp;ROUND(_xlfn.MAXIFS($O$6:$O$4005,$B$6:$B$4005,B638,$N$6:$N$4005,"N"),0),$P$6:$P$4005,0)),"(tanpa lawan)"))</f>
        <v/>
      </c>
      <c r="R638" s="44"/>
      <c r="S638" s="9" t="str">
        <f aca="false">IF(N638&lt;&gt;"Y","",IF(R638&lt;&gt;"",R638,IF(Q638="(tanpa lawan)","Transfer antar rekening",IFERROR(INDEX(I_COA!$F$6:$F$265,MATCH(Q638,I_COA!$A$6:$A$265,0)),"?"))))</f>
        <v/>
      </c>
    </row>
    <row r="639" customFormat="false" ht="15" hidden="false" customHeight="false" outlineLevel="0" collapsed="false">
      <c r="A639" s="37" t="n">
        <v>46245</v>
      </c>
      <c r="B639" s="44" t="s">
        <v>1129</v>
      </c>
      <c r="C639" s="44" t="s">
        <v>585</v>
      </c>
      <c r="D639" s="44" t="n">
        <v>1102001</v>
      </c>
      <c r="E639" s="44" t="s">
        <v>586</v>
      </c>
      <c r="F639" s="44" t="s">
        <v>1130</v>
      </c>
      <c r="G639" s="42" t="n">
        <v>93771640</v>
      </c>
      <c r="H639" s="42"/>
      <c r="I639" s="44" t="s">
        <v>841</v>
      </c>
      <c r="J639" s="11" t="n">
        <f aca="false">IF(D639="","",N(G639)-N(H639))</f>
        <v>93771640</v>
      </c>
      <c r="K639" s="34" t="str">
        <f aca="false">IF(D639="","",IFERROR(INDEX(I_COA!$C$6:$C$265,MATCH(D639,I_COA!$A$6:$A$265,0)),"AKUN BARU"))</f>
        <v>Neraca</v>
      </c>
      <c r="L639" s="34" t="str">
        <f aca="false">IF(K639="LabaRugi",INDEX(I_COA!$D$6:$D$265,MATCH(D639,I_COA!$A$6:$A$265,0)),"")</f>
        <v/>
      </c>
      <c r="M639" s="34" t="str">
        <f aca="false">IF(K639="Neraca",INDEX(I_COA!$E$6:$E$265,MATCH(D639,I_COA!$A$6:$A$265,0)),"")</f>
        <v>Cash and cash equivalents</v>
      </c>
      <c r="N639" s="34" t="str">
        <f aca="false">IF(D639="","",IFERROR(INDEX(I_COA!$G$6:$G$265,MATCH(D639,I_COA!$A$6:$A$265,0)),"N"))</f>
        <v>Y</v>
      </c>
      <c r="O639" s="11" t="str">
        <f aca="false">IF(N639="N",ABS(J639),"")</f>
        <v/>
      </c>
      <c r="P639" s="18" t="str">
        <f aca="false">IF(N639="N",B639&amp;"|"&amp;ROUND(O639,0),"")</f>
        <v/>
      </c>
      <c r="Q639" s="18" t="n">
        <f aca="false">IF(N639&lt;&gt;"Y","",IFERROR(INDEX($D$6:$D$4005,MATCH(B639&amp;"|"&amp;ROUND(_xlfn.MAXIFS($O$6:$O$4005,$B$6:$B$4005,B639,$N$6:$N$4005,"N"),0),$P$6:$P$4005,0)),"(tanpa lawan)"))</f>
        <v>1103101</v>
      </c>
      <c r="R639" s="44"/>
      <c r="S639" s="9" t="str">
        <f aca="false">IF(N639&lt;&gt;"Y","",IF(R639&lt;&gt;"",R639,IF(Q639="(tanpa lawan)","Transfer antar rekening",IFERROR(INDEX(I_COA!$F$6:$F$265,MATCH(Q639,I_COA!$A$6:$A$265,0)),"?"))))</f>
        <v>Penerimaan dari pelanggan</v>
      </c>
    </row>
    <row r="640" customFormat="false" ht="15" hidden="false" customHeight="false" outlineLevel="0" collapsed="false">
      <c r="A640" s="37" t="n">
        <v>46245</v>
      </c>
      <c r="B640" s="44" t="s">
        <v>1129</v>
      </c>
      <c r="C640" s="44" t="s">
        <v>585</v>
      </c>
      <c r="D640" s="44" t="n">
        <v>1103101</v>
      </c>
      <c r="E640" s="44" t="s">
        <v>589</v>
      </c>
      <c r="F640" s="44" t="s">
        <v>1130</v>
      </c>
      <c r="G640" s="42"/>
      <c r="H640" s="42" t="n">
        <v>93771640</v>
      </c>
      <c r="I640" s="44" t="s">
        <v>841</v>
      </c>
      <c r="J640" s="11" t="n">
        <f aca="false">IF(D640="","",N(G640)-N(H640))</f>
        <v>-93771640</v>
      </c>
      <c r="K640" s="34" t="str">
        <f aca="false">IF(D640="","",IFERROR(INDEX(I_COA!$C$6:$C$265,MATCH(D640,I_COA!$A$6:$A$265,0)),"AKUN BARU"))</f>
        <v>Neraca</v>
      </c>
      <c r="L640" s="34" t="str">
        <f aca="false">IF(K640="LabaRugi",INDEX(I_COA!$D$6:$D$265,MATCH(D640,I_COA!$A$6:$A$265,0)),"")</f>
        <v/>
      </c>
      <c r="M640" s="34" t="str">
        <f aca="false">IF(K640="Neraca",INDEX(I_COA!$E$6:$E$265,MATCH(D640,I_COA!$A$6:$A$265,0)),"")</f>
        <v>Trade Receivables - Third Parties</v>
      </c>
      <c r="N640" s="34" t="str">
        <f aca="false">IF(D640="","",IFERROR(INDEX(I_COA!$G$6:$G$265,MATCH(D640,I_COA!$A$6:$A$265,0)),"N"))</f>
        <v>N</v>
      </c>
      <c r="O640" s="11" t="n">
        <f aca="false">IF(N640="N",ABS(J640),"")</f>
        <v>93771640</v>
      </c>
      <c r="P640" s="18" t="str">
        <f aca="false">IF(N640="N",B640&amp;"|"&amp;ROUND(O640,0),"")</f>
        <v>B7626080044|93771640</v>
      </c>
      <c r="Q640" s="18" t="str">
        <f aca="false">IF(N640&lt;&gt;"Y","",IFERROR(INDEX($D$6:$D$4005,MATCH(B640&amp;"|"&amp;ROUND(_xlfn.MAXIFS($O$6:$O$4005,$B$6:$B$4005,B640,$N$6:$N$4005,"N"),0),$P$6:$P$4005,0)),"(tanpa lawan)"))</f>
        <v/>
      </c>
      <c r="R640" s="44"/>
      <c r="S640" s="9" t="str">
        <f aca="false">IF(N640&lt;&gt;"Y","",IF(R640&lt;&gt;"",R640,IF(Q640="(tanpa lawan)","Transfer antar rekening",IFERROR(INDEX(I_COA!$F$6:$F$265,MATCH(Q640,I_COA!$A$6:$A$265,0)),"?"))))</f>
        <v/>
      </c>
    </row>
    <row r="641" customFormat="false" ht="15" hidden="false" customHeight="false" outlineLevel="0" collapsed="false">
      <c r="A641" s="37" t="n">
        <v>46245</v>
      </c>
      <c r="B641" s="44" t="s">
        <v>1131</v>
      </c>
      <c r="C641" s="44" t="s">
        <v>585</v>
      </c>
      <c r="D641" s="44" t="n">
        <v>1102001</v>
      </c>
      <c r="E641" s="44" t="s">
        <v>586</v>
      </c>
      <c r="F641" s="44" t="s">
        <v>1132</v>
      </c>
      <c r="G641" s="42" t="n">
        <v>99397880</v>
      </c>
      <c r="H641" s="42"/>
      <c r="I641" s="44" t="s">
        <v>774</v>
      </c>
      <c r="J641" s="11" t="n">
        <f aca="false">IF(D641="","",N(G641)-N(H641))</f>
        <v>99397880</v>
      </c>
      <c r="K641" s="34" t="str">
        <f aca="false">IF(D641="","",IFERROR(INDEX(I_COA!$C$6:$C$265,MATCH(D641,I_COA!$A$6:$A$265,0)),"AKUN BARU"))</f>
        <v>Neraca</v>
      </c>
      <c r="L641" s="34" t="str">
        <f aca="false">IF(K641="LabaRugi",INDEX(I_COA!$D$6:$D$265,MATCH(D641,I_COA!$A$6:$A$265,0)),"")</f>
        <v/>
      </c>
      <c r="M641" s="34" t="str">
        <f aca="false">IF(K641="Neraca",INDEX(I_COA!$E$6:$E$265,MATCH(D641,I_COA!$A$6:$A$265,0)),"")</f>
        <v>Cash and cash equivalents</v>
      </c>
      <c r="N641" s="34" t="str">
        <f aca="false">IF(D641="","",IFERROR(INDEX(I_COA!$G$6:$G$265,MATCH(D641,I_COA!$A$6:$A$265,0)),"N"))</f>
        <v>Y</v>
      </c>
      <c r="O641" s="11" t="str">
        <f aca="false">IF(N641="N",ABS(J641),"")</f>
        <v/>
      </c>
      <c r="P641" s="18" t="str">
        <f aca="false">IF(N641="N",B641&amp;"|"&amp;ROUND(O641,0),"")</f>
        <v/>
      </c>
      <c r="Q641" s="18" t="n">
        <f aca="false">IF(N641&lt;&gt;"Y","",IFERROR(INDEX($D$6:$D$4005,MATCH(B641&amp;"|"&amp;ROUND(_xlfn.MAXIFS($O$6:$O$4005,$B$6:$B$4005,B641,$N$6:$N$4005,"N"),0),$P$6:$P$4005,0)),"(tanpa lawan)"))</f>
        <v>1103101</v>
      </c>
      <c r="R641" s="44"/>
      <c r="S641" s="9" t="str">
        <f aca="false">IF(N641&lt;&gt;"Y","",IF(R641&lt;&gt;"",R641,IF(Q641="(tanpa lawan)","Transfer antar rekening",IFERROR(INDEX(I_COA!$F$6:$F$265,MATCH(Q641,I_COA!$A$6:$A$265,0)),"?"))))</f>
        <v>Penerimaan dari pelanggan</v>
      </c>
    </row>
    <row r="642" customFormat="false" ht="15" hidden="false" customHeight="false" outlineLevel="0" collapsed="false">
      <c r="A642" s="37" t="n">
        <v>46245</v>
      </c>
      <c r="B642" s="44" t="s">
        <v>1131</v>
      </c>
      <c r="C642" s="44" t="s">
        <v>585</v>
      </c>
      <c r="D642" s="44" t="n">
        <v>1103101</v>
      </c>
      <c r="E642" s="44" t="s">
        <v>589</v>
      </c>
      <c r="F642" s="44" t="s">
        <v>1132</v>
      </c>
      <c r="G642" s="42"/>
      <c r="H642" s="42" t="n">
        <v>99397880</v>
      </c>
      <c r="I642" s="44" t="s">
        <v>774</v>
      </c>
      <c r="J642" s="11" t="n">
        <f aca="false">IF(D642="","",N(G642)-N(H642))</f>
        <v>-99397880</v>
      </c>
      <c r="K642" s="34" t="str">
        <f aca="false">IF(D642="","",IFERROR(INDEX(I_COA!$C$6:$C$265,MATCH(D642,I_COA!$A$6:$A$265,0)),"AKUN BARU"))</f>
        <v>Neraca</v>
      </c>
      <c r="L642" s="34" t="str">
        <f aca="false">IF(K642="LabaRugi",INDEX(I_COA!$D$6:$D$265,MATCH(D642,I_COA!$A$6:$A$265,0)),"")</f>
        <v/>
      </c>
      <c r="M642" s="34" t="str">
        <f aca="false">IF(K642="Neraca",INDEX(I_COA!$E$6:$E$265,MATCH(D642,I_COA!$A$6:$A$265,0)),"")</f>
        <v>Trade Receivables - Third Parties</v>
      </c>
      <c r="N642" s="34" t="str">
        <f aca="false">IF(D642="","",IFERROR(INDEX(I_COA!$G$6:$G$265,MATCH(D642,I_COA!$A$6:$A$265,0)),"N"))</f>
        <v>N</v>
      </c>
      <c r="O642" s="11" t="n">
        <f aca="false">IF(N642="N",ABS(J642),"")</f>
        <v>99397880</v>
      </c>
      <c r="P642" s="18" t="str">
        <f aca="false">IF(N642="N",B642&amp;"|"&amp;ROUND(O642,0),"")</f>
        <v>B7626080045|99397880</v>
      </c>
      <c r="Q642" s="18" t="str">
        <f aca="false">IF(N642&lt;&gt;"Y","",IFERROR(INDEX($D$6:$D$4005,MATCH(B642&amp;"|"&amp;ROUND(_xlfn.MAXIFS($O$6:$O$4005,$B$6:$B$4005,B642,$N$6:$N$4005,"N"),0),$P$6:$P$4005,0)),"(tanpa lawan)"))</f>
        <v/>
      </c>
      <c r="R642" s="44"/>
      <c r="S642" s="9" t="str">
        <f aca="false">IF(N642&lt;&gt;"Y","",IF(R642&lt;&gt;"",R642,IF(Q642="(tanpa lawan)","Transfer antar rekening",IFERROR(INDEX(I_COA!$F$6:$F$265,MATCH(Q642,I_COA!$A$6:$A$265,0)),"?"))))</f>
        <v/>
      </c>
    </row>
    <row r="643" customFormat="false" ht="15" hidden="false" customHeight="false" outlineLevel="0" collapsed="false">
      <c r="A643" s="37" t="n">
        <v>46245</v>
      </c>
      <c r="B643" s="44" t="s">
        <v>1133</v>
      </c>
      <c r="C643" s="44" t="s">
        <v>585</v>
      </c>
      <c r="D643" s="44" t="n">
        <v>1102001</v>
      </c>
      <c r="E643" s="44" t="s">
        <v>586</v>
      </c>
      <c r="F643" s="44" t="s">
        <v>1134</v>
      </c>
      <c r="G643" s="42" t="n">
        <v>105330640</v>
      </c>
      <c r="H643" s="42"/>
      <c r="I643" s="44" t="s">
        <v>437</v>
      </c>
      <c r="J643" s="11" t="n">
        <f aca="false">IF(D643="","",N(G643)-N(H643))</f>
        <v>105330640</v>
      </c>
      <c r="K643" s="34" t="str">
        <f aca="false">IF(D643="","",IFERROR(INDEX(I_COA!$C$6:$C$265,MATCH(D643,I_COA!$A$6:$A$265,0)),"AKUN BARU"))</f>
        <v>Neraca</v>
      </c>
      <c r="L643" s="34" t="str">
        <f aca="false">IF(K643="LabaRugi",INDEX(I_COA!$D$6:$D$265,MATCH(D643,I_COA!$A$6:$A$265,0)),"")</f>
        <v/>
      </c>
      <c r="M643" s="34" t="str">
        <f aca="false">IF(K643="Neraca",INDEX(I_COA!$E$6:$E$265,MATCH(D643,I_COA!$A$6:$A$265,0)),"")</f>
        <v>Cash and cash equivalents</v>
      </c>
      <c r="N643" s="34" t="str">
        <f aca="false">IF(D643="","",IFERROR(INDEX(I_COA!$G$6:$G$265,MATCH(D643,I_COA!$A$6:$A$265,0)),"N"))</f>
        <v>Y</v>
      </c>
      <c r="O643" s="11" t="str">
        <f aca="false">IF(N643="N",ABS(J643),"")</f>
        <v/>
      </c>
      <c r="P643" s="18" t="str">
        <f aca="false">IF(N643="N",B643&amp;"|"&amp;ROUND(O643,0),"")</f>
        <v/>
      </c>
      <c r="Q643" s="18" t="n">
        <f aca="false">IF(N643&lt;&gt;"Y","",IFERROR(INDEX($D$6:$D$4005,MATCH(B643&amp;"|"&amp;ROUND(_xlfn.MAXIFS($O$6:$O$4005,$B$6:$B$4005,B643,$N$6:$N$4005,"N"),0),$P$6:$P$4005,0)),"(tanpa lawan)"))</f>
        <v>1103101</v>
      </c>
      <c r="R643" s="44"/>
      <c r="S643" s="9" t="str">
        <f aca="false">IF(N643&lt;&gt;"Y","",IF(R643&lt;&gt;"",R643,IF(Q643="(tanpa lawan)","Transfer antar rekening",IFERROR(INDEX(I_COA!$F$6:$F$265,MATCH(Q643,I_COA!$A$6:$A$265,0)),"?"))))</f>
        <v>Penerimaan dari pelanggan</v>
      </c>
    </row>
    <row r="644" customFormat="false" ht="15" hidden="false" customHeight="false" outlineLevel="0" collapsed="false">
      <c r="A644" s="37" t="n">
        <v>46245</v>
      </c>
      <c r="B644" s="44" t="s">
        <v>1133</v>
      </c>
      <c r="C644" s="44" t="s">
        <v>585</v>
      </c>
      <c r="D644" s="44" t="n">
        <v>1103101</v>
      </c>
      <c r="E644" s="44" t="s">
        <v>589</v>
      </c>
      <c r="F644" s="44" t="s">
        <v>1134</v>
      </c>
      <c r="G644" s="42"/>
      <c r="H644" s="42" t="n">
        <v>105330640</v>
      </c>
      <c r="I644" s="44" t="s">
        <v>437</v>
      </c>
      <c r="J644" s="11" t="n">
        <f aca="false">IF(D644="","",N(G644)-N(H644))</f>
        <v>-105330640</v>
      </c>
      <c r="K644" s="34" t="str">
        <f aca="false">IF(D644="","",IFERROR(INDEX(I_COA!$C$6:$C$265,MATCH(D644,I_COA!$A$6:$A$265,0)),"AKUN BARU"))</f>
        <v>Neraca</v>
      </c>
      <c r="L644" s="34" t="str">
        <f aca="false">IF(K644="LabaRugi",INDEX(I_COA!$D$6:$D$265,MATCH(D644,I_COA!$A$6:$A$265,0)),"")</f>
        <v/>
      </c>
      <c r="M644" s="34" t="str">
        <f aca="false">IF(K644="Neraca",INDEX(I_COA!$E$6:$E$265,MATCH(D644,I_COA!$A$6:$A$265,0)),"")</f>
        <v>Trade Receivables - Third Parties</v>
      </c>
      <c r="N644" s="34" t="str">
        <f aca="false">IF(D644="","",IFERROR(INDEX(I_COA!$G$6:$G$265,MATCH(D644,I_COA!$A$6:$A$265,0)),"N"))</f>
        <v>N</v>
      </c>
      <c r="O644" s="11" t="n">
        <f aca="false">IF(N644="N",ABS(J644),"")</f>
        <v>105330640</v>
      </c>
      <c r="P644" s="18" t="str">
        <f aca="false">IF(N644="N",B644&amp;"|"&amp;ROUND(O644,0),"")</f>
        <v>B7626080046|105330640</v>
      </c>
      <c r="Q644" s="18" t="str">
        <f aca="false">IF(N644&lt;&gt;"Y","",IFERROR(INDEX($D$6:$D$4005,MATCH(B644&amp;"|"&amp;ROUND(_xlfn.MAXIFS($O$6:$O$4005,$B$6:$B$4005,B644,$N$6:$N$4005,"N"),0),$P$6:$P$4005,0)),"(tanpa lawan)"))</f>
        <v/>
      </c>
      <c r="R644" s="44"/>
      <c r="S644" s="9" t="str">
        <f aca="false">IF(N644&lt;&gt;"Y","",IF(R644&lt;&gt;"",R644,IF(Q644="(tanpa lawan)","Transfer antar rekening",IFERROR(INDEX(I_COA!$F$6:$F$265,MATCH(Q644,I_COA!$A$6:$A$265,0)),"?"))))</f>
        <v/>
      </c>
    </row>
    <row r="645" customFormat="false" ht="15" hidden="false" customHeight="false" outlineLevel="0" collapsed="false">
      <c r="A645" s="37" t="n">
        <v>46245</v>
      </c>
      <c r="B645" s="44" t="s">
        <v>1135</v>
      </c>
      <c r="C645" s="44" t="s">
        <v>585</v>
      </c>
      <c r="D645" s="44" t="n">
        <v>1102001</v>
      </c>
      <c r="E645" s="44" t="s">
        <v>586</v>
      </c>
      <c r="F645" s="44" t="s">
        <v>1136</v>
      </c>
      <c r="G645" s="42" t="n">
        <v>103260960</v>
      </c>
      <c r="H645" s="42"/>
      <c r="I645" s="44" t="s">
        <v>437</v>
      </c>
      <c r="J645" s="11" t="n">
        <f aca="false">IF(D645="","",N(G645)-N(H645))</f>
        <v>103260960</v>
      </c>
      <c r="K645" s="34" t="str">
        <f aca="false">IF(D645="","",IFERROR(INDEX(I_COA!$C$6:$C$265,MATCH(D645,I_COA!$A$6:$A$265,0)),"AKUN BARU"))</f>
        <v>Neraca</v>
      </c>
      <c r="L645" s="34" t="str">
        <f aca="false">IF(K645="LabaRugi",INDEX(I_COA!$D$6:$D$265,MATCH(D645,I_COA!$A$6:$A$265,0)),"")</f>
        <v/>
      </c>
      <c r="M645" s="34" t="str">
        <f aca="false">IF(K645="Neraca",INDEX(I_COA!$E$6:$E$265,MATCH(D645,I_COA!$A$6:$A$265,0)),"")</f>
        <v>Cash and cash equivalents</v>
      </c>
      <c r="N645" s="34" t="str">
        <f aca="false">IF(D645="","",IFERROR(INDEX(I_COA!$G$6:$G$265,MATCH(D645,I_COA!$A$6:$A$265,0)),"N"))</f>
        <v>Y</v>
      </c>
      <c r="O645" s="11" t="str">
        <f aca="false">IF(N645="N",ABS(J645),"")</f>
        <v/>
      </c>
      <c r="P645" s="18" t="str">
        <f aca="false">IF(N645="N",B645&amp;"|"&amp;ROUND(O645,0),"")</f>
        <v/>
      </c>
      <c r="Q645" s="18" t="n">
        <f aca="false">IF(N645&lt;&gt;"Y","",IFERROR(INDEX($D$6:$D$4005,MATCH(B645&amp;"|"&amp;ROUND(_xlfn.MAXIFS($O$6:$O$4005,$B$6:$B$4005,B645,$N$6:$N$4005,"N"),0),$P$6:$P$4005,0)),"(tanpa lawan)"))</f>
        <v>1103101</v>
      </c>
      <c r="R645" s="44"/>
      <c r="S645" s="9" t="str">
        <f aca="false">IF(N645&lt;&gt;"Y","",IF(R645&lt;&gt;"",R645,IF(Q645="(tanpa lawan)","Transfer antar rekening",IFERROR(INDEX(I_COA!$F$6:$F$265,MATCH(Q645,I_COA!$A$6:$A$265,0)),"?"))))</f>
        <v>Penerimaan dari pelanggan</v>
      </c>
    </row>
    <row r="646" customFormat="false" ht="15" hidden="false" customHeight="false" outlineLevel="0" collapsed="false">
      <c r="A646" s="37" t="n">
        <v>46245</v>
      </c>
      <c r="B646" s="44" t="s">
        <v>1135</v>
      </c>
      <c r="C646" s="44" t="s">
        <v>585</v>
      </c>
      <c r="D646" s="44" t="n">
        <v>1103101</v>
      </c>
      <c r="E646" s="44" t="s">
        <v>589</v>
      </c>
      <c r="F646" s="44" t="s">
        <v>1136</v>
      </c>
      <c r="G646" s="42"/>
      <c r="H646" s="42" t="n">
        <v>103260960</v>
      </c>
      <c r="I646" s="44" t="s">
        <v>437</v>
      </c>
      <c r="J646" s="11" t="n">
        <f aca="false">IF(D646="","",N(G646)-N(H646))</f>
        <v>-103260960</v>
      </c>
      <c r="K646" s="34" t="str">
        <f aca="false">IF(D646="","",IFERROR(INDEX(I_COA!$C$6:$C$265,MATCH(D646,I_COA!$A$6:$A$265,0)),"AKUN BARU"))</f>
        <v>Neraca</v>
      </c>
      <c r="L646" s="34" t="str">
        <f aca="false">IF(K646="LabaRugi",INDEX(I_COA!$D$6:$D$265,MATCH(D646,I_COA!$A$6:$A$265,0)),"")</f>
        <v/>
      </c>
      <c r="M646" s="34" t="str">
        <f aca="false">IF(K646="Neraca",INDEX(I_COA!$E$6:$E$265,MATCH(D646,I_COA!$A$6:$A$265,0)),"")</f>
        <v>Trade Receivables - Third Parties</v>
      </c>
      <c r="N646" s="34" t="str">
        <f aca="false">IF(D646="","",IFERROR(INDEX(I_COA!$G$6:$G$265,MATCH(D646,I_COA!$A$6:$A$265,0)),"N"))</f>
        <v>N</v>
      </c>
      <c r="O646" s="11" t="n">
        <f aca="false">IF(N646="N",ABS(J646),"")</f>
        <v>103260960</v>
      </c>
      <c r="P646" s="18" t="str">
        <f aca="false">IF(N646="N",B646&amp;"|"&amp;ROUND(O646,0),"")</f>
        <v>B7626080047|103260960</v>
      </c>
      <c r="Q646" s="18" t="str">
        <f aca="false">IF(N646&lt;&gt;"Y","",IFERROR(INDEX($D$6:$D$4005,MATCH(B646&amp;"|"&amp;ROUND(_xlfn.MAXIFS($O$6:$O$4005,$B$6:$B$4005,B646,$N$6:$N$4005,"N"),0),$P$6:$P$4005,0)),"(tanpa lawan)"))</f>
        <v/>
      </c>
      <c r="R646" s="44"/>
      <c r="S646" s="9" t="str">
        <f aca="false">IF(N646&lt;&gt;"Y","",IF(R646&lt;&gt;"",R646,IF(Q646="(tanpa lawan)","Transfer antar rekening",IFERROR(INDEX(I_COA!$F$6:$F$265,MATCH(Q646,I_COA!$A$6:$A$265,0)),"?"))))</f>
        <v/>
      </c>
    </row>
    <row r="647" customFormat="false" ht="15" hidden="false" customHeight="false" outlineLevel="0" collapsed="false">
      <c r="A647" s="37" t="n">
        <v>46245</v>
      </c>
      <c r="B647" s="44" t="s">
        <v>1137</v>
      </c>
      <c r="C647" s="44" t="s">
        <v>585</v>
      </c>
      <c r="D647" s="44" t="n">
        <v>1102001</v>
      </c>
      <c r="E647" s="44" t="s">
        <v>586</v>
      </c>
      <c r="F647" s="44" t="s">
        <v>1138</v>
      </c>
      <c r="G647" s="42" t="n">
        <v>29430000</v>
      </c>
      <c r="H647" s="42"/>
      <c r="I647" s="44" t="s">
        <v>432</v>
      </c>
      <c r="J647" s="11" t="n">
        <f aca="false">IF(D647="","",N(G647)-N(H647))</f>
        <v>29430000</v>
      </c>
      <c r="K647" s="34" t="str">
        <f aca="false">IF(D647="","",IFERROR(INDEX(I_COA!$C$6:$C$265,MATCH(D647,I_COA!$A$6:$A$265,0)),"AKUN BARU"))</f>
        <v>Neraca</v>
      </c>
      <c r="L647" s="34" t="str">
        <f aca="false">IF(K647="LabaRugi",INDEX(I_COA!$D$6:$D$265,MATCH(D647,I_COA!$A$6:$A$265,0)),"")</f>
        <v/>
      </c>
      <c r="M647" s="34" t="str">
        <f aca="false">IF(K647="Neraca",INDEX(I_COA!$E$6:$E$265,MATCH(D647,I_COA!$A$6:$A$265,0)),"")</f>
        <v>Cash and cash equivalents</v>
      </c>
      <c r="N647" s="34" t="str">
        <f aca="false">IF(D647="","",IFERROR(INDEX(I_COA!$G$6:$G$265,MATCH(D647,I_COA!$A$6:$A$265,0)),"N"))</f>
        <v>Y</v>
      </c>
      <c r="O647" s="11" t="str">
        <f aca="false">IF(N647="N",ABS(J647),"")</f>
        <v/>
      </c>
      <c r="P647" s="18" t="str">
        <f aca="false">IF(N647="N",B647&amp;"|"&amp;ROUND(O647,0),"")</f>
        <v/>
      </c>
      <c r="Q647" s="18" t="n">
        <f aca="false">IF(N647&lt;&gt;"Y","",IFERROR(INDEX($D$6:$D$4005,MATCH(B647&amp;"|"&amp;ROUND(_xlfn.MAXIFS($O$6:$O$4005,$B$6:$B$4005,B647,$N$6:$N$4005,"N"),0),$P$6:$P$4005,0)),"(tanpa lawan)"))</f>
        <v>1103101</v>
      </c>
      <c r="R647" s="44"/>
      <c r="S647" s="9" t="str">
        <f aca="false">IF(N647&lt;&gt;"Y","",IF(R647&lt;&gt;"",R647,IF(Q647="(tanpa lawan)","Transfer antar rekening",IFERROR(INDEX(I_COA!$F$6:$F$265,MATCH(Q647,I_COA!$A$6:$A$265,0)),"?"))))</f>
        <v>Penerimaan dari pelanggan</v>
      </c>
    </row>
    <row r="648" customFormat="false" ht="15" hidden="false" customHeight="false" outlineLevel="0" collapsed="false">
      <c r="A648" s="37" t="n">
        <v>46245</v>
      </c>
      <c r="B648" s="44" t="s">
        <v>1137</v>
      </c>
      <c r="C648" s="44" t="s">
        <v>585</v>
      </c>
      <c r="D648" s="44" t="n">
        <v>1103101</v>
      </c>
      <c r="E648" s="44" t="s">
        <v>589</v>
      </c>
      <c r="F648" s="44" t="s">
        <v>1138</v>
      </c>
      <c r="G648" s="42"/>
      <c r="H648" s="42" t="n">
        <v>28759500</v>
      </c>
      <c r="I648" s="44" t="s">
        <v>432</v>
      </c>
      <c r="J648" s="11" t="n">
        <f aca="false">IF(D648="","",N(G648)-N(H648))</f>
        <v>-28759500</v>
      </c>
      <c r="K648" s="34" t="str">
        <f aca="false">IF(D648="","",IFERROR(INDEX(I_COA!$C$6:$C$265,MATCH(D648,I_COA!$A$6:$A$265,0)),"AKUN BARU"))</f>
        <v>Neraca</v>
      </c>
      <c r="L648" s="34" t="str">
        <f aca="false">IF(K648="LabaRugi",INDEX(I_COA!$D$6:$D$265,MATCH(D648,I_COA!$A$6:$A$265,0)),"")</f>
        <v/>
      </c>
      <c r="M648" s="34" t="str">
        <f aca="false">IF(K648="Neraca",INDEX(I_COA!$E$6:$E$265,MATCH(D648,I_COA!$A$6:$A$265,0)),"")</f>
        <v>Trade Receivables - Third Parties</v>
      </c>
      <c r="N648" s="34" t="str">
        <f aca="false">IF(D648="","",IFERROR(INDEX(I_COA!$G$6:$G$265,MATCH(D648,I_COA!$A$6:$A$265,0)),"N"))</f>
        <v>N</v>
      </c>
      <c r="O648" s="11" t="n">
        <f aca="false">IF(N648="N",ABS(J648),"")</f>
        <v>28759500</v>
      </c>
      <c r="P648" s="18" t="str">
        <f aca="false">IF(N648="N",B648&amp;"|"&amp;ROUND(O648,0),"")</f>
        <v>B7626080048|28759500</v>
      </c>
      <c r="Q648" s="18" t="str">
        <f aca="false">IF(N648&lt;&gt;"Y","",IFERROR(INDEX($D$6:$D$4005,MATCH(B648&amp;"|"&amp;ROUND(_xlfn.MAXIFS($O$6:$O$4005,$B$6:$B$4005,B648,$N$6:$N$4005,"N"),0),$P$6:$P$4005,0)),"(tanpa lawan)"))</f>
        <v/>
      </c>
      <c r="R648" s="44"/>
      <c r="S648" s="9" t="str">
        <f aca="false">IF(N648&lt;&gt;"Y","",IF(R648&lt;&gt;"",R648,IF(Q648="(tanpa lawan)","Transfer antar rekening",IFERROR(INDEX(I_COA!$F$6:$F$265,MATCH(Q648,I_COA!$A$6:$A$265,0)),"?"))))</f>
        <v/>
      </c>
    </row>
    <row r="649" customFormat="false" ht="15" hidden="false" customHeight="false" outlineLevel="0" collapsed="false">
      <c r="A649" s="37" t="n">
        <v>46245</v>
      </c>
      <c r="B649" s="44" t="s">
        <v>1137</v>
      </c>
      <c r="C649" s="44" t="s">
        <v>585</v>
      </c>
      <c r="D649" s="44" t="n">
        <v>1103101</v>
      </c>
      <c r="E649" s="44" t="s">
        <v>589</v>
      </c>
      <c r="F649" s="44" t="s">
        <v>1138</v>
      </c>
      <c r="G649" s="42"/>
      <c r="H649" s="42" t="n">
        <v>670500</v>
      </c>
      <c r="I649" s="44" t="s">
        <v>432</v>
      </c>
      <c r="J649" s="11" t="n">
        <f aca="false">IF(D649="","",N(G649)-N(H649))</f>
        <v>-670500</v>
      </c>
      <c r="K649" s="34" t="str">
        <f aca="false">IF(D649="","",IFERROR(INDEX(I_COA!$C$6:$C$265,MATCH(D649,I_COA!$A$6:$A$265,0)),"AKUN BARU"))</f>
        <v>Neraca</v>
      </c>
      <c r="L649" s="34" t="str">
        <f aca="false">IF(K649="LabaRugi",INDEX(I_COA!$D$6:$D$265,MATCH(D649,I_COA!$A$6:$A$265,0)),"")</f>
        <v/>
      </c>
      <c r="M649" s="34" t="str">
        <f aca="false">IF(K649="Neraca",INDEX(I_COA!$E$6:$E$265,MATCH(D649,I_COA!$A$6:$A$265,0)),"")</f>
        <v>Trade Receivables - Third Parties</v>
      </c>
      <c r="N649" s="34" t="str">
        <f aca="false">IF(D649="","",IFERROR(INDEX(I_COA!$G$6:$G$265,MATCH(D649,I_COA!$A$6:$A$265,0)),"N"))</f>
        <v>N</v>
      </c>
      <c r="O649" s="11" t="n">
        <f aca="false">IF(N649="N",ABS(J649),"")</f>
        <v>670500</v>
      </c>
      <c r="P649" s="18" t="str">
        <f aca="false">IF(N649="N",B649&amp;"|"&amp;ROUND(O649,0),"")</f>
        <v>B7626080048|670500</v>
      </c>
      <c r="Q649" s="18" t="str">
        <f aca="false">IF(N649&lt;&gt;"Y","",IFERROR(INDEX($D$6:$D$4005,MATCH(B649&amp;"|"&amp;ROUND(_xlfn.MAXIFS($O$6:$O$4005,$B$6:$B$4005,B649,$N$6:$N$4005,"N"),0),$P$6:$P$4005,0)),"(tanpa lawan)"))</f>
        <v/>
      </c>
      <c r="R649" s="44"/>
      <c r="S649" s="9" t="str">
        <f aca="false">IF(N649&lt;&gt;"Y","",IF(R649&lt;&gt;"",R649,IF(Q649="(tanpa lawan)","Transfer antar rekening",IFERROR(INDEX(I_COA!$F$6:$F$265,MATCH(Q649,I_COA!$A$6:$A$265,0)),"?"))))</f>
        <v/>
      </c>
    </row>
    <row r="650" customFormat="false" ht="15" hidden="false" customHeight="false" outlineLevel="0" collapsed="false">
      <c r="A650" s="37" t="n">
        <v>46245</v>
      </c>
      <c r="B650" s="44" t="s">
        <v>1139</v>
      </c>
      <c r="C650" s="44" t="s">
        <v>585</v>
      </c>
      <c r="D650" s="44" t="n">
        <v>1102001</v>
      </c>
      <c r="E650" s="44" t="s">
        <v>586</v>
      </c>
      <c r="F650" s="44" t="s">
        <v>1140</v>
      </c>
      <c r="G650" s="42" t="n">
        <v>54675000</v>
      </c>
      <c r="H650" s="42"/>
      <c r="I650" s="44" t="s">
        <v>609</v>
      </c>
      <c r="J650" s="11" t="n">
        <f aca="false">IF(D650="","",N(G650)-N(H650))</f>
        <v>54675000</v>
      </c>
      <c r="K650" s="34" t="str">
        <f aca="false">IF(D650="","",IFERROR(INDEX(I_COA!$C$6:$C$265,MATCH(D650,I_COA!$A$6:$A$265,0)),"AKUN BARU"))</f>
        <v>Neraca</v>
      </c>
      <c r="L650" s="34" t="str">
        <f aca="false">IF(K650="LabaRugi",INDEX(I_COA!$D$6:$D$265,MATCH(D650,I_COA!$A$6:$A$265,0)),"")</f>
        <v/>
      </c>
      <c r="M650" s="34" t="str">
        <f aca="false">IF(K650="Neraca",INDEX(I_COA!$E$6:$E$265,MATCH(D650,I_COA!$A$6:$A$265,0)),"")</f>
        <v>Cash and cash equivalents</v>
      </c>
      <c r="N650" s="34" t="str">
        <f aca="false">IF(D650="","",IFERROR(INDEX(I_COA!$G$6:$G$265,MATCH(D650,I_COA!$A$6:$A$265,0)),"N"))</f>
        <v>Y</v>
      </c>
      <c r="O650" s="11" t="str">
        <f aca="false">IF(N650="N",ABS(J650),"")</f>
        <v/>
      </c>
      <c r="P650" s="18" t="str">
        <f aca="false">IF(N650="N",B650&amp;"|"&amp;ROUND(O650,0),"")</f>
        <v/>
      </c>
      <c r="Q650" s="18" t="n">
        <f aca="false">IF(N650&lt;&gt;"Y","",IFERROR(INDEX($D$6:$D$4005,MATCH(B650&amp;"|"&amp;ROUND(_xlfn.MAXIFS($O$6:$O$4005,$B$6:$B$4005,B650,$N$6:$N$4005,"N"),0),$P$6:$P$4005,0)),"(tanpa lawan)"))</f>
        <v>1103101</v>
      </c>
      <c r="R650" s="44"/>
      <c r="S650" s="9" t="str">
        <f aca="false">IF(N650&lt;&gt;"Y","",IF(R650&lt;&gt;"",R650,IF(Q650="(tanpa lawan)","Transfer antar rekening",IFERROR(INDEX(I_COA!$F$6:$F$265,MATCH(Q650,I_COA!$A$6:$A$265,0)),"?"))))</f>
        <v>Penerimaan dari pelanggan</v>
      </c>
    </row>
    <row r="651" customFormat="false" ht="15" hidden="false" customHeight="false" outlineLevel="0" collapsed="false">
      <c r="A651" s="37" t="n">
        <v>46245</v>
      </c>
      <c r="B651" s="44" t="s">
        <v>1139</v>
      </c>
      <c r="C651" s="44" t="s">
        <v>585</v>
      </c>
      <c r="D651" s="44" t="n">
        <v>1103101</v>
      </c>
      <c r="E651" s="44" t="s">
        <v>589</v>
      </c>
      <c r="F651" s="44" t="s">
        <v>1140</v>
      </c>
      <c r="G651" s="42"/>
      <c r="H651" s="42" t="n">
        <v>54675000</v>
      </c>
      <c r="I651" s="44" t="s">
        <v>609</v>
      </c>
      <c r="J651" s="11" t="n">
        <f aca="false">IF(D651="","",N(G651)-N(H651))</f>
        <v>-54675000</v>
      </c>
      <c r="K651" s="34" t="str">
        <f aca="false">IF(D651="","",IFERROR(INDEX(I_COA!$C$6:$C$265,MATCH(D651,I_COA!$A$6:$A$265,0)),"AKUN BARU"))</f>
        <v>Neraca</v>
      </c>
      <c r="L651" s="34" t="str">
        <f aca="false">IF(K651="LabaRugi",INDEX(I_COA!$D$6:$D$265,MATCH(D651,I_COA!$A$6:$A$265,0)),"")</f>
        <v/>
      </c>
      <c r="M651" s="34" t="str">
        <f aca="false">IF(K651="Neraca",INDEX(I_COA!$E$6:$E$265,MATCH(D651,I_COA!$A$6:$A$265,0)),"")</f>
        <v>Trade Receivables - Third Parties</v>
      </c>
      <c r="N651" s="34" t="str">
        <f aca="false">IF(D651="","",IFERROR(INDEX(I_COA!$G$6:$G$265,MATCH(D651,I_COA!$A$6:$A$265,0)),"N"))</f>
        <v>N</v>
      </c>
      <c r="O651" s="11" t="n">
        <f aca="false">IF(N651="N",ABS(J651),"")</f>
        <v>54675000</v>
      </c>
      <c r="P651" s="18" t="str">
        <f aca="false">IF(N651="N",B651&amp;"|"&amp;ROUND(O651,0),"")</f>
        <v>B7626080049|54675000</v>
      </c>
      <c r="Q651" s="18" t="str">
        <f aca="false">IF(N651&lt;&gt;"Y","",IFERROR(INDEX($D$6:$D$4005,MATCH(B651&amp;"|"&amp;ROUND(_xlfn.MAXIFS($O$6:$O$4005,$B$6:$B$4005,B651,$N$6:$N$4005,"N"),0),$P$6:$P$4005,0)),"(tanpa lawan)"))</f>
        <v/>
      </c>
      <c r="R651" s="44"/>
      <c r="S651" s="9" t="str">
        <f aca="false">IF(N651&lt;&gt;"Y","",IF(R651&lt;&gt;"",R651,IF(Q651="(tanpa lawan)","Transfer antar rekening",IFERROR(INDEX(I_COA!$F$6:$F$265,MATCH(Q651,I_COA!$A$6:$A$265,0)),"?"))))</f>
        <v/>
      </c>
    </row>
    <row r="652" customFormat="false" ht="15" hidden="false" customHeight="false" outlineLevel="0" collapsed="false">
      <c r="A652" s="37" t="n">
        <v>46245</v>
      </c>
      <c r="B652" s="44" t="s">
        <v>1141</v>
      </c>
      <c r="C652" s="44" t="s">
        <v>585</v>
      </c>
      <c r="D652" s="44" t="n">
        <v>1102001</v>
      </c>
      <c r="E652" s="44" t="s">
        <v>586</v>
      </c>
      <c r="F652" s="44" t="s">
        <v>1142</v>
      </c>
      <c r="G652" s="42" t="n">
        <v>61111600</v>
      </c>
      <c r="H652" s="42"/>
      <c r="I652" s="44" t="s">
        <v>437</v>
      </c>
      <c r="J652" s="11" t="n">
        <f aca="false">IF(D652="","",N(G652)-N(H652))</f>
        <v>61111600</v>
      </c>
      <c r="K652" s="34" t="str">
        <f aca="false">IF(D652="","",IFERROR(INDEX(I_COA!$C$6:$C$265,MATCH(D652,I_COA!$A$6:$A$265,0)),"AKUN BARU"))</f>
        <v>Neraca</v>
      </c>
      <c r="L652" s="34" t="str">
        <f aca="false">IF(K652="LabaRugi",INDEX(I_COA!$D$6:$D$265,MATCH(D652,I_COA!$A$6:$A$265,0)),"")</f>
        <v/>
      </c>
      <c r="M652" s="34" t="str">
        <f aca="false">IF(K652="Neraca",INDEX(I_COA!$E$6:$E$265,MATCH(D652,I_COA!$A$6:$A$265,0)),"")</f>
        <v>Cash and cash equivalents</v>
      </c>
      <c r="N652" s="34" t="str">
        <f aca="false">IF(D652="","",IFERROR(INDEX(I_COA!$G$6:$G$265,MATCH(D652,I_COA!$A$6:$A$265,0)),"N"))</f>
        <v>Y</v>
      </c>
      <c r="O652" s="11" t="str">
        <f aca="false">IF(N652="N",ABS(J652),"")</f>
        <v/>
      </c>
      <c r="P652" s="18" t="str">
        <f aca="false">IF(N652="N",B652&amp;"|"&amp;ROUND(O652,0),"")</f>
        <v/>
      </c>
      <c r="Q652" s="18" t="n">
        <f aca="false">IF(N652&lt;&gt;"Y","",IFERROR(INDEX($D$6:$D$4005,MATCH(B652&amp;"|"&amp;ROUND(_xlfn.MAXIFS($O$6:$O$4005,$B$6:$B$4005,B652,$N$6:$N$4005,"N"),0),$P$6:$P$4005,0)),"(tanpa lawan)"))</f>
        <v>1103101</v>
      </c>
      <c r="R652" s="44"/>
      <c r="S652" s="9" t="str">
        <f aca="false">IF(N652&lt;&gt;"Y","",IF(R652&lt;&gt;"",R652,IF(Q652="(tanpa lawan)","Transfer antar rekening",IFERROR(INDEX(I_COA!$F$6:$F$265,MATCH(Q652,I_COA!$A$6:$A$265,0)),"?"))))</f>
        <v>Penerimaan dari pelanggan</v>
      </c>
    </row>
    <row r="653" customFormat="false" ht="15" hidden="false" customHeight="false" outlineLevel="0" collapsed="false">
      <c r="A653" s="37" t="n">
        <v>46245</v>
      </c>
      <c r="B653" s="44" t="s">
        <v>1141</v>
      </c>
      <c r="C653" s="44" t="s">
        <v>585</v>
      </c>
      <c r="D653" s="44" t="n">
        <v>1103101</v>
      </c>
      <c r="E653" s="44" t="s">
        <v>589</v>
      </c>
      <c r="F653" s="44" t="s">
        <v>1142</v>
      </c>
      <c r="G653" s="42"/>
      <c r="H653" s="42" t="n">
        <v>61111600</v>
      </c>
      <c r="I653" s="44" t="s">
        <v>437</v>
      </c>
      <c r="J653" s="11" t="n">
        <f aca="false">IF(D653="","",N(G653)-N(H653))</f>
        <v>-61111600</v>
      </c>
      <c r="K653" s="34" t="str">
        <f aca="false">IF(D653="","",IFERROR(INDEX(I_COA!$C$6:$C$265,MATCH(D653,I_COA!$A$6:$A$265,0)),"AKUN BARU"))</f>
        <v>Neraca</v>
      </c>
      <c r="L653" s="34" t="str">
        <f aca="false">IF(K653="LabaRugi",INDEX(I_COA!$D$6:$D$265,MATCH(D653,I_COA!$A$6:$A$265,0)),"")</f>
        <v/>
      </c>
      <c r="M653" s="34" t="str">
        <f aca="false">IF(K653="Neraca",INDEX(I_COA!$E$6:$E$265,MATCH(D653,I_COA!$A$6:$A$265,0)),"")</f>
        <v>Trade Receivables - Third Parties</v>
      </c>
      <c r="N653" s="34" t="str">
        <f aca="false">IF(D653="","",IFERROR(INDEX(I_COA!$G$6:$G$265,MATCH(D653,I_COA!$A$6:$A$265,0)),"N"))</f>
        <v>N</v>
      </c>
      <c r="O653" s="11" t="n">
        <f aca="false">IF(N653="N",ABS(J653),"")</f>
        <v>61111600</v>
      </c>
      <c r="P653" s="18" t="str">
        <f aca="false">IF(N653="N",B653&amp;"|"&amp;ROUND(O653,0),"")</f>
        <v>B7626080050|61111600</v>
      </c>
      <c r="Q653" s="18" t="str">
        <f aca="false">IF(N653&lt;&gt;"Y","",IFERROR(INDEX($D$6:$D$4005,MATCH(B653&amp;"|"&amp;ROUND(_xlfn.MAXIFS($O$6:$O$4005,$B$6:$B$4005,B653,$N$6:$N$4005,"N"),0),$P$6:$P$4005,0)),"(tanpa lawan)"))</f>
        <v/>
      </c>
      <c r="R653" s="44"/>
      <c r="S653" s="9" t="str">
        <f aca="false">IF(N653&lt;&gt;"Y","",IF(R653&lt;&gt;"",R653,IF(Q653="(tanpa lawan)","Transfer antar rekening",IFERROR(INDEX(I_COA!$F$6:$F$265,MATCH(Q653,I_COA!$A$6:$A$265,0)),"?"))))</f>
        <v/>
      </c>
    </row>
    <row r="654" customFormat="false" ht="15" hidden="false" customHeight="false" outlineLevel="0" collapsed="false">
      <c r="A654" s="37" t="n">
        <v>46245</v>
      </c>
      <c r="B654" s="44" t="s">
        <v>1143</v>
      </c>
      <c r="C654" s="44" t="s">
        <v>585</v>
      </c>
      <c r="D654" s="44" t="n">
        <v>1102001</v>
      </c>
      <c r="E654" s="44" t="s">
        <v>586</v>
      </c>
      <c r="F654" s="44" t="s">
        <v>1142</v>
      </c>
      <c r="G654" s="42" t="n">
        <v>58325370</v>
      </c>
      <c r="H654" s="42"/>
      <c r="I654" s="44" t="s">
        <v>437</v>
      </c>
      <c r="J654" s="11" t="n">
        <f aca="false">IF(D654="","",N(G654)-N(H654))</f>
        <v>58325370</v>
      </c>
      <c r="K654" s="34" t="str">
        <f aca="false">IF(D654="","",IFERROR(INDEX(I_COA!$C$6:$C$265,MATCH(D654,I_COA!$A$6:$A$265,0)),"AKUN BARU"))</f>
        <v>Neraca</v>
      </c>
      <c r="L654" s="34" t="str">
        <f aca="false">IF(K654="LabaRugi",INDEX(I_COA!$D$6:$D$265,MATCH(D654,I_COA!$A$6:$A$265,0)),"")</f>
        <v/>
      </c>
      <c r="M654" s="34" t="str">
        <f aca="false">IF(K654="Neraca",INDEX(I_COA!$E$6:$E$265,MATCH(D654,I_COA!$A$6:$A$265,0)),"")</f>
        <v>Cash and cash equivalents</v>
      </c>
      <c r="N654" s="34" t="str">
        <f aca="false">IF(D654="","",IFERROR(INDEX(I_COA!$G$6:$G$265,MATCH(D654,I_COA!$A$6:$A$265,0)),"N"))</f>
        <v>Y</v>
      </c>
      <c r="O654" s="11" t="str">
        <f aca="false">IF(N654="N",ABS(J654),"")</f>
        <v/>
      </c>
      <c r="P654" s="18" t="str">
        <f aca="false">IF(N654="N",B654&amp;"|"&amp;ROUND(O654,0),"")</f>
        <v/>
      </c>
      <c r="Q654" s="18" t="n">
        <f aca="false">IF(N654&lt;&gt;"Y","",IFERROR(INDEX($D$6:$D$4005,MATCH(B654&amp;"|"&amp;ROUND(_xlfn.MAXIFS($O$6:$O$4005,$B$6:$B$4005,B654,$N$6:$N$4005,"N"),0),$P$6:$P$4005,0)),"(tanpa lawan)"))</f>
        <v>1103101</v>
      </c>
      <c r="R654" s="44"/>
      <c r="S654" s="9" t="str">
        <f aca="false">IF(N654&lt;&gt;"Y","",IF(R654&lt;&gt;"",R654,IF(Q654="(tanpa lawan)","Transfer antar rekening",IFERROR(INDEX(I_COA!$F$6:$F$265,MATCH(Q654,I_COA!$A$6:$A$265,0)),"?"))))</f>
        <v>Penerimaan dari pelanggan</v>
      </c>
    </row>
    <row r="655" customFormat="false" ht="15" hidden="false" customHeight="false" outlineLevel="0" collapsed="false">
      <c r="A655" s="37" t="n">
        <v>46245</v>
      </c>
      <c r="B655" s="44" t="s">
        <v>1143</v>
      </c>
      <c r="C655" s="44" t="s">
        <v>585</v>
      </c>
      <c r="D655" s="44" t="n">
        <v>1103101</v>
      </c>
      <c r="E655" s="44" t="s">
        <v>589</v>
      </c>
      <c r="F655" s="44" t="s">
        <v>1142</v>
      </c>
      <c r="G655" s="42"/>
      <c r="H655" s="42" t="n">
        <v>58325370</v>
      </c>
      <c r="I655" s="44" t="s">
        <v>437</v>
      </c>
      <c r="J655" s="11" t="n">
        <f aca="false">IF(D655="","",N(G655)-N(H655))</f>
        <v>-58325370</v>
      </c>
      <c r="K655" s="34" t="str">
        <f aca="false">IF(D655="","",IFERROR(INDEX(I_COA!$C$6:$C$265,MATCH(D655,I_COA!$A$6:$A$265,0)),"AKUN BARU"))</f>
        <v>Neraca</v>
      </c>
      <c r="L655" s="34" t="str">
        <f aca="false">IF(K655="LabaRugi",INDEX(I_COA!$D$6:$D$265,MATCH(D655,I_COA!$A$6:$A$265,0)),"")</f>
        <v/>
      </c>
      <c r="M655" s="34" t="str">
        <f aca="false">IF(K655="Neraca",INDEX(I_COA!$E$6:$E$265,MATCH(D655,I_COA!$A$6:$A$265,0)),"")</f>
        <v>Trade Receivables - Third Parties</v>
      </c>
      <c r="N655" s="34" t="str">
        <f aca="false">IF(D655="","",IFERROR(INDEX(I_COA!$G$6:$G$265,MATCH(D655,I_COA!$A$6:$A$265,0)),"N"))</f>
        <v>N</v>
      </c>
      <c r="O655" s="11" t="n">
        <f aca="false">IF(N655="N",ABS(J655),"")</f>
        <v>58325370</v>
      </c>
      <c r="P655" s="18" t="str">
        <f aca="false">IF(N655="N",B655&amp;"|"&amp;ROUND(O655,0),"")</f>
        <v>B7626080051|58325370</v>
      </c>
      <c r="Q655" s="18" t="str">
        <f aca="false">IF(N655&lt;&gt;"Y","",IFERROR(INDEX($D$6:$D$4005,MATCH(B655&amp;"|"&amp;ROUND(_xlfn.MAXIFS($O$6:$O$4005,$B$6:$B$4005,B655,$N$6:$N$4005,"N"),0),$P$6:$P$4005,0)),"(tanpa lawan)"))</f>
        <v/>
      </c>
      <c r="R655" s="44"/>
      <c r="S655" s="9" t="str">
        <f aca="false">IF(N655&lt;&gt;"Y","",IF(R655&lt;&gt;"",R655,IF(Q655="(tanpa lawan)","Transfer antar rekening",IFERROR(INDEX(I_COA!$F$6:$F$265,MATCH(Q655,I_COA!$A$6:$A$265,0)),"?"))))</f>
        <v/>
      </c>
    </row>
    <row r="656" customFormat="false" ht="15" hidden="false" customHeight="false" outlineLevel="0" collapsed="false">
      <c r="A656" s="37" t="n">
        <v>46245</v>
      </c>
      <c r="B656" s="44" t="s">
        <v>1144</v>
      </c>
      <c r="C656" s="44" t="s">
        <v>585</v>
      </c>
      <c r="D656" s="44" t="n">
        <v>1102001</v>
      </c>
      <c r="E656" s="44" t="s">
        <v>586</v>
      </c>
      <c r="F656" s="44" t="s">
        <v>1145</v>
      </c>
      <c r="G656" s="42" t="n">
        <v>13091000</v>
      </c>
      <c r="H656" s="42"/>
      <c r="I656" s="44" t="s">
        <v>465</v>
      </c>
      <c r="J656" s="11" t="n">
        <f aca="false">IF(D656="","",N(G656)-N(H656))</f>
        <v>13091000</v>
      </c>
      <c r="K656" s="34" t="str">
        <f aca="false">IF(D656="","",IFERROR(INDEX(I_COA!$C$6:$C$265,MATCH(D656,I_COA!$A$6:$A$265,0)),"AKUN BARU"))</f>
        <v>Neraca</v>
      </c>
      <c r="L656" s="34" t="str">
        <f aca="false">IF(K656="LabaRugi",INDEX(I_COA!$D$6:$D$265,MATCH(D656,I_COA!$A$6:$A$265,0)),"")</f>
        <v/>
      </c>
      <c r="M656" s="34" t="str">
        <f aca="false">IF(K656="Neraca",INDEX(I_COA!$E$6:$E$265,MATCH(D656,I_COA!$A$6:$A$265,0)),"")</f>
        <v>Cash and cash equivalents</v>
      </c>
      <c r="N656" s="34" t="str">
        <f aca="false">IF(D656="","",IFERROR(INDEX(I_COA!$G$6:$G$265,MATCH(D656,I_COA!$A$6:$A$265,0)),"N"))</f>
        <v>Y</v>
      </c>
      <c r="O656" s="11" t="str">
        <f aca="false">IF(N656="N",ABS(J656),"")</f>
        <v/>
      </c>
      <c r="P656" s="18" t="str">
        <f aca="false">IF(N656="N",B656&amp;"|"&amp;ROUND(O656,0),"")</f>
        <v/>
      </c>
      <c r="Q656" s="18" t="n">
        <f aca="false">IF(N656&lt;&gt;"Y","",IFERROR(INDEX($D$6:$D$4005,MATCH(B656&amp;"|"&amp;ROUND(_xlfn.MAXIFS($O$6:$O$4005,$B$6:$B$4005,B656,$N$6:$N$4005,"N"),0),$P$6:$P$4005,0)),"(tanpa lawan)"))</f>
        <v>1103101</v>
      </c>
      <c r="R656" s="44"/>
      <c r="S656" s="9" t="str">
        <f aca="false">IF(N656&lt;&gt;"Y","",IF(R656&lt;&gt;"",R656,IF(Q656="(tanpa lawan)","Transfer antar rekening",IFERROR(INDEX(I_COA!$F$6:$F$265,MATCH(Q656,I_COA!$A$6:$A$265,0)),"?"))))</f>
        <v>Penerimaan dari pelanggan</v>
      </c>
    </row>
    <row r="657" customFormat="false" ht="15" hidden="false" customHeight="false" outlineLevel="0" collapsed="false">
      <c r="A657" s="37" t="n">
        <v>46245</v>
      </c>
      <c r="B657" s="44" t="s">
        <v>1144</v>
      </c>
      <c r="C657" s="44" t="s">
        <v>585</v>
      </c>
      <c r="D657" s="44" t="n">
        <v>1103101</v>
      </c>
      <c r="E657" s="44" t="s">
        <v>589</v>
      </c>
      <c r="F657" s="44" t="s">
        <v>1145</v>
      </c>
      <c r="G657" s="42"/>
      <c r="H657" s="42" t="n">
        <v>13091000</v>
      </c>
      <c r="I657" s="44" t="s">
        <v>465</v>
      </c>
      <c r="J657" s="11" t="n">
        <f aca="false">IF(D657="","",N(G657)-N(H657))</f>
        <v>-13091000</v>
      </c>
      <c r="K657" s="34" t="str">
        <f aca="false">IF(D657="","",IFERROR(INDEX(I_COA!$C$6:$C$265,MATCH(D657,I_COA!$A$6:$A$265,0)),"AKUN BARU"))</f>
        <v>Neraca</v>
      </c>
      <c r="L657" s="34" t="str">
        <f aca="false">IF(K657="LabaRugi",INDEX(I_COA!$D$6:$D$265,MATCH(D657,I_COA!$A$6:$A$265,0)),"")</f>
        <v/>
      </c>
      <c r="M657" s="34" t="str">
        <f aca="false">IF(K657="Neraca",INDEX(I_COA!$E$6:$E$265,MATCH(D657,I_COA!$A$6:$A$265,0)),"")</f>
        <v>Trade Receivables - Third Parties</v>
      </c>
      <c r="N657" s="34" t="str">
        <f aca="false">IF(D657="","",IFERROR(INDEX(I_COA!$G$6:$G$265,MATCH(D657,I_COA!$A$6:$A$265,0)),"N"))</f>
        <v>N</v>
      </c>
      <c r="O657" s="11" t="n">
        <f aca="false">IF(N657="N",ABS(J657),"")</f>
        <v>13091000</v>
      </c>
      <c r="P657" s="18" t="str">
        <f aca="false">IF(N657="N",B657&amp;"|"&amp;ROUND(O657,0),"")</f>
        <v>B7626080052|13091000</v>
      </c>
      <c r="Q657" s="18" t="str">
        <f aca="false">IF(N657&lt;&gt;"Y","",IFERROR(INDEX($D$6:$D$4005,MATCH(B657&amp;"|"&amp;ROUND(_xlfn.MAXIFS($O$6:$O$4005,$B$6:$B$4005,B657,$N$6:$N$4005,"N"),0),$P$6:$P$4005,0)),"(tanpa lawan)"))</f>
        <v/>
      </c>
      <c r="R657" s="44"/>
      <c r="S657" s="9" t="str">
        <f aca="false">IF(N657&lt;&gt;"Y","",IF(R657&lt;&gt;"",R657,IF(Q657="(tanpa lawan)","Transfer antar rekening",IFERROR(INDEX(I_COA!$F$6:$F$265,MATCH(Q657,I_COA!$A$6:$A$265,0)),"?"))))</f>
        <v/>
      </c>
    </row>
    <row r="658" customFormat="false" ht="15" hidden="false" customHeight="false" outlineLevel="0" collapsed="false">
      <c r="A658" s="37" t="n">
        <v>46245</v>
      </c>
      <c r="B658" s="44" t="s">
        <v>1146</v>
      </c>
      <c r="C658" s="44" t="s">
        <v>580</v>
      </c>
      <c r="D658" s="44" t="n">
        <v>1102008</v>
      </c>
      <c r="E658" s="44" t="s">
        <v>781</v>
      </c>
      <c r="F658" s="44" t="s">
        <v>870</v>
      </c>
      <c r="G658" s="42" t="n">
        <v>500000000</v>
      </c>
      <c r="H658" s="42"/>
      <c r="I658" s="44"/>
      <c r="J658" s="11" t="n">
        <f aca="false">IF(D658="","",N(G658)-N(H658))</f>
        <v>500000000</v>
      </c>
      <c r="K658" s="34" t="str">
        <f aca="false">IF(D658="","",IFERROR(INDEX(I_COA!$C$6:$C$265,MATCH(D658,I_COA!$A$6:$A$265,0)),"AKUN BARU"))</f>
        <v>Neraca</v>
      </c>
      <c r="L658" s="34" t="str">
        <f aca="false">IF(K658="LabaRugi",INDEX(I_COA!$D$6:$D$265,MATCH(D658,I_COA!$A$6:$A$265,0)),"")</f>
        <v/>
      </c>
      <c r="M658" s="34" t="str">
        <f aca="false">IF(K658="Neraca",INDEX(I_COA!$E$6:$E$265,MATCH(D658,I_COA!$A$6:$A$265,0)),"")</f>
        <v>Advance Payment</v>
      </c>
      <c r="N658" s="34" t="str">
        <f aca="false">IF(D658="","",IFERROR(INDEX(I_COA!$G$6:$G$265,MATCH(D658,I_COA!$A$6:$A$265,0)),"N"))</f>
        <v>N</v>
      </c>
      <c r="O658" s="11" t="n">
        <f aca="false">IF(N658="N",ABS(J658),"")</f>
        <v>500000000</v>
      </c>
      <c r="P658" s="18" t="str">
        <f aca="false">IF(N658="N",B658&amp;"|"&amp;ROUND(O658,0),"")</f>
        <v>B7726080005|500000000</v>
      </c>
      <c r="Q658" s="18" t="str">
        <f aca="false">IF(N658&lt;&gt;"Y","",IFERROR(INDEX($D$6:$D$4005,MATCH(B658&amp;"|"&amp;ROUND(_xlfn.MAXIFS($O$6:$O$4005,$B$6:$B$4005,B658,$N$6:$N$4005,"N"),0),$P$6:$P$4005,0)),"(tanpa lawan)"))</f>
        <v/>
      </c>
      <c r="R658" s="44"/>
      <c r="S658" s="9" t="str">
        <f aca="false">IF(N658&lt;&gt;"Y","",IF(R658&lt;&gt;"",R658,IF(Q658="(tanpa lawan)","Transfer antar rekening",IFERROR(INDEX(I_COA!$F$6:$F$265,MATCH(Q658,I_COA!$A$6:$A$265,0)),"?"))))</f>
        <v/>
      </c>
    </row>
    <row r="659" customFormat="false" ht="15" hidden="false" customHeight="false" outlineLevel="0" collapsed="false">
      <c r="A659" s="37" t="n">
        <v>46245</v>
      </c>
      <c r="B659" s="44" t="s">
        <v>1146</v>
      </c>
      <c r="C659" s="44" t="s">
        <v>580</v>
      </c>
      <c r="D659" s="44" t="n">
        <v>1102001</v>
      </c>
      <c r="E659" s="44" t="s">
        <v>586</v>
      </c>
      <c r="F659" s="44" t="s">
        <v>782</v>
      </c>
      <c r="G659" s="42"/>
      <c r="H659" s="42" t="n">
        <v>500000000</v>
      </c>
      <c r="I659" s="44"/>
      <c r="J659" s="11" t="n">
        <f aca="false">IF(D659="","",N(G659)-N(H659))</f>
        <v>-500000000</v>
      </c>
      <c r="K659" s="34" t="str">
        <f aca="false">IF(D659="","",IFERROR(INDEX(I_COA!$C$6:$C$265,MATCH(D659,I_COA!$A$6:$A$265,0)),"AKUN BARU"))</f>
        <v>Neraca</v>
      </c>
      <c r="L659" s="34" t="str">
        <f aca="false">IF(K659="LabaRugi",INDEX(I_COA!$D$6:$D$265,MATCH(D659,I_COA!$A$6:$A$265,0)),"")</f>
        <v/>
      </c>
      <c r="M659" s="34" t="str">
        <f aca="false">IF(K659="Neraca",INDEX(I_COA!$E$6:$E$265,MATCH(D659,I_COA!$A$6:$A$265,0)),"")</f>
        <v>Cash and cash equivalents</v>
      </c>
      <c r="N659" s="34" t="str">
        <f aca="false">IF(D659="","",IFERROR(INDEX(I_COA!$G$6:$G$265,MATCH(D659,I_COA!$A$6:$A$265,0)),"N"))</f>
        <v>Y</v>
      </c>
      <c r="O659" s="11" t="str">
        <f aca="false">IF(N659="N",ABS(J659),"")</f>
        <v/>
      </c>
      <c r="P659" s="18" t="str">
        <f aca="false">IF(N659="N",B659&amp;"|"&amp;ROUND(O659,0),"")</f>
        <v/>
      </c>
      <c r="Q659" s="18" t="n">
        <f aca="false">IF(N659&lt;&gt;"Y","",IFERROR(INDEX($D$6:$D$4005,MATCH(B659&amp;"|"&amp;ROUND(_xlfn.MAXIFS($O$6:$O$4005,$B$6:$B$4005,B659,$N$6:$N$4005,"N"),0),$P$6:$P$4005,0)),"(tanpa lawan)"))</f>
        <v>1102008</v>
      </c>
      <c r="R659" s="44"/>
      <c r="S659" s="9" t="str">
        <f aca="false">IF(N659&lt;&gt;"Y","",IF(R659&lt;&gt;"",R659,IF(Q659="(tanpa lawan)","Transfer antar rekening",IFERROR(INDEX(I_COA!$F$6:$F$265,MATCH(Q659,I_COA!$A$6:$A$265,0)),"?"))))</f>
        <v>Transfer antar rekening</v>
      </c>
    </row>
    <row r="660" customFormat="false" ht="15" hidden="false" customHeight="false" outlineLevel="0" collapsed="false">
      <c r="A660" s="37" t="n">
        <v>46245</v>
      </c>
      <c r="B660" s="44" t="s">
        <v>1147</v>
      </c>
      <c r="C660" s="44" t="s">
        <v>580</v>
      </c>
      <c r="D660" s="44" t="n">
        <v>1102002</v>
      </c>
      <c r="E660" s="44" t="s">
        <v>598</v>
      </c>
      <c r="F660" s="44" t="s">
        <v>784</v>
      </c>
      <c r="G660" s="42" t="n">
        <v>500000000</v>
      </c>
      <c r="H660" s="42"/>
      <c r="I660" s="44"/>
      <c r="J660" s="11" t="n">
        <f aca="false">IF(D660="","",N(G660)-N(H660))</f>
        <v>500000000</v>
      </c>
      <c r="K660" s="34" t="str">
        <f aca="false">IF(D660="","",IFERROR(INDEX(I_COA!$C$6:$C$265,MATCH(D660,I_COA!$A$6:$A$265,0)),"AKUN BARU"))</f>
        <v>Neraca</v>
      </c>
      <c r="L660" s="34" t="str">
        <f aca="false">IF(K660="LabaRugi",INDEX(I_COA!$D$6:$D$265,MATCH(D660,I_COA!$A$6:$A$265,0)),"")</f>
        <v/>
      </c>
      <c r="M660" s="34" t="str">
        <f aca="false">IF(K660="Neraca",INDEX(I_COA!$E$6:$E$265,MATCH(D660,I_COA!$A$6:$A$265,0)),"")</f>
        <v>Cash and cash equivalents</v>
      </c>
      <c r="N660" s="34" t="str">
        <f aca="false">IF(D660="","",IFERROR(INDEX(I_COA!$G$6:$G$265,MATCH(D660,I_COA!$A$6:$A$265,0)),"N"))</f>
        <v>Y</v>
      </c>
      <c r="O660" s="11" t="str">
        <f aca="false">IF(N660="N",ABS(J660),"")</f>
        <v/>
      </c>
      <c r="P660" s="18" t="str">
        <f aca="false">IF(N660="N",B660&amp;"|"&amp;ROUND(O660,0),"")</f>
        <v/>
      </c>
      <c r="Q660" s="18" t="n">
        <f aca="false">IF(N660&lt;&gt;"Y","",IFERROR(INDEX($D$6:$D$4005,MATCH(B660&amp;"|"&amp;ROUND(_xlfn.MAXIFS($O$6:$O$4005,$B$6:$B$4005,B660,$N$6:$N$4005,"N"),0),$P$6:$P$4005,0)),"(tanpa lawan)"))</f>
        <v>1102008</v>
      </c>
      <c r="R660" s="44"/>
      <c r="S660" s="9" t="str">
        <f aca="false">IF(N660&lt;&gt;"Y","",IF(R660&lt;&gt;"",R660,IF(Q660="(tanpa lawan)","Transfer antar rekening",IFERROR(INDEX(I_COA!$F$6:$F$265,MATCH(Q660,I_COA!$A$6:$A$265,0)),"?"))))</f>
        <v>Transfer antar rekening</v>
      </c>
    </row>
    <row r="661" customFormat="false" ht="15" hidden="false" customHeight="false" outlineLevel="0" collapsed="false">
      <c r="A661" s="37" t="n">
        <v>46245</v>
      </c>
      <c r="B661" s="44" t="s">
        <v>1147</v>
      </c>
      <c r="C661" s="44" t="s">
        <v>580</v>
      </c>
      <c r="D661" s="44" t="n">
        <v>1102008</v>
      </c>
      <c r="E661" s="44" t="s">
        <v>781</v>
      </c>
      <c r="F661" s="44" t="s">
        <v>784</v>
      </c>
      <c r="G661" s="42"/>
      <c r="H661" s="42" t="n">
        <v>500000000</v>
      </c>
      <c r="I661" s="44"/>
      <c r="J661" s="11" t="n">
        <f aca="false">IF(D661="","",N(G661)-N(H661))</f>
        <v>-500000000</v>
      </c>
      <c r="K661" s="34" t="str">
        <f aca="false">IF(D661="","",IFERROR(INDEX(I_COA!$C$6:$C$265,MATCH(D661,I_COA!$A$6:$A$265,0)),"AKUN BARU"))</f>
        <v>Neraca</v>
      </c>
      <c r="L661" s="34" t="str">
        <f aca="false">IF(K661="LabaRugi",INDEX(I_COA!$D$6:$D$265,MATCH(D661,I_COA!$A$6:$A$265,0)),"")</f>
        <v/>
      </c>
      <c r="M661" s="34" t="str">
        <f aca="false">IF(K661="Neraca",INDEX(I_COA!$E$6:$E$265,MATCH(D661,I_COA!$A$6:$A$265,0)),"")</f>
        <v>Advance Payment</v>
      </c>
      <c r="N661" s="34" t="str">
        <f aca="false">IF(D661="","",IFERROR(INDEX(I_COA!$G$6:$G$265,MATCH(D661,I_COA!$A$6:$A$265,0)),"N"))</f>
        <v>N</v>
      </c>
      <c r="O661" s="11" t="n">
        <f aca="false">IF(N661="N",ABS(J661),"")</f>
        <v>500000000</v>
      </c>
      <c r="P661" s="18" t="str">
        <f aca="false">IF(N661="N",B661&amp;"|"&amp;ROUND(O661,0),"")</f>
        <v>B8426080006|500000000</v>
      </c>
      <c r="Q661" s="18" t="str">
        <f aca="false">IF(N661&lt;&gt;"Y","",IFERROR(INDEX($D$6:$D$4005,MATCH(B661&amp;"|"&amp;ROUND(_xlfn.MAXIFS($O$6:$O$4005,$B$6:$B$4005,B661,$N$6:$N$4005,"N"),0),$P$6:$P$4005,0)),"(tanpa lawan)"))</f>
        <v/>
      </c>
      <c r="R661" s="44"/>
      <c r="S661" s="9" t="str">
        <f aca="false">IF(N661&lt;&gt;"Y","",IF(R661&lt;&gt;"",R661,IF(Q661="(tanpa lawan)","Transfer antar rekening",IFERROR(INDEX(I_COA!$F$6:$F$265,MATCH(Q661,I_COA!$A$6:$A$265,0)),"?"))))</f>
        <v/>
      </c>
    </row>
    <row r="662" customFormat="false" ht="15" hidden="false" customHeight="false" outlineLevel="0" collapsed="false">
      <c r="A662" s="37" t="n">
        <v>46245</v>
      </c>
      <c r="B662" s="44" t="s">
        <v>1148</v>
      </c>
      <c r="C662" s="44" t="s">
        <v>594</v>
      </c>
      <c r="D662" s="44" t="n">
        <v>2101001</v>
      </c>
      <c r="E662" s="44" t="s">
        <v>595</v>
      </c>
      <c r="F662" s="44" t="s">
        <v>1149</v>
      </c>
      <c r="G662" s="42" t="n">
        <v>502010000</v>
      </c>
      <c r="H662" s="42"/>
      <c r="I662" s="44" t="s">
        <v>597</v>
      </c>
      <c r="J662" s="11" t="n">
        <f aca="false">IF(D662="","",N(G662)-N(H662))</f>
        <v>502010000</v>
      </c>
      <c r="K662" s="34" t="str">
        <f aca="false">IF(D662="","",IFERROR(INDEX(I_COA!$C$6:$C$265,MATCH(D662,I_COA!$A$6:$A$265,0)),"AKUN BARU"))</f>
        <v>Neraca</v>
      </c>
      <c r="L662" s="34" t="str">
        <f aca="false">IF(K662="LabaRugi",INDEX(I_COA!$D$6:$D$265,MATCH(D662,I_COA!$A$6:$A$265,0)),"")</f>
        <v/>
      </c>
      <c r="M662" s="34" t="str">
        <f aca="false">IF(K662="Neraca",INDEX(I_COA!$E$6:$E$265,MATCH(D662,I_COA!$A$6:$A$265,0)),"")</f>
        <v>Trade Payables - Third Parties</v>
      </c>
      <c r="N662" s="34" t="str">
        <f aca="false">IF(D662="","",IFERROR(INDEX(I_COA!$G$6:$G$265,MATCH(D662,I_COA!$A$6:$A$265,0)),"N"))</f>
        <v>N</v>
      </c>
      <c r="O662" s="11" t="n">
        <f aca="false">IF(N662="N",ABS(J662),"")</f>
        <v>502010000</v>
      </c>
      <c r="P662" s="18" t="str">
        <f aca="false">IF(N662="N",B662&amp;"|"&amp;ROUND(O662,0),"")</f>
        <v>B8526080046|502010000</v>
      </c>
      <c r="Q662" s="18" t="str">
        <f aca="false">IF(N662&lt;&gt;"Y","",IFERROR(INDEX($D$6:$D$4005,MATCH(B662&amp;"|"&amp;ROUND(_xlfn.MAXIFS($O$6:$O$4005,$B$6:$B$4005,B662,$N$6:$N$4005,"N"),0),$P$6:$P$4005,0)),"(tanpa lawan)"))</f>
        <v/>
      </c>
      <c r="R662" s="44"/>
      <c r="S662" s="9" t="str">
        <f aca="false">IF(N662&lt;&gt;"Y","",IF(R662&lt;&gt;"",R662,IF(Q662="(tanpa lawan)","Transfer antar rekening",IFERROR(INDEX(I_COA!$F$6:$F$265,MATCH(Q662,I_COA!$A$6:$A$265,0)),"?"))))</f>
        <v/>
      </c>
    </row>
    <row r="663" customFormat="false" ht="15" hidden="false" customHeight="false" outlineLevel="0" collapsed="false">
      <c r="A663" s="37" t="n">
        <v>46245</v>
      </c>
      <c r="B663" s="44" t="s">
        <v>1148</v>
      </c>
      <c r="C663" s="44" t="s">
        <v>594</v>
      </c>
      <c r="D663" s="44" t="n">
        <v>6200023</v>
      </c>
      <c r="E663" s="44" t="s">
        <v>688</v>
      </c>
      <c r="F663" s="44" t="s">
        <v>1149</v>
      </c>
      <c r="G663" s="42"/>
      <c r="H663" s="42" t="n">
        <v>10000</v>
      </c>
      <c r="I663" s="44" t="s">
        <v>597</v>
      </c>
      <c r="J663" s="11" t="n">
        <f aca="false">IF(D663="","",N(G663)-N(H663))</f>
        <v>-10000</v>
      </c>
      <c r="K663" s="34" t="str">
        <f aca="false">IF(D663="","",IFERROR(INDEX(I_COA!$C$6:$C$265,MATCH(D663,I_COA!$A$6:$A$265,0)),"AKUN BARU"))</f>
        <v>LabaRugi</v>
      </c>
      <c r="L663" s="34" t="str">
        <f aca="false">IF(K663="LabaRugi",INDEX(I_COA!$D$6:$D$265,MATCH(D663,I_COA!$A$6:$A$265,0)),"")</f>
        <v>Tax expenses</v>
      </c>
      <c r="M663" s="34" t="str">
        <f aca="false">IF(K663="Neraca",INDEX(I_COA!$E$6:$E$265,MATCH(D663,I_COA!$A$6:$A$265,0)),"")</f>
        <v/>
      </c>
      <c r="N663" s="34" t="str">
        <f aca="false">IF(D663="","",IFERROR(INDEX(I_COA!$G$6:$G$265,MATCH(D663,I_COA!$A$6:$A$265,0)),"N"))</f>
        <v>N</v>
      </c>
      <c r="O663" s="11" t="n">
        <f aca="false">IF(N663="N",ABS(J663),"")</f>
        <v>10000</v>
      </c>
      <c r="P663" s="18" t="str">
        <f aca="false">IF(N663="N",B663&amp;"|"&amp;ROUND(O663,0),"")</f>
        <v>B8526080046|10000</v>
      </c>
      <c r="Q663" s="18" t="str">
        <f aca="false">IF(N663&lt;&gt;"Y","",IFERROR(INDEX($D$6:$D$4005,MATCH(B663&amp;"|"&amp;ROUND(_xlfn.MAXIFS($O$6:$O$4005,$B$6:$B$4005,B663,$N$6:$N$4005,"N"),0),$P$6:$P$4005,0)),"(tanpa lawan)"))</f>
        <v/>
      </c>
      <c r="R663" s="44"/>
      <c r="S663" s="9" t="str">
        <f aca="false">IF(N663&lt;&gt;"Y","",IF(R663&lt;&gt;"",R663,IF(Q663="(tanpa lawan)","Transfer antar rekening",IFERROR(INDEX(I_COA!$F$6:$F$265,MATCH(Q663,I_COA!$A$6:$A$265,0)),"?"))))</f>
        <v/>
      </c>
    </row>
    <row r="664" customFormat="false" ht="15" hidden="false" customHeight="false" outlineLevel="0" collapsed="false">
      <c r="A664" s="37" t="n">
        <v>46245</v>
      </c>
      <c r="B664" s="44" t="s">
        <v>1148</v>
      </c>
      <c r="C664" s="44" t="s">
        <v>594</v>
      </c>
      <c r="D664" s="44" t="n">
        <v>1102002</v>
      </c>
      <c r="E664" s="44" t="s">
        <v>598</v>
      </c>
      <c r="F664" s="44" t="s">
        <v>1149</v>
      </c>
      <c r="G664" s="42"/>
      <c r="H664" s="42" t="n">
        <v>502000000</v>
      </c>
      <c r="I664" s="44" t="s">
        <v>597</v>
      </c>
      <c r="J664" s="11" t="n">
        <f aca="false">IF(D664="","",N(G664)-N(H664))</f>
        <v>-502000000</v>
      </c>
      <c r="K664" s="34" t="str">
        <f aca="false">IF(D664="","",IFERROR(INDEX(I_COA!$C$6:$C$265,MATCH(D664,I_COA!$A$6:$A$265,0)),"AKUN BARU"))</f>
        <v>Neraca</v>
      </c>
      <c r="L664" s="34" t="str">
        <f aca="false">IF(K664="LabaRugi",INDEX(I_COA!$D$6:$D$265,MATCH(D664,I_COA!$A$6:$A$265,0)),"")</f>
        <v/>
      </c>
      <c r="M664" s="34" t="str">
        <f aca="false">IF(K664="Neraca",INDEX(I_COA!$E$6:$E$265,MATCH(D664,I_COA!$A$6:$A$265,0)),"")</f>
        <v>Cash and cash equivalents</v>
      </c>
      <c r="N664" s="34" t="str">
        <f aca="false">IF(D664="","",IFERROR(INDEX(I_COA!$G$6:$G$265,MATCH(D664,I_COA!$A$6:$A$265,0)),"N"))</f>
        <v>Y</v>
      </c>
      <c r="O664" s="11" t="str">
        <f aca="false">IF(N664="N",ABS(J664),"")</f>
        <v/>
      </c>
      <c r="P664" s="18" t="str">
        <f aca="false">IF(N664="N",B664&amp;"|"&amp;ROUND(O664,0),"")</f>
        <v/>
      </c>
      <c r="Q664" s="18" t="n">
        <f aca="false">IF(N664&lt;&gt;"Y","",IFERROR(INDEX($D$6:$D$4005,MATCH(B664&amp;"|"&amp;ROUND(_xlfn.MAXIFS($O$6:$O$4005,$B$6:$B$4005,B664,$N$6:$N$4005,"N"),0),$P$6:$P$4005,0)),"(tanpa lawan)"))</f>
        <v>2101001</v>
      </c>
      <c r="R664" s="44"/>
      <c r="S664" s="9" t="str">
        <f aca="false">IF(N664&lt;&gt;"Y","",IF(R664&lt;&gt;"",R664,IF(Q664="(tanpa lawan)","Transfer antar rekening",IFERROR(INDEX(I_COA!$F$6:$F$265,MATCH(Q664,I_COA!$A$6:$A$265,0)),"?"))))</f>
        <v>Bayar pemasok barang (live bird &amp; trading)</v>
      </c>
    </row>
    <row r="665" customFormat="false" ht="15" hidden="false" customHeight="false" outlineLevel="0" collapsed="false">
      <c r="A665" s="37" t="n">
        <v>46245</v>
      </c>
      <c r="B665" s="44" t="s">
        <v>1150</v>
      </c>
      <c r="C665" s="44" t="s">
        <v>580</v>
      </c>
      <c r="D665" s="44" t="n">
        <v>6200005</v>
      </c>
      <c r="E665" s="44" t="s">
        <v>732</v>
      </c>
      <c r="F665" s="44" t="s">
        <v>734</v>
      </c>
      <c r="G665" s="42" t="n">
        <v>262000</v>
      </c>
      <c r="H665" s="42"/>
      <c r="I665" s="44"/>
      <c r="J665" s="11" t="n">
        <f aca="false">IF(D665="","",N(G665)-N(H665))</f>
        <v>262000</v>
      </c>
      <c r="K665" s="34" t="str">
        <f aca="false">IF(D665="","",IFERROR(INDEX(I_COA!$C$6:$C$265,MATCH(D665,I_COA!$A$6:$A$265,0)),"AKUN BARU"))</f>
        <v>LabaRugi</v>
      </c>
      <c r="L665" s="34" t="str">
        <f aca="false">IF(K665="LabaRugi",INDEX(I_COA!$D$6:$D$265,MATCH(D665,I_COA!$A$6:$A$265,0)),"")</f>
        <v>Office Transportation expenses</v>
      </c>
      <c r="M665" s="34" t="str">
        <f aca="false">IF(K665="Neraca",INDEX(I_COA!$E$6:$E$265,MATCH(D665,I_COA!$A$6:$A$265,0)),"")</f>
        <v/>
      </c>
      <c r="N665" s="34" t="str">
        <f aca="false">IF(D665="","",IFERROR(INDEX(I_COA!$G$6:$G$265,MATCH(D665,I_COA!$A$6:$A$265,0)),"N"))</f>
        <v>N</v>
      </c>
      <c r="O665" s="11" t="n">
        <f aca="false">IF(N665="N",ABS(J665),"")</f>
        <v>262000</v>
      </c>
      <c r="P665" s="18" t="str">
        <f aca="false">IF(N665="N",B665&amp;"|"&amp;ROUND(O665,0),"")</f>
        <v>B8526080047|262000</v>
      </c>
      <c r="Q665" s="18" t="str">
        <f aca="false">IF(N665&lt;&gt;"Y","",IFERROR(INDEX($D$6:$D$4005,MATCH(B665&amp;"|"&amp;ROUND(_xlfn.MAXIFS($O$6:$O$4005,$B$6:$B$4005,B665,$N$6:$N$4005,"N"),0),$P$6:$P$4005,0)),"(tanpa lawan)"))</f>
        <v/>
      </c>
      <c r="R665" s="44"/>
      <c r="S665" s="9" t="str">
        <f aca="false">IF(N665&lt;&gt;"Y","",IF(R665&lt;&gt;"",R665,IF(Q665="(tanpa lawan)","Transfer antar rekening",IFERROR(INDEX(I_COA!$F$6:$F$265,MATCH(Q665,I_COA!$A$6:$A$265,0)),"?"))))</f>
        <v/>
      </c>
    </row>
    <row r="666" customFormat="false" ht="15" hidden="false" customHeight="false" outlineLevel="0" collapsed="false">
      <c r="A666" s="37" t="n">
        <v>46245</v>
      </c>
      <c r="B666" s="44" t="s">
        <v>1150</v>
      </c>
      <c r="C666" s="44" t="s">
        <v>580</v>
      </c>
      <c r="D666" s="44" t="n">
        <v>6200005</v>
      </c>
      <c r="E666" s="44" t="s">
        <v>732</v>
      </c>
      <c r="F666" s="44" t="s">
        <v>1151</v>
      </c>
      <c r="G666" s="42" t="n">
        <v>398000</v>
      </c>
      <c r="H666" s="42"/>
      <c r="I666" s="44"/>
      <c r="J666" s="11" t="n">
        <f aca="false">IF(D666="","",N(G666)-N(H666))</f>
        <v>398000</v>
      </c>
      <c r="K666" s="34" t="str">
        <f aca="false">IF(D666="","",IFERROR(INDEX(I_COA!$C$6:$C$265,MATCH(D666,I_COA!$A$6:$A$265,0)),"AKUN BARU"))</f>
        <v>LabaRugi</v>
      </c>
      <c r="L666" s="34" t="str">
        <f aca="false">IF(K666="LabaRugi",INDEX(I_COA!$D$6:$D$265,MATCH(D666,I_COA!$A$6:$A$265,0)),"")</f>
        <v>Office Transportation expenses</v>
      </c>
      <c r="M666" s="34" t="str">
        <f aca="false">IF(K666="Neraca",INDEX(I_COA!$E$6:$E$265,MATCH(D666,I_COA!$A$6:$A$265,0)),"")</f>
        <v/>
      </c>
      <c r="N666" s="34" t="str">
        <f aca="false">IF(D666="","",IFERROR(INDEX(I_COA!$G$6:$G$265,MATCH(D666,I_COA!$A$6:$A$265,0)),"N"))</f>
        <v>N</v>
      </c>
      <c r="O666" s="11" t="n">
        <f aca="false">IF(N666="N",ABS(J666),"")</f>
        <v>398000</v>
      </c>
      <c r="P666" s="18" t="str">
        <f aca="false">IF(N666="N",B666&amp;"|"&amp;ROUND(O666,0),"")</f>
        <v>B8526080047|398000</v>
      </c>
      <c r="Q666" s="18" t="str">
        <f aca="false">IF(N666&lt;&gt;"Y","",IFERROR(INDEX($D$6:$D$4005,MATCH(B666&amp;"|"&amp;ROUND(_xlfn.MAXIFS($O$6:$O$4005,$B$6:$B$4005,B666,$N$6:$N$4005,"N"),0),$P$6:$P$4005,0)),"(tanpa lawan)"))</f>
        <v/>
      </c>
      <c r="R666" s="44"/>
      <c r="S666" s="9" t="str">
        <f aca="false">IF(N666&lt;&gt;"Y","",IF(R666&lt;&gt;"",R666,IF(Q666="(tanpa lawan)","Transfer antar rekening",IFERROR(INDEX(I_COA!$F$6:$F$265,MATCH(Q666,I_COA!$A$6:$A$265,0)),"?"))))</f>
        <v/>
      </c>
    </row>
    <row r="667" customFormat="false" ht="15" hidden="false" customHeight="false" outlineLevel="0" collapsed="false">
      <c r="A667" s="37" t="n">
        <v>46245</v>
      </c>
      <c r="B667" s="44" t="s">
        <v>1150</v>
      </c>
      <c r="C667" s="44" t="s">
        <v>580</v>
      </c>
      <c r="D667" s="44" t="n">
        <v>6200005</v>
      </c>
      <c r="E667" s="44" t="s">
        <v>732</v>
      </c>
      <c r="F667" s="44" t="s">
        <v>1152</v>
      </c>
      <c r="G667" s="42" t="n">
        <v>118500</v>
      </c>
      <c r="H667" s="42"/>
      <c r="I667" s="44"/>
      <c r="J667" s="11" t="n">
        <f aca="false">IF(D667="","",N(G667)-N(H667))</f>
        <v>118500</v>
      </c>
      <c r="K667" s="34" t="str">
        <f aca="false">IF(D667="","",IFERROR(INDEX(I_COA!$C$6:$C$265,MATCH(D667,I_COA!$A$6:$A$265,0)),"AKUN BARU"))</f>
        <v>LabaRugi</v>
      </c>
      <c r="L667" s="34" t="str">
        <f aca="false">IF(K667="LabaRugi",INDEX(I_COA!$D$6:$D$265,MATCH(D667,I_COA!$A$6:$A$265,0)),"")</f>
        <v>Office Transportation expenses</v>
      </c>
      <c r="M667" s="34" t="str">
        <f aca="false">IF(K667="Neraca",INDEX(I_COA!$E$6:$E$265,MATCH(D667,I_COA!$A$6:$A$265,0)),"")</f>
        <v/>
      </c>
      <c r="N667" s="34" t="str">
        <f aca="false">IF(D667="","",IFERROR(INDEX(I_COA!$G$6:$G$265,MATCH(D667,I_COA!$A$6:$A$265,0)),"N"))</f>
        <v>N</v>
      </c>
      <c r="O667" s="11" t="n">
        <f aca="false">IF(N667="N",ABS(J667),"")</f>
        <v>118500</v>
      </c>
      <c r="P667" s="18" t="str">
        <f aca="false">IF(N667="N",B667&amp;"|"&amp;ROUND(O667,0),"")</f>
        <v>B8526080047|118500</v>
      </c>
      <c r="Q667" s="18" t="str">
        <f aca="false">IF(N667&lt;&gt;"Y","",IFERROR(INDEX($D$6:$D$4005,MATCH(B667&amp;"|"&amp;ROUND(_xlfn.MAXIFS($O$6:$O$4005,$B$6:$B$4005,B667,$N$6:$N$4005,"N"),0),$P$6:$P$4005,0)),"(tanpa lawan)"))</f>
        <v/>
      </c>
      <c r="R667" s="44"/>
      <c r="S667" s="9" t="str">
        <f aca="false">IF(N667&lt;&gt;"Y","",IF(R667&lt;&gt;"",R667,IF(Q667="(tanpa lawan)","Transfer antar rekening",IFERROR(INDEX(I_COA!$F$6:$F$265,MATCH(Q667,I_COA!$A$6:$A$265,0)),"?"))))</f>
        <v/>
      </c>
    </row>
    <row r="668" customFormat="false" ht="15" hidden="false" customHeight="false" outlineLevel="0" collapsed="false">
      <c r="A668" s="37" t="n">
        <v>46245</v>
      </c>
      <c r="B668" s="44" t="s">
        <v>1150</v>
      </c>
      <c r="C668" s="44" t="s">
        <v>580</v>
      </c>
      <c r="D668" s="44" t="n">
        <v>6200005</v>
      </c>
      <c r="E668" s="44" t="s">
        <v>732</v>
      </c>
      <c r="F668" s="44" t="s">
        <v>734</v>
      </c>
      <c r="G668" s="42" t="n">
        <v>197000</v>
      </c>
      <c r="H668" s="42"/>
      <c r="I668" s="44"/>
      <c r="J668" s="11" t="n">
        <f aca="false">IF(D668="","",N(G668)-N(H668))</f>
        <v>197000</v>
      </c>
      <c r="K668" s="34" t="str">
        <f aca="false">IF(D668="","",IFERROR(INDEX(I_COA!$C$6:$C$265,MATCH(D668,I_COA!$A$6:$A$265,0)),"AKUN BARU"))</f>
        <v>LabaRugi</v>
      </c>
      <c r="L668" s="34" t="str">
        <f aca="false">IF(K668="LabaRugi",INDEX(I_COA!$D$6:$D$265,MATCH(D668,I_COA!$A$6:$A$265,0)),"")</f>
        <v>Office Transportation expenses</v>
      </c>
      <c r="M668" s="34" t="str">
        <f aca="false">IF(K668="Neraca",INDEX(I_COA!$E$6:$E$265,MATCH(D668,I_COA!$A$6:$A$265,0)),"")</f>
        <v/>
      </c>
      <c r="N668" s="34" t="str">
        <f aca="false">IF(D668="","",IFERROR(INDEX(I_COA!$G$6:$G$265,MATCH(D668,I_COA!$A$6:$A$265,0)),"N"))</f>
        <v>N</v>
      </c>
      <c r="O668" s="11" t="n">
        <f aca="false">IF(N668="N",ABS(J668),"")</f>
        <v>197000</v>
      </c>
      <c r="P668" s="18" t="str">
        <f aca="false">IF(N668="N",B668&amp;"|"&amp;ROUND(O668,0),"")</f>
        <v>B8526080047|197000</v>
      </c>
      <c r="Q668" s="18" t="str">
        <f aca="false">IF(N668&lt;&gt;"Y","",IFERROR(INDEX($D$6:$D$4005,MATCH(B668&amp;"|"&amp;ROUND(_xlfn.MAXIFS($O$6:$O$4005,$B$6:$B$4005,B668,$N$6:$N$4005,"N"),0),$P$6:$P$4005,0)),"(tanpa lawan)"))</f>
        <v/>
      </c>
      <c r="R668" s="44"/>
      <c r="S668" s="9" t="str">
        <f aca="false">IF(N668&lt;&gt;"Y","",IF(R668&lt;&gt;"",R668,IF(Q668="(tanpa lawan)","Transfer antar rekening",IFERROR(INDEX(I_COA!$F$6:$F$265,MATCH(Q668,I_COA!$A$6:$A$265,0)),"?"))))</f>
        <v/>
      </c>
    </row>
    <row r="669" customFormat="false" ht="15" hidden="false" customHeight="false" outlineLevel="0" collapsed="false">
      <c r="A669" s="37" t="n">
        <v>46245</v>
      </c>
      <c r="B669" s="44" t="s">
        <v>1150</v>
      </c>
      <c r="C669" s="44" t="s">
        <v>580</v>
      </c>
      <c r="D669" s="44" t="n">
        <v>6200005</v>
      </c>
      <c r="E669" s="44" t="s">
        <v>732</v>
      </c>
      <c r="F669" s="44" t="s">
        <v>1151</v>
      </c>
      <c r="G669" s="42" t="n">
        <v>936500</v>
      </c>
      <c r="H669" s="42"/>
      <c r="I669" s="44"/>
      <c r="J669" s="11" t="n">
        <f aca="false">IF(D669="","",N(G669)-N(H669))</f>
        <v>936500</v>
      </c>
      <c r="K669" s="34" t="str">
        <f aca="false">IF(D669="","",IFERROR(INDEX(I_COA!$C$6:$C$265,MATCH(D669,I_COA!$A$6:$A$265,0)),"AKUN BARU"))</f>
        <v>LabaRugi</v>
      </c>
      <c r="L669" s="34" t="str">
        <f aca="false">IF(K669="LabaRugi",INDEX(I_COA!$D$6:$D$265,MATCH(D669,I_COA!$A$6:$A$265,0)),"")</f>
        <v>Office Transportation expenses</v>
      </c>
      <c r="M669" s="34" t="str">
        <f aca="false">IF(K669="Neraca",INDEX(I_COA!$E$6:$E$265,MATCH(D669,I_COA!$A$6:$A$265,0)),"")</f>
        <v/>
      </c>
      <c r="N669" s="34" t="str">
        <f aca="false">IF(D669="","",IFERROR(INDEX(I_COA!$G$6:$G$265,MATCH(D669,I_COA!$A$6:$A$265,0)),"N"))</f>
        <v>N</v>
      </c>
      <c r="O669" s="11" t="n">
        <f aca="false">IF(N669="N",ABS(J669),"")</f>
        <v>936500</v>
      </c>
      <c r="P669" s="18" t="str">
        <f aca="false">IF(N669="N",B669&amp;"|"&amp;ROUND(O669,0),"")</f>
        <v>B8526080047|936500</v>
      </c>
      <c r="Q669" s="18" t="str">
        <f aca="false">IF(N669&lt;&gt;"Y","",IFERROR(INDEX($D$6:$D$4005,MATCH(B669&amp;"|"&amp;ROUND(_xlfn.MAXIFS($O$6:$O$4005,$B$6:$B$4005,B669,$N$6:$N$4005,"N"),0),$P$6:$P$4005,0)),"(tanpa lawan)"))</f>
        <v/>
      </c>
      <c r="R669" s="44"/>
      <c r="S669" s="9" t="str">
        <f aca="false">IF(N669&lt;&gt;"Y","",IF(R669&lt;&gt;"",R669,IF(Q669="(tanpa lawan)","Transfer antar rekening",IFERROR(INDEX(I_COA!$F$6:$F$265,MATCH(Q669,I_COA!$A$6:$A$265,0)),"?"))))</f>
        <v/>
      </c>
    </row>
    <row r="670" customFormat="false" ht="15" hidden="false" customHeight="false" outlineLevel="0" collapsed="false">
      <c r="A670" s="37" t="n">
        <v>46245</v>
      </c>
      <c r="B670" s="44" t="s">
        <v>1150</v>
      </c>
      <c r="C670" s="44" t="s">
        <v>580</v>
      </c>
      <c r="D670" s="44" t="n">
        <v>1103120</v>
      </c>
      <c r="E670" s="44" t="s">
        <v>640</v>
      </c>
      <c r="F670" s="44" t="s">
        <v>1153</v>
      </c>
      <c r="G670" s="42" t="n">
        <v>750000</v>
      </c>
      <c r="H670" s="42"/>
      <c r="I670" s="44" t="s">
        <v>660</v>
      </c>
      <c r="J670" s="11" t="n">
        <f aca="false">IF(D670="","",N(G670)-N(H670))</f>
        <v>750000</v>
      </c>
      <c r="K670" s="34" t="str">
        <f aca="false">IF(D670="","",IFERROR(INDEX(I_COA!$C$6:$C$265,MATCH(D670,I_COA!$A$6:$A$265,0)),"AKUN BARU"))</f>
        <v>Neraca</v>
      </c>
      <c r="L670" s="34" t="str">
        <f aca="false">IF(K670="LabaRugi",INDEX(I_COA!$D$6:$D$265,MATCH(D670,I_COA!$A$6:$A$265,0)),"")</f>
        <v/>
      </c>
      <c r="M670" s="34" t="str">
        <f aca="false">IF(K670="Neraca",INDEX(I_COA!$E$6:$E$265,MATCH(D670,I_COA!$A$6:$A$265,0)),"")</f>
        <v>Advance Payment</v>
      </c>
      <c r="N670" s="34" t="str">
        <f aca="false">IF(D670="","",IFERROR(INDEX(I_COA!$G$6:$G$265,MATCH(D670,I_COA!$A$6:$A$265,0)),"N"))</f>
        <v>N</v>
      </c>
      <c r="O670" s="11" t="n">
        <f aca="false">IF(N670="N",ABS(J670),"")</f>
        <v>750000</v>
      </c>
      <c r="P670" s="18" t="str">
        <f aca="false">IF(N670="N",B670&amp;"|"&amp;ROUND(O670,0),"")</f>
        <v>B8526080047|750000</v>
      </c>
      <c r="Q670" s="18" t="str">
        <f aca="false">IF(N670&lt;&gt;"Y","",IFERROR(INDEX($D$6:$D$4005,MATCH(B670&amp;"|"&amp;ROUND(_xlfn.MAXIFS($O$6:$O$4005,$B$6:$B$4005,B670,$N$6:$N$4005,"N"),0),$P$6:$P$4005,0)),"(tanpa lawan)"))</f>
        <v/>
      </c>
      <c r="R670" s="44"/>
      <c r="S670" s="9" t="str">
        <f aca="false">IF(N670&lt;&gt;"Y","",IF(R670&lt;&gt;"",R670,IF(Q670="(tanpa lawan)","Transfer antar rekening",IFERROR(INDEX(I_COA!$F$6:$F$265,MATCH(Q670,I_COA!$A$6:$A$265,0)),"?"))))</f>
        <v/>
      </c>
    </row>
    <row r="671" customFormat="false" ht="15" hidden="false" customHeight="false" outlineLevel="0" collapsed="false">
      <c r="A671" s="37" t="n">
        <v>46245</v>
      </c>
      <c r="B671" s="44" t="s">
        <v>1150</v>
      </c>
      <c r="C671" s="44" t="s">
        <v>580</v>
      </c>
      <c r="D671" s="44" t="n">
        <v>6200012</v>
      </c>
      <c r="E671" s="44" t="s">
        <v>737</v>
      </c>
      <c r="F671" s="44" t="s">
        <v>1154</v>
      </c>
      <c r="G671" s="42" t="n">
        <v>200000</v>
      </c>
      <c r="H671" s="42"/>
      <c r="I671" s="44"/>
      <c r="J671" s="11" t="n">
        <f aca="false">IF(D671="","",N(G671)-N(H671))</f>
        <v>200000</v>
      </c>
      <c r="K671" s="34" t="str">
        <f aca="false">IF(D671="","",IFERROR(INDEX(I_COA!$C$6:$C$265,MATCH(D671,I_COA!$A$6:$A$265,0)),"AKUN BARU"))</f>
        <v>LabaRugi</v>
      </c>
      <c r="L671" s="34" t="str">
        <f aca="false">IF(K671="LabaRugi",INDEX(I_COA!$D$6:$D$265,MATCH(D671,I_COA!$A$6:$A$265,0)),"")</f>
        <v>Office Supplies &amp; Utilities</v>
      </c>
      <c r="M671" s="34" t="str">
        <f aca="false">IF(K671="Neraca",INDEX(I_COA!$E$6:$E$265,MATCH(D671,I_COA!$A$6:$A$265,0)),"")</f>
        <v/>
      </c>
      <c r="N671" s="34" t="str">
        <f aca="false">IF(D671="","",IFERROR(INDEX(I_COA!$G$6:$G$265,MATCH(D671,I_COA!$A$6:$A$265,0)),"N"))</f>
        <v>N</v>
      </c>
      <c r="O671" s="11" t="n">
        <f aca="false">IF(N671="N",ABS(J671),"")</f>
        <v>200000</v>
      </c>
      <c r="P671" s="18" t="str">
        <f aca="false">IF(N671="N",B671&amp;"|"&amp;ROUND(O671,0),"")</f>
        <v>B8526080047|200000</v>
      </c>
      <c r="Q671" s="18" t="str">
        <f aca="false">IF(N671&lt;&gt;"Y","",IFERROR(INDEX($D$6:$D$4005,MATCH(B671&amp;"|"&amp;ROUND(_xlfn.MAXIFS($O$6:$O$4005,$B$6:$B$4005,B671,$N$6:$N$4005,"N"),0),$P$6:$P$4005,0)),"(tanpa lawan)"))</f>
        <v/>
      </c>
      <c r="R671" s="44"/>
      <c r="S671" s="9" t="str">
        <f aca="false">IF(N671&lt;&gt;"Y","",IF(R671&lt;&gt;"",R671,IF(Q671="(tanpa lawan)","Transfer antar rekening",IFERROR(INDEX(I_COA!$F$6:$F$265,MATCH(Q671,I_COA!$A$6:$A$265,0)),"?"))))</f>
        <v/>
      </c>
    </row>
    <row r="672" customFormat="false" ht="15" hidden="false" customHeight="false" outlineLevel="0" collapsed="false">
      <c r="A672" s="37" t="n">
        <v>46245</v>
      </c>
      <c r="B672" s="44" t="s">
        <v>1150</v>
      </c>
      <c r="C672" s="44" t="s">
        <v>580</v>
      </c>
      <c r="D672" s="44" t="n">
        <v>6200005</v>
      </c>
      <c r="E672" s="44" t="s">
        <v>732</v>
      </c>
      <c r="F672" s="44" t="s">
        <v>734</v>
      </c>
      <c r="G672" s="42" t="n">
        <v>188000</v>
      </c>
      <c r="H672" s="42"/>
      <c r="I672" s="44"/>
      <c r="J672" s="11" t="n">
        <f aca="false">IF(D672="","",N(G672)-N(H672))</f>
        <v>188000</v>
      </c>
      <c r="K672" s="34" t="str">
        <f aca="false">IF(D672="","",IFERROR(INDEX(I_COA!$C$6:$C$265,MATCH(D672,I_COA!$A$6:$A$265,0)),"AKUN BARU"))</f>
        <v>LabaRugi</v>
      </c>
      <c r="L672" s="34" t="str">
        <f aca="false">IF(K672="LabaRugi",INDEX(I_COA!$D$6:$D$265,MATCH(D672,I_COA!$A$6:$A$265,0)),"")</f>
        <v>Office Transportation expenses</v>
      </c>
      <c r="M672" s="34" t="str">
        <f aca="false">IF(K672="Neraca",INDEX(I_COA!$E$6:$E$265,MATCH(D672,I_COA!$A$6:$A$265,0)),"")</f>
        <v/>
      </c>
      <c r="N672" s="34" t="str">
        <f aca="false">IF(D672="","",IFERROR(INDEX(I_COA!$G$6:$G$265,MATCH(D672,I_COA!$A$6:$A$265,0)),"N"))</f>
        <v>N</v>
      </c>
      <c r="O672" s="11" t="n">
        <f aca="false">IF(N672="N",ABS(J672),"")</f>
        <v>188000</v>
      </c>
      <c r="P672" s="18" t="str">
        <f aca="false">IF(N672="N",B672&amp;"|"&amp;ROUND(O672,0),"")</f>
        <v>B8526080047|188000</v>
      </c>
      <c r="Q672" s="18" t="str">
        <f aca="false">IF(N672&lt;&gt;"Y","",IFERROR(INDEX($D$6:$D$4005,MATCH(B672&amp;"|"&amp;ROUND(_xlfn.MAXIFS($O$6:$O$4005,$B$6:$B$4005,B672,$N$6:$N$4005,"N"),0),$P$6:$P$4005,0)),"(tanpa lawan)"))</f>
        <v/>
      </c>
      <c r="R672" s="44"/>
      <c r="S672" s="9" t="str">
        <f aca="false">IF(N672&lt;&gt;"Y","",IF(R672&lt;&gt;"",R672,IF(Q672="(tanpa lawan)","Transfer antar rekening",IFERROR(INDEX(I_COA!$F$6:$F$265,MATCH(Q672,I_COA!$A$6:$A$265,0)),"?"))))</f>
        <v/>
      </c>
    </row>
    <row r="673" customFormat="false" ht="15" hidden="false" customHeight="false" outlineLevel="0" collapsed="false">
      <c r="A673" s="37" t="n">
        <v>46245</v>
      </c>
      <c r="B673" s="44" t="s">
        <v>1150</v>
      </c>
      <c r="C673" s="44" t="s">
        <v>580</v>
      </c>
      <c r="D673" s="44" t="n">
        <v>6100006</v>
      </c>
      <c r="E673" s="44" t="s">
        <v>717</v>
      </c>
      <c r="F673" s="44" t="s">
        <v>1155</v>
      </c>
      <c r="G673" s="42" t="n">
        <v>148701</v>
      </c>
      <c r="H673" s="42"/>
      <c r="I673" s="44"/>
      <c r="J673" s="11" t="n">
        <f aca="false">IF(D673="","",N(G673)-N(H673))</f>
        <v>148701</v>
      </c>
      <c r="K673" s="34" t="str">
        <f aca="false">IF(D673="","",IFERROR(INDEX(I_COA!$C$6:$C$265,MATCH(D673,I_COA!$A$6:$A$265,0)),"AKUN BARU"))</f>
        <v>LabaRugi</v>
      </c>
      <c r="L673" s="34" t="str">
        <f aca="false">IF(K673="LabaRugi",INDEX(I_COA!$D$6:$D$265,MATCH(D673,I_COA!$A$6:$A$265,0)),"")</f>
        <v>Delivery Expenses</v>
      </c>
      <c r="M673" s="34" t="str">
        <f aca="false">IF(K673="Neraca",INDEX(I_COA!$E$6:$E$265,MATCH(D673,I_COA!$A$6:$A$265,0)),"")</f>
        <v/>
      </c>
      <c r="N673" s="34" t="str">
        <f aca="false">IF(D673="","",IFERROR(INDEX(I_COA!$G$6:$G$265,MATCH(D673,I_COA!$A$6:$A$265,0)),"N"))</f>
        <v>N</v>
      </c>
      <c r="O673" s="11" t="n">
        <f aca="false">IF(N673="N",ABS(J673),"")</f>
        <v>148701</v>
      </c>
      <c r="P673" s="18" t="str">
        <f aca="false">IF(N673="N",B673&amp;"|"&amp;ROUND(O673,0),"")</f>
        <v>B8526080047|148701</v>
      </c>
      <c r="Q673" s="18" t="str">
        <f aca="false">IF(N673&lt;&gt;"Y","",IFERROR(INDEX($D$6:$D$4005,MATCH(B673&amp;"|"&amp;ROUND(_xlfn.MAXIFS($O$6:$O$4005,$B$6:$B$4005,B673,$N$6:$N$4005,"N"),0),$P$6:$P$4005,0)),"(tanpa lawan)"))</f>
        <v/>
      </c>
      <c r="R673" s="44"/>
      <c r="S673" s="9" t="str">
        <f aca="false">IF(N673&lt;&gt;"Y","",IF(R673&lt;&gt;"",R673,IF(Q673="(tanpa lawan)","Transfer antar rekening",IFERROR(INDEX(I_COA!$F$6:$F$265,MATCH(Q673,I_COA!$A$6:$A$265,0)),"?"))))</f>
        <v/>
      </c>
    </row>
    <row r="674" customFormat="false" ht="15" hidden="false" customHeight="false" outlineLevel="0" collapsed="false">
      <c r="A674" s="37" t="n">
        <v>46245</v>
      </c>
      <c r="B674" s="44" t="s">
        <v>1150</v>
      </c>
      <c r="C674" s="44" t="s">
        <v>580</v>
      </c>
      <c r="D674" s="44" t="n">
        <v>1103120</v>
      </c>
      <c r="E674" s="44" t="s">
        <v>640</v>
      </c>
      <c r="F674" s="44" t="s">
        <v>739</v>
      </c>
      <c r="G674" s="42" t="n">
        <v>100000</v>
      </c>
      <c r="H674" s="42"/>
      <c r="I674" s="44" t="s">
        <v>660</v>
      </c>
      <c r="J674" s="11" t="n">
        <f aca="false">IF(D674="","",N(G674)-N(H674))</f>
        <v>100000</v>
      </c>
      <c r="K674" s="34" t="str">
        <f aca="false">IF(D674="","",IFERROR(INDEX(I_COA!$C$6:$C$265,MATCH(D674,I_COA!$A$6:$A$265,0)),"AKUN BARU"))</f>
        <v>Neraca</v>
      </c>
      <c r="L674" s="34" t="str">
        <f aca="false">IF(K674="LabaRugi",INDEX(I_COA!$D$6:$D$265,MATCH(D674,I_COA!$A$6:$A$265,0)),"")</f>
        <v/>
      </c>
      <c r="M674" s="34" t="str">
        <f aca="false">IF(K674="Neraca",INDEX(I_COA!$E$6:$E$265,MATCH(D674,I_COA!$A$6:$A$265,0)),"")</f>
        <v>Advance Payment</v>
      </c>
      <c r="N674" s="34" t="str">
        <f aca="false">IF(D674="","",IFERROR(INDEX(I_COA!$G$6:$G$265,MATCH(D674,I_COA!$A$6:$A$265,0)),"N"))</f>
        <v>N</v>
      </c>
      <c r="O674" s="11" t="n">
        <f aca="false">IF(N674="N",ABS(J674),"")</f>
        <v>100000</v>
      </c>
      <c r="P674" s="18" t="str">
        <f aca="false">IF(N674="N",B674&amp;"|"&amp;ROUND(O674,0),"")</f>
        <v>B8526080047|100000</v>
      </c>
      <c r="Q674" s="18" t="str">
        <f aca="false">IF(N674&lt;&gt;"Y","",IFERROR(INDEX($D$6:$D$4005,MATCH(B674&amp;"|"&amp;ROUND(_xlfn.MAXIFS($O$6:$O$4005,$B$6:$B$4005,B674,$N$6:$N$4005,"N"),0),$P$6:$P$4005,0)),"(tanpa lawan)"))</f>
        <v/>
      </c>
      <c r="R674" s="44"/>
      <c r="S674" s="9" t="str">
        <f aca="false">IF(N674&lt;&gt;"Y","",IF(R674&lt;&gt;"",R674,IF(Q674="(tanpa lawan)","Transfer antar rekening",IFERROR(INDEX(I_COA!$F$6:$F$265,MATCH(Q674,I_COA!$A$6:$A$265,0)),"?"))))</f>
        <v/>
      </c>
    </row>
    <row r="675" customFormat="false" ht="15" hidden="false" customHeight="false" outlineLevel="0" collapsed="false">
      <c r="A675" s="37" t="n">
        <v>46245</v>
      </c>
      <c r="B675" s="44" t="s">
        <v>1150</v>
      </c>
      <c r="C675" s="44" t="s">
        <v>580</v>
      </c>
      <c r="D675" s="44" t="n">
        <v>6200005</v>
      </c>
      <c r="E675" s="44" t="s">
        <v>732</v>
      </c>
      <c r="F675" s="44" t="s">
        <v>1151</v>
      </c>
      <c r="G675" s="42" t="n">
        <v>333000</v>
      </c>
      <c r="H675" s="42"/>
      <c r="I675" s="44"/>
      <c r="J675" s="11" t="n">
        <f aca="false">IF(D675="","",N(G675)-N(H675))</f>
        <v>333000</v>
      </c>
      <c r="K675" s="34" t="str">
        <f aca="false">IF(D675="","",IFERROR(INDEX(I_COA!$C$6:$C$265,MATCH(D675,I_COA!$A$6:$A$265,0)),"AKUN BARU"))</f>
        <v>LabaRugi</v>
      </c>
      <c r="L675" s="34" t="str">
        <f aca="false">IF(K675="LabaRugi",INDEX(I_COA!$D$6:$D$265,MATCH(D675,I_COA!$A$6:$A$265,0)),"")</f>
        <v>Office Transportation expenses</v>
      </c>
      <c r="M675" s="34" t="str">
        <f aca="false">IF(K675="Neraca",INDEX(I_COA!$E$6:$E$265,MATCH(D675,I_COA!$A$6:$A$265,0)),"")</f>
        <v/>
      </c>
      <c r="N675" s="34" t="str">
        <f aca="false">IF(D675="","",IFERROR(INDEX(I_COA!$G$6:$G$265,MATCH(D675,I_COA!$A$6:$A$265,0)),"N"))</f>
        <v>N</v>
      </c>
      <c r="O675" s="11" t="n">
        <f aca="false">IF(N675="N",ABS(J675),"")</f>
        <v>333000</v>
      </c>
      <c r="P675" s="18" t="str">
        <f aca="false">IF(N675="N",B675&amp;"|"&amp;ROUND(O675,0),"")</f>
        <v>B8526080047|333000</v>
      </c>
      <c r="Q675" s="18" t="str">
        <f aca="false">IF(N675&lt;&gt;"Y","",IFERROR(INDEX($D$6:$D$4005,MATCH(B675&amp;"|"&amp;ROUND(_xlfn.MAXIFS($O$6:$O$4005,$B$6:$B$4005,B675,$N$6:$N$4005,"N"),0),$P$6:$P$4005,0)),"(tanpa lawan)"))</f>
        <v/>
      </c>
      <c r="R675" s="44"/>
      <c r="S675" s="9" t="str">
        <f aca="false">IF(N675&lt;&gt;"Y","",IF(R675&lt;&gt;"",R675,IF(Q675="(tanpa lawan)","Transfer antar rekening",IFERROR(INDEX(I_COA!$F$6:$F$265,MATCH(Q675,I_COA!$A$6:$A$265,0)),"?"))))</f>
        <v/>
      </c>
    </row>
    <row r="676" customFormat="false" ht="15" hidden="false" customHeight="false" outlineLevel="0" collapsed="false">
      <c r="A676" s="37" t="n">
        <v>46245</v>
      </c>
      <c r="B676" s="44" t="s">
        <v>1150</v>
      </c>
      <c r="C676" s="44" t="s">
        <v>580</v>
      </c>
      <c r="D676" s="44" t="n">
        <v>6200005</v>
      </c>
      <c r="E676" s="44" t="s">
        <v>732</v>
      </c>
      <c r="F676" s="44" t="s">
        <v>1156</v>
      </c>
      <c r="G676" s="42" t="n">
        <v>350000</v>
      </c>
      <c r="H676" s="42"/>
      <c r="I676" s="44"/>
      <c r="J676" s="11" t="n">
        <f aca="false">IF(D676="","",N(G676)-N(H676))</f>
        <v>350000</v>
      </c>
      <c r="K676" s="34" t="str">
        <f aca="false">IF(D676="","",IFERROR(INDEX(I_COA!$C$6:$C$265,MATCH(D676,I_COA!$A$6:$A$265,0)),"AKUN BARU"))</f>
        <v>LabaRugi</v>
      </c>
      <c r="L676" s="34" t="str">
        <f aca="false">IF(K676="LabaRugi",INDEX(I_COA!$D$6:$D$265,MATCH(D676,I_COA!$A$6:$A$265,0)),"")</f>
        <v>Office Transportation expenses</v>
      </c>
      <c r="M676" s="34" t="str">
        <f aca="false">IF(K676="Neraca",INDEX(I_COA!$E$6:$E$265,MATCH(D676,I_COA!$A$6:$A$265,0)),"")</f>
        <v/>
      </c>
      <c r="N676" s="34" t="str">
        <f aca="false">IF(D676="","",IFERROR(INDEX(I_COA!$G$6:$G$265,MATCH(D676,I_COA!$A$6:$A$265,0)),"N"))</f>
        <v>N</v>
      </c>
      <c r="O676" s="11" t="n">
        <f aca="false">IF(N676="N",ABS(J676),"")</f>
        <v>350000</v>
      </c>
      <c r="P676" s="18" t="str">
        <f aca="false">IF(N676="N",B676&amp;"|"&amp;ROUND(O676,0),"")</f>
        <v>B8526080047|350000</v>
      </c>
      <c r="Q676" s="18" t="str">
        <f aca="false">IF(N676&lt;&gt;"Y","",IFERROR(INDEX($D$6:$D$4005,MATCH(B676&amp;"|"&amp;ROUND(_xlfn.MAXIFS($O$6:$O$4005,$B$6:$B$4005,B676,$N$6:$N$4005,"N"),0),$P$6:$P$4005,0)),"(tanpa lawan)"))</f>
        <v/>
      </c>
      <c r="R676" s="44"/>
      <c r="S676" s="9" t="str">
        <f aca="false">IF(N676&lt;&gt;"Y","",IF(R676&lt;&gt;"",R676,IF(Q676="(tanpa lawan)","Transfer antar rekening",IFERROR(INDEX(I_COA!$F$6:$F$265,MATCH(Q676,I_COA!$A$6:$A$265,0)),"?"))))</f>
        <v/>
      </c>
    </row>
    <row r="677" customFormat="false" ht="15" hidden="false" customHeight="false" outlineLevel="0" collapsed="false">
      <c r="A677" s="37" t="n">
        <v>46245</v>
      </c>
      <c r="B677" s="44" t="s">
        <v>1150</v>
      </c>
      <c r="C677" s="44" t="s">
        <v>580</v>
      </c>
      <c r="D677" s="44" t="n">
        <v>6200005</v>
      </c>
      <c r="E677" s="44" t="s">
        <v>732</v>
      </c>
      <c r="F677" s="44" t="s">
        <v>1151</v>
      </c>
      <c r="G677" s="42" t="n">
        <v>848000</v>
      </c>
      <c r="H677" s="42"/>
      <c r="I677" s="44"/>
      <c r="J677" s="11" t="n">
        <f aca="false">IF(D677="","",N(G677)-N(H677))</f>
        <v>848000</v>
      </c>
      <c r="K677" s="34" t="str">
        <f aca="false">IF(D677="","",IFERROR(INDEX(I_COA!$C$6:$C$265,MATCH(D677,I_COA!$A$6:$A$265,0)),"AKUN BARU"))</f>
        <v>LabaRugi</v>
      </c>
      <c r="L677" s="34" t="str">
        <f aca="false">IF(K677="LabaRugi",INDEX(I_COA!$D$6:$D$265,MATCH(D677,I_COA!$A$6:$A$265,0)),"")</f>
        <v>Office Transportation expenses</v>
      </c>
      <c r="M677" s="34" t="str">
        <f aca="false">IF(K677="Neraca",INDEX(I_COA!$E$6:$E$265,MATCH(D677,I_COA!$A$6:$A$265,0)),"")</f>
        <v/>
      </c>
      <c r="N677" s="34" t="str">
        <f aca="false">IF(D677="","",IFERROR(INDEX(I_COA!$G$6:$G$265,MATCH(D677,I_COA!$A$6:$A$265,0)),"N"))</f>
        <v>N</v>
      </c>
      <c r="O677" s="11" t="n">
        <f aca="false">IF(N677="N",ABS(J677),"")</f>
        <v>848000</v>
      </c>
      <c r="P677" s="18" t="str">
        <f aca="false">IF(N677="N",B677&amp;"|"&amp;ROUND(O677,0),"")</f>
        <v>B8526080047|848000</v>
      </c>
      <c r="Q677" s="18" t="str">
        <f aca="false">IF(N677&lt;&gt;"Y","",IFERROR(INDEX($D$6:$D$4005,MATCH(B677&amp;"|"&amp;ROUND(_xlfn.MAXIFS($O$6:$O$4005,$B$6:$B$4005,B677,$N$6:$N$4005,"N"),0),$P$6:$P$4005,0)),"(tanpa lawan)"))</f>
        <v/>
      </c>
      <c r="R677" s="44"/>
      <c r="S677" s="9" t="str">
        <f aca="false">IF(N677&lt;&gt;"Y","",IF(R677&lt;&gt;"",R677,IF(Q677="(tanpa lawan)","Transfer antar rekening",IFERROR(INDEX(I_COA!$F$6:$F$265,MATCH(Q677,I_COA!$A$6:$A$265,0)),"?"))))</f>
        <v/>
      </c>
    </row>
    <row r="678" customFormat="false" ht="15" hidden="false" customHeight="false" outlineLevel="0" collapsed="false">
      <c r="A678" s="37" t="n">
        <v>46245</v>
      </c>
      <c r="B678" s="44" t="s">
        <v>1150</v>
      </c>
      <c r="C678" s="44" t="s">
        <v>580</v>
      </c>
      <c r="D678" s="44" t="n">
        <v>6100006</v>
      </c>
      <c r="E678" s="44" t="s">
        <v>717</v>
      </c>
      <c r="F678" s="44" t="s">
        <v>1157</v>
      </c>
      <c r="G678" s="42" t="n">
        <v>207287</v>
      </c>
      <c r="H678" s="42"/>
      <c r="I678" s="44"/>
      <c r="J678" s="11" t="n">
        <f aca="false">IF(D678="","",N(G678)-N(H678))</f>
        <v>207287</v>
      </c>
      <c r="K678" s="34" t="str">
        <f aca="false">IF(D678="","",IFERROR(INDEX(I_COA!$C$6:$C$265,MATCH(D678,I_COA!$A$6:$A$265,0)),"AKUN BARU"))</f>
        <v>LabaRugi</v>
      </c>
      <c r="L678" s="34" t="str">
        <f aca="false">IF(K678="LabaRugi",INDEX(I_COA!$D$6:$D$265,MATCH(D678,I_COA!$A$6:$A$265,0)),"")</f>
        <v>Delivery Expenses</v>
      </c>
      <c r="M678" s="34" t="str">
        <f aca="false">IF(K678="Neraca",INDEX(I_COA!$E$6:$E$265,MATCH(D678,I_COA!$A$6:$A$265,0)),"")</f>
        <v/>
      </c>
      <c r="N678" s="34" t="str">
        <f aca="false">IF(D678="","",IFERROR(INDEX(I_COA!$G$6:$G$265,MATCH(D678,I_COA!$A$6:$A$265,0)),"N"))</f>
        <v>N</v>
      </c>
      <c r="O678" s="11" t="n">
        <f aca="false">IF(N678="N",ABS(J678),"")</f>
        <v>207287</v>
      </c>
      <c r="P678" s="18" t="str">
        <f aca="false">IF(N678="N",B678&amp;"|"&amp;ROUND(O678,0),"")</f>
        <v>B8526080047|207287</v>
      </c>
      <c r="Q678" s="18" t="str">
        <f aca="false">IF(N678&lt;&gt;"Y","",IFERROR(INDEX($D$6:$D$4005,MATCH(B678&amp;"|"&amp;ROUND(_xlfn.MAXIFS($O$6:$O$4005,$B$6:$B$4005,B678,$N$6:$N$4005,"N"),0),$P$6:$P$4005,0)),"(tanpa lawan)"))</f>
        <v/>
      </c>
      <c r="R678" s="44"/>
      <c r="S678" s="9" t="str">
        <f aca="false">IF(N678&lt;&gt;"Y","",IF(R678&lt;&gt;"",R678,IF(Q678="(tanpa lawan)","Transfer antar rekening",IFERROR(INDEX(I_COA!$F$6:$F$265,MATCH(Q678,I_COA!$A$6:$A$265,0)),"?"))))</f>
        <v/>
      </c>
    </row>
    <row r="679" customFormat="false" ht="15" hidden="false" customHeight="false" outlineLevel="0" collapsed="false">
      <c r="A679" s="37" t="n">
        <v>46245</v>
      </c>
      <c r="B679" s="44" t="s">
        <v>1150</v>
      </c>
      <c r="C679" s="44" t="s">
        <v>580</v>
      </c>
      <c r="D679" s="44" t="n">
        <v>1103120</v>
      </c>
      <c r="E679" s="44" t="s">
        <v>640</v>
      </c>
      <c r="F679" s="44" t="s">
        <v>1158</v>
      </c>
      <c r="G679" s="42" t="n">
        <v>803600</v>
      </c>
      <c r="H679" s="42"/>
      <c r="I679" s="44" t="s">
        <v>660</v>
      </c>
      <c r="J679" s="11" t="n">
        <f aca="false">IF(D679="","",N(G679)-N(H679))</f>
        <v>803600</v>
      </c>
      <c r="K679" s="34" t="str">
        <f aca="false">IF(D679="","",IFERROR(INDEX(I_COA!$C$6:$C$265,MATCH(D679,I_COA!$A$6:$A$265,0)),"AKUN BARU"))</f>
        <v>Neraca</v>
      </c>
      <c r="L679" s="34" t="str">
        <f aca="false">IF(K679="LabaRugi",INDEX(I_COA!$D$6:$D$265,MATCH(D679,I_COA!$A$6:$A$265,0)),"")</f>
        <v/>
      </c>
      <c r="M679" s="34" t="str">
        <f aca="false">IF(K679="Neraca",INDEX(I_COA!$E$6:$E$265,MATCH(D679,I_COA!$A$6:$A$265,0)),"")</f>
        <v>Advance Payment</v>
      </c>
      <c r="N679" s="34" t="str">
        <f aca="false">IF(D679="","",IFERROR(INDEX(I_COA!$G$6:$G$265,MATCH(D679,I_COA!$A$6:$A$265,0)),"N"))</f>
        <v>N</v>
      </c>
      <c r="O679" s="11" t="n">
        <f aca="false">IF(N679="N",ABS(J679),"")</f>
        <v>803600</v>
      </c>
      <c r="P679" s="18" t="str">
        <f aca="false">IF(N679="N",B679&amp;"|"&amp;ROUND(O679,0),"")</f>
        <v>B8526080047|803600</v>
      </c>
      <c r="Q679" s="18" t="str">
        <f aca="false">IF(N679&lt;&gt;"Y","",IFERROR(INDEX($D$6:$D$4005,MATCH(B679&amp;"|"&amp;ROUND(_xlfn.MAXIFS($O$6:$O$4005,$B$6:$B$4005,B679,$N$6:$N$4005,"N"),0),$P$6:$P$4005,0)),"(tanpa lawan)"))</f>
        <v/>
      </c>
      <c r="R679" s="44"/>
      <c r="S679" s="9" t="str">
        <f aca="false">IF(N679&lt;&gt;"Y","",IF(R679&lt;&gt;"",R679,IF(Q679="(tanpa lawan)","Transfer antar rekening",IFERROR(INDEX(I_COA!$F$6:$F$265,MATCH(Q679,I_COA!$A$6:$A$265,0)),"?"))))</f>
        <v/>
      </c>
    </row>
    <row r="680" customFormat="false" ht="15" hidden="false" customHeight="false" outlineLevel="0" collapsed="false">
      <c r="A680" s="37" t="n">
        <v>46245</v>
      </c>
      <c r="B680" s="44" t="s">
        <v>1150</v>
      </c>
      <c r="C680" s="44" t="s">
        <v>580</v>
      </c>
      <c r="D680" s="44" t="n">
        <v>1102002</v>
      </c>
      <c r="E680" s="44" t="s">
        <v>598</v>
      </c>
      <c r="F680" s="44" t="s">
        <v>1159</v>
      </c>
      <c r="G680" s="42"/>
      <c r="H680" s="42" t="n">
        <v>5840588</v>
      </c>
      <c r="I680" s="44"/>
      <c r="J680" s="11" t="n">
        <f aca="false">IF(D680="","",N(G680)-N(H680))</f>
        <v>-5840588</v>
      </c>
      <c r="K680" s="34" t="str">
        <f aca="false">IF(D680="","",IFERROR(INDEX(I_COA!$C$6:$C$265,MATCH(D680,I_COA!$A$6:$A$265,0)),"AKUN BARU"))</f>
        <v>Neraca</v>
      </c>
      <c r="L680" s="34" t="str">
        <f aca="false">IF(K680="LabaRugi",INDEX(I_COA!$D$6:$D$265,MATCH(D680,I_COA!$A$6:$A$265,0)),"")</f>
        <v/>
      </c>
      <c r="M680" s="34" t="str">
        <f aca="false">IF(K680="Neraca",INDEX(I_COA!$E$6:$E$265,MATCH(D680,I_COA!$A$6:$A$265,0)),"")</f>
        <v>Cash and cash equivalents</v>
      </c>
      <c r="N680" s="34" t="str">
        <f aca="false">IF(D680="","",IFERROR(INDEX(I_COA!$G$6:$G$265,MATCH(D680,I_COA!$A$6:$A$265,0)),"N"))</f>
        <v>Y</v>
      </c>
      <c r="O680" s="11" t="str">
        <f aca="false">IF(N680="N",ABS(J680),"")</f>
        <v/>
      </c>
      <c r="P680" s="18" t="str">
        <f aca="false">IF(N680="N",B680&amp;"|"&amp;ROUND(O680,0),"")</f>
        <v/>
      </c>
      <c r="Q680" s="18" t="n">
        <f aca="false">IF(N680&lt;&gt;"Y","",IFERROR(INDEX($D$6:$D$4005,MATCH(B680&amp;"|"&amp;ROUND(_xlfn.MAXIFS($O$6:$O$4005,$B$6:$B$4005,B680,$N$6:$N$4005,"N"),0),$P$6:$P$4005,0)),"(tanpa lawan)"))</f>
        <v>6200005</v>
      </c>
      <c r="R680" s="44"/>
      <c r="S680" s="9" t="str">
        <f aca="false">IF(N680&lt;&gt;"Y","",IF(R680&lt;&gt;"",R680,IF(Q680="(tanpa lawan)","Transfer antar rekening",IFERROR(INDEX(I_COA!$F$6:$F$265,MATCH(Q680,I_COA!$A$6:$A$265,0)),"?"))))</f>
        <v>Bayar biaya operasional lain</v>
      </c>
    </row>
    <row r="681" customFormat="false" ht="15" hidden="false" customHeight="false" outlineLevel="0" collapsed="false">
      <c r="A681" s="37" t="n">
        <v>46245</v>
      </c>
      <c r="B681" s="44" t="s">
        <v>1160</v>
      </c>
      <c r="C681" s="44" t="s">
        <v>600</v>
      </c>
      <c r="D681" s="44" t="n">
        <v>1104002</v>
      </c>
      <c r="E681" s="44" t="s">
        <v>601</v>
      </c>
      <c r="F681" s="44" t="s">
        <v>1161</v>
      </c>
      <c r="G681" s="42" t="n">
        <v>25068556.62</v>
      </c>
      <c r="H681" s="42"/>
      <c r="I681" s="44" t="s">
        <v>432</v>
      </c>
      <c r="J681" s="11" t="n">
        <f aca="false">IF(D681="","",N(G681)-N(H681))</f>
        <v>25068556.62</v>
      </c>
      <c r="K681" s="34" t="str">
        <f aca="false">IF(D681="","",IFERROR(INDEX(I_COA!$C$6:$C$265,MATCH(D681,I_COA!$A$6:$A$265,0)),"AKUN BARU"))</f>
        <v>Neraca</v>
      </c>
      <c r="L681" s="34" t="str">
        <f aca="false">IF(K681="LabaRugi",INDEX(I_COA!$D$6:$D$265,MATCH(D681,I_COA!$A$6:$A$265,0)),"")</f>
        <v/>
      </c>
      <c r="M681" s="34" t="str">
        <f aca="false">IF(K681="Neraca",INDEX(I_COA!$E$6:$E$265,MATCH(D681,I_COA!$A$6:$A$265,0)),"")</f>
        <v>Inventory - Product</v>
      </c>
      <c r="N681" s="34" t="str">
        <f aca="false">IF(D681="","",IFERROR(INDEX(I_COA!$G$6:$G$265,MATCH(D681,I_COA!$A$6:$A$265,0)),"N"))</f>
        <v>N</v>
      </c>
      <c r="O681" s="11" t="n">
        <f aca="false">IF(N681="N",ABS(J681),"")</f>
        <v>25068556.62</v>
      </c>
      <c r="P681" s="18" t="str">
        <f aca="false">IF(N681="N",B681&amp;"|"&amp;ROUND(O681,0),"")</f>
        <v>KGR26.00244|25068557</v>
      </c>
      <c r="Q681" s="18" t="str">
        <f aca="false">IF(N681&lt;&gt;"Y","",IFERROR(INDEX($D$6:$D$4005,MATCH(B681&amp;"|"&amp;ROUND(_xlfn.MAXIFS($O$6:$O$4005,$B$6:$B$4005,B681,$N$6:$N$4005,"N"),0),$P$6:$P$4005,0)),"(tanpa lawan)"))</f>
        <v/>
      </c>
      <c r="R681" s="44"/>
      <c r="S681" s="9" t="str">
        <f aca="false">IF(N681&lt;&gt;"Y","",IF(R681&lt;&gt;"",R681,IF(Q681="(tanpa lawan)","Transfer antar rekening",IFERROR(INDEX(I_COA!$F$6:$F$265,MATCH(Q681,I_COA!$A$6:$A$265,0)),"?"))))</f>
        <v/>
      </c>
    </row>
    <row r="682" customFormat="false" ht="15" hidden="false" customHeight="false" outlineLevel="0" collapsed="false">
      <c r="A682" s="37" t="n">
        <v>46245</v>
      </c>
      <c r="B682" s="44" t="s">
        <v>1160</v>
      </c>
      <c r="C682" s="44" t="s">
        <v>600</v>
      </c>
      <c r="D682" s="44" t="n">
        <v>1104006</v>
      </c>
      <c r="E682" s="44" t="s">
        <v>212</v>
      </c>
      <c r="F682" s="44" t="s">
        <v>1161</v>
      </c>
      <c r="G682" s="42"/>
      <c r="H682" s="42" t="n">
        <v>25068556.62</v>
      </c>
      <c r="I682" s="44" t="s">
        <v>432</v>
      </c>
      <c r="J682" s="11" t="n">
        <f aca="false">IF(D682="","",N(G682)-N(H682))</f>
        <v>-25068556.62</v>
      </c>
      <c r="K682" s="34" t="str">
        <f aca="false">IF(D682="","",IFERROR(INDEX(I_COA!$C$6:$C$265,MATCH(D682,I_COA!$A$6:$A$265,0)),"AKUN BARU"))</f>
        <v>Neraca</v>
      </c>
      <c r="L682" s="34" t="str">
        <f aca="false">IF(K682="LabaRugi",INDEX(I_COA!$D$6:$D$265,MATCH(D682,I_COA!$A$6:$A$265,0)),"")</f>
        <v/>
      </c>
      <c r="M682" s="34" t="str">
        <f aca="false">IF(K682="Neraca",INDEX(I_COA!$E$6:$E$265,MATCH(D682,I_COA!$A$6:$A$265,0)),"")</f>
        <v>Inventory - Trading</v>
      </c>
      <c r="N682" s="34" t="str">
        <f aca="false">IF(D682="","",IFERROR(INDEX(I_COA!$G$6:$G$265,MATCH(D682,I_COA!$A$6:$A$265,0)),"N"))</f>
        <v>N</v>
      </c>
      <c r="O682" s="11" t="n">
        <f aca="false">IF(N682="N",ABS(J682),"")</f>
        <v>25068556.62</v>
      </c>
      <c r="P682" s="18" t="str">
        <f aca="false">IF(N682="N",B682&amp;"|"&amp;ROUND(O682,0),"")</f>
        <v>KGR26.00244|25068557</v>
      </c>
      <c r="Q682" s="18" t="str">
        <f aca="false">IF(N682&lt;&gt;"Y","",IFERROR(INDEX($D$6:$D$4005,MATCH(B682&amp;"|"&amp;ROUND(_xlfn.MAXIFS($O$6:$O$4005,$B$6:$B$4005,B682,$N$6:$N$4005,"N"),0),$P$6:$P$4005,0)),"(tanpa lawan)"))</f>
        <v/>
      </c>
      <c r="R682" s="44"/>
      <c r="S682" s="9" t="str">
        <f aca="false">IF(N682&lt;&gt;"Y","",IF(R682&lt;&gt;"",R682,IF(Q682="(tanpa lawan)","Transfer antar rekening",IFERROR(INDEX(I_COA!$F$6:$F$265,MATCH(Q682,I_COA!$A$6:$A$265,0)),"?"))))</f>
        <v/>
      </c>
    </row>
    <row r="683" customFormat="false" ht="15" hidden="false" customHeight="false" outlineLevel="0" collapsed="false">
      <c r="A683" s="37" t="n">
        <v>46245</v>
      </c>
      <c r="B683" s="44" t="s">
        <v>1162</v>
      </c>
      <c r="C683" s="44" t="s">
        <v>600</v>
      </c>
      <c r="D683" s="44" t="n">
        <v>1104002</v>
      </c>
      <c r="E683" s="44" t="s">
        <v>601</v>
      </c>
      <c r="F683" s="44" t="s">
        <v>1163</v>
      </c>
      <c r="G683" s="42" t="n">
        <v>47658107.18</v>
      </c>
      <c r="H683" s="42"/>
      <c r="I683" s="44" t="s">
        <v>609</v>
      </c>
      <c r="J683" s="11" t="n">
        <f aca="false">IF(D683="","",N(G683)-N(H683))</f>
        <v>47658107.18</v>
      </c>
      <c r="K683" s="34" t="str">
        <f aca="false">IF(D683="","",IFERROR(INDEX(I_COA!$C$6:$C$265,MATCH(D683,I_COA!$A$6:$A$265,0)),"AKUN BARU"))</f>
        <v>Neraca</v>
      </c>
      <c r="L683" s="34" t="str">
        <f aca="false">IF(K683="LabaRugi",INDEX(I_COA!$D$6:$D$265,MATCH(D683,I_COA!$A$6:$A$265,0)),"")</f>
        <v/>
      </c>
      <c r="M683" s="34" t="str">
        <f aca="false">IF(K683="Neraca",INDEX(I_COA!$E$6:$E$265,MATCH(D683,I_COA!$A$6:$A$265,0)),"")</f>
        <v>Inventory - Product</v>
      </c>
      <c r="N683" s="34" t="str">
        <f aca="false">IF(D683="","",IFERROR(INDEX(I_COA!$G$6:$G$265,MATCH(D683,I_COA!$A$6:$A$265,0)),"N"))</f>
        <v>N</v>
      </c>
      <c r="O683" s="11" t="n">
        <f aca="false">IF(N683="N",ABS(J683),"")</f>
        <v>47658107.18</v>
      </c>
      <c r="P683" s="18" t="str">
        <f aca="false">IF(N683="N",B683&amp;"|"&amp;ROUND(O683,0),"")</f>
        <v>KGR26.00245|47658107</v>
      </c>
      <c r="Q683" s="18" t="str">
        <f aca="false">IF(N683&lt;&gt;"Y","",IFERROR(INDEX($D$6:$D$4005,MATCH(B683&amp;"|"&amp;ROUND(_xlfn.MAXIFS($O$6:$O$4005,$B$6:$B$4005,B683,$N$6:$N$4005,"N"),0),$P$6:$P$4005,0)),"(tanpa lawan)"))</f>
        <v/>
      </c>
      <c r="R683" s="44"/>
      <c r="S683" s="9" t="str">
        <f aca="false">IF(N683&lt;&gt;"Y","",IF(R683&lt;&gt;"",R683,IF(Q683="(tanpa lawan)","Transfer antar rekening",IFERROR(INDEX(I_COA!$F$6:$F$265,MATCH(Q683,I_COA!$A$6:$A$265,0)),"?"))))</f>
        <v/>
      </c>
    </row>
    <row r="684" customFormat="false" ht="15" hidden="false" customHeight="false" outlineLevel="0" collapsed="false">
      <c r="A684" s="37" t="n">
        <v>46245</v>
      </c>
      <c r="B684" s="44" t="s">
        <v>1162</v>
      </c>
      <c r="C684" s="44" t="s">
        <v>600</v>
      </c>
      <c r="D684" s="44" t="n">
        <v>1104006</v>
      </c>
      <c r="E684" s="44" t="s">
        <v>212</v>
      </c>
      <c r="F684" s="44" t="s">
        <v>1163</v>
      </c>
      <c r="G684" s="42"/>
      <c r="H684" s="42" t="n">
        <v>47658107.18</v>
      </c>
      <c r="I684" s="44" t="s">
        <v>609</v>
      </c>
      <c r="J684" s="11" t="n">
        <f aca="false">IF(D684="","",N(G684)-N(H684))</f>
        <v>-47658107.18</v>
      </c>
      <c r="K684" s="34" t="str">
        <f aca="false">IF(D684="","",IFERROR(INDEX(I_COA!$C$6:$C$265,MATCH(D684,I_COA!$A$6:$A$265,0)),"AKUN BARU"))</f>
        <v>Neraca</v>
      </c>
      <c r="L684" s="34" t="str">
        <f aca="false">IF(K684="LabaRugi",INDEX(I_COA!$D$6:$D$265,MATCH(D684,I_COA!$A$6:$A$265,0)),"")</f>
        <v/>
      </c>
      <c r="M684" s="34" t="str">
        <f aca="false">IF(K684="Neraca",INDEX(I_COA!$E$6:$E$265,MATCH(D684,I_COA!$A$6:$A$265,0)),"")</f>
        <v>Inventory - Trading</v>
      </c>
      <c r="N684" s="34" t="str">
        <f aca="false">IF(D684="","",IFERROR(INDEX(I_COA!$G$6:$G$265,MATCH(D684,I_COA!$A$6:$A$265,0)),"N"))</f>
        <v>N</v>
      </c>
      <c r="O684" s="11" t="n">
        <f aca="false">IF(N684="N",ABS(J684),"")</f>
        <v>47658107.18</v>
      </c>
      <c r="P684" s="18" t="str">
        <f aca="false">IF(N684="N",B684&amp;"|"&amp;ROUND(O684,0),"")</f>
        <v>KGR26.00245|47658107</v>
      </c>
      <c r="Q684" s="18" t="str">
        <f aca="false">IF(N684&lt;&gt;"Y","",IFERROR(INDEX($D$6:$D$4005,MATCH(B684&amp;"|"&amp;ROUND(_xlfn.MAXIFS($O$6:$O$4005,$B$6:$B$4005,B684,$N$6:$N$4005,"N"),0),$P$6:$P$4005,0)),"(tanpa lawan)"))</f>
        <v/>
      </c>
      <c r="R684" s="44"/>
      <c r="S684" s="9" t="str">
        <f aca="false">IF(N684&lt;&gt;"Y","",IF(R684&lt;&gt;"",R684,IF(Q684="(tanpa lawan)","Transfer antar rekening",IFERROR(INDEX(I_COA!$F$6:$F$265,MATCH(Q684,I_COA!$A$6:$A$265,0)),"?"))))</f>
        <v/>
      </c>
    </row>
    <row r="685" customFormat="false" ht="15" hidden="false" customHeight="false" outlineLevel="0" collapsed="false">
      <c r="A685" s="37" t="n">
        <v>46245</v>
      </c>
      <c r="B685" s="44" t="s">
        <v>1164</v>
      </c>
      <c r="C685" s="44" t="s">
        <v>600</v>
      </c>
      <c r="D685" s="44" t="n">
        <v>1104002</v>
      </c>
      <c r="E685" s="44" t="s">
        <v>601</v>
      </c>
      <c r="F685" s="44" t="s">
        <v>1165</v>
      </c>
      <c r="G685" s="42" t="n">
        <v>111842414.31</v>
      </c>
      <c r="H685" s="42"/>
      <c r="I685" s="44" t="s">
        <v>437</v>
      </c>
      <c r="J685" s="11" t="n">
        <f aca="false">IF(D685="","",N(G685)-N(H685))</f>
        <v>111842414.31</v>
      </c>
      <c r="K685" s="34" t="str">
        <f aca="false">IF(D685="","",IFERROR(INDEX(I_COA!$C$6:$C$265,MATCH(D685,I_COA!$A$6:$A$265,0)),"AKUN BARU"))</f>
        <v>Neraca</v>
      </c>
      <c r="L685" s="34" t="str">
        <f aca="false">IF(K685="LabaRugi",INDEX(I_COA!$D$6:$D$265,MATCH(D685,I_COA!$A$6:$A$265,0)),"")</f>
        <v/>
      </c>
      <c r="M685" s="34" t="str">
        <f aca="false">IF(K685="Neraca",INDEX(I_COA!$E$6:$E$265,MATCH(D685,I_COA!$A$6:$A$265,0)),"")</f>
        <v>Inventory - Product</v>
      </c>
      <c r="N685" s="34" t="str">
        <f aca="false">IF(D685="","",IFERROR(INDEX(I_COA!$G$6:$G$265,MATCH(D685,I_COA!$A$6:$A$265,0)),"N"))</f>
        <v>N</v>
      </c>
      <c r="O685" s="11" t="n">
        <f aca="false">IF(N685="N",ABS(J685),"")</f>
        <v>111842414.31</v>
      </c>
      <c r="P685" s="18" t="str">
        <f aca="false">IF(N685="N",B685&amp;"|"&amp;ROUND(O685,0),"")</f>
        <v>KGR26.00246|111842414</v>
      </c>
      <c r="Q685" s="18" t="str">
        <f aca="false">IF(N685&lt;&gt;"Y","",IFERROR(INDEX($D$6:$D$4005,MATCH(B685&amp;"|"&amp;ROUND(_xlfn.MAXIFS($O$6:$O$4005,$B$6:$B$4005,B685,$N$6:$N$4005,"N"),0),$P$6:$P$4005,0)),"(tanpa lawan)"))</f>
        <v/>
      </c>
      <c r="R685" s="44"/>
      <c r="S685" s="9" t="str">
        <f aca="false">IF(N685&lt;&gt;"Y","",IF(R685&lt;&gt;"",R685,IF(Q685="(tanpa lawan)","Transfer antar rekening",IFERROR(INDEX(I_COA!$F$6:$F$265,MATCH(Q685,I_COA!$A$6:$A$265,0)),"?"))))</f>
        <v/>
      </c>
    </row>
    <row r="686" customFormat="false" ht="15" hidden="false" customHeight="false" outlineLevel="0" collapsed="false">
      <c r="A686" s="37" t="n">
        <v>46245</v>
      </c>
      <c r="B686" s="44" t="s">
        <v>1164</v>
      </c>
      <c r="C686" s="44" t="s">
        <v>600</v>
      </c>
      <c r="D686" s="44" t="n">
        <v>1104006</v>
      </c>
      <c r="E686" s="44" t="s">
        <v>212</v>
      </c>
      <c r="F686" s="44" t="s">
        <v>1165</v>
      </c>
      <c r="G686" s="42"/>
      <c r="H686" s="42" t="n">
        <v>111842414.31</v>
      </c>
      <c r="I686" s="44" t="s">
        <v>437</v>
      </c>
      <c r="J686" s="11" t="n">
        <f aca="false">IF(D686="","",N(G686)-N(H686))</f>
        <v>-111842414.31</v>
      </c>
      <c r="K686" s="34" t="str">
        <f aca="false">IF(D686="","",IFERROR(INDEX(I_COA!$C$6:$C$265,MATCH(D686,I_COA!$A$6:$A$265,0)),"AKUN BARU"))</f>
        <v>Neraca</v>
      </c>
      <c r="L686" s="34" t="str">
        <f aca="false">IF(K686="LabaRugi",INDEX(I_COA!$D$6:$D$265,MATCH(D686,I_COA!$A$6:$A$265,0)),"")</f>
        <v/>
      </c>
      <c r="M686" s="34" t="str">
        <f aca="false">IF(K686="Neraca",INDEX(I_COA!$E$6:$E$265,MATCH(D686,I_COA!$A$6:$A$265,0)),"")</f>
        <v>Inventory - Trading</v>
      </c>
      <c r="N686" s="34" t="str">
        <f aca="false">IF(D686="","",IFERROR(INDEX(I_COA!$G$6:$G$265,MATCH(D686,I_COA!$A$6:$A$265,0)),"N"))</f>
        <v>N</v>
      </c>
      <c r="O686" s="11" t="n">
        <f aca="false">IF(N686="N",ABS(J686),"")</f>
        <v>111842414.31</v>
      </c>
      <c r="P686" s="18" t="str">
        <f aca="false">IF(N686="N",B686&amp;"|"&amp;ROUND(O686,0),"")</f>
        <v>KGR26.00246|111842414</v>
      </c>
      <c r="Q686" s="18" t="str">
        <f aca="false">IF(N686&lt;&gt;"Y","",IFERROR(INDEX($D$6:$D$4005,MATCH(B686&amp;"|"&amp;ROUND(_xlfn.MAXIFS($O$6:$O$4005,$B$6:$B$4005,B686,$N$6:$N$4005,"N"),0),$P$6:$P$4005,0)),"(tanpa lawan)"))</f>
        <v/>
      </c>
      <c r="R686" s="44"/>
      <c r="S686" s="9" t="str">
        <f aca="false">IF(N686&lt;&gt;"Y","",IF(R686&lt;&gt;"",R686,IF(Q686="(tanpa lawan)","Transfer antar rekening",IFERROR(INDEX(I_COA!$F$6:$F$265,MATCH(Q686,I_COA!$A$6:$A$265,0)),"?"))))</f>
        <v/>
      </c>
    </row>
    <row r="687" customFormat="false" ht="15" hidden="false" customHeight="false" outlineLevel="0" collapsed="false">
      <c r="A687" s="37" t="n">
        <v>46245</v>
      </c>
      <c r="B687" s="44" t="s">
        <v>1166</v>
      </c>
      <c r="C687" s="44" t="s">
        <v>600</v>
      </c>
      <c r="D687" s="44" t="n">
        <v>1104002</v>
      </c>
      <c r="E687" s="44" t="s">
        <v>601</v>
      </c>
      <c r="F687" s="44" t="s">
        <v>1167</v>
      </c>
      <c r="G687" s="42" t="n">
        <v>13512936.57</v>
      </c>
      <c r="H687" s="42"/>
      <c r="I687" s="44" t="s">
        <v>465</v>
      </c>
      <c r="J687" s="11" t="n">
        <f aca="false">IF(D687="","",N(G687)-N(H687))</f>
        <v>13512936.57</v>
      </c>
      <c r="K687" s="34" t="str">
        <f aca="false">IF(D687="","",IFERROR(INDEX(I_COA!$C$6:$C$265,MATCH(D687,I_COA!$A$6:$A$265,0)),"AKUN BARU"))</f>
        <v>Neraca</v>
      </c>
      <c r="L687" s="34" t="str">
        <f aca="false">IF(K687="LabaRugi",INDEX(I_COA!$D$6:$D$265,MATCH(D687,I_COA!$A$6:$A$265,0)),"")</f>
        <v/>
      </c>
      <c r="M687" s="34" t="str">
        <f aca="false">IF(K687="Neraca",INDEX(I_COA!$E$6:$E$265,MATCH(D687,I_COA!$A$6:$A$265,0)),"")</f>
        <v>Inventory - Product</v>
      </c>
      <c r="N687" s="34" t="str">
        <f aca="false">IF(D687="","",IFERROR(INDEX(I_COA!$G$6:$G$265,MATCH(D687,I_COA!$A$6:$A$265,0)),"N"))</f>
        <v>N</v>
      </c>
      <c r="O687" s="11" t="n">
        <f aca="false">IF(N687="N",ABS(J687),"")</f>
        <v>13512936.57</v>
      </c>
      <c r="P687" s="18" t="str">
        <f aca="false">IF(N687="N",B687&amp;"|"&amp;ROUND(O687,0),"")</f>
        <v>KGR26.00247|13512937</v>
      </c>
      <c r="Q687" s="18" t="str">
        <f aca="false">IF(N687&lt;&gt;"Y","",IFERROR(INDEX($D$6:$D$4005,MATCH(B687&amp;"|"&amp;ROUND(_xlfn.MAXIFS($O$6:$O$4005,$B$6:$B$4005,B687,$N$6:$N$4005,"N"),0),$P$6:$P$4005,0)),"(tanpa lawan)"))</f>
        <v/>
      </c>
      <c r="R687" s="44"/>
      <c r="S687" s="9" t="str">
        <f aca="false">IF(N687&lt;&gt;"Y","",IF(R687&lt;&gt;"",R687,IF(Q687="(tanpa lawan)","Transfer antar rekening",IFERROR(INDEX(I_COA!$F$6:$F$265,MATCH(Q687,I_COA!$A$6:$A$265,0)),"?"))))</f>
        <v/>
      </c>
    </row>
    <row r="688" customFormat="false" ht="15" hidden="false" customHeight="false" outlineLevel="0" collapsed="false">
      <c r="A688" s="37" t="n">
        <v>46245</v>
      </c>
      <c r="B688" s="44" t="s">
        <v>1166</v>
      </c>
      <c r="C688" s="44" t="s">
        <v>600</v>
      </c>
      <c r="D688" s="44" t="n">
        <v>1104006</v>
      </c>
      <c r="E688" s="44" t="s">
        <v>212</v>
      </c>
      <c r="F688" s="44" t="s">
        <v>1167</v>
      </c>
      <c r="G688" s="42"/>
      <c r="H688" s="42" t="n">
        <v>13512936.57</v>
      </c>
      <c r="I688" s="44" t="s">
        <v>465</v>
      </c>
      <c r="J688" s="11" t="n">
        <f aca="false">IF(D688="","",N(G688)-N(H688))</f>
        <v>-13512936.57</v>
      </c>
      <c r="K688" s="34" t="str">
        <f aca="false">IF(D688="","",IFERROR(INDEX(I_COA!$C$6:$C$265,MATCH(D688,I_COA!$A$6:$A$265,0)),"AKUN BARU"))</f>
        <v>Neraca</v>
      </c>
      <c r="L688" s="34" t="str">
        <f aca="false">IF(K688="LabaRugi",INDEX(I_COA!$D$6:$D$265,MATCH(D688,I_COA!$A$6:$A$265,0)),"")</f>
        <v/>
      </c>
      <c r="M688" s="34" t="str">
        <f aca="false">IF(K688="Neraca",INDEX(I_COA!$E$6:$E$265,MATCH(D688,I_COA!$A$6:$A$265,0)),"")</f>
        <v>Inventory - Trading</v>
      </c>
      <c r="N688" s="34" t="str">
        <f aca="false">IF(D688="","",IFERROR(INDEX(I_COA!$G$6:$G$265,MATCH(D688,I_COA!$A$6:$A$265,0)),"N"))</f>
        <v>N</v>
      </c>
      <c r="O688" s="11" t="n">
        <f aca="false">IF(N688="N",ABS(J688),"")</f>
        <v>13512936.57</v>
      </c>
      <c r="P688" s="18" t="str">
        <f aca="false">IF(N688="N",B688&amp;"|"&amp;ROUND(O688,0),"")</f>
        <v>KGR26.00247|13512937</v>
      </c>
      <c r="Q688" s="18" t="str">
        <f aca="false">IF(N688&lt;&gt;"Y","",IFERROR(INDEX($D$6:$D$4005,MATCH(B688&amp;"|"&amp;ROUND(_xlfn.MAXIFS($O$6:$O$4005,$B$6:$B$4005,B688,$N$6:$N$4005,"N"),0),$P$6:$P$4005,0)),"(tanpa lawan)"))</f>
        <v/>
      </c>
      <c r="R688" s="44"/>
      <c r="S688" s="9" t="str">
        <f aca="false">IF(N688&lt;&gt;"Y","",IF(R688&lt;&gt;"",R688,IF(Q688="(tanpa lawan)","Transfer antar rekening",IFERROR(INDEX(I_COA!$F$6:$F$265,MATCH(Q688,I_COA!$A$6:$A$265,0)),"?"))))</f>
        <v/>
      </c>
    </row>
    <row r="689" customFormat="false" ht="15" hidden="false" customHeight="false" outlineLevel="0" collapsed="false">
      <c r="A689" s="37" t="n">
        <v>46245</v>
      </c>
      <c r="B689" s="44" t="s">
        <v>1168</v>
      </c>
      <c r="C689" s="44" t="s">
        <v>617</v>
      </c>
      <c r="D689" s="44" t="n">
        <v>1103101</v>
      </c>
      <c r="E689" s="44" t="s">
        <v>589</v>
      </c>
      <c r="F689" s="44" t="s">
        <v>1169</v>
      </c>
      <c r="G689" s="42" t="n">
        <v>28759500</v>
      </c>
      <c r="H689" s="42"/>
      <c r="I689" s="44" t="s">
        <v>432</v>
      </c>
      <c r="J689" s="11" t="n">
        <f aca="false">IF(D689="","",N(G689)-N(H689))</f>
        <v>28759500</v>
      </c>
      <c r="K689" s="34" t="str">
        <f aca="false">IF(D689="","",IFERROR(INDEX(I_COA!$C$6:$C$265,MATCH(D689,I_COA!$A$6:$A$265,0)),"AKUN BARU"))</f>
        <v>Neraca</v>
      </c>
      <c r="L689" s="34" t="str">
        <f aca="false">IF(K689="LabaRugi",INDEX(I_COA!$D$6:$D$265,MATCH(D689,I_COA!$A$6:$A$265,0)),"")</f>
        <v/>
      </c>
      <c r="M689" s="34" t="str">
        <f aca="false">IF(K689="Neraca",INDEX(I_COA!$E$6:$E$265,MATCH(D689,I_COA!$A$6:$A$265,0)),"")</f>
        <v>Trade Receivables - Third Parties</v>
      </c>
      <c r="N689" s="34" t="str">
        <f aca="false">IF(D689="","",IFERROR(INDEX(I_COA!$G$6:$G$265,MATCH(D689,I_COA!$A$6:$A$265,0)),"N"))</f>
        <v>N</v>
      </c>
      <c r="O689" s="11" t="n">
        <f aca="false">IF(N689="N",ABS(J689),"")</f>
        <v>28759500</v>
      </c>
      <c r="P689" s="18" t="str">
        <f aca="false">IF(N689="N",B689&amp;"|"&amp;ROUND(O689,0),"")</f>
        <v>KGR26/0244|28759500</v>
      </c>
      <c r="Q689" s="18" t="str">
        <f aca="false">IF(N689&lt;&gt;"Y","",IFERROR(INDEX($D$6:$D$4005,MATCH(B689&amp;"|"&amp;ROUND(_xlfn.MAXIFS($O$6:$O$4005,$B$6:$B$4005,B689,$N$6:$N$4005,"N"),0),$P$6:$P$4005,0)),"(tanpa lawan)"))</f>
        <v/>
      </c>
      <c r="R689" s="44"/>
      <c r="S689" s="9" t="str">
        <f aca="false">IF(N689&lt;&gt;"Y","",IF(R689&lt;&gt;"",R689,IF(Q689="(tanpa lawan)","Transfer antar rekening",IFERROR(INDEX(I_COA!$F$6:$F$265,MATCH(Q689,I_COA!$A$6:$A$265,0)),"?"))))</f>
        <v/>
      </c>
    </row>
    <row r="690" customFormat="false" ht="15" hidden="false" customHeight="false" outlineLevel="0" collapsed="false">
      <c r="A690" s="37" t="n">
        <v>46245</v>
      </c>
      <c r="B690" s="44" t="s">
        <v>1168</v>
      </c>
      <c r="C690" s="44" t="s">
        <v>617</v>
      </c>
      <c r="D690" s="44" t="n">
        <v>4101012</v>
      </c>
      <c r="E690" s="44" t="s">
        <v>619</v>
      </c>
      <c r="F690" s="44" t="s">
        <v>1169</v>
      </c>
      <c r="G690" s="42"/>
      <c r="H690" s="42" t="n">
        <v>28759500</v>
      </c>
      <c r="I690" s="44" t="s">
        <v>432</v>
      </c>
      <c r="J690" s="11" t="n">
        <f aca="false">IF(D690="","",N(G690)-N(H690))</f>
        <v>-28759500</v>
      </c>
      <c r="K690" s="34" t="str">
        <f aca="false">IF(D690="","",IFERROR(INDEX(I_COA!$C$6:$C$265,MATCH(D690,I_COA!$A$6:$A$265,0)),"AKUN BARU"))</f>
        <v>LabaRugi</v>
      </c>
      <c r="L690" s="34" t="str">
        <f aca="false">IF(K690="LabaRugi",INDEX(I_COA!$D$6:$D$265,MATCH(D690,I_COA!$A$6:$A$265,0)),"")</f>
        <v>Revenue - Trading</v>
      </c>
      <c r="M690" s="34" t="str">
        <f aca="false">IF(K690="Neraca",INDEX(I_COA!$E$6:$E$265,MATCH(D690,I_COA!$A$6:$A$265,0)),"")</f>
        <v/>
      </c>
      <c r="N690" s="34" t="str">
        <f aca="false">IF(D690="","",IFERROR(INDEX(I_COA!$G$6:$G$265,MATCH(D690,I_COA!$A$6:$A$265,0)),"N"))</f>
        <v>N</v>
      </c>
      <c r="O690" s="11" t="n">
        <f aca="false">IF(N690="N",ABS(J690),"")</f>
        <v>28759500</v>
      </c>
      <c r="P690" s="18" t="str">
        <f aca="false">IF(N690="N",B690&amp;"|"&amp;ROUND(O690,0),"")</f>
        <v>KGR26/0244|28759500</v>
      </c>
      <c r="Q690" s="18" t="str">
        <f aca="false">IF(N690&lt;&gt;"Y","",IFERROR(INDEX($D$6:$D$4005,MATCH(B690&amp;"|"&amp;ROUND(_xlfn.MAXIFS($O$6:$O$4005,$B$6:$B$4005,B690,$N$6:$N$4005,"N"),0),$P$6:$P$4005,0)),"(tanpa lawan)"))</f>
        <v/>
      </c>
      <c r="R690" s="44"/>
      <c r="S690" s="9" t="str">
        <f aca="false">IF(N690&lt;&gt;"Y","",IF(R690&lt;&gt;"",R690,IF(Q690="(tanpa lawan)","Transfer antar rekening",IFERROR(INDEX(I_COA!$F$6:$F$265,MATCH(Q690,I_COA!$A$6:$A$265,0)),"?"))))</f>
        <v/>
      </c>
    </row>
    <row r="691" customFormat="false" ht="15" hidden="false" customHeight="false" outlineLevel="0" collapsed="false">
      <c r="A691" s="37" t="n">
        <v>46245</v>
      </c>
      <c r="B691" s="44" t="s">
        <v>1168</v>
      </c>
      <c r="C691" s="44" t="s">
        <v>617</v>
      </c>
      <c r="D691" s="44" t="n">
        <v>5100011</v>
      </c>
      <c r="E691" s="44" t="s">
        <v>166</v>
      </c>
      <c r="F691" s="44" t="s">
        <v>1169</v>
      </c>
      <c r="G691" s="42" t="n">
        <v>25068556.62</v>
      </c>
      <c r="H691" s="42"/>
      <c r="I691" s="44" t="s">
        <v>432</v>
      </c>
      <c r="J691" s="11" t="n">
        <f aca="false">IF(D691="","",N(G691)-N(H691))</f>
        <v>25068556.62</v>
      </c>
      <c r="K691" s="34" t="str">
        <f aca="false">IF(D691="","",IFERROR(INDEX(I_COA!$C$6:$C$265,MATCH(D691,I_COA!$A$6:$A$265,0)),"AKUN BARU"))</f>
        <v>LabaRugi</v>
      </c>
      <c r="L691" s="34" t="str">
        <f aca="false">IF(K691="LabaRugi",INDEX(I_COA!$D$6:$D$265,MATCH(D691,I_COA!$A$6:$A$265,0)),"")</f>
        <v>COGS - Trading</v>
      </c>
      <c r="M691" s="34" t="str">
        <f aca="false">IF(K691="Neraca",INDEX(I_COA!$E$6:$E$265,MATCH(D691,I_COA!$A$6:$A$265,0)),"")</f>
        <v/>
      </c>
      <c r="N691" s="34" t="str">
        <f aca="false">IF(D691="","",IFERROR(INDEX(I_COA!$G$6:$G$265,MATCH(D691,I_COA!$A$6:$A$265,0)),"N"))</f>
        <v>N</v>
      </c>
      <c r="O691" s="11" t="n">
        <f aca="false">IF(N691="N",ABS(J691),"")</f>
        <v>25068556.62</v>
      </c>
      <c r="P691" s="18" t="str">
        <f aca="false">IF(N691="N",B691&amp;"|"&amp;ROUND(O691,0),"")</f>
        <v>KGR26/0244|25068557</v>
      </c>
      <c r="Q691" s="18" t="str">
        <f aca="false">IF(N691&lt;&gt;"Y","",IFERROR(INDEX($D$6:$D$4005,MATCH(B691&amp;"|"&amp;ROUND(_xlfn.MAXIFS($O$6:$O$4005,$B$6:$B$4005,B691,$N$6:$N$4005,"N"),0),$P$6:$P$4005,0)),"(tanpa lawan)"))</f>
        <v/>
      </c>
      <c r="R691" s="44"/>
      <c r="S691" s="9" t="str">
        <f aca="false">IF(N691&lt;&gt;"Y","",IF(R691&lt;&gt;"",R691,IF(Q691="(tanpa lawan)","Transfer antar rekening",IFERROR(INDEX(I_COA!$F$6:$F$265,MATCH(Q691,I_COA!$A$6:$A$265,0)),"?"))))</f>
        <v/>
      </c>
    </row>
    <row r="692" customFormat="false" ht="15" hidden="false" customHeight="false" outlineLevel="0" collapsed="false">
      <c r="A692" s="37" t="n">
        <v>46245</v>
      </c>
      <c r="B692" s="44" t="s">
        <v>1168</v>
      </c>
      <c r="C692" s="44" t="s">
        <v>617</v>
      </c>
      <c r="D692" s="44" t="n">
        <v>1104002</v>
      </c>
      <c r="E692" s="44" t="s">
        <v>601</v>
      </c>
      <c r="F692" s="44" t="s">
        <v>1169</v>
      </c>
      <c r="G692" s="42"/>
      <c r="H692" s="42" t="n">
        <v>25068556.62</v>
      </c>
      <c r="I692" s="44" t="s">
        <v>432</v>
      </c>
      <c r="J692" s="11" t="n">
        <f aca="false">IF(D692="","",N(G692)-N(H692))</f>
        <v>-25068556.62</v>
      </c>
      <c r="K692" s="34" t="str">
        <f aca="false">IF(D692="","",IFERROR(INDEX(I_COA!$C$6:$C$265,MATCH(D692,I_COA!$A$6:$A$265,0)),"AKUN BARU"))</f>
        <v>Neraca</v>
      </c>
      <c r="L692" s="34" t="str">
        <f aca="false">IF(K692="LabaRugi",INDEX(I_COA!$D$6:$D$265,MATCH(D692,I_COA!$A$6:$A$265,0)),"")</f>
        <v/>
      </c>
      <c r="M692" s="34" t="str">
        <f aca="false">IF(K692="Neraca",INDEX(I_COA!$E$6:$E$265,MATCH(D692,I_COA!$A$6:$A$265,0)),"")</f>
        <v>Inventory - Product</v>
      </c>
      <c r="N692" s="34" t="str">
        <f aca="false">IF(D692="","",IFERROR(INDEX(I_COA!$G$6:$G$265,MATCH(D692,I_COA!$A$6:$A$265,0)),"N"))</f>
        <v>N</v>
      </c>
      <c r="O692" s="11" t="n">
        <f aca="false">IF(N692="N",ABS(J692),"")</f>
        <v>25068556.62</v>
      </c>
      <c r="P692" s="18" t="str">
        <f aca="false">IF(N692="N",B692&amp;"|"&amp;ROUND(O692,0),"")</f>
        <v>KGR26/0244|25068557</v>
      </c>
      <c r="Q692" s="18" t="str">
        <f aca="false">IF(N692&lt;&gt;"Y","",IFERROR(INDEX($D$6:$D$4005,MATCH(B692&amp;"|"&amp;ROUND(_xlfn.MAXIFS($O$6:$O$4005,$B$6:$B$4005,B692,$N$6:$N$4005,"N"),0),$P$6:$P$4005,0)),"(tanpa lawan)"))</f>
        <v/>
      </c>
      <c r="R692" s="44"/>
      <c r="S692" s="9" t="str">
        <f aca="false">IF(N692&lt;&gt;"Y","",IF(R692&lt;&gt;"",R692,IF(Q692="(tanpa lawan)","Transfer antar rekening",IFERROR(INDEX(I_COA!$F$6:$F$265,MATCH(Q692,I_COA!$A$6:$A$265,0)),"?"))))</f>
        <v/>
      </c>
    </row>
    <row r="693" customFormat="false" ht="15" hidden="false" customHeight="false" outlineLevel="0" collapsed="false">
      <c r="A693" s="37" t="n">
        <v>46245</v>
      </c>
      <c r="B693" s="44" t="s">
        <v>1170</v>
      </c>
      <c r="C693" s="44" t="s">
        <v>617</v>
      </c>
      <c r="D693" s="44" t="n">
        <v>1103101</v>
      </c>
      <c r="E693" s="44" t="s">
        <v>589</v>
      </c>
      <c r="F693" s="44" t="s">
        <v>1171</v>
      </c>
      <c r="G693" s="42" t="n">
        <v>54675000</v>
      </c>
      <c r="H693" s="42"/>
      <c r="I693" s="44" t="s">
        <v>609</v>
      </c>
      <c r="J693" s="11" t="n">
        <f aca="false">IF(D693="","",N(G693)-N(H693))</f>
        <v>54675000</v>
      </c>
      <c r="K693" s="34" t="str">
        <f aca="false">IF(D693="","",IFERROR(INDEX(I_COA!$C$6:$C$265,MATCH(D693,I_COA!$A$6:$A$265,0)),"AKUN BARU"))</f>
        <v>Neraca</v>
      </c>
      <c r="L693" s="34" t="str">
        <f aca="false">IF(K693="LabaRugi",INDEX(I_COA!$D$6:$D$265,MATCH(D693,I_COA!$A$6:$A$265,0)),"")</f>
        <v/>
      </c>
      <c r="M693" s="34" t="str">
        <f aca="false">IF(K693="Neraca",INDEX(I_COA!$E$6:$E$265,MATCH(D693,I_COA!$A$6:$A$265,0)),"")</f>
        <v>Trade Receivables - Third Parties</v>
      </c>
      <c r="N693" s="34" t="str">
        <f aca="false">IF(D693="","",IFERROR(INDEX(I_COA!$G$6:$G$265,MATCH(D693,I_COA!$A$6:$A$265,0)),"N"))</f>
        <v>N</v>
      </c>
      <c r="O693" s="11" t="n">
        <f aca="false">IF(N693="N",ABS(J693),"")</f>
        <v>54675000</v>
      </c>
      <c r="P693" s="18" t="str">
        <f aca="false">IF(N693="N",B693&amp;"|"&amp;ROUND(O693,0),"")</f>
        <v>KGR26/0245|54675000</v>
      </c>
      <c r="Q693" s="18" t="str">
        <f aca="false">IF(N693&lt;&gt;"Y","",IFERROR(INDEX($D$6:$D$4005,MATCH(B693&amp;"|"&amp;ROUND(_xlfn.MAXIFS($O$6:$O$4005,$B$6:$B$4005,B693,$N$6:$N$4005,"N"),0),$P$6:$P$4005,0)),"(tanpa lawan)"))</f>
        <v/>
      </c>
      <c r="R693" s="44"/>
      <c r="S693" s="9" t="str">
        <f aca="false">IF(N693&lt;&gt;"Y","",IF(R693&lt;&gt;"",R693,IF(Q693="(tanpa lawan)","Transfer antar rekening",IFERROR(INDEX(I_COA!$F$6:$F$265,MATCH(Q693,I_COA!$A$6:$A$265,0)),"?"))))</f>
        <v/>
      </c>
    </row>
    <row r="694" customFormat="false" ht="15" hidden="false" customHeight="false" outlineLevel="0" collapsed="false">
      <c r="A694" s="37" t="n">
        <v>46245</v>
      </c>
      <c r="B694" s="44" t="s">
        <v>1170</v>
      </c>
      <c r="C694" s="44" t="s">
        <v>617</v>
      </c>
      <c r="D694" s="44" t="n">
        <v>4101012</v>
      </c>
      <c r="E694" s="44" t="s">
        <v>619</v>
      </c>
      <c r="F694" s="44" t="s">
        <v>1171</v>
      </c>
      <c r="G694" s="42"/>
      <c r="H694" s="42" t="n">
        <v>54675000</v>
      </c>
      <c r="I694" s="44" t="s">
        <v>609</v>
      </c>
      <c r="J694" s="11" t="n">
        <f aca="false">IF(D694="","",N(G694)-N(H694))</f>
        <v>-54675000</v>
      </c>
      <c r="K694" s="34" t="str">
        <f aca="false">IF(D694="","",IFERROR(INDEX(I_COA!$C$6:$C$265,MATCH(D694,I_COA!$A$6:$A$265,0)),"AKUN BARU"))</f>
        <v>LabaRugi</v>
      </c>
      <c r="L694" s="34" t="str">
        <f aca="false">IF(K694="LabaRugi",INDEX(I_COA!$D$6:$D$265,MATCH(D694,I_COA!$A$6:$A$265,0)),"")</f>
        <v>Revenue - Trading</v>
      </c>
      <c r="M694" s="34" t="str">
        <f aca="false">IF(K694="Neraca",INDEX(I_COA!$E$6:$E$265,MATCH(D694,I_COA!$A$6:$A$265,0)),"")</f>
        <v/>
      </c>
      <c r="N694" s="34" t="str">
        <f aca="false">IF(D694="","",IFERROR(INDEX(I_COA!$G$6:$G$265,MATCH(D694,I_COA!$A$6:$A$265,0)),"N"))</f>
        <v>N</v>
      </c>
      <c r="O694" s="11" t="n">
        <f aca="false">IF(N694="N",ABS(J694),"")</f>
        <v>54675000</v>
      </c>
      <c r="P694" s="18" t="str">
        <f aca="false">IF(N694="N",B694&amp;"|"&amp;ROUND(O694,0),"")</f>
        <v>KGR26/0245|54675000</v>
      </c>
      <c r="Q694" s="18" t="str">
        <f aca="false">IF(N694&lt;&gt;"Y","",IFERROR(INDEX($D$6:$D$4005,MATCH(B694&amp;"|"&amp;ROUND(_xlfn.MAXIFS($O$6:$O$4005,$B$6:$B$4005,B694,$N$6:$N$4005,"N"),0),$P$6:$P$4005,0)),"(tanpa lawan)"))</f>
        <v/>
      </c>
      <c r="R694" s="44"/>
      <c r="S694" s="9" t="str">
        <f aca="false">IF(N694&lt;&gt;"Y","",IF(R694&lt;&gt;"",R694,IF(Q694="(tanpa lawan)","Transfer antar rekening",IFERROR(INDEX(I_COA!$F$6:$F$265,MATCH(Q694,I_COA!$A$6:$A$265,0)),"?"))))</f>
        <v/>
      </c>
    </row>
    <row r="695" customFormat="false" ht="15" hidden="false" customHeight="false" outlineLevel="0" collapsed="false">
      <c r="A695" s="37" t="n">
        <v>46245</v>
      </c>
      <c r="B695" s="44" t="s">
        <v>1170</v>
      </c>
      <c r="C695" s="44" t="s">
        <v>617</v>
      </c>
      <c r="D695" s="44" t="n">
        <v>5100011</v>
      </c>
      <c r="E695" s="44" t="s">
        <v>166</v>
      </c>
      <c r="F695" s="44" t="s">
        <v>1171</v>
      </c>
      <c r="G695" s="42" t="n">
        <v>47658107.18</v>
      </c>
      <c r="H695" s="42"/>
      <c r="I695" s="44" t="s">
        <v>609</v>
      </c>
      <c r="J695" s="11" t="n">
        <f aca="false">IF(D695="","",N(G695)-N(H695))</f>
        <v>47658107.18</v>
      </c>
      <c r="K695" s="34" t="str">
        <f aca="false">IF(D695="","",IFERROR(INDEX(I_COA!$C$6:$C$265,MATCH(D695,I_COA!$A$6:$A$265,0)),"AKUN BARU"))</f>
        <v>LabaRugi</v>
      </c>
      <c r="L695" s="34" t="str">
        <f aca="false">IF(K695="LabaRugi",INDEX(I_COA!$D$6:$D$265,MATCH(D695,I_COA!$A$6:$A$265,0)),"")</f>
        <v>COGS - Trading</v>
      </c>
      <c r="M695" s="34" t="str">
        <f aca="false">IF(K695="Neraca",INDEX(I_COA!$E$6:$E$265,MATCH(D695,I_COA!$A$6:$A$265,0)),"")</f>
        <v/>
      </c>
      <c r="N695" s="34" t="str">
        <f aca="false">IF(D695="","",IFERROR(INDEX(I_COA!$G$6:$G$265,MATCH(D695,I_COA!$A$6:$A$265,0)),"N"))</f>
        <v>N</v>
      </c>
      <c r="O695" s="11" t="n">
        <f aca="false">IF(N695="N",ABS(J695),"")</f>
        <v>47658107.18</v>
      </c>
      <c r="P695" s="18" t="str">
        <f aca="false">IF(N695="N",B695&amp;"|"&amp;ROUND(O695,0),"")</f>
        <v>KGR26/0245|47658107</v>
      </c>
      <c r="Q695" s="18" t="str">
        <f aca="false">IF(N695&lt;&gt;"Y","",IFERROR(INDEX($D$6:$D$4005,MATCH(B695&amp;"|"&amp;ROUND(_xlfn.MAXIFS($O$6:$O$4005,$B$6:$B$4005,B695,$N$6:$N$4005,"N"),0),$P$6:$P$4005,0)),"(tanpa lawan)"))</f>
        <v/>
      </c>
      <c r="R695" s="44"/>
      <c r="S695" s="9" t="str">
        <f aca="false">IF(N695&lt;&gt;"Y","",IF(R695&lt;&gt;"",R695,IF(Q695="(tanpa lawan)","Transfer antar rekening",IFERROR(INDEX(I_COA!$F$6:$F$265,MATCH(Q695,I_COA!$A$6:$A$265,0)),"?"))))</f>
        <v/>
      </c>
    </row>
    <row r="696" customFormat="false" ht="15" hidden="false" customHeight="false" outlineLevel="0" collapsed="false">
      <c r="A696" s="37" t="n">
        <v>46245</v>
      </c>
      <c r="B696" s="44" t="s">
        <v>1170</v>
      </c>
      <c r="C696" s="44" t="s">
        <v>617</v>
      </c>
      <c r="D696" s="44" t="n">
        <v>1104002</v>
      </c>
      <c r="E696" s="44" t="s">
        <v>601</v>
      </c>
      <c r="F696" s="44" t="s">
        <v>1171</v>
      </c>
      <c r="G696" s="42"/>
      <c r="H696" s="42" t="n">
        <v>47658107.18</v>
      </c>
      <c r="I696" s="44" t="s">
        <v>609</v>
      </c>
      <c r="J696" s="11" t="n">
        <f aca="false">IF(D696="","",N(G696)-N(H696))</f>
        <v>-47658107.18</v>
      </c>
      <c r="K696" s="34" t="str">
        <f aca="false">IF(D696="","",IFERROR(INDEX(I_COA!$C$6:$C$265,MATCH(D696,I_COA!$A$6:$A$265,0)),"AKUN BARU"))</f>
        <v>Neraca</v>
      </c>
      <c r="L696" s="34" t="str">
        <f aca="false">IF(K696="LabaRugi",INDEX(I_COA!$D$6:$D$265,MATCH(D696,I_COA!$A$6:$A$265,0)),"")</f>
        <v/>
      </c>
      <c r="M696" s="34" t="str">
        <f aca="false">IF(K696="Neraca",INDEX(I_COA!$E$6:$E$265,MATCH(D696,I_COA!$A$6:$A$265,0)),"")</f>
        <v>Inventory - Product</v>
      </c>
      <c r="N696" s="34" t="str">
        <f aca="false">IF(D696="","",IFERROR(INDEX(I_COA!$G$6:$G$265,MATCH(D696,I_COA!$A$6:$A$265,0)),"N"))</f>
        <v>N</v>
      </c>
      <c r="O696" s="11" t="n">
        <f aca="false">IF(N696="N",ABS(J696),"")</f>
        <v>47658107.18</v>
      </c>
      <c r="P696" s="18" t="str">
        <f aca="false">IF(N696="N",B696&amp;"|"&amp;ROUND(O696,0),"")</f>
        <v>KGR26/0245|47658107</v>
      </c>
      <c r="Q696" s="18" t="str">
        <f aca="false">IF(N696&lt;&gt;"Y","",IFERROR(INDEX($D$6:$D$4005,MATCH(B696&amp;"|"&amp;ROUND(_xlfn.MAXIFS($O$6:$O$4005,$B$6:$B$4005,B696,$N$6:$N$4005,"N"),0),$P$6:$P$4005,0)),"(tanpa lawan)"))</f>
        <v/>
      </c>
      <c r="R696" s="44"/>
      <c r="S696" s="9" t="str">
        <f aca="false">IF(N696&lt;&gt;"Y","",IF(R696&lt;&gt;"",R696,IF(Q696="(tanpa lawan)","Transfer antar rekening",IFERROR(INDEX(I_COA!$F$6:$F$265,MATCH(Q696,I_COA!$A$6:$A$265,0)),"?"))))</f>
        <v/>
      </c>
    </row>
    <row r="697" customFormat="false" ht="15" hidden="false" customHeight="false" outlineLevel="0" collapsed="false">
      <c r="A697" s="37" t="n">
        <v>46245</v>
      </c>
      <c r="B697" s="44" t="s">
        <v>1172</v>
      </c>
      <c r="C697" s="44" t="s">
        <v>617</v>
      </c>
      <c r="D697" s="44" t="n">
        <v>1103101</v>
      </c>
      <c r="E697" s="44" t="s">
        <v>589</v>
      </c>
      <c r="F697" s="44" t="s">
        <v>1173</v>
      </c>
      <c r="G697" s="42" t="n">
        <v>119436970</v>
      </c>
      <c r="H697" s="42"/>
      <c r="I697" s="44" t="s">
        <v>437</v>
      </c>
      <c r="J697" s="11" t="n">
        <f aca="false">IF(D697="","",N(G697)-N(H697))</f>
        <v>119436970</v>
      </c>
      <c r="K697" s="34" t="str">
        <f aca="false">IF(D697="","",IFERROR(INDEX(I_COA!$C$6:$C$265,MATCH(D697,I_COA!$A$6:$A$265,0)),"AKUN BARU"))</f>
        <v>Neraca</v>
      </c>
      <c r="L697" s="34" t="str">
        <f aca="false">IF(K697="LabaRugi",INDEX(I_COA!$D$6:$D$265,MATCH(D697,I_COA!$A$6:$A$265,0)),"")</f>
        <v/>
      </c>
      <c r="M697" s="34" t="str">
        <f aca="false">IF(K697="Neraca",INDEX(I_COA!$E$6:$E$265,MATCH(D697,I_COA!$A$6:$A$265,0)),"")</f>
        <v>Trade Receivables - Third Parties</v>
      </c>
      <c r="N697" s="34" t="str">
        <f aca="false">IF(D697="","",IFERROR(INDEX(I_COA!$G$6:$G$265,MATCH(D697,I_COA!$A$6:$A$265,0)),"N"))</f>
        <v>N</v>
      </c>
      <c r="O697" s="11" t="n">
        <f aca="false">IF(N697="N",ABS(J697),"")</f>
        <v>119436970</v>
      </c>
      <c r="P697" s="18" t="str">
        <f aca="false">IF(N697="N",B697&amp;"|"&amp;ROUND(O697,0),"")</f>
        <v>KGR26/0246|119436970</v>
      </c>
      <c r="Q697" s="18" t="str">
        <f aca="false">IF(N697&lt;&gt;"Y","",IFERROR(INDEX($D$6:$D$4005,MATCH(B697&amp;"|"&amp;ROUND(_xlfn.MAXIFS($O$6:$O$4005,$B$6:$B$4005,B697,$N$6:$N$4005,"N"),0),$P$6:$P$4005,0)),"(tanpa lawan)"))</f>
        <v/>
      </c>
      <c r="R697" s="44"/>
      <c r="S697" s="9" t="str">
        <f aca="false">IF(N697&lt;&gt;"Y","",IF(R697&lt;&gt;"",R697,IF(Q697="(tanpa lawan)","Transfer antar rekening",IFERROR(INDEX(I_COA!$F$6:$F$265,MATCH(Q697,I_COA!$A$6:$A$265,0)),"?"))))</f>
        <v/>
      </c>
    </row>
    <row r="698" customFormat="false" ht="15" hidden="false" customHeight="false" outlineLevel="0" collapsed="false">
      <c r="A698" s="37" t="n">
        <v>46245</v>
      </c>
      <c r="B698" s="44" t="s">
        <v>1172</v>
      </c>
      <c r="C698" s="44" t="s">
        <v>617</v>
      </c>
      <c r="D698" s="44" t="n">
        <v>4101012</v>
      </c>
      <c r="E698" s="44" t="s">
        <v>619</v>
      </c>
      <c r="F698" s="44" t="s">
        <v>1173</v>
      </c>
      <c r="G698" s="42"/>
      <c r="H698" s="42" t="n">
        <v>119436970</v>
      </c>
      <c r="I698" s="44" t="s">
        <v>437</v>
      </c>
      <c r="J698" s="11" t="n">
        <f aca="false">IF(D698="","",N(G698)-N(H698))</f>
        <v>-119436970</v>
      </c>
      <c r="K698" s="34" t="str">
        <f aca="false">IF(D698="","",IFERROR(INDEX(I_COA!$C$6:$C$265,MATCH(D698,I_COA!$A$6:$A$265,0)),"AKUN BARU"))</f>
        <v>LabaRugi</v>
      </c>
      <c r="L698" s="34" t="str">
        <f aca="false">IF(K698="LabaRugi",INDEX(I_COA!$D$6:$D$265,MATCH(D698,I_COA!$A$6:$A$265,0)),"")</f>
        <v>Revenue - Trading</v>
      </c>
      <c r="M698" s="34" t="str">
        <f aca="false">IF(K698="Neraca",INDEX(I_COA!$E$6:$E$265,MATCH(D698,I_COA!$A$6:$A$265,0)),"")</f>
        <v/>
      </c>
      <c r="N698" s="34" t="str">
        <f aca="false">IF(D698="","",IFERROR(INDEX(I_COA!$G$6:$G$265,MATCH(D698,I_COA!$A$6:$A$265,0)),"N"))</f>
        <v>N</v>
      </c>
      <c r="O698" s="11" t="n">
        <f aca="false">IF(N698="N",ABS(J698),"")</f>
        <v>119436970</v>
      </c>
      <c r="P698" s="18" t="str">
        <f aca="false">IF(N698="N",B698&amp;"|"&amp;ROUND(O698,0),"")</f>
        <v>KGR26/0246|119436970</v>
      </c>
      <c r="Q698" s="18" t="str">
        <f aca="false">IF(N698&lt;&gt;"Y","",IFERROR(INDEX($D$6:$D$4005,MATCH(B698&amp;"|"&amp;ROUND(_xlfn.MAXIFS($O$6:$O$4005,$B$6:$B$4005,B698,$N$6:$N$4005,"N"),0),$P$6:$P$4005,0)),"(tanpa lawan)"))</f>
        <v/>
      </c>
      <c r="R698" s="44"/>
      <c r="S698" s="9" t="str">
        <f aca="false">IF(N698&lt;&gt;"Y","",IF(R698&lt;&gt;"",R698,IF(Q698="(tanpa lawan)","Transfer antar rekening",IFERROR(INDEX(I_COA!$F$6:$F$265,MATCH(Q698,I_COA!$A$6:$A$265,0)),"?"))))</f>
        <v/>
      </c>
    </row>
    <row r="699" customFormat="false" ht="15" hidden="false" customHeight="false" outlineLevel="0" collapsed="false">
      <c r="A699" s="37" t="n">
        <v>46245</v>
      </c>
      <c r="B699" s="44" t="s">
        <v>1172</v>
      </c>
      <c r="C699" s="44" t="s">
        <v>617</v>
      </c>
      <c r="D699" s="44" t="n">
        <v>5100011</v>
      </c>
      <c r="E699" s="44" t="s">
        <v>166</v>
      </c>
      <c r="F699" s="44" t="s">
        <v>1173</v>
      </c>
      <c r="G699" s="42" t="n">
        <v>111842414.31</v>
      </c>
      <c r="H699" s="42"/>
      <c r="I699" s="44" t="s">
        <v>437</v>
      </c>
      <c r="J699" s="11" t="n">
        <f aca="false">IF(D699="","",N(G699)-N(H699))</f>
        <v>111842414.31</v>
      </c>
      <c r="K699" s="34" t="str">
        <f aca="false">IF(D699="","",IFERROR(INDEX(I_COA!$C$6:$C$265,MATCH(D699,I_COA!$A$6:$A$265,0)),"AKUN BARU"))</f>
        <v>LabaRugi</v>
      </c>
      <c r="L699" s="34" t="str">
        <f aca="false">IF(K699="LabaRugi",INDEX(I_COA!$D$6:$D$265,MATCH(D699,I_COA!$A$6:$A$265,0)),"")</f>
        <v>COGS - Trading</v>
      </c>
      <c r="M699" s="34" t="str">
        <f aca="false">IF(K699="Neraca",INDEX(I_COA!$E$6:$E$265,MATCH(D699,I_COA!$A$6:$A$265,0)),"")</f>
        <v/>
      </c>
      <c r="N699" s="34" t="str">
        <f aca="false">IF(D699="","",IFERROR(INDEX(I_COA!$G$6:$G$265,MATCH(D699,I_COA!$A$6:$A$265,0)),"N"))</f>
        <v>N</v>
      </c>
      <c r="O699" s="11" t="n">
        <f aca="false">IF(N699="N",ABS(J699),"")</f>
        <v>111842414.31</v>
      </c>
      <c r="P699" s="18" t="str">
        <f aca="false">IF(N699="N",B699&amp;"|"&amp;ROUND(O699,0),"")</f>
        <v>KGR26/0246|111842414</v>
      </c>
      <c r="Q699" s="18" t="str">
        <f aca="false">IF(N699&lt;&gt;"Y","",IFERROR(INDEX($D$6:$D$4005,MATCH(B699&amp;"|"&amp;ROUND(_xlfn.MAXIFS($O$6:$O$4005,$B$6:$B$4005,B699,$N$6:$N$4005,"N"),0),$P$6:$P$4005,0)),"(tanpa lawan)"))</f>
        <v/>
      </c>
      <c r="R699" s="44"/>
      <c r="S699" s="9" t="str">
        <f aca="false">IF(N699&lt;&gt;"Y","",IF(R699&lt;&gt;"",R699,IF(Q699="(tanpa lawan)","Transfer antar rekening",IFERROR(INDEX(I_COA!$F$6:$F$265,MATCH(Q699,I_COA!$A$6:$A$265,0)),"?"))))</f>
        <v/>
      </c>
    </row>
    <row r="700" customFormat="false" ht="15" hidden="false" customHeight="false" outlineLevel="0" collapsed="false">
      <c r="A700" s="37" t="n">
        <v>46245</v>
      </c>
      <c r="B700" s="44" t="s">
        <v>1172</v>
      </c>
      <c r="C700" s="44" t="s">
        <v>617</v>
      </c>
      <c r="D700" s="44" t="n">
        <v>1104002</v>
      </c>
      <c r="E700" s="44" t="s">
        <v>601</v>
      </c>
      <c r="F700" s="44" t="s">
        <v>1173</v>
      </c>
      <c r="G700" s="42"/>
      <c r="H700" s="42" t="n">
        <v>111842414.31</v>
      </c>
      <c r="I700" s="44" t="s">
        <v>437</v>
      </c>
      <c r="J700" s="11" t="n">
        <f aca="false">IF(D700="","",N(G700)-N(H700))</f>
        <v>-111842414.31</v>
      </c>
      <c r="K700" s="34" t="str">
        <f aca="false">IF(D700="","",IFERROR(INDEX(I_COA!$C$6:$C$265,MATCH(D700,I_COA!$A$6:$A$265,0)),"AKUN BARU"))</f>
        <v>Neraca</v>
      </c>
      <c r="L700" s="34" t="str">
        <f aca="false">IF(K700="LabaRugi",INDEX(I_COA!$D$6:$D$265,MATCH(D700,I_COA!$A$6:$A$265,0)),"")</f>
        <v/>
      </c>
      <c r="M700" s="34" t="str">
        <f aca="false">IF(K700="Neraca",INDEX(I_COA!$E$6:$E$265,MATCH(D700,I_COA!$A$6:$A$265,0)),"")</f>
        <v>Inventory - Product</v>
      </c>
      <c r="N700" s="34" t="str">
        <f aca="false">IF(D700="","",IFERROR(INDEX(I_COA!$G$6:$G$265,MATCH(D700,I_COA!$A$6:$A$265,0)),"N"))</f>
        <v>N</v>
      </c>
      <c r="O700" s="11" t="n">
        <f aca="false">IF(N700="N",ABS(J700),"")</f>
        <v>111842414.31</v>
      </c>
      <c r="P700" s="18" t="str">
        <f aca="false">IF(N700="N",B700&amp;"|"&amp;ROUND(O700,0),"")</f>
        <v>KGR26/0246|111842414</v>
      </c>
      <c r="Q700" s="18" t="str">
        <f aca="false">IF(N700&lt;&gt;"Y","",IFERROR(INDEX($D$6:$D$4005,MATCH(B700&amp;"|"&amp;ROUND(_xlfn.MAXIFS($O$6:$O$4005,$B$6:$B$4005,B700,$N$6:$N$4005,"N"),0),$P$6:$P$4005,0)),"(tanpa lawan)"))</f>
        <v/>
      </c>
      <c r="R700" s="44"/>
      <c r="S700" s="9" t="str">
        <f aca="false">IF(N700&lt;&gt;"Y","",IF(R700&lt;&gt;"",R700,IF(Q700="(tanpa lawan)","Transfer antar rekening",IFERROR(INDEX(I_COA!$F$6:$F$265,MATCH(Q700,I_COA!$A$6:$A$265,0)),"?"))))</f>
        <v/>
      </c>
    </row>
    <row r="701" customFormat="false" ht="15" hidden="false" customHeight="false" outlineLevel="0" collapsed="false">
      <c r="A701" s="37" t="n">
        <v>46245</v>
      </c>
      <c r="B701" s="44" t="s">
        <v>1174</v>
      </c>
      <c r="C701" s="44" t="s">
        <v>617</v>
      </c>
      <c r="D701" s="44" t="n">
        <v>1103101</v>
      </c>
      <c r="E701" s="44" t="s">
        <v>589</v>
      </c>
      <c r="F701" s="44" t="s">
        <v>1175</v>
      </c>
      <c r="G701" s="42" t="n">
        <v>13091000</v>
      </c>
      <c r="H701" s="42"/>
      <c r="I701" s="44" t="s">
        <v>465</v>
      </c>
      <c r="J701" s="11" t="n">
        <f aca="false">IF(D701="","",N(G701)-N(H701))</f>
        <v>13091000</v>
      </c>
      <c r="K701" s="34" t="str">
        <f aca="false">IF(D701="","",IFERROR(INDEX(I_COA!$C$6:$C$265,MATCH(D701,I_COA!$A$6:$A$265,0)),"AKUN BARU"))</f>
        <v>Neraca</v>
      </c>
      <c r="L701" s="34" t="str">
        <f aca="false">IF(K701="LabaRugi",INDEX(I_COA!$D$6:$D$265,MATCH(D701,I_COA!$A$6:$A$265,0)),"")</f>
        <v/>
      </c>
      <c r="M701" s="34" t="str">
        <f aca="false">IF(K701="Neraca",INDEX(I_COA!$E$6:$E$265,MATCH(D701,I_COA!$A$6:$A$265,0)),"")</f>
        <v>Trade Receivables - Third Parties</v>
      </c>
      <c r="N701" s="34" t="str">
        <f aca="false">IF(D701="","",IFERROR(INDEX(I_COA!$G$6:$G$265,MATCH(D701,I_COA!$A$6:$A$265,0)),"N"))</f>
        <v>N</v>
      </c>
      <c r="O701" s="11" t="n">
        <f aca="false">IF(N701="N",ABS(J701),"")</f>
        <v>13091000</v>
      </c>
      <c r="P701" s="18" t="str">
        <f aca="false">IF(N701="N",B701&amp;"|"&amp;ROUND(O701,0),"")</f>
        <v>KGR26/0247|13091000</v>
      </c>
      <c r="Q701" s="18" t="str">
        <f aca="false">IF(N701&lt;&gt;"Y","",IFERROR(INDEX($D$6:$D$4005,MATCH(B701&amp;"|"&amp;ROUND(_xlfn.MAXIFS($O$6:$O$4005,$B$6:$B$4005,B701,$N$6:$N$4005,"N"),0),$P$6:$P$4005,0)),"(tanpa lawan)"))</f>
        <v/>
      </c>
      <c r="R701" s="44"/>
      <c r="S701" s="9" t="str">
        <f aca="false">IF(N701&lt;&gt;"Y","",IF(R701&lt;&gt;"",R701,IF(Q701="(tanpa lawan)","Transfer antar rekening",IFERROR(INDEX(I_COA!$F$6:$F$265,MATCH(Q701,I_COA!$A$6:$A$265,0)),"?"))))</f>
        <v/>
      </c>
    </row>
    <row r="702" customFormat="false" ht="15" hidden="false" customHeight="false" outlineLevel="0" collapsed="false">
      <c r="A702" s="37" t="n">
        <v>46245</v>
      </c>
      <c r="B702" s="44" t="s">
        <v>1174</v>
      </c>
      <c r="C702" s="44" t="s">
        <v>617</v>
      </c>
      <c r="D702" s="44" t="n">
        <v>4101012</v>
      </c>
      <c r="E702" s="44" t="s">
        <v>619</v>
      </c>
      <c r="F702" s="44" t="s">
        <v>1175</v>
      </c>
      <c r="G702" s="42"/>
      <c r="H702" s="42" t="n">
        <v>13091000</v>
      </c>
      <c r="I702" s="44" t="s">
        <v>465</v>
      </c>
      <c r="J702" s="11" t="n">
        <f aca="false">IF(D702="","",N(G702)-N(H702))</f>
        <v>-13091000</v>
      </c>
      <c r="K702" s="34" t="str">
        <f aca="false">IF(D702="","",IFERROR(INDEX(I_COA!$C$6:$C$265,MATCH(D702,I_COA!$A$6:$A$265,0)),"AKUN BARU"))</f>
        <v>LabaRugi</v>
      </c>
      <c r="L702" s="34" t="str">
        <f aca="false">IF(K702="LabaRugi",INDEX(I_COA!$D$6:$D$265,MATCH(D702,I_COA!$A$6:$A$265,0)),"")</f>
        <v>Revenue - Trading</v>
      </c>
      <c r="M702" s="34" t="str">
        <f aca="false">IF(K702="Neraca",INDEX(I_COA!$E$6:$E$265,MATCH(D702,I_COA!$A$6:$A$265,0)),"")</f>
        <v/>
      </c>
      <c r="N702" s="34" t="str">
        <f aca="false">IF(D702="","",IFERROR(INDEX(I_COA!$G$6:$G$265,MATCH(D702,I_COA!$A$6:$A$265,0)),"N"))</f>
        <v>N</v>
      </c>
      <c r="O702" s="11" t="n">
        <f aca="false">IF(N702="N",ABS(J702),"")</f>
        <v>13091000</v>
      </c>
      <c r="P702" s="18" t="str">
        <f aca="false">IF(N702="N",B702&amp;"|"&amp;ROUND(O702,0),"")</f>
        <v>KGR26/0247|13091000</v>
      </c>
      <c r="Q702" s="18" t="str">
        <f aca="false">IF(N702&lt;&gt;"Y","",IFERROR(INDEX($D$6:$D$4005,MATCH(B702&amp;"|"&amp;ROUND(_xlfn.MAXIFS($O$6:$O$4005,$B$6:$B$4005,B702,$N$6:$N$4005,"N"),0),$P$6:$P$4005,0)),"(tanpa lawan)"))</f>
        <v/>
      </c>
      <c r="R702" s="44"/>
      <c r="S702" s="9" t="str">
        <f aca="false">IF(N702&lt;&gt;"Y","",IF(R702&lt;&gt;"",R702,IF(Q702="(tanpa lawan)","Transfer antar rekening",IFERROR(INDEX(I_COA!$F$6:$F$265,MATCH(Q702,I_COA!$A$6:$A$265,0)),"?"))))</f>
        <v/>
      </c>
    </row>
    <row r="703" customFormat="false" ht="15" hidden="false" customHeight="false" outlineLevel="0" collapsed="false">
      <c r="A703" s="37" t="n">
        <v>46245</v>
      </c>
      <c r="B703" s="44" t="s">
        <v>1174</v>
      </c>
      <c r="C703" s="44" t="s">
        <v>617</v>
      </c>
      <c r="D703" s="44" t="n">
        <v>5100011</v>
      </c>
      <c r="E703" s="44" t="s">
        <v>166</v>
      </c>
      <c r="F703" s="44" t="s">
        <v>1175</v>
      </c>
      <c r="G703" s="42" t="n">
        <v>13512936.57</v>
      </c>
      <c r="H703" s="42"/>
      <c r="I703" s="44" t="s">
        <v>465</v>
      </c>
      <c r="J703" s="11" t="n">
        <f aca="false">IF(D703="","",N(G703)-N(H703))</f>
        <v>13512936.57</v>
      </c>
      <c r="K703" s="34" t="str">
        <f aca="false">IF(D703="","",IFERROR(INDEX(I_COA!$C$6:$C$265,MATCH(D703,I_COA!$A$6:$A$265,0)),"AKUN BARU"))</f>
        <v>LabaRugi</v>
      </c>
      <c r="L703" s="34" t="str">
        <f aca="false">IF(K703="LabaRugi",INDEX(I_COA!$D$6:$D$265,MATCH(D703,I_COA!$A$6:$A$265,0)),"")</f>
        <v>COGS - Trading</v>
      </c>
      <c r="M703" s="34" t="str">
        <f aca="false">IF(K703="Neraca",INDEX(I_COA!$E$6:$E$265,MATCH(D703,I_COA!$A$6:$A$265,0)),"")</f>
        <v/>
      </c>
      <c r="N703" s="34" t="str">
        <f aca="false">IF(D703="","",IFERROR(INDEX(I_COA!$G$6:$G$265,MATCH(D703,I_COA!$A$6:$A$265,0)),"N"))</f>
        <v>N</v>
      </c>
      <c r="O703" s="11" t="n">
        <f aca="false">IF(N703="N",ABS(J703),"")</f>
        <v>13512936.57</v>
      </c>
      <c r="P703" s="18" t="str">
        <f aca="false">IF(N703="N",B703&amp;"|"&amp;ROUND(O703,0),"")</f>
        <v>KGR26/0247|13512937</v>
      </c>
      <c r="Q703" s="18" t="str">
        <f aca="false">IF(N703&lt;&gt;"Y","",IFERROR(INDEX($D$6:$D$4005,MATCH(B703&amp;"|"&amp;ROUND(_xlfn.MAXIFS($O$6:$O$4005,$B$6:$B$4005,B703,$N$6:$N$4005,"N"),0),$P$6:$P$4005,0)),"(tanpa lawan)"))</f>
        <v/>
      </c>
      <c r="R703" s="44"/>
      <c r="S703" s="9" t="str">
        <f aca="false">IF(N703&lt;&gt;"Y","",IF(R703&lt;&gt;"",R703,IF(Q703="(tanpa lawan)","Transfer antar rekening",IFERROR(INDEX(I_COA!$F$6:$F$265,MATCH(Q703,I_COA!$A$6:$A$265,0)),"?"))))</f>
        <v/>
      </c>
    </row>
    <row r="704" customFormat="false" ht="15" hidden="false" customHeight="false" outlineLevel="0" collapsed="false">
      <c r="A704" s="37" t="n">
        <v>46245</v>
      </c>
      <c r="B704" s="44" t="s">
        <v>1174</v>
      </c>
      <c r="C704" s="44" t="s">
        <v>617</v>
      </c>
      <c r="D704" s="44" t="n">
        <v>1104002</v>
      </c>
      <c r="E704" s="44" t="s">
        <v>601</v>
      </c>
      <c r="F704" s="44" t="s">
        <v>1175</v>
      </c>
      <c r="G704" s="42"/>
      <c r="H704" s="42" t="n">
        <v>13512936.57</v>
      </c>
      <c r="I704" s="44" t="s">
        <v>465</v>
      </c>
      <c r="J704" s="11" t="n">
        <f aca="false">IF(D704="","",N(G704)-N(H704))</f>
        <v>-13512936.57</v>
      </c>
      <c r="K704" s="34" t="str">
        <f aca="false">IF(D704="","",IFERROR(INDEX(I_COA!$C$6:$C$265,MATCH(D704,I_COA!$A$6:$A$265,0)),"AKUN BARU"))</f>
        <v>Neraca</v>
      </c>
      <c r="L704" s="34" t="str">
        <f aca="false">IF(K704="LabaRugi",INDEX(I_COA!$D$6:$D$265,MATCH(D704,I_COA!$A$6:$A$265,0)),"")</f>
        <v/>
      </c>
      <c r="M704" s="34" t="str">
        <f aca="false">IF(K704="Neraca",INDEX(I_COA!$E$6:$E$265,MATCH(D704,I_COA!$A$6:$A$265,0)),"")</f>
        <v>Inventory - Product</v>
      </c>
      <c r="N704" s="34" t="str">
        <f aca="false">IF(D704="","",IFERROR(INDEX(I_COA!$G$6:$G$265,MATCH(D704,I_COA!$A$6:$A$265,0)),"N"))</f>
        <v>N</v>
      </c>
      <c r="O704" s="11" t="n">
        <f aca="false">IF(N704="N",ABS(J704),"")</f>
        <v>13512936.57</v>
      </c>
      <c r="P704" s="18" t="str">
        <f aca="false">IF(N704="N",B704&amp;"|"&amp;ROUND(O704,0),"")</f>
        <v>KGR26/0247|13512937</v>
      </c>
      <c r="Q704" s="18" t="str">
        <f aca="false">IF(N704&lt;&gt;"Y","",IFERROR(INDEX($D$6:$D$4005,MATCH(B704&amp;"|"&amp;ROUND(_xlfn.MAXIFS($O$6:$O$4005,$B$6:$B$4005,B704,$N$6:$N$4005,"N"),0),$P$6:$P$4005,0)),"(tanpa lawan)"))</f>
        <v/>
      </c>
      <c r="R704" s="44"/>
      <c r="S704" s="9" t="str">
        <f aca="false">IF(N704&lt;&gt;"Y","",IF(R704&lt;&gt;"",R704,IF(Q704="(tanpa lawan)","Transfer antar rekening",IFERROR(INDEX(I_COA!$F$6:$F$265,MATCH(Q704,I_COA!$A$6:$A$265,0)),"?"))))</f>
        <v/>
      </c>
    </row>
    <row r="705" customFormat="false" ht="15" hidden="false" customHeight="false" outlineLevel="0" collapsed="false">
      <c r="A705" s="37" t="n">
        <v>46245</v>
      </c>
      <c r="B705" s="44" t="s">
        <v>1176</v>
      </c>
      <c r="C705" s="44" t="s">
        <v>707</v>
      </c>
      <c r="D705" s="44" t="n">
        <v>5100008</v>
      </c>
      <c r="E705" s="44" t="s">
        <v>713</v>
      </c>
      <c r="F705" s="44" t="s">
        <v>1177</v>
      </c>
      <c r="G705" s="42" t="n">
        <v>1552000</v>
      </c>
      <c r="H705" s="42"/>
      <c r="I705" s="44" t="s">
        <v>765</v>
      </c>
      <c r="J705" s="11" t="n">
        <f aca="false">IF(D705="","",N(G705)-N(H705))</f>
        <v>1552000</v>
      </c>
      <c r="K705" s="34" t="str">
        <f aca="false">IF(D705="","",IFERROR(INDEX(I_COA!$C$6:$C$265,MATCH(D705,I_COA!$A$6:$A$265,0)),"AKUN BARU"))</f>
        <v>LabaRugi</v>
      </c>
      <c r="L705" s="34" t="str">
        <f aca="false">IF(K705="LabaRugi",INDEX(I_COA!$D$6:$D$265,MATCH(D705,I_COA!$A$6:$A$265,0)),"")</f>
        <v>Packaging</v>
      </c>
      <c r="M705" s="34" t="str">
        <f aca="false">IF(K705="Neraca",INDEX(I_COA!$E$6:$E$265,MATCH(D705,I_COA!$A$6:$A$265,0)),"")</f>
        <v/>
      </c>
      <c r="N705" s="34" t="str">
        <f aca="false">IF(D705="","",IFERROR(INDEX(I_COA!$G$6:$G$265,MATCH(D705,I_COA!$A$6:$A$265,0)),"N"))</f>
        <v>N</v>
      </c>
      <c r="O705" s="11" t="n">
        <f aca="false">IF(N705="N",ABS(J705),"")</f>
        <v>1552000</v>
      </c>
      <c r="P705" s="18" t="str">
        <f aca="false">IF(N705="N",B705&amp;"|"&amp;ROUND(O705,0),"")</f>
        <v>PI26080010|1552000</v>
      </c>
      <c r="Q705" s="18" t="str">
        <f aca="false">IF(N705&lt;&gt;"Y","",IFERROR(INDEX($D$6:$D$4005,MATCH(B705&amp;"|"&amp;ROUND(_xlfn.MAXIFS($O$6:$O$4005,$B$6:$B$4005,B705,$N$6:$N$4005,"N"),0),$P$6:$P$4005,0)),"(tanpa lawan)"))</f>
        <v/>
      </c>
      <c r="R705" s="44"/>
      <c r="S705" s="9" t="str">
        <f aca="false">IF(N705&lt;&gt;"Y","",IF(R705&lt;&gt;"",R705,IF(Q705="(tanpa lawan)","Transfer antar rekening",IFERROR(INDEX(I_COA!$F$6:$F$265,MATCH(Q705,I_COA!$A$6:$A$265,0)),"?"))))</f>
        <v/>
      </c>
    </row>
    <row r="706" customFormat="false" ht="15" hidden="false" customHeight="false" outlineLevel="0" collapsed="false">
      <c r="A706" s="37" t="n">
        <v>46245</v>
      </c>
      <c r="B706" s="44" t="s">
        <v>1176</v>
      </c>
      <c r="C706" s="44" t="s">
        <v>707</v>
      </c>
      <c r="D706" s="44" t="n">
        <v>2101003</v>
      </c>
      <c r="E706" s="44" t="s">
        <v>679</v>
      </c>
      <c r="F706" s="44" t="s">
        <v>1177</v>
      </c>
      <c r="G706" s="42"/>
      <c r="H706" s="42" t="n">
        <v>1552000</v>
      </c>
      <c r="I706" s="44" t="s">
        <v>765</v>
      </c>
      <c r="J706" s="11" t="n">
        <f aca="false">IF(D706="","",N(G706)-N(H706))</f>
        <v>-1552000</v>
      </c>
      <c r="K706" s="34" t="str">
        <f aca="false">IF(D706="","",IFERROR(INDEX(I_COA!$C$6:$C$265,MATCH(D706,I_COA!$A$6:$A$265,0)),"AKUN BARU"))</f>
        <v>Neraca</v>
      </c>
      <c r="L706" s="34" t="str">
        <f aca="false">IF(K706="LabaRugi",INDEX(I_COA!$D$6:$D$265,MATCH(D706,I_COA!$A$6:$A$265,0)),"")</f>
        <v/>
      </c>
      <c r="M706" s="34" t="str">
        <f aca="false">IF(K706="Neraca",INDEX(I_COA!$E$6:$E$265,MATCH(D706,I_COA!$A$6:$A$265,0)),"")</f>
        <v>Other Payable - Third Parties</v>
      </c>
      <c r="N706" s="34" t="str">
        <f aca="false">IF(D706="","",IFERROR(INDEX(I_COA!$G$6:$G$265,MATCH(D706,I_COA!$A$6:$A$265,0)),"N"))</f>
        <v>N</v>
      </c>
      <c r="O706" s="11" t="n">
        <f aca="false">IF(N706="N",ABS(J706),"")</f>
        <v>1552000</v>
      </c>
      <c r="P706" s="18" t="str">
        <f aca="false">IF(N706="N",B706&amp;"|"&amp;ROUND(O706,0),"")</f>
        <v>PI26080010|1552000</v>
      </c>
      <c r="Q706" s="18" t="str">
        <f aca="false">IF(N706&lt;&gt;"Y","",IFERROR(INDEX($D$6:$D$4005,MATCH(B706&amp;"|"&amp;ROUND(_xlfn.MAXIFS($O$6:$O$4005,$B$6:$B$4005,B706,$N$6:$N$4005,"N"),0),$P$6:$P$4005,0)),"(tanpa lawan)"))</f>
        <v/>
      </c>
      <c r="R706" s="44"/>
      <c r="S706" s="9" t="str">
        <f aca="false">IF(N706&lt;&gt;"Y","",IF(R706&lt;&gt;"",R706,IF(Q706="(tanpa lawan)","Transfer antar rekening",IFERROR(INDEX(I_COA!$F$6:$F$265,MATCH(Q706,I_COA!$A$6:$A$265,0)),"?"))))</f>
        <v/>
      </c>
    </row>
    <row r="707" customFormat="false" ht="15" hidden="false" customHeight="false" outlineLevel="0" collapsed="false">
      <c r="A707" s="37" t="n">
        <v>46245</v>
      </c>
      <c r="B707" s="44" t="s">
        <v>1178</v>
      </c>
      <c r="C707" s="44" t="s">
        <v>707</v>
      </c>
      <c r="D707" s="44" t="n">
        <v>5100007</v>
      </c>
      <c r="E707" s="44" t="s">
        <v>708</v>
      </c>
      <c r="F707" s="44" t="s">
        <v>947</v>
      </c>
      <c r="G707" s="42" t="n">
        <v>7000000</v>
      </c>
      <c r="H707" s="42"/>
      <c r="I707" s="44" t="s">
        <v>681</v>
      </c>
      <c r="J707" s="11" t="n">
        <f aca="false">IF(D707="","",N(G707)-N(H707))</f>
        <v>7000000</v>
      </c>
      <c r="K707" s="34" t="str">
        <f aca="false">IF(D707="","",IFERROR(INDEX(I_COA!$C$6:$C$265,MATCH(D707,I_COA!$A$6:$A$265,0)),"AKUN BARU"))</f>
        <v>LabaRugi</v>
      </c>
      <c r="L707" s="34" t="str">
        <f aca="false">IF(K707="LabaRugi",INDEX(I_COA!$D$6:$D$265,MATCH(D707,I_COA!$A$6:$A$265,0)),"")</f>
        <v>Other COGS - Expedition</v>
      </c>
      <c r="M707" s="34" t="str">
        <f aca="false">IF(K707="Neraca",INDEX(I_COA!$E$6:$E$265,MATCH(D707,I_COA!$A$6:$A$265,0)),"")</f>
        <v/>
      </c>
      <c r="N707" s="34" t="str">
        <f aca="false">IF(D707="","",IFERROR(INDEX(I_COA!$G$6:$G$265,MATCH(D707,I_COA!$A$6:$A$265,0)),"N"))</f>
        <v>N</v>
      </c>
      <c r="O707" s="11" t="n">
        <f aca="false">IF(N707="N",ABS(J707),"")</f>
        <v>7000000</v>
      </c>
      <c r="P707" s="18" t="str">
        <f aca="false">IF(N707="N",B707&amp;"|"&amp;ROUND(O707,0),"")</f>
        <v>PI26080032|7000000</v>
      </c>
      <c r="Q707" s="18" t="str">
        <f aca="false">IF(N707&lt;&gt;"Y","",IFERROR(INDEX($D$6:$D$4005,MATCH(B707&amp;"|"&amp;ROUND(_xlfn.MAXIFS($O$6:$O$4005,$B$6:$B$4005,B707,$N$6:$N$4005,"N"),0),$P$6:$P$4005,0)),"(tanpa lawan)"))</f>
        <v/>
      </c>
      <c r="R707" s="44"/>
      <c r="S707" s="9" t="str">
        <f aca="false">IF(N707&lt;&gt;"Y","",IF(R707&lt;&gt;"",R707,IF(Q707="(tanpa lawan)","Transfer antar rekening",IFERROR(INDEX(I_COA!$F$6:$F$265,MATCH(Q707,I_COA!$A$6:$A$265,0)),"?"))))</f>
        <v/>
      </c>
    </row>
    <row r="708" customFormat="false" ht="15" hidden="false" customHeight="false" outlineLevel="0" collapsed="false">
      <c r="A708" s="37" t="n">
        <v>46245</v>
      </c>
      <c r="B708" s="44" t="s">
        <v>1178</v>
      </c>
      <c r="C708" s="44" t="s">
        <v>707</v>
      </c>
      <c r="D708" s="44" t="n">
        <v>2102002</v>
      </c>
      <c r="E708" s="44" t="s">
        <v>633</v>
      </c>
      <c r="F708" s="44" t="s">
        <v>948</v>
      </c>
      <c r="G708" s="42"/>
      <c r="H708" s="42" t="n">
        <v>175000</v>
      </c>
      <c r="I708" s="44" t="s">
        <v>681</v>
      </c>
      <c r="J708" s="11" t="n">
        <f aca="false">IF(D708="","",N(G708)-N(H708))</f>
        <v>-175000</v>
      </c>
      <c r="K708" s="34" t="str">
        <f aca="false">IF(D708="","",IFERROR(INDEX(I_COA!$C$6:$C$265,MATCH(D708,I_COA!$A$6:$A$265,0)),"AKUN BARU"))</f>
        <v>Neraca</v>
      </c>
      <c r="L708" s="34" t="str">
        <f aca="false">IF(K708="LabaRugi",INDEX(I_COA!$D$6:$D$265,MATCH(D708,I_COA!$A$6:$A$265,0)),"")</f>
        <v/>
      </c>
      <c r="M708" s="34" t="str">
        <f aca="false">IF(K708="Neraca",INDEX(I_COA!$E$6:$E$265,MATCH(D708,I_COA!$A$6:$A$265,0)),"")</f>
        <v>Taxes Payable</v>
      </c>
      <c r="N708" s="34" t="str">
        <f aca="false">IF(D708="","",IFERROR(INDEX(I_COA!$G$6:$G$265,MATCH(D708,I_COA!$A$6:$A$265,0)),"N"))</f>
        <v>N</v>
      </c>
      <c r="O708" s="11" t="n">
        <f aca="false">IF(N708="N",ABS(J708),"")</f>
        <v>175000</v>
      </c>
      <c r="P708" s="18" t="str">
        <f aca="false">IF(N708="N",B708&amp;"|"&amp;ROUND(O708,0),"")</f>
        <v>PI26080032|175000</v>
      </c>
      <c r="Q708" s="18" t="str">
        <f aca="false">IF(N708&lt;&gt;"Y","",IFERROR(INDEX($D$6:$D$4005,MATCH(B708&amp;"|"&amp;ROUND(_xlfn.MAXIFS($O$6:$O$4005,$B$6:$B$4005,B708,$N$6:$N$4005,"N"),0),$P$6:$P$4005,0)),"(tanpa lawan)"))</f>
        <v/>
      </c>
      <c r="R708" s="44"/>
      <c r="S708" s="9" t="str">
        <f aca="false">IF(N708&lt;&gt;"Y","",IF(R708&lt;&gt;"",R708,IF(Q708="(tanpa lawan)","Transfer antar rekening",IFERROR(INDEX(I_COA!$F$6:$F$265,MATCH(Q708,I_COA!$A$6:$A$265,0)),"?"))))</f>
        <v/>
      </c>
    </row>
    <row r="709" customFormat="false" ht="15" hidden="false" customHeight="false" outlineLevel="0" collapsed="false">
      <c r="A709" s="37" t="n">
        <v>46245</v>
      </c>
      <c r="B709" s="44" t="s">
        <v>1178</v>
      </c>
      <c r="C709" s="44" t="s">
        <v>707</v>
      </c>
      <c r="D709" s="44" t="n">
        <v>2101003</v>
      </c>
      <c r="E709" s="44" t="s">
        <v>679</v>
      </c>
      <c r="F709" s="44" t="s">
        <v>947</v>
      </c>
      <c r="G709" s="42"/>
      <c r="H709" s="42" t="n">
        <v>6825000</v>
      </c>
      <c r="I709" s="44" t="s">
        <v>681</v>
      </c>
      <c r="J709" s="11" t="n">
        <f aca="false">IF(D709="","",N(G709)-N(H709))</f>
        <v>-6825000</v>
      </c>
      <c r="K709" s="34" t="str">
        <f aca="false">IF(D709="","",IFERROR(INDEX(I_COA!$C$6:$C$265,MATCH(D709,I_COA!$A$6:$A$265,0)),"AKUN BARU"))</f>
        <v>Neraca</v>
      </c>
      <c r="L709" s="34" t="str">
        <f aca="false">IF(K709="LabaRugi",INDEX(I_COA!$D$6:$D$265,MATCH(D709,I_COA!$A$6:$A$265,0)),"")</f>
        <v/>
      </c>
      <c r="M709" s="34" t="str">
        <f aca="false">IF(K709="Neraca",INDEX(I_COA!$E$6:$E$265,MATCH(D709,I_COA!$A$6:$A$265,0)),"")</f>
        <v>Other Payable - Third Parties</v>
      </c>
      <c r="N709" s="34" t="str">
        <f aca="false">IF(D709="","",IFERROR(INDEX(I_COA!$G$6:$G$265,MATCH(D709,I_COA!$A$6:$A$265,0)),"N"))</f>
        <v>N</v>
      </c>
      <c r="O709" s="11" t="n">
        <f aca="false">IF(N709="N",ABS(J709),"")</f>
        <v>6825000</v>
      </c>
      <c r="P709" s="18" t="str">
        <f aca="false">IF(N709="N",B709&amp;"|"&amp;ROUND(O709,0),"")</f>
        <v>PI26080032|6825000</v>
      </c>
      <c r="Q709" s="18" t="str">
        <f aca="false">IF(N709&lt;&gt;"Y","",IFERROR(INDEX($D$6:$D$4005,MATCH(B709&amp;"|"&amp;ROUND(_xlfn.MAXIFS($O$6:$O$4005,$B$6:$B$4005,B709,$N$6:$N$4005,"N"),0),$P$6:$P$4005,0)),"(tanpa lawan)"))</f>
        <v/>
      </c>
      <c r="R709" s="44"/>
      <c r="S709" s="9" t="str">
        <f aca="false">IF(N709&lt;&gt;"Y","",IF(R709&lt;&gt;"",R709,IF(Q709="(tanpa lawan)","Transfer antar rekening",IFERROR(INDEX(I_COA!$F$6:$F$265,MATCH(Q709,I_COA!$A$6:$A$265,0)),"?"))))</f>
        <v/>
      </c>
    </row>
    <row r="710" customFormat="false" ht="15" hidden="false" customHeight="false" outlineLevel="0" collapsed="false">
      <c r="A710" s="37" t="n">
        <v>46245</v>
      </c>
      <c r="B710" s="44" t="s">
        <v>1179</v>
      </c>
      <c r="C710" s="44" t="s">
        <v>707</v>
      </c>
      <c r="D710" s="44" t="n">
        <v>5100006</v>
      </c>
      <c r="E710" s="44" t="s">
        <v>950</v>
      </c>
      <c r="F710" s="44" t="s">
        <v>1180</v>
      </c>
      <c r="G710" s="42" t="n">
        <v>10553120</v>
      </c>
      <c r="H710" s="42"/>
      <c r="I710" s="44" t="s">
        <v>440</v>
      </c>
      <c r="J710" s="11" t="n">
        <f aca="false">IF(D710="","",N(G710)-N(H710))</f>
        <v>10553120</v>
      </c>
      <c r="K710" s="34" t="str">
        <f aca="false">IF(D710="","",IFERROR(INDEX(I_COA!$C$6:$C$265,MATCH(D710,I_COA!$A$6:$A$265,0)),"AKUN BARU"))</f>
        <v>LabaRugi</v>
      </c>
      <c r="L710" s="34" t="str">
        <f aca="false">IF(K710="LabaRugi",INDEX(I_COA!$D$6:$D$265,MATCH(D710,I_COA!$A$6:$A$265,0)),"")</f>
        <v>COGS - Live Bird</v>
      </c>
      <c r="M710" s="34" t="str">
        <f aca="false">IF(K710="Neraca",INDEX(I_COA!$E$6:$E$265,MATCH(D710,I_COA!$A$6:$A$265,0)),"")</f>
        <v/>
      </c>
      <c r="N710" s="34" t="str">
        <f aca="false">IF(D710="","",IFERROR(INDEX(I_COA!$G$6:$G$265,MATCH(D710,I_COA!$A$6:$A$265,0)),"N"))</f>
        <v>N</v>
      </c>
      <c r="O710" s="11" t="n">
        <f aca="false">IF(N710="N",ABS(J710),"")</f>
        <v>10553120</v>
      </c>
      <c r="P710" s="18" t="str">
        <f aca="false">IF(N710="N",B710&amp;"|"&amp;ROUND(O710,0),"")</f>
        <v>PI26080033|10553120</v>
      </c>
      <c r="Q710" s="18" t="str">
        <f aca="false">IF(N710&lt;&gt;"Y","",IFERROR(INDEX($D$6:$D$4005,MATCH(B710&amp;"|"&amp;ROUND(_xlfn.MAXIFS($O$6:$O$4005,$B$6:$B$4005,B710,$N$6:$N$4005,"N"),0),$P$6:$P$4005,0)),"(tanpa lawan)"))</f>
        <v/>
      </c>
      <c r="R710" s="44"/>
      <c r="S710" s="9" t="str">
        <f aca="false">IF(N710&lt;&gt;"Y","",IF(R710&lt;&gt;"",R710,IF(Q710="(tanpa lawan)","Transfer antar rekening",IFERROR(INDEX(I_COA!$F$6:$F$265,MATCH(Q710,I_COA!$A$6:$A$265,0)),"?"))))</f>
        <v/>
      </c>
    </row>
    <row r="711" customFormat="false" ht="15" hidden="false" customHeight="false" outlineLevel="0" collapsed="false">
      <c r="A711" s="37" t="n">
        <v>46245</v>
      </c>
      <c r="B711" s="44" t="s">
        <v>1179</v>
      </c>
      <c r="C711" s="44" t="s">
        <v>707</v>
      </c>
      <c r="D711" s="44" t="n">
        <v>5100009</v>
      </c>
      <c r="E711" s="44" t="s">
        <v>1003</v>
      </c>
      <c r="F711" s="44" t="s">
        <v>1181</v>
      </c>
      <c r="G711" s="42" t="n">
        <v>1762160</v>
      </c>
      <c r="H711" s="42"/>
      <c r="I711" s="44" t="s">
        <v>440</v>
      </c>
      <c r="J711" s="11" t="n">
        <f aca="false">IF(D711="","",N(G711)-N(H711))</f>
        <v>1762160</v>
      </c>
      <c r="K711" s="34" t="str">
        <f aca="false">IF(D711="","",IFERROR(INDEX(I_COA!$C$6:$C$265,MATCH(D711,I_COA!$A$6:$A$265,0)),"AKUN BARU"))</f>
        <v>LabaRugi</v>
      </c>
      <c r="L711" s="34" t="str">
        <f aca="false">IF(K711="LabaRugi",INDEX(I_COA!$D$6:$D$265,MATCH(D711,I_COA!$A$6:$A$265,0)),"")</f>
        <v>COGS - Blasting</v>
      </c>
      <c r="M711" s="34" t="str">
        <f aca="false">IF(K711="Neraca",INDEX(I_COA!$E$6:$E$265,MATCH(D711,I_COA!$A$6:$A$265,0)),"")</f>
        <v/>
      </c>
      <c r="N711" s="34" t="str">
        <f aca="false">IF(D711="","",IFERROR(INDEX(I_COA!$G$6:$G$265,MATCH(D711,I_COA!$A$6:$A$265,0)),"N"))</f>
        <v>N</v>
      </c>
      <c r="O711" s="11" t="n">
        <f aca="false">IF(N711="N",ABS(J711),"")</f>
        <v>1762160</v>
      </c>
      <c r="P711" s="18" t="str">
        <f aca="false">IF(N711="N",B711&amp;"|"&amp;ROUND(O711,0),"")</f>
        <v>PI26080033|1762160</v>
      </c>
      <c r="Q711" s="18" t="str">
        <f aca="false">IF(N711&lt;&gt;"Y","",IFERROR(INDEX($D$6:$D$4005,MATCH(B711&amp;"|"&amp;ROUND(_xlfn.MAXIFS($O$6:$O$4005,$B$6:$B$4005,B711,$N$6:$N$4005,"N"),0),$P$6:$P$4005,0)),"(tanpa lawan)"))</f>
        <v/>
      </c>
      <c r="R711" s="44"/>
      <c r="S711" s="9" t="str">
        <f aca="false">IF(N711&lt;&gt;"Y","",IF(R711&lt;&gt;"",R711,IF(Q711="(tanpa lawan)","Transfer antar rekening",IFERROR(INDEX(I_COA!$F$6:$F$265,MATCH(Q711,I_COA!$A$6:$A$265,0)),"?"))))</f>
        <v/>
      </c>
    </row>
    <row r="712" customFormat="false" ht="15" hidden="false" customHeight="false" outlineLevel="0" collapsed="false">
      <c r="A712" s="37" t="n">
        <v>46245</v>
      </c>
      <c r="B712" s="44" t="s">
        <v>1179</v>
      </c>
      <c r="C712" s="44" t="s">
        <v>707</v>
      </c>
      <c r="D712" s="44" t="n">
        <v>2102003</v>
      </c>
      <c r="E712" s="44" t="s">
        <v>722</v>
      </c>
      <c r="F712" s="44" t="s">
        <v>1118</v>
      </c>
      <c r="G712" s="42"/>
      <c r="H712" s="42" t="n">
        <v>246305.6</v>
      </c>
      <c r="I712" s="44" t="s">
        <v>440</v>
      </c>
      <c r="J712" s="11" t="n">
        <f aca="false">IF(D712="","",N(G712)-N(H712))</f>
        <v>-246305.6</v>
      </c>
      <c r="K712" s="34" t="str">
        <f aca="false">IF(D712="","",IFERROR(INDEX(I_COA!$C$6:$C$265,MATCH(D712,I_COA!$A$6:$A$265,0)),"AKUN BARU"))</f>
        <v>Neraca</v>
      </c>
      <c r="L712" s="34" t="str">
        <f aca="false">IF(K712="LabaRugi",INDEX(I_COA!$D$6:$D$265,MATCH(D712,I_COA!$A$6:$A$265,0)),"")</f>
        <v/>
      </c>
      <c r="M712" s="34" t="str">
        <f aca="false">IF(K712="Neraca",INDEX(I_COA!$E$6:$E$265,MATCH(D712,I_COA!$A$6:$A$265,0)),"")</f>
        <v>Taxes Payable</v>
      </c>
      <c r="N712" s="34" t="str">
        <f aca="false">IF(D712="","",IFERROR(INDEX(I_COA!$G$6:$G$265,MATCH(D712,I_COA!$A$6:$A$265,0)),"N"))</f>
        <v>N</v>
      </c>
      <c r="O712" s="11" t="n">
        <f aca="false">IF(N712="N",ABS(J712),"")</f>
        <v>246305.6</v>
      </c>
      <c r="P712" s="18" t="str">
        <f aca="false">IF(N712="N",B712&amp;"|"&amp;ROUND(O712,0),"")</f>
        <v>PI26080033|246306</v>
      </c>
      <c r="Q712" s="18" t="str">
        <f aca="false">IF(N712&lt;&gt;"Y","",IFERROR(INDEX($D$6:$D$4005,MATCH(B712&amp;"|"&amp;ROUND(_xlfn.MAXIFS($O$6:$O$4005,$B$6:$B$4005,B712,$N$6:$N$4005,"N"),0),$P$6:$P$4005,0)),"(tanpa lawan)"))</f>
        <v/>
      </c>
      <c r="R712" s="44"/>
      <c r="S712" s="9" t="str">
        <f aca="false">IF(N712&lt;&gt;"Y","",IF(R712&lt;&gt;"",R712,IF(Q712="(tanpa lawan)","Transfer antar rekening",IFERROR(INDEX(I_COA!$F$6:$F$265,MATCH(Q712,I_COA!$A$6:$A$265,0)),"?"))))</f>
        <v/>
      </c>
    </row>
    <row r="713" customFormat="false" ht="15" hidden="false" customHeight="false" outlineLevel="0" collapsed="false">
      <c r="A713" s="37" t="n">
        <v>46245</v>
      </c>
      <c r="B713" s="44" t="s">
        <v>1179</v>
      </c>
      <c r="C713" s="44" t="s">
        <v>707</v>
      </c>
      <c r="D713" s="44" t="n">
        <v>1106001</v>
      </c>
      <c r="E713" s="44" t="s">
        <v>720</v>
      </c>
      <c r="F713" s="44" t="s">
        <v>721</v>
      </c>
      <c r="G713" s="42" t="n">
        <v>1354681</v>
      </c>
      <c r="H713" s="42"/>
      <c r="I713" s="44" t="s">
        <v>440</v>
      </c>
      <c r="J713" s="11" t="n">
        <f aca="false">IF(D713="","",N(G713)-N(H713))</f>
        <v>1354681</v>
      </c>
      <c r="K713" s="34" t="str">
        <f aca="false">IF(D713="","",IFERROR(INDEX(I_COA!$C$6:$C$265,MATCH(D713,I_COA!$A$6:$A$265,0)),"AKUN BARU"))</f>
        <v>Neraca</v>
      </c>
      <c r="L713" s="34" t="str">
        <f aca="false">IF(K713="LabaRugi",INDEX(I_COA!$D$6:$D$265,MATCH(D713,I_COA!$A$6:$A$265,0)),"")</f>
        <v/>
      </c>
      <c r="M713" s="34" t="str">
        <f aca="false">IF(K713="Neraca",INDEX(I_COA!$E$6:$E$265,MATCH(D713,I_COA!$A$6:$A$265,0)),"")</f>
        <v>Prepaid Tax</v>
      </c>
      <c r="N713" s="34" t="str">
        <f aca="false">IF(D713="","",IFERROR(INDEX(I_COA!$G$6:$G$265,MATCH(D713,I_COA!$A$6:$A$265,0)),"N"))</f>
        <v>N</v>
      </c>
      <c r="O713" s="11" t="n">
        <f aca="false">IF(N713="N",ABS(J713),"")</f>
        <v>1354681</v>
      </c>
      <c r="P713" s="18" t="str">
        <f aca="false">IF(N713="N",B713&amp;"|"&amp;ROUND(O713,0),"")</f>
        <v>PI26080033|1354681</v>
      </c>
      <c r="Q713" s="18" t="str">
        <f aca="false">IF(N713&lt;&gt;"Y","",IFERROR(INDEX($D$6:$D$4005,MATCH(B713&amp;"|"&amp;ROUND(_xlfn.MAXIFS($O$6:$O$4005,$B$6:$B$4005,B713,$N$6:$N$4005,"N"),0),$P$6:$P$4005,0)),"(tanpa lawan)"))</f>
        <v/>
      </c>
      <c r="R713" s="44"/>
      <c r="S713" s="9" t="str">
        <f aca="false">IF(N713&lt;&gt;"Y","",IF(R713&lt;&gt;"",R713,IF(Q713="(tanpa lawan)","Transfer antar rekening",IFERROR(INDEX(I_COA!$F$6:$F$265,MATCH(Q713,I_COA!$A$6:$A$265,0)),"?"))))</f>
        <v/>
      </c>
    </row>
    <row r="714" customFormat="false" ht="15" hidden="false" customHeight="false" outlineLevel="0" collapsed="false">
      <c r="A714" s="37" t="n">
        <v>46245</v>
      </c>
      <c r="B714" s="44" t="s">
        <v>1179</v>
      </c>
      <c r="C714" s="44" t="s">
        <v>707</v>
      </c>
      <c r="D714" s="44" t="n">
        <v>2101001</v>
      </c>
      <c r="E714" s="44" t="s">
        <v>595</v>
      </c>
      <c r="F714" s="44" t="s">
        <v>1182</v>
      </c>
      <c r="G714" s="42"/>
      <c r="H714" s="42" t="n">
        <v>13423655.4</v>
      </c>
      <c r="I714" s="44" t="s">
        <v>440</v>
      </c>
      <c r="J714" s="11" t="n">
        <f aca="false">IF(D714="","",N(G714)-N(H714))</f>
        <v>-13423655.4</v>
      </c>
      <c r="K714" s="34" t="str">
        <f aca="false">IF(D714="","",IFERROR(INDEX(I_COA!$C$6:$C$265,MATCH(D714,I_COA!$A$6:$A$265,0)),"AKUN BARU"))</f>
        <v>Neraca</v>
      </c>
      <c r="L714" s="34" t="str">
        <f aca="false">IF(K714="LabaRugi",INDEX(I_COA!$D$6:$D$265,MATCH(D714,I_COA!$A$6:$A$265,0)),"")</f>
        <v/>
      </c>
      <c r="M714" s="34" t="str">
        <f aca="false">IF(K714="Neraca",INDEX(I_COA!$E$6:$E$265,MATCH(D714,I_COA!$A$6:$A$265,0)),"")</f>
        <v>Trade Payables - Third Parties</v>
      </c>
      <c r="N714" s="34" t="str">
        <f aca="false">IF(D714="","",IFERROR(INDEX(I_COA!$G$6:$G$265,MATCH(D714,I_COA!$A$6:$A$265,0)),"N"))</f>
        <v>N</v>
      </c>
      <c r="O714" s="11" t="n">
        <f aca="false">IF(N714="N",ABS(J714),"")</f>
        <v>13423655.4</v>
      </c>
      <c r="P714" s="18" t="str">
        <f aca="false">IF(N714="N",B714&amp;"|"&amp;ROUND(O714,0),"")</f>
        <v>PI26080033|13423655</v>
      </c>
      <c r="Q714" s="18" t="str">
        <f aca="false">IF(N714&lt;&gt;"Y","",IFERROR(INDEX($D$6:$D$4005,MATCH(B714&amp;"|"&amp;ROUND(_xlfn.MAXIFS($O$6:$O$4005,$B$6:$B$4005,B714,$N$6:$N$4005,"N"),0),$P$6:$P$4005,0)),"(tanpa lawan)"))</f>
        <v/>
      </c>
      <c r="R714" s="44"/>
      <c r="S714" s="9" t="str">
        <f aca="false">IF(N714&lt;&gt;"Y","",IF(R714&lt;&gt;"",R714,IF(Q714="(tanpa lawan)","Transfer antar rekening",IFERROR(INDEX(I_COA!$F$6:$F$265,MATCH(Q714,I_COA!$A$6:$A$265,0)),"?"))))</f>
        <v/>
      </c>
    </row>
    <row r="715" customFormat="false" ht="15" hidden="false" customHeight="false" outlineLevel="0" collapsed="false">
      <c r="A715" s="37" t="n">
        <v>46245</v>
      </c>
      <c r="B715" s="44" t="s">
        <v>1183</v>
      </c>
      <c r="C715" s="44" t="s">
        <v>707</v>
      </c>
      <c r="D715" s="44" t="n">
        <v>2103011</v>
      </c>
      <c r="E715" s="44" t="s">
        <v>693</v>
      </c>
      <c r="F715" s="44" t="s">
        <v>1054</v>
      </c>
      <c r="G715" s="42" t="n">
        <v>185553120.07</v>
      </c>
      <c r="H715" s="42"/>
      <c r="I715" s="44" t="s">
        <v>1046</v>
      </c>
      <c r="J715" s="11" t="n">
        <f aca="false">IF(D715="","",N(G715)-N(H715))</f>
        <v>185553120.07</v>
      </c>
      <c r="K715" s="34" t="str">
        <f aca="false">IF(D715="","",IFERROR(INDEX(I_COA!$C$6:$C$265,MATCH(D715,I_COA!$A$6:$A$265,0)),"AKUN BARU"))</f>
        <v>Neraca</v>
      </c>
      <c r="L715" s="34" t="str">
        <f aca="false">IF(K715="LabaRugi",INDEX(I_COA!$D$6:$D$265,MATCH(D715,I_COA!$A$6:$A$265,0)),"")</f>
        <v/>
      </c>
      <c r="M715" s="34" t="str">
        <f aca="false">IF(K715="Neraca",INDEX(I_COA!$E$6:$E$265,MATCH(D715,I_COA!$A$6:$A$265,0)),"")</f>
        <v>Accrued Expenses - Third Parties</v>
      </c>
      <c r="N715" s="34" t="str">
        <f aca="false">IF(D715="","",IFERROR(INDEX(I_COA!$G$6:$G$265,MATCH(D715,I_COA!$A$6:$A$265,0)),"N"))</f>
        <v>N</v>
      </c>
      <c r="O715" s="11" t="n">
        <f aca="false">IF(N715="N",ABS(J715),"")</f>
        <v>185553120.07</v>
      </c>
      <c r="P715" s="18" t="str">
        <f aca="false">IF(N715="N",B715&amp;"|"&amp;ROUND(O715,0),"")</f>
        <v>PI26080034|185553120</v>
      </c>
      <c r="Q715" s="18" t="str">
        <f aca="false">IF(N715&lt;&gt;"Y","",IFERROR(INDEX($D$6:$D$4005,MATCH(B715&amp;"|"&amp;ROUND(_xlfn.MAXIFS($O$6:$O$4005,$B$6:$B$4005,B715,$N$6:$N$4005,"N"),0),$P$6:$P$4005,0)),"(tanpa lawan)"))</f>
        <v/>
      </c>
      <c r="R715" s="44"/>
      <c r="S715" s="9" t="str">
        <f aca="false">IF(N715&lt;&gt;"Y","",IF(R715&lt;&gt;"",R715,IF(Q715="(tanpa lawan)","Transfer antar rekening",IFERROR(INDEX(I_COA!$F$6:$F$265,MATCH(Q715,I_COA!$A$6:$A$265,0)),"?"))))</f>
        <v/>
      </c>
    </row>
    <row r="716" customFormat="false" ht="15" hidden="false" customHeight="false" outlineLevel="0" collapsed="false">
      <c r="A716" s="37" t="n">
        <v>46245</v>
      </c>
      <c r="B716" s="44" t="s">
        <v>1183</v>
      </c>
      <c r="C716" s="44" t="s">
        <v>707</v>
      </c>
      <c r="D716" s="44" t="n">
        <v>5100006</v>
      </c>
      <c r="E716" s="44" t="s">
        <v>950</v>
      </c>
      <c r="F716" s="44" t="s">
        <v>1180</v>
      </c>
      <c r="G716" s="42"/>
      <c r="H716" s="42" t="n">
        <v>10553120</v>
      </c>
      <c r="I716" s="44" t="s">
        <v>1046</v>
      </c>
      <c r="J716" s="11" t="n">
        <f aca="false">IF(D716="","",N(G716)-N(H716))</f>
        <v>-10553120</v>
      </c>
      <c r="K716" s="34" t="str">
        <f aca="false">IF(D716="","",IFERROR(INDEX(I_COA!$C$6:$C$265,MATCH(D716,I_COA!$A$6:$A$265,0)),"AKUN BARU"))</f>
        <v>LabaRugi</v>
      </c>
      <c r="L716" s="34" t="str">
        <f aca="false">IF(K716="LabaRugi",INDEX(I_COA!$D$6:$D$265,MATCH(D716,I_COA!$A$6:$A$265,0)),"")</f>
        <v>COGS - Live Bird</v>
      </c>
      <c r="M716" s="34" t="str">
        <f aca="false">IF(K716="Neraca",INDEX(I_COA!$E$6:$E$265,MATCH(D716,I_COA!$A$6:$A$265,0)),"")</f>
        <v/>
      </c>
      <c r="N716" s="34" t="str">
        <f aca="false">IF(D716="","",IFERROR(INDEX(I_COA!$G$6:$G$265,MATCH(D716,I_COA!$A$6:$A$265,0)),"N"))</f>
        <v>N</v>
      </c>
      <c r="O716" s="11" t="n">
        <f aca="false">IF(N716="N",ABS(J716),"")</f>
        <v>10553120</v>
      </c>
      <c r="P716" s="18" t="str">
        <f aca="false">IF(N716="N",B716&amp;"|"&amp;ROUND(O716,0),"")</f>
        <v>PI26080034|10553120</v>
      </c>
      <c r="Q716" s="18" t="str">
        <f aca="false">IF(N716&lt;&gt;"Y","",IFERROR(INDEX($D$6:$D$4005,MATCH(B716&amp;"|"&amp;ROUND(_xlfn.MAXIFS($O$6:$O$4005,$B$6:$B$4005,B716,$N$6:$N$4005,"N"),0),$P$6:$P$4005,0)),"(tanpa lawan)"))</f>
        <v/>
      </c>
      <c r="R716" s="44"/>
      <c r="S716" s="9" t="str">
        <f aca="false">IF(N716&lt;&gt;"Y","",IF(R716&lt;&gt;"",R716,IF(Q716="(tanpa lawan)","Transfer antar rekening",IFERROR(INDEX(I_COA!$F$6:$F$265,MATCH(Q716,I_COA!$A$6:$A$265,0)),"?"))))</f>
        <v/>
      </c>
    </row>
    <row r="717" customFormat="false" ht="15" hidden="false" customHeight="false" outlineLevel="0" collapsed="false">
      <c r="A717" s="37" t="n">
        <v>46245</v>
      </c>
      <c r="B717" s="44" t="s">
        <v>1183</v>
      </c>
      <c r="C717" s="44" t="s">
        <v>707</v>
      </c>
      <c r="D717" s="44" t="n">
        <v>5100007</v>
      </c>
      <c r="E717" s="44" t="s">
        <v>708</v>
      </c>
      <c r="F717" s="44" t="s">
        <v>947</v>
      </c>
      <c r="G717" s="42"/>
      <c r="H717" s="42" t="n">
        <v>7000000</v>
      </c>
      <c r="I717" s="44" t="s">
        <v>1046</v>
      </c>
      <c r="J717" s="11" t="n">
        <f aca="false">IF(D717="","",N(G717)-N(H717))</f>
        <v>-7000000</v>
      </c>
      <c r="K717" s="34" t="str">
        <f aca="false">IF(D717="","",IFERROR(INDEX(I_COA!$C$6:$C$265,MATCH(D717,I_COA!$A$6:$A$265,0)),"AKUN BARU"))</f>
        <v>LabaRugi</v>
      </c>
      <c r="L717" s="34" t="str">
        <f aca="false">IF(K717="LabaRugi",INDEX(I_COA!$D$6:$D$265,MATCH(D717,I_COA!$A$6:$A$265,0)),"")</f>
        <v>Other COGS - Expedition</v>
      </c>
      <c r="M717" s="34" t="str">
        <f aca="false">IF(K717="Neraca",INDEX(I_COA!$E$6:$E$265,MATCH(D717,I_COA!$A$6:$A$265,0)),"")</f>
        <v/>
      </c>
      <c r="N717" s="34" t="str">
        <f aca="false">IF(D717="","",IFERROR(INDEX(I_COA!$G$6:$G$265,MATCH(D717,I_COA!$A$6:$A$265,0)),"N"))</f>
        <v>N</v>
      </c>
      <c r="O717" s="11" t="n">
        <f aca="false">IF(N717="N",ABS(J717),"")</f>
        <v>7000000</v>
      </c>
      <c r="P717" s="18" t="str">
        <f aca="false">IF(N717="N",B717&amp;"|"&amp;ROUND(O717,0),"")</f>
        <v>PI26080034|7000000</v>
      </c>
      <c r="Q717" s="18" t="str">
        <f aca="false">IF(N717&lt;&gt;"Y","",IFERROR(INDEX($D$6:$D$4005,MATCH(B717&amp;"|"&amp;ROUND(_xlfn.MAXIFS($O$6:$O$4005,$B$6:$B$4005,B717,$N$6:$N$4005,"N"),0),$P$6:$P$4005,0)),"(tanpa lawan)"))</f>
        <v/>
      </c>
      <c r="R717" s="44"/>
      <c r="S717" s="9" t="str">
        <f aca="false">IF(N717&lt;&gt;"Y","",IF(R717&lt;&gt;"",R717,IF(Q717="(tanpa lawan)","Transfer antar rekening",IFERROR(INDEX(I_COA!$F$6:$F$265,MATCH(Q717,I_COA!$A$6:$A$265,0)),"?"))))</f>
        <v/>
      </c>
    </row>
    <row r="718" customFormat="false" ht="15" hidden="false" customHeight="false" outlineLevel="0" collapsed="false">
      <c r="A718" s="37" t="n">
        <v>46245</v>
      </c>
      <c r="B718" s="44" t="s">
        <v>1183</v>
      </c>
      <c r="C718" s="44" t="s">
        <v>707</v>
      </c>
      <c r="D718" s="44" t="n">
        <v>7200010</v>
      </c>
      <c r="E718" s="44" t="s">
        <v>953</v>
      </c>
      <c r="F718" s="44" t="s">
        <v>1184</v>
      </c>
      <c r="G718" s="42" t="n">
        <v>420000</v>
      </c>
      <c r="H718" s="42"/>
      <c r="I718" s="44" t="s">
        <v>1046</v>
      </c>
      <c r="J718" s="11" t="n">
        <f aca="false">IF(D718="","",N(G718)-N(H718))</f>
        <v>420000</v>
      </c>
      <c r="K718" s="34" t="str">
        <f aca="false">IF(D718="","",IFERROR(INDEX(I_COA!$C$6:$C$265,MATCH(D718,I_COA!$A$6:$A$265,0)),"AKUN BARU"))</f>
        <v>LabaRugi</v>
      </c>
      <c r="L718" s="34" t="str">
        <f aca="false">IF(K718="LabaRugi",INDEX(I_COA!$D$6:$D$265,MATCH(D718,I_COA!$A$6:$A$265,0)),"")</f>
        <v>Tax expenses</v>
      </c>
      <c r="M718" s="34" t="str">
        <f aca="false">IF(K718="Neraca",INDEX(I_COA!$E$6:$E$265,MATCH(D718,I_COA!$A$6:$A$265,0)),"")</f>
        <v/>
      </c>
      <c r="N718" s="34" t="str">
        <f aca="false">IF(D718="","",IFERROR(INDEX(I_COA!$G$6:$G$265,MATCH(D718,I_COA!$A$6:$A$265,0)),"N"))</f>
        <v>N</v>
      </c>
      <c r="O718" s="11" t="n">
        <f aca="false">IF(N718="N",ABS(J718),"")</f>
        <v>420000</v>
      </c>
      <c r="P718" s="18" t="str">
        <f aca="false">IF(N718="N",B718&amp;"|"&amp;ROUND(O718,0),"")</f>
        <v>PI26080034|420000</v>
      </c>
      <c r="Q718" s="18" t="str">
        <f aca="false">IF(N718&lt;&gt;"Y","",IFERROR(INDEX($D$6:$D$4005,MATCH(B718&amp;"|"&amp;ROUND(_xlfn.MAXIFS($O$6:$O$4005,$B$6:$B$4005,B718,$N$6:$N$4005,"N"),0),$P$6:$P$4005,0)),"(tanpa lawan)"))</f>
        <v/>
      </c>
      <c r="R718" s="44"/>
      <c r="S718" s="9" t="str">
        <f aca="false">IF(N718&lt;&gt;"Y","",IF(R718&lt;&gt;"",R718,IF(Q718="(tanpa lawan)","Transfer antar rekening",IFERROR(INDEX(I_COA!$F$6:$F$265,MATCH(Q718,I_COA!$A$6:$A$265,0)),"?"))))</f>
        <v/>
      </c>
    </row>
    <row r="719" customFormat="false" ht="15" hidden="false" customHeight="false" outlineLevel="0" collapsed="false">
      <c r="A719" s="37" t="n">
        <v>46245</v>
      </c>
      <c r="B719" s="44" t="s">
        <v>1183</v>
      </c>
      <c r="C719" s="44" t="s">
        <v>707</v>
      </c>
      <c r="D719" s="44" t="n">
        <v>2102007</v>
      </c>
      <c r="E719" s="44" t="s">
        <v>955</v>
      </c>
      <c r="F719" s="44" t="s">
        <v>1184</v>
      </c>
      <c r="G719" s="42"/>
      <c r="H719" s="42" t="n">
        <v>420000</v>
      </c>
      <c r="I719" s="44" t="s">
        <v>1046</v>
      </c>
      <c r="J719" s="11" t="n">
        <f aca="false">IF(D719="","",N(G719)-N(H719))</f>
        <v>-420000</v>
      </c>
      <c r="K719" s="34" t="str">
        <f aca="false">IF(D719="","",IFERROR(INDEX(I_COA!$C$6:$C$265,MATCH(D719,I_COA!$A$6:$A$265,0)),"AKUN BARU"))</f>
        <v>Neraca</v>
      </c>
      <c r="L719" s="34" t="str">
        <f aca="false">IF(K719="LabaRugi",INDEX(I_COA!$D$6:$D$265,MATCH(D719,I_COA!$A$6:$A$265,0)),"")</f>
        <v/>
      </c>
      <c r="M719" s="34" t="str">
        <f aca="false">IF(K719="Neraca",INDEX(I_COA!$E$6:$E$265,MATCH(D719,I_COA!$A$6:$A$265,0)),"")</f>
        <v>Taxes Payable</v>
      </c>
      <c r="N719" s="34" t="str">
        <f aca="false">IF(D719="","",IFERROR(INDEX(I_COA!$G$6:$G$265,MATCH(D719,I_COA!$A$6:$A$265,0)),"N"))</f>
        <v>N</v>
      </c>
      <c r="O719" s="11" t="n">
        <f aca="false">IF(N719="N",ABS(J719),"")</f>
        <v>420000</v>
      </c>
      <c r="P719" s="18" t="str">
        <f aca="false">IF(N719="N",B719&amp;"|"&amp;ROUND(O719,0),"")</f>
        <v>PI26080034|420000</v>
      </c>
      <c r="Q719" s="18" t="str">
        <f aca="false">IF(N719&lt;&gt;"Y","",IFERROR(INDEX($D$6:$D$4005,MATCH(B719&amp;"|"&amp;ROUND(_xlfn.MAXIFS($O$6:$O$4005,$B$6:$B$4005,B719,$N$6:$N$4005,"N"),0),$P$6:$P$4005,0)),"(tanpa lawan)"))</f>
        <v/>
      </c>
      <c r="R719" s="44"/>
      <c r="S719" s="9" t="str">
        <f aca="false">IF(N719&lt;&gt;"Y","",IF(R719&lt;&gt;"",R719,IF(Q719="(tanpa lawan)","Transfer antar rekening",IFERROR(INDEX(I_COA!$F$6:$F$265,MATCH(Q719,I_COA!$A$6:$A$265,0)),"?"))))</f>
        <v/>
      </c>
    </row>
    <row r="720" customFormat="false" ht="15" hidden="false" customHeight="false" outlineLevel="0" collapsed="false">
      <c r="A720" s="37" t="n">
        <v>46245</v>
      </c>
      <c r="B720" s="44" t="s">
        <v>1183</v>
      </c>
      <c r="C720" s="44" t="s">
        <v>707</v>
      </c>
      <c r="D720" s="44" t="n">
        <v>7100008</v>
      </c>
      <c r="E720" s="44" t="s">
        <v>952</v>
      </c>
      <c r="F720" s="44" t="s">
        <v>1054</v>
      </c>
      <c r="G720" s="42"/>
      <c r="H720" s="42" t="n">
        <v>0.07</v>
      </c>
      <c r="I720" s="44" t="s">
        <v>1046</v>
      </c>
      <c r="J720" s="11" t="n">
        <f aca="false">IF(D720="","",N(G720)-N(H720))</f>
        <v>-0.07</v>
      </c>
      <c r="K720" s="34" t="str">
        <f aca="false">IF(D720="","",IFERROR(INDEX(I_COA!$C$6:$C$265,MATCH(D720,I_COA!$A$6:$A$265,0)),"AKUN BARU"))</f>
        <v>LabaRugi</v>
      </c>
      <c r="L720" s="34" t="str">
        <f aca="false">IF(K720="LabaRugi",INDEX(I_COA!$D$6:$D$265,MATCH(D720,I_COA!$A$6:$A$265,0)),"")</f>
        <v>Other Income</v>
      </c>
      <c r="M720" s="34" t="str">
        <f aca="false">IF(K720="Neraca",INDEX(I_COA!$E$6:$E$265,MATCH(D720,I_COA!$A$6:$A$265,0)),"")</f>
        <v/>
      </c>
      <c r="N720" s="34" t="str">
        <f aca="false">IF(D720="","",IFERROR(INDEX(I_COA!$G$6:$G$265,MATCH(D720,I_COA!$A$6:$A$265,0)),"N"))</f>
        <v>N</v>
      </c>
      <c r="O720" s="11" t="n">
        <f aca="false">IF(N720="N",ABS(J720),"")</f>
        <v>0.07</v>
      </c>
      <c r="P720" s="18" t="str">
        <f aca="false">IF(N720="N",B720&amp;"|"&amp;ROUND(O720,0),"")</f>
        <v>PI26080034|0</v>
      </c>
      <c r="Q720" s="18" t="str">
        <f aca="false">IF(N720&lt;&gt;"Y","",IFERROR(INDEX($D$6:$D$4005,MATCH(B720&amp;"|"&amp;ROUND(_xlfn.MAXIFS($O$6:$O$4005,$B$6:$B$4005,B720,$N$6:$N$4005,"N"),0),$P$6:$P$4005,0)),"(tanpa lawan)"))</f>
        <v/>
      </c>
      <c r="R720" s="44"/>
      <c r="S720" s="9" t="str">
        <f aca="false">IF(N720&lt;&gt;"Y","",IF(R720&lt;&gt;"",R720,IF(Q720="(tanpa lawan)","Transfer antar rekening",IFERROR(INDEX(I_COA!$F$6:$F$265,MATCH(Q720,I_COA!$A$6:$A$265,0)),"?"))))</f>
        <v/>
      </c>
    </row>
    <row r="721" customFormat="false" ht="15" hidden="false" customHeight="false" outlineLevel="0" collapsed="false">
      <c r="A721" s="37" t="n">
        <v>46245</v>
      </c>
      <c r="B721" s="44" t="s">
        <v>1183</v>
      </c>
      <c r="C721" s="44" t="s">
        <v>707</v>
      </c>
      <c r="D721" s="44" t="n">
        <v>2101001</v>
      </c>
      <c r="E721" s="44" t="s">
        <v>595</v>
      </c>
      <c r="F721" s="44" t="s">
        <v>1054</v>
      </c>
      <c r="G721" s="42"/>
      <c r="H721" s="42" t="n">
        <v>168000000</v>
      </c>
      <c r="I721" s="44" t="s">
        <v>1046</v>
      </c>
      <c r="J721" s="11" t="n">
        <f aca="false">IF(D721="","",N(G721)-N(H721))</f>
        <v>-168000000</v>
      </c>
      <c r="K721" s="34" t="str">
        <f aca="false">IF(D721="","",IFERROR(INDEX(I_COA!$C$6:$C$265,MATCH(D721,I_COA!$A$6:$A$265,0)),"AKUN BARU"))</f>
        <v>Neraca</v>
      </c>
      <c r="L721" s="34" t="str">
        <f aca="false">IF(K721="LabaRugi",INDEX(I_COA!$D$6:$D$265,MATCH(D721,I_COA!$A$6:$A$265,0)),"")</f>
        <v/>
      </c>
      <c r="M721" s="34" t="str">
        <f aca="false">IF(K721="Neraca",INDEX(I_COA!$E$6:$E$265,MATCH(D721,I_COA!$A$6:$A$265,0)),"")</f>
        <v>Trade Payables - Third Parties</v>
      </c>
      <c r="N721" s="34" t="str">
        <f aca="false">IF(D721="","",IFERROR(INDEX(I_COA!$G$6:$G$265,MATCH(D721,I_COA!$A$6:$A$265,0)),"N"))</f>
        <v>N</v>
      </c>
      <c r="O721" s="11" t="n">
        <f aca="false">IF(N721="N",ABS(J721),"")</f>
        <v>168000000</v>
      </c>
      <c r="P721" s="18" t="str">
        <f aca="false">IF(N721="N",B721&amp;"|"&amp;ROUND(O721,0),"")</f>
        <v>PI26080034|168000000</v>
      </c>
      <c r="Q721" s="18" t="str">
        <f aca="false">IF(N721&lt;&gt;"Y","",IFERROR(INDEX($D$6:$D$4005,MATCH(B721&amp;"|"&amp;ROUND(_xlfn.MAXIFS($O$6:$O$4005,$B$6:$B$4005,B721,$N$6:$N$4005,"N"),0),$P$6:$P$4005,0)),"(tanpa lawan)"))</f>
        <v/>
      </c>
      <c r="R721" s="44"/>
      <c r="S721" s="9" t="str">
        <f aca="false">IF(N721&lt;&gt;"Y","",IF(R721&lt;&gt;"",R721,IF(Q721="(tanpa lawan)","Transfer antar rekening",IFERROR(INDEX(I_COA!$F$6:$F$265,MATCH(Q721,I_COA!$A$6:$A$265,0)),"?"))))</f>
        <v/>
      </c>
    </row>
    <row r="722" customFormat="false" ht="15" hidden="false" customHeight="false" outlineLevel="0" collapsed="false">
      <c r="A722" s="37" t="n">
        <v>46245</v>
      </c>
      <c r="B722" s="44" t="s">
        <v>1185</v>
      </c>
      <c r="C722" s="44" t="s">
        <v>707</v>
      </c>
      <c r="D722" s="44" t="n">
        <v>6100006</v>
      </c>
      <c r="E722" s="44" t="s">
        <v>717</v>
      </c>
      <c r="F722" s="44" t="s">
        <v>1186</v>
      </c>
      <c r="G722" s="42" t="n">
        <v>1100000</v>
      </c>
      <c r="H722" s="42"/>
      <c r="I722" s="44" t="s">
        <v>719</v>
      </c>
      <c r="J722" s="11" t="n">
        <f aca="false">IF(D722="","",N(G722)-N(H722))</f>
        <v>1100000</v>
      </c>
      <c r="K722" s="34" t="str">
        <f aca="false">IF(D722="","",IFERROR(INDEX(I_COA!$C$6:$C$265,MATCH(D722,I_COA!$A$6:$A$265,0)),"AKUN BARU"))</f>
        <v>LabaRugi</v>
      </c>
      <c r="L722" s="34" t="str">
        <f aca="false">IF(K722="LabaRugi",INDEX(I_COA!$D$6:$D$265,MATCH(D722,I_COA!$A$6:$A$265,0)),"")</f>
        <v>Delivery Expenses</v>
      </c>
      <c r="M722" s="34" t="str">
        <f aca="false">IF(K722="Neraca",INDEX(I_COA!$E$6:$E$265,MATCH(D722,I_COA!$A$6:$A$265,0)),"")</f>
        <v/>
      </c>
      <c r="N722" s="34" t="str">
        <f aca="false">IF(D722="","",IFERROR(INDEX(I_COA!$G$6:$G$265,MATCH(D722,I_COA!$A$6:$A$265,0)),"N"))</f>
        <v>N</v>
      </c>
      <c r="O722" s="11" t="n">
        <f aca="false">IF(N722="N",ABS(J722),"")</f>
        <v>1100000</v>
      </c>
      <c r="P722" s="18" t="str">
        <f aca="false">IF(N722="N",B722&amp;"|"&amp;ROUND(O722,0),"")</f>
        <v>PI26080070|1100000</v>
      </c>
      <c r="Q722" s="18" t="str">
        <f aca="false">IF(N722&lt;&gt;"Y","",IFERROR(INDEX($D$6:$D$4005,MATCH(B722&amp;"|"&amp;ROUND(_xlfn.MAXIFS($O$6:$O$4005,$B$6:$B$4005,B722,$N$6:$N$4005,"N"),0),$P$6:$P$4005,0)),"(tanpa lawan)"))</f>
        <v/>
      </c>
      <c r="R722" s="44"/>
      <c r="S722" s="9" t="str">
        <f aca="false">IF(N722&lt;&gt;"Y","",IF(R722&lt;&gt;"",R722,IF(Q722="(tanpa lawan)","Transfer antar rekening",IFERROR(INDEX(I_COA!$F$6:$F$265,MATCH(Q722,I_COA!$A$6:$A$265,0)),"?"))))</f>
        <v/>
      </c>
    </row>
    <row r="723" customFormat="false" ht="15" hidden="false" customHeight="false" outlineLevel="0" collapsed="false">
      <c r="A723" s="37" t="n">
        <v>46245</v>
      </c>
      <c r="B723" s="44" t="s">
        <v>1185</v>
      </c>
      <c r="C723" s="44" t="s">
        <v>707</v>
      </c>
      <c r="D723" s="44" t="n">
        <v>6100006</v>
      </c>
      <c r="E723" s="44" t="s">
        <v>717</v>
      </c>
      <c r="F723" s="44" t="s">
        <v>1187</v>
      </c>
      <c r="G723" s="42" t="n">
        <v>1500000</v>
      </c>
      <c r="H723" s="42"/>
      <c r="I723" s="44" t="s">
        <v>719</v>
      </c>
      <c r="J723" s="11" t="n">
        <f aca="false">IF(D723="","",N(G723)-N(H723))</f>
        <v>1500000</v>
      </c>
      <c r="K723" s="34" t="str">
        <f aca="false">IF(D723="","",IFERROR(INDEX(I_COA!$C$6:$C$265,MATCH(D723,I_COA!$A$6:$A$265,0)),"AKUN BARU"))</f>
        <v>LabaRugi</v>
      </c>
      <c r="L723" s="34" t="str">
        <f aca="false">IF(K723="LabaRugi",INDEX(I_COA!$D$6:$D$265,MATCH(D723,I_COA!$A$6:$A$265,0)),"")</f>
        <v>Delivery Expenses</v>
      </c>
      <c r="M723" s="34" t="str">
        <f aca="false">IF(K723="Neraca",INDEX(I_COA!$E$6:$E$265,MATCH(D723,I_COA!$A$6:$A$265,0)),"")</f>
        <v/>
      </c>
      <c r="N723" s="34" t="str">
        <f aca="false">IF(D723="","",IFERROR(INDEX(I_COA!$G$6:$G$265,MATCH(D723,I_COA!$A$6:$A$265,0)),"N"))</f>
        <v>N</v>
      </c>
      <c r="O723" s="11" t="n">
        <f aca="false">IF(N723="N",ABS(J723),"")</f>
        <v>1500000</v>
      </c>
      <c r="P723" s="18" t="str">
        <f aca="false">IF(N723="N",B723&amp;"|"&amp;ROUND(O723,0),"")</f>
        <v>PI26080070|1500000</v>
      </c>
      <c r="Q723" s="18" t="str">
        <f aca="false">IF(N723&lt;&gt;"Y","",IFERROR(INDEX($D$6:$D$4005,MATCH(B723&amp;"|"&amp;ROUND(_xlfn.MAXIFS($O$6:$O$4005,$B$6:$B$4005,B723,$N$6:$N$4005,"N"),0),$P$6:$P$4005,0)),"(tanpa lawan)"))</f>
        <v/>
      </c>
      <c r="R723" s="44"/>
      <c r="S723" s="9" t="str">
        <f aca="false">IF(N723&lt;&gt;"Y","",IF(R723&lt;&gt;"",R723,IF(Q723="(tanpa lawan)","Transfer antar rekening",IFERROR(INDEX(I_COA!$F$6:$F$265,MATCH(Q723,I_COA!$A$6:$A$265,0)),"?"))))</f>
        <v/>
      </c>
    </row>
    <row r="724" customFormat="false" ht="15" hidden="false" customHeight="false" outlineLevel="0" collapsed="false">
      <c r="A724" s="37" t="n">
        <v>46245</v>
      </c>
      <c r="B724" s="44" t="s">
        <v>1185</v>
      </c>
      <c r="C724" s="44" t="s">
        <v>707</v>
      </c>
      <c r="D724" s="44" t="n">
        <v>1106001</v>
      </c>
      <c r="E724" s="44" t="s">
        <v>720</v>
      </c>
      <c r="F724" s="44" t="s">
        <v>721</v>
      </c>
      <c r="G724" s="42" t="n">
        <v>286000</v>
      </c>
      <c r="H724" s="42"/>
      <c r="I724" s="44" t="s">
        <v>719</v>
      </c>
      <c r="J724" s="11" t="n">
        <f aca="false">IF(D724="","",N(G724)-N(H724))</f>
        <v>286000</v>
      </c>
      <c r="K724" s="34" t="str">
        <f aca="false">IF(D724="","",IFERROR(INDEX(I_COA!$C$6:$C$265,MATCH(D724,I_COA!$A$6:$A$265,0)),"AKUN BARU"))</f>
        <v>Neraca</v>
      </c>
      <c r="L724" s="34" t="str">
        <f aca="false">IF(K724="LabaRugi",INDEX(I_COA!$D$6:$D$265,MATCH(D724,I_COA!$A$6:$A$265,0)),"")</f>
        <v/>
      </c>
      <c r="M724" s="34" t="str">
        <f aca="false">IF(K724="Neraca",INDEX(I_COA!$E$6:$E$265,MATCH(D724,I_COA!$A$6:$A$265,0)),"")</f>
        <v>Prepaid Tax</v>
      </c>
      <c r="N724" s="34" t="str">
        <f aca="false">IF(D724="","",IFERROR(INDEX(I_COA!$G$6:$G$265,MATCH(D724,I_COA!$A$6:$A$265,0)),"N"))</f>
        <v>N</v>
      </c>
      <c r="O724" s="11" t="n">
        <f aca="false">IF(N724="N",ABS(J724),"")</f>
        <v>286000</v>
      </c>
      <c r="P724" s="18" t="str">
        <f aca="false">IF(N724="N",B724&amp;"|"&amp;ROUND(O724,0),"")</f>
        <v>PI26080070|286000</v>
      </c>
      <c r="Q724" s="18" t="str">
        <f aca="false">IF(N724&lt;&gt;"Y","",IFERROR(INDEX($D$6:$D$4005,MATCH(B724&amp;"|"&amp;ROUND(_xlfn.MAXIFS($O$6:$O$4005,$B$6:$B$4005,B724,$N$6:$N$4005,"N"),0),$P$6:$P$4005,0)),"(tanpa lawan)"))</f>
        <v/>
      </c>
      <c r="R724" s="44"/>
      <c r="S724" s="9" t="str">
        <f aca="false">IF(N724&lt;&gt;"Y","",IF(R724&lt;&gt;"",R724,IF(Q724="(tanpa lawan)","Transfer antar rekening",IFERROR(INDEX(I_COA!$F$6:$F$265,MATCH(Q724,I_COA!$A$6:$A$265,0)),"?"))))</f>
        <v/>
      </c>
    </row>
    <row r="725" customFormat="false" ht="15" hidden="false" customHeight="false" outlineLevel="0" collapsed="false">
      <c r="A725" s="37" t="n">
        <v>46245</v>
      </c>
      <c r="B725" s="44" t="s">
        <v>1185</v>
      </c>
      <c r="C725" s="44" t="s">
        <v>707</v>
      </c>
      <c r="D725" s="44" t="n">
        <v>2102003</v>
      </c>
      <c r="E725" s="44" t="s">
        <v>722</v>
      </c>
      <c r="F725" s="44" t="s">
        <v>1188</v>
      </c>
      <c r="G725" s="42"/>
      <c r="H725" s="42" t="n">
        <v>52000</v>
      </c>
      <c r="I725" s="44" t="s">
        <v>719</v>
      </c>
      <c r="J725" s="11" t="n">
        <f aca="false">IF(D725="","",N(G725)-N(H725))</f>
        <v>-52000</v>
      </c>
      <c r="K725" s="34" t="str">
        <f aca="false">IF(D725="","",IFERROR(INDEX(I_COA!$C$6:$C$265,MATCH(D725,I_COA!$A$6:$A$265,0)),"AKUN BARU"))</f>
        <v>Neraca</v>
      </c>
      <c r="L725" s="34" t="str">
        <f aca="false">IF(K725="LabaRugi",INDEX(I_COA!$D$6:$D$265,MATCH(D725,I_COA!$A$6:$A$265,0)),"")</f>
        <v/>
      </c>
      <c r="M725" s="34" t="str">
        <f aca="false">IF(K725="Neraca",INDEX(I_COA!$E$6:$E$265,MATCH(D725,I_COA!$A$6:$A$265,0)),"")</f>
        <v>Taxes Payable</v>
      </c>
      <c r="N725" s="34" t="str">
        <f aca="false">IF(D725="","",IFERROR(INDEX(I_COA!$G$6:$G$265,MATCH(D725,I_COA!$A$6:$A$265,0)),"N"))</f>
        <v>N</v>
      </c>
      <c r="O725" s="11" t="n">
        <f aca="false">IF(N725="N",ABS(J725),"")</f>
        <v>52000</v>
      </c>
      <c r="P725" s="18" t="str">
        <f aca="false">IF(N725="N",B725&amp;"|"&amp;ROUND(O725,0),"")</f>
        <v>PI26080070|52000</v>
      </c>
      <c r="Q725" s="18" t="str">
        <f aca="false">IF(N725&lt;&gt;"Y","",IFERROR(INDEX($D$6:$D$4005,MATCH(B725&amp;"|"&amp;ROUND(_xlfn.MAXIFS($O$6:$O$4005,$B$6:$B$4005,B725,$N$6:$N$4005,"N"),0),$P$6:$P$4005,0)),"(tanpa lawan)"))</f>
        <v/>
      </c>
      <c r="R725" s="44"/>
      <c r="S725" s="9" t="str">
        <f aca="false">IF(N725&lt;&gt;"Y","",IF(R725&lt;&gt;"",R725,IF(Q725="(tanpa lawan)","Transfer antar rekening",IFERROR(INDEX(I_COA!$F$6:$F$265,MATCH(Q725,I_COA!$A$6:$A$265,0)),"?"))))</f>
        <v/>
      </c>
    </row>
    <row r="726" customFormat="false" ht="15" hidden="false" customHeight="false" outlineLevel="0" collapsed="false">
      <c r="A726" s="37" t="n">
        <v>46245</v>
      </c>
      <c r="B726" s="44" t="s">
        <v>1185</v>
      </c>
      <c r="C726" s="44" t="s">
        <v>707</v>
      </c>
      <c r="D726" s="44" t="n">
        <v>2101003</v>
      </c>
      <c r="E726" s="44" t="s">
        <v>679</v>
      </c>
      <c r="F726" s="44" t="s">
        <v>1189</v>
      </c>
      <c r="G726" s="42"/>
      <c r="H726" s="42" t="n">
        <v>2834000</v>
      </c>
      <c r="I726" s="44" t="s">
        <v>719</v>
      </c>
      <c r="J726" s="11" t="n">
        <f aca="false">IF(D726="","",N(G726)-N(H726))</f>
        <v>-2834000</v>
      </c>
      <c r="K726" s="34" t="str">
        <f aca="false">IF(D726="","",IFERROR(INDEX(I_COA!$C$6:$C$265,MATCH(D726,I_COA!$A$6:$A$265,0)),"AKUN BARU"))</f>
        <v>Neraca</v>
      </c>
      <c r="L726" s="34" t="str">
        <f aca="false">IF(K726="LabaRugi",INDEX(I_COA!$D$6:$D$265,MATCH(D726,I_COA!$A$6:$A$265,0)),"")</f>
        <v/>
      </c>
      <c r="M726" s="34" t="str">
        <f aca="false">IF(K726="Neraca",INDEX(I_COA!$E$6:$E$265,MATCH(D726,I_COA!$A$6:$A$265,0)),"")</f>
        <v>Other Payable - Third Parties</v>
      </c>
      <c r="N726" s="34" t="str">
        <f aca="false">IF(D726="","",IFERROR(INDEX(I_COA!$G$6:$G$265,MATCH(D726,I_COA!$A$6:$A$265,0)),"N"))</f>
        <v>N</v>
      </c>
      <c r="O726" s="11" t="n">
        <f aca="false">IF(N726="N",ABS(J726),"")</f>
        <v>2834000</v>
      </c>
      <c r="P726" s="18" t="str">
        <f aca="false">IF(N726="N",B726&amp;"|"&amp;ROUND(O726,0),"")</f>
        <v>PI26080070|2834000</v>
      </c>
      <c r="Q726" s="18" t="str">
        <f aca="false">IF(N726&lt;&gt;"Y","",IFERROR(INDEX($D$6:$D$4005,MATCH(B726&amp;"|"&amp;ROUND(_xlfn.MAXIFS($O$6:$O$4005,$B$6:$B$4005,B726,$N$6:$N$4005,"N"),0),$P$6:$P$4005,0)),"(tanpa lawan)"))</f>
        <v/>
      </c>
      <c r="R726" s="44"/>
      <c r="S726" s="9" t="str">
        <f aca="false">IF(N726&lt;&gt;"Y","",IF(R726&lt;&gt;"",R726,IF(Q726="(tanpa lawan)","Transfer antar rekening",IFERROR(INDEX(I_COA!$F$6:$F$265,MATCH(Q726,I_COA!$A$6:$A$265,0)),"?"))))</f>
        <v/>
      </c>
    </row>
    <row r="727" customFormat="false" ht="15" hidden="false" customHeight="false" outlineLevel="0" collapsed="false">
      <c r="A727" s="37" t="n">
        <v>46246</v>
      </c>
      <c r="B727" s="44" t="s">
        <v>1190</v>
      </c>
      <c r="C727" s="44" t="s">
        <v>580</v>
      </c>
      <c r="D727" s="44" t="n">
        <v>1102001</v>
      </c>
      <c r="E727" s="44" t="s">
        <v>586</v>
      </c>
      <c r="F727" s="44" t="s">
        <v>1191</v>
      </c>
      <c r="G727" s="42" t="n">
        <v>51560250</v>
      </c>
      <c r="H727" s="42"/>
      <c r="I727" s="44"/>
      <c r="J727" s="11" t="n">
        <f aca="false">IF(D727="","",N(G727)-N(H727))</f>
        <v>51560250</v>
      </c>
      <c r="K727" s="34" t="str">
        <f aca="false">IF(D727="","",IFERROR(INDEX(I_COA!$C$6:$C$265,MATCH(D727,I_COA!$A$6:$A$265,0)),"AKUN BARU"))</f>
        <v>Neraca</v>
      </c>
      <c r="L727" s="34" t="str">
        <f aca="false">IF(K727="LabaRugi",INDEX(I_COA!$D$6:$D$265,MATCH(D727,I_COA!$A$6:$A$265,0)),"")</f>
        <v/>
      </c>
      <c r="M727" s="34" t="str">
        <f aca="false">IF(K727="Neraca",INDEX(I_COA!$E$6:$E$265,MATCH(D727,I_COA!$A$6:$A$265,0)),"")</f>
        <v>Cash and cash equivalents</v>
      </c>
      <c r="N727" s="34" t="str">
        <f aca="false">IF(D727="","",IFERROR(INDEX(I_COA!$G$6:$G$265,MATCH(D727,I_COA!$A$6:$A$265,0)),"N"))</f>
        <v>Y</v>
      </c>
      <c r="O727" s="11" t="str">
        <f aca="false">IF(N727="N",ABS(J727),"")</f>
        <v/>
      </c>
      <c r="P727" s="18" t="str">
        <f aca="false">IF(N727="N",B727&amp;"|"&amp;ROUND(O727,0),"")</f>
        <v/>
      </c>
      <c r="Q727" s="18" t="n">
        <f aca="false">IF(N727&lt;&gt;"Y","",IFERROR(INDEX($D$6:$D$4005,MATCH(B727&amp;"|"&amp;ROUND(_xlfn.MAXIFS($O$6:$O$4005,$B$6:$B$4005,B727,$N$6:$N$4005,"N"),0),$P$6:$P$4005,0)),"(tanpa lawan)"))</f>
        <v>2101020</v>
      </c>
      <c r="R727" s="44"/>
      <c r="S727" s="9" t="str">
        <f aca="false">IF(N727&lt;&gt;"Y","",IF(R727&lt;&gt;"",R727,IF(Q727="(tanpa lawan)","Transfer antar rekening",IFERROR(INDEX(I_COA!$F$6:$F$265,MATCH(Q727,I_COA!$A$6:$A$265,0)),"?"))))</f>
        <v>Penerimaan dari pelanggan</v>
      </c>
    </row>
    <row r="728" customFormat="false" ht="15" hidden="false" customHeight="false" outlineLevel="0" collapsed="false">
      <c r="A728" s="37" t="n">
        <v>46246</v>
      </c>
      <c r="B728" s="44" t="s">
        <v>1190</v>
      </c>
      <c r="C728" s="44" t="s">
        <v>580</v>
      </c>
      <c r="D728" s="44" t="n">
        <v>2101020</v>
      </c>
      <c r="E728" s="44" t="s">
        <v>653</v>
      </c>
      <c r="F728" s="44" t="s">
        <v>1191</v>
      </c>
      <c r="G728" s="42"/>
      <c r="H728" s="42" t="n">
        <v>51560250</v>
      </c>
      <c r="I728" s="44" t="s">
        <v>660</v>
      </c>
      <c r="J728" s="11" t="n">
        <f aca="false">IF(D728="","",N(G728)-N(H728))</f>
        <v>-51560250</v>
      </c>
      <c r="K728" s="34" t="str">
        <f aca="false">IF(D728="","",IFERROR(INDEX(I_COA!$C$6:$C$265,MATCH(D728,I_COA!$A$6:$A$265,0)),"AKUN BARU"))</f>
        <v>Neraca</v>
      </c>
      <c r="L728" s="34" t="str">
        <f aca="false">IF(K728="LabaRugi",INDEX(I_COA!$D$6:$D$265,MATCH(D728,I_COA!$A$6:$A$265,0)),"")</f>
        <v/>
      </c>
      <c r="M728" s="34" t="str">
        <f aca="false">IF(K728="Neraca",INDEX(I_COA!$E$6:$E$265,MATCH(D728,I_COA!$A$6:$A$265,0)),"")</f>
        <v>Unearned Revenue</v>
      </c>
      <c r="N728" s="34" t="str">
        <f aca="false">IF(D728="","",IFERROR(INDEX(I_COA!$G$6:$G$265,MATCH(D728,I_COA!$A$6:$A$265,0)),"N"))</f>
        <v>N</v>
      </c>
      <c r="O728" s="11" t="n">
        <f aca="false">IF(N728="N",ABS(J728),"")</f>
        <v>51560250</v>
      </c>
      <c r="P728" s="18" t="str">
        <f aca="false">IF(N728="N",B728&amp;"|"&amp;ROUND(O728,0),"")</f>
        <v>B7626080053|51560250</v>
      </c>
      <c r="Q728" s="18" t="str">
        <f aca="false">IF(N728&lt;&gt;"Y","",IFERROR(INDEX($D$6:$D$4005,MATCH(B728&amp;"|"&amp;ROUND(_xlfn.MAXIFS($O$6:$O$4005,$B$6:$B$4005,B728,$N$6:$N$4005,"N"),0),$P$6:$P$4005,0)),"(tanpa lawan)"))</f>
        <v/>
      </c>
      <c r="R728" s="44"/>
      <c r="S728" s="9" t="str">
        <f aca="false">IF(N728&lt;&gt;"Y","",IF(R728&lt;&gt;"",R728,IF(Q728="(tanpa lawan)","Transfer antar rekening",IFERROR(INDEX(I_COA!$F$6:$F$265,MATCH(Q728,I_COA!$A$6:$A$265,0)),"?"))))</f>
        <v/>
      </c>
    </row>
    <row r="729" customFormat="false" ht="15" hidden="false" customHeight="false" outlineLevel="0" collapsed="false">
      <c r="A729" s="37" t="n">
        <v>46246</v>
      </c>
      <c r="B729" s="44" t="s">
        <v>1192</v>
      </c>
      <c r="C729" s="44" t="s">
        <v>585</v>
      </c>
      <c r="D729" s="44" t="n">
        <v>1102001</v>
      </c>
      <c r="E729" s="44" t="s">
        <v>586</v>
      </c>
      <c r="F729" s="44" t="s">
        <v>1193</v>
      </c>
      <c r="G729" s="42" t="n">
        <v>67738050</v>
      </c>
      <c r="H729" s="42"/>
      <c r="I729" s="44" t="s">
        <v>1194</v>
      </c>
      <c r="J729" s="11" t="n">
        <f aca="false">IF(D729="","",N(G729)-N(H729))</f>
        <v>67738050</v>
      </c>
      <c r="K729" s="34" t="str">
        <f aca="false">IF(D729="","",IFERROR(INDEX(I_COA!$C$6:$C$265,MATCH(D729,I_COA!$A$6:$A$265,0)),"AKUN BARU"))</f>
        <v>Neraca</v>
      </c>
      <c r="L729" s="34" t="str">
        <f aca="false">IF(K729="LabaRugi",INDEX(I_COA!$D$6:$D$265,MATCH(D729,I_COA!$A$6:$A$265,0)),"")</f>
        <v/>
      </c>
      <c r="M729" s="34" t="str">
        <f aca="false">IF(K729="Neraca",INDEX(I_COA!$E$6:$E$265,MATCH(D729,I_COA!$A$6:$A$265,0)),"")</f>
        <v>Cash and cash equivalents</v>
      </c>
      <c r="N729" s="34" t="str">
        <f aca="false">IF(D729="","",IFERROR(INDEX(I_COA!$G$6:$G$265,MATCH(D729,I_COA!$A$6:$A$265,0)),"N"))</f>
        <v>Y</v>
      </c>
      <c r="O729" s="11" t="str">
        <f aca="false">IF(N729="N",ABS(J729),"")</f>
        <v/>
      </c>
      <c r="P729" s="18" t="str">
        <f aca="false">IF(N729="N",B729&amp;"|"&amp;ROUND(O729,0),"")</f>
        <v/>
      </c>
      <c r="Q729" s="18" t="n">
        <f aca="false">IF(N729&lt;&gt;"Y","",IFERROR(INDEX($D$6:$D$4005,MATCH(B729&amp;"|"&amp;ROUND(_xlfn.MAXIFS($O$6:$O$4005,$B$6:$B$4005,B729,$N$6:$N$4005,"N"),0),$P$6:$P$4005,0)),"(tanpa lawan)"))</f>
        <v>1103101</v>
      </c>
      <c r="R729" s="44"/>
      <c r="S729" s="9" t="str">
        <f aca="false">IF(N729&lt;&gt;"Y","",IF(R729&lt;&gt;"",R729,IF(Q729="(tanpa lawan)","Transfer antar rekening",IFERROR(INDEX(I_COA!$F$6:$F$265,MATCH(Q729,I_COA!$A$6:$A$265,0)),"?"))))</f>
        <v>Penerimaan dari pelanggan</v>
      </c>
    </row>
    <row r="730" customFormat="false" ht="15" hidden="false" customHeight="false" outlineLevel="0" collapsed="false">
      <c r="A730" s="37" t="n">
        <v>46246</v>
      </c>
      <c r="B730" s="44" t="s">
        <v>1192</v>
      </c>
      <c r="C730" s="44" t="s">
        <v>585</v>
      </c>
      <c r="D730" s="44" t="n">
        <v>1103101</v>
      </c>
      <c r="E730" s="44" t="s">
        <v>589</v>
      </c>
      <c r="F730" s="44" t="s">
        <v>1193</v>
      </c>
      <c r="G730" s="42"/>
      <c r="H730" s="42" t="n">
        <v>67738050</v>
      </c>
      <c r="I730" s="44" t="s">
        <v>1194</v>
      </c>
      <c r="J730" s="11" t="n">
        <f aca="false">IF(D730="","",N(G730)-N(H730))</f>
        <v>-67738050</v>
      </c>
      <c r="K730" s="34" t="str">
        <f aca="false">IF(D730="","",IFERROR(INDEX(I_COA!$C$6:$C$265,MATCH(D730,I_COA!$A$6:$A$265,0)),"AKUN BARU"))</f>
        <v>Neraca</v>
      </c>
      <c r="L730" s="34" t="str">
        <f aca="false">IF(K730="LabaRugi",INDEX(I_COA!$D$6:$D$265,MATCH(D730,I_COA!$A$6:$A$265,0)),"")</f>
        <v/>
      </c>
      <c r="M730" s="34" t="str">
        <f aca="false">IF(K730="Neraca",INDEX(I_COA!$E$6:$E$265,MATCH(D730,I_COA!$A$6:$A$265,0)),"")</f>
        <v>Trade Receivables - Third Parties</v>
      </c>
      <c r="N730" s="34" t="str">
        <f aca="false">IF(D730="","",IFERROR(INDEX(I_COA!$G$6:$G$265,MATCH(D730,I_COA!$A$6:$A$265,0)),"N"))</f>
        <v>N</v>
      </c>
      <c r="O730" s="11" t="n">
        <f aca="false">IF(N730="N",ABS(J730),"")</f>
        <v>67738050</v>
      </c>
      <c r="P730" s="18" t="str">
        <f aca="false">IF(N730="N",B730&amp;"|"&amp;ROUND(O730,0),"")</f>
        <v>B7626080054|67738050</v>
      </c>
      <c r="Q730" s="18" t="str">
        <f aca="false">IF(N730&lt;&gt;"Y","",IFERROR(INDEX($D$6:$D$4005,MATCH(B730&amp;"|"&amp;ROUND(_xlfn.MAXIFS($O$6:$O$4005,$B$6:$B$4005,B730,$N$6:$N$4005,"N"),0),$P$6:$P$4005,0)),"(tanpa lawan)"))</f>
        <v/>
      </c>
      <c r="R730" s="44"/>
      <c r="S730" s="9" t="str">
        <f aca="false">IF(N730&lt;&gt;"Y","",IF(R730&lt;&gt;"",R730,IF(Q730="(tanpa lawan)","Transfer antar rekening",IFERROR(INDEX(I_COA!$F$6:$F$265,MATCH(Q730,I_COA!$A$6:$A$265,0)),"?"))))</f>
        <v/>
      </c>
    </row>
    <row r="731" customFormat="false" ht="15" hidden="false" customHeight="false" outlineLevel="0" collapsed="false">
      <c r="A731" s="37" t="n">
        <v>46246</v>
      </c>
      <c r="B731" s="44" t="s">
        <v>1195</v>
      </c>
      <c r="C731" s="44" t="s">
        <v>580</v>
      </c>
      <c r="D731" s="44" t="n">
        <v>1102001</v>
      </c>
      <c r="E731" s="44" t="s">
        <v>586</v>
      </c>
      <c r="F731" s="44" t="s">
        <v>1196</v>
      </c>
      <c r="G731" s="42" t="n">
        <v>46955920</v>
      </c>
      <c r="H731" s="42"/>
      <c r="I731" s="44"/>
      <c r="J731" s="11" t="n">
        <f aca="false">IF(D731="","",N(G731)-N(H731))</f>
        <v>46955920</v>
      </c>
      <c r="K731" s="34" t="str">
        <f aca="false">IF(D731="","",IFERROR(INDEX(I_COA!$C$6:$C$265,MATCH(D731,I_COA!$A$6:$A$265,0)),"AKUN BARU"))</f>
        <v>Neraca</v>
      </c>
      <c r="L731" s="34" t="str">
        <f aca="false">IF(K731="LabaRugi",INDEX(I_COA!$D$6:$D$265,MATCH(D731,I_COA!$A$6:$A$265,0)),"")</f>
        <v/>
      </c>
      <c r="M731" s="34" t="str">
        <f aca="false">IF(K731="Neraca",INDEX(I_COA!$E$6:$E$265,MATCH(D731,I_COA!$A$6:$A$265,0)),"")</f>
        <v>Cash and cash equivalents</v>
      </c>
      <c r="N731" s="34" t="str">
        <f aca="false">IF(D731="","",IFERROR(INDEX(I_COA!$G$6:$G$265,MATCH(D731,I_COA!$A$6:$A$265,0)),"N"))</f>
        <v>Y</v>
      </c>
      <c r="O731" s="11" t="str">
        <f aca="false">IF(N731="N",ABS(J731),"")</f>
        <v/>
      </c>
      <c r="P731" s="18" t="str">
        <f aca="false">IF(N731="N",B731&amp;"|"&amp;ROUND(O731,0),"")</f>
        <v/>
      </c>
      <c r="Q731" s="18" t="n">
        <f aca="false">IF(N731&lt;&gt;"Y","",IFERROR(INDEX($D$6:$D$4005,MATCH(B731&amp;"|"&amp;ROUND(_xlfn.MAXIFS($O$6:$O$4005,$B$6:$B$4005,B731,$N$6:$N$4005,"N"),0),$P$6:$P$4005,0)),"(tanpa lawan)"))</f>
        <v>2101020</v>
      </c>
      <c r="R731" s="44"/>
      <c r="S731" s="9" t="str">
        <f aca="false">IF(N731&lt;&gt;"Y","",IF(R731&lt;&gt;"",R731,IF(Q731="(tanpa lawan)","Transfer antar rekening",IFERROR(INDEX(I_COA!$F$6:$F$265,MATCH(Q731,I_COA!$A$6:$A$265,0)),"?"))))</f>
        <v>Penerimaan dari pelanggan</v>
      </c>
    </row>
    <row r="732" customFormat="false" ht="15" hidden="false" customHeight="false" outlineLevel="0" collapsed="false">
      <c r="A732" s="37" t="n">
        <v>46246</v>
      </c>
      <c r="B732" s="44" t="s">
        <v>1195</v>
      </c>
      <c r="C732" s="44" t="s">
        <v>580</v>
      </c>
      <c r="D732" s="44" t="n">
        <v>2101020</v>
      </c>
      <c r="E732" s="44" t="s">
        <v>653</v>
      </c>
      <c r="F732" s="44" t="s">
        <v>1196</v>
      </c>
      <c r="G732" s="42"/>
      <c r="H732" s="42" t="n">
        <v>46955920</v>
      </c>
      <c r="I732" s="44" t="s">
        <v>660</v>
      </c>
      <c r="J732" s="11" t="n">
        <f aca="false">IF(D732="","",N(G732)-N(H732))</f>
        <v>-46955920</v>
      </c>
      <c r="K732" s="34" t="str">
        <f aca="false">IF(D732="","",IFERROR(INDEX(I_COA!$C$6:$C$265,MATCH(D732,I_COA!$A$6:$A$265,0)),"AKUN BARU"))</f>
        <v>Neraca</v>
      </c>
      <c r="L732" s="34" t="str">
        <f aca="false">IF(K732="LabaRugi",INDEX(I_COA!$D$6:$D$265,MATCH(D732,I_COA!$A$6:$A$265,0)),"")</f>
        <v/>
      </c>
      <c r="M732" s="34" t="str">
        <f aca="false">IF(K732="Neraca",INDEX(I_COA!$E$6:$E$265,MATCH(D732,I_COA!$A$6:$A$265,0)),"")</f>
        <v>Unearned Revenue</v>
      </c>
      <c r="N732" s="34" t="str">
        <f aca="false">IF(D732="","",IFERROR(INDEX(I_COA!$G$6:$G$265,MATCH(D732,I_COA!$A$6:$A$265,0)),"N"))</f>
        <v>N</v>
      </c>
      <c r="O732" s="11" t="n">
        <f aca="false">IF(N732="N",ABS(J732),"")</f>
        <v>46955920</v>
      </c>
      <c r="P732" s="18" t="str">
        <f aca="false">IF(N732="N",B732&amp;"|"&amp;ROUND(O732,0),"")</f>
        <v>B7626080055|46955920</v>
      </c>
      <c r="Q732" s="18" t="str">
        <f aca="false">IF(N732&lt;&gt;"Y","",IFERROR(INDEX($D$6:$D$4005,MATCH(B732&amp;"|"&amp;ROUND(_xlfn.MAXIFS($O$6:$O$4005,$B$6:$B$4005,B732,$N$6:$N$4005,"N"),0),$P$6:$P$4005,0)),"(tanpa lawan)"))</f>
        <v/>
      </c>
      <c r="R732" s="44"/>
      <c r="S732" s="9" t="str">
        <f aca="false">IF(N732&lt;&gt;"Y","",IF(R732&lt;&gt;"",R732,IF(Q732="(tanpa lawan)","Transfer antar rekening",IFERROR(INDEX(I_COA!$F$6:$F$265,MATCH(Q732,I_COA!$A$6:$A$265,0)),"?"))))</f>
        <v/>
      </c>
    </row>
    <row r="733" customFormat="false" ht="15" hidden="false" customHeight="false" outlineLevel="0" collapsed="false">
      <c r="A733" s="37" t="n">
        <v>46246</v>
      </c>
      <c r="B733" s="44" t="s">
        <v>1197</v>
      </c>
      <c r="C733" s="44" t="s">
        <v>585</v>
      </c>
      <c r="D733" s="44" t="n">
        <v>1102001</v>
      </c>
      <c r="E733" s="44" t="s">
        <v>586</v>
      </c>
      <c r="F733" s="44" t="s">
        <v>1198</v>
      </c>
      <c r="G733" s="42" t="n">
        <v>79873225</v>
      </c>
      <c r="H733" s="42"/>
      <c r="I733" s="44" t="s">
        <v>457</v>
      </c>
      <c r="J733" s="11" t="n">
        <f aca="false">IF(D733="","",N(G733)-N(H733))</f>
        <v>79873225</v>
      </c>
      <c r="K733" s="34" t="str">
        <f aca="false">IF(D733="","",IFERROR(INDEX(I_COA!$C$6:$C$265,MATCH(D733,I_COA!$A$6:$A$265,0)),"AKUN BARU"))</f>
        <v>Neraca</v>
      </c>
      <c r="L733" s="34" t="str">
        <f aca="false">IF(K733="LabaRugi",INDEX(I_COA!$D$6:$D$265,MATCH(D733,I_COA!$A$6:$A$265,0)),"")</f>
        <v/>
      </c>
      <c r="M733" s="34" t="str">
        <f aca="false">IF(K733="Neraca",INDEX(I_COA!$E$6:$E$265,MATCH(D733,I_COA!$A$6:$A$265,0)),"")</f>
        <v>Cash and cash equivalents</v>
      </c>
      <c r="N733" s="34" t="str">
        <f aca="false">IF(D733="","",IFERROR(INDEX(I_COA!$G$6:$G$265,MATCH(D733,I_COA!$A$6:$A$265,0)),"N"))</f>
        <v>Y</v>
      </c>
      <c r="O733" s="11" t="str">
        <f aca="false">IF(N733="N",ABS(J733),"")</f>
        <v/>
      </c>
      <c r="P733" s="18" t="str">
        <f aca="false">IF(N733="N",B733&amp;"|"&amp;ROUND(O733,0),"")</f>
        <v/>
      </c>
      <c r="Q733" s="18" t="n">
        <f aca="false">IF(N733&lt;&gt;"Y","",IFERROR(INDEX($D$6:$D$4005,MATCH(B733&amp;"|"&amp;ROUND(_xlfn.MAXIFS($O$6:$O$4005,$B$6:$B$4005,B733,$N$6:$N$4005,"N"),0),$P$6:$P$4005,0)),"(tanpa lawan)"))</f>
        <v>1103101</v>
      </c>
      <c r="R733" s="44"/>
      <c r="S733" s="9" t="str">
        <f aca="false">IF(N733&lt;&gt;"Y","",IF(R733&lt;&gt;"",R733,IF(Q733="(tanpa lawan)","Transfer antar rekening",IFERROR(INDEX(I_COA!$F$6:$F$265,MATCH(Q733,I_COA!$A$6:$A$265,0)),"?"))))</f>
        <v>Penerimaan dari pelanggan</v>
      </c>
    </row>
    <row r="734" customFormat="false" ht="15" hidden="false" customHeight="false" outlineLevel="0" collapsed="false">
      <c r="A734" s="37" t="n">
        <v>46246</v>
      </c>
      <c r="B734" s="44" t="s">
        <v>1197</v>
      </c>
      <c r="C734" s="44" t="s">
        <v>585</v>
      </c>
      <c r="D734" s="44" t="n">
        <v>1103101</v>
      </c>
      <c r="E734" s="44" t="s">
        <v>589</v>
      </c>
      <c r="F734" s="44" t="s">
        <v>1198</v>
      </c>
      <c r="G734" s="42"/>
      <c r="H734" s="42" t="n">
        <v>79873225</v>
      </c>
      <c r="I734" s="44" t="s">
        <v>457</v>
      </c>
      <c r="J734" s="11" t="n">
        <f aca="false">IF(D734="","",N(G734)-N(H734))</f>
        <v>-79873225</v>
      </c>
      <c r="K734" s="34" t="str">
        <f aca="false">IF(D734="","",IFERROR(INDEX(I_COA!$C$6:$C$265,MATCH(D734,I_COA!$A$6:$A$265,0)),"AKUN BARU"))</f>
        <v>Neraca</v>
      </c>
      <c r="L734" s="34" t="str">
        <f aca="false">IF(K734="LabaRugi",INDEX(I_COA!$D$6:$D$265,MATCH(D734,I_COA!$A$6:$A$265,0)),"")</f>
        <v/>
      </c>
      <c r="M734" s="34" t="str">
        <f aca="false">IF(K734="Neraca",INDEX(I_COA!$E$6:$E$265,MATCH(D734,I_COA!$A$6:$A$265,0)),"")</f>
        <v>Trade Receivables - Third Parties</v>
      </c>
      <c r="N734" s="34" t="str">
        <f aca="false">IF(D734="","",IFERROR(INDEX(I_COA!$G$6:$G$265,MATCH(D734,I_COA!$A$6:$A$265,0)),"N"))</f>
        <v>N</v>
      </c>
      <c r="O734" s="11" t="n">
        <f aca="false">IF(N734="N",ABS(J734),"")</f>
        <v>79873225</v>
      </c>
      <c r="P734" s="18" t="str">
        <f aca="false">IF(N734="N",B734&amp;"|"&amp;ROUND(O734,0),"")</f>
        <v>B7626080056|79873225</v>
      </c>
      <c r="Q734" s="18" t="str">
        <f aca="false">IF(N734&lt;&gt;"Y","",IFERROR(INDEX($D$6:$D$4005,MATCH(B734&amp;"|"&amp;ROUND(_xlfn.MAXIFS($O$6:$O$4005,$B$6:$B$4005,B734,$N$6:$N$4005,"N"),0),$P$6:$P$4005,0)),"(tanpa lawan)"))</f>
        <v/>
      </c>
      <c r="R734" s="44"/>
      <c r="S734" s="9" t="str">
        <f aca="false">IF(N734&lt;&gt;"Y","",IF(R734&lt;&gt;"",R734,IF(Q734="(tanpa lawan)","Transfer antar rekening",IFERROR(INDEX(I_COA!$F$6:$F$265,MATCH(Q734,I_COA!$A$6:$A$265,0)),"?"))))</f>
        <v/>
      </c>
    </row>
    <row r="735" customFormat="false" ht="15" hidden="false" customHeight="false" outlineLevel="0" collapsed="false">
      <c r="A735" s="37" t="n">
        <v>46246</v>
      </c>
      <c r="B735" s="44" t="s">
        <v>1199</v>
      </c>
      <c r="C735" s="44" t="s">
        <v>580</v>
      </c>
      <c r="D735" s="44" t="n">
        <v>1102008</v>
      </c>
      <c r="E735" s="44" t="s">
        <v>781</v>
      </c>
      <c r="F735" s="44" t="s">
        <v>870</v>
      </c>
      <c r="G735" s="42" t="n">
        <v>500000000</v>
      </c>
      <c r="H735" s="42"/>
      <c r="I735" s="44"/>
      <c r="J735" s="11" t="n">
        <f aca="false">IF(D735="","",N(G735)-N(H735))</f>
        <v>500000000</v>
      </c>
      <c r="K735" s="34" t="str">
        <f aca="false">IF(D735="","",IFERROR(INDEX(I_COA!$C$6:$C$265,MATCH(D735,I_COA!$A$6:$A$265,0)),"AKUN BARU"))</f>
        <v>Neraca</v>
      </c>
      <c r="L735" s="34" t="str">
        <f aca="false">IF(K735="LabaRugi",INDEX(I_COA!$D$6:$D$265,MATCH(D735,I_COA!$A$6:$A$265,0)),"")</f>
        <v/>
      </c>
      <c r="M735" s="34" t="str">
        <f aca="false">IF(K735="Neraca",INDEX(I_COA!$E$6:$E$265,MATCH(D735,I_COA!$A$6:$A$265,0)),"")</f>
        <v>Advance Payment</v>
      </c>
      <c r="N735" s="34" t="str">
        <f aca="false">IF(D735="","",IFERROR(INDEX(I_COA!$G$6:$G$265,MATCH(D735,I_COA!$A$6:$A$265,0)),"N"))</f>
        <v>N</v>
      </c>
      <c r="O735" s="11" t="n">
        <f aca="false">IF(N735="N",ABS(J735),"")</f>
        <v>500000000</v>
      </c>
      <c r="P735" s="18" t="str">
        <f aca="false">IF(N735="N",B735&amp;"|"&amp;ROUND(O735,0),"")</f>
        <v>B7726080006|500000000</v>
      </c>
      <c r="Q735" s="18" t="str">
        <f aca="false">IF(N735&lt;&gt;"Y","",IFERROR(INDEX($D$6:$D$4005,MATCH(B735&amp;"|"&amp;ROUND(_xlfn.MAXIFS($O$6:$O$4005,$B$6:$B$4005,B735,$N$6:$N$4005,"N"),0),$P$6:$P$4005,0)),"(tanpa lawan)"))</f>
        <v/>
      </c>
      <c r="R735" s="44"/>
      <c r="S735" s="9" t="str">
        <f aca="false">IF(N735&lt;&gt;"Y","",IF(R735&lt;&gt;"",R735,IF(Q735="(tanpa lawan)","Transfer antar rekening",IFERROR(INDEX(I_COA!$F$6:$F$265,MATCH(Q735,I_COA!$A$6:$A$265,0)),"?"))))</f>
        <v/>
      </c>
    </row>
    <row r="736" customFormat="false" ht="15" hidden="false" customHeight="false" outlineLevel="0" collapsed="false">
      <c r="A736" s="37" t="n">
        <v>46246</v>
      </c>
      <c r="B736" s="44" t="s">
        <v>1199</v>
      </c>
      <c r="C736" s="44" t="s">
        <v>580</v>
      </c>
      <c r="D736" s="44" t="n">
        <v>1102001</v>
      </c>
      <c r="E736" s="44" t="s">
        <v>586</v>
      </c>
      <c r="F736" s="44" t="s">
        <v>782</v>
      </c>
      <c r="G736" s="42"/>
      <c r="H736" s="42" t="n">
        <v>500000000</v>
      </c>
      <c r="I736" s="44"/>
      <c r="J736" s="11" t="n">
        <f aca="false">IF(D736="","",N(G736)-N(H736))</f>
        <v>-500000000</v>
      </c>
      <c r="K736" s="34" t="str">
        <f aca="false">IF(D736="","",IFERROR(INDEX(I_COA!$C$6:$C$265,MATCH(D736,I_COA!$A$6:$A$265,0)),"AKUN BARU"))</f>
        <v>Neraca</v>
      </c>
      <c r="L736" s="34" t="str">
        <f aca="false">IF(K736="LabaRugi",INDEX(I_COA!$D$6:$D$265,MATCH(D736,I_COA!$A$6:$A$265,0)),"")</f>
        <v/>
      </c>
      <c r="M736" s="34" t="str">
        <f aca="false">IF(K736="Neraca",INDEX(I_COA!$E$6:$E$265,MATCH(D736,I_COA!$A$6:$A$265,0)),"")</f>
        <v>Cash and cash equivalents</v>
      </c>
      <c r="N736" s="34" t="str">
        <f aca="false">IF(D736="","",IFERROR(INDEX(I_COA!$G$6:$G$265,MATCH(D736,I_COA!$A$6:$A$265,0)),"N"))</f>
        <v>Y</v>
      </c>
      <c r="O736" s="11" t="str">
        <f aca="false">IF(N736="N",ABS(J736),"")</f>
        <v/>
      </c>
      <c r="P736" s="18" t="str">
        <f aca="false">IF(N736="N",B736&amp;"|"&amp;ROUND(O736,0),"")</f>
        <v/>
      </c>
      <c r="Q736" s="18" t="n">
        <f aca="false">IF(N736&lt;&gt;"Y","",IFERROR(INDEX($D$6:$D$4005,MATCH(B736&amp;"|"&amp;ROUND(_xlfn.MAXIFS($O$6:$O$4005,$B$6:$B$4005,B736,$N$6:$N$4005,"N"),0),$P$6:$P$4005,0)),"(tanpa lawan)"))</f>
        <v>1102008</v>
      </c>
      <c r="R736" s="44"/>
      <c r="S736" s="9" t="str">
        <f aca="false">IF(N736&lt;&gt;"Y","",IF(R736&lt;&gt;"",R736,IF(Q736="(tanpa lawan)","Transfer antar rekening",IFERROR(INDEX(I_COA!$F$6:$F$265,MATCH(Q736,I_COA!$A$6:$A$265,0)),"?"))))</f>
        <v>Transfer antar rekening</v>
      </c>
    </row>
    <row r="737" customFormat="false" ht="15" hidden="false" customHeight="false" outlineLevel="0" collapsed="false">
      <c r="A737" s="37" t="n">
        <v>46246</v>
      </c>
      <c r="B737" s="44" t="s">
        <v>1200</v>
      </c>
      <c r="C737" s="44" t="s">
        <v>580</v>
      </c>
      <c r="D737" s="44" t="n">
        <v>1102002</v>
      </c>
      <c r="E737" s="44" t="s">
        <v>598</v>
      </c>
      <c r="F737" s="44" t="s">
        <v>784</v>
      </c>
      <c r="G737" s="42" t="n">
        <v>500000000</v>
      </c>
      <c r="H737" s="42"/>
      <c r="I737" s="44"/>
      <c r="J737" s="11" t="n">
        <f aca="false">IF(D737="","",N(G737)-N(H737))</f>
        <v>500000000</v>
      </c>
      <c r="K737" s="34" t="str">
        <f aca="false">IF(D737="","",IFERROR(INDEX(I_COA!$C$6:$C$265,MATCH(D737,I_COA!$A$6:$A$265,0)),"AKUN BARU"))</f>
        <v>Neraca</v>
      </c>
      <c r="L737" s="34" t="str">
        <f aca="false">IF(K737="LabaRugi",INDEX(I_COA!$D$6:$D$265,MATCH(D737,I_COA!$A$6:$A$265,0)),"")</f>
        <v/>
      </c>
      <c r="M737" s="34" t="str">
        <f aca="false">IF(K737="Neraca",INDEX(I_COA!$E$6:$E$265,MATCH(D737,I_COA!$A$6:$A$265,0)),"")</f>
        <v>Cash and cash equivalents</v>
      </c>
      <c r="N737" s="34" t="str">
        <f aca="false">IF(D737="","",IFERROR(INDEX(I_COA!$G$6:$G$265,MATCH(D737,I_COA!$A$6:$A$265,0)),"N"))</f>
        <v>Y</v>
      </c>
      <c r="O737" s="11" t="str">
        <f aca="false">IF(N737="N",ABS(J737),"")</f>
        <v/>
      </c>
      <c r="P737" s="18" t="str">
        <f aca="false">IF(N737="N",B737&amp;"|"&amp;ROUND(O737,0),"")</f>
        <v/>
      </c>
      <c r="Q737" s="18" t="n">
        <f aca="false">IF(N737&lt;&gt;"Y","",IFERROR(INDEX($D$6:$D$4005,MATCH(B737&amp;"|"&amp;ROUND(_xlfn.MAXIFS($O$6:$O$4005,$B$6:$B$4005,B737,$N$6:$N$4005,"N"),0),$P$6:$P$4005,0)),"(tanpa lawan)"))</f>
        <v>1102008</v>
      </c>
      <c r="R737" s="44"/>
      <c r="S737" s="9" t="str">
        <f aca="false">IF(N737&lt;&gt;"Y","",IF(R737&lt;&gt;"",R737,IF(Q737="(tanpa lawan)","Transfer antar rekening",IFERROR(INDEX(I_COA!$F$6:$F$265,MATCH(Q737,I_COA!$A$6:$A$265,0)),"?"))))</f>
        <v>Transfer antar rekening</v>
      </c>
    </row>
    <row r="738" customFormat="false" ht="15" hidden="false" customHeight="false" outlineLevel="0" collapsed="false">
      <c r="A738" s="37" t="n">
        <v>46246</v>
      </c>
      <c r="B738" s="44" t="s">
        <v>1200</v>
      </c>
      <c r="C738" s="44" t="s">
        <v>580</v>
      </c>
      <c r="D738" s="44" t="n">
        <v>1102008</v>
      </c>
      <c r="E738" s="44" t="s">
        <v>781</v>
      </c>
      <c r="F738" s="44" t="s">
        <v>784</v>
      </c>
      <c r="G738" s="42"/>
      <c r="H738" s="42" t="n">
        <v>500000000</v>
      </c>
      <c r="I738" s="44"/>
      <c r="J738" s="11" t="n">
        <f aca="false">IF(D738="","",N(G738)-N(H738))</f>
        <v>-500000000</v>
      </c>
      <c r="K738" s="34" t="str">
        <f aca="false">IF(D738="","",IFERROR(INDEX(I_COA!$C$6:$C$265,MATCH(D738,I_COA!$A$6:$A$265,0)),"AKUN BARU"))</f>
        <v>Neraca</v>
      </c>
      <c r="L738" s="34" t="str">
        <f aca="false">IF(K738="LabaRugi",INDEX(I_COA!$D$6:$D$265,MATCH(D738,I_COA!$A$6:$A$265,0)),"")</f>
        <v/>
      </c>
      <c r="M738" s="34" t="str">
        <f aca="false">IF(K738="Neraca",INDEX(I_COA!$E$6:$E$265,MATCH(D738,I_COA!$A$6:$A$265,0)),"")</f>
        <v>Advance Payment</v>
      </c>
      <c r="N738" s="34" t="str">
        <f aca="false">IF(D738="","",IFERROR(INDEX(I_COA!$G$6:$G$265,MATCH(D738,I_COA!$A$6:$A$265,0)),"N"))</f>
        <v>N</v>
      </c>
      <c r="O738" s="11" t="n">
        <f aca="false">IF(N738="N",ABS(J738),"")</f>
        <v>500000000</v>
      </c>
      <c r="P738" s="18" t="str">
        <f aca="false">IF(N738="N",B738&amp;"|"&amp;ROUND(O738,0),"")</f>
        <v>B8426080007|500000000</v>
      </c>
      <c r="Q738" s="18" t="str">
        <f aca="false">IF(N738&lt;&gt;"Y","",IFERROR(INDEX($D$6:$D$4005,MATCH(B738&amp;"|"&amp;ROUND(_xlfn.MAXIFS($O$6:$O$4005,$B$6:$B$4005,B738,$N$6:$N$4005,"N"),0),$P$6:$P$4005,0)),"(tanpa lawan)"))</f>
        <v/>
      </c>
      <c r="R738" s="44"/>
      <c r="S738" s="9" t="str">
        <f aca="false">IF(N738&lt;&gt;"Y","",IF(R738&lt;&gt;"",R738,IF(Q738="(tanpa lawan)","Transfer antar rekening",IFERROR(INDEX(I_COA!$F$6:$F$265,MATCH(Q738,I_COA!$A$6:$A$265,0)),"?"))))</f>
        <v/>
      </c>
    </row>
    <row r="739" customFormat="false" ht="15" hidden="false" customHeight="false" outlineLevel="0" collapsed="false">
      <c r="A739" s="37" t="n">
        <v>46246</v>
      </c>
      <c r="B739" s="44" t="s">
        <v>1201</v>
      </c>
      <c r="C739" s="44" t="s">
        <v>580</v>
      </c>
      <c r="D739" s="44" t="n">
        <v>2101020</v>
      </c>
      <c r="E739" s="44" t="s">
        <v>653</v>
      </c>
      <c r="F739" s="44" t="s">
        <v>1202</v>
      </c>
      <c r="G739" s="42" t="n">
        <v>133000000</v>
      </c>
      <c r="H739" s="42"/>
      <c r="I739" s="44" t="s">
        <v>603</v>
      </c>
      <c r="J739" s="11" t="n">
        <f aca="false">IF(D739="","",N(G739)-N(H739))</f>
        <v>133000000</v>
      </c>
      <c r="K739" s="34" t="str">
        <f aca="false">IF(D739="","",IFERROR(INDEX(I_COA!$C$6:$C$265,MATCH(D739,I_COA!$A$6:$A$265,0)),"AKUN BARU"))</f>
        <v>Neraca</v>
      </c>
      <c r="L739" s="34" t="str">
        <f aca="false">IF(K739="LabaRugi",INDEX(I_COA!$D$6:$D$265,MATCH(D739,I_COA!$A$6:$A$265,0)),"")</f>
        <v/>
      </c>
      <c r="M739" s="34" t="str">
        <f aca="false">IF(K739="Neraca",INDEX(I_COA!$E$6:$E$265,MATCH(D739,I_COA!$A$6:$A$265,0)),"")</f>
        <v>Unearned Revenue</v>
      </c>
      <c r="N739" s="34" t="str">
        <f aca="false">IF(D739="","",IFERROR(INDEX(I_COA!$G$6:$G$265,MATCH(D739,I_COA!$A$6:$A$265,0)),"N"))</f>
        <v>N</v>
      </c>
      <c r="O739" s="11" t="n">
        <f aca="false">IF(N739="N",ABS(J739),"")</f>
        <v>133000000</v>
      </c>
      <c r="P739" s="18" t="str">
        <f aca="false">IF(N739="N",B739&amp;"|"&amp;ROUND(O739,0),"")</f>
        <v>B8526080048|133000000</v>
      </c>
      <c r="Q739" s="18" t="str">
        <f aca="false">IF(N739&lt;&gt;"Y","",IFERROR(INDEX($D$6:$D$4005,MATCH(B739&amp;"|"&amp;ROUND(_xlfn.MAXIFS($O$6:$O$4005,$B$6:$B$4005,B739,$N$6:$N$4005,"N"),0),$P$6:$P$4005,0)),"(tanpa lawan)"))</f>
        <v/>
      </c>
      <c r="R739" s="44"/>
      <c r="S739" s="9" t="str">
        <f aca="false">IF(N739&lt;&gt;"Y","",IF(R739&lt;&gt;"",R739,IF(Q739="(tanpa lawan)","Transfer antar rekening",IFERROR(INDEX(I_COA!$F$6:$F$265,MATCH(Q739,I_COA!$A$6:$A$265,0)),"?"))))</f>
        <v/>
      </c>
    </row>
    <row r="740" customFormat="false" ht="15" hidden="false" customHeight="false" outlineLevel="0" collapsed="false">
      <c r="A740" s="37" t="n">
        <v>46246</v>
      </c>
      <c r="B740" s="44" t="s">
        <v>1201</v>
      </c>
      <c r="C740" s="44" t="s">
        <v>580</v>
      </c>
      <c r="D740" s="44" t="n">
        <v>1102002</v>
      </c>
      <c r="E740" s="44" t="s">
        <v>598</v>
      </c>
      <c r="F740" s="44" t="s">
        <v>1202</v>
      </c>
      <c r="G740" s="42"/>
      <c r="H740" s="42" t="n">
        <v>133000000</v>
      </c>
      <c r="I740" s="44"/>
      <c r="J740" s="11" t="n">
        <f aca="false">IF(D740="","",N(G740)-N(H740))</f>
        <v>-133000000</v>
      </c>
      <c r="K740" s="34" t="str">
        <f aca="false">IF(D740="","",IFERROR(INDEX(I_COA!$C$6:$C$265,MATCH(D740,I_COA!$A$6:$A$265,0)),"AKUN BARU"))</f>
        <v>Neraca</v>
      </c>
      <c r="L740" s="34" t="str">
        <f aca="false">IF(K740="LabaRugi",INDEX(I_COA!$D$6:$D$265,MATCH(D740,I_COA!$A$6:$A$265,0)),"")</f>
        <v/>
      </c>
      <c r="M740" s="34" t="str">
        <f aca="false">IF(K740="Neraca",INDEX(I_COA!$E$6:$E$265,MATCH(D740,I_COA!$A$6:$A$265,0)),"")</f>
        <v>Cash and cash equivalents</v>
      </c>
      <c r="N740" s="34" t="str">
        <f aca="false">IF(D740="","",IFERROR(INDEX(I_COA!$G$6:$G$265,MATCH(D740,I_COA!$A$6:$A$265,0)),"N"))</f>
        <v>Y</v>
      </c>
      <c r="O740" s="11" t="str">
        <f aca="false">IF(N740="N",ABS(J740),"")</f>
        <v/>
      </c>
      <c r="P740" s="18" t="str">
        <f aca="false">IF(N740="N",B740&amp;"|"&amp;ROUND(O740,0),"")</f>
        <v/>
      </c>
      <c r="Q740" s="18" t="n">
        <f aca="false">IF(N740&lt;&gt;"Y","",IFERROR(INDEX($D$6:$D$4005,MATCH(B740&amp;"|"&amp;ROUND(_xlfn.MAXIFS($O$6:$O$4005,$B$6:$B$4005,B740,$N$6:$N$4005,"N"),0),$P$6:$P$4005,0)),"(tanpa lawan)"))</f>
        <v>2101020</v>
      </c>
      <c r="R740" s="44"/>
      <c r="S740" s="9" t="str">
        <f aca="false">IF(N740&lt;&gt;"Y","",IF(R740&lt;&gt;"",R740,IF(Q740="(tanpa lawan)","Transfer antar rekening",IFERROR(INDEX(I_COA!$F$6:$F$265,MATCH(Q740,I_COA!$A$6:$A$265,0)),"?"))))</f>
        <v>Penerimaan dari pelanggan</v>
      </c>
    </row>
    <row r="741" customFormat="false" ht="15" hidden="false" customHeight="false" outlineLevel="0" collapsed="false">
      <c r="A741" s="37" t="n">
        <v>46246</v>
      </c>
      <c r="B741" s="44" t="s">
        <v>1203</v>
      </c>
      <c r="C741" s="44" t="s">
        <v>594</v>
      </c>
      <c r="D741" s="44" t="n">
        <v>2101003</v>
      </c>
      <c r="E741" s="44" t="s">
        <v>679</v>
      </c>
      <c r="F741" s="44" t="s">
        <v>1204</v>
      </c>
      <c r="G741" s="42" t="n">
        <v>106695000</v>
      </c>
      <c r="H741" s="42"/>
      <c r="I741" s="44" t="s">
        <v>1107</v>
      </c>
      <c r="J741" s="11" t="n">
        <f aca="false">IF(D741="","",N(G741)-N(H741))</f>
        <v>106695000</v>
      </c>
      <c r="K741" s="34" t="str">
        <f aca="false">IF(D741="","",IFERROR(INDEX(I_COA!$C$6:$C$265,MATCH(D741,I_COA!$A$6:$A$265,0)),"AKUN BARU"))</f>
        <v>Neraca</v>
      </c>
      <c r="L741" s="34" t="str">
        <f aca="false">IF(K741="LabaRugi",INDEX(I_COA!$D$6:$D$265,MATCH(D741,I_COA!$A$6:$A$265,0)),"")</f>
        <v/>
      </c>
      <c r="M741" s="34" t="str">
        <f aca="false">IF(K741="Neraca",INDEX(I_COA!$E$6:$E$265,MATCH(D741,I_COA!$A$6:$A$265,0)),"")</f>
        <v>Other Payable - Third Parties</v>
      </c>
      <c r="N741" s="34" t="str">
        <f aca="false">IF(D741="","",IFERROR(INDEX(I_COA!$G$6:$G$265,MATCH(D741,I_COA!$A$6:$A$265,0)),"N"))</f>
        <v>N</v>
      </c>
      <c r="O741" s="11" t="n">
        <f aca="false">IF(N741="N",ABS(J741),"")</f>
        <v>106695000</v>
      </c>
      <c r="P741" s="18" t="str">
        <f aca="false">IF(N741="N",B741&amp;"|"&amp;ROUND(O741,0),"")</f>
        <v>B8526080049|106695000</v>
      </c>
      <c r="Q741" s="18" t="str">
        <f aca="false">IF(N741&lt;&gt;"Y","",IFERROR(INDEX($D$6:$D$4005,MATCH(B741&amp;"|"&amp;ROUND(_xlfn.MAXIFS($O$6:$O$4005,$B$6:$B$4005,B741,$N$6:$N$4005,"N"),0),$P$6:$P$4005,0)),"(tanpa lawan)"))</f>
        <v/>
      </c>
      <c r="R741" s="44"/>
      <c r="S741" s="9" t="str">
        <f aca="false">IF(N741&lt;&gt;"Y","",IF(R741&lt;&gt;"",R741,IF(Q741="(tanpa lawan)","Transfer antar rekening",IFERROR(INDEX(I_COA!$F$6:$F$265,MATCH(Q741,I_COA!$A$6:$A$265,0)),"?"))))</f>
        <v/>
      </c>
    </row>
    <row r="742" customFormat="false" ht="15" hidden="false" customHeight="false" outlineLevel="0" collapsed="false">
      <c r="A742" s="37" t="n">
        <v>46246</v>
      </c>
      <c r="B742" s="44" t="s">
        <v>1203</v>
      </c>
      <c r="C742" s="44" t="s">
        <v>594</v>
      </c>
      <c r="D742" s="44" t="n">
        <v>1102002</v>
      </c>
      <c r="E742" s="44" t="s">
        <v>598</v>
      </c>
      <c r="F742" s="44" t="s">
        <v>1204</v>
      </c>
      <c r="G742" s="42"/>
      <c r="H742" s="42" t="n">
        <v>106695000</v>
      </c>
      <c r="I742" s="44" t="s">
        <v>1107</v>
      </c>
      <c r="J742" s="11" t="n">
        <f aca="false">IF(D742="","",N(G742)-N(H742))</f>
        <v>-106695000</v>
      </c>
      <c r="K742" s="34" t="str">
        <f aca="false">IF(D742="","",IFERROR(INDEX(I_COA!$C$6:$C$265,MATCH(D742,I_COA!$A$6:$A$265,0)),"AKUN BARU"))</f>
        <v>Neraca</v>
      </c>
      <c r="L742" s="34" t="str">
        <f aca="false">IF(K742="LabaRugi",INDEX(I_COA!$D$6:$D$265,MATCH(D742,I_COA!$A$6:$A$265,0)),"")</f>
        <v/>
      </c>
      <c r="M742" s="34" t="str">
        <f aca="false">IF(K742="Neraca",INDEX(I_COA!$E$6:$E$265,MATCH(D742,I_COA!$A$6:$A$265,0)),"")</f>
        <v>Cash and cash equivalents</v>
      </c>
      <c r="N742" s="34" t="str">
        <f aca="false">IF(D742="","",IFERROR(INDEX(I_COA!$G$6:$G$265,MATCH(D742,I_COA!$A$6:$A$265,0)),"N"))</f>
        <v>Y</v>
      </c>
      <c r="O742" s="11" t="str">
        <f aca="false">IF(N742="N",ABS(J742),"")</f>
        <v/>
      </c>
      <c r="P742" s="18" t="str">
        <f aca="false">IF(N742="N",B742&amp;"|"&amp;ROUND(O742,0),"")</f>
        <v/>
      </c>
      <c r="Q742" s="18" t="n">
        <f aca="false">IF(N742&lt;&gt;"Y","",IFERROR(INDEX($D$6:$D$4005,MATCH(B742&amp;"|"&amp;ROUND(_xlfn.MAXIFS($O$6:$O$4005,$B$6:$B$4005,B742,$N$6:$N$4005,"N"),0),$P$6:$P$4005,0)),"(tanpa lawan)"))</f>
        <v>2101003</v>
      </c>
      <c r="R742" s="44"/>
      <c r="S742" s="9" t="str">
        <f aca="false">IF(N742&lt;&gt;"Y","",IF(R742&lt;&gt;"",R742,IF(Q742="(tanpa lawan)","Transfer antar rekening",IFERROR(INDEX(I_COA!$F$6:$F$265,MATCH(Q742,I_COA!$A$6:$A$265,0)),"?"))))</f>
        <v>Bayar jasa (maklon, angkut, cold storage, sewa)</v>
      </c>
    </row>
    <row r="743" customFormat="false" ht="15" hidden="false" customHeight="false" outlineLevel="0" collapsed="false">
      <c r="A743" s="37" t="n">
        <v>46246</v>
      </c>
      <c r="B743" s="44" t="s">
        <v>1205</v>
      </c>
      <c r="C743" s="44" t="s">
        <v>1056</v>
      </c>
      <c r="D743" s="44" t="n">
        <v>1104003</v>
      </c>
      <c r="E743" s="44" t="s">
        <v>613</v>
      </c>
      <c r="F743" s="48" t="s">
        <v>1206</v>
      </c>
      <c r="G743" s="42" t="n">
        <v>423396.3</v>
      </c>
      <c r="H743" s="42"/>
      <c r="I743" s="44"/>
      <c r="J743" s="11" t="n">
        <f aca="false">IF(D743="","",N(G743)-N(H743))</f>
        <v>423396.3</v>
      </c>
      <c r="K743" s="34" t="str">
        <f aca="false">IF(D743="","",IFERROR(INDEX(I_COA!$C$6:$C$265,MATCH(D743,I_COA!$A$6:$A$265,0)),"AKUN BARU"))</f>
        <v>Neraca</v>
      </c>
      <c r="L743" s="34" t="str">
        <f aca="false">IF(K743="LabaRugi",INDEX(I_COA!$D$6:$D$265,MATCH(D743,I_COA!$A$6:$A$265,0)),"")</f>
        <v/>
      </c>
      <c r="M743" s="34" t="str">
        <f aca="false">IF(K743="Neraca",INDEX(I_COA!$E$6:$E$265,MATCH(D743,I_COA!$A$6:$A$265,0)),"")</f>
        <v>Inventory - Product</v>
      </c>
      <c r="N743" s="34" t="str">
        <f aca="false">IF(D743="","",IFERROR(INDEX(I_COA!$G$6:$G$265,MATCH(D743,I_COA!$A$6:$A$265,0)),"N"))</f>
        <v>N</v>
      </c>
      <c r="O743" s="11" t="n">
        <f aca="false">IF(N743="N",ABS(J743),"")</f>
        <v>423396.3</v>
      </c>
      <c r="P743" s="18" t="str">
        <f aca="false">IF(N743="N",B743&amp;"|"&amp;ROUND(O743,0),"")</f>
        <v>IA26080005|423396</v>
      </c>
      <c r="Q743" s="18" t="str">
        <f aca="false">IF(N743&lt;&gt;"Y","",IFERROR(INDEX($D$6:$D$4005,MATCH(B743&amp;"|"&amp;ROUND(_xlfn.MAXIFS($O$6:$O$4005,$B$6:$B$4005,B743,$N$6:$N$4005,"N"),0),$P$6:$P$4005,0)),"(tanpa lawan)"))</f>
        <v/>
      </c>
      <c r="R743" s="44"/>
      <c r="S743" s="9" t="str">
        <f aca="false">IF(N743&lt;&gt;"Y","",IF(R743&lt;&gt;"",R743,IF(Q743="(tanpa lawan)","Transfer antar rekening",IFERROR(INDEX(I_COA!$F$6:$F$265,MATCH(Q743,I_COA!$A$6:$A$265,0)),"?"))))</f>
        <v/>
      </c>
    </row>
    <row r="744" customFormat="false" ht="15" hidden="false" customHeight="false" outlineLevel="0" collapsed="false">
      <c r="A744" s="37" t="n">
        <v>46246</v>
      </c>
      <c r="B744" s="44" t="s">
        <v>1205</v>
      </c>
      <c r="C744" s="44" t="s">
        <v>1056</v>
      </c>
      <c r="D744" s="44" t="n">
        <v>7100006</v>
      </c>
      <c r="E744" s="44" t="s">
        <v>1058</v>
      </c>
      <c r="F744" s="48" t="s">
        <v>1206</v>
      </c>
      <c r="G744" s="42"/>
      <c r="H744" s="42" t="n">
        <v>423396.3</v>
      </c>
      <c r="I744" s="44"/>
      <c r="J744" s="11" t="n">
        <f aca="false">IF(D744="","",N(G744)-N(H744))</f>
        <v>-423396.3</v>
      </c>
      <c r="K744" s="34" t="str">
        <f aca="false">IF(D744="","",IFERROR(INDEX(I_COA!$C$6:$C$265,MATCH(D744,I_COA!$A$6:$A$265,0)),"AKUN BARU"))</f>
        <v>LabaRugi</v>
      </c>
      <c r="L744" s="34" t="str">
        <f aca="false">IF(K744="LabaRugi",INDEX(I_COA!$D$6:$D$265,MATCH(D744,I_COA!$A$6:$A$265,0)),"")</f>
        <v>Other Income</v>
      </c>
      <c r="M744" s="34" t="str">
        <f aca="false">IF(K744="Neraca",INDEX(I_COA!$E$6:$E$265,MATCH(D744,I_COA!$A$6:$A$265,0)),"")</f>
        <v/>
      </c>
      <c r="N744" s="34" t="str">
        <f aca="false">IF(D744="","",IFERROR(INDEX(I_COA!$G$6:$G$265,MATCH(D744,I_COA!$A$6:$A$265,0)),"N"))</f>
        <v>N</v>
      </c>
      <c r="O744" s="11" t="n">
        <f aca="false">IF(N744="N",ABS(J744),"")</f>
        <v>423396.3</v>
      </c>
      <c r="P744" s="18" t="str">
        <f aca="false">IF(N744="N",B744&amp;"|"&amp;ROUND(O744,0),"")</f>
        <v>IA26080005|423396</v>
      </c>
      <c r="Q744" s="18" t="str">
        <f aca="false">IF(N744&lt;&gt;"Y","",IFERROR(INDEX($D$6:$D$4005,MATCH(B744&amp;"|"&amp;ROUND(_xlfn.MAXIFS($O$6:$O$4005,$B$6:$B$4005,B744,$N$6:$N$4005,"N"),0),$P$6:$P$4005,0)),"(tanpa lawan)"))</f>
        <v/>
      </c>
      <c r="R744" s="44"/>
      <c r="S744" s="9" t="str">
        <f aca="false">IF(N744&lt;&gt;"Y","",IF(R744&lt;&gt;"",R744,IF(Q744="(tanpa lawan)","Transfer antar rekening",IFERROR(INDEX(I_COA!$F$6:$F$265,MATCH(Q744,I_COA!$A$6:$A$265,0)),"?"))))</f>
        <v/>
      </c>
    </row>
    <row r="745" customFormat="false" ht="15" hidden="false" customHeight="false" outlineLevel="0" collapsed="false">
      <c r="A745" s="37" t="n">
        <v>46246</v>
      </c>
      <c r="B745" s="44" t="s">
        <v>1207</v>
      </c>
      <c r="C745" s="44" t="s">
        <v>600</v>
      </c>
      <c r="D745" s="44" t="n">
        <v>1104002</v>
      </c>
      <c r="E745" s="44" t="s">
        <v>601</v>
      </c>
      <c r="F745" s="44" t="s">
        <v>1208</v>
      </c>
      <c r="G745" s="42" t="n">
        <v>3819803.07</v>
      </c>
      <c r="H745" s="42"/>
      <c r="I745" s="44" t="s">
        <v>440</v>
      </c>
      <c r="J745" s="11" t="n">
        <f aca="false">IF(D745="","",N(G745)-N(H745))</f>
        <v>3819803.07</v>
      </c>
      <c r="K745" s="34" t="str">
        <f aca="false">IF(D745="","",IFERROR(INDEX(I_COA!$C$6:$C$265,MATCH(D745,I_COA!$A$6:$A$265,0)),"AKUN BARU"))</f>
        <v>Neraca</v>
      </c>
      <c r="L745" s="34" t="str">
        <f aca="false">IF(K745="LabaRugi",INDEX(I_COA!$D$6:$D$265,MATCH(D745,I_COA!$A$6:$A$265,0)),"")</f>
        <v/>
      </c>
      <c r="M745" s="34" t="str">
        <f aca="false">IF(K745="Neraca",INDEX(I_COA!$E$6:$E$265,MATCH(D745,I_COA!$A$6:$A$265,0)),"")</f>
        <v>Inventory - Product</v>
      </c>
      <c r="N745" s="34" t="str">
        <f aca="false">IF(D745="","",IFERROR(INDEX(I_COA!$G$6:$G$265,MATCH(D745,I_COA!$A$6:$A$265,0)),"N"))</f>
        <v>N</v>
      </c>
      <c r="O745" s="11" t="n">
        <f aca="false">IF(N745="N",ABS(J745),"")</f>
        <v>3819803.07</v>
      </c>
      <c r="P745" s="18" t="str">
        <f aca="false">IF(N745="N",B745&amp;"|"&amp;ROUND(O745,0),"")</f>
        <v>KGR26.00248|3819803</v>
      </c>
      <c r="Q745" s="18" t="str">
        <f aca="false">IF(N745&lt;&gt;"Y","",IFERROR(INDEX($D$6:$D$4005,MATCH(B745&amp;"|"&amp;ROUND(_xlfn.MAXIFS($O$6:$O$4005,$B$6:$B$4005,B745,$N$6:$N$4005,"N"),0),$P$6:$P$4005,0)),"(tanpa lawan)"))</f>
        <v/>
      </c>
      <c r="R745" s="44"/>
      <c r="S745" s="9" t="str">
        <f aca="false">IF(N745&lt;&gt;"Y","",IF(R745&lt;&gt;"",R745,IF(Q745="(tanpa lawan)","Transfer antar rekening",IFERROR(INDEX(I_COA!$F$6:$F$265,MATCH(Q745,I_COA!$A$6:$A$265,0)),"?"))))</f>
        <v/>
      </c>
    </row>
    <row r="746" customFormat="false" ht="15" hidden="false" customHeight="false" outlineLevel="0" collapsed="false">
      <c r="A746" s="37" t="n">
        <v>46246</v>
      </c>
      <c r="B746" s="44" t="s">
        <v>1207</v>
      </c>
      <c r="C746" s="44" t="s">
        <v>600</v>
      </c>
      <c r="D746" s="44" t="n">
        <v>1104004</v>
      </c>
      <c r="E746" s="44" t="s">
        <v>917</v>
      </c>
      <c r="F746" s="44" t="s">
        <v>1208</v>
      </c>
      <c r="G746" s="42"/>
      <c r="H746" s="42" t="n">
        <v>3819803.07</v>
      </c>
      <c r="I746" s="44" t="s">
        <v>440</v>
      </c>
      <c r="J746" s="11" t="n">
        <f aca="false">IF(D746="","",N(G746)-N(H746))</f>
        <v>-3819803.07</v>
      </c>
      <c r="K746" s="34" t="str">
        <f aca="false">IF(D746="","",IFERROR(INDEX(I_COA!$C$6:$C$265,MATCH(D746,I_COA!$A$6:$A$265,0)),"AKUN BARU"))</f>
        <v>Neraca</v>
      </c>
      <c r="L746" s="34" t="str">
        <f aca="false">IF(K746="LabaRugi",INDEX(I_COA!$D$6:$D$265,MATCH(D746,I_COA!$A$6:$A$265,0)),"")</f>
        <v/>
      </c>
      <c r="M746" s="34" t="str">
        <f aca="false">IF(K746="Neraca",INDEX(I_COA!$E$6:$E$265,MATCH(D746,I_COA!$A$6:$A$265,0)),"")</f>
        <v>Inventory - Product</v>
      </c>
      <c r="N746" s="34" t="str">
        <f aca="false">IF(D746="","",IFERROR(INDEX(I_COA!$G$6:$G$265,MATCH(D746,I_COA!$A$6:$A$265,0)),"N"))</f>
        <v>N</v>
      </c>
      <c r="O746" s="11" t="n">
        <f aca="false">IF(N746="N",ABS(J746),"")</f>
        <v>3819803.07</v>
      </c>
      <c r="P746" s="18" t="str">
        <f aca="false">IF(N746="N",B746&amp;"|"&amp;ROUND(O746,0),"")</f>
        <v>KGR26.00248|3819803</v>
      </c>
      <c r="Q746" s="18" t="str">
        <f aca="false">IF(N746&lt;&gt;"Y","",IFERROR(INDEX($D$6:$D$4005,MATCH(B746&amp;"|"&amp;ROUND(_xlfn.MAXIFS($O$6:$O$4005,$B$6:$B$4005,B746,$N$6:$N$4005,"N"),0),$P$6:$P$4005,0)),"(tanpa lawan)"))</f>
        <v/>
      </c>
      <c r="R746" s="44"/>
      <c r="S746" s="9" t="str">
        <f aca="false">IF(N746&lt;&gt;"Y","",IF(R746&lt;&gt;"",R746,IF(Q746="(tanpa lawan)","Transfer antar rekening",IFERROR(INDEX(I_COA!$F$6:$F$265,MATCH(Q746,I_COA!$A$6:$A$265,0)),"?"))))</f>
        <v/>
      </c>
    </row>
    <row r="747" customFormat="false" ht="15" hidden="false" customHeight="false" outlineLevel="0" collapsed="false">
      <c r="A747" s="37" t="n">
        <v>46246</v>
      </c>
      <c r="B747" s="44" t="s">
        <v>1209</v>
      </c>
      <c r="C747" s="44" t="s">
        <v>600</v>
      </c>
      <c r="D747" s="44" t="n">
        <v>1104002</v>
      </c>
      <c r="E747" s="44" t="s">
        <v>601</v>
      </c>
      <c r="F747" s="44" t="s">
        <v>1210</v>
      </c>
      <c r="G747" s="42" t="n">
        <v>3350646.83</v>
      </c>
      <c r="H747" s="42"/>
      <c r="I747" s="44" t="s">
        <v>440</v>
      </c>
      <c r="J747" s="11" t="n">
        <f aca="false">IF(D747="","",N(G747)-N(H747))</f>
        <v>3350646.83</v>
      </c>
      <c r="K747" s="34" t="str">
        <f aca="false">IF(D747="","",IFERROR(INDEX(I_COA!$C$6:$C$265,MATCH(D747,I_COA!$A$6:$A$265,0)),"AKUN BARU"))</f>
        <v>Neraca</v>
      </c>
      <c r="L747" s="34" t="str">
        <f aca="false">IF(K747="LabaRugi",INDEX(I_COA!$D$6:$D$265,MATCH(D747,I_COA!$A$6:$A$265,0)),"")</f>
        <v/>
      </c>
      <c r="M747" s="34" t="str">
        <f aca="false">IF(K747="Neraca",INDEX(I_COA!$E$6:$E$265,MATCH(D747,I_COA!$A$6:$A$265,0)),"")</f>
        <v>Inventory - Product</v>
      </c>
      <c r="N747" s="34" t="str">
        <f aca="false">IF(D747="","",IFERROR(INDEX(I_COA!$G$6:$G$265,MATCH(D747,I_COA!$A$6:$A$265,0)),"N"))</f>
        <v>N</v>
      </c>
      <c r="O747" s="11" t="n">
        <f aca="false">IF(N747="N",ABS(J747),"")</f>
        <v>3350646.83</v>
      </c>
      <c r="P747" s="18" t="str">
        <f aca="false">IF(N747="N",B747&amp;"|"&amp;ROUND(O747,0),"")</f>
        <v>KGR26.00249|3350647</v>
      </c>
      <c r="Q747" s="18" t="str">
        <f aca="false">IF(N747&lt;&gt;"Y","",IFERROR(INDEX($D$6:$D$4005,MATCH(B747&amp;"|"&amp;ROUND(_xlfn.MAXIFS($O$6:$O$4005,$B$6:$B$4005,B747,$N$6:$N$4005,"N"),0),$P$6:$P$4005,0)),"(tanpa lawan)"))</f>
        <v/>
      </c>
      <c r="R747" s="44"/>
      <c r="S747" s="9" t="str">
        <f aca="false">IF(N747&lt;&gt;"Y","",IF(R747&lt;&gt;"",R747,IF(Q747="(tanpa lawan)","Transfer antar rekening",IFERROR(INDEX(I_COA!$F$6:$F$265,MATCH(Q747,I_COA!$A$6:$A$265,0)),"?"))))</f>
        <v/>
      </c>
    </row>
    <row r="748" customFormat="false" ht="15" hidden="false" customHeight="false" outlineLevel="0" collapsed="false">
      <c r="A748" s="37" t="n">
        <v>46246</v>
      </c>
      <c r="B748" s="44" t="s">
        <v>1209</v>
      </c>
      <c r="C748" s="44" t="s">
        <v>600</v>
      </c>
      <c r="D748" s="44" t="n">
        <v>1104004</v>
      </c>
      <c r="E748" s="44" t="s">
        <v>917</v>
      </c>
      <c r="F748" s="44" t="s">
        <v>1210</v>
      </c>
      <c r="G748" s="42"/>
      <c r="H748" s="42" t="n">
        <v>3350646.83</v>
      </c>
      <c r="I748" s="44" t="s">
        <v>440</v>
      </c>
      <c r="J748" s="11" t="n">
        <f aca="false">IF(D748="","",N(G748)-N(H748))</f>
        <v>-3350646.83</v>
      </c>
      <c r="K748" s="34" t="str">
        <f aca="false">IF(D748="","",IFERROR(INDEX(I_COA!$C$6:$C$265,MATCH(D748,I_COA!$A$6:$A$265,0)),"AKUN BARU"))</f>
        <v>Neraca</v>
      </c>
      <c r="L748" s="34" t="str">
        <f aca="false">IF(K748="LabaRugi",INDEX(I_COA!$D$6:$D$265,MATCH(D748,I_COA!$A$6:$A$265,0)),"")</f>
        <v/>
      </c>
      <c r="M748" s="34" t="str">
        <f aca="false">IF(K748="Neraca",INDEX(I_COA!$E$6:$E$265,MATCH(D748,I_COA!$A$6:$A$265,0)),"")</f>
        <v>Inventory - Product</v>
      </c>
      <c r="N748" s="34" t="str">
        <f aca="false">IF(D748="","",IFERROR(INDEX(I_COA!$G$6:$G$265,MATCH(D748,I_COA!$A$6:$A$265,0)),"N"))</f>
        <v>N</v>
      </c>
      <c r="O748" s="11" t="n">
        <f aca="false">IF(N748="N",ABS(J748),"")</f>
        <v>3350646.83</v>
      </c>
      <c r="P748" s="18" t="str">
        <f aca="false">IF(N748="N",B748&amp;"|"&amp;ROUND(O748,0),"")</f>
        <v>KGR26.00249|3350647</v>
      </c>
      <c r="Q748" s="18" t="str">
        <f aca="false">IF(N748&lt;&gt;"Y","",IFERROR(INDEX($D$6:$D$4005,MATCH(B748&amp;"|"&amp;ROUND(_xlfn.MAXIFS($O$6:$O$4005,$B$6:$B$4005,B748,$N$6:$N$4005,"N"),0),$P$6:$P$4005,0)),"(tanpa lawan)"))</f>
        <v/>
      </c>
      <c r="R748" s="44"/>
      <c r="S748" s="9" t="str">
        <f aca="false">IF(N748&lt;&gt;"Y","",IF(R748&lt;&gt;"",R748,IF(Q748="(tanpa lawan)","Transfer antar rekening",IFERROR(INDEX(I_COA!$F$6:$F$265,MATCH(Q748,I_COA!$A$6:$A$265,0)),"?"))))</f>
        <v/>
      </c>
    </row>
    <row r="749" customFormat="false" ht="15" hidden="false" customHeight="false" outlineLevel="0" collapsed="false">
      <c r="A749" s="37" t="n">
        <v>46246</v>
      </c>
      <c r="B749" s="44" t="s">
        <v>1211</v>
      </c>
      <c r="C749" s="44" t="s">
        <v>600</v>
      </c>
      <c r="D749" s="44" t="n">
        <v>1104002</v>
      </c>
      <c r="E749" s="44" t="s">
        <v>601</v>
      </c>
      <c r="F749" s="44" t="s">
        <v>1212</v>
      </c>
      <c r="G749" s="42" t="n">
        <v>3542019.07</v>
      </c>
      <c r="H749" s="42"/>
      <c r="I749" s="44" t="s">
        <v>440</v>
      </c>
      <c r="J749" s="11" t="n">
        <f aca="false">IF(D749="","",N(G749)-N(H749))</f>
        <v>3542019.07</v>
      </c>
      <c r="K749" s="34" t="str">
        <f aca="false">IF(D749="","",IFERROR(INDEX(I_COA!$C$6:$C$265,MATCH(D749,I_COA!$A$6:$A$265,0)),"AKUN BARU"))</f>
        <v>Neraca</v>
      </c>
      <c r="L749" s="34" t="str">
        <f aca="false">IF(K749="LabaRugi",INDEX(I_COA!$D$6:$D$265,MATCH(D749,I_COA!$A$6:$A$265,0)),"")</f>
        <v/>
      </c>
      <c r="M749" s="34" t="str">
        <f aca="false">IF(K749="Neraca",INDEX(I_COA!$E$6:$E$265,MATCH(D749,I_COA!$A$6:$A$265,0)),"")</f>
        <v>Inventory - Product</v>
      </c>
      <c r="N749" s="34" t="str">
        <f aca="false">IF(D749="","",IFERROR(INDEX(I_COA!$G$6:$G$265,MATCH(D749,I_COA!$A$6:$A$265,0)),"N"))</f>
        <v>N</v>
      </c>
      <c r="O749" s="11" t="n">
        <f aca="false">IF(N749="N",ABS(J749),"")</f>
        <v>3542019.07</v>
      </c>
      <c r="P749" s="18" t="str">
        <f aca="false">IF(N749="N",B749&amp;"|"&amp;ROUND(O749,0),"")</f>
        <v>KGR26.00250|3542019</v>
      </c>
      <c r="Q749" s="18" t="str">
        <f aca="false">IF(N749&lt;&gt;"Y","",IFERROR(INDEX($D$6:$D$4005,MATCH(B749&amp;"|"&amp;ROUND(_xlfn.MAXIFS($O$6:$O$4005,$B$6:$B$4005,B749,$N$6:$N$4005,"N"),0),$P$6:$P$4005,0)),"(tanpa lawan)"))</f>
        <v/>
      </c>
      <c r="R749" s="44"/>
      <c r="S749" s="9" t="str">
        <f aca="false">IF(N749&lt;&gt;"Y","",IF(R749&lt;&gt;"",R749,IF(Q749="(tanpa lawan)","Transfer antar rekening",IFERROR(INDEX(I_COA!$F$6:$F$265,MATCH(Q749,I_COA!$A$6:$A$265,0)),"?"))))</f>
        <v/>
      </c>
    </row>
    <row r="750" customFormat="false" ht="15" hidden="false" customHeight="false" outlineLevel="0" collapsed="false">
      <c r="A750" s="37" t="n">
        <v>46246</v>
      </c>
      <c r="B750" s="44" t="s">
        <v>1211</v>
      </c>
      <c r="C750" s="44" t="s">
        <v>600</v>
      </c>
      <c r="D750" s="44" t="n">
        <v>1104004</v>
      </c>
      <c r="E750" s="44" t="s">
        <v>917</v>
      </c>
      <c r="F750" s="44" t="s">
        <v>1212</v>
      </c>
      <c r="G750" s="42"/>
      <c r="H750" s="42" t="n">
        <v>3542019.07</v>
      </c>
      <c r="I750" s="44" t="s">
        <v>440</v>
      </c>
      <c r="J750" s="11" t="n">
        <f aca="false">IF(D750="","",N(G750)-N(H750))</f>
        <v>-3542019.07</v>
      </c>
      <c r="K750" s="34" t="str">
        <f aca="false">IF(D750="","",IFERROR(INDEX(I_COA!$C$6:$C$265,MATCH(D750,I_COA!$A$6:$A$265,0)),"AKUN BARU"))</f>
        <v>Neraca</v>
      </c>
      <c r="L750" s="34" t="str">
        <f aca="false">IF(K750="LabaRugi",INDEX(I_COA!$D$6:$D$265,MATCH(D750,I_COA!$A$6:$A$265,0)),"")</f>
        <v/>
      </c>
      <c r="M750" s="34" t="str">
        <f aca="false">IF(K750="Neraca",INDEX(I_COA!$E$6:$E$265,MATCH(D750,I_COA!$A$6:$A$265,0)),"")</f>
        <v>Inventory - Product</v>
      </c>
      <c r="N750" s="34" t="str">
        <f aca="false">IF(D750="","",IFERROR(INDEX(I_COA!$G$6:$G$265,MATCH(D750,I_COA!$A$6:$A$265,0)),"N"))</f>
        <v>N</v>
      </c>
      <c r="O750" s="11" t="n">
        <f aca="false">IF(N750="N",ABS(J750),"")</f>
        <v>3542019.07</v>
      </c>
      <c r="P750" s="18" t="str">
        <f aca="false">IF(N750="N",B750&amp;"|"&amp;ROUND(O750,0),"")</f>
        <v>KGR26.00250|3542019</v>
      </c>
      <c r="Q750" s="18" t="str">
        <f aca="false">IF(N750&lt;&gt;"Y","",IFERROR(INDEX($D$6:$D$4005,MATCH(B750&amp;"|"&amp;ROUND(_xlfn.MAXIFS($O$6:$O$4005,$B$6:$B$4005,B750,$N$6:$N$4005,"N"),0),$P$6:$P$4005,0)),"(tanpa lawan)"))</f>
        <v/>
      </c>
      <c r="R750" s="44"/>
      <c r="S750" s="9" t="str">
        <f aca="false">IF(N750&lt;&gt;"Y","",IF(R750&lt;&gt;"",R750,IF(Q750="(tanpa lawan)","Transfer antar rekening",IFERROR(INDEX(I_COA!$F$6:$F$265,MATCH(Q750,I_COA!$A$6:$A$265,0)),"?"))))</f>
        <v/>
      </c>
    </row>
    <row r="751" customFormat="false" ht="15" hidden="false" customHeight="false" outlineLevel="0" collapsed="false">
      <c r="A751" s="37" t="n">
        <v>46246</v>
      </c>
      <c r="B751" s="44" t="s">
        <v>1213</v>
      </c>
      <c r="C751" s="44" t="s">
        <v>600</v>
      </c>
      <c r="D751" s="44" t="n">
        <v>1104002</v>
      </c>
      <c r="E751" s="44" t="s">
        <v>601</v>
      </c>
      <c r="F751" s="44" t="s">
        <v>1214</v>
      </c>
      <c r="G751" s="42" t="n">
        <v>1607147.36</v>
      </c>
      <c r="H751" s="42"/>
      <c r="I751" s="44" t="s">
        <v>440</v>
      </c>
      <c r="J751" s="11" t="n">
        <f aca="false">IF(D751="","",N(G751)-N(H751))</f>
        <v>1607147.36</v>
      </c>
      <c r="K751" s="34" t="str">
        <f aca="false">IF(D751="","",IFERROR(INDEX(I_COA!$C$6:$C$265,MATCH(D751,I_COA!$A$6:$A$265,0)),"AKUN BARU"))</f>
        <v>Neraca</v>
      </c>
      <c r="L751" s="34" t="str">
        <f aca="false">IF(K751="LabaRugi",INDEX(I_COA!$D$6:$D$265,MATCH(D751,I_COA!$A$6:$A$265,0)),"")</f>
        <v/>
      </c>
      <c r="M751" s="34" t="str">
        <f aca="false">IF(K751="Neraca",INDEX(I_COA!$E$6:$E$265,MATCH(D751,I_COA!$A$6:$A$265,0)),"")</f>
        <v>Inventory - Product</v>
      </c>
      <c r="N751" s="34" t="str">
        <f aca="false">IF(D751="","",IFERROR(INDEX(I_COA!$G$6:$G$265,MATCH(D751,I_COA!$A$6:$A$265,0)),"N"))</f>
        <v>N</v>
      </c>
      <c r="O751" s="11" t="n">
        <f aca="false">IF(N751="N",ABS(J751),"")</f>
        <v>1607147.36</v>
      </c>
      <c r="P751" s="18" t="str">
        <f aca="false">IF(N751="N",B751&amp;"|"&amp;ROUND(O751,0),"")</f>
        <v>KGR26.00251|1607147</v>
      </c>
      <c r="Q751" s="18" t="str">
        <f aca="false">IF(N751&lt;&gt;"Y","",IFERROR(INDEX($D$6:$D$4005,MATCH(B751&amp;"|"&amp;ROUND(_xlfn.MAXIFS($O$6:$O$4005,$B$6:$B$4005,B751,$N$6:$N$4005,"N"),0),$P$6:$P$4005,0)),"(tanpa lawan)"))</f>
        <v/>
      </c>
      <c r="R751" s="44"/>
      <c r="S751" s="9" t="str">
        <f aca="false">IF(N751&lt;&gt;"Y","",IF(R751&lt;&gt;"",R751,IF(Q751="(tanpa lawan)","Transfer antar rekening",IFERROR(INDEX(I_COA!$F$6:$F$265,MATCH(Q751,I_COA!$A$6:$A$265,0)),"?"))))</f>
        <v/>
      </c>
    </row>
    <row r="752" customFormat="false" ht="15" hidden="false" customHeight="false" outlineLevel="0" collapsed="false">
      <c r="A752" s="37" t="n">
        <v>46246</v>
      </c>
      <c r="B752" s="44" t="s">
        <v>1213</v>
      </c>
      <c r="C752" s="44" t="s">
        <v>600</v>
      </c>
      <c r="D752" s="44" t="n">
        <v>1104003</v>
      </c>
      <c r="E752" s="44" t="s">
        <v>613</v>
      </c>
      <c r="F752" s="44" t="s">
        <v>1214</v>
      </c>
      <c r="G752" s="42"/>
      <c r="H752" s="42" t="n">
        <v>1607147.36</v>
      </c>
      <c r="I752" s="44" t="s">
        <v>440</v>
      </c>
      <c r="J752" s="11" t="n">
        <f aca="false">IF(D752="","",N(G752)-N(H752))</f>
        <v>-1607147.36</v>
      </c>
      <c r="K752" s="34" t="str">
        <f aca="false">IF(D752="","",IFERROR(INDEX(I_COA!$C$6:$C$265,MATCH(D752,I_COA!$A$6:$A$265,0)),"AKUN BARU"))</f>
        <v>Neraca</v>
      </c>
      <c r="L752" s="34" t="str">
        <f aca="false">IF(K752="LabaRugi",INDEX(I_COA!$D$6:$D$265,MATCH(D752,I_COA!$A$6:$A$265,0)),"")</f>
        <v/>
      </c>
      <c r="M752" s="34" t="str">
        <f aca="false">IF(K752="Neraca",INDEX(I_COA!$E$6:$E$265,MATCH(D752,I_COA!$A$6:$A$265,0)),"")</f>
        <v>Inventory - Product</v>
      </c>
      <c r="N752" s="34" t="str">
        <f aca="false">IF(D752="","",IFERROR(INDEX(I_COA!$G$6:$G$265,MATCH(D752,I_COA!$A$6:$A$265,0)),"N"))</f>
        <v>N</v>
      </c>
      <c r="O752" s="11" t="n">
        <f aca="false">IF(N752="N",ABS(J752),"")</f>
        <v>1607147.36</v>
      </c>
      <c r="P752" s="18" t="str">
        <f aca="false">IF(N752="N",B752&amp;"|"&amp;ROUND(O752,0),"")</f>
        <v>KGR26.00251|1607147</v>
      </c>
      <c r="Q752" s="18" t="str">
        <f aca="false">IF(N752&lt;&gt;"Y","",IFERROR(INDEX($D$6:$D$4005,MATCH(B752&amp;"|"&amp;ROUND(_xlfn.MAXIFS($O$6:$O$4005,$B$6:$B$4005,B752,$N$6:$N$4005,"N"),0),$P$6:$P$4005,0)),"(tanpa lawan)"))</f>
        <v/>
      </c>
      <c r="R752" s="44"/>
      <c r="S752" s="9" t="str">
        <f aca="false">IF(N752&lt;&gt;"Y","",IF(R752&lt;&gt;"",R752,IF(Q752="(tanpa lawan)","Transfer antar rekening",IFERROR(INDEX(I_COA!$F$6:$F$265,MATCH(Q752,I_COA!$A$6:$A$265,0)),"?"))))</f>
        <v/>
      </c>
    </row>
    <row r="753" customFormat="false" ht="15" hidden="false" customHeight="false" outlineLevel="0" collapsed="false">
      <c r="A753" s="37" t="n">
        <v>46246</v>
      </c>
      <c r="B753" s="44" t="s">
        <v>1215</v>
      </c>
      <c r="C753" s="44" t="s">
        <v>600</v>
      </c>
      <c r="D753" s="44" t="n">
        <v>1104002</v>
      </c>
      <c r="E753" s="44" t="s">
        <v>601</v>
      </c>
      <c r="F753" s="44" t="s">
        <v>1216</v>
      </c>
      <c r="G753" s="42" t="n">
        <v>3467565.22</v>
      </c>
      <c r="H753" s="42"/>
      <c r="I753" s="44" t="s">
        <v>440</v>
      </c>
      <c r="J753" s="11" t="n">
        <f aca="false">IF(D753="","",N(G753)-N(H753))</f>
        <v>3467565.22</v>
      </c>
      <c r="K753" s="34" t="str">
        <f aca="false">IF(D753="","",IFERROR(INDEX(I_COA!$C$6:$C$265,MATCH(D753,I_COA!$A$6:$A$265,0)),"AKUN BARU"))</f>
        <v>Neraca</v>
      </c>
      <c r="L753" s="34" t="str">
        <f aca="false">IF(K753="LabaRugi",INDEX(I_COA!$D$6:$D$265,MATCH(D753,I_COA!$A$6:$A$265,0)),"")</f>
        <v/>
      </c>
      <c r="M753" s="34" t="str">
        <f aca="false">IF(K753="Neraca",INDEX(I_COA!$E$6:$E$265,MATCH(D753,I_COA!$A$6:$A$265,0)),"")</f>
        <v>Inventory - Product</v>
      </c>
      <c r="N753" s="34" t="str">
        <f aca="false">IF(D753="","",IFERROR(INDEX(I_COA!$G$6:$G$265,MATCH(D753,I_COA!$A$6:$A$265,0)),"N"))</f>
        <v>N</v>
      </c>
      <c r="O753" s="11" t="n">
        <f aca="false">IF(N753="N",ABS(J753),"")</f>
        <v>3467565.22</v>
      </c>
      <c r="P753" s="18" t="str">
        <f aca="false">IF(N753="N",B753&amp;"|"&amp;ROUND(O753,0),"")</f>
        <v>KGR26.00252|3467565</v>
      </c>
      <c r="Q753" s="18" t="str">
        <f aca="false">IF(N753&lt;&gt;"Y","",IFERROR(INDEX($D$6:$D$4005,MATCH(B753&amp;"|"&amp;ROUND(_xlfn.MAXIFS($O$6:$O$4005,$B$6:$B$4005,B753,$N$6:$N$4005,"N"),0),$P$6:$P$4005,0)),"(tanpa lawan)"))</f>
        <v/>
      </c>
      <c r="R753" s="44"/>
      <c r="S753" s="9" t="str">
        <f aca="false">IF(N753&lt;&gt;"Y","",IF(R753&lt;&gt;"",R753,IF(Q753="(tanpa lawan)","Transfer antar rekening",IFERROR(INDEX(I_COA!$F$6:$F$265,MATCH(Q753,I_COA!$A$6:$A$265,0)),"?"))))</f>
        <v/>
      </c>
    </row>
    <row r="754" customFormat="false" ht="15" hidden="false" customHeight="false" outlineLevel="0" collapsed="false">
      <c r="A754" s="37" t="n">
        <v>46246</v>
      </c>
      <c r="B754" s="44" t="s">
        <v>1215</v>
      </c>
      <c r="C754" s="44" t="s">
        <v>600</v>
      </c>
      <c r="D754" s="44" t="n">
        <v>1104004</v>
      </c>
      <c r="E754" s="44" t="s">
        <v>917</v>
      </c>
      <c r="F754" s="44" t="s">
        <v>1216</v>
      </c>
      <c r="G754" s="42"/>
      <c r="H754" s="42" t="n">
        <v>3467565.22</v>
      </c>
      <c r="I754" s="44" t="s">
        <v>440</v>
      </c>
      <c r="J754" s="11" t="n">
        <f aca="false">IF(D754="","",N(G754)-N(H754))</f>
        <v>-3467565.22</v>
      </c>
      <c r="K754" s="34" t="str">
        <f aca="false">IF(D754="","",IFERROR(INDEX(I_COA!$C$6:$C$265,MATCH(D754,I_COA!$A$6:$A$265,0)),"AKUN BARU"))</f>
        <v>Neraca</v>
      </c>
      <c r="L754" s="34" t="str">
        <f aca="false">IF(K754="LabaRugi",INDEX(I_COA!$D$6:$D$265,MATCH(D754,I_COA!$A$6:$A$265,0)),"")</f>
        <v/>
      </c>
      <c r="M754" s="34" t="str">
        <f aca="false">IF(K754="Neraca",INDEX(I_COA!$E$6:$E$265,MATCH(D754,I_COA!$A$6:$A$265,0)),"")</f>
        <v>Inventory - Product</v>
      </c>
      <c r="N754" s="34" t="str">
        <f aca="false">IF(D754="","",IFERROR(INDEX(I_COA!$G$6:$G$265,MATCH(D754,I_COA!$A$6:$A$265,0)),"N"))</f>
        <v>N</v>
      </c>
      <c r="O754" s="11" t="n">
        <f aca="false">IF(N754="N",ABS(J754),"")</f>
        <v>3467565.22</v>
      </c>
      <c r="P754" s="18" t="str">
        <f aca="false">IF(N754="N",B754&amp;"|"&amp;ROUND(O754,0),"")</f>
        <v>KGR26.00252|3467565</v>
      </c>
      <c r="Q754" s="18" t="str">
        <f aca="false">IF(N754&lt;&gt;"Y","",IFERROR(INDEX($D$6:$D$4005,MATCH(B754&amp;"|"&amp;ROUND(_xlfn.MAXIFS($O$6:$O$4005,$B$6:$B$4005,B754,$N$6:$N$4005,"N"),0),$P$6:$P$4005,0)),"(tanpa lawan)"))</f>
        <v/>
      </c>
      <c r="R754" s="44"/>
      <c r="S754" s="9" t="str">
        <f aca="false">IF(N754&lt;&gt;"Y","",IF(R754&lt;&gt;"",R754,IF(Q754="(tanpa lawan)","Transfer antar rekening",IFERROR(INDEX(I_COA!$F$6:$F$265,MATCH(Q754,I_COA!$A$6:$A$265,0)),"?"))))</f>
        <v/>
      </c>
    </row>
    <row r="755" customFormat="false" ht="15" hidden="false" customHeight="false" outlineLevel="0" collapsed="false">
      <c r="A755" s="37" t="n">
        <v>46246</v>
      </c>
      <c r="B755" s="44" t="s">
        <v>1217</v>
      </c>
      <c r="C755" s="44" t="s">
        <v>600</v>
      </c>
      <c r="D755" s="44" t="n">
        <v>1104002</v>
      </c>
      <c r="E755" s="44" t="s">
        <v>601</v>
      </c>
      <c r="F755" s="44" t="s">
        <v>1218</v>
      </c>
      <c r="G755" s="42" t="n">
        <v>3302134.76</v>
      </c>
      <c r="H755" s="42"/>
      <c r="I755" s="44" t="s">
        <v>440</v>
      </c>
      <c r="J755" s="11" t="n">
        <f aca="false">IF(D755="","",N(G755)-N(H755))</f>
        <v>3302134.76</v>
      </c>
      <c r="K755" s="34" t="str">
        <f aca="false">IF(D755="","",IFERROR(INDEX(I_COA!$C$6:$C$265,MATCH(D755,I_COA!$A$6:$A$265,0)),"AKUN BARU"))</f>
        <v>Neraca</v>
      </c>
      <c r="L755" s="34" t="str">
        <f aca="false">IF(K755="LabaRugi",INDEX(I_COA!$D$6:$D$265,MATCH(D755,I_COA!$A$6:$A$265,0)),"")</f>
        <v/>
      </c>
      <c r="M755" s="34" t="str">
        <f aca="false">IF(K755="Neraca",INDEX(I_COA!$E$6:$E$265,MATCH(D755,I_COA!$A$6:$A$265,0)),"")</f>
        <v>Inventory - Product</v>
      </c>
      <c r="N755" s="34" t="str">
        <f aca="false">IF(D755="","",IFERROR(INDEX(I_COA!$G$6:$G$265,MATCH(D755,I_COA!$A$6:$A$265,0)),"N"))</f>
        <v>N</v>
      </c>
      <c r="O755" s="11" t="n">
        <f aca="false">IF(N755="N",ABS(J755),"")</f>
        <v>3302134.76</v>
      </c>
      <c r="P755" s="18" t="str">
        <f aca="false">IF(N755="N",B755&amp;"|"&amp;ROUND(O755,0),"")</f>
        <v>KGR26.00253|3302135</v>
      </c>
      <c r="Q755" s="18" t="str">
        <f aca="false">IF(N755&lt;&gt;"Y","",IFERROR(INDEX($D$6:$D$4005,MATCH(B755&amp;"|"&amp;ROUND(_xlfn.MAXIFS($O$6:$O$4005,$B$6:$B$4005,B755,$N$6:$N$4005,"N"),0),$P$6:$P$4005,0)),"(tanpa lawan)"))</f>
        <v/>
      </c>
      <c r="R755" s="44"/>
      <c r="S755" s="9" t="str">
        <f aca="false">IF(N755&lt;&gt;"Y","",IF(R755&lt;&gt;"",R755,IF(Q755="(tanpa lawan)","Transfer antar rekening",IFERROR(INDEX(I_COA!$F$6:$F$265,MATCH(Q755,I_COA!$A$6:$A$265,0)),"?"))))</f>
        <v/>
      </c>
    </row>
    <row r="756" customFormat="false" ht="15" hidden="false" customHeight="false" outlineLevel="0" collapsed="false">
      <c r="A756" s="37" t="n">
        <v>46246</v>
      </c>
      <c r="B756" s="44" t="s">
        <v>1217</v>
      </c>
      <c r="C756" s="44" t="s">
        <v>600</v>
      </c>
      <c r="D756" s="44" t="n">
        <v>1104004</v>
      </c>
      <c r="E756" s="44" t="s">
        <v>917</v>
      </c>
      <c r="F756" s="44" t="s">
        <v>1218</v>
      </c>
      <c r="G756" s="42"/>
      <c r="H756" s="42" t="n">
        <v>3302134.76</v>
      </c>
      <c r="I756" s="44" t="s">
        <v>440</v>
      </c>
      <c r="J756" s="11" t="n">
        <f aca="false">IF(D756="","",N(G756)-N(H756))</f>
        <v>-3302134.76</v>
      </c>
      <c r="K756" s="34" t="str">
        <f aca="false">IF(D756="","",IFERROR(INDEX(I_COA!$C$6:$C$265,MATCH(D756,I_COA!$A$6:$A$265,0)),"AKUN BARU"))</f>
        <v>Neraca</v>
      </c>
      <c r="L756" s="34" t="str">
        <f aca="false">IF(K756="LabaRugi",INDEX(I_COA!$D$6:$D$265,MATCH(D756,I_COA!$A$6:$A$265,0)),"")</f>
        <v/>
      </c>
      <c r="M756" s="34" t="str">
        <f aca="false">IF(K756="Neraca",INDEX(I_COA!$E$6:$E$265,MATCH(D756,I_COA!$A$6:$A$265,0)),"")</f>
        <v>Inventory - Product</v>
      </c>
      <c r="N756" s="34" t="str">
        <f aca="false">IF(D756="","",IFERROR(INDEX(I_COA!$G$6:$G$265,MATCH(D756,I_COA!$A$6:$A$265,0)),"N"))</f>
        <v>N</v>
      </c>
      <c r="O756" s="11" t="n">
        <f aca="false">IF(N756="N",ABS(J756),"")</f>
        <v>3302134.76</v>
      </c>
      <c r="P756" s="18" t="str">
        <f aca="false">IF(N756="N",B756&amp;"|"&amp;ROUND(O756,0),"")</f>
        <v>KGR26.00253|3302135</v>
      </c>
      <c r="Q756" s="18" t="str">
        <f aca="false">IF(N756&lt;&gt;"Y","",IFERROR(INDEX($D$6:$D$4005,MATCH(B756&amp;"|"&amp;ROUND(_xlfn.MAXIFS($O$6:$O$4005,$B$6:$B$4005,B756,$N$6:$N$4005,"N"),0),$P$6:$P$4005,0)),"(tanpa lawan)"))</f>
        <v/>
      </c>
      <c r="R756" s="44"/>
      <c r="S756" s="9" t="str">
        <f aca="false">IF(N756&lt;&gt;"Y","",IF(R756&lt;&gt;"",R756,IF(Q756="(tanpa lawan)","Transfer antar rekening",IFERROR(INDEX(I_COA!$F$6:$F$265,MATCH(Q756,I_COA!$A$6:$A$265,0)),"?"))))</f>
        <v/>
      </c>
    </row>
    <row r="757" customFormat="false" ht="15" hidden="false" customHeight="false" outlineLevel="0" collapsed="false">
      <c r="A757" s="37" t="n">
        <v>46246</v>
      </c>
      <c r="B757" s="44" t="s">
        <v>1219</v>
      </c>
      <c r="C757" s="44" t="s">
        <v>600</v>
      </c>
      <c r="D757" s="44" t="n">
        <v>1104002</v>
      </c>
      <c r="E757" s="44" t="s">
        <v>601</v>
      </c>
      <c r="F757" s="44" t="s">
        <v>1220</v>
      </c>
      <c r="G757" s="42" t="n">
        <v>85299822.76</v>
      </c>
      <c r="H757" s="42"/>
      <c r="I757" s="44" t="s">
        <v>457</v>
      </c>
      <c r="J757" s="11" t="n">
        <f aca="false">IF(D757="","",N(G757)-N(H757))</f>
        <v>85299822.76</v>
      </c>
      <c r="K757" s="34" t="str">
        <f aca="false">IF(D757="","",IFERROR(INDEX(I_COA!$C$6:$C$265,MATCH(D757,I_COA!$A$6:$A$265,0)),"AKUN BARU"))</f>
        <v>Neraca</v>
      </c>
      <c r="L757" s="34" t="str">
        <f aca="false">IF(K757="LabaRugi",INDEX(I_COA!$D$6:$D$265,MATCH(D757,I_COA!$A$6:$A$265,0)),"")</f>
        <v/>
      </c>
      <c r="M757" s="34" t="str">
        <f aca="false">IF(K757="Neraca",INDEX(I_COA!$E$6:$E$265,MATCH(D757,I_COA!$A$6:$A$265,0)),"")</f>
        <v>Inventory - Product</v>
      </c>
      <c r="N757" s="34" t="str">
        <f aca="false">IF(D757="","",IFERROR(INDEX(I_COA!$G$6:$G$265,MATCH(D757,I_COA!$A$6:$A$265,0)),"N"))</f>
        <v>N</v>
      </c>
      <c r="O757" s="11" t="n">
        <f aca="false">IF(N757="N",ABS(J757),"")</f>
        <v>85299822.76</v>
      </c>
      <c r="P757" s="18" t="str">
        <f aca="false">IF(N757="N",B757&amp;"|"&amp;ROUND(O757,0),"")</f>
        <v>KGR26.00254|85299823</v>
      </c>
      <c r="Q757" s="18" t="str">
        <f aca="false">IF(N757&lt;&gt;"Y","",IFERROR(INDEX($D$6:$D$4005,MATCH(B757&amp;"|"&amp;ROUND(_xlfn.MAXIFS($O$6:$O$4005,$B$6:$B$4005,B757,$N$6:$N$4005,"N"),0),$P$6:$P$4005,0)),"(tanpa lawan)"))</f>
        <v/>
      </c>
      <c r="R757" s="44"/>
      <c r="S757" s="9" t="str">
        <f aca="false">IF(N757&lt;&gt;"Y","",IF(R757&lt;&gt;"",R757,IF(Q757="(tanpa lawan)","Transfer antar rekening",IFERROR(INDEX(I_COA!$F$6:$F$265,MATCH(Q757,I_COA!$A$6:$A$265,0)),"?"))))</f>
        <v/>
      </c>
    </row>
    <row r="758" customFormat="false" ht="15" hidden="false" customHeight="false" outlineLevel="0" collapsed="false">
      <c r="A758" s="37" t="n">
        <v>46246</v>
      </c>
      <c r="B758" s="44" t="s">
        <v>1219</v>
      </c>
      <c r="C758" s="44" t="s">
        <v>600</v>
      </c>
      <c r="D758" s="44" t="n">
        <v>1104003</v>
      </c>
      <c r="E758" s="44" t="s">
        <v>613</v>
      </c>
      <c r="F758" s="44" t="s">
        <v>1220</v>
      </c>
      <c r="G758" s="42"/>
      <c r="H758" s="42" t="n">
        <v>85299822.76</v>
      </c>
      <c r="I758" s="44" t="s">
        <v>457</v>
      </c>
      <c r="J758" s="11" t="n">
        <f aca="false">IF(D758="","",N(G758)-N(H758))</f>
        <v>-85299822.76</v>
      </c>
      <c r="K758" s="34" t="str">
        <f aca="false">IF(D758="","",IFERROR(INDEX(I_COA!$C$6:$C$265,MATCH(D758,I_COA!$A$6:$A$265,0)),"AKUN BARU"))</f>
        <v>Neraca</v>
      </c>
      <c r="L758" s="34" t="str">
        <f aca="false">IF(K758="LabaRugi",INDEX(I_COA!$D$6:$D$265,MATCH(D758,I_COA!$A$6:$A$265,0)),"")</f>
        <v/>
      </c>
      <c r="M758" s="34" t="str">
        <f aca="false">IF(K758="Neraca",INDEX(I_COA!$E$6:$E$265,MATCH(D758,I_COA!$A$6:$A$265,0)),"")</f>
        <v>Inventory - Product</v>
      </c>
      <c r="N758" s="34" t="str">
        <f aca="false">IF(D758="","",IFERROR(INDEX(I_COA!$G$6:$G$265,MATCH(D758,I_COA!$A$6:$A$265,0)),"N"))</f>
        <v>N</v>
      </c>
      <c r="O758" s="11" t="n">
        <f aca="false">IF(N758="N",ABS(J758),"")</f>
        <v>85299822.76</v>
      </c>
      <c r="P758" s="18" t="str">
        <f aca="false">IF(N758="N",B758&amp;"|"&amp;ROUND(O758,0),"")</f>
        <v>KGR26.00254|85299823</v>
      </c>
      <c r="Q758" s="18" t="str">
        <f aca="false">IF(N758&lt;&gt;"Y","",IFERROR(INDEX($D$6:$D$4005,MATCH(B758&amp;"|"&amp;ROUND(_xlfn.MAXIFS($O$6:$O$4005,$B$6:$B$4005,B758,$N$6:$N$4005,"N"),0),$P$6:$P$4005,0)),"(tanpa lawan)"))</f>
        <v/>
      </c>
      <c r="R758" s="44"/>
      <c r="S758" s="9" t="str">
        <f aca="false">IF(N758&lt;&gt;"Y","",IF(R758&lt;&gt;"",R758,IF(Q758="(tanpa lawan)","Transfer antar rekening",IFERROR(INDEX(I_COA!$F$6:$F$265,MATCH(Q758,I_COA!$A$6:$A$265,0)),"?"))))</f>
        <v/>
      </c>
    </row>
    <row r="759" customFormat="false" ht="15" hidden="false" customHeight="false" outlineLevel="0" collapsed="false">
      <c r="A759" s="37" t="n">
        <v>46246</v>
      </c>
      <c r="B759" s="44" t="s">
        <v>1221</v>
      </c>
      <c r="C759" s="44" t="s">
        <v>600</v>
      </c>
      <c r="D759" s="44" t="n">
        <v>1104002</v>
      </c>
      <c r="E759" s="44" t="s">
        <v>601</v>
      </c>
      <c r="F759" s="44" t="s">
        <v>1222</v>
      </c>
      <c r="G759" s="42" t="n">
        <v>94752093.85</v>
      </c>
      <c r="H759" s="42"/>
      <c r="I759" s="44" t="s">
        <v>1223</v>
      </c>
      <c r="J759" s="11" t="n">
        <f aca="false">IF(D759="","",N(G759)-N(H759))</f>
        <v>94752093.85</v>
      </c>
      <c r="K759" s="34" t="str">
        <f aca="false">IF(D759="","",IFERROR(INDEX(I_COA!$C$6:$C$265,MATCH(D759,I_COA!$A$6:$A$265,0)),"AKUN BARU"))</f>
        <v>Neraca</v>
      </c>
      <c r="L759" s="34" t="str">
        <f aca="false">IF(K759="LabaRugi",INDEX(I_COA!$D$6:$D$265,MATCH(D759,I_COA!$A$6:$A$265,0)),"")</f>
        <v/>
      </c>
      <c r="M759" s="34" t="str">
        <f aca="false">IF(K759="Neraca",INDEX(I_COA!$E$6:$E$265,MATCH(D759,I_COA!$A$6:$A$265,0)),"")</f>
        <v>Inventory - Product</v>
      </c>
      <c r="N759" s="34" t="str">
        <f aca="false">IF(D759="","",IFERROR(INDEX(I_COA!$G$6:$G$265,MATCH(D759,I_COA!$A$6:$A$265,0)),"N"))</f>
        <v>N</v>
      </c>
      <c r="O759" s="11" t="n">
        <f aca="false">IF(N759="N",ABS(J759),"")</f>
        <v>94752093.85</v>
      </c>
      <c r="P759" s="18" t="str">
        <f aca="false">IF(N759="N",B759&amp;"|"&amp;ROUND(O759,0),"")</f>
        <v>KGR26.00255|94752094</v>
      </c>
      <c r="Q759" s="18" t="str">
        <f aca="false">IF(N759&lt;&gt;"Y","",IFERROR(INDEX($D$6:$D$4005,MATCH(B759&amp;"|"&amp;ROUND(_xlfn.MAXIFS($O$6:$O$4005,$B$6:$B$4005,B759,$N$6:$N$4005,"N"),0),$P$6:$P$4005,0)),"(tanpa lawan)"))</f>
        <v/>
      </c>
      <c r="R759" s="44"/>
      <c r="S759" s="9" t="str">
        <f aca="false">IF(N759&lt;&gt;"Y","",IF(R759&lt;&gt;"",R759,IF(Q759="(tanpa lawan)","Transfer antar rekening",IFERROR(INDEX(I_COA!$F$6:$F$265,MATCH(Q759,I_COA!$A$6:$A$265,0)),"?"))))</f>
        <v/>
      </c>
    </row>
    <row r="760" customFormat="false" ht="15" hidden="false" customHeight="false" outlineLevel="0" collapsed="false">
      <c r="A760" s="37" t="n">
        <v>46246</v>
      </c>
      <c r="B760" s="44" t="s">
        <v>1221</v>
      </c>
      <c r="C760" s="44" t="s">
        <v>600</v>
      </c>
      <c r="D760" s="44" t="n">
        <v>1104003</v>
      </c>
      <c r="E760" s="44" t="s">
        <v>613</v>
      </c>
      <c r="F760" s="44" t="s">
        <v>1222</v>
      </c>
      <c r="G760" s="42"/>
      <c r="H760" s="42" t="n">
        <v>94752093.85</v>
      </c>
      <c r="I760" s="44" t="s">
        <v>1223</v>
      </c>
      <c r="J760" s="11" t="n">
        <f aca="false">IF(D760="","",N(G760)-N(H760))</f>
        <v>-94752093.85</v>
      </c>
      <c r="K760" s="34" t="str">
        <f aca="false">IF(D760="","",IFERROR(INDEX(I_COA!$C$6:$C$265,MATCH(D760,I_COA!$A$6:$A$265,0)),"AKUN BARU"))</f>
        <v>Neraca</v>
      </c>
      <c r="L760" s="34" t="str">
        <f aca="false">IF(K760="LabaRugi",INDEX(I_COA!$D$6:$D$265,MATCH(D760,I_COA!$A$6:$A$265,0)),"")</f>
        <v/>
      </c>
      <c r="M760" s="34" t="str">
        <f aca="false">IF(K760="Neraca",INDEX(I_COA!$E$6:$E$265,MATCH(D760,I_COA!$A$6:$A$265,0)),"")</f>
        <v>Inventory - Product</v>
      </c>
      <c r="N760" s="34" t="str">
        <f aca="false">IF(D760="","",IFERROR(INDEX(I_COA!$G$6:$G$265,MATCH(D760,I_COA!$A$6:$A$265,0)),"N"))</f>
        <v>N</v>
      </c>
      <c r="O760" s="11" t="n">
        <f aca="false">IF(N760="N",ABS(J760),"")</f>
        <v>94752093.85</v>
      </c>
      <c r="P760" s="18" t="str">
        <f aca="false">IF(N760="N",B760&amp;"|"&amp;ROUND(O760,0),"")</f>
        <v>KGR26.00255|94752094</v>
      </c>
      <c r="Q760" s="18" t="str">
        <f aca="false">IF(N760&lt;&gt;"Y","",IFERROR(INDEX($D$6:$D$4005,MATCH(B760&amp;"|"&amp;ROUND(_xlfn.MAXIFS($O$6:$O$4005,$B$6:$B$4005,B760,$N$6:$N$4005,"N"),0),$P$6:$P$4005,0)),"(tanpa lawan)"))</f>
        <v/>
      </c>
      <c r="R760" s="44"/>
      <c r="S760" s="9" t="str">
        <f aca="false">IF(N760&lt;&gt;"Y","",IF(R760&lt;&gt;"",R760,IF(Q760="(tanpa lawan)","Transfer antar rekening",IFERROR(INDEX(I_COA!$F$6:$F$265,MATCH(Q760,I_COA!$A$6:$A$265,0)),"?"))))</f>
        <v/>
      </c>
    </row>
    <row r="761" customFormat="false" ht="15" hidden="false" customHeight="false" outlineLevel="0" collapsed="false">
      <c r="A761" s="37" t="n">
        <v>46246</v>
      </c>
      <c r="B761" s="44" t="s">
        <v>1224</v>
      </c>
      <c r="C761" s="44" t="s">
        <v>600</v>
      </c>
      <c r="D761" s="44" t="n">
        <v>1104002</v>
      </c>
      <c r="E761" s="44" t="s">
        <v>601</v>
      </c>
      <c r="F761" s="44" t="s">
        <v>1225</v>
      </c>
      <c r="G761" s="42" t="n">
        <v>51596499.28</v>
      </c>
      <c r="H761" s="42"/>
      <c r="I761" s="44" t="s">
        <v>1194</v>
      </c>
      <c r="J761" s="11" t="n">
        <f aca="false">IF(D761="","",N(G761)-N(H761))</f>
        <v>51596499.28</v>
      </c>
      <c r="K761" s="34" t="str">
        <f aca="false">IF(D761="","",IFERROR(INDEX(I_COA!$C$6:$C$265,MATCH(D761,I_COA!$A$6:$A$265,0)),"AKUN BARU"))</f>
        <v>Neraca</v>
      </c>
      <c r="L761" s="34" t="str">
        <f aca="false">IF(K761="LabaRugi",INDEX(I_COA!$D$6:$D$265,MATCH(D761,I_COA!$A$6:$A$265,0)),"")</f>
        <v/>
      </c>
      <c r="M761" s="34" t="str">
        <f aca="false">IF(K761="Neraca",INDEX(I_COA!$E$6:$E$265,MATCH(D761,I_COA!$A$6:$A$265,0)),"")</f>
        <v>Inventory - Product</v>
      </c>
      <c r="N761" s="34" t="str">
        <f aca="false">IF(D761="","",IFERROR(INDEX(I_COA!$G$6:$G$265,MATCH(D761,I_COA!$A$6:$A$265,0)),"N"))</f>
        <v>N</v>
      </c>
      <c r="O761" s="11" t="n">
        <f aca="false">IF(N761="N",ABS(J761),"")</f>
        <v>51596499.28</v>
      </c>
      <c r="P761" s="18" t="str">
        <f aca="false">IF(N761="N",B761&amp;"|"&amp;ROUND(O761,0),"")</f>
        <v>KGR26.00256|51596499</v>
      </c>
      <c r="Q761" s="18" t="str">
        <f aca="false">IF(N761&lt;&gt;"Y","",IFERROR(INDEX($D$6:$D$4005,MATCH(B761&amp;"|"&amp;ROUND(_xlfn.MAXIFS($O$6:$O$4005,$B$6:$B$4005,B761,$N$6:$N$4005,"N"),0),$P$6:$P$4005,0)),"(tanpa lawan)"))</f>
        <v/>
      </c>
      <c r="R761" s="44"/>
      <c r="S761" s="9" t="str">
        <f aca="false">IF(N761&lt;&gt;"Y","",IF(R761&lt;&gt;"",R761,IF(Q761="(tanpa lawan)","Transfer antar rekening",IFERROR(INDEX(I_COA!$F$6:$F$265,MATCH(Q761,I_COA!$A$6:$A$265,0)),"?"))))</f>
        <v/>
      </c>
    </row>
    <row r="762" customFormat="false" ht="15" hidden="false" customHeight="false" outlineLevel="0" collapsed="false">
      <c r="A762" s="37" t="n">
        <v>46246</v>
      </c>
      <c r="B762" s="44" t="s">
        <v>1224</v>
      </c>
      <c r="C762" s="44" t="s">
        <v>600</v>
      </c>
      <c r="D762" s="44" t="n">
        <v>1104006</v>
      </c>
      <c r="E762" s="44" t="s">
        <v>212</v>
      </c>
      <c r="F762" s="44" t="s">
        <v>1225</v>
      </c>
      <c r="G762" s="42"/>
      <c r="H762" s="42" t="n">
        <v>51596499.28</v>
      </c>
      <c r="I762" s="44" t="s">
        <v>1194</v>
      </c>
      <c r="J762" s="11" t="n">
        <f aca="false">IF(D762="","",N(G762)-N(H762))</f>
        <v>-51596499.28</v>
      </c>
      <c r="K762" s="34" t="str">
        <f aca="false">IF(D762="","",IFERROR(INDEX(I_COA!$C$6:$C$265,MATCH(D762,I_COA!$A$6:$A$265,0)),"AKUN BARU"))</f>
        <v>Neraca</v>
      </c>
      <c r="L762" s="34" t="str">
        <f aca="false">IF(K762="LabaRugi",INDEX(I_COA!$D$6:$D$265,MATCH(D762,I_COA!$A$6:$A$265,0)),"")</f>
        <v/>
      </c>
      <c r="M762" s="34" t="str">
        <f aca="false">IF(K762="Neraca",INDEX(I_COA!$E$6:$E$265,MATCH(D762,I_COA!$A$6:$A$265,0)),"")</f>
        <v>Inventory - Trading</v>
      </c>
      <c r="N762" s="34" t="str">
        <f aca="false">IF(D762="","",IFERROR(INDEX(I_COA!$G$6:$G$265,MATCH(D762,I_COA!$A$6:$A$265,0)),"N"))</f>
        <v>N</v>
      </c>
      <c r="O762" s="11" t="n">
        <f aca="false">IF(N762="N",ABS(J762),"")</f>
        <v>51596499.28</v>
      </c>
      <c r="P762" s="18" t="str">
        <f aca="false">IF(N762="N",B762&amp;"|"&amp;ROUND(O762,0),"")</f>
        <v>KGR26.00256|51596499</v>
      </c>
      <c r="Q762" s="18" t="str">
        <f aca="false">IF(N762&lt;&gt;"Y","",IFERROR(INDEX($D$6:$D$4005,MATCH(B762&amp;"|"&amp;ROUND(_xlfn.MAXIFS($O$6:$O$4005,$B$6:$B$4005,B762,$N$6:$N$4005,"N"),0),$P$6:$P$4005,0)),"(tanpa lawan)"))</f>
        <v/>
      </c>
      <c r="R762" s="44"/>
      <c r="S762" s="9" t="str">
        <f aca="false">IF(N762&lt;&gt;"Y","",IF(R762&lt;&gt;"",R762,IF(Q762="(tanpa lawan)","Transfer antar rekening",IFERROR(INDEX(I_COA!$F$6:$F$265,MATCH(Q762,I_COA!$A$6:$A$265,0)),"?"))))</f>
        <v/>
      </c>
    </row>
    <row r="763" customFormat="false" ht="15" hidden="false" customHeight="false" outlineLevel="0" collapsed="false">
      <c r="A763" s="37" t="n">
        <v>46246</v>
      </c>
      <c r="B763" s="44" t="s">
        <v>1226</v>
      </c>
      <c r="C763" s="44" t="s">
        <v>600</v>
      </c>
      <c r="D763" s="44" t="n">
        <v>1104002</v>
      </c>
      <c r="E763" s="44" t="s">
        <v>601</v>
      </c>
      <c r="F763" s="44" t="s">
        <v>1227</v>
      </c>
      <c r="G763" s="42" t="n">
        <v>34697669.59</v>
      </c>
      <c r="H763" s="42"/>
      <c r="I763" s="44" t="s">
        <v>1223</v>
      </c>
      <c r="J763" s="11" t="n">
        <f aca="false">IF(D763="","",N(G763)-N(H763))</f>
        <v>34697669.59</v>
      </c>
      <c r="K763" s="34" t="str">
        <f aca="false">IF(D763="","",IFERROR(INDEX(I_COA!$C$6:$C$265,MATCH(D763,I_COA!$A$6:$A$265,0)),"AKUN BARU"))</f>
        <v>Neraca</v>
      </c>
      <c r="L763" s="34" t="str">
        <f aca="false">IF(K763="LabaRugi",INDEX(I_COA!$D$6:$D$265,MATCH(D763,I_COA!$A$6:$A$265,0)),"")</f>
        <v/>
      </c>
      <c r="M763" s="34" t="str">
        <f aca="false">IF(K763="Neraca",INDEX(I_COA!$E$6:$E$265,MATCH(D763,I_COA!$A$6:$A$265,0)),"")</f>
        <v>Inventory - Product</v>
      </c>
      <c r="N763" s="34" t="str">
        <f aca="false">IF(D763="","",IFERROR(INDEX(I_COA!$G$6:$G$265,MATCH(D763,I_COA!$A$6:$A$265,0)),"N"))</f>
        <v>N</v>
      </c>
      <c r="O763" s="11" t="n">
        <f aca="false">IF(N763="N",ABS(J763),"")</f>
        <v>34697669.59</v>
      </c>
      <c r="P763" s="18" t="str">
        <f aca="false">IF(N763="N",B763&amp;"|"&amp;ROUND(O763,0),"")</f>
        <v>KGR26.00356|34697670</v>
      </c>
      <c r="Q763" s="18" t="str">
        <f aca="false">IF(N763&lt;&gt;"Y","",IFERROR(INDEX($D$6:$D$4005,MATCH(B763&amp;"|"&amp;ROUND(_xlfn.MAXIFS($O$6:$O$4005,$B$6:$B$4005,B763,$N$6:$N$4005,"N"),0),$P$6:$P$4005,0)),"(tanpa lawan)"))</f>
        <v/>
      </c>
      <c r="R763" s="44"/>
      <c r="S763" s="9" t="str">
        <f aca="false">IF(N763&lt;&gt;"Y","",IF(R763&lt;&gt;"",R763,IF(Q763="(tanpa lawan)","Transfer antar rekening",IFERROR(INDEX(I_COA!$F$6:$F$265,MATCH(Q763,I_COA!$A$6:$A$265,0)),"?"))))</f>
        <v/>
      </c>
    </row>
    <row r="764" customFormat="false" ht="15" hidden="false" customHeight="false" outlineLevel="0" collapsed="false">
      <c r="A764" s="37" t="n">
        <v>46246</v>
      </c>
      <c r="B764" s="44" t="s">
        <v>1226</v>
      </c>
      <c r="C764" s="44" t="s">
        <v>600</v>
      </c>
      <c r="D764" s="44" t="n">
        <v>1104003</v>
      </c>
      <c r="E764" s="44" t="s">
        <v>613</v>
      </c>
      <c r="F764" s="44" t="s">
        <v>1227</v>
      </c>
      <c r="G764" s="42"/>
      <c r="H764" s="42" t="n">
        <v>34697669.59</v>
      </c>
      <c r="I764" s="44" t="s">
        <v>1223</v>
      </c>
      <c r="J764" s="11" t="n">
        <f aca="false">IF(D764="","",N(G764)-N(H764))</f>
        <v>-34697669.59</v>
      </c>
      <c r="K764" s="34" t="str">
        <f aca="false">IF(D764="","",IFERROR(INDEX(I_COA!$C$6:$C$265,MATCH(D764,I_COA!$A$6:$A$265,0)),"AKUN BARU"))</f>
        <v>Neraca</v>
      </c>
      <c r="L764" s="34" t="str">
        <f aca="false">IF(K764="LabaRugi",INDEX(I_COA!$D$6:$D$265,MATCH(D764,I_COA!$A$6:$A$265,0)),"")</f>
        <v/>
      </c>
      <c r="M764" s="34" t="str">
        <f aca="false">IF(K764="Neraca",INDEX(I_COA!$E$6:$E$265,MATCH(D764,I_COA!$A$6:$A$265,0)),"")</f>
        <v>Inventory - Product</v>
      </c>
      <c r="N764" s="34" t="str">
        <f aca="false">IF(D764="","",IFERROR(INDEX(I_COA!$G$6:$G$265,MATCH(D764,I_COA!$A$6:$A$265,0)),"N"))</f>
        <v>N</v>
      </c>
      <c r="O764" s="11" t="n">
        <f aca="false">IF(N764="N",ABS(J764),"")</f>
        <v>34697669.59</v>
      </c>
      <c r="P764" s="18" t="str">
        <f aca="false">IF(N764="N",B764&amp;"|"&amp;ROUND(O764,0),"")</f>
        <v>KGR26.00356|34697670</v>
      </c>
      <c r="Q764" s="18" t="str">
        <f aca="false">IF(N764&lt;&gt;"Y","",IFERROR(INDEX($D$6:$D$4005,MATCH(B764&amp;"|"&amp;ROUND(_xlfn.MAXIFS($O$6:$O$4005,$B$6:$B$4005,B764,$N$6:$N$4005,"N"),0),$P$6:$P$4005,0)),"(tanpa lawan)"))</f>
        <v/>
      </c>
      <c r="R764" s="44"/>
      <c r="S764" s="9" t="str">
        <f aca="false">IF(N764&lt;&gt;"Y","",IF(R764&lt;&gt;"",R764,IF(Q764="(tanpa lawan)","Transfer antar rekening",IFERROR(INDEX(I_COA!$F$6:$F$265,MATCH(Q764,I_COA!$A$6:$A$265,0)),"?"))))</f>
        <v/>
      </c>
    </row>
    <row r="765" customFormat="false" ht="15" hidden="false" customHeight="false" outlineLevel="0" collapsed="false">
      <c r="A765" s="37" t="n">
        <v>46246</v>
      </c>
      <c r="B765" s="44" t="s">
        <v>1228</v>
      </c>
      <c r="C765" s="44" t="s">
        <v>617</v>
      </c>
      <c r="D765" s="44" t="n">
        <v>1103101</v>
      </c>
      <c r="E765" s="44" t="s">
        <v>589</v>
      </c>
      <c r="F765" s="44" t="s">
        <v>1229</v>
      </c>
      <c r="G765" s="42" t="n">
        <v>2329800</v>
      </c>
      <c r="H765" s="42"/>
      <c r="I765" s="44" t="s">
        <v>440</v>
      </c>
      <c r="J765" s="11" t="n">
        <f aca="false">IF(D765="","",N(G765)-N(H765))</f>
        <v>2329800</v>
      </c>
      <c r="K765" s="34" t="str">
        <f aca="false">IF(D765="","",IFERROR(INDEX(I_COA!$C$6:$C$265,MATCH(D765,I_COA!$A$6:$A$265,0)),"AKUN BARU"))</f>
        <v>Neraca</v>
      </c>
      <c r="L765" s="34" t="str">
        <f aca="false">IF(K765="LabaRugi",INDEX(I_COA!$D$6:$D$265,MATCH(D765,I_COA!$A$6:$A$265,0)),"")</f>
        <v/>
      </c>
      <c r="M765" s="34" t="str">
        <f aca="false">IF(K765="Neraca",INDEX(I_COA!$E$6:$E$265,MATCH(D765,I_COA!$A$6:$A$265,0)),"")</f>
        <v>Trade Receivables - Third Parties</v>
      </c>
      <c r="N765" s="34" t="str">
        <f aca="false">IF(D765="","",IFERROR(INDEX(I_COA!$G$6:$G$265,MATCH(D765,I_COA!$A$6:$A$265,0)),"N"))</f>
        <v>N</v>
      </c>
      <c r="O765" s="11" t="n">
        <f aca="false">IF(N765="N",ABS(J765),"")</f>
        <v>2329800</v>
      </c>
      <c r="P765" s="18" t="str">
        <f aca="false">IF(N765="N",B765&amp;"|"&amp;ROUND(O765,0),"")</f>
        <v>KGR26/0248|2329800</v>
      </c>
      <c r="Q765" s="18" t="str">
        <f aca="false">IF(N765&lt;&gt;"Y","",IFERROR(INDEX($D$6:$D$4005,MATCH(B765&amp;"|"&amp;ROUND(_xlfn.MAXIFS($O$6:$O$4005,$B$6:$B$4005,B765,$N$6:$N$4005,"N"),0),$P$6:$P$4005,0)),"(tanpa lawan)"))</f>
        <v/>
      </c>
      <c r="R765" s="44"/>
      <c r="S765" s="9" t="str">
        <f aca="false">IF(N765&lt;&gt;"Y","",IF(R765&lt;&gt;"",R765,IF(Q765="(tanpa lawan)","Transfer antar rekening",IFERROR(INDEX(I_COA!$F$6:$F$265,MATCH(Q765,I_COA!$A$6:$A$265,0)),"?"))))</f>
        <v/>
      </c>
    </row>
    <row r="766" customFormat="false" ht="15" hidden="false" customHeight="false" outlineLevel="0" collapsed="false">
      <c r="A766" s="37" t="n">
        <v>46246</v>
      </c>
      <c r="B766" s="44" t="s">
        <v>1228</v>
      </c>
      <c r="C766" s="44" t="s">
        <v>617</v>
      </c>
      <c r="D766" s="44" t="n">
        <v>4101007</v>
      </c>
      <c r="E766" s="44" t="s">
        <v>985</v>
      </c>
      <c r="F766" s="44" t="s">
        <v>1229</v>
      </c>
      <c r="G766" s="42"/>
      <c r="H766" s="42" t="n">
        <v>2329800</v>
      </c>
      <c r="I766" s="44" t="s">
        <v>440</v>
      </c>
      <c r="J766" s="11" t="n">
        <f aca="false">IF(D766="","",N(G766)-N(H766))</f>
        <v>-2329800</v>
      </c>
      <c r="K766" s="34" t="str">
        <f aca="false">IF(D766="","",IFERROR(INDEX(I_COA!$C$6:$C$265,MATCH(D766,I_COA!$A$6:$A$265,0)),"AKUN BARU"))</f>
        <v>LabaRugi</v>
      </c>
      <c r="L766" s="34" t="str">
        <f aca="false">IF(K766="LabaRugi",INDEX(I_COA!$D$6:$D$265,MATCH(D766,I_COA!$A$6:$A$265,0)),"")</f>
        <v>Revenue - LB By Product</v>
      </c>
      <c r="M766" s="34" t="str">
        <f aca="false">IF(K766="Neraca",INDEX(I_COA!$E$6:$E$265,MATCH(D766,I_COA!$A$6:$A$265,0)),"")</f>
        <v/>
      </c>
      <c r="N766" s="34" t="str">
        <f aca="false">IF(D766="","",IFERROR(INDEX(I_COA!$G$6:$G$265,MATCH(D766,I_COA!$A$6:$A$265,0)),"N"))</f>
        <v>N</v>
      </c>
      <c r="O766" s="11" t="n">
        <f aca="false">IF(N766="N",ABS(J766),"")</f>
        <v>2329800</v>
      </c>
      <c r="P766" s="18" t="str">
        <f aca="false">IF(N766="N",B766&amp;"|"&amp;ROUND(O766,0),"")</f>
        <v>KGR26/0248|2329800</v>
      </c>
      <c r="Q766" s="18" t="str">
        <f aca="false">IF(N766&lt;&gt;"Y","",IFERROR(INDEX($D$6:$D$4005,MATCH(B766&amp;"|"&amp;ROUND(_xlfn.MAXIFS($O$6:$O$4005,$B$6:$B$4005,B766,$N$6:$N$4005,"N"),0),$P$6:$P$4005,0)),"(tanpa lawan)"))</f>
        <v/>
      </c>
      <c r="R766" s="44"/>
      <c r="S766" s="9" t="str">
        <f aca="false">IF(N766&lt;&gt;"Y","",IF(R766&lt;&gt;"",R766,IF(Q766="(tanpa lawan)","Transfer antar rekening",IFERROR(INDEX(I_COA!$F$6:$F$265,MATCH(Q766,I_COA!$A$6:$A$265,0)),"?"))))</f>
        <v/>
      </c>
    </row>
    <row r="767" customFormat="false" ht="15" hidden="false" customHeight="false" outlineLevel="0" collapsed="false">
      <c r="A767" s="37" t="n">
        <v>46246</v>
      </c>
      <c r="B767" s="44" t="s">
        <v>1228</v>
      </c>
      <c r="C767" s="44" t="s">
        <v>617</v>
      </c>
      <c r="D767" s="44" t="n">
        <v>5100005</v>
      </c>
      <c r="E767" s="44" t="s">
        <v>986</v>
      </c>
      <c r="F767" s="44" t="s">
        <v>1229</v>
      </c>
      <c r="G767" s="42" t="n">
        <v>3819803.07</v>
      </c>
      <c r="H767" s="42"/>
      <c r="I767" s="44" t="s">
        <v>440</v>
      </c>
      <c r="J767" s="11" t="n">
        <f aca="false">IF(D767="","",N(G767)-N(H767))</f>
        <v>3819803.07</v>
      </c>
      <c r="K767" s="34" t="str">
        <f aca="false">IF(D767="","",IFERROR(INDEX(I_COA!$C$6:$C$265,MATCH(D767,I_COA!$A$6:$A$265,0)),"AKUN BARU"))</f>
        <v>LabaRugi</v>
      </c>
      <c r="L767" s="34" t="str">
        <f aca="false">IF(K767="LabaRugi",INDEX(I_COA!$D$6:$D$265,MATCH(D767,I_COA!$A$6:$A$265,0)),"")</f>
        <v>COGS - Live Bird</v>
      </c>
      <c r="M767" s="34" t="str">
        <f aca="false">IF(K767="Neraca",INDEX(I_COA!$E$6:$E$265,MATCH(D767,I_COA!$A$6:$A$265,0)),"")</f>
        <v/>
      </c>
      <c r="N767" s="34" t="str">
        <f aca="false">IF(D767="","",IFERROR(INDEX(I_COA!$G$6:$G$265,MATCH(D767,I_COA!$A$6:$A$265,0)),"N"))</f>
        <v>N</v>
      </c>
      <c r="O767" s="11" t="n">
        <f aca="false">IF(N767="N",ABS(J767),"")</f>
        <v>3819803.07</v>
      </c>
      <c r="P767" s="18" t="str">
        <f aca="false">IF(N767="N",B767&amp;"|"&amp;ROUND(O767,0),"")</f>
        <v>KGR26/0248|3819803</v>
      </c>
      <c r="Q767" s="18" t="str">
        <f aca="false">IF(N767&lt;&gt;"Y","",IFERROR(INDEX($D$6:$D$4005,MATCH(B767&amp;"|"&amp;ROUND(_xlfn.MAXIFS($O$6:$O$4005,$B$6:$B$4005,B767,$N$6:$N$4005,"N"),0),$P$6:$P$4005,0)),"(tanpa lawan)"))</f>
        <v/>
      </c>
      <c r="R767" s="44"/>
      <c r="S767" s="9" t="str">
        <f aca="false">IF(N767&lt;&gt;"Y","",IF(R767&lt;&gt;"",R767,IF(Q767="(tanpa lawan)","Transfer antar rekening",IFERROR(INDEX(I_COA!$F$6:$F$265,MATCH(Q767,I_COA!$A$6:$A$265,0)),"?"))))</f>
        <v/>
      </c>
    </row>
    <row r="768" customFormat="false" ht="15" hidden="false" customHeight="false" outlineLevel="0" collapsed="false">
      <c r="A768" s="37" t="n">
        <v>46246</v>
      </c>
      <c r="B768" s="44" t="s">
        <v>1228</v>
      </c>
      <c r="C768" s="44" t="s">
        <v>617</v>
      </c>
      <c r="D768" s="44" t="n">
        <v>1104002</v>
      </c>
      <c r="E768" s="44" t="s">
        <v>601</v>
      </c>
      <c r="F768" s="44" t="s">
        <v>1229</v>
      </c>
      <c r="G768" s="42"/>
      <c r="H768" s="42" t="n">
        <v>3819803.07</v>
      </c>
      <c r="I768" s="44" t="s">
        <v>440</v>
      </c>
      <c r="J768" s="11" t="n">
        <f aca="false">IF(D768="","",N(G768)-N(H768))</f>
        <v>-3819803.07</v>
      </c>
      <c r="K768" s="34" t="str">
        <f aca="false">IF(D768="","",IFERROR(INDEX(I_COA!$C$6:$C$265,MATCH(D768,I_COA!$A$6:$A$265,0)),"AKUN BARU"))</f>
        <v>Neraca</v>
      </c>
      <c r="L768" s="34" t="str">
        <f aca="false">IF(K768="LabaRugi",INDEX(I_COA!$D$6:$D$265,MATCH(D768,I_COA!$A$6:$A$265,0)),"")</f>
        <v/>
      </c>
      <c r="M768" s="34" t="str">
        <f aca="false">IF(K768="Neraca",INDEX(I_COA!$E$6:$E$265,MATCH(D768,I_COA!$A$6:$A$265,0)),"")</f>
        <v>Inventory - Product</v>
      </c>
      <c r="N768" s="34" t="str">
        <f aca="false">IF(D768="","",IFERROR(INDEX(I_COA!$G$6:$G$265,MATCH(D768,I_COA!$A$6:$A$265,0)),"N"))</f>
        <v>N</v>
      </c>
      <c r="O768" s="11" t="n">
        <f aca="false">IF(N768="N",ABS(J768),"")</f>
        <v>3819803.07</v>
      </c>
      <c r="P768" s="18" t="str">
        <f aca="false">IF(N768="N",B768&amp;"|"&amp;ROUND(O768,0),"")</f>
        <v>KGR26/0248|3819803</v>
      </c>
      <c r="Q768" s="18" t="str">
        <f aca="false">IF(N768&lt;&gt;"Y","",IFERROR(INDEX($D$6:$D$4005,MATCH(B768&amp;"|"&amp;ROUND(_xlfn.MAXIFS($O$6:$O$4005,$B$6:$B$4005,B768,$N$6:$N$4005,"N"),0),$P$6:$P$4005,0)),"(tanpa lawan)"))</f>
        <v/>
      </c>
      <c r="R768" s="44"/>
      <c r="S768" s="9" t="str">
        <f aca="false">IF(N768&lt;&gt;"Y","",IF(R768&lt;&gt;"",R768,IF(Q768="(tanpa lawan)","Transfer antar rekening",IFERROR(INDEX(I_COA!$F$6:$F$265,MATCH(Q768,I_COA!$A$6:$A$265,0)),"?"))))</f>
        <v/>
      </c>
    </row>
    <row r="769" customFormat="false" ht="15" hidden="false" customHeight="false" outlineLevel="0" collapsed="false">
      <c r="A769" s="37" t="n">
        <v>46246</v>
      </c>
      <c r="B769" s="44" t="s">
        <v>1230</v>
      </c>
      <c r="C769" s="44" t="s">
        <v>617</v>
      </c>
      <c r="D769" s="44" t="n">
        <v>1103101</v>
      </c>
      <c r="E769" s="44" t="s">
        <v>589</v>
      </c>
      <c r="F769" s="44" t="s">
        <v>1231</v>
      </c>
      <c r="G769" s="42" t="n">
        <v>2072350</v>
      </c>
      <c r="H769" s="42"/>
      <c r="I769" s="44" t="s">
        <v>440</v>
      </c>
      <c r="J769" s="11" t="n">
        <f aca="false">IF(D769="","",N(G769)-N(H769))</f>
        <v>2072350</v>
      </c>
      <c r="K769" s="34" t="str">
        <f aca="false">IF(D769="","",IFERROR(INDEX(I_COA!$C$6:$C$265,MATCH(D769,I_COA!$A$6:$A$265,0)),"AKUN BARU"))</f>
        <v>Neraca</v>
      </c>
      <c r="L769" s="34" t="str">
        <f aca="false">IF(K769="LabaRugi",INDEX(I_COA!$D$6:$D$265,MATCH(D769,I_COA!$A$6:$A$265,0)),"")</f>
        <v/>
      </c>
      <c r="M769" s="34" t="str">
        <f aca="false">IF(K769="Neraca",INDEX(I_COA!$E$6:$E$265,MATCH(D769,I_COA!$A$6:$A$265,0)),"")</f>
        <v>Trade Receivables - Third Parties</v>
      </c>
      <c r="N769" s="34" t="str">
        <f aca="false">IF(D769="","",IFERROR(INDEX(I_COA!$G$6:$G$265,MATCH(D769,I_COA!$A$6:$A$265,0)),"N"))</f>
        <v>N</v>
      </c>
      <c r="O769" s="11" t="n">
        <f aca="false">IF(N769="N",ABS(J769),"")</f>
        <v>2072350</v>
      </c>
      <c r="P769" s="18" t="str">
        <f aca="false">IF(N769="N",B769&amp;"|"&amp;ROUND(O769,0),"")</f>
        <v>KGR26/0249|2072350</v>
      </c>
      <c r="Q769" s="18" t="str">
        <f aca="false">IF(N769&lt;&gt;"Y","",IFERROR(INDEX($D$6:$D$4005,MATCH(B769&amp;"|"&amp;ROUND(_xlfn.MAXIFS($O$6:$O$4005,$B$6:$B$4005,B769,$N$6:$N$4005,"N"),0),$P$6:$P$4005,0)),"(tanpa lawan)"))</f>
        <v/>
      </c>
      <c r="R769" s="44"/>
      <c r="S769" s="9" t="str">
        <f aca="false">IF(N769&lt;&gt;"Y","",IF(R769&lt;&gt;"",R769,IF(Q769="(tanpa lawan)","Transfer antar rekening",IFERROR(INDEX(I_COA!$F$6:$F$265,MATCH(Q769,I_COA!$A$6:$A$265,0)),"?"))))</f>
        <v/>
      </c>
    </row>
    <row r="770" customFormat="false" ht="15" hidden="false" customHeight="false" outlineLevel="0" collapsed="false">
      <c r="A770" s="37" t="n">
        <v>46246</v>
      </c>
      <c r="B770" s="44" t="s">
        <v>1230</v>
      </c>
      <c r="C770" s="44" t="s">
        <v>617</v>
      </c>
      <c r="D770" s="44" t="n">
        <v>4101007</v>
      </c>
      <c r="E770" s="44" t="s">
        <v>985</v>
      </c>
      <c r="F770" s="44" t="s">
        <v>1231</v>
      </c>
      <c r="G770" s="42"/>
      <c r="H770" s="42" t="n">
        <v>2072350</v>
      </c>
      <c r="I770" s="44" t="s">
        <v>440</v>
      </c>
      <c r="J770" s="11" t="n">
        <f aca="false">IF(D770="","",N(G770)-N(H770))</f>
        <v>-2072350</v>
      </c>
      <c r="K770" s="34" t="str">
        <f aca="false">IF(D770="","",IFERROR(INDEX(I_COA!$C$6:$C$265,MATCH(D770,I_COA!$A$6:$A$265,0)),"AKUN BARU"))</f>
        <v>LabaRugi</v>
      </c>
      <c r="L770" s="34" t="str">
        <f aca="false">IF(K770="LabaRugi",INDEX(I_COA!$D$6:$D$265,MATCH(D770,I_COA!$A$6:$A$265,0)),"")</f>
        <v>Revenue - LB By Product</v>
      </c>
      <c r="M770" s="34" t="str">
        <f aca="false">IF(K770="Neraca",INDEX(I_COA!$E$6:$E$265,MATCH(D770,I_COA!$A$6:$A$265,0)),"")</f>
        <v/>
      </c>
      <c r="N770" s="34" t="str">
        <f aca="false">IF(D770="","",IFERROR(INDEX(I_COA!$G$6:$G$265,MATCH(D770,I_COA!$A$6:$A$265,0)),"N"))</f>
        <v>N</v>
      </c>
      <c r="O770" s="11" t="n">
        <f aca="false">IF(N770="N",ABS(J770),"")</f>
        <v>2072350</v>
      </c>
      <c r="P770" s="18" t="str">
        <f aca="false">IF(N770="N",B770&amp;"|"&amp;ROUND(O770,0),"")</f>
        <v>KGR26/0249|2072350</v>
      </c>
      <c r="Q770" s="18" t="str">
        <f aca="false">IF(N770&lt;&gt;"Y","",IFERROR(INDEX($D$6:$D$4005,MATCH(B770&amp;"|"&amp;ROUND(_xlfn.MAXIFS($O$6:$O$4005,$B$6:$B$4005,B770,$N$6:$N$4005,"N"),0),$P$6:$P$4005,0)),"(tanpa lawan)"))</f>
        <v/>
      </c>
      <c r="R770" s="44"/>
      <c r="S770" s="9" t="str">
        <f aca="false">IF(N770&lt;&gt;"Y","",IF(R770&lt;&gt;"",R770,IF(Q770="(tanpa lawan)","Transfer antar rekening",IFERROR(INDEX(I_COA!$F$6:$F$265,MATCH(Q770,I_COA!$A$6:$A$265,0)),"?"))))</f>
        <v/>
      </c>
    </row>
    <row r="771" customFormat="false" ht="15" hidden="false" customHeight="false" outlineLevel="0" collapsed="false">
      <c r="A771" s="37" t="n">
        <v>46246</v>
      </c>
      <c r="B771" s="44" t="s">
        <v>1230</v>
      </c>
      <c r="C771" s="44" t="s">
        <v>617</v>
      </c>
      <c r="D771" s="44" t="n">
        <v>5100005</v>
      </c>
      <c r="E771" s="44" t="s">
        <v>986</v>
      </c>
      <c r="F771" s="44" t="s">
        <v>1231</v>
      </c>
      <c r="G771" s="42" t="n">
        <v>3350646.83</v>
      </c>
      <c r="H771" s="42"/>
      <c r="I771" s="44" t="s">
        <v>440</v>
      </c>
      <c r="J771" s="11" t="n">
        <f aca="false">IF(D771="","",N(G771)-N(H771))</f>
        <v>3350646.83</v>
      </c>
      <c r="K771" s="34" t="str">
        <f aca="false">IF(D771="","",IFERROR(INDEX(I_COA!$C$6:$C$265,MATCH(D771,I_COA!$A$6:$A$265,0)),"AKUN BARU"))</f>
        <v>LabaRugi</v>
      </c>
      <c r="L771" s="34" t="str">
        <f aca="false">IF(K771="LabaRugi",INDEX(I_COA!$D$6:$D$265,MATCH(D771,I_COA!$A$6:$A$265,0)),"")</f>
        <v>COGS - Live Bird</v>
      </c>
      <c r="M771" s="34" t="str">
        <f aca="false">IF(K771="Neraca",INDEX(I_COA!$E$6:$E$265,MATCH(D771,I_COA!$A$6:$A$265,0)),"")</f>
        <v/>
      </c>
      <c r="N771" s="34" t="str">
        <f aca="false">IF(D771="","",IFERROR(INDEX(I_COA!$G$6:$G$265,MATCH(D771,I_COA!$A$6:$A$265,0)),"N"))</f>
        <v>N</v>
      </c>
      <c r="O771" s="11" t="n">
        <f aca="false">IF(N771="N",ABS(J771),"")</f>
        <v>3350646.83</v>
      </c>
      <c r="P771" s="18" t="str">
        <f aca="false">IF(N771="N",B771&amp;"|"&amp;ROUND(O771,0),"")</f>
        <v>KGR26/0249|3350647</v>
      </c>
      <c r="Q771" s="18" t="str">
        <f aca="false">IF(N771&lt;&gt;"Y","",IFERROR(INDEX($D$6:$D$4005,MATCH(B771&amp;"|"&amp;ROUND(_xlfn.MAXIFS($O$6:$O$4005,$B$6:$B$4005,B771,$N$6:$N$4005,"N"),0),$P$6:$P$4005,0)),"(tanpa lawan)"))</f>
        <v/>
      </c>
      <c r="R771" s="44"/>
      <c r="S771" s="9" t="str">
        <f aca="false">IF(N771&lt;&gt;"Y","",IF(R771&lt;&gt;"",R771,IF(Q771="(tanpa lawan)","Transfer antar rekening",IFERROR(INDEX(I_COA!$F$6:$F$265,MATCH(Q771,I_COA!$A$6:$A$265,0)),"?"))))</f>
        <v/>
      </c>
    </row>
    <row r="772" customFormat="false" ht="15" hidden="false" customHeight="false" outlineLevel="0" collapsed="false">
      <c r="A772" s="37" t="n">
        <v>46246</v>
      </c>
      <c r="B772" s="44" t="s">
        <v>1230</v>
      </c>
      <c r="C772" s="44" t="s">
        <v>617</v>
      </c>
      <c r="D772" s="44" t="n">
        <v>1104002</v>
      </c>
      <c r="E772" s="44" t="s">
        <v>601</v>
      </c>
      <c r="F772" s="44" t="s">
        <v>1231</v>
      </c>
      <c r="G772" s="42"/>
      <c r="H772" s="42" t="n">
        <v>3350646.83</v>
      </c>
      <c r="I772" s="44" t="s">
        <v>440</v>
      </c>
      <c r="J772" s="11" t="n">
        <f aca="false">IF(D772="","",N(G772)-N(H772))</f>
        <v>-3350646.83</v>
      </c>
      <c r="K772" s="34" t="str">
        <f aca="false">IF(D772="","",IFERROR(INDEX(I_COA!$C$6:$C$265,MATCH(D772,I_COA!$A$6:$A$265,0)),"AKUN BARU"))</f>
        <v>Neraca</v>
      </c>
      <c r="L772" s="34" t="str">
        <f aca="false">IF(K772="LabaRugi",INDEX(I_COA!$D$6:$D$265,MATCH(D772,I_COA!$A$6:$A$265,0)),"")</f>
        <v/>
      </c>
      <c r="M772" s="34" t="str">
        <f aca="false">IF(K772="Neraca",INDEX(I_COA!$E$6:$E$265,MATCH(D772,I_COA!$A$6:$A$265,0)),"")</f>
        <v>Inventory - Product</v>
      </c>
      <c r="N772" s="34" t="str">
        <f aca="false">IF(D772="","",IFERROR(INDEX(I_COA!$G$6:$G$265,MATCH(D772,I_COA!$A$6:$A$265,0)),"N"))</f>
        <v>N</v>
      </c>
      <c r="O772" s="11" t="n">
        <f aca="false">IF(N772="N",ABS(J772),"")</f>
        <v>3350646.83</v>
      </c>
      <c r="P772" s="18" t="str">
        <f aca="false">IF(N772="N",B772&amp;"|"&amp;ROUND(O772,0),"")</f>
        <v>KGR26/0249|3350647</v>
      </c>
      <c r="Q772" s="18" t="str">
        <f aca="false">IF(N772&lt;&gt;"Y","",IFERROR(INDEX($D$6:$D$4005,MATCH(B772&amp;"|"&amp;ROUND(_xlfn.MAXIFS($O$6:$O$4005,$B$6:$B$4005,B772,$N$6:$N$4005,"N"),0),$P$6:$P$4005,0)),"(tanpa lawan)"))</f>
        <v/>
      </c>
      <c r="R772" s="44"/>
      <c r="S772" s="9" t="str">
        <f aca="false">IF(N772&lt;&gt;"Y","",IF(R772&lt;&gt;"",R772,IF(Q772="(tanpa lawan)","Transfer antar rekening",IFERROR(INDEX(I_COA!$F$6:$F$265,MATCH(Q772,I_COA!$A$6:$A$265,0)),"?"))))</f>
        <v/>
      </c>
    </row>
    <row r="773" customFormat="false" ht="15" hidden="false" customHeight="false" outlineLevel="0" collapsed="false">
      <c r="A773" s="37" t="n">
        <v>46246</v>
      </c>
      <c r="B773" s="44" t="s">
        <v>1232</v>
      </c>
      <c r="C773" s="44" t="s">
        <v>617</v>
      </c>
      <c r="D773" s="44" t="n">
        <v>1103101</v>
      </c>
      <c r="E773" s="44" t="s">
        <v>589</v>
      </c>
      <c r="F773" s="44" t="s">
        <v>1233</v>
      </c>
      <c r="G773" s="42" t="n">
        <v>2061600</v>
      </c>
      <c r="H773" s="42"/>
      <c r="I773" s="44" t="s">
        <v>440</v>
      </c>
      <c r="J773" s="11" t="n">
        <f aca="false">IF(D773="","",N(G773)-N(H773))</f>
        <v>2061600</v>
      </c>
      <c r="K773" s="34" t="str">
        <f aca="false">IF(D773="","",IFERROR(INDEX(I_COA!$C$6:$C$265,MATCH(D773,I_COA!$A$6:$A$265,0)),"AKUN BARU"))</f>
        <v>Neraca</v>
      </c>
      <c r="L773" s="34" t="str">
        <f aca="false">IF(K773="LabaRugi",INDEX(I_COA!$D$6:$D$265,MATCH(D773,I_COA!$A$6:$A$265,0)),"")</f>
        <v/>
      </c>
      <c r="M773" s="34" t="str">
        <f aca="false">IF(K773="Neraca",INDEX(I_COA!$E$6:$E$265,MATCH(D773,I_COA!$A$6:$A$265,0)),"")</f>
        <v>Trade Receivables - Third Parties</v>
      </c>
      <c r="N773" s="34" t="str">
        <f aca="false">IF(D773="","",IFERROR(INDEX(I_COA!$G$6:$G$265,MATCH(D773,I_COA!$A$6:$A$265,0)),"N"))</f>
        <v>N</v>
      </c>
      <c r="O773" s="11" t="n">
        <f aca="false">IF(N773="N",ABS(J773),"")</f>
        <v>2061600</v>
      </c>
      <c r="P773" s="18" t="str">
        <f aca="false">IF(N773="N",B773&amp;"|"&amp;ROUND(O773,0),"")</f>
        <v>KGR26/0250|2061600</v>
      </c>
      <c r="Q773" s="18" t="str">
        <f aca="false">IF(N773&lt;&gt;"Y","",IFERROR(INDEX($D$6:$D$4005,MATCH(B773&amp;"|"&amp;ROUND(_xlfn.MAXIFS($O$6:$O$4005,$B$6:$B$4005,B773,$N$6:$N$4005,"N"),0),$P$6:$P$4005,0)),"(tanpa lawan)"))</f>
        <v/>
      </c>
      <c r="R773" s="44"/>
      <c r="S773" s="9" t="str">
        <f aca="false">IF(N773&lt;&gt;"Y","",IF(R773&lt;&gt;"",R773,IF(Q773="(tanpa lawan)","Transfer antar rekening",IFERROR(INDEX(I_COA!$F$6:$F$265,MATCH(Q773,I_COA!$A$6:$A$265,0)),"?"))))</f>
        <v/>
      </c>
    </row>
    <row r="774" customFormat="false" ht="15" hidden="false" customHeight="false" outlineLevel="0" collapsed="false">
      <c r="A774" s="37" t="n">
        <v>46246</v>
      </c>
      <c r="B774" s="44" t="s">
        <v>1232</v>
      </c>
      <c r="C774" s="44" t="s">
        <v>617</v>
      </c>
      <c r="D774" s="44" t="n">
        <v>4101007</v>
      </c>
      <c r="E774" s="44" t="s">
        <v>985</v>
      </c>
      <c r="F774" s="44" t="s">
        <v>1233</v>
      </c>
      <c r="G774" s="42"/>
      <c r="H774" s="42" t="n">
        <v>2061600</v>
      </c>
      <c r="I774" s="44" t="s">
        <v>440</v>
      </c>
      <c r="J774" s="11" t="n">
        <f aca="false">IF(D774="","",N(G774)-N(H774))</f>
        <v>-2061600</v>
      </c>
      <c r="K774" s="34" t="str">
        <f aca="false">IF(D774="","",IFERROR(INDEX(I_COA!$C$6:$C$265,MATCH(D774,I_COA!$A$6:$A$265,0)),"AKUN BARU"))</f>
        <v>LabaRugi</v>
      </c>
      <c r="L774" s="34" t="str">
        <f aca="false">IF(K774="LabaRugi",INDEX(I_COA!$D$6:$D$265,MATCH(D774,I_COA!$A$6:$A$265,0)),"")</f>
        <v>Revenue - LB By Product</v>
      </c>
      <c r="M774" s="34" t="str">
        <f aca="false">IF(K774="Neraca",INDEX(I_COA!$E$6:$E$265,MATCH(D774,I_COA!$A$6:$A$265,0)),"")</f>
        <v/>
      </c>
      <c r="N774" s="34" t="str">
        <f aca="false">IF(D774="","",IFERROR(INDEX(I_COA!$G$6:$G$265,MATCH(D774,I_COA!$A$6:$A$265,0)),"N"))</f>
        <v>N</v>
      </c>
      <c r="O774" s="11" t="n">
        <f aca="false">IF(N774="N",ABS(J774),"")</f>
        <v>2061600</v>
      </c>
      <c r="P774" s="18" t="str">
        <f aca="false">IF(N774="N",B774&amp;"|"&amp;ROUND(O774,0),"")</f>
        <v>KGR26/0250|2061600</v>
      </c>
      <c r="Q774" s="18" t="str">
        <f aca="false">IF(N774&lt;&gt;"Y","",IFERROR(INDEX($D$6:$D$4005,MATCH(B774&amp;"|"&amp;ROUND(_xlfn.MAXIFS($O$6:$O$4005,$B$6:$B$4005,B774,$N$6:$N$4005,"N"),0),$P$6:$P$4005,0)),"(tanpa lawan)"))</f>
        <v/>
      </c>
      <c r="R774" s="44"/>
      <c r="S774" s="9" t="str">
        <f aca="false">IF(N774&lt;&gt;"Y","",IF(R774&lt;&gt;"",R774,IF(Q774="(tanpa lawan)","Transfer antar rekening",IFERROR(INDEX(I_COA!$F$6:$F$265,MATCH(Q774,I_COA!$A$6:$A$265,0)),"?"))))</f>
        <v/>
      </c>
    </row>
    <row r="775" customFormat="false" ht="15" hidden="false" customHeight="false" outlineLevel="0" collapsed="false">
      <c r="A775" s="37" t="n">
        <v>46246</v>
      </c>
      <c r="B775" s="44" t="s">
        <v>1232</v>
      </c>
      <c r="C775" s="44" t="s">
        <v>617</v>
      </c>
      <c r="D775" s="44" t="n">
        <v>5100005</v>
      </c>
      <c r="E775" s="44" t="s">
        <v>986</v>
      </c>
      <c r="F775" s="44" t="s">
        <v>1233</v>
      </c>
      <c r="G775" s="42" t="n">
        <v>3542019.07</v>
      </c>
      <c r="H775" s="42"/>
      <c r="I775" s="44" t="s">
        <v>440</v>
      </c>
      <c r="J775" s="11" t="n">
        <f aca="false">IF(D775="","",N(G775)-N(H775))</f>
        <v>3542019.07</v>
      </c>
      <c r="K775" s="34" t="str">
        <f aca="false">IF(D775="","",IFERROR(INDEX(I_COA!$C$6:$C$265,MATCH(D775,I_COA!$A$6:$A$265,0)),"AKUN BARU"))</f>
        <v>LabaRugi</v>
      </c>
      <c r="L775" s="34" t="str">
        <f aca="false">IF(K775="LabaRugi",INDEX(I_COA!$D$6:$D$265,MATCH(D775,I_COA!$A$6:$A$265,0)),"")</f>
        <v>COGS - Live Bird</v>
      </c>
      <c r="M775" s="34" t="str">
        <f aca="false">IF(K775="Neraca",INDEX(I_COA!$E$6:$E$265,MATCH(D775,I_COA!$A$6:$A$265,0)),"")</f>
        <v/>
      </c>
      <c r="N775" s="34" t="str">
        <f aca="false">IF(D775="","",IFERROR(INDEX(I_COA!$G$6:$G$265,MATCH(D775,I_COA!$A$6:$A$265,0)),"N"))</f>
        <v>N</v>
      </c>
      <c r="O775" s="11" t="n">
        <f aca="false">IF(N775="N",ABS(J775),"")</f>
        <v>3542019.07</v>
      </c>
      <c r="P775" s="18" t="str">
        <f aca="false">IF(N775="N",B775&amp;"|"&amp;ROUND(O775,0),"")</f>
        <v>KGR26/0250|3542019</v>
      </c>
      <c r="Q775" s="18" t="str">
        <f aca="false">IF(N775&lt;&gt;"Y","",IFERROR(INDEX($D$6:$D$4005,MATCH(B775&amp;"|"&amp;ROUND(_xlfn.MAXIFS($O$6:$O$4005,$B$6:$B$4005,B775,$N$6:$N$4005,"N"),0),$P$6:$P$4005,0)),"(tanpa lawan)"))</f>
        <v/>
      </c>
      <c r="R775" s="44"/>
      <c r="S775" s="9" t="str">
        <f aca="false">IF(N775&lt;&gt;"Y","",IF(R775&lt;&gt;"",R775,IF(Q775="(tanpa lawan)","Transfer antar rekening",IFERROR(INDEX(I_COA!$F$6:$F$265,MATCH(Q775,I_COA!$A$6:$A$265,0)),"?"))))</f>
        <v/>
      </c>
    </row>
    <row r="776" customFormat="false" ht="15" hidden="false" customHeight="false" outlineLevel="0" collapsed="false">
      <c r="A776" s="37" t="n">
        <v>46246</v>
      </c>
      <c r="B776" s="44" t="s">
        <v>1232</v>
      </c>
      <c r="C776" s="44" t="s">
        <v>617</v>
      </c>
      <c r="D776" s="44" t="n">
        <v>1104002</v>
      </c>
      <c r="E776" s="44" t="s">
        <v>601</v>
      </c>
      <c r="F776" s="44" t="s">
        <v>1233</v>
      </c>
      <c r="G776" s="42"/>
      <c r="H776" s="42" t="n">
        <v>3542019.07</v>
      </c>
      <c r="I776" s="44" t="s">
        <v>440</v>
      </c>
      <c r="J776" s="11" t="n">
        <f aca="false">IF(D776="","",N(G776)-N(H776))</f>
        <v>-3542019.07</v>
      </c>
      <c r="K776" s="34" t="str">
        <f aca="false">IF(D776="","",IFERROR(INDEX(I_COA!$C$6:$C$265,MATCH(D776,I_COA!$A$6:$A$265,0)),"AKUN BARU"))</f>
        <v>Neraca</v>
      </c>
      <c r="L776" s="34" t="str">
        <f aca="false">IF(K776="LabaRugi",INDEX(I_COA!$D$6:$D$265,MATCH(D776,I_COA!$A$6:$A$265,0)),"")</f>
        <v/>
      </c>
      <c r="M776" s="34" t="str">
        <f aca="false">IF(K776="Neraca",INDEX(I_COA!$E$6:$E$265,MATCH(D776,I_COA!$A$6:$A$265,0)),"")</f>
        <v>Inventory - Product</v>
      </c>
      <c r="N776" s="34" t="str">
        <f aca="false">IF(D776="","",IFERROR(INDEX(I_COA!$G$6:$G$265,MATCH(D776,I_COA!$A$6:$A$265,0)),"N"))</f>
        <v>N</v>
      </c>
      <c r="O776" s="11" t="n">
        <f aca="false">IF(N776="N",ABS(J776),"")</f>
        <v>3542019.07</v>
      </c>
      <c r="P776" s="18" t="str">
        <f aca="false">IF(N776="N",B776&amp;"|"&amp;ROUND(O776,0),"")</f>
        <v>KGR26/0250|3542019</v>
      </c>
      <c r="Q776" s="18" t="str">
        <f aca="false">IF(N776&lt;&gt;"Y","",IFERROR(INDEX($D$6:$D$4005,MATCH(B776&amp;"|"&amp;ROUND(_xlfn.MAXIFS($O$6:$O$4005,$B$6:$B$4005,B776,$N$6:$N$4005,"N"),0),$P$6:$P$4005,0)),"(tanpa lawan)"))</f>
        <v/>
      </c>
      <c r="R776" s="44"/>
      <c r="S776" s="9" t="str">
        <f aca="false">IF(N776&lt;&gt;"Y","",IF(R776&lt;&gt;"",R776,IF(Q776="(tanpa lawan)","Transfer antar rekening",IFERROR(INDEX(I_COA!$F$6:$F$265,MATCH(Q776,I_COA!$A$6:$A$265,0)),"?"))))</f>
        <v/>
      </c>
    </row>
    <row r="777" customFormat="false" ht="15" hidden="false" customHeight="false" outlineLevel="0" collapsed="false">
      <c r="A777" s="37" t="n">
        <v>46246</v>
      </c>
      <c r="B777" s="44" t="s">
        <v>1234</v>
      </c>
      <c r="C777" s="44" t="s">
        <v>617</v>
      </c>
      <c r="D777" s="44" t="n">
        <v>1103101</v>
      </c>
      <c r="E777" s="44" t="s">
        <v>589</v>
      </c>
      <c r="F777" s="44" t="s">
        <v>1235</v>
      </c>
      <c r="G777" s="42" t="n">
        <v>1762200</v>
      </c>
      <c r="H777" s="42"/>
      <c r="I777" s="44" t="s">
        <v>440</v>
      </c>
      <c r="J777" s="11" t="n">
        <f aca="false">IF(D777="","",N(G777)-N(H777))</f>
        <v>1762200</v>
      </c>
      <c r="K777" s="34" t="str">
        <f aca="false">IF(D777="","",IFERROR(INDEX(I_COA!$C$6:$C$265,MATCH(D777,I_COA!$A$6:$A$265,0)),"AKUN BARU"))</f>
        <v>Neraca</v>
      </c>
      <c r="L777" s="34" t="str">
        <f aca="false">IF(K777="LabaRugi",INDEX(I_COA!$D$6:$D$265,MATCH(D777,I_COA!$A$6:$A$265,0)),"")</f>
        <v/>
      </c>
      <c r="M777" s="34" t="str">
        <f aca="false">IF(K777="Neraca",INDEX(I_COA!$E$6:$E$265,MATCH(D777,I_COA!$A$6:$A$265,0)),"")</f>
        <v>Trade Receivables - Third Parties</v>
      </c>
      <c r="N777" s="34" t="str">
        <f aca="false">IF(D777="","",IFERROR(INDEX(I_COA!$G$6:$G$265,MATCH(D777,I_COA!$A$6:$A$265,0)),"N"))</f>
        <v>N</v>
      </c>
      <c r="O777" s="11" t="n">
        <f aca="false">IF(N777="N",ABS(J777),"")</f>
        <v>1762200</v>
      </c>
      <c r="P777" s="18" t="str">
        <f aca="false">IF(N777="N",B777&amp;"|"&amp;ROUND(O777,0),"")</f>
        <v>KGR26/0251|1762200</v>
      </c>
      <c r="Q777" s="18" t="str">
        <f aca="false">IF(N777&lt;&gt;"Y","",IFERROR(INDEX($D$6:$D$4005,MATCH(B777&amp;"|"&amp;ROUND(_xlfn.MAXIFS($O$6:$O$4005,$B$6:$B$4005,B777,$N$6:$N$4005,"N"),0),$P$6:$P$4005,0)),"(tanpa lawan)"))</f>
        <v/>
      </c>
      <c r="R777" s="44"/>
      <c r="S777" s="9" t="str">
        <f aca="false">IF(N777&lt;&gt;"Y","",IF(R777&lt;&gt;"",R777,IF(Q777="(tanpa lawan)","Transfer antar rekening",IFERROR(INDEX(I_COA!$F$6:$F$265,MATCH(Q777,I_COA!$A$6:$A$265,0)),"?"))))</f>
        <v/>
      </c>
    </row>
    <row r="778" customFormat="false" ht="15" hidden="false" customHeight="false" outlineLevel="0" collapsed="false">
      <c r="A778" s="37" t="n">
        <v>46246</v>
      </c>
      <c r="B778" s="44" t="s">
        <v>1234</v>
      </c>
      <c r="C778" s="44" t="s">
        <v>617</v>
      </c>
      <c r="D778" s="44" t="n">
        <v>4101006</v>
      </c>
      <c r="E778" s="44" t="s">
        <v>626</v>
      </c>
      <c r="F778" s="44" t="s">
        <v>1235</v>
      </c>
      <c r="G778" s="42"/>
      <c r="H778" s="42" t="n">
        <v>1762200</v>
      </c>
      <c r="I778" s="44" t="s">
        <v>440</v>
      </c>
      <c r="J778" s="11" t="n">
        <f aca="false">IF(D778="","",N(G778)-N(H778))</f>
        <v>-1762200</v>
      </c>
      <c r="K778" s="34" t="str">
        <f aca="false">IF(D778="","",IFERROR(INDEX(I_COA!$C$6:$C$265,MATCH(D778,I_COA!$A$6:$A$265,0)),"AKUN BARU"))</f>
        <v>LabaRugi</v>
      </c>
      <c r="L778" s="34" t="str">
        <f aca="false">IF(K778="LabaRugi",INDEX(I_COA!$D$6:$D$265,MATCH(D778,I_COA!$A$6:$A$265,0)),"")</f>
        <v>Revenue - LB Main Product</v>
      </c>
      <c r="M778" s="34" t="str">
        <f aca="false">IF(K778="Neraca",INDEX(I_COA!$E$6:$E$265,MATCH(D778,I_COA!$A$6:$A$265,0)),"")</f>
        <v/>
      </c>
      <c r="N778" s="34" t="str">
        <f aca="false">IF(D778="","",IFERROR(INDEX(I_COA!$G$6:$G$265,MATCH(D778,I_COA!$A$6:$A$265,0)),"N"))</f>
        <v>N</v>
      </c>
      <c r="O778" s="11" t="n">
        <f aca="false">IF(N778="N",ABS(J778),"")</f>
        <v>1762200</v>
      </c>
      <c r="P778" s="18" t="str">
        <f aca="false">IF(N778="N",B778&amp;"|"&amp;ROUND(O778,0),"")</f>
        <v>KGR26/0251|1762200</v>
      </c>
      <c r="Q778" s="18" t="str">
        <f aca="false">IF(N778&lt;&gt;"Y","",IFERROR(INDEX($D$6:$D$4005,MATCH(B778&amp;"|"&amp;ROUND(_xlfn.MAXIFS($O$6:$O$4005,$B$6:$B$4005,B778,$N$6:$N$4005,"N"),0),$P$6:$P$4005,0)),"(tanpa lawan)"))</f>
        <v/>
      </c>
      <c r="R778" s="44"/>
      <c r="S778" s="9" t="str">
        <f aca="false">IF(N778&lt;&gt;"Y","",IF(R778&lt;&gt;"",R778,IF(Q778="(tanpa lawan)","Transfer antar rekening",IFERROR(INDEX(I_COA!$F$6:$F$265,MATCH(Q778,I_COA!$A$6:$A$265,0)),"?"))))</f>
        <v/>
      </c>
    </row>
    <row r="779" customFormat="false" ht="15" hidden="false" customHeight="false" outlineLevel="0" collapsed="false">
      <c r="A779" s="37" t="n">
        <v>46246</v>
      </c>
      <c r="B779" s="44" t="s">
        <v>1234</v>
      </c>
      <c r="C779" s="44" t="s">
        <v>617</v>
      </c>
      <c r="D779" s="44" t="n">
        <v>5100004</v>
      </c>
      <c r="E779" s="44" t="s">
        <v>627</v>
      </c>
      <c r="F779" s="44" t="s">
        <v>1235</v>
      </c>
      <c r="G779" s="42" t="n">
        <v>1607147.36</v>
      </c>
      <c r="H779" s="42"/>
      <c r="I779" s="44" t="s">
        <v>440</v>
      </c>
      <c r="J779" s="11" t="n">
        <f aca="false">IF(D779="","",N(G779)-N(H779))</f>
        <v>1607147.36</v>
      </c>
      <c r="K779" s="34" t="str">
        <f aca="false">IF(D779="","",IFERROR(INDEX(I_COA!$C$6:$C$265,MATCH(D779,I_COA!$A$6:$A$265,0)),"AKUN BARU"))</f>
        <v>LabaRugi</v>
      </c>
      <c r="L779" s="34" t="str">
        <f aca="false">IF(K779="LabaRugi",INDEX(I_COA!$D$6:$D$265,MATCH(D779,I_COA!$A$6:$A$265,0)),"")</f>
        <v>COGS - Live Bird</v>
      </c>
      <c r="M779" s="34" t="str">
        <f aca="false">IF(K779="Neraca",INDEX(I_COA!$E$6:$E$265,MATCH(D779,I_COA!$A$6:$A$265,0)),"")</f>
        <v/>
      </c>
      <c r="N779" s="34" t="str">
        <f aca="false">IF(D779="","",IFERROR(INDEX(I_COA!$G$6:$G$265,MATCH(D779,I_COA!$A$6:$A$265,0)),"N"))</f>
        <v>N</v>
      </c>
      <c r="O779" s="11" t="n">
        <f aca="false">IF(N779="N",ABS(J779),"")</f>
        <v>1607147.36</v>
      </c>
      <c r="P779" s="18" t="str">
        <f aca="false">IF(N779="N",B779&amp;"|"&amp;ROUND(O779,0),"")</f>
        <v>KGR26/0251|1607147</v>
      </c>
      <c r="Q779" s="18" t="str">
        <f aca="false">IF(N779&lt;&gt;"Y","",IFERROR(INDEX($D$6:$D$4005,MATCH(B779&amp;"|"&amp;ROUND(_xlfn.MAXIFS($O$6:$O$4005,$B$6:$B$4005,B779,$N$6:$N$4005,"N"),0),$P$6:$P$4005,0)),"(tanpa lawan)"))</f>
        <v/>
      </c>
      <c r="R779" s="44"/>
      <c r="S779" s="9" t="str">
        <f aca="false">IF(N779&lt;&gt;"Y","",IF(R779&lt;&gt;"",R779,IF(Q779="(tanpa lawan)","Transfer antar rekening",IFERROR(INDEX(I_COA!$F$6:$F$265,MATCH(Q779,I_COA!$A$6:$A$265,0)),"?"))))</f>
        <v/>
      </c>
    </row>
    <row r="780" customFormat="false" ht="15" hidden="false" customHeight="false" outlineLevel="0" collapsed="false">
      <c r="A780" s="37" t="n">
        <v>46246</v>
      </c>
      <c r="B780" s="44" t="s">
        <v>1234</v>
      </c>
      <c r="C780" s="44" t="s">
        <v>617</v>
      </c>
      <c r="D780" s="44" t="n">
        <v>1104002</v>
      </c>
      <c r="E780" s="44" t="s">
        <v>601</v>
      </c>
      <c r="F780" s="44" t="s">
        <v>1235</v>
      </c>
      <c r="G780" s="42"/>
      <c r="H780" s="42" t="n">
        <v>1607147.36</v>
      </c>
      <c r="I780" s="44" t="s">
        <v>440</v>
      </c>
      <c r="J780" s="11" t="n">
        <f aca="false">IF(D780="","",N(G780)-N(H780))</f>
        <v>-1607147.36</v>
      </c>
      <c r="K780" s="34" t="str">
        <f aca="false">IF(D780="","",IFERROR(INDEX(I_COA!$C$6:$C$265,MATCH(D780,I_COA!$A$6:$A$265,0)),"AKUN BARU"))</f>
        <v>Neraca</v>
      </c>
      <c r="L780" s="34" t="str">
        <f aca="false">IF(K780="LabaRugi",INDEX(I_COA!$D$6:$D$265,MATCH(D780,I_COA!$A$6:$A$265,0)),"")</f>
        <v/>
      </c>
      <c r="M780" s="34" t="str">
        <f aca="false">IF(K780="Neraca",INDEX(I_COA!$E$6:$E$265,MATCH(D780,I_COA!$A$6:$A$265,0)),"")</f>
        <v>Inventory - Product</v>
      </c>
      <c r="N780" s="34" t="str">
        <f aca="false">IF(D780="","",IFERROR(INDEX(I_COA!$G$6:$G$265,MATCH(D780,I_COA!$A$6:$A$265,0)),"N"))</f>
        <v>N</v>
      </c>
      <c r="O780" s="11" t="n">
        <f aca="false">IF(N780="N",ABS(J780),"")</f>
        <v>1607147.36</v>
      </c>
      <c r="P780" s="18" t="str">
        <f aca="false">IF(N780="N",B780&amp;"|"&amp;ROUND(O780,0),"")</f>
        <v>KGR26/0251|1607147</v>
      </c>
      <c r="Q780" s="18" t="str">
        <f aca="false">IF(N780&lt;&gt;"Y","",IFERROR(INDEX($D$6:$D$4005,MATCH(B780&amp;"|"&amp;ROUND(_xlfn.MAXIFS($O$6:$O$4005,$B$6:$B$4005,B780,$N$6:$N$4005,"N"),0),$P$6:$P$4005,0)),"(tanpa lawan)"))</f>
        <v/>
      </c>
      <c r="R780" s="44"/>
      <c r="S780" s="9" t="str">
        <f aca="false">IF(N780&lt;&gt;"Y","",IF(R780&lt;&gt;"",R780,IF(Q780="(tanpa lawan)","Transfer antar rekening",IFERROR(INDEX(I_COA!$F$6:$F$265,MATCH(Q780,I_COA!$A$6:$A$265,0)),"?"))))</f>
        <v/>
      </c>
    </row>
    <row r="781" customFormat="false" ht="15" hidden="false" customHeight="false" outlineLevel="0" collapsed="false">
      <c r="A781" s="37" t="n">
        <v>46246</v>
      </c>
      <c r="B781" s="44" t="s">
        <v>1236</v>
      </c>
      <c r="C781" s="44" t="s">
        <v>617</v>
      </c>
      <c r="D781" s="44" t="n">
        <v>1103101</v>
      </c>
      <c r="E781" s="44" t="s">
        <v>589</v>
      </c>
      <c r="F781" s="44" t="s">
        <v>1237</v>
      </c>
      <c r="G781" s="42" t="n">
        <v>2150000</v>
      </c>
      <c r="H781" s="42"/>
      <c r="I781" s="44" t="s">
        <v>440</v>
      </c>
      <c r="J781" s="11" t="n">
        <f aca="false">IF(D781="","",N(G781)-N(H781))</f>
        <v>2150000</v>
      </c>
      <c r="K781" s="34" t="str">
        <f aca="false">IF(D781="","",IFERROR(INDEX(I_COA!$C$6:$C$265,MATCH(D781,I_COA!$A$6:$A$265,0)),"AKUN BARU"))</f>
        <v>Neraca</v>
      </c>
      <c r="L781" s="34" t="str">
        <f aca="false">IF(K781="LabaRugi",INDEX(I_COA!$D$6:$D$265,MATCH(D781,I_COA!$A$6:$A$265,0)),"")</f>
        <v/>
      </c>
      <c r="M781" s="34" t="str">
        <f aca="false">IF(K781="Neraca",INDEX(I_COA!$E$6:$E$265,MATCH(D781,I_COA!$A$6:$A$265,0)),"")</f>
        <v>Trade Receivables - Third Parties</v>
      </c>
      <c r="N781" s="34" t="str">
        <f aca="false">IF(D781="","",IFERROR(INDEX(I_COA!$G$6:$G$265,MATCH(D781,I_COA!$A$6:$A$265,0)),"N"))</f>
        <v>N</v>
      </c>
      <c r="O781" s="11" t="n">
        <f aca="false">IF(N781="N",ABS(J781),"")</f>
        <v>2150000</v>
      </c>
      <c r="P781" s="18" t="str">
        <f aca="false">IF(N781="N",B781&amp;"|"&amp;ROUND(O781,0),"")</f>
        <v>KGR26/0252|2150000</v>
      </c>
      <c r="Q781" s="18" t="str">
        <f aca="false">IF(N781&lt;&gt;"Y","",IFERROR(INDEX($D$6:$D$4005,MATCH(B781&amp;"|"&amp;ROUND(_xlfn.MAXIFS($O$6:$O$4005,$B$6:$B$4005,B781,$N$6:$N$4005,"N"),0),$P$6:$P$4005,0)),"(tanpa lawan)"))</f>
        <v/>
      </c>
      <c r="R781" s="44"/>
      <c r="S781" s="9" t="str">
        <f aca="false">IF(N781&lt;&gt;"Y","",IF(R781&lt;&gt;"",R781,IF(Q781="(tanpa lawan)","Transfer antar rekening",IFERROR(INDEX(I_COA!$F$6:$F$265,MATCH(Q781,I_COA!$A$6:$A$265,0)),"?"))))</f>
        <v/>
      </c>
    </row>
    <row r="782" customFormat="false" ht="15" hidden="false" customHeight="false" outlineLevel="0" collapsed="false">
      <c r="A782" s="37" t="n">
        <v>46246</v>
      </c>
      <c r="B782" s="44" t="s">
        <v>1236</v>
      </c>
      <c r="C782" s="44" t="s">
        <v>617</v>
      </c>
      <c r="D782" s="44" t="n">
        <v>4101007</v>
      </c>
      <c r="E782" s="44" t="s">
        <v>985</v>
      </c>
      <c r="F782" s="44" t="s">
        <v>1237</v>
      </c>
      <c r="G782" s="42"/>
      <c r="H782" s="42" t="n">
        <v>2150000</v>
      </c>
      <c r="I782" s="44" t="s">
        <v>440</v>
      </c>
      <c r="J782" s="11" t="n">
        <f aca="false">IF(D782="","",N(G782)-N(H782))</f>
        <v>-2150000</v>
      </c>
      <c r="K782" s="34" t="str">
        <f aca="false">IF(D782="","",IFERROR(INDEX(I_COA!$C$6:$C$265,MATCH(D782,I_COA!$A$6:$A$265,0)),"AKUN BARU"))</f>
        <v>LabaRugi</v>
      </c>
      <c r="L782" s="34" t="str">
        <f aca="false">IF(K782="LabaRugi",INDEX(I_COA!$D$6:$D$265,MATCH(D782,I_COA!$A$6:$A$265,0)),"")</f>
        <v>Revenue - LB By Product</v>
      </c>
      <c r="M782" s="34" t="str">
        <f aca="false">IF(K782="Neraca",INDEX(I_COA!$E$6:$E$265,MATCH(D782,I_COA!$A$6:$A$265,0)),"")</f>
        <v/>
      </c>
      <c r="N782" s="34" t="str">
        <f aca="false">IF(D782="","",IFERROR(INDEX(I_COA!$G$6:$G$265,MATCH(D782,I_COA!$A$6:$A$265,0)),"N"))</f>
        <v>N</v>
      </c>
      <c r="O782" s="11" t="n">
        <f aca="false">IF(N782="N",ABS(J782),"")</f>
        <v>2150000</v>
      </c>
      <c r="P782" s="18" t="str">
        <f aca="false">IF(N782="N",B782&amp;"|"&amp;ROUND(O782,0),"")</f>
        <v>KGR26/0252|2150000</v>
      </c>
      <c r="Q782" s="18" t="str">
        <f aca="false">IF(N782&lt;&gt;"Y","",IFERROR(INDEX($D$6:$D$4005,MATCH(B782&amp;"|"&amp;ROUND(_xlfn.MAXIFS($O$6:$O$4005,$B$6:$B$4005,B782,$N$6:$N$4005,"N"),0),$P$6:$P$4005,0)),"(tanpa lawan)"))</f>
        <v/>
      </c>
      <c r="R782" s="44"/>
      <c r="S782" s="9" t="str">
        <f aca="false">IF(N782&lt;&gt;"Y","",IF(R782&lt;&gt;"",R782,IF(Q782="(tanpa lawan)","Transfer antar rekening",IFERROR(INDEX(I_COA!$F$6:$F$265,MATCH(Q782,I_COA!$A$6:$A$265,0)),"?"))))</f>
        <v/>
      </c>
    </row>
    <row r="783" customFormat="false" ht="15" hidden="false" customHeight="false" outlineLevel="0" collapsed="false">
      <c r="A783" s="37" t="n">
        <v>46246</v>
      </c>
      <c r="B783" s="44" t="s">
        <v>1236</v>
      </c>
      <c r="C783" s="44" t="s">
        <v>617</v>
      </c>
      <c r="D783" s="44" t="n">
        <v>5100005</v>
      </c>
      <c r="E783" s="44" t="s">
        <v>986</v>
      </c>
      <c r="F783" s="44" t="s">
        <v>1237</v>
      </c>
      <c r="G783" s="42" t="n">
        <v>3467565.22</v>
      </c>
      <c r="H783" s="42"/>
      <c r="I783" s="44" t="s">
        <v>440</v>
      </c>
      <c r="J783" s="11" t="n">
        <f aca="false">IF(D783="","",N(G783)-N(H783))</f>
        <v>3467565.22</v>
      </c>
      <c r="K783" s="34" t="str">
        <f aca="false">IF(D783="","",IFERROR(INDEX(I_COA!$C$6:$C$265,MATCH(D783,I_COA!$A$6:$A$265,0)),"AKUN BARU"))</f>
        <v>LabaRugi</v>
      </c>
      <c r="L783" s="34" t="str">
        <f aca="false">IF(K783="LabaRugi",INDEX(I_COA!$D$6:$D$265,MATCH(D783,I_COA!$A$6:$A$265,0)),"")</f>
        <v>COGS - Live Bird</v>
      </c>
      <c r="M783" s="34" t="str">
        <f aca="false">IF(K783="Neraca",INDEX(I_COA!$E$6:$E$265,MATCH(D783,I_COA!$A$6:$A$265,0)),"")</f>
        <v/>
      </c>
      <c r="N783" s="34" t="str">
        <f aca="false">IF(D783="","",IFERROR(INDEX(I_COA!$G$6:$G$265,MATCH(D783,I_COA!$A$6:$A$265,0)),"N"))</f>
        <v>N</v>
      </c>
      <c r="O783" s="11" t="n">
        <f aca="false">IF(N783="N",ABS(J783),"")</f>
        <v>3467565.22</v>
      </c>
      <c r="P783" s="18" t="str">
        <f aca="false">IF(N783="N",B783&amp;"|"&amp;ROUND(O783,0),"")</f>
        <v>KGR26/0252|3467565</v>
      </c>
      <c r="Q783" s="18" t="str">
        <f aca="false">IF(N783&lt;&gt;"Y","",IFERROR(INDEX($D$6:$D$4005,MATCH(B783&amp;"|"&amp;ROUND(_xlfn.MAXIFS($O$6:$O$4005,$B$6:$B$4005,B783,$N$6:$N$4005,"N"),0),$P$6:$P$4005,0)),"(tanpa lawan)"))</f>
        <v/>
      </c>
      <c r="R783" s="44"/>
      <c r="S783" s="9" t="str">
        <f aca="false">IF(N783&lt;&gt;"Y","",IF(R783&lt;&gt;"",R783,IF(Q783="(tanpa lawan)","Transfer antar rekening",IFERROR(INDEX(I_COA!$F$6:$F$265,MATCH(Q783,I_COA!$A$6:$A$265,0)),"?"))))</f>
        <v/>
      </c>
    </row>
    <row r="784" customFormat="false" ht="15" hidden="false" customHeight="false" outlineLevel="0" collapsed="false">
      <c r="A784" s="37" t="n">
        <v>46246</v>
      </c>
      <c r="B784" s="44" t="s">
        <v>1236</v>
      </c>
      <c r="C784" s="44" t="s">
        <v>617</v>
      </c>
      <c r="D784" s="44" t="n">
        <v>1104002</v>
      </c>
      <c r="E784" s="44" t="s">
        <v>601</v>
      </c>
      <c r="F784" s="44" t="s">
        <v>1237</v>
      </c>
      <c r="G784" s="42"/>
      <c r="H784" s="42" t="n">
        <v>3467565.22</v>
      </c>
      <c r="I784" s="44" t="s">
        <v>440</v>
      </c>
      <c r="J784" s="11" t="n">
        <f aca="false">IF(D784="","",N(G784)-N(H784))</f>
        <v>-3467565.22</v>
      </c>
      <c r="K784" s="34" t="str">
        <f aca="false">IF(D784="","",IFERROR(INDEX(I_COA!$C$6:$C$265,MATCH(D784,I_COA!$A$6:$A$265,0)),"AKUN BARU"))</f>
        <v>Neraca</v>
      </c>
      <c r="L784" s="34" t="str">
        <f aca="false">IF(K784="LabaRugi",INDEX(I_COA!$D$6:$D$265,MATCH(D784,I_COA!$A$6:$A$265,0)),"")</f>
        <v/>
      </c>
      <c r="M784" s="34" t="str">
        <f aca="false">IF(K784="Neraca",INDEX(I_COA!$E$6:$E$265,MATCH(D784,I_COA!$A$6:$A$265,0)),"")</f>
        <v>Inventory - Product</v>
      </c>
      <c r="N784" s="34" t="str">
        <f aca="false">IF(D784="","",IFERROR(INDEX(I_COA!$G$6:$G$265,MATCH(D784,I_COA!$A$6:$A$265,0)),"N"))</f>
        <v>N</v>
      </c>
      <c r="O784" s="11" t="n">
        <f aca="false">IF(N784="N",ABS(J784),"")</f>
        <v>3467565.22</v>
      </c>
      <c r="P784" s="18" t="str">
        <f aca="false">IF(N784="N",B784&amp;"|"&amp;ROUND(O784,0),"")</f>
        <v>KGR26/0252|3467565</v>
      </c>
      <c r="Q784" s="18" t="str">
        <f aca="false">IF(N784&lt;&gt;"Y","",IFERROR(INDEX($D$6:$D$4005,MATCH(B784&amp;"|"&amp;ROUND(_xlfn.MAXIFS($O$6:$O$4005,$B$6:$B$4005,B784,$N$6:$N$4005,"N"),0),$P$6:$P$4005,0)),"(tanpa lawan)"))</f>
        <v/>
      </c>
      <c r="R784" s="44"/>
      <c r="S784" s="9" t="str">
        <f aca="false">IF(N784&lt;&gt;"Y","",IF(R784&lt;&gt;"",R784,IF(Q784="(tanpa lawan)","Transfer antar rekening",IFERROR(INDEX(I_COA!$F$6:$F$265,MATCH(Q784,I_COA!$A$6:$A$265,0)),"?"))))</f>
        <v/>
      </c>
    </row>
    <row r="785" customFormat="false" ht="15" hidden="false" customHeight="false" outlineLevel="0" collapsed="false">
      <c r="A785" s="37" t="n">
        <v>46246</v>
      </c>
      <c r="B785" s="44" t="s">
        <v>1238</v>
      </c>
      <c r="C785" s="44" t="s">
        <v>617</v>
      </c>
      <c r="D785" s="44" t="n">
        <v>1103101</v>
      </c>
      <c r="E785" s="44" t="s">
        <v>589</v>
      </c>
      <c r="F785" s="44" t="s">
        <v>1239</v>
      </c>
      <c r="G785" s="42" t="n">
        <v>2010150</v>
      </c>
      <c r="H785" s="42"/>
      <c r="I785" s="44" t="s">
        <v>440</v>
      </c>
      <c r="J785" s="11" t="n">
        <f aca="false">IF(D785="","",N(G785)-N(H785))</f>
        <v>2010150</v>
      </c>
      <c r="K785" s="34" t="str">
        <f aca="false">IF(D785="","",IFERROR(INDEX(I_COA!$C$6:$C$265,MATCH(D785,I_COA!$A$6:$A$265,0)),"AKUN BARU"))</f>
        <v>Neraca</v>
      </c>
      <c r="L785" s="34" t="str">
        <f aca="false">IF(K785="LabaRugi",INDEX(I_COA!$D$6:$D$265,MATCH(D785,I_COA!$A$6:$A$265,0)),"")</f>
        <v/>
      </c>
      <c r="M785" s="34" t="str">
        <f aca="false">IF(K785="Neraca",INDEX(I_COA!$E$6:$E$265,MATCH(D785,I_COA!$A$6:$A$265,0)),"")</f>
        <v>Trade Receivables - Third Parties</v>
      </c>
      <c r="N785" s="34" t="str">
        <f aca="false">IF(D785="","",IFERROR(INDEX(I_COA!$G$6:$G$265,MATCH(D785,I_COA!$A$6:$A$265,0)),"N"))</f>
        <v>N</v>
      </c>
      <c r="O785" s="11" t="n">
        <f aca="false">IF(N785="N",ABS(J785),"")</f>
        <v>2010150</v>
      </c>
      <c r="P785" s="18" t="str">
        <f aca="false">IF(N785="N",B785&amp;"|"&amp;ROUND(O785,0),"")</f>
        <v>KGR26/0253|2010150</v>
      </c>
      <c r="Q785" s="18" t="str">
        <f aca="false">IF(N785&lt;&gt;"Y","",IFERROR(INDEX($D$6:$D$4005,MATCH(B785&amp;"|"&amp;ROUND(_xlfn.MAXIFS($O$6:$O$4005,$B$6:$B$4005,B785,$N$6:$N$4005,"N"),0),$P$6:$P$4005,0)),"(tanpa lawan)"))</f>
        <v/>
      </c>
      <c r="R785" s="44"/>
      <c r="S785" s="9" t="str">
        <f aca="false">IF(N785&lt;&gt;"Y","",IF(R785&lt;&gt;"",R785,IF(Q785="(tanpa lawan)","Transfer antar rekening",IFERROR(INDEX(I_COA!$F$6:$F$265,MATCH(Q785,I_COA!$A$6:$A$265,0)),"?"))))</f>
        <v/>
      </c>
    </row>
    <row r="786" customFormat="false" ht="15" hidden="false" customHeight="false" outlineLevel="0" collapsed="false">
      <c r="A786" s="37" t="n">
        <v>46246</v>
      </c>
      <c r="B786" s="44" t="s">
        <v>1238</v>
      </c>
      <c r="C786" s="44" t="s">
        <v>617</v>
      </c>
      <c r="D786" s="44" t="n">
        <v>4101007</v>
      </c>
      <c r="E786" s="44" t="s">
        <v>985</v>
      </c>
      <c r="F786" s="44" t="s">
        <v>1239</v>
      </c>
      <c r="G786" s="42"/>
      <c r="H786" s="42" t="n">
        <v>2010150</v>
      </c>
      <c r="I786" s="44" t="s">
        <v>440</v>
      </c>
      <c r="J786" s="11" t="n">
        <f aca="false">IF(D786="","",N(G786)-N(H786))</f>
        <v>-2010150</v>
      </c>
      <c r="K786" s="34" t="str">
        <f aca="false">IF(D786="","",IFERROR(INDEX(I_COA!$C$6:$C$265,MATCH(D786,I_COA!$A$6:$A$265,0)),"AKUN BARU"))</f>
        <v>LabaRugi</v>
      </c>
      <c r="L786" s="34" t="str">
        <f aca="false">IF(K786="LabaRugi",INDEX(I_COA!$D$6:$D$265,MATCH(D786,I_COA!$A$6:$A$265,0)),"")</f>
        <v>Revenue - LB By Product</v>
      </c>
      <c r="M786" s="34" t="str">
        <f aca="false">IF(K786="Neraca",INDEX(I_COA!$E$6:$E$265,MATCH(D786,I_COA!$A$6:$A$265,0)),"")</f>
        <v/>
      </c>
      <c r="N786" s="34" t="str">
        <f aca="false">IF(D786="","",IFERROR(INDEX(I_COA!$G$6:$G$265,MATCH(D786,I_COA!$A$6:$A$265,0)),"N"))</f>
        <v>N</v>
      </c>
      <c r="O786" s="11" t="n">
        <f aca="false">IF(N786="N",ABS(J786),"")</f>
        <v>2010150</v>
      </c>
      <c r="P786" s="18" t="str">
        <f aca="false">IF(N786="N",B786&amp;"|"&amp;ROUND(O786,0),"")</f>
        <v>KGR26/0253|2010150</v>
      </c>
      <c r="Q786" s="18" t="str">
        <f aca="false">IF(N786&lt;&gt;"Y","",IFERROR(INDEX($D$6:$D$4005,MATCH(B786&amp;"|"&amp;ROUND(_xlfn.MAXIFS($O$6:$O$4005,$B$6:$B$4005,B786,$N$6:$N$4005,"N"),0),$P$6:$P$4005,0)),"(tanpa lawan)"))</f>
        <v/>
      </c>
      <c r="R786" s="44"/>
      <c r="S786" s="9" t="str">
        <f aca="false">IF(N786&lt;&gt;"Y","",IF(R786&lt;&gt;"",R786,IF(Q786="(tanpa lawan)","Transfer antar rekening",IFERROR(INDEX(I_COA!$F$6:$F$265,MATCH(Q786,I_COA!$A$6:$A$265,0)),"?"))))</f>
        <v/>
      </c>
    </row>
    <row r="787" customFormat="false" ht="15" hidden="false" customHeight="false" outlineLevel="0" collapsed="false">
      <c r="A787" s="37" t="n">
        <v>46246</v>
      </c>
      <c r="B787" s="44" t="s">
        <v>1238</v>
      </c>
      <c r="C787" s="44" t="s">
        <v>617</v>
      </c>
      <c r="D787" s="44" t="n">
        <v>5100005</v>
      </c>
      <c r="E787" s="44" t="s">
        <v>986</v>
      </c>
      <c r="F787" s="44" t="s">
        <v>1239</v>
      </c>
      <c r="G787" s="42" t="n">
        <v>3302134.76</v>
      </c>
      <c r="H787" s="42"/>
      <c r="I787" s="44" t="s">
        <v>440</v>
      </c>
      <c r="J787" s="11" t="n">
        <f aca="false">IF(D787="","",N(G787)-N(H787))</f>
        <v>3302134.76</v>
      </c>
      <c r="K787" s="34" t="str">
        <f aca="false">IF(D787="","",IFERROR(INDEX(I_COA!$C$6:$C$265,MATCH(D787,I_COA!$A$6:$A$265,0)),"AKUN BARU"))</f>
        <v>LabaRugi</v>
      </c>
      <c r="L787" s="34" t="str">
        <f aca="false">IF(K787="LabaRugi",INDEX(I_COA!$D$6:$D$265,MATCH(D787,I_COA!$A$6:$A$265,0)),"")</f>
        <v>COGS - Live Bird</v>
      </c>
      <c r="M787" s="34" t="str">
        <f aca="false">IF(K787="Neraca",INDEX(I_COA!$E$6:$E$265,MATCH(D787,I_COA!$A$6:$A$265,0)),"")</f>
        <v/>
      </c>
      <c r="N787" s="34" t="str">
        <f aca="false">IF(D787="","",IFERROR(INDEX(I_COA!$G$6:$G$265,MATCH(D787,I_COA!$A$6:$A$265,0)),"N"))</f>
        <v>N</v>
      </c>
      <c r="O787" s="11" t="n">
        <f aca="false">IF(N787="N",ABS(J787),"")</f>
        <v>3302134.76</v>
      </c>
      <c r="P787" s="18" t="str">
        <f aca="false">IF(N787="N",B787&amp;"|"&amp;ROUND(O787,0),"")</f>
        <v>KGR26/0253|3302135</v>
      </c>
      <c r="Q787" s="18" t="str">
        <f aca="false">IF(N787&lt;&gt;"Y","",IFERROR(INDEX($D$6:$D$4005,MATCH(B787&amp;"|"&amp;ROUND(_xlfn.MAXIFS($O$6:$O$4005,$B$6:$B$4005,B787,$N$6:$N$4005,"N"),0),$P$6:$P$4005,0)),"(tanpa lawan)"))</f>
        <v/>
      </c>
      <c r="R787" s="44"/>
      <c r="S787" s="9" t="str">
        <f aca="false">IF(N787&lt;&gt;"Y","",IF(R787&lt;&gt;"",R787,IF(Q787="(tanpa lawan)","Transfer antar rekening",IFERROR(INDEX(I_COA!$F$6:$F$265,MATCH(Q787,I_COA!$A$6:$A$265,0)),"?"))))</f>
        <v/>
      </c>
    </row>
    <row r="788" customFormat="false" ht="15" hidden="false" customHeight="false" outlineLevel="0" collapsed="false">
      <c r="A788" s="37" t="n">
        <v>46246</v>
      </c>
      <c r="B788" s="44" t="s">
        <v>1238</v>
      </c>
      <c r="C788" s="44" t="s">
        <v>617</v>
      </c>
      <c r="D788" s="44" t="n">
        <v>1104002</v>
      </c>
      <c r="E788" s="44" t="s">
        <v>601</v>
      </c>
      <c r="F788" s="44" t="s">
        <v>1239</v>
      </c>
      <c r="G788" s="42"/>
      <c r="H788" s="42" t="n">
        <v>3302134.76</v>
      </c>
      <c r="I788" s="44" t="s">
        <v>440</v>
      </c>
      <c r="J788" s="11" t="n">
        <f aca="false">IF(D788="","",N(G788)-N(H788))</f>
        <v>-3302134.76</v>
      </c>
      <c r="K788" s="34" t="str">
        <f aca="false">IF(D788="","",IFERROR(INDEX(I_COA!$C$6:$C$265,MATCH(D788,I_COA!$A$6:$A$265,0)),"AKUN BARU"))</f>
        <v>Neraca</v>
      </c>
      <c r="L788" s="34" t="str">
        <f aca="false">IF(K788="LabaRugi",INDEX(I_COA!$D$6:$D$265,MATCH(D788,I_COA!$A$6:$A$265,0)),"")</f>
        <v/>
      </c>
      <c r="M788" s="34" t="str">
        <f aca="false">IF(K788="Neraca",INDEX(I_COA!$E$6:$E$265,MATCH(D788,I_COA!$A$6:$A$265,0)),"")</f>
        <v>Inventory - Product</v>
      </c>
      <c r="N788" s="34" t="str">
        <f aca="false">IF(D788="","",IFERROR(INDEX(I_COA!$G$6:$G$265,MATCH(D788,I_COA!$A$6:$A$265,0)),"N"))</f>
        <v>N</v>
      </c>
      <c r="O788" s="11" t="n">
        <f aca="false">IF(N788="N",ABS(J788),"")</f>
        <v>3302134.76</v>
      </c>
      <c r="P788" s="18" t="str">
        <f aca="false">IF(N788="N",B788&amp;"|"&amp;ROUND(O788,0),"")</f>
        <v>KGR26/0253|3302135</v>
      </c>
      <c r="Q788" s="18" t="str">
        <f aca="false">IF(N788&lt;&gt;"Y","",IFERROR(INDEX($D$6:$D$4005,MATCH(B788&amp;"|"&amp;ROUND(_xlfn.MAXIFS($O$6:$O$4005,$B$6:$B$4005,B788,$N$6:$N$4005,"N"),0),$P$6:$P$4005,0)),"(tanpa lawan)"))</f>
        <v/>
      </c>
      <c r="R788" s="44"/>
      <c r="S788" s="9" t="str">
        <f aca="false">IF(N788&lt;&gt;"Y","",IF(R788&lt;&gt;"",R788,IF(Q788="(tanpa lawan)","Transfer antar rekening",IFERROR(INDEX(I_COA!$F$6:$F$265,MATCH(Q788,I_COA!$A$6:$A$265,0)),"?"))))</f>
        <v/>
      </c>
    </row>
    <row r="789" customFormat="false" ht="15" hidden="false" customHeight="false" outlineLevel="0" collapsed="false">
      <c r="A789" s="37" t="n">
        <v>46246</v>
      </c>
      <c r="B789" s="44" t="s">
        <v>1240</v>
      </c>
      <c r="C789" s="44" t="s">
        <v>617</v>
      </c>
      <c r="D789" s="44" t="n">
        <v>1103101</v>
      </c>
      <c r="E789" s="44" t="s">
        <v>589</v>
      </c>
      <c r="F789" s="44" t="s">
        <v>1241</v>
      </c>
      <c r="G789" s="42" t="n">
        <v>79873225</v>
      </c>
      <c r="H789" s="42"/>
      <c r="I789" s="44" t="s">
        <v>457</v>
      </c>
      <c r="J789" s="11" t="n">
        <f aca="false">IF(D789="","",N(G789)-N(H789))</f>
        <v>79873225</v>
      </c>
      <c r="K789" s="34" t="str">
        <f aca="false">IF(D789="","",IFERROR(INDEX(I_COA!$C$6:$C$265,MATCH(D789,I_COA!$A$6:$A$265,0)),"AKUN BARU"))</f>
        <v>Neraca</v>
      </c>
      <c r="L789" s="34" t="str">
        <f aca="false">IF(K789="LabaRugi",INDEX(I_COA!$D$6:$D$265,MATCH(D789,I_COA!$A$6:$A$265,0)),"")</f>
        <v/>
      </c>
      <c r="M789" s="34" t="str">
        <f aca="false">IF(K789="Neraca",INDEX(I_COA!$E$6:$E$265,MATCH(D789,I_COA!$A$6:$A$265,0)),"")</f>
        <v>Trade Receivables - Third Parties</v>
      </c>
      <c r="N789" s="34" t="str">
        <f aca="false">IF(D789="","",IFERROR(INDEX(I_COA!$G$6:$G$265,MATCH(D789,I_COA!$A$6:$A$265,0)),"N"))</f>
        <v>N</v>
      </c>
      <c r="O789" s="11" t="n">
        <f aca="false">IF(N789="N",ABS(J789),"")</f>
        <v>79873225</v>
      </c>
      <c r="P789" s="18" t="str">
        <f aca="false">IF(N789="N",B789&amp;"|"&amp;ROUND(O789,0),"")</f>
        <v>KGR26/0254|79873225</v>
      </c>
      <c r="Q789" s="18" t="str">
        <f aca="false">IF(N789&lt;&gt;"Y","",IFERROR(INDEX($D$6:$D$4005,MATCH(B789&amp;"|"&amp;ROUND(_xlfn.MAXIFS($O$6:$O$4005,$B$6:$B$4005,B789,$N$6:$N$4005,"N"),0),$P$6:$P$4005,0)),"(tanpa lawan)"))</f>
        <v/>
      </c>
      <c r="R789" s="44"/>
      <c r="S789" s="9" t="str">
        <f aca="false">IF(N789&lt;&gt;"Y","",IF(R789&lt;&gt;"",R789,IF(Q789="(tanpa lawan)","Transfer antar rekening",IFERROR(INDEX(I_COA!$F$6:$F$265,MATCH(Q789,I_COA!$A$6:$A$265,0)),"?"))))</f>
        <v/>
      </c>
    </row>
    <row r="790" customFormat="false" ht="15" hidden="false" customHeight="false" outlineLevel="0" collapsed="false">
      <c r="A790" s="37" t="n">
        <v>46246</v>
      </c>
      <c r="B790" s="44" t="s">
        <v>1240</v>
      </c>
      <c r="C790" s="44" t="s">
        <v>617</v>
      </c>
      <c r="D790" s="44" t="n">
        <v>4101006</v>
      </c>
      <c r="E790" s="44" t="s">
        <v>626</v>
      </c>
      <c r="F790" s="44" t="s">
        <v>1241</v>
      </c>
      <c r="G790" s="42"/>
      <c r="H790" s="42" t="n">
        <v>79873225</v>
      </c>
      <c r="I790" s="44" t="s">
        <v>457</v>
      </c>
      <c r="J790" s="11" t="n">
        <f aca="false">IF(D790="","",N(G790)-N(H790))</f>
        <v>-79873225</v>
      </c>
      <c r="K790" s="34" t="str">
        <f aca="false">IF(D790="","",IFERROR(INDEX(I_COA!$C$6:$C$265,MATCH(D790,I_COA!$A$6:$A$265,0)),"AKUN BARU"))</f>
        <v>LabaRugi</v>
      </c>
      <c r="L790" s="34" t="str">
        <f aca="false">IF(K790="LabaRugi",INDEX(I_COA!$D$6:$D$265,MATCH(D790,I_COA!$A$6:$A$265,0)),"")</f>
        <v>Revenue - LB Main Product</v>
      </c>
      <c r="M790" s="34" t="str">
        <f aca="false">IF(K790="Neraca",INDEX(I_COA!$E$6:$E$265,MATCH(D790,I_COA!$A$6:$A$265,0)),"")</f>
        <v/>
      </c>
      <c r="N790" s="34" t="str">
        <f aca="false">IF(D790="","",IFERROR(INDEX(I_COA!$G$6:$G$265,MATCH(D790,I_COA!$A$6:$A$265,0)),"N"))</f>
        <v>N</v>
      </c>
      <c r="O790" s="11" t="n">
        <f aca="false">IF(N790="N",ABS(J790),"")</f>
        <v>79873225</v>
      </c>
      <c r="P790" s="18" t="str">
        <f aca="false">IF(N790="N",B790&amp;"|"&amp;ROUND(O790,0),"")</f>
        <v>KGR26/0254|79873225</v>
      </c>
      <c r="Q790" s="18" t="str">
        <f aca="false">IF(N790&lt;&gt;"Y","",IFERROR(INDEX($D$6:$D$4005,MATCH(B790&amp;"|"&amp;ROUND(_xlfn.MAXIFS($O$6:$O$4005,$B$6:$B$4005,B790,$N$6:$N$4005,"N"),0),$P$6:$P$4005,0)),"(tanpa lawan)"))</f>
        <v/>
      </c>
      <c r="R790" s="44"/>
      <c r="S790" s="9" t="str">
        <f aca="false">IF(N790&lt;&gt;"Y","",IF(R790&lt;&gt;"",R790,IF(Q790="(tanpa lawan)","Transfer antar rekening",IFERROR(INDEX(I_COA!$F$6:$F$265,MATCH(Q790,I_COA!$A$6:$A$265,0)),"?"))))</f>
        <v/>
      </c>
    </row>
    <row r="791" customFormat="false" ht="15" hidden="false" customHeight="false" outlineLevel="0" collapsed="false">
      <c r="A791" s="37" t="n">
        <v>46246</v>
      </c>
      <c r="B791" s="44" t="s">
        <v>1240</v>
      </c>
      <c r="C791" s="44" t="s">
        <v>617</v>
      </c>
      <c r="D791" s="44" t="n">
        <v>5100004</v>
      </c>
      <c r="E791" s="44" t="s">
        <v>627</v>
      </c>
      <c r="F791" s="44" t="s">
        <v>1241</v>
      </c>
      <c r="G791" s="42" t="n">
        <v>85299822.84</v>
      </c>
      <c r="H791" s="42"/>
      <c r="I791" s="44" t="s">
        <v>457</v>
      </c>
      <c r="J791" s="11" t="n">
        <f aca="false">IF(D791="","",N(G791)-N(H791))</f>
        <v>85299822.84</v>
      </c>
      <c r="K791" s="34" t="str">
        <f aca="false">IF(D791="","",IFERROR(INDEX(I_COA!$C$6:$C$265,MATCH(D791,I_COA!$A$6:$A$265,0)),"AKUN BARU"))</f>
        <v>LabaRugi</v>
      </c>
      <c r="L791" s="34" t="str">
        <f aca="false">IF(K791="LabaRugi",INDEX(I_COA!$D$6:$D$265,MATCH(D791,I_COA!$A$6:$A$265,0)),"")</f>
        <v>COGS - Live Bird</v>
      </c>
      <c r="M791" s="34" t="str">
        <f aca="false">IF(K791="Neraca",INDEX(I_COA!$E$6:$E$265,MATCH(D791,I_COA!$A$6:$A$265,0)),"")</f>
        <v/>
      </c>
      <c r="N791" s="34" t="str">
        <f aca="false">IF(D791="","",IFERROR(INDEX(I_COA!$G$6:$G$265,MATCH(D791,I_COA!$A$6:$A$265,0)),"N"))</f>
        <v>N</v>
      </c>
      <c r="O791" s="11" t="n">
        <f aca="false">IF(N791="N",ABS(J791),"")</f>
        <v>85299822.84</v>
      </c>
      <c r="P791" s="18" t="str">
        <f aca="false">IF(N791="N",B791&amp;"|"&amp;ROUND(O791,0),"")</f>
        <v>KGR26/0254|85299823</v>
      </c>
      <c r="Q791" s="18" t="str">
        <f aca="false">IF(N791&lt;&gt;"Y","",IFERROR(INDEX($D$6:$D$4005,MATCH(B791&amp;"|"&amp;ROUND(_xlfn.MAXIFS($O$6:$O$4005,$B$6:$B$4005,B791,$N$6:$N$4005,"N"),0),$P$6:$P$4005,0)),"(tanpa lawan)"))</f>
        <v/>
      </c>
      <c r="R791" s="44"/>
      <c r="S791" s="9" t="str">
        <f aca="false">IF(N791&lt;&gt;"Y","",IF(R791&lt;&gt;"",R791,IF(Q791="(tanpa lawan)","Transfer antar rekening",IFERROR(INDEX(I_COA!$F$6:$F$265,MATCH(Q791,I_COA!$A$6:$A$265,0)),"?"))))</f>
        <v/>
      </c>
    </row>
    <row r="792" customFormat="false" ht="15" hidden="false" customHeight="false" outlineLevel="0" collapsed="false">
      <c r="A792" s="37" t="n">
        <v>46246</v>
      </c>
      <c r="B792" s="44" t="s">
        <v>1240</v>
      </c>
      <c r="C792" s="44" t="s">
        <v>617</v>
      </c>
      <c r="D792" s="44" t="n">
        <v>1104002</v>
      </c>
      <c r="E792" s="44" t="s">
        <v>601</v>
      </c>
      <c r="F792" s="44" t="s">
        <v>1241</v>
      </c>
      <c r="G792" s="42"/>
      <c r="H792" s="42" t="n">
        <v>85299822.84</v>
      </c>
      <c r="I792" s="44" t="s">
        <v>457</v>
      </c>
      <c r="J792" s="11" t="n">
        <f aca="false">IF(D792="","",N(G792)-N(H792))</f>
        <v>-85299822.84</v>
      </c>
      <c r="K792" s="34" t="str">
        <f aca="false">IF(D792="","",IFERROR(INDEX(I_COA!$C$6:$C$265,MATCH(D792,I_COA!$A$6:$A$265,0)),"AKUN BARU"))</f>
        <v>Neraca</v>
      </c>
      <c r="L792" s="34" t="str">
        <f aca="false">IF(K792="LabaRugi",INDEX(I_COA!$D$6:$D$265,MATCH(D792,I_COA!$A$6:$A$265,0)),"")</f>
        <v/>
      </c>
      <c r="M792" s="34" t="str">
        <f aca="false">IF(K792="Neraca",INDEX(I_COA!$E$6:$E$265,MATCH(D792,I_COA!$A$6:$A$265,0)),"")</f>
        <v>Inventory - Product</v>
      </c>
      <c r="N792" s="34" t="str">
        <f aca="false">IF(D792="","",IFERROR(INDEX(I_COA!$G$6:$G$265,MATCH(D792,I_COA!$A$6:$A$265,0)),"N"))</f>
        <v>N</v>
      </c>
      <c r="O792" s="11" t="n">
        <f aca="false">IF(N792="N",ABS(J792),"")</f>
        <v>85299822.84</v>
      </c>
      <c r="P792" s="18" t="str">
        <f aca="false">IF(N792="N",B792&amp;"|"&amp;ROUND(O792,0),"")</f>
        <v>KGR26/0254|85299823</v>
      </c>
      <c r="Q792" s="18" t="str">
        <f aca="false">IF(N792&lt;&gt;"Y","",IFERROR(INDEX($D$6:$D$4005,MATCH(B792&amp;"|"&amp;ROUND(_xlfn.MAXIFS($O$6:$O$4005,$B$6:$B$4005,B792,$N$6:$N$4005,"N"),0),$P$6:$P$4005,0)),"(tanpa lawan)"))</f>
        <v/>
      </c>
      <c r="R792" s="44"/>
      <c r="S792" s="9" t="str">
        <f aca="false">IF(N792&lt;&gt;"Y","",IF(R792&lt;&gt;"",R792,IF(Q792="(tanpa lawan)","Transfer antar rekening",IFERROR(INDEX(I_COA!$F$6:$F$265,MATCH(Q792,I_COA!$A$6:$A$265,0)),"?"))))</f>
        <v/>
      </c>
    </row>
    <row r="793" customFormat="false" ht="15" hidden="false" customHeight="false" outlineLevel="0" collapsed="false">
      <c r="A793" s="37" t="n">
        <v>46246</v>
      </c>
      <c r="B793" s="44" t="s">
        <v>1242</v>
      </c>
      <c r="C793" s="44" t="s">
        <v>617</v>
      </c>
      <c r="D793" s="44" t="n">
        <v>1103101</v>
      </c>
      <c r="E793" s="44" t="s">
        <v>589</v>
      </c>
      <c r="F793" s="44" t="s">
        <v>1243</v>
      </c>
      <c r="G793" s="42" t="n">
        <v>89541645</v>
      </c>
      <c r="H793" s="42"/>
      <c r="I793" s="44" t="s">
        <v>1223</v>
      </c>
      <c r="J793" s="11" t="n">
        <f aca="false">IF(D793="","",N(G793)-N(H793))</f>
        <v>89541645</v>
      </c>
      <c r="K793" s="34" t="str">
        <f aca="false">IF(D793="","",IFERROR(INDEX(I_COA!$C$6:$C$265,MATCH(D793,I_COA!$A$6:$A$265,0)),"AKUN BARU"))</f>
        <v>Neraca</v>
      </c>
      <c r="L793" s="34" t="str">
        <f aca="false">IF(K793="LabaRugi",INDEX(I_COA!$D$6:$D$265,MATCH(D793,I_COA!$A$6:$A$265,0)),"")</f>
        <v/>
      </c>
      <c r="M793" s="34" t="str">
        <f aca="false">IF(K793="Neraca",INDEX(I_COA!$E$6:$E$265,MATCH(D793,I_COA!$A$6:$A$265,0)),"")</f>
        <v>Trade Receivables - Third Parties</v>
      </c>
      <c r="N793" s="34" t="str">
        <f aca="false">IF(D793="","",IFERROR(INDEX(I_COA!$G$6:$G$265,MATCH(D793,I_COA!$A$6:$A$265,0)),"N"))</f>
        <v>N</v>
      </c>
      <c r="O793" s="11" t="n">
        <f aca="false">IF(N793="N",ABS(J793),"")</f>
        <v>89541645</v>
      </c>
      <c r="P793" s="18" t="str">
        <f aca="false">IF(N793="N",B793&amp;"|"&amp;ROUND(O793,0),"")</f>
        <v>KGR26/0255|89541645</v>
      </c>
      <c r="Q793" s="18" t="str">
        <f aca="false">IF(N793&lt;&gt;"Y","",IFERROR(INDEX($D$6:$D$4005,MATCH(B793&amp;"|"&amp;ROUND(_xlfn.MAXIFS($O$6:$O$4005,$B$6:$B$4005,B793,$N$6:$N$4005,"N"),0),$P$6:$P$4005,0)),"(tanpa lawan)"))</f>
        <v/>
      </c>
      <c r="R793" s="44"/>
      <c r="S793" s="9" t="str">
        <f aca="false">IF(N793&lt;&gt;"Y","",IF(R793&lt;&gt;"",R793,IF(Q793="(tanpa lawan)","Transfer antar rekening",IFERROR(INDEX(I_COA!$F$6:$F$265,MATCH(Q793,I_COA!$A$6:$A$265,0)),"?"))))</f>
        <v/>
      </c>
    </row>
    <row r="794" customFormat="false" ht="15" hidden="false" customHeight="false" outlineLevel="0" collapsed="false">
      <c r="A794" s="37" t="n">
        <v>46246</v>
      </c>
      <c r="B794" s="44" t="s">
        <v>1242</v>
      </c>
      <c r="C794" s="44" t="s">
        <v>617</v>
      </c>
      <c r="D794" s="44" t="n">
        <v>4101006</v>
      </c>
      <c r="E794" s="44" t="s">
        <v>626</v>
      </c>
      <c r="F794" s="44" t="s">
        <v>1243</v>
      </c>
      <c r="G794" s="42"/>
      <c r="H794" s="42" t="n">
        <v>89541645</v>
      </c>
      <c r="I794" s="44" t="s">
        <v>1223</v>
      </c>
      <c r="J794" s="11" t="n">
        <f aca="false">IF(D794="","",N(G794)-N(H794))</f>
        <v>-89541645</v>
      </c>
      <c r="K794" s="34" t="str">
        <f aca="false">IF(D794="","",IFERROR(INDEX(I_COA!$C$6:$C$265,MATCH(D794,I_COA!$A$6:$A$265,0)),"AKUN BARU"))</f>
        <v>LabaRugi</v>
      </c>
      <c r="L794" s="34" t="str">
        <f aca="false">IF(K794="LabaRugi",INDEX(I_COA!$D$6:$D$265,MATCH(D794,I_COA!$A$6:$A$265,0)),"")</f>
        <v>Revenue - LB Main Product</v>
      </c>
      <c r="M794" s="34" t="str">
        <f aca="false">IF(K794="Neraca",INDEX(I_COA!$E$6:$E$265,MATCH(D794,I_COA!$A$6:$A$265,0)),"")</f>
        <v/>
      </c>
      <c r="N794" s="34" t="str">
        <f aca="false">IF(D794="","",IFERROR(INDEX(I_COA!$G$6:$G$265,MATCH(D794,I_COA!$A$6:$A$265,0)),"N"))</f>
        <v>N</v>
      </c>
      <c r="O794" s="11" t="n">
        <f aca="false">IF(N794="N",ABS(J794),"")</f>
        <v>89541645</v>
      </c>
      <c r="P794" s="18" t="str">
        <f aca="false">IF(N794="N",B794&amp;"|"&amp;ROUND(O794,0),"")</f>
        <v>KGR26/0255|89541645</v>
      </c>
      <c r="Q794" s="18" t="str">
        <f aca="false">IF(N794&lt;&gt;"Y","",IFERROR(INDEX($D$6:$D$4005,MATCH(B794&amp;"|"&amp;ROUND(_xlfn.MAXIFS($O$6:$O$4005,$B$6:$B$4005,B794,$N$6:$N$4005,"N"),0),$P$6:$P$4005,0)),"(tanpa lawan)"))</f>
        <v/>
      </c>
      <c r="R794" s="44"/>
      <c r="S794" s="9" t="str">
        <f aca="false">IF(N794&lt;&gt;"Y","",IF(R794&lt;&gt;"",R794,IF(Q794="(tanpa lawan)","Transfer antar rekening",IFERROR(INDEX(I_COA!$F$6:$F$265,MATCH(Q794,I_COA!$A$6:$A$265,0)),"?"))))</f>
        <v/>
      </c>
    </row>
    <row r="795" customFormat="false" ht="15" hidden="false" customHeight="false" outlineLevel="0" collapsed="false">
      <c r="A795" s="37" t="n">
        <v>46246</v>
      </c>
      <c r="B795" s="44" t="s">
        <v>1242</v>
      </c>
      <c r="C795" s="44" t="s">
        <v>617</v>
      </c>
      <c r="D795" s="44" t="n">
        <v>5100004</v>
      </c>
      <c r="E795" s="44" t="s">
        <v>627</v>
      </c>
      <c r="F795" s="44" t="s">
        <v>1243</v>
      </c>
      <c r="G795" s="42" t="n">
        <v>94752093.85</v>
      </c>
      <c r="H795" s="42"/>
      <c r="I795" s="44" t="s">
        <v>1223</v>
      </c>
      <c r="J795" s="11" t="n">
        <f aca="false">IF(D795="","",N(G795)-N(H795))</f>
        <v>94752093.85</v>
      </c>
      <c r="K795" s="34" t="str">
        <f aca="false">IF(D795="","",IFERROR(INDEX(I_COA!$C$6:$C$265,MATCH(D795,I_COA!$A$6:$A$265,0)),"AKUN BARU"))</f>
        <v>LabaRugi</v>
      </c>
      <c r="L795" s="34" t="str">
        <f aca="false">IF(K795="LabaRugi",INDEX(I_COA!$D$6:$D$265,MATCH(D795,I_COA!$A$6:$A$265,0)),"")</f>
        <v>COGS - Live Bird</v>
      </c>
      <c r="M795" s="34" t="str">
        <f aca="false">IF(K795="Neraca",INDEX(I_COA!$E$6:$E$265,MATCH(D795,I_COA!$A$6:$A$265,0)),"")</f>
        <v/>
      </c>
      <c r="N795" s="34" t="str">
        <f aca="false">IF(D795="","",IFERROR(INDEX(I_COA!$G$6:$G$265,MATCH(D795,I_COA!$A$6:$A$265,0)),"N"))</f>
        <v>N</v>
      </c>
      <c r="O795" s="11" t="n">
        <f aca="false">IF(N795="N",ABS(J795),"")</f>
        <v>94752093.85</v>
      </c>
      <c r="P795" s="18" t="str">
        <f aca="false">IF(N795="N",B795&amp;"|"&amp;ROUND(O795,0),"")</f>
        <v>KGR26/0255|94752094</v>
      </c>
      <c r="Q795" s="18" t="str">
        <f aca="false">IF(N795&lt;&gt;"Y","",IFERROR(INDEX($D$6:$D$4005,MATCH(B795&amp;"|"&amp;ROUND(_xlfn.MAXIFS($O$6:$O$4005,$B$6:$B$4005,B795,$N$6:$N$4005,"N"),0),$P$6:$P$4005,0)),"(tanpa lawan)"))</f>
        <v/>
      </c>
      <c r="R795" s="44"/>
      <c r="S795" s="9" t="str">
        <f aca="false">IF(N795&lt;&gt;"Y","",IF(R795&lt;&gt;"",R795,IF(Q795="(tanpa lawan)","Transfer antar rekening",IFERROR(INDEX(I_COA!$F$6:$F$265,MATCH(Q795,I_COA!$A$6:$A$265,0)),"?"))))</f>
        <v/>
      </c>
    </row>
    <row r="796" customFormat="false" ht="15" hidden="false" customHeight="false" outlineLevel="0" collapsed="false">
      <c r="A796" s="37" t="n">
        <v>46246</v>
      </c>
      <c r="B796" s="44" t="s">
        <v>1242</v>
      </c>
      <c r="C796" s="44" t="s">
        <v>617</v>
      </c>
      <c r="D796" s="44" t="n">
        <v>1104002</v>
      </c>
      <c r="E796" s="44" t="s">
        <v>601</v>
      </c>
      <c r="F796" s="44" t="s">
        <v>1243</v>
      </c>
      <c r="G796" s="42"/>
      <c r="H796" s="42" t="n">
        <v>94752093.85</v>
      </c>
      <c r="I796" s="44" t="s">
        <v>1223</v>
      </c>
      <c r="J796" s="11" t="n">
        <f aca="false">IF(D796="","",N(G796)-N(H796))</f>
        <v>-94752093.85</v>
      </c>
      <c r="K796" s="34" t="str">
        <f aca="false">IF(D796="","",IFERROR(INDEX(I_COA!$C$6:$C$265,MATCH(D796,I_COA!$A$6:$A$265,0)),"AKUN BARU"))</f>
        <v>Neraca</v>
      </c>
      <c r="L796" s="34" t="str">
        <f aca="false">IF(K796="LabaRugi",INDEX(I_COA!$D$6:$D$265,MATCH(D796,I_COA!$A$6:$A$265,0)),"")</f>
        <v/>
      </c>
      <c r="M796" s="34" t="str">
        <f aca="false">IF(K796="Neraca",INDEX(I_COA!$E$6:$E$265,MATCH(D796,I_COA!$A$6:$A$265,0)),"")</f>
        <v>Inventory - Product</v>
      </c>
      <c r="N796" s="34" t="str">
        <f aca="false">IF(D796="","",IFERROR(INDEX(I_COA!$G$6:$G$265,MATCH(D796,I_COA!$A$6:$A$265,0)),"N"))</f>
        <v>N</v>
      </c>
      <c r="O796" s="11" t="n">
        <f aca="false">IF(N796="N",ABS(J796),"")</f>
        <v>94752093.85</v>
      </c>
      <c r="P796" s="18" t="str">
        <f aca="false">IF(N796="N",B796&amp;"|"&amp;ROUND(O796,0),"")</f>
        <v>KGR26/0255|94752094</v>
      </c>
      <c r="Q796" s="18" t="str">
        <f aca="false">IF(N796&lt;&gt;"Y","",IFERROR(INDEX($D$6:$D$4005,MATCH(B796&amp;"|"&amp;ROUND(_xlfn.MAXIFS($O$6:$O$4005,$B$6:$B$4005,B796,$N$6:$N$4005,"N"),0),$P$6:$P$4005,0)),"(tanpa lawan)"))</f>
        <v/>
      </c>
      <c r="R796" s="44"/>
      <c r="S796" s="9" t="str">
        <f aca="false">IF(N796&lt;&gt;"Y","",IF(R796&lt;&gt;"",R796,IF(Q796="(tanpa lawan)","Transfer antar rekening",IFERROR(INDEX(I_COA!$F$6:$F$265,MATCH(Q796,I_COA!$A$6:$A$265,0)),"?"))))</f>
        <v/>
      </c>
    </row>
    <row r="797" customFormat="false" ht="15" hidden="false" customHeight="false" outlineLevel="0" collapsed="false">
      <c r="A797" s="37" t="n">
        <v>46246</v>
      </c>
      <c r="B797" s="44" t="s">
        <v>1244</v>
      </c>
      <c r="C797" s="44" t="s">
        <v>617</v>
      </c>
      <c r="D797" s="44" t="n">
        <v>1103101</v>
      </c>
      <c r="E797" s="44" t="s">
        <v>589</v>
      </c>
      <c r="F797" s="44" t="s">
        <v>1245</v>
      </c>
      <c r="G797" s="42" t="n">
        <v>67738050</v>
      </c>
      <c r="H797" s="42"/>
      <c r="I797" s="44" t="s">
        <v>1194</v>
      </c>
      <c r="J797" s="11" t="n">
        <f aca="false">IF(D797="","",N(G797)-N(H797))</f>
        <v>67738050</v>
      </c>
      <c r="K797" s="34" t="str">
        <f aca="false">IF(D797="","",IFERROR(INDEX(I_COA!$C$6:$C$265,MATCH(D797,I_COA!$A$6:$A$265,0)),"AKUN BARU"))</f>
        <v>Neraca</v>
      </c>
      <c r="L797" s="34" t="str">
        <f aca="false">IF(K797="LabaRugi",INDEX(I_COA!$D$6:$D$265,MATCH(D797,I_COA!$A$6:$A$265,0)),"")</f>
        <v/>
      </c>
      <c r="M797" s="34" t="str">
        <f aca="false">IF(K797="Neraca",INDEX(I_COA!$E$6:$E$265,MATCH(D797,I_COA!$A$6:$A$265,0)),"")</f>
        <v>Trade Receivables - Third Parties</v>
      </c>
      <c r="N797" s="34" t="str">
        <f aca="false">IF(D797="","",IFERROR(INDEX(I_COA!$G$6:$G$265,MATCH(D797,I_COA!$A$6:$A$265,0)),"N"))</f>
        <v>N</v>
      </c>
      <c r="O797" s="11" t="n">
        <f aca="false">IF(N797="N",ABS(J797),"")</f>
        <v>67738050</v>
      </c>
      <c r="P797" s="18" t="str">
        <f aca="false">IF(N797="N",B797&amp;"|"&amp;ROUND(O797,0),"")</f>
        <v>KGR26/0256|67738050</v>
      </c>
      <c r="Q797" s="18" t="str">
        <f aca="false">IF(N797&lt;&gt;"Y","",IFERROR(INDEX($D$6:$D$4005,MATCH(B797&amp;"|"&amp;ROUND(_xlfn.MAXIFS($O$6:$O$4005,$B$6:$B$4005,B797,$N$6:$N$4005,"N"),0),$P$6:$P$4005,0)),"(tanpa lawan)"))</f>
        <v/>
      </c>
      <c r="R797" s="44"/>
      <c r="S797" s="9" t="str">
        <f aca="false">IF(N797&lt;&gt;"Y","",IF(R797&lt;&gt;"",R797,IF(Q797="(tanpa lawan)","Transfer antar rekening",IFERROR(INDEX(I_COA!$F$6:$F$265,MATCH(Q797,I_COA!$A$6:$A$265,0)),"?"))))</f>
        <v/>
      </c>
    </row>
    <row r="798" customFormat="false" ht="15" hidden="false" customHeight="false" outlineLevel="0" collapsed="false">
      <c r="A798" s="37" t="n">
        <v>46246</v>
      </c>
      <c r="B798" s="44" t="s">
        <v>1244</v>
      </c>
      <c r="C798" s="44" t="s">
        <v>617</v>
      </c>
      <c r="D798" s="44" t="n">
        <v>4101012</v>
      </c>
      <c r="E798" s="44" t="s">
        <v>619</v>
      </c>
      <c r="F798" s="44" t="s">
        <v>1245</v>
      </c>
      <c r="G798" s="42"/>
      <c r="H798" s="42" t="n">
        <v>67738050</v>
      </c>
      <c r="I798" s="44" t="s">
        <v>1194</v>
      </c>
      <c r="J798" s="11" t="n">
        <f aca="false">IF(D798="","",N(G798)-N(H798))</f>
        <v>-67738050</v>
      </c>
      <c r="K798" s="34" t="str">
        <f aca="false">IF(D798="","",IFERROR(INDEX(I_COA!$C$6:$C$265,MATCH(D798,I_COA!$A$6:$A$265,0)),"AKUN BARU"))</f>
        <v>LabaRugi</v>
      </c>
      <c r="L798" s="34" t="str">
        <f aca="false">IF(K798="LabaRugi",INDEX(I_COA!$D$6:$D$265,MATCH(D798,I_COA!$A$6:$A$265,0)),"")</f>
        <v>Revenue - Trading</v>
      </c>
      <c r="M798" s="34" t="str">
        <f aca="false">IF(K798="Neraca",INDEX(I_COA!$E$6:$E$265,MATCH(D798,I_COA!$A$6:$A$265,0)),"")</f>
        <v/>
      </c>
      <c r="N798" s="34" t="str">
        <f aca="false">IF(D798="","",IFERROR(INDEX(I_COA!$G$6:$G$265,MATCH(D798,I_COA!$A$6:$A$265,0)),"N"))</f>
        <v>N</v>
      </c>
      <c r="O798" s="11" t="n">
        <f aca="false">IF(N798="N",ABS(J798),"")</f>
        <v>67738050</v>
      </c>
      <c r="P798" s="18" t="str">
        <f aca="false">IF(N798="N",B798&amp;"|"&amp;ROUND(O798,0),"")</f>
        <v>KGR26/0256|67738050</v>
      </c>
      <c r="Q798" s="18" t="str">
        <f aca="false">IF(N798&lt;&gt;"Y","",IFERROR(INDEX($D$6:$D$4005,MATCH(B798&amp;"|"&amp;ROUND(_xlfn.MAXIFS($O$6:$O$4005,$B$6:$B$4005,B798,$N$6:$N$4005,"N"),0),$P$6:$P$4005,0)),"(tanpa lawan)"))</f>
        <v/>
      </c>
      <c r="R798" s="44"/>
      <c r="S798" s="9" t="str">
        <f aca="false">IF(N798&lt;&gt;"Y","",IF(R798&lt;&gt;"",R798,IF(Q798="(tanpa lawan)","Transfer antar rekening",IFERROR(INDEX(I_COA!$F$6:$F$265,MATCH(Q798,I_COA!$A$6:$A$265,0)),"?"))))</f>
        <v/>
      </c>
    </row>
    <row r="799" customFormat="false" ht="15" hidden="false" customHeight="false" outlineLevel="0" collapsed="false">
      <c r="A799" s="37" t="n">
        <v>46246</v>
      </c>
      <c r="B799" s="44" t="s">
        <v>1244</v>
      </c>
      <c r="C799" s="44" t="s">
        <v>617</v>
      </c>
      <c r="D799" s="44" t="n">
        <v>5100011</v>
      </c>
      <c r="E799" s="44" t="s">
        <v>166</v>
      </c>
      <c r="F799" s="44" t="s">
        <v>1245</v>
      </c>
      <c r="G799" s="42" t="n">
        <v>51596499.28</v>
      </c>
      <c r="H799" s="42"/>
      <c r="I799" s="44" t="s">
        <v>1194</v>
      </c>
      <c r="J799" s="11" t="n">
        <f aca="false">IF(D799="","",N(G799)-N(H799))</f>
        <v>51596499.28</v>
      </c>
      <c r="K799" s="34" t="str">
        <f aca="false">IF(D799="","",IFERROR(INDEX(I_COA!$C$6:$C$265,MATCH(D799,I_COA!$A$6:$A$265,0)),"AKUN BARU"))</f>
        <v>LabaRugi</v>
      </c>
      <c r="L799" s="34" t="str">
        <f aca="false">IF(K799="LabaRugi",INDEX(I_COA!$D$6:$D$265,MATCH(D799,I_COA!$A$6:$A$265,0)),"")</f>
        <v>COGS - Trading</v>
      </c>
      <c r="M799" s="34" t="str">
        <f aca="false">IF(K799="Neraca",INDEX(I_COA!$E$6:$E$265,MATCH(D799,I_COA!$A$6:$A$265,0)),"")</f>
        <v/>
      </c>
      <c r="N799" s="34" t="str">
        <f aca="false">IF(D799="","",IFERROR(INDEX(I_COA!$G$6:$G$265,MATCH(D799,I_COA!$A$6:$A$265,0)),"N"))</f>
        <v>N</v>
      </c>
      <c r="O799" s="11" t="n">
        <f aca="false">IF(N799="N",ABS(J799),"")</f>
        <v>51596499.28</v>
      </c>
      <c r="P799" s="18" t="str">
        <f aca="false">IF(N799="N",B799&amp;"|"&amp;ROUND(O799,0),"")</f>
        <v>KGR26/0256|51596499</v>
      </c>
      <c r="Q799" s="18" t="str">
        <f aca="false">IF(N799&lt;&gt;"Y","",IFERROR(INDEX($D$6:$D$4005,MATCH(B799&amp;"|"&amp;ROUND(_xlfn.MAXIFS($O$6:$O$4005,$B$6:$B$4005,B799,$N$6:$N$4005,"N"),0),$P$6:$P$4005,0)),"(tanpa lawan)"))</f>
        <v/>
      </c>
      <c r="R799" s="44"/>
      <c r="S799" s="9" t="str">
        <f aca="false">IF(N799&lt;&gt;"Y","",IF(R799&lt;&gt;"",R799,IF(Q799="(tanpa lawan)","Transfer antar rekening",IFERROR(INDEX(I_COA!$F$6:$F$265,MATCH(Q799,I_COA!$A$6:$A$265,0)),"?"))))</f>
        <v/>
      </c>
    </row>
    <row r="800" customFormat="false" ht="15" hidden="false" customHeight="false" outlineLevel="0" collapsed="false">
      <c r="A800" s="37" t="n">
        <v>46246</v>
      </c>
      <c r="B800" s="44" t="s">
        <v>1244</v>
      </c>
      <c r="C800" s="44" t="s">
        <v>617</v>
      </c>
      <c r="D800" s="44" t="n">
        <v>1104002</v>
      </c>
      <c r="E800" s="44" t="s">
        <v>601</v>
      </c>
      <c r="F800" s="44" t="s">
        <v>1245</v>
      </c>
      <c r="G800" s="42"/>
      <c r="H800" s="42" t="n">
        <v>51596499.28</v>
      </c>
      <c r="I800" s="44" t="s">
        <v>1194</v>
      </c>
      <c r="J800" s="11" t="n">
        <f aca="false">IF(D800="","",N(G800)-N(H800))</f>
        <v>-51596499.28</v>
      </c>
      <c r="K800" s="34" t="str">
        <f aca="false">IF(D800="","",IFERROR(INDEX(I_COA!$C$6:$C$265,MATCH(D800,I_COA!$A$6:$A$265,0)),"AKUN BARU"))</f>
        <v>Neraca</v>
      </c>
      <c r="L800" s="34" t="str">
        <f aca="false">IF(K800="LabaRugi",INDEX(I_COA!$D$6:$D$265,MATCH(D800,I_COA!$A$6:$A$265,0)),"")</f>
        <v/>
      </c>
      <c r="M800" s="34" t="str">
        <f aca="false">IF(K800="Neraca",INDEX(I_COA!$E$6:$E$265,MATCH(D800,I_COA!$A$6:$A$265,0)),"")</f>
        <v>Inventory - Product</v>
      </c>
      <c r="N800" s="34" t="str">
        <f aca="false">IF(D800="","",IFERROR(INDEX(I_COA!$G$6:$G$265,MATCH(D800,I_COA!$A$6:$A$265,0)),"N"))</f>
        <v>N</v>
      </c>
      <c r="O800" s="11" t="n">
        <f aca="false">IF(N800="N",ABS(J800),"")</f>
        <v>51596499.28</v>
      </c>
      <c r="P800" s="18" t="str">
        <f aca="false">IF(N800="N",B800&amp;"|"&amp;ROUND(O800,0),"")</f>
        <v>KGR26/0256|51596499</v>
      </c>
      <c r="Q800" s="18" t="str">
        <f aca="false">IF(N800&lt;&gt;"Y","",IFERROR(INDEX($D$6:$D$4005,MATCH(B800&amp;"|"&amp;ROUND(_xlfn.MAXIFS($O$6:$O$4005,$B$6:$B$4005,B800,$N$6:$N$4005,"N"),0),$P$6:$P$4005,0)),"(tanpa lawan)"))</f>
        <v/>
      </c>
      <c r="R800" s="44"/>
      <c r="S800" s="9" t="str">
        <f aca="false">IF(N800&lt;&gt;"Y","",IF(R800&lt;&gt;"",R800,IF(Q800="(tanpa lawan)","Transfer antar rekening",IFERROR(INDEX(I_COA!$F$6:$F$265,MATCH(Q800,I_COA!$A$6:$A$265,0)),"?"))))</f>
        <v/>
      </c>
    </row>
    <row r="801" customFormat="false" ht="15" hidden="false" customHeight="false" outlineLevel="0" collapsed="false">
      <c r="A801" s="37" t="n">
        <v>46246</v>
      </c>
      <c r="B801" s="44" t="s">
        <v>1246</v>
      </c>
      <c r="C801" s="44" t="s">
        <v>617</v>
      </c>
      <c r="D801" s="44" t="n">
        <v>1103101</v>
      </c>
      <c r="E801" s="44" t="s">
        <v>589</v>
      </c>
      <c r="F801" s="44" t="s">
        <v>1247</v>
      </c>
      <c r="G801" s="42" t="n">
        <v>30987775</v>
      </c>
      <c r="H801" s="42"/>
      <c r="I801" s="44" t="s">
        <v>1223</v>
      </c>
      <c r="J801" s="11" t="n">
        <f aca="false">IF(D801="","",N(G801)-N(H801))</f>
        <v>30987775</v>
      </c>
      <c r="K801" s="34" t="str">
        <f aca="false">IF(D801="","",IFERROR(INDEX(I_COA!$C$6:$C$265,MATCH(D801,I_COA!$A$6:$A$265,0)),"AKUN BARU"))</f>
        <v>Neraca</v>
      </c>
      <c r="L801" s="34" t="str">
        <f aca="false">IF(K801="LabaRugi",INDEX(I_COA!$D$6:$D$265,MATCH(D801,I_COA!$A$6:$A$265,0)),"")</f>
        <v/>
      </c>
      <c r="M801" s="34" t="str">
        <f aca="false">IF(K801="Neraca",INDEX(I_COA!$E$6:$E$265,MATCH(D801,I_COA!$A$6:$A$265,0)),"")</f>
        <v>Trade Receivables - Third Parties</v>
      </c>
      <c r="N801" s="34" t="str">
        <f aca="false">IF(D801="","",IFERROR(INDEX(I_COA!$G$6:$G$265,MATCH(D801,I_COA!$A$6:$A$265,0)),"N"))</f>
        <v>N</v>
      </c>
      <c r="O801" s="11" t="n">
        <f aca="false">IF(N801="N",ABS(J801),"")</f>
        <v>30987775</v>
      </c>
      <c r="P801" s="18" t="str">
        <f aca="false">IF(N801="N",B801&amp;"|"&amp;ROUND(O801,0),"")</f>
        <v>KGR26/0356|30987775</v>
      </c>
      <c r="Q801" s="18" t="str">
        <f aca="false">IF(N801&lt;&gt;"Y","",IFERROR(INDEX($D$6:$D$4005,MATCH(B801&amp;"|"&amp;ROUND(_xlfn.MAXIFS($O$6:$O$4005,$B$6:$B$4005,B801,$N$6:$N$4005,"N"),0),$P$6:$P$4005,0)),"(tanpa lawan)"))</f>
        <v/>
      </c>
      <c r="R801" s="44"/>
      <c r="S801" s="9" t="str">
        <f aca="false">IF(N801&lt;&gt;"Y","",IF(R801&lt;&gt;"",R801,IF(Q801="(tanpa lawan)","Transfer antar rekening",IFERROR(INDEX(I_COA!$F$6:$F$265,MATCH(Q801,I_COA!$A$6:$A$265,0)),"?"))))</f>
        <v/>
      </c>
    </row>
    <row r="802" customFormat="false" ht="15" hidden="false" customHeight="false" outlineLevel="0" collapsed="false">
      <c r="A802" s="37" t="n">
        <v>46246</v>
      </c>
      <c r="B802" s="44" t="s">
        <v>1246</v>
      </c>
      <c r="C802" s="44" t="s">
        <v>617</v>
      </c>
      <c r="D802" s="44" t="n">
        <v>4101006</v>
      </c>
      <c r="E802" s="44" t="s">
        <v>626</v>
      </c>
      <c r="F802" s="44" t="s">
        <v>1247</v>
      </c>
      <c r="G802" s="42"/>
      <c r="H802" s="42" t="n">
        <v>30987775</v>
      </c>
      <c r="I802" s="44" t="s">
        <v>1223</v>
      </c>
      <c r="J802" s="11" t="n">
        <f aca="false">IF(D802="","",N(G802)-N(H802))</f>
        <v>-30987775</v>
      </c>
      <c r="K802" s="34" t="str">
        <f aca="false">IF(D802="","",IFERROR(INDEX(I_COA!$C$6:$C$265,MATCH(D802,I_COA!$A$6:$A$265,0)),"AKUN BARU"))</f>
        <v>LabaRugi</v>
      </c>
      <c r="L802" s="34" t="str">
        <f aca="false">IF(K802="LabaRugi",INDEX(I_COA!$D$6:$D$265,MATCH(D802,I_COA!$A$6:$A$265,0)),"")</f>
        <v>Revenue - LB Main Product</v>
      </c>
      <c r="M802" s="34" t="str">
        <f aca="false">IF(K802="Neraca",INDEX(I_COA!$E$6:$E$265,MATCH(D802,I_COA!$A$6:$A$265,0)),"")</f>
        <v/>
      </c>
      <c r="N802" s="34" t="str">
        <f aca="false">IF(D802="","",IFERROR(INDEX(I_COA!$G$6:$G$265,MATCH(D802,I_COA!$A$6:$A$265,0)),"N"))</f>
        <v>N</v>
      </c>
      <c r="O802" s="11" t="n">
        <f aca="false">IF(N802="N",ABS(J802),"")</f>
        <v>30987775</v>
      </c>
      <c r="P802" s="18" t="str">
        <f aca="false">IF(N802="N",B802&amp;"|"&amp;ROUND(O802,0),"")</f>
        <v>KGR26/0356|30987775</v>
      </c>
      <c r="Q802" s="18" t="str">
        <f aca="false">IF(N802&lt;&gt;"Y","",IFERROR(INDEX($D$6:$D$4005,MATCH(B802&amp;"|"&amp;ROUND(_xlfn.MAXIFS($O$6:$O$4005,$B$6:$B$4005,B802,$N$6:$N$4005,"N"),0),$P$6:$P$4005,0)),"(tanpa lawan)"))</f>
        <v/>
      </c>
      <c r="R802" s="44"/>
      <c r="S802" s="9" t="str">
        <f aca="false">IF(N802&lt;&gt;"Y","",IF(R802&lt;&gt;"",R802,IF(Q802="(tanpa lawan)","Transfer antar rekening",IFERROR(INDEX(I_COA!$F$6:$F$265,MATCH(Q802,I_COA!$A$6:$A$265,0)),"?"))))</f>
        <v/>
      </c>
    </row>
    <row r="803" customFormat="false" ht="15" hidden="false" customHeight="false" outlineLevel="0" collapsed="false">
      <c r="A803" s="37" t="n">
        <v>46246</v>
      </c>
      <c r="B803" s="44" t="s">
        <v>1246</v>
      </c>
      <c r="C803" s="44" t="s">
        <v>617</v>
      </c>
      <c r="D803" s="44" t="n">
        <v>5100004</v>
      </c>
      <c r="E803" s="44" t="s">
        <v>627</v>
      </c>
      <c r="F803" s="44" t="s">
        <v>1247</v>
      </c>
      <c r="G803" s="42" t="n">
        <v>34697669.59</v>
      </c>
      <c r="H803" s="42"/>
      <c r="I803" s="44" t="s">
        <v>1223</v>
      </c>
      <c r="J803" s="11" t="n">
        <f aca="false">IF(D803="","",N(G803)-N(H803))</f>
        <v>34697669.59</v>
      </c>
      <c r="K803" s="34" t="str">
        <f aca="false">IF(D803="","",IFERROR(INDEX(I_COA!$C$6:$C$265,MATCH(D803,I_COA!$A$6:$A$265,0)),"AKUN BARU"))</f>
        <v>LabaRugi</v>
      </c>
      <c r="L803" s="34" t="str">
        <f aca="false">IF(K803="LabaRugi",INDEX(I_COA!$D$6:$D$265,MATCH(D803,I_COA!$A$6:$A$265,0)),"")</f>
        <v>COGS - Live Bird</v>
      </c>
      <c r="M803" s="34" t="str">
        <f aca="false">IF(K803="Neraca",INDEX(I_COA!$E$6:$E$265,MATCH(D803,I_COA!$A$6:$A$265,0)),"")</f>
        <v/>
      </c>
      <c r="N803" s="34" t="str">
        <f aca="false">IF(D803="","",IFERROR(INDEX(I_COA!$G$6:$G$265,MATCH(D803,I_COA!$A$6:$A$265,0)),"N"))</f>
        <v>N</v>
      </c>
      <c r="O803" s="11" t="n">
        <f aca="false">IF(N803="N",ABS(J803),"")</f>
        <v>34697669.59</v>
      </c>
      <c r="P803" s="18" t="str">
        <f aca="false">IF(N803="N",B803&amp;"|"&amp;ROUND(O803,0),"")</f>
        <v>KGR26/0356|34697670</v>
      </c>
      <c r="Q803" s="18" t="str">
        <f aca="false">IF(N803&lt;&gt;"Y","",IFERROR(INDEX($D$6:$D$4005,MATCH(B803&amp;"|"&amp;ROUND(_xlfn.MAXIFS($O$6:$O$4005,$B$6:$B$4005,B803,$N$6:$N$4005,"N"),0),$P$6:$P$4005,0)),"(tanpa lawan)"))</f>
        <v/>
      </c>
      <c r="R803" s="44"/>
      <c r="S803" s="9" t="str">
        <f aca="false">IF(N803&lt;&gt;"Y","",IF(R803&lt;&gt;"",R803,IF(Q803="(tanpa lawan)","Transfer antar rekening",IFERROR(INDEX(I_COA!$F$6:$F$265,MATCH(Q803,I_COA!$A$6:$A$265,0)),"?"))))</f>
        <v/>
      </c>
    </row>
    <row r="804" customFormat="false" ht="15" hidden="false" customHeight="false" outlineLevel="0" collapsed="false">
      <c r="A804" s="37" t="n">
        <v>46246</v>
      </c>
      <c r="B804" s="44" t="s">
        <v>1246</v>
      </c>
      <c r="C804" s="44" t="s">
        <v>617</v>
      </c>
      <c r="D804" s="44" t="n">
        <v>1104002</v>
      </c>
      <c r="E804" s="44" t="s">
        <v>601</v>
      </c>
      <c r="F804" s="44" t="s">
        <v>1247</v>
      </c>
      <c r="G804" s="42"/>
      <c r="H804" s="42" t="n">
        <v>34697669.59</v>
      </c>
      <c r="I804" s="44" t="s">
        <v>1223</v>
      </c>
      <c r="J804" s="11" t="n">
        <f aca="false">IF(D804="","",N(G804)-N(H804))</f>
        <v>-34697669.59</v>
      </c>
      <c r="K804" s="34" t="str">
        <f aca="false">IF(D804="","",IFERROR(INDEX(I_COA!$C$6:$C$265,MATCH(D804,I_COA!$A$6:$A$265,0)),"AKUN BARU"))</f>
        <v>Neraca</v>
      </c>
      <c r="L804" s="34" t="str">
        <f aca="false">IF(K804="LabaRugi",INDEX(I_COA!$D$6:$D$265,MATCH(D804,I_COA!$A$6:$A$265,0)),"")</f>
        <v/>
      </c>
      <c r="M804" s="34" t="str">
        <f aca="false">IF(K804="Neraca",INDEX(I_COA!$E$6:$E$265,MATCH(D804,I_COA!$A$6:$A$265,0)),"")</f>
        <v>Inventory - Product</v>
      </c>
      <c r="N804" s="34" t="str">
        <f aca="false">IF(D804="","",IFERROR(INDEX(I_COA!$G$6:$G$265,MATCH(D804,I_COA!$A$6:$A$265,0)),"N"))</f>
        <v>N</v>
      </c>
      <c r="O804" s="11" t="n">
        <f aca="false">IF(N804="N",ABS(J804),"")</f>
        <v>34697669.59</v>
      </c>
      <c r="P804" s="18" t="str">
        <f aca="false">IF(N804="N",B804&amp;"|"&amp;ROUND(O804,0),"")</f>
        <v>KGR26/0356|34697670</v>
      </c>
      <c r="Q804" s="18" t="str">
        <f aca="false">IF(N804&lt;&gt;"Y","",IFERROR(INDEX($D$6:$D$4005,MATCH(B804&amp;"|"&amp;ROUND(_xlfn.MAXIFS($O$6:$O$4005,$B$6:$B$4005,B804,$N$6:$N$4005,"N"),0),$P$6:$P$4005,0)),"(tanpa lawan)"))</f>
        <v/>
      </c>
      <c r="R804" s="44"/>
      <c r="S804" s="9" t="str">
        <f aca="false">IF(N804&lt;&gt;"Y","",IF(R804&lt;&gt;"",R804,IF(Q804="(tanpa lawan)","Transfer antar rekening",IFERROR(INDEX(I_COA!$F$6:$F$265,MATCH(Q804,I_COA!$A$6:$A$265,0)),"?"))))</f>
        <v/>
      </c>
    </row>
    <row r="805" customFormat="false" ht="15" hidden="false" customHeight="false" outlineLevel="0" collapsed="false">
      <c r="A805" s="37" t="n">
        <v>46247</v>
      </c>
      <c r="B805" s="44" t="s">
        <v>1248</v>
      </c>
      <c r="C805" s="44" t="s">
        <v>585</v>
      </c>
      <c r="D805" s="44" t="n">
        <v>1102001</v>
      </c>
      <c r="E805" s="44" t="s">
        <v>586</v>
      </c>
      <c r="F805" s="44" t="s">
        <v>1249</v>
      </c>
      <c r="G805" s="42" t="n">
        <v>36225000</v>
      </c>
      <c r="H805" s="42"/>
      <c r="I805" s="44" t="s">
        <v>432</v>
      </c>
      <c r="J805" s="11" t="n">
        <f aca="false">IF(D805="","",N(G805)-N(H805))</f>
        <v>36225000</v>
      </c>
      <c r="K805" s="34" t="str">
        <f aca="false">IF(D805="","",IFERROR(INDEX(I_COA!$C$6:$C$265,MATCH(D805,I_COA!$A$6:$A$265,0)),"AKUN BARU"))</f>
        <v>Neraca</v>
      </c>
      <c r="L805" s="34" t="str">
        <f aca="false">IF(K805="LabaRugi",INDEX(I_COA!$D$6:$D$265,MATCH(D805,I_COA!$A$6:$A$265,0)),"")</f>
        <v/>
      </c>
      <c r="M805" s="34" t="str">
        <f aca="false">IF(K805="Neraca",INDEX(I_COA!$E$6:$E$265,MATCH(D805,I_COA!$A$6:$A$265,0)),"")</f>
        <v>Cash and cash equivalents</v>
      </c>
      <c r="N805" s="34" t="str">
        <f aca="false">IF(D805="","",IFERROR(INDEX(I_COA!$G$6:$G$265,MATCH(D805,I_COA!$A$6:$A$265,0)),"N"))</f>
        <v>Y</v>
      </c>
      <c r="O805" s="11" t="str">
        <f aca="false">IF(N805="N",ABS(J805),"")</f>
        <v/>
      </c>
      <c r="P805" s="18" t="str">
        <f aca="false">IF(N805="N",B805&amp;"|"&amp;ROUND(O805,0),"")</f>
        <v/>
      </c>
      <c r="Q805" s="18" t="n">
        <f aca="false">IF(N805&lt;&gt;"Y","",IFERROR(INDEX($D$6:$D$4005,MATCH(B805&amp;"|"&amp;ROUND(_xlfn.MAXIFS($O$6:$O$4005,$B$6:$B$4005,B805,$N$6:$N$4005,"N"),0),$P$6:$P$4005,0)),"(tanpa lawan)"))</f>
        <v>1103101</v>
      </c>
      <c r="R805" s="44"/>
      <c r="S805" s="9" t="str">
        <f aca="false">IF(N805&lt;&gt;"Y","",IF(R805&lt;&gt;"",R805,IF(Q805="(tanpa lawan)","Transfer antar rekening",IFERROR(INDEX(I_COA!$F$6:$F$265,MATCH(Q805,I_COA!$A$6:$A$265,0)),"?"))))</f>
        <v>Penerimaan dari pelanggan</v>
      </c>
    </row>
    <row r="806" customFormat="false" ht="15" hidden="false" customHeight="false" outlineLevel="0" collapsed="false">
      <c r="A806" s="37" t="n">
        <v>46247</v>
      </c>
      <c r="B806" s="44" t="s">
        <v>1248</v>
      </c>
      <c r="C806" s="44" t="s">
        <v>585</v>
      </c>
      <c r="D806" s="44" t="n">
        <v>1103101</v>
      </c>
      <c r="E806" s="44" t="s">
        <v>589</v>
      </c>
      <c r="F806" s="44" t="s">
        <v>1249</v>
      </c>
      <c r="G806" s="42"/>
      <c r="H806" s="42" t="n">
        <v>36225000</v>
      </c>
      <c r="I806" s="44" t="s">
        <v>432</v>
      </c>
      <c r="J806" s="11" t="n">
        <f aca="false">IF(D806="","",N(G806)-N(H806))</f>
        <v>-36225000</v>
      </c>
      <c r="K806" s="34" t="str">
        <f aca="false">IF(D806="","",IFERROR(INDEX(I_COA!$C$6:$C$265,MATCH(D806,I_COA!$A$6:$A$265,0)),"AKUN BARU"))</f>
        <v>Neraca</v>
      </c>
      <c r="L806" s="34" t="str">
        <f aca="false">IF(K806="LabaRugi",INDEX(I_COA!$D$6:$D$265,MATCH(D806,I_COA!$A$6:$A$265,0)),"")</f>
        <v/>
      </c>
      <c r="M806" s="34" t="str">
        <f aca="false">IF(K806="Neraca",INDEX(I_COA!$E$6:$E$265,MATCH(D806,I_COA!$A$6:$A$265,0)),"")</f>
        <v>Trade Receivables - Third Parties</v>
      </c>
      <c r="N806" s="34" t="str">
        <f aca="false">IF(D806="","",IFERROR(INDEX(I_COA!$G$6:$G$265,MATCH(D806,I_COA!$A$6:$A$265,0)),"N"))</f>
        <v>N</v>
      </c>
      <c r="O806" s="11" t="n">
        <f aca="false">IF(N806="N",ABS(J806),"")</f>
        <v>36225000</v>
      </c>
      <c r="P806" s="18" t="str">
        <f aca="false">IF(N806="N",B806&amp;"|"&amp;ROUND(O806,0),"")</f>
        <v>B7626080057|36225000</v>
      </c>
      <c r="Q806" s="18" t="str">
        <f aca="false">IF(N806&lt;&gt;"Y","",IFERROR(INDEX($D$6:$D$4005,MATCH(B806&amp;"|"&amp;ROUND(_xlfn.MAXIFS($O$6:$O$4005,$B$6:$B$4005,B806,$N$6:$N$4005,"N"),0),$P$6:$P$4005,0)),"(tanpa lawan)"))</f>
        <v/>
      </c>
      <c r="R806" s="44"/>
      <c r="S806" s="9" t="str">
        <f aca="false">IF(N806&lt;&gt;"Y","",IF(R806&lt;&gt;"",R806,IF(Q806="(tanpa lawan)","Transfer antar rekening",IFERROR(INDEX(I_COA!$F$6:$F$265,MATCH(Q806,I_COA!$A$6:$A$265,0)),"?"))))</f>
        <v/>
      </c>
    </row>
    <row r="807" customFormat="false" ht="15" hidden="false" customHeight="false" outlineLevel="0" collapsed="false">
      <c r="A807" s="37" t="n">
        <v>46247</v>
      </c>
      <c r="B807" s="44" t="s">
        <v>1250</v>
      </c>
      <c r="C807" s="44" t="s">
        <v>585</v>
      </c>
      <c r="D807" s="44" t="n">
        <v>1102001</v>
      </c>
      <c r="E807" s="44" t="s">
        <v>586</v>
      </c>
      <c r="F807" s="44" t="s">
        <v>1251</v>
      </c>
      <c r="G807" s="42" t="n">
        <v>14930870</v>
      </c>
      <c r="H807" s="42"/>
      <c r="I807" s="44" t="s">
        <v>437</v>
      </c>
      <c r="J807" s="11" t="n">
        <f aca="false">IF(D807="","",N(G807)-N(H807))</f>
        <v>14930870</v>
      </c>
      <c r="K807" s="34" t="str">
        <f aca="false">IF(D807="","",IFERROR(INDEX(I_COA!$C$6:$C$265,MATCH(D807,I_COA!$A$6:$A$265,0)),"AKUN BARU"))</f>
        <v>Neraca</v>
      </c>
      <c r="L807" s="34" t="str">
        <f aca="false">IF(K807="LabaRugi",INDEX(I_COA!$D$6:$D$265,MATCH(D807,I_COA!$A$6:$A$265,0)),"")</f>
        <v/>
      </c>
      <c r="M807" s="34" t="str">
        <f aca="false">IF(K807="Neraca",INDEX(I_COA!$E$6:$E$265,MATCH(D807,I_COA!$A$6:$A$265,0)),"")</f>
        <v>Cash and cash equivalents</v>
      </c>
      <c r="N807" s="34" t="str">
        <f aca="false">IF(D807="","",IFERROR(INDEX(I_COA!$G$6:$G$265,MATCH(D807,I_COA!$A$6:$A$265,0)),"N"))</f>
        <v>Y</v>
      </c>
      <c r="O807" s="11" t="str">
        <f aca="false">IF(N807="N",ABS(J807),"")</f>
        <v/>
      </c>
      <c r="P807" s="18" t="str">
        <f aca="false">IF(N807="N",B807&amp;"|"&amp;ROUND(O807,0),"")</f>
        <v/>
      </c>
      <c r="Q807" s="18" t="n">
        <f aca="false">IF(N807&lt;&gt;"Y","",IFERROR(INDEX($D$6:$D$4005,MATCH(B807&amp;"|"&amp;ROUND(_xlfn.MAXIFS($O$6:$O$4005,$B$6:$B$4005,B807,$N$6:$N$4005,"N"),0),$P$6:$P$4005,0)),"(tanpa lawan)"))</f>
        <v>1103101</v>
      </c>
      <c r="R807" s="44"/>
      <c r="S807" s="9" t="str">
        <f aca="false">IF(N807&lt;&gt;"Y","",IF(R807&lt;&gt;"",R807,IF(Q807="(tanpa lawan)","Transfer antar rekening",IFERROR(INDEX(I_COA!$F$6:$F$265,MATCH(Q807,I_COA!$A$6:$A$265,0)),"?"))))</f>
        <v>Penerimaan dari pelanggan</v>
      </c>
    </row>
    <row r="808" customFormat="false" ht="15" hidden="false" customHeight="false" outlineLevel="0" collapsed="false">
      <c r="A808" s="37" t="n">
        <v>46247</v>
      </c>
      <c r="B808" s="44" t="s">
        <v>1250</v>
      </c>
      <c r="C808" s="44" t="s">
        <v>585</v>
      </c>
      <c r="D808" s="44" t="n">
        <v>1103101</v>
      </c>
      <c r="E808" s="44" t="s">
        <v>589</v>
      </c>
      <c r="F808" s="44" t="s">
        <v>1251</v>
      </c>
      <c r="G808" s="42"/>
      <c r="H808" s="42" t="n">
        <v>14930870</v>
      </c>
      <c r="I808" s="44" t="s">
        <v>437</v>
      </c>
      <c r="J808" s="11" t="n">
        <f aca="false">IF(D808="","",N(G808)-N(H808))</f>
        <v>-14930870</v>
      </c>
      <c r="K808" s="34" t="str">
        <f aca="false">IF(D808="","",IFERROR(INDEX(I_COA!$C$6:$C$265,MATCH(D808,I_COA!$A$6:$A$265,0)),"AKUN BARU"))</f>
        <v>Neraca</v>
      </c>
      <c r="L808" s="34" t="str">
        <f aca="false">IF(K808="LabaRugi",INDEX(I_COA!$D$6:$D$265,MATCH(D808,I_COA!$A$6:$A$265,0)),"")</f>
        <v/>
      </c>
      <c r="M808" s="34" t="str">
        <f aca="false">IF(K808="Neraca",INDEX(I_COA!$E$6:$E$265,MATCH(D808,I_COA!$A$6:$A$265,0)),"")</f>
        <v>Trade Receivables - Third Parties</v>
      </c>
      <c r="N808" s="34" t="str">
        <f aca="false">IF(D808="","",IFERROR(INDEX(I_COA!$G$6:$G$265,MATCH(D808,I_COA!$A$6:$A$265,0)),"N"))</f>
        <v>N</v>
      </c>
      <c r="O808" s="11" t="n">
        <f aca="false">IF(N808="N",ABS(J808),"")</f>
        <v>14930870</v>
      </c>
      <c r="P808" s="18" t="str">
        <f aca="false">IF(N808="N",B808&amp;"|"&amp;ROUND(O808,0),"")</f>
        <v>B7626080058|14930870</v>
      </c>
      <c r="Q808" s="18" t="str">
        <f aca="false">IF(N808&lt;&gt;"Y","",IFERROR(INDEX($D$6:$D$4005,MATCH(B808&amp;"|"&amp;ROUND(_xlfn.MAXIFS($O$6:$O$4005,$B$6:$B$4005,B808,$N$6:$N$4005,"N"),0),$P$6:$P$4005,0)),"(tanpa lawan)"))</f>
        <v/>
      </c>
      <c r="R808" s="44"/>
      <c r="S808" s="9" t="str">
        <f aca="false">IF(N808&lt;&gt;"Y","",IF(R808&lt;&gt;"",R808,IF(Q808="(tanpa lawan)","Transfer antar rekening",IFERROR(INDEX(I_COA!$F$6:$F$265,MATCH(Q808,I_COA!$A$6:$A$265,0)),"?"))))</f>
        <v/>
      </c>
    </row>
    <row r="809" customFormat="false" ht="15" hidden="false" customHeight="false" outlineLevel="0" collapsed="false">
      <c r="A809" s="37" t="n">
        <v>46247</v>
      </c>
      <c r="B809" s="44" t="s">
        <v>1252</v>
      </c>
      <c r="C809" s="44" t="s">
        <v>585</v>
      </c>
      <c r="D809" s="44" t="n">
        <v>1102001</v>
      </c>
      <c r="E809" s="44" t="s">
        <v>586</v>
      </c>
      <c r="F809" s="44" t="s">
        <v>1253</v>
      </c>
      <c r="G809" s="42" t="n">
        <v>77029500</v>
      </c>
      <c r="H809" s="42"/>
      <c r="I809" s="44" t="s">
        <v>774</v>
      </c>
      <c r="J809" s="11" t="n">
        <f aca="false">IF(D809="","",N(G809)-N(H809))</f>
        <v>77029500</v>
      </c>
      <c r="K809" s="34" t="str">
        <f aca="false">IF(D809="","",IFERROR(INDEX(I_COA!$C$6:$C$265,MATCH(D809,I_COA!$A$6:$A$265,0)),"AKUN BARU"))</f>
        <v>Neraca</v>
      </c>
      <c r="L809" s="34" t="str">
        <f aca="false">IF(K809="LabaRugi",INDEX(I_COA!$D$6:$D$265,MATCH(D809,I_COA!$A$6:$A$265,0)),"")</f>
        <v/>
      </c>
      <c r="M809" s="34" t="str">
        <f aca="false">IF(K809="Neraca",INDEX(I_COA!$E$6:$E$265,MATCH(D809,I_COA!$A$6:$A$265,0)),"")</f>
        <v>Cash and cash equivalents</v>
      </c>
      <c r="N809" s="34" t="str">
        <f aca="false">IF(D809="","",IFERROR(INDEX(I_COA!$G$6:$G$265,MATCH(D809,I_COA!$A$6:$A$265,0)),"N"))</f>
        <v>Y</v>
      </c>
      <c r="O809" s="11" t="str">
        <f aca="false">IF(N809="N",ABS(J809),"")</f>
        <v/>
      </c>
      <c r="P809" s="18" t="str">
        <f aca="false">IF(N809="N",B809&amp;"|"&amp;ROUND(O809,0),"")</f>
        <v/>
      </c>
      <c r="Q809" s="18" t="n">
        <f aca="false">IF(N809&lt;&gt;"Y","",IFERROR(INDEX($D$6:$D$4005,MATCH(B809&amp;"|"&amp;ROUND(_xlfn.MAXIFS($O$6:$O$4005,$B$6:$B$4005,B809,$N$6:$N$4005,"N"),0),$P$6:$P$4005,0)),"(tanpa lawan)"))</f>
        <v>1103101</v>
      </c>
      <c r="R809" s="44"/>
      <c r="S809" s="9" t="str">
        <f aca="false">IF(N809&lt;&gt;"Y","",IF(R809&lt;&gt;"",R809,IF(Q809="(tanpa lawan)","Transfer antar rekening",IFERROR(INDEX(I_COA!$F$6:$F$265,MATCH(Q809,I_COA!$A$6:$A$265,0)),"?"))))</f>
        <v>Penerimaan dari pelanggan</v>
      </c>
    </row>
    <row r="810" customFormat="false" ht="15" hidden="false" customHeight="false" outlineLevel="0" collapsed="false">
      <c r="A810" s="37" t="n">
        <v>46247</v>
      </c>
      <c r="B810" s="44" t="s">
        <v>1252</v>
      </c>
      <c r="C810" s="44" t="s">
        <v>585</v>
      </c>
      <c r="D810" s="44" t="n">
        <v>1103101</v>
      </c>
      <c r="E810" s="44" t="s">
        <v>589</v>
      </c>
      <c r="F810" s="44" t="s">
        <v>1253</v>
      </c>
      <c r="G810" s="42"/>
      <c r="H810" s="42" t="n">
        <v>77029500</v>
      </c>
      <c r="I810" s="44" t="s">
        <v>774</v>
      </c>
      <c r="J810" s="11" t="n">
        <f aca="false">IF(D810="","",N(G810)-N(H810))</f>
        <v>-77029500</v>
      </c>
      <c r="K810" s="34" t="str">
        <f aca="false">IF(D810="","",IFERROR(INDEX(I_COA!$C$6:$C$265,MATCH(D810,I_COA!$A$6:$A$265,0)),"AKUN BARU"))</f>
        <v>Neraca</v>
      </c>
      <c r="L810" s="34" t="str">
        <f aca="false">IF(K810="LabaRugi",INDEX(I_COA!$D$6:$D$265,MATCH(D810,I_COA!$A$6:$A$265,0)),"")</f>
        <v/>
      </c>
      <c r="M810" s="34" t="str">
        <f aca="false">IF(K810="Neraca",INDEX(I_COA!$E$6:$E$265,MATCH(D810,I_COA!$A$6:$A$265,0)),"")</f>
        <v>Trade Receivables - Third Parties</v>
      </c>
      <c r="N810" s="34" t="str">
        <f aca="false">IF(D810="","",IFERROR(INDEX(I_COA!$G$6:$G$265,MATCH(D810,I_COA!$A$6:$A$265,0)),"N"))</f>
        <v>N</v>
      </c>
      <c r="O810" s="11" t="n">
        <f aca="false">IF(N810="N",ABS(J810),"")</f>
        <v>77029500</v>
      </c>
      <c r="P810" s="18" t="str">
        <f aca="false">IF(N810="N",B810&amp;"|"&amp;ROUND(O810,0),"")</f>
        <v>B7626080059|77029500</v>
      </c>
      <c r="Q810" s="18" t="str">
        <f aca="false">IF(N810&lt;&gt;"Y","",IFERROR(INDEX($D$6:$D$4005,MATCH(B810&amp;"|"&amp;ROUND(_xlfn.MAXIFS($O$6:$O$4005,$B$6:$B$4005,B810,$N$6:$N$4005,"N"),0),$P$6:$P$4005,0)),"(tanpa lawan)"))</f>
        <v/>
      </c>
      <c r="R810" s="44"/>
      <c r="S810" s="9" t="str">
        <f aca="false">IF(N810&lt;&gt;"Y","",IF(R810&lt;&gt;"",R810,IF(Q810="(tanpa lawan)","Transfer antar rekening",IFERROR(INDEX(I_COA!$F$6:$F$265,MATCH(Q810,I_COA!$A$6:$A$265,0)),"?"))))</f>
        <v/>
      </c>
    </row>
    <row r="811" customFormat="false" ht="15" hidden="false" customHeight="false" outlineLevel="0" collapsed="false">
      <c r="A811" s="37" t="n">
        <v>46247</v>
      </c>
      <c r="B811" s="44" t="s">
        <v>1254</v>
      </c>
      <c r="C811" s="44" t="s">
        <v>580</v>
      </c>
      <c r="D811" s="44" t="n">
        <v>2102003</v>
      </c>
      <c r="E811" s="44" t="s">
        <v>722</v>
      </c>
      <c r="F811" s="44" t="s">
        <v>1255</v>
      </c>
      <c r="G811" s="42" t="n">
        <v>8785646</v>
      </c>
      <c r="H811" s="42"/>
      <c r="I811" s="44"/>
      <c r="J811" s="11" t="n">
        <f aca="false">IF(D811="","",N(G811)-N(H811))</f>
        <v>8785646</v>
      </c>
      <c r="K811" s="34" t="str">
        <f aca="false">IF(D811="","",IFERROR(INDEX(I_COA!$C$6:$C$265,MATCH(D811,I_COA!$A$6:$A$265,0)),"AKUN BARU"))</f>
        <v>Neraca</v>
      </c>
      <c r="L811" s="34" t="str">
        <f aca="false">IF(K811="LabaRugi",INDEX(I_COA!$D$6:$D$265,MATCH(D811,I_COA!$A$6:$A$265,0)),"")</f>
        <v/>
      </c>
      <c r="M811" s="34" t="str">
        <f aca="false">IF(K811="Neraca",INDEX(I_COA!$E$6:$E$265,MATCH(D811,I_COA!$A$6:$A$265,0)),"")</f>
        <v>Taxes Payable</v>
      </c>
      <c r="N811" s="34" t="str">
        <f aca="false">IF(D811="","",IFERROR(INDEX(I_COA!$G$6:$G$265,MATCH(D811,I_COA!$A$6:$A$265,0)),"N"))</f>
        <v>N</v>
      </c>
      <c r="O811" s="11" t="n">
        <f aca="false">IF(N811="N",ABS(J811),"")</f>
        <v>8785646</v>
      </c>
      <c r="P811" s="18" t="str">
        <f aca="false">IF(N811="N",B811&amp;"|"&amp;ROUND(O811,0),"")</f>
        <v>B8526080050|8785646</v>
      </c>
      <c r="Q811" s="18" t="str">
        <f aca="false">IF(N811&lt;&gt;"Y","",IFERROR(INDEX($D$6:$D$4005,MATCH(B811&amp;"|"&amp;ROUND(_xlfn.MAXIFS($O$6:$O$4005,$B$6:$B$4005,B811,$N$6:$N$4005,"N"),0),$P$6:$P$4005,0)),"(tanpa lawan)"))</f>
        <v/>
      </c>
      <c r="R811" s="44"/>
      <c r="S811" s="9" t="str">
        <f aca="false">IF(N811&lt;&gt;"Y","",IF(R811&lt;&gt;"",R811,IF(Q811="(tanpa lawan)","Transfer antar rekening",IFERROR(INDEX(I_COA!$F$6:$F$265,MATCH(Q811,I_COA!$A$6:$A$265,0)),"?"))))</f>
        <v/>
      </c>
    </row>
    <row r="812" customFormat="false" ht="15" hidden="false" customHeight="false" outlineLevel="0" collapsed="false">
      <c r="A812" s="37" t="n">
        <v>46247</v>
      </c>
      <c r="B812" s="44" t="s">
        <v>1254</v>
      </c>
      <c r="C812" s="44" t="s">
        <v>580</v>
      </c>
      <c r="D812" s="44" t="n">
        <v>2102005</v>
      </c>
      <c r="E812" s="44" t="s">
        <v>1256</v>
      </c>
      <c r="F812" s="44" t="s">
        <v>1257</v>
      </c>
      <c r="G812" s="42" t="n">
        <v>328753</v>
      </c>
      <c r="H812" s="42"/>
      <c r="I812" s="44"/>
      <c r="J812" s="11" t="n">
        <f aca="false">IF(D812="","",N(G812)-N(H812))</f>
        <v>328753</v>
      </c>
      <c r="K812" s="34" t="str">
        <f aca="false">IF(D812="","",IFERROR(INDEX(I_COA!$C$6:$C$265,MATCH(D812,I_COA!$A$6:$A$265,0)),"AKUN BARU"))</f>
        <v>Neraca</v>
      </c>
      <c r="L812" s="34" t="str">
        <f aca="false">IF(K812="LabaRugi",INDEX(I_COA!$D$6:$D$265,MATCH(D812,I_COA!$A$6:$A$265,0)),"")</f>
        <v/>
      </c>
      <c r="M812" s="34" t="str">
        <f aca="false">IF(K812="Neraca",INDEX(I_COA!$E$6:$E$265,MATCH(D812,I_COA!$A$6:$A$265,0)),"")</f>
        <v>Taxes Payable</v>
      </c>
      <c r="N812" s="34" t="str">
        <f aca="false">IF(D812="","",IFERROR(INDEX(I_COA!$G$6:$G$265,MATCH(D812,I_COA!$A$6:$A$265,0)),"N"))</f>
        <v>N</v>
      </c>
      <c r="O812" s="11" t="n">
        <f aca="false">IF(N812="N",ABS(J812),"")</f>
        <v>328753</v>
      </c>
      <c r="P812" s="18" t="str">
        <f aca="false">IF(N812="N",B812&amp;"|"&amp;ROUND(O812,0),"")</f>
        <v>B8526080050|328753</v>
      </c>
      <c r="Q812" s="18" t="str">
        <f aca="false">IF(N812&lt;&gt;"Y","",IFERROR(INDEX($D$6:$D$4005,MATCH(B812&amp;"|"&amp;ROUND(_xlfn.MAXIFS($O$6:$O$4005,$B$6:$B$4005,B812,$N$6:$N$4005,"N"),0),$P$6:$P$4005,0)),"(tanpa lawan)"))</f>
        <v/>
      </c>
      <c r="R812" s="44"/>
      <c r="S812" s="9" t="str">
        <f aca="false">IF(N812&lt;&gt;"Y","",IF(R812&lt;&gt;"",R812,IF(Q812="(tanpa lawan)","Transfer antar rekening",IFERROR(INDEX(I_COA!$F$6:$F$265,MATCH(Q812,I_COA!$A$6:$A$265,0)),"?"))))</f>
        <v/>
      </c>
    </row>
    <row r="813" customFormat="false" ht="15" hidden="false" customHeight="false" outlineLevel="0" collapsed="false">
      <c r="A813" s="37" t="n">
        <v>46247</v>
      </c>
      <c r="B813" s="44" t="s">
        <v>1254</v>
      </c>
      <c r="C813" s="44" t="s">
        <v>580</v>
      </c>
      <c r="D813" s="44" t="n">
        <v>1102002</v>
      </c>
      <c r="E813" s="44" t="s">
        <v>598</v>
      </c>
      <c r="F813" s="44" t="s">
        <v>1258</v>
      </c>
      <c r="G813" s="42"/>
      <c r="H813" s="42" t="n">
        <v>9114399</v>
      </c>
      <c r="I813" s="44"/>
      <c r="J813" s="11" t="n">
        <f aca="false">IF(D813="","",N(G813)-N(H813))</f>
        <v>-9114399</v>
      </c>
      <c r="K813" s="34" t="str">
        <f aca="false">IF(D813="","",IFERROR(INDEX(I_COA!$C$6:$C$265,MATCH(D813,I_COA!$A$6:$A$265,0)),"AKUN BARU"))</f>
        <v>Neraca</v>
      </c>
      <c r="L813" s="34" t="str">
        <f aca="false">IF(K813="LabaRugi",INDEX(I_COA!$D$6:$D$265,MATCH(D813,I_COA!$A$6:$A$265,0)),"")</f>
        <v/>
      </c>
      <c r="M813" s="34" t="str">
        <f aca="false">IF(K813="Neraca",INDEX(I_COA!$E$6:$E$265,MATCH(D813,I_COA!$A$6:$A$265,0)),"")</f>
        <v>Cash and cash equivalents</v>
      </c>
      <c r="N813" s="34" t="str">
        <f aca="false">IF(D813="","",IFERROR(INDEX(I_COA!$G$6:$G$265,MATCH(D813,I_COA!$A$6:$A$265,0)),"N"))</f>
        <v>Y</v>
      </c>
      <c r="O813" s="11" t="str">
        <f aca="false">IF(N813="N",ABS(J813),"")</f>
        <v/>
      </c>
      <c r="P813" s="18" t="str">
        <f aca="false">IF(N813="N",B813&amp;"|"&amp;ROUND(O813,0),"")</f>
        <v/>
      </c>
      <c r="Q813" s="18" t="n">
        <f aca="false">IF(N813&lt;&gt;"Y","",IFERROR(INDEX($D$6:$D$4005,MATCH(B813&amp;"|"&amp;ROUND(_xlfn.MAXIFS($O$6:$O$4005,$B$6:$B$4005,B813,$N$6:$N$4005,"N"),0),$P$6:$P$4005,0)),"(tanpa lawan)"))</f>
        <v>2102003</v>
      </c>
      <c r="R813" s="44"/>
      <c r="S813" s="9" t="str">
        <f aca="false">IF(N813&lt;&gt;"Y","",IF(R813&lt;&gt;"",R813,IF(Q813="(tanpa lawan)","Transfer antar rekening",IFERROR(INDEX(I_COA!$F$6:$F$265,MATCH(Q813,I_COA!$A$6:$A$265,0)),"?"))))</f>
        <v>Bayar pajak</v>
      </c>
    </row>
    <row r="814" customFormat="false" ht="15" hidden="false" customHeight="false" outlineLevel="0" collapsed="false">
      <c r="A814" s="37" t="n">
        <v>46247</v>
      </c>
      <c r="B814" s="44" t="s">
        <v>1259</v>
      </c>
      <c r="C814" s="44" t="s">
        <v>580</v>
      </c>
      <c r="D814" s="44" t="n">
        <v>2102002</v>
      </c>
      <c r="E814" s="44" t="s">
        <v>633</v>
      </c>
      <c r="F814" s="44" t="s">
        <v>1260</v>
      </c>
      <c r="G814" s="42" t="n">
        <v>940119</v>
      </c>
      <c r="H814" s="42"/>
      <c r="I814" s="44"/>
      <c r="J814" s="11" t="n">
        <f aca="false">IF(D814="","",N(G814)-N(H814))</f>
        <v>940119</v>
      </c>
      <c r="K814" s="34" t="str">
        <f aca="false">IF(D814="","",IFERROR(INDEX(I_COA!$C$6:$C$265,MATCH(D814,I_COA!$A$6:$A$265,0)),"AKUN BARU"))</f>
        <v>Neraca</v>
      </c>
      <c r="L814" s="34" t="str">
        <f aca="false">IF(K814="LabaRugi",INDEX(I_COA!$D$6:$D$265,MATCH(D814,I_COA!$A$6:$A$265,0)),"")</f>
        <v/>
      </c>
      <c r="M814" s="34" t="str">
        <f aca="false">IF(K814="Neraca",INDEX(I_COA!$E$6:$E$265,MATCH(D814,I_COA!$A$6:$A$265,0)),"")</f>
        <v>Taxes Payable</v>
      </c>
      <c r="N814" s="34" t="str">
        <f aca="false">IF(D814="","",IFERROR(INDEX(I_COA!$G$6:$G$265,MATCH(D814,I_COA!$A$6:$A$265,0)),"N"))</f>
        <v>N</v>
      </c>
      <c r="O814" s="11" t="n">
        <f aca="false">IF(N814="N",ABS(J814),"")</f>
        <v>940119</v>
      </c>
      <c r="P814" s="18" t="str">
        <f aca="false">IF(N814="N",B814&amp;"|"&amp;ROUND(O814,0),"")</f>
        <v>B8526080051|940119</v>
      </c>
      <c r="Q814" s="18" t="str">
        <f aca="false">IF(N814&lt;&gt;"Y","",IFERROR(INDEX($D$6:$D$4005,MATCH(B814&amp;"|"&amp;ROUND(_xlfn.MAXIFS($O$6:$O$4005,$B$6:$B$4005,B814,$N$6:$N$4005,"N"),0),$P$6:$P$4005,0)),"(tanpa lawan)"))</f>
        <v/>
      </c>
      <c r="R814" s="44"/>
      <c r="S814" s="9" t="str">
        <f aca="false">IF(N814&lt;&gt;"Y","",IF(R814&lt;&gt;"",R814,IF(Q814="(tanpa lawan)","Transfer antar rekening",IFERROR(INDEX(I_COA!$F$6:$F$265,MATCH(Q814,I_COA!$A$6:$A$265,0)),"?"))))</f>
        <v/>
      </c>
    </row>
    <row r="815" customFormat="false" ht="15" hidden="false" customHeight="false" outlineLevel="0" collapsed="false">
      <c r="A815" s="37" t="n">
        <v>46247</v>
      </c>
      <c r="B815" s="44" t="s">
        <v>1259</v>
      </c>
      <c r="C815" s="44" t="s">
        <v>580</v>
      </c>
      <c r="D815" s="44" t="n">
        <v>1102002</v>
      </c>
      <c r="E815" s="44" t="s">
        <v>598</v>
      </c>
      <c r="F815" s="44" t="s">
        <v>1260</v>
      </c>
      <c r="G815" s="42"/>
      <c r="H815" s="42" t="n">
        <v>940119</v>
      </c>
      <c r="I815" s="44"/>
      <c r="J815" s="11" t="n">
        <f aca="false">IF(D815="","",N(G815)-N(H815))</f>
        <v>-940119</v>
      </c>
      <c r="K815" s="34" t="str">
        <f aca="false">IF(D815="","",IFERROR(INDEX(I_COA!$C$6:$C$265,MATCH(D815,I_COA!$A$6:$A$265,0)),"AKUN BARU"))</f>
        <v>Neraca</v>
      </c>
      <c r="L815" s="34" t="str">
        <f aca="false">IF(K815="LabaRugi",INDEX(I_COA!$D$6:$D$265,MATCH(D815,I_COA!$A$6:$A$265,0)),"")</f>
        <v/>
      </c>
      <c r="M815" s="34" t="str">
        <f aca="false">IF(K815="Neraca",INDEX(I_COA!$E$6:$E$265,MATCH(D815,I_COA!$A$6:$A$265,0)),"")</f>
        <v>Cash and cash equivalents</v>
      </c>
      <c r="N815" s="34" t="str">
        <f aca="false">IF(D815="","",IFERROR(INDEX(I_COA!$G$6:$G$265,MATCH(D815,I_COA!$A$6:$A$265,0)),"N"))</f>
        <v>Y</v>
      </c>
      <c r="O815" s="11" t="str">
        <f aca="false">IF(N815="N",ABS(J815),"")</f>
        <v/>
      </c>
      <c r="P815" s="18" t="str">
        <f aca="false">IF(N815="N",B815&amp;"|"&amp;ROUND(O815,0),"")</f>
        <v/>
      </c>
      <c r="Q815" s="18" t="n">
        <f aca="false">IF(N815&lt;&gt;"Y","",IFERROR(INDEX($D$6:$D$4005,MATCH(B815&amp;"|"&amp;ROUND(_xlfn.MAXIFS($O$6:$O$4005,$B$6:$B$4005,B815,$N$6:$N$4005,"N"),0),$P$6:$P$4005,0)),"(tanpa lawan)"))</f>
        <v>2102002</v>
      </c>
      <c r="R815" s="44"/>
      <c r="S815" s="9" t="str">
        <f aca="false">IF(N815&lt;&gt;"Y","",IF(R815&lt;&gt;"",R815,IF(Q815="(tanpa lawan)","Transfer antar rekening",IFERROR(INDEX(I_COA!$F$6:$F$265,MATCH(Q815,I_COA!$A$6:$A$265,0)),"?"))))</f>
        <v>Bayar pajak</v>
      </c>
    </row>
    <row r="816" customFormat="false" ht="15" hidden="false" customHeight="false" outlineLevel="0" collapsed="false">
      <c r="A816" s="37" t="n">
        <v>46247</v>
      </c>
      <c r="B816" s="44" t="s">
        <v>1261</v>
      </c>
      <c r="C816" s="44" t="s">
        <v>594</v>
      </c>
      <c r="D816" s="44" t="n">
        <v>2101001</v>
      </c>
      <c r="E816" s="44" t="s">
        <v>595</v>
      </c>
      <c r="F816" s="44" t="s">
        <v>1262</v>
      </c>
      <c r="G816" s="42" t="n">
        <v>102400000</v>
      </c>
      <c r="H816" s="42"/>
      <c r="I816" s="44" t="s">
        <v>888</v>
      </c>
      <c r="J816" s="11" t="n">
        <f aca="false">IF(D816="","",N(G816)-N(H816))</f>
        <v>102400000</v>
      </c>
      <c r="K816" s="34" t="str">
        <f aca="false">IF(D816="","",IFERROR(INDEX(I_COA!$C$6:$C$265,MATCH(D816,I_COA!$A$6:$A$265,0)),"AKUN BARU"))</f>
        <v>Neraca</v>
      </c>
      <c r="L816" s="34" t="str">
        <f aca="false">IF(K816="LabaRugi",INDEX(I_COA!$D$6:$D$265,MATCH(D816,I_COA!$A$6:$A$265,0)),"")</f>
        <v/>
      </c>
      <c r="M816" s="34" t="str">
        <f aca="false">IF(K816="Neraca",INDEX(I_COA!$E$6:$E$265,MATCH(D816,I_COA!$A$6:$A$265,0)),"")</f>
        <v>Trade Payables - Third Parties</v>
      </c>
      <c r="N816" s="34" t="str">
        <f aca="false">IF(D816="","",IFERROR(INDEX(I_COA!$G$6:$G$265,MATCH(D816,I_COA!$A$6:$A$265,0)),"N"))</f>
        <v>N</v>
      </c>
      <c r="O816" s="11" t="n">
        <f aca="false">IF(N816="N",ABS(J816),"")</f>
        <v>102400000</v>
      </c>
      <c r="P816" s="18" t="str">
        <f aca="false">IF(N816="N",B816&amp;"|"&amp;ROUND(O816,0),"")</f>
        <v>B8526080052A|102400000</v>
      </c>
      <c r="Q816" s="18" t="str">
        <f aca="false">IF(N816&lt;&gt;"Y","",IFERROR(INDEX($D$6:$D$4005,MATCH(B816&amp;"|"&amp;ROUND(_xlfn.MAXIFS($O$6:$O$4005,$B$6:$B$4005,B816,$N$6:$N$4005,"N"),0),$P$6:$P$4005,0)),"(tanpa lawan)"))</f>
        <v/>
      </c>
      <c r="R816" s="44"/>
      <c r="S816" s="9" t="str">
        <f aca="false">IF(N816&lt;&gt;"Y","",IF(R816&lt;&gt;"",R816,IF(Q816="(tanpa lawan)","Transfer antar rekening",IFERROR(INDEX(I_COA!$F$6:$F$265,MATCH(Q816,I_COA!$A$6:$A$265,0)),"?"))))</f>
        <v/>
      </c>
    </row>
    <row r="817" customFormat="false" ht="15" hidden="false" customHeight="false" outlineLevel="0" collapsed="false">
      <c r="A817" s="37" t="n">
        <v>46247</v>
      </c>
      <c r="B817" s="44" t="s">
        <v>1261</v>
      </c>
      <c r="C817" s="44" t="s">
        <v>594</v>
      </c>
      <c r="D817" s="44" t="n">
        <v>6200023</v>
      </c>
      <c r="E817" s="44" t="s">
        <v>688</v>
      </c>
      <c r="F817" s="44" t="s">
        <v>1262</v>
      </c>
      <c r="G817" s="42"/>
      <c r="H817" s="42" t="n">
        <v>10000</v>
      </c>
      <c r="I817" s="44" t="s">
        <v>888</v>
      </c>
      <c r="J817" s="11" t="n">
        <f aca="false">IF(D817="","",N(G817)-N(H817))</f>
        <v>-10000</v>
      </c>
      <c r="K817" s="34" t="str">
        <f aca="false">IF(D817="","",IFERROR(INDEX(I_COA!$C$6:$C$265,MATCH(D817,I_COA!$A$6:$A$265,0)),"AKUN BARU"))</f>
        <v>LabaRugi</v>
      </c>
      <c r="L817" s="34" t="str">
        <f aca="false">IF(K817="LabaRugi",INDEX(I_COA!$D$6:$D$265,MATCH(D817,I_COA!$A$6:$A$265,0)),"")</f>
        <v>Tax expenses</v>
      </c>
      <c r="M817" s="34" t="str">
        <f aca="false">IF(K817="Neraca",INDEX(I_COA!$E$6:$E$265,MATCH(D817,I_COA!$A$6:$A$265,0)),"")</f>
        <v/>
      </c>
      <c r="N817" s="34" t="str">
        <f aca="false">IF(D817="","",IFERROR(INDEX(I_COA!$G$6:$G$265,MATCH(D817,I_COA!$A$6:$A$265,0)),"N"))</f>
        <v>N</v>
      </c>
      <c r="O817" s="11" t="n">
        <f aca="false">IF(N817="N",ABS(J817),"")</f>
        <v>10000</v>
      </c>
      <c r="P817" s="18" t="str">
        <f aca="false">IF(N817="N",B817&amp;"|"&amp;ROUND(O817,0),"")</f>
        <v>B8526080052A|10000</v>
      </c>
      <c r="Q817" s="18" t="str">
        <f aca="false">IF(N817&lt;&gt;"Y","",IFERROR(INDEX($D$6:$D$4005,MATCH(B817&amp;"|"&amp;ROUND(_xlfn.MAXIFS($O$6:$O$4005,$B$6:$B$4005,B817,$N$6:$N$4005,"N"),0),$P$6:$P$4005,0)),"(tanpa lawan)"))</f>
        <v/>
      </c>
      <c r="R817" s="44"/>
      <c r="S817" s="9" t="str">
        <f aca="false">IF(N817&lt;&gt;"Y","",IF(R817&lt;&gt;"",R817,IF(Q817="(tanpa lawan)","Transfer antar rekening",IFERROR(INDEX(I_COA!$F$6:$F$265,MATCH(Q817,I_COA!$A$6:$A$265,0)),"?"))))</f>
        <v/>
      </c>
    </row>
    <row r="818" customFormat="false" ht="15" hidden="false" customHeight="false" outlineLevel="0" collapsed="false">
      <c r="A818" s="37" t="n">
        <v>46247</v>
      </c>
      <c r="B818" s="44" t="s">
        <v>1261</v>
      </c>
      <c r="C818" s="44" t="s">
        <v>594</v>
      </c>
      <c r="D818" s="44" t="n">
        <v>1102002</v>
      </c>
      <c r="E818" s="44" t="s">
        <v>598</v>
      </c>
      <c r="F818" s="44" t="s">
        <v>1262</v>
      </c>
      <c r="G818" s="42"/>
      <c r="H818" s="42" t="n">
        <v>102390000</v>
      </c>
      <c r="I818" s="44" t="s">
        <v>888</v>
      </c>
      <c r="J818" s="11" t="n">
        <f aca="false">IF(D818="","",N(G818)-N(H818))</f>
        <v>-102390000</v>
      </c>
      <c r="K818" s="34" t="str">
        <f aca="false">IF(D818="","",IFERROR(INDEX(I_COA!$C$6:$C$265,MATCH(D818,I_COA!$A$6:$A$265,0)),"AKUN BARU"))</f>
        <v>Neraca</v>
      </c>
      <c r="L818" s="34" t="str">
        <f aca="false">IF(K818="LabaRugi",INDEX(I_COA!$D$6:$D$265,MATCH(D818,I_COA!$A$6:$A$265,0)),"")</f>
        <v/>
      </c>
      <c r="M818" s="34" t="str">
        <f aca="false">IF(K818="Neraca",INDEX(I_COA!$E$6:$E$265,MATCH(D818,I_COA!$A$6:$A$265,0)),"")</f>
        <v>Cash and cash equivalents</v>
      </c>
      <c r="N818" s="34" t="str">
        <f aca="false">IF(D818="","",IFERROR(INDEX(I_COA!$G$6:$G$265,MATCH(D818,I_COA!$A$6:$A$265,0)),"N"))</f>
        <v>Y</v>
      </c>
      <c r="O818" s="11" t="str">
        <f aca="false">IF(N818="N",ABS(J818),"")</f>
        <v/>
      </c>
      <c r="P818" s="18" t="str">
        <f aca="false">IF(N818="N",B818&amp;"|"&amp;ROUND(O818,0),"")</f>
        <v/>
      </c>
      <c r="Q818" s="18" t="n">
        <f aca="false">IF(N818&lt;&gt;"Y","",IFERROR(INDEX($D$6:$D$4005,MATCH(B818&amp;"|"&amp;ROUND(_xlfn.MAXIFS($O$6:$O$4005,$B$6:$B$4005,B818,$N$6:$N$4005,"N"),0),$P$6:$P$4005,0)),"(tanpa lawan)"))</f>
        <v>2101001</v>
      </c>
      <c r="R818" s="44"/>
      <c r="S818" s="9" t="str">
        <f aca="false">IF(N818&lt;&gt;"Y","",IF(R818&lt;&gt;"",R818,IF(Q818="(tanpa lawan)","Transfer antar rekening",IFERROR(INDEX(I_COA!$F$6:$F$265,MATCH(Q818,I_COA!$A$6:$A$265,0)),"?"))))</f>
        <v>Bayar pemasok barang (live bird &amp; trading)</v>
      </c>
    </row>
    <row r="819" customFormat="false" ht="15" hidden="false" customHeight="false" outlineLevel="0" collapsed="false">
      <c r="A819" s="37" t="n">
        <v>46247</v>
      </c>
      <c r="B819" s="44" t="s">
        <v>1263</v>
      </c>
      <c r="C819" s="44" t="s">
        <v>594</v>
      </c>
      <c r="D819" s="44" t="n">
        <v>2101001</v>
      </c>
      <c r="E819" s="44" t="s">
        <v>595</v>
      </c>
      <c r="F819" s="44" t="s">
        <v>1264</v>
      </c>
      <c r="G819" s="42" t="n">
        <v>197630000</v>
      </c>
      <c r="H819" s="42"/>
      <c r="I819" s="44" t="s">
        <v>597</v>
      </c>
      <c r="J819" s="11" t="n">
        <f aca="false">IF(D819="","",N(G819)-N(H819))</f>
        <v>197630000</v>
      </c>
      <c r="K819" s="34" t="str">
        <f aca="false">IF(D819="","",IFERROR(INDEX(I_COA!$C$6:$C$265,MATCH(D819,I_COA!$A$6:$A$265,0)),"AKUN BARU"))</f>
        <v>Neraca</v>
      </c>
      <c r="L819" s="34" t="str">
        <f aca="false">IF(K819="LabaRugi",INDEX(I_COA!$D$6:$D$265,MATCH(D819,I_COA!$A$6:$A$265,0)),"")</f>
        <v/>
      </c>
      <c r="M819" s="34" t="str">
        <f aca="false">IF(K819="Neraca",INDEX(I_COA!$E$6:$E$265,MATCH(D819,I_COA!$A$6:$A$265,0)),"")</f>
        <v>Trade Payables - Third Parties</v>
      </c>
      <c r="N819" s="34" t="str">
        <f aca="false">IF(D819="","",IFERROR(INDEX(I_COA!$G$6:$G$265,MATCH(D819,I_COA!$A$6:$A$265,0)),"N"))</f>
        <v>N</v>
      </c>
      <c r="O819" s="11" t="n">
        <f aca="false">IF(N819="N",ABS(J819),"")</f>
        <v>197630000</v>
      </c>
      <c r="P819" s="18" t="str">
        <f aca="false">IF(N819="N",B819&amp;"|"&amp;ROUND(O819,0),"")</f>
        <v>B8526080052B|197630000</v>
      </c>
      <c r="Q819" s="18" t="str">
        <f aca="false">IF(N819&lt;&gt;"Y","",IFERROR(INDEX($D$6:$D$4005,MATCH(B819&amp;"|"&amp;ROUND(_xlfn.MAXIFS($O$6:$O$4005,$B$6:$B$4005,B819,$N$6:$N$4005,"N"),0),$P$6:$P$4005,0)),"(tanpa lawan)"))</f>
        <v/>
      </c>
      <c r="R819" s="44"/>
      <c r="S819" s="9" t="str">
        <f aca="false">IF(N819&lt;&gt;"Y","",IF(R819&lt;&gt;"",R819,IF(Q819="(tanpa lawan)","Transfer antar rekening",IFERROR(INDEX(I_COA!$F$6:$F$265,MATCH(Q819,I_COA!$A$6:$A$265,0)),"?"))))</f>
        <v/>
      </c>
    </row>
    <row r="820" customFormat="false" ht="15" hidden="false" customHeight="false" outlineLevel="0" collapsed="false">
      <c r="A820" s="37" t="n">
        <v>46247</v>
      </c>
      <c r="B820" s="44" t="s">
        <v>1263</v>
      </c>
      <c r="C820" s="44" t="s">
        <v>594</v>
      </c>
      <c r="D820" s="44" t="n">
        <v>6200023</v>
      </c>
      <c r="E820" s="44" t="s">
        <v>688</v>
      </c>
      <c r="F820" s="44" t="s">
        <v>1264</v>
      </c>
      <c r="G820" s="42"/>
      <c r="H820" s="42" t="n">
        <v>20000</v>
      </c>
      <c r="I820" s="44" t="s">
        <v>597</v>
      </c>
      <c r="J820" s="11" t="n">
        <f aca="false">IF(D820="","",N(G820)-N(H820))</f>
        <v>-20000</v>
      </c>
      <c r="K820" s="34" t="str">
        <f aca="false">IF(D820="","",IFERROR(INDEX(I_COA!$C$6:$C$265,MATCH(D820,I_COA!$A$6:$A$265,0)),"AKUN BARU"))</f>
        <v>LabaRugi</v>
      </c>
      <c r="L820" s="34" t="str">
        <f aca="false">IF(K820="LabaRugi",INDEX(I_COA!$D$6:$D$265,MATCH(D820,I_COA!$A$6:$A$265,0)),"")</f>
        <v>Tax expenses</v>
      </c>
      <c r="M820" s="34" t="str">
        <f aca="false">IF(K820="Neraca",INDEX(I_COA!$E$6:$E$265,MATCH(D820,I_COA!$A$6:$A$265,0)),"")</f>
        <v/>
      </c>
      <c r="N820" s="34" t="str">
        <f aca="false">IF(D820="","",IFERROR(INDEX(I_COA!$G$6:$G$265,MATCH(D820,I_COA!$A$6:$A$265,0)),"N"))</f>
        <v>N</v>
      </c>
      <c r="O820" s="11" t="n">
        <f aca="false">IF(N820="N",ABS(J820),"")</f>
        <v>20000</v>
      </c>
      <c r="P820" s="18" t="str">
        <f aca="false">IF(N820="N",B820&amp;"|"&amp;ROUND(O820,0),"")</f>
        <v>B8526080052B|20000</v>
      </c>
      <c r="Q820" s="18" t="str">
        <f aca="false">IF(N820&lt;&gt;"Y","",IFERROR(INDEX($D$6:$D$4005,MATCH(B820&amp;"|"&amp;ROUND(_xlfn.MAXIFS($O$6:$O$4005,$B$6:$B$4005,B820,$N$6:$N$4005,"N"),0),$P$6:$P$4005,0)),"(tanpa lawan)"))</f>
        <v/>
      </c>
      <c r="R820" s="44"/>
      <c r="S820" s="9" t="str">
        <f aca="false">IF(N820&lt;&gt;"Y","",IF(R820&lt;&gt;"",R820,IF(Q820="(tanpa lawan)","Transfer antar rekening",IFERROR(INDEX(I_COA!$F$6:$F$265,MATCH(Q820,I_COA!$A$6:$A$265,0)),"?"))))</f>
        <v/>
      </c>
    </row>
    <row r="821" customFormat="false" ht="15" hidden="false" customHeight="false" outlineLevel="0" collapsed="false">
      <c r="A821" s="37" t="n">
        <v>46247</v>
      </c>
      <c r="B821" s="44" t="s">
        <v>1263</v>
      </c>
      <c r="C821" s="44" t="s">
        <v>594</v>
      </c>
      <c r="D821" s="44" t="n">
        <v>1102002</v>
      </c>
      <c r="E821" s="44" t="s">
        <v>598</v>
      </c>
      <c r="F821" s="44" t="s">
        <v>1264</v>
      </c>
      <c r="G821" s="42"/>
      <c r="H821" s="42" t="n">
        <v>197610000</v>
      </c>
      <c r="I821" s="44" t="s">
        <v>597</v>
      </c>
      <c r="J821" s="11" t="n">
        <f aca="false">IF(D821="","",N(G821)-N(H821))</f>
        <v>-197610000</v>
      </c>
      <c r="K821" s="34" t="str">
        <f aca="false">IF(D821="","",IFERROR(INDEX(I_COA!$C$6:$C$265,MATCH(D821,I_COA!$A$6:$A$265,0)),"AKUN BARU"))</f>
        <v>Neraca</v>
      </c>
      <c r="L821" s="34" t="str">
        <f aca="false">IF(K821="LabaRugi",INDEX(I_COA!$D$6:$D$265,MATCH(D821,I_COA!$A$6:$A$265,0)),"")</f>
        <v/>
      </c>
      <c r="M821" s="34" t="str">
        <f aca="false">IF(K821="Neraca",INDEX(I_COA!$E$6:$E$265,MATCH(D821,I_COA!$A$6:$A$265,0)),"")</f>
        <v>Cash and cash equivalents</v>
      </c>
      <c r="N821" s="34" t="str">
        <f aca="false">IF(D821="","",IFERROR(INDEX(I_COA!$G$6:$G$265,MATCH(D821,I_COA!$A$6:$A$265,0)),"N"))</f>
        <v>Y</v>
      </c>
      <c r="O821" s="11" t="str">
        <f aca="false">IF(N821="N",ABS(J821),"")</f>
        <v/>
      </c>
      <c r="P821" s="18" t="str">
        <f aca="false">IF(N821="N",B821&amp;"|"&amp;ROUND(O821,0),"")</f>
        <v/>
      </c>
      <c r="Q821" s="18" t="n">
        <f aca="false">IF(N821&lt;&gt;"Y","",IFERROR(INDEX($D$6:$D$4005,MATCH(B821&amp;"|"&amp;ROUND(_xlfn.MAXIFS($O$6:$O$4005,$B$6:$B$4005,B821,$N$6:$N$4005,"N"),0),$P$6:$P$4005,0)),"(tanpa lawan)"))</f>
        <v>2101001</v>
      </c>
      <c r="R821" s="44"/>
      <c r="S821" s="9" t="str">
        <f aca="false">IF(N821&lt;&gt;"Y","",IF(R821&lt;&gt;"",R821,IF(Q821="(tanpa lawan)","Transfer antar rekening",IFERROR(INDEX(I_COA!$F$6:$F$265,MATCH(Q821,I_COA!$A$6:$A$265,0)),"?"))))</f>
        <v>Bayar pemasok barang (live bird &amp; trading)</v>
      </c>
    </row>
    <row r="822" customFormat="false" ht="15" hidden="false" customHeight="false" outlineLevel="0" collapsed="false">
      <c r="A822" s="37" t="n">
        <v>46247</v>
      </c>
      <c r="B822" s="44" t="s">
        <v>1265</v>
      </c>
      <c r="C822" s="44" t="s">
        <v>600</v>
      </c>
      <c r="D822" s="44" t="n">
        <v>1104002</v>
      </c>
      <c r="E822" s="44" t="s">
        <v>601</v>
      </c>
      <c r="F822" s="44" t="s">
        <v>1266</v>
      </c>
      <c r="G822" s="42" t="n">
        <v>36320914.16</v>
      </c>
      <c r="H822" s="42"/>
      <c r="I822" s="44" t="s">
        <v>432</v>
      </c>
      <c r="J822" s="11" t="n">
        <f aca="false">IF(D822="","",N(G822)-N(H822))</f>
        <v>36320914.16</v>
      </c>
      <c r="K822" s="34" t="str">
        <f aca="false">IF(D822="","",IFERROR(INDEX(I_COA!$C$6:$C$265,MATCH(D822,I_COA!$A$6:$A$265,0)),"AKUN BARU"))</f>
        <v>Neraca</v>
      </c>
      <c r="L822" s="34" t="str">
        <f aca="false">IF(K822="LabaRugi",INDEX(I_COA!$D$6:$D$265,MATCH(D822,I_COA!$A$6:$A$265,0)),"")</f>
        <v/>
      </c>
      <c r="M822" s="34" t="str">
        <f aca="false">IF(K822="Neraca",INDEX(I_COA!$E$6:$E$265,MATCH(D822,I_COA!$A$6:$A$265,0)),"")</f>
        <v>Inventory - Product</v>
      </c>
      <c r="N822" s="34" t="str">
        <f aca="false">IF(D822="","",IFERROR(INDEX(I_COA!$G$6:$G$265,MATCH(D822,I_COA!$A$6:$A$265,0)),"N"))</f>
        <v>N</v>
      </c>
      <c r="O822" s="11" t="n">
        <f aca="false">IF(N822="N",ABS(J822),"")</f>
        <v>36320914.16</v>
      </c>
      <c r="P822" s="18" t="str">
        <f aca="false">IF(N822="N",B822&amp;"|"&amp;ROUND(O822,0),"")</f>
        <v>KGR26.00258|36320914</v>
      </c>
      <c r="Q822" s="18" t="str">
        <f aca="false">IF(N822&lt;&gt;"Y","",IFERROR(INDEX($D$6:$D$4005,MATCH(B822&amp;"|"&amp;ROUND(_xlfn.MAXIFS($O$6:$O$4005,$B$6:$B$4005,B822,$N$6:$N$4005,"N"),0),$P$6:$P$4005,0)),"(tanpa lawan)"))</f>
        <v/>
      </c>
      <c r="R822" s="44"/>
      <c r="S822" s="9" t="str">
        <f aca="false">IF(N822&lt;&gt;"Y","",IF(R822&lt;&gt;"",R822,IF(Q822="(tanpa lawan)","Transfer antar rekening",IFERROR(INDEX(I_COA!$F$6:$F$265,MATCH(Q822,I_COA!$A$6:$A$265,0)),"?"))))</f>
        <v/>
      </c>
    </row>
    <row r="823" customFormat="false" ht="15" hidden="false" customHeight="false" outlineLevel="0" collapsed="false">
      <c r="A823" s="37" t="n">
        <v>46247</v>
      </c>
      <c r="B823" s="44" t="s">
        <v>1265</v>
      </c>
      <c r="C823" s="44" t="s">
        <v>600</v>
      </c>
      <c r="D823" s="44" t="n">
        <v>1104006</v>
      </c>
      <c r="E823" s="44" t="s">
        <v>212</v>
      </c>
      <c r="F823" s="44" t="s">
        <v>1266</v>
      </c>
      <c r="G823" s="42"/>
      <c r="H823" s="42" t="n">
        <v>36320914.16</v>
      </c>
      <c r="I823" s="44" t="s">
        <v>432</v>
      </c>
      <c r="J823" s="11" t="n">
        <f aca="false">IF(D823="","",N(G823)-N(H823))</f>
        <v>-36320914.16</v>
      </c>
      <c r="K823" s="34" t="str">
        <f aca="false">IF(D823="","",IFERROR(INDEX(I_COA!$C$6:$C$265,MATCH(D823,I_COA!$A$6:$A$265,0)),"AKUN BARU"))</f>
        <v>Neraca</v>
      </c>
      <c r="L823" s="34" t="str">
        <f aca="false">IF(K823="LabaRugi",INDEX(I_COA!$D$6:$D$265,MATCH(D823,I_COA!$A$6:$A$265,0)),"")</f>
        <v/>
      </c>
      <c r="M823" s="34" t="str">
        <f aca="false">IF(K823="Neraca",INDEX(I_COA!$E$6:$E$265,MATCH(D823,I_COA!$A$6:$A$265,0)),"")</f>
        <v>Inventory - Trading</v>
      </c>
      <c r="N823" s="34" t="str">
        <f aca="false">IF(D823="","",IFERROR(INDEX(I_COA!$G$6:$G$265,MATCH(D823,I_COA!$A$6:$A$265,0)),"N"))</f>
        <v>N</v>
      </c>
      <c r="O823" s="11" t="n">
        <f aca="false">IF(N823="N",ABS(J823),"")</f>
        <v>36320914.16</v>
      </c>
      <c r="P823" s="18" t="str">
        <f aca="false">IF(N823="N",B823&amp;"|"&amp;ROUND(O823,0),"")</f>
        <v>KGR26.00258|36320914</v>
      </c>
      <c r="Q823" s="18" t="str">
        <f aca="false">IF(N823&lt;&gt;"Y","",IFERROR(INDEX($D$6:$D$4005,MATCH(B823&amp;"|"&amp;ROUND(_xlfn.MAXIFS($O$6:$O$4005,$B$6:$B$4005,B823,$N$6:$N$4005,"N"),0),$P$6:$P$4005,0)),"(tanpa lawan)"))</f>
        <v/>
      </c>
      <c r="R823" s="44"/>
      <c r="S823" s="9" t="str">
        <f aca="false">IF(N823&lt;&gt;"Y","",IF(R823&lt;&gt;"",R823,IF(Q823="(tanpa lawan)","Transfer antar rekening",IFERROR(INDEX(I_COA!$F$6:$F$265,MATCH(Q823,I_COA!$A$6:$A$265,0)),"?"))))</f>
        <v/>
      </c>
    </row>
    <row r="824" customFormat="false" ht="15" hidden="false" customHeight="false" outlineLevel="0" collapsed="false">
      <c r="A824" s="37" t="n">
        <v>46247</v>
      </c>
      <c r="B824" s="44" t="s">
        <v>1267</v>
      </c>
      <c r="C824" s="44" t="s">
        <v>600</v>
      </c>
      <c r="D824" s="44" t="n">
        <v>1104002</v>
      </c>
      <c r="E824" s="44" t="s">
        <v>601</v>
      </c>
      <c r="F824" s="44" t="s">
        <v>1268</v>
      </c>
      <c r="G824" s="42" t="n">
        <v>1079465.22</v>
      </c>
      <c r="H824" s="42"/>
      <c r="I824" s="44" t="s">
        <v>1269</v>
      </c>
      <c r="J824" s="11" t="n">
        <f aca="false">IF(D824="","",N(G824)-N(H824))</f>
        <v>1079465.22</v>
      </c>
      <c r="K824" s="34" t="str">
        <f aca="false">IF(D824="","",IFERROR(INDEX(I_COA!$C$6:$C$265,MATCH(D824,I_COA!$A$6:$A$265,0)),"AKUN BARU"))</f>
        <v>Neraca</v>
      </c>
      <c r="L824" s="34" t="str">
        <f aca="false">IF(K824="LabaRugi",INDEX(I_COA!$D$6:$D$265,MATCH(D824,I_COA!$A$6:$A$265,0)),"")</f>
        <v/>
      </c>
      <c r="M824" s="34" t="str">
        <f aca="false">IF(K824="Neraca",INDEX(I_COA!$E$6:$E$265,MATCH(D824,I_COA!$A$6:$A$265,0)),"")</f>
        <v>Inventory - Product</v>
      </c>
      <c r="N824" s="34" t="str">
        <f aca="false">IF(D824="","",IFERROR(INDEX(I_COA!$G$6:$G$265,MATCH(D824,I_COA!$A$6:$A$265,0)),"N"))</f>
        <v>N</v>
      </c>
      <c r="O824" s="11" t="n">
        <f aca="false">IF(N824="N",ABS(J824),"")</f>
        <v>1079465.22</v>
      </c>
      <c r="P824" s="18" t="str">
        <f aca="false">IF(N824="N",B824&amp;"|"&amp;ROUND(O824,0),"")</f>
        <v>KGR26.00259|1079465</v>
      </c>
      <c r="Q824" s="18" t="str">
        <f aca="false">IF(N824&lt;&gt;"Y","",IFERROR(INDEX($D$6:$D$4005,MATCH(B824&amp;"|"&amp;ROUND(_xlfn.MAXIFS($O$6:$O$4005,$B$6:$B$4005,B824,$N$6:$N$4005,"N"),0),$P$6:$P$4005,0)),"(tanpa lawan)"))</f>
        <v/>
      </c>
      <c r="R824" s="44"/>
      <c r="S824" s="9" t="str">
        <f aca="false">IF(N824&lt;&gt;"Y","",IF(R824&lt;&gt;"",R824,IF(Q824="(tanpa lawan)","Transfer antar rekening",IFERROR(INDEX(I_COA!$F$6:$F$265,MATCH(Q824,I_COA!$A$6:$A$265,0)),"?"))))</f>
        <v/>
      </c>
    </row>
    <row r="825" customFormat="false" ht="15" hidden="false" customHeight="false" outlineLevel="0" collapsed="false">
      <c r="A825" s="37" t="n">
        <v>46247</v>
      </c>
      <c r="B825" s="44" t="s">
        <v>1267</v>
      </c>
      <c r="C825" s="44" t="s">
        <v>600</v>
      </c>
      <c r="D825" s="44" t="n">
        <v>1104006</v>
      </c>
      <c r="E825" s="44" t="s">
        <v>212</v>
      </c>
      <c r="F825" s="44" t="s">
        <v>1268</v>
      </c>
      <c r="G825" s="42"/>
      <c r="H825" s="42" t="n">
        <v>1079465.22</v>
      </c>
      <c r="I825" s="44" t="s">
        <v>1269</v>
      </c>
      <c r="J825" s="11" t="n">
        <f aca="false">IF(D825="","",N(G825)-N(H825))</f>
        <v>-1079465.22</v>
      </c>
      <c r="K825" s="34" t="str">
        <f aca="false">IF(D825="","",IFERROR(INDEX(I_COA!$C$6:$C$265,MATCH(D825,I_COA!$A$6:$A$265,0)),"AKUN BARU"))</f>
        <v>Neraca</v>
      </c>
      <c r="L825" s="34" t="str">
        <f aca="false">IF(K825="LabaRugi",INDEX(I_COA!$D$6:$D$265,MATCH(D825,I_COA!$A$6:$A$265,0)),"")</f>
        <v/>
      </c>
      <c r="M825" s="34" t="str">
        <f aca="false">IF(K825="Neraca",INDEX(I_COA!$E$6:$E$265,MATCH(D825,I_COA!$A$6:$A$265,0)),"")</f>
        <v>Inventory - Trading</v>
      </c>
      <c r="N825" s="34" t="str">
        <f aca="false">IF(D825="","",IFERROR(INDEX(I_COA!$G$6:$G$265,MATCH(D825,I_COA!$A$6:$A$265,0)),"N"))</f>
        <v>N</v>
      </c>
      <c r="O825" s="11" t="n">
        <f aca="false">IF(N825="N",ABS(J825),"")</f>
        <v>1079465.22</v>
      </c>
      <c r="P825" s="18" t="str">
        <f aca="false">IF(N825="N",B825&amp;"|"&amp;ROUND(O825,0),"")</f>
        <v>KGR26.00259|1079465</v>
      </c>
      <c r="Q825" s="18" t="str">
        <f aca="false">IF(N825&lt;&gt;"Y","",IFERROR(INDEX($D$6:$D$4005,MATCH(B825&amp;"|"&amp;ROUND(_xlfn.MAXIFS($O$6:$O$4005,$B$6:$B$4005,B825,$N$6:$N$4005,"N"),0),$P$6:$P$4005,0)),"(tanpa lawan)"))</f>
        <v/>
      </c>
      <c r="R825" s="44"/>
      <c r="S825" s="9" t="str">
        <f aca="false">IF(N825&lt;&gt;"Y","",IF(R825&lt;&gt;"",R825,IF(Q825="(tanpa lawan)","Transfer antar rekening",IFERROR(INDEX(I_COA!$F$6:$F$265,MATCH(Q825,I_COA!$A$6:$A$265,0)),"?"))))</f>
        <v/>
      </c>
    </row>
    <row r="826" customFormat="false" ht="15" hidden="false" customHeight="false" outlineLevel="0" collapsed="false">
      <c r="A826" s="37" t="n">
        <v>46247</v>
      </c>
      <c r="B826" s="44" t="s">
        <v>1270</v>
      </c>
      <c r="C826" s="44" t="s">
        <v>600</v>
      </c>
      <c r="D826" s="44" t="n">
        <v>1104002</v>
      </c>
      <c r="E826" s="44" t="s">
        <v>601</v>
      </c>
      <c r="F826" s="44" t="s">
        <v>1271</v>
      </c>
      <c r="G826" s="42" t="n">
        <v>14569808.16</v>
      </c>
      <c r="H826" s="42"/>
      <c r="I826" s="44" t="s">
        <v>437</v>
      </c>
      <c r="J826" s="11" t="n">
        <f aca="false">IF(D826="","",N(G826)-N(H826))</f>
        <v>14569808.16</v>
      </c>
      <c r="K826" s="34" t="str">
        <f aca="false">IF(D826="","",IFERROR(INDEX(I_COA!$C$6:$C$265,MATCH(D826,I_COA!$A$6:$A$265,0)),"AKUN BARU"))</f>
        <v>Neraca</v>
      </c>
      <c r="L826" s="34" t="str">
        <f aca="false">IF(K826="LabaRugi",INDEX(I_COA!$D$6:$D$265,MATCH(D826,I_COA!$A$6:$A$265,0)),"")</f>
        <v/>
      </c>
      <c r="M826" s="34" t="str">
        <f aca="false">IF(K826="Neraca",INDEX(I_COA!$E$6:$E$265,MATCH(D826,I_COA!$A$6:$A$265,0)),"")</f>
        <v>Inventory - Product</v>
      </c>
      <c r="N826" s="34" t="str">
        <f aca="false">IF(D826="","",IFERROR(INDEX(I_COA!$G$6:$G$265,MATCH(D826,I_COA!$A$6:$A$265,0)),"N"))</f>
        <v>N</v>
      </c>
      <c r="O826" s="11" t="n">
        <f aca="false">IF(N826="N",ABS(J826),"")</f>
        <v>14569808.16</v>
      </c>
      <c r="P826" s="18" t="str">
        <f aca="false">IF(N826="N",B826&amp;"|"&amp;ROUND(O826,0),"")</f>
        <v>KGR26.00260|14569808</v>
      </c>
      <c r="Q826" s="18" t="str">
        <f aca="false">IF(N826&lt;&gt;"Y","",IFERROR(INDEX($D$6:$D$4005,MATCH(B826&amp;"|"&amp;ROUND(_xlfn.MAXIFS($O$6:$O$4005,$B$6:$B$4005,B826,$N$6:$N$4005,"N"),0),$P$6:$P$4005,0)),"(tanpa lawan)"))</f>
        <v/>
      </c>
      <c r="R826" s="44"/>
      <c r="S826" s="9" t="str">
        <f aca="false">IF(N826&lt;&gt;"Y","",IF(R826&lt;&gt;"",R826,IF(Q826="(tanpa lawan)","Transfer antar rekening",IFERROR(INDEX(I_COA!$F$6:$F$265,MATCH(Q826,I_COA!$A$6:$A$265,0)),"?"))))</f>
        <v/>
      </c>
    </row>
    <row r="827" customFormat="false" ht="15" hidden="false" customHeight="false" outlineLevel="0" collapsed="false">
      <c r="A827" s="37" t="n">
        <v>46247</v>
      </c>
      <c r="B827" s="44" t="s">
        <v>1270</v>
      </c>
      <c r="C827" s="44" t="s">
        <v>600</v>
      </c>
      <c r="D827" s="44" t="n">
        <v>1104006</v>
      </c>
      <c r="E827" s="44" t="s">
        <v>212</v>
      </c>
      <c r="F827" s="44" t="s">
        <v>1271</v>
      </c>
      <c r="G827" s="42"/>
      <c r="H827" s="42" t="n">
        <v>14569808.16</v>
      </c>
      <c r="I827" s="44" t="s">
        <v>437</v>
      </c>
      <c r="J827" s="11" t="n">
        <f aca="false">IF(D827="","",N(G827)-N(H827))</f>
        <v>-14569808.16</v>
      </c>
      <c r="K827" s="34" t="str">
        <f aca="false">IF(D827="","",IFERROR(INDEX(I_COA!$C$6:$C$265,MATCH(D827,I_COA!$A$6:$A$265,0)),"AKUN BARU"))</f>
        <v>Neraca</v>
      </c>
      <c r="L827" s="34" t="str">
        <f aca="false">IF(K827="LabaRugi",INDEX(I_COA!$D$6:$D$265,MATCH(D827,I_COA!$A$6:$A$265,0)),"")</f>
        <v/>
      </c>
      <c r="M827" s="34" t="str">
        <f aca="false">IF(K827="Neraca",INDEX(I_COA!$E$6:$E$265,MATCH(D827,I_COA!$A$6:$A$265,0)),"")</f>
        <v>Inventory - Trading</v>
      </c>
      <c r="N827" s="34" t="str">
        <f aca="false">IF(D827="","",IFERROR(INDEX(I_COA!$G$6:$G$265,MATCH(D827,I_COA!$A$6:$A$265,0)),"N"))</f>
        <v>N</v>
      </c>
      <c r="O827" s="11" t="n">
        <f aca="false">IF(N827="N",ABS(J827),"")</f>
        <v>14569808.16</v>
      </c>
      <c r="P827" s="18" t="str">
        <f aca="false">IF(N827="N",B827&amp;"|"&amp;ROUND(O827,0),"")</f>
        <v>KGR26.00260|14569808</v>
      </c>
      <c r="Q827" s="18" t="str">
        <f aca="false">IF(N827&lt;&gt;"Y","",IFERROR(INDEX($D$6:$D$4005,MATCH(B827&amp;"|"&amp;ROUND(_xlfn.MAXIFS($O$6:$O$4005,$B$6:$B$4005,B827,$N$6:$N$4005,"N"),0),$P$6:$P$4005,0)),"(tanpa lawan)"))</f>
        <v/>
      </c>
      <c r="R827" s="44"/>
      <c r="S827" s="9" t="str">
        <f aca="false">IF(N827&lt;&gt;"Y","",IF(R827&lt;&gt;"",R827,IF(Q827="(tanpa lawan)","Transfer antar rekening",IFERROR(INDEX(I_COA!$F$6:$F$265,MATCH(Q827,I_COA!$A$6:$A$265,0)),"?"))))</f>
        <v/>
      </c>
    </row>
    <row r="828" customFormat="false" ht="15" hidden="false" customHeight="false" outlineLevel="0" collapsed="false">
      <c r="A828" s="37" t="n">
        <v>46247</v>
      </c>
      <c r="B828" s="44" t="s">
        <v>1272</v>
      </c>
      <c r="C828" s="44" t="s">
        <v>600</v>
      </c>
      <c r="D828" s="44" t="n">
        <v>1104002</v>
      </c>
      <c r="E828" s="44" t="s">
        <v>601</v>
      </c>
      <c r="F828" s="44" t="s">
        <v>1273</v>
      </c>
      <c r="G828" s="42" t="n">
        <v>52350110.02</v>
      </c>
      <c r="H828" s="42"/>
      <c r="I828" s="44" t="s">
        <v>841</v>
      </c>
      <c r="J828" s="11" t="n">
        <f aca="false">IF(D828="","",N(G828)-N(H828))</f>
        <v>52350110.02</v>
      </c>
      <c r="K828" s="34" t="str">
        <f aca="false">IF(D828="","",IFERROR(INDEX(I_COA!$C$6:$C$265,MATCH(D828,I_COA!$A$6:$A$265,0)),"AKUN BARU"))</f>
        <v>Neraca</v>
      </c>
      <c r="L828" s="34" t="str">
        <f aca="false">IF(K828="LabaRugi",INDEX(I_COA!$D$6:$D$265,MATCH(D828,I_COA!$A$6:$A$265,0)),"")</f>
        <v/>
      </c>
      <c r="M828" s="34" t="str">
        <f aca="false">IF(K828="Neraca",INDEX(I_COA!$E$6:$E$265,MATCH(D828,I_COA!$A$6:$A$265,0)),"")</f>
        <v>Inventory - Product</v>
      </c>
      <c r="N828" s="34" t="str">
        <f aca="false">IF(D828="","",IFERROR(INDEX(I_COA!$G$6:$G$265,MATCH(D828,I_COA!$A$6:$A$265,0)),"N"))</f>
        <v>N</v>
      </c>
      <c r="O828" s="11" t="n">
        <f aca="false">IF(N828="N",ABS(J828),"")</f>
        <v>52350110.02</v>
      </c>
      <c r="P828" s="18" t="str">
        <f aca="false">IF(N828="N",B828&amp;"|"&amp;ROUND(O828,0),"")</f>
        <v>KGR26.00261|52350110</v>
      </c>
      <c r="Q828" s="18" t="str">
        <f aca="false">IF(N828&lt;&gt;"Y","",IFERROR(INDEX($D$6:$D$4005,MATCH(B828&amp;"|"&amp;ROUND(_xlfn.MAXIFS($O$6:$O$4005,$B$6:$B$4005,B828,$N$6:$N$4005,"N"),0),$P$6:$P$4005,0)),"(tanpa lawan)"))</f>
        <v/>
      </c>
      <c r="R828" s="44"/>
      <c r="S828" s="9" t="str">
        <f aca="false">IF(N828&lt;&gt;"Y","",IF(R828&lt;&gt;"",R828,IF(Q828="(tanpa lawan)","Transfer antar rekening",IFERROR(INDEX(I_COA!$F$6:$F$265,MATCH(Q828,I_COA!$A$6:$A$265,0)),"?"))))</f>
        <v/>
      </c>
    </row>
    <row r="829" customFormat="false" ht="15" hidden="false" customHeight="false" outlineLevel="0" collapsed="false">
      <c r="A829" s="37" t="n">
        <v>46247</v>
      </c>
      <c r="B829" s="44" t="s">
        <v>1272</v>
      </c>
      <c r="C829" s="44" t="s">
        <v>600</v>
      </c>
      <c r="D829" s="44" t="n">
        <v>1104003</v>
      </c>
      <c r="E829" s="44" t="s">
        <v>613</v>
      </c>
      <c r="F829" s="44" t="s">
        <v>1273</v>
      </c>
      <c r="G829" s="42"/>
      <c r="H829" s="42" t="n">
        <v>6226100.04</v>
      </c>
      <c r="I829" s="44" t="s">
        <v>841</v>
      </c>
      <c r="J829" s="11" t="n">
        <f aca="false">IF(D829="","",N(G829)-N(H829))</f>
        <v>-6226100.04</v>
      </c>
      <c r="K829" s="34" t="str">
        <f aca="false">IF(D829="","",IFERROR(INDEX(I_COA!$C$6:$C$265,MATCH(D829,I_COA!$A$6:$A$265,0)),"AKUN BARU"))</f>
        <v>Neraca</v>
      </c>
      <c r="L829" s="34" t="str">
        <f aca="false">IF(K829="LabaRugi",INDEX(I_COA!$D$6:$D$265,MATCH(D829,I_COA!$A$6:$A$265,0)),"")</f>
        <v/>
      </c>
      <c r="M829" s="34" t="str">
        <f aca="false">IF(K829="Neraca",INDEX(I_COA!$E$6:$E$265,MATCH(D829,I_COA!$A$6:$A$265,0)),"")</f>
        <v>Inventory - Product</v>
      </c>
      <c r="N829" s="34" t="str">
        <f aca="false">IF(D829="","",IFERROR(INDEX(I_COA!$G$6:$G$265,MATCH(D829,I_COA!$A$6:$A$265,0)),"N"))</f>
        <v>N</v>
      </c>
      <c r="O829" s="11" t="n">
        <f aca="false">IF(N829="N",ABS(J829),"")</f>
        <v>6226100.04</v>
      </c>
      <c r="P829" s="18" t="str">
        <f aca="false">IF(N829="N",B829&amp;"|"&amp;ROUND(O829,0),"")</f>
        <v>KGR26.00261|6226100</v>
      </c>
      <c r="Q829" s="18" t="str">
        <f aca="false">IF(N829&lt;&gt;"Y","",IFERROR(INDEX($D$6:$D$4005,MATCH(B829&amp;"|"&amp;ROUND(_xlfn.MAXIFS($O$6:$O$4005,$B$6:$B$4005,B829,$N$6:$N$4005,"N"),0),$P$6:$P$4005,0)),"(tanpa lawan)"))</f>
        <v/>
      </c>
      <c r="R829" s="44"/>
      <c r="S829" s="9" t="str">
        <f aca="false">IF(N829&lt;&gt;"Y","",IF(R829&lt;&gt;"",R829,IF(Q829="(tanpa lawan)","Transfer antar rekening",IFERROR(INDEX(I_COA!$F$6:$F$265,MATCH(Q829,I_COA!$A$6:$A$265,0)),"?"))))</f>
        <v/>
      </c>
    </row>
    <row r="830" customFormat="false" ht="15" hidden="false" customHeight="false" outlineLevel="0" collapsed="false">
      <c r="A830" s="37" t="n">
        <v>46247</v>
      </c>
      <c r="B830" s="44" t="s">
        <v>1272</v>
      </c>
      <c r="C830" s="44" t="s">
        <v>600</v>
      </c>
      <c r="D830" s="44" t="n">
        <v>1104006</v>
      </c>
      <c r="E830" s="44" t="s">
        <v>212</v>
      </c>
      <c r="F830" s="44" t="s">
        <v>1273</v>
      </c>
      <c r="G830" s="42"/>
      <c r="H830" s="42" t="n">
        <v>46124009.98</v>
      </c>
      <c r="I830" s="44" t="s">
        <v>841</v>
      </c>
      <c r="J830" s="11" t="n">
        <f aca="false">IF(D830="","",N(G830)-N(H830))</f>
        <v>-46124009.98</v>
      </c>
      <c r="K830" s="34" t="str">
        <f aca="false">IF(D830="","",IFERROR(INDEX(I_COA!$C$6:$C$265,MATCH(D830,I_COA!$A$6:$A$265,0)),"AKUN BARU"))</f>
        <v>Neraca</v>
      </c>
      <c r="L830" s="34" t="str">
        <f aca="false">IF(K830="LabaRugi",INDEX(I_COA!$D$6:$D$265,MATCH(D830,I_COA!$A$6:$A$265,0)),"")</f>
        <v/>
      </c>
      <c r="M830" s="34" t="str">
        <f aca="false">IF(K830="Neraca",INDEX(I_COA!$E$6:$E$265,MATCH(D830,I_COA!$A$6:$A$265,0)),"")</f>
        <v>Inventory - Trading</v>
      </c>
      <c r="N830" s="34" t="str">
        <f aca="false">IF(D830="","",IFERROR(INDEX(I_COA!$G$6:$G$265,MATCH(D830,I_COA!$A$6:$A$265,0)),"N"))</f>
        <v>N</v>
      </c>
      <c r="O830" s="11" t="n">
        <f aca="false">IF(N830="N",ABS(J830),"")</f>
        <v>46124009.98</v>
      </c>
      <c r="P830" s="18" t="str">
        <f aca="false">IF(N830="N",B830&amp;"|"&amp;ROUND(O830,0),"")</f>
        <v>KGR26.00261|46124010</v>
      </c>
      <c r="Q830" s="18" t="str">
        <f aca="false">IF(N830&lt;&gt;"Y","",IFERROR(INDEX($D$6:$D$4005,MATCH(B830&amp;"|"&amp;ROUND(_xlfn.MAXIFS($O$6:$O$4005,$B$6:$B$4005,B830,$N$6:$N$4005,"N"),0),$P$6:$P$4005,0)),"(tanpa lawan)"))</f>
        <v/>
      </c>
      <c r="R830" s="44"/>
      <c r="S830" s="9" t="str">
        <f aca="false">IF(N830&lt;&gt;"Y","",IF(R830&lt;&gt;"",R830,IF(Q830="(tanpa lawan)","Transfer antar rekening",IFERROR(INDEX(I_COA!$F$6:$F$265,MATCH(Q830,I_COA!$A$6:$A$265,0)),"?"))))</f>
        <v/>
      </c>
    </row>
    <row r="831" customFormat="false" ht="15" hidden="false" customHeight="false" outlineLevel="0" collapsed="false">
      <c r="A831" s="37" t="n">
        <v>46247</v>
      </c>
      <c r="B831" s="44" t="s">
        <v>1274</v>
      </c>
      <c r="C831" s="44" t="s">
        <v>600</v>
      </c>
      <c r="D831" s="44" t="n">
        <v>1104002</v>
      </c>
      <c r="E831" s="44" t="s">
        <v>601</v>
      </c>
      <c r="F831" s="44" t="s">
        <v>1275</v>
      </c>
      <c r="G831" s="42" t="n">
        <v>66285533.16</v>
      </c>
      <c r="H831" s="42"/>
      <c r="I831" s="44" t="s">
        <v>774</v>
      </c>
      <c r="J831" s="11" t="n">
        <f aca="false">IF(D831="","",N(G831)-N(H831))</f>
        <v>66285533.16</v>
      </c>
      <c r="K831" s="34" t="str">
        <f aca="false">IF(D831="","",IFERROR(INDEX(I_COA!$C$6:$C$265,MATCH(D831,I_COA!$A$6:$A$265,0)),"AKUN BARU"))</f>
        <v>Neraca</v>
      </c>
      <c r="L831" s="34" t="str">
        <f aca="false">IF(K831="LabaRugi",INDEX(I_COA!$D$6:$D$265,MATCH(D831,I_COA!$A$6:$A$265,0)),"")</f>
        <v/>
      </c>
      <c r="M831" s="34" t="str">
        <f aca="false">IF(K831="Neraca",INDEX(I_COA!$E$6:$E$265,MATCH(D831,I_COA!$A$6:$A$265,0)),"")</f>
        <v>Inventory - Product</v>
      </c>
      <c r="N831" s="34" t="str">
        <f aca="false">IF(D831="","",IFERROR(INDEX(I_COA!$G$6:$G$265,MATCH(D831,I_COA!$A$6:$A$265,0)),"N"))</f>
        <v>N</v>
      </c>
      <c r="O831" s="11" t="n">
        <f aca="false">IF(N831="N",ABS(J831),"")</f>
        <v>66285533.16</v>
      </c>
      <c r="P831" s="18" t="str">
        <f aca="false">IF(N831="N",B831&amp;"|"&amp;ROUND(O831,0),"")</f>
        <v>KGR26.00262|66285533</v>
      </c>
      <c r="Q831" s="18" t="str">
        <f aca="false">IF(N831&lt;&gt;"Y","",IFERROR(INDEX($D$6:$D$4005,MATCH(B831&amp;"|"&amp;ROUND(_xlfn.MAXIFS($O$6:$O$4005,$B$6:$B$4005,B831,$N$6:$N$4005,"N"),0),$P$6:$P$4005,0)),"(tanpa lawan)"))</f>
        <v/>
      </c>
      <c r="R831" s="44"/>
      <c r="S831" s="9" t="str">
        <f aca="false">IF(N831&lt;&gt;"Y","",IF(R831&lt;&gt;"",R831,IF(Q831="(tanpa lawan)","Transfer antar rekening",IFERROR(INDEX(I_COA!$F$6:$F$265,MATCH(Q831,I_COA!$A$6:$A$265,0)),"?"))))</f>
        <v/>
      </c>
    </row>
    <row r="832" customFormat="false" ht="15" hidden="false" customHeight="false" outlineLevel="0" collapsed="false">
      <c r="A832" s="37" t="n">
        <v>46247</v>
      </c>
      <c r="B832" s="44" t="s">
        <v>1274</v>
      </c>
      <c r="C832" s="44" t="s">
        <v>600</v>
      </c>
      <c r="D832" s="44" t="n">
        <v>1104006</v>
      </c>
      <c r="E832" s="44" t="s">
        <v>212</v>
      </c>
      <c r="F832" s="44" t="s">
        <v>1275</v>
      </c>
      <c r="G832" s="42"/>
      <c r="H832" s="42" t="n">
        <v>66285533.16</v>
      </c>
      <c r="I832" s="44" t="s">
        <v>774</v>
      </c>
      <c r="J832" s="11" t="n">
        <f aca="false">IF(D832="","",N(G832)-N(H832))</f>
        <v>-66285533.16</v>
      </c>
      <c r="K832" s="34" t="str">
        <f aca="false">IF(D832="","",IFERROR(INDEX(I_COA!$C$6:$C$265,MATCH(D832,I_COA!$A$6:$A$265,0)),"AKUN BARU"))</f>
        <v>Neraca</v>
      </c>
      <c r="L832" s="34" t="str">
        <f aca="false">IF(K832="LabaRugi",INDEX(I_COA!$D$6:$D$265,MATCH(D832,I_COA!$A$6:$A$265,0)),"")</f>
        <v/>
      </c>
      <c r="M832" s="34" t="str">
        <f aca="false">IF(K832="Neraca",INDEX(I_COA!$E$6:$E$265,MATCH(D832,I_COA!$A$6:$A$265,0)),"")</f>
        <v>Inventory - Trading</v>
      </c>
      <c r="N832" s="34" t="str">
        <f aca="false">IF(D832="","",IFERROR(INDEX(I_COA!$G$6:$G$265,MATCH(D832,I_COA!$A$6:$A$265,0)),"N"))</f>
        <v>N</v>
      </c>
      <c r="O832" s="11" t="n">
        <f aca="false">IF(N832="N",ABS(J832),"")</f>
        <v>66285533.16</v>
      </c>
      <c r="P832" s="18" t="str">
        <f aca="false">IF(N832="N",B832&amp;"|"&amp;ROUND(O832,0),"")</f>
        <v>KGR26.00262|66285533</v>
      </c>
      <c r="Q832" s="18" t="str">
        <f aca="false">IF(N832&lt;&gt;"Y","",IFERROR(INDEX($D$6:$D$4005,MATCH(B832&amp;"|"&amp;ROUND(_xlfn.MAXIFS($O$6:$O$4005,$B$6:$B$4005,B832,$N$6:$N$4005,"N"),0),$P$6:$P$4005,0)),"(tanpa lawan)"))</f>
        <v/>
      </c>
      <c r="R832" s="44"/>
      <c r="S832" s="9" t="str">
        <f aca="false">IF(N832&lt;&gt;"Y","",IF(R832&lt;&gt;"",R832,IF(Q832="(tanpa lawan)","Transfer antar rekening",IFERROR(INDEX(I_COA!$F$6:$F$265,MATCH(Q832,I_COA!$A$6:$A$265,0)),"?"))))</f>
        <v/>
      </c>
    </row>
    <row r="833" customFormat="false" ht="15" hidden="false" customHeight="false" outlineLevel="0" collapsed="false">
      <c r="A833" s="37" t="n">
        <v>46247</v>
      </c>
      <c r="B833" s="44" t="s">
        <v>1276</v>
      </c>
      <c r="C833" s="44" t="s">
        <v>617</v>
      </c>
      <c r="D833" s="44" t="n">
        <v>1103101</v>
      </c>
      <c r="E833" s="44" t="s">
        <v>589</v>
      </c>
      <c r="F833" s="44" t="s">
        <v>1277</v>
      </c>
      <c r="G833" s="42" t="n">
        <v>36895500</v>
      </c>
      <c r="H833" s="42"/>
      <c r="I833" s="44" t="s">
        <v>432</v>
      </c>
      <c r="J833" s="11" t="n">
        <f aca="false">IF(D833="","",N(G833)-N(H833))</f>
        <v>36895500</v>
      </c>
      <c r="K833" s="34" t="str">
        <f aca="false">IF(D833="","",IFERROR(INDEX(I_COA!$C$6:$C$265,MATCH(D833,I_COA!$A$6:$A$265,0)),"AKUN BARU"))</f>
        <v>Neraca</v>
      </c>
      <c r="L833" s="34" t="str">
        <f aca="false">IF(K833="LabaRugi",INDEX(I_COA!$D$6:$D$265,MATCH(D833,I_COA!$A$6:$A$265,0)),"")</f>
        <v/>
      </c>
      <c r="M833" s="34" t="str">
        <f aca="false">IF(K833="Neraca",INDEX(I_COA!$E$6:$E$265,MATCH(D833,I_COA!$A$6:$A$265,0)),"")</f>
        <v>Trade Receivables - Third Parties</v>
      </c>
      <c r="N833" s="34" t="str">
        <f aca="false">IF(D833="","",IFERROR(INDEX(I_COA!$G$6:$G$265,MATCH(D833,I_COA!$A$6:$A$265,0)),"N"))</f>
        <v>N</v>
      </c>
      <c r="O833" s="11" t="n">
        <f aca="false">IF(N833="N",ABS(J833),"")</f>
        <v>36895500</v>
      </c>
      <c r="P833" s="18" t="str">
        <f aca="false">IF(N833="N",B833&amp;"|"&amp;ROUND(O833,0),"")</f>
        <v>KGR26/0258|36895500</v>
      </c>
      <c r="Q833" s="18" t="str">
        <f aca="false">IF(N833&lt;&gt;"Y","",IFERROR(INDEX($D$6:$D$4005,MATCH(B833&amp;"|"&amp;ROUND(_xlfn.MAXIFS($O$6:$O$4005,$B$6:$B$4005,B833,$N$6:$N$4005,"N"),0),$P$6:$P$4005,0)),"(tanpa lawan)"))</f>
        <v/>
      </c>
      <c r="R833" s="44"/>
      <c r="S833" s="9" t="str">
        <f aca="false">IF(N833&lt;&gt;"Y","",IF(R833&lt;&gt;"",R833,IF(Q833="(tanpa lawan)","Transfer antar rekening",IFERROR(INDEX(I_COA!$F$6:$F$265,MATCH(Q833,I_COA!$A$6:$A$265,0)),"?"))))</f>
        <v/>
      </c>
    </row>
    <row r="834" customFormat="false" ht="15" hidden="false" customHeight="false" outlineLevel="0" collapsed="false">
      <c r="A834" s="37" t="n">
        <v>46247</v>
      </c>
      <c r="B834" s="44" t="s">
        <v>1276</v>
      </c>
      <c r="C834" s="44" t="s">
        <v>617</v>
      </c>
      <c r="D834" s="44" t="n">
        <v>4101012</v>
      </c>
      <c r="E834" s="44" t="s">
        <v>619</v>
      </c>
      <c r="F834" s="44" t="s">
        <v>1277</v>
      </c>
      <c r="G834" s="42"/>
      <c r="H834" s="42" t="n">
        <v>36895500</v>
      </c>
      <c r="I834" s="44" t="s">
        <v>432</v>
      </c>
      <c r="J834" s="11" t="n">
        <f aca="false">IF(D834="","",N(G834)-N(H834))</f>
        <v>-36895500</v>
      </c>
      <c r="K834" s="34" t="str">
        <f aca="false">IF(D834="","",IFERROR(INDEX(I_COA!$C$6:$C$265,MATCH(D834,I_COA!$A$6:$A$265,0)),"AKUN BARU"))</f>
        <v>LabaRugi</v>
      </c>
      <c r="L834" s="34" t="str">
        <f aca="false">IF(K834="LabaRugi",INDEX(I_COA!$D$6:$D$265,MATCH(D834,I_COA!$A$6:$A$265,0)),"")</f>
        <v>Revenue - Trading</v>
      </c>
      <c r="M834" s="34" t="str">
        <f aca="false">IF(K834="Neraca",INDEX(I_COA!$E$6:$E$265,MATCH(D834,I_COA!$A$6:$A$265,0)),"")</f>
        <v/>
      </c>
      <c r="N834" s="34" t="str">
        <f aca="false">IF(D834="","",IFERROR(INDEX(I_COA!$G$6:$G$265,MATCH(D834,I_COA!$A$6:$A$265,0)),"N"))</f>
        <v>N</v>
      </c>
      <c r="O834" s="11" t="n">
        <f aca="false">IF(N834="N",ABS(J834),"")</f>
        <v>36895500</v>
      </c>
      <c r="P834" s="18" t="str">
        <f aca="false">IF(N834="N",B834&amp;"|"&amp;ROUND(O834,0),"")</f>
        <v>KGR26/0258|36895500</v>
      </c>
      <c r="Q834" s="18" t="str">
        <f aca="false">IF(N834&lt;&gt;"Y","",IFERROR(INDEX($D$6:$D$4005,MATCH(B834&amp;"|"&amp;ROUND(_xlfn.MAXIFS($O$6:$O$4005,$B$6:$B$4005,B834,$N$6:$N$4005,"N"),0),$P$6:$P$4005,0)),"(tanpa lawan)"))</f>
        <v/>
      </c>
      <c r="R834" s="44"/>
      <c r="S834" s="9" t="str">
        <f aca="false">IF(N834&lt;&gt;"Y","",IF(R834&lt;&gt;"",R834,IF(Q834="(tanpa lawan)","Transfer antar rekening",IFERROR(INDEX(I_COA!$F$6:$F$265,MATCH(Q834,I_COA!$A$6:$A$265,0)),"?"))))</f>
        <v/>
      </c>
    </row>
    <row r="835" customFormat="false" ht="15" hidden="false" customHeight="false" outlineLevel="0" collapsed="false">
      <c r="A835" s="37" t="n">
        <v>46247</v>
      </c>
      <c r="B835" s="44" t="s">
        <v>1276</v>
      </c>
      <c r="C835" s="44" t="s">
        <v>617</v>
      </c>
      <c r="D835" s="44" t="n">
        <v>5100011</v>
      </c>
      <c r="E835" s="44" t="s">
        <v>166</v>
      </c>
      <c r="F835" s="44" t="s">
        <v>1277</v>
      </c>
      <c r="G835" s="42" t="n">
        <v>36320914.16</v>
      </c>
      <c r="H835" s="42"/>
      <c r="I835" s="44" t="s">
        <v>432</v>
      </c>
      <c r="J835" s="11" t="n">
        <f aca="false">IF(D835="","",N(G835)-N(H835))</f>
        <v>36320914.16</v>
      </c>
      <c r="K835" s="34" t="str">
        <f aca="false">IF(D835="","",IFERROR(INDEX(I_COA!$C$6:$C$265,MATCH(D835,I_COA!$A$6:$A$265,0)),"AKUN BARU"))</f>
        <v>LabaRugi</v>
      </c>
      <c r="L835" s="34" t="str">
        <f aca="false">IF(K835="LabaRugi",INDEX(I_COA!$D$6:$D$265,MATCH(D835,I_COA!$A$6:$A$265,0)),"")</f>
        <v>COGS - Trading</v>
      </c>
      <c r="M835" s="34" t="str">
        <f aca="false">IF(K835="Neraca",INDEX(I_COA!$E$6:$E$265,MATCH(D835,I_COA!$A$6:$A$265,0)),"")</f>
        <v/>
      </c>
      <c r="N835" s="34" t="str">
        <f aca="false">IF(D835="","",IFERROR(INDEX(I_COA!$G$6:$G$265,MATCH(D835,I_COA!$A$6:$A$265,0)),"N"))</f>
        <v>N</v>
      </c>
      <c r="O835" s="11" t="n">
        <f aca="false">IF(N835="N",ABS(J835),"")</f>
        <v>36320914.16</v>
      </c>
      <c r="P835" s="18" t="str">
        <f aca="false">IF(N835="N",B835&amp;"|"&amp;ROUND(O835,0),"")</f>
        <v>KGR26/0258|36320914</v>
      </c>
      <c r="Q835" s="18" t="str">
        <f aca="false">IF(N835&lt;&gt;"Y","",IFERROR(INDEX($D$6:$D$4005,MATCH(B835&amp;"|"&amp;ROUND(_xlfn.MAXIFS($O$6:$O$4005,$B$6:$B$4005,B835,$N$6:$N$4005,"N"),0),$P$6:$P$4005,0)),"(tanpa lawan)"))</f>
        <v/>
      </c>
      <c r="R835" s="44"/>
      <c r="S835" s="9" t="str">
        <f aca="false">IF(N835&lt;&gt;"Y","",IF(R835&lt;&gt;"",R835,IF(Q835="(tanpa lawan)","Transfer antar rekening",IFERROR(INDEX(I_COA!$F$6:$F$265,MATCH(Q835,I_COA!$A$6:$A$265,0)),"?"))))</f>
        <v/>
      </c>
    </row>
    <row r="836" customFormat="false" ht="15" hidden="false" customHeight="false" outlineLevel="0" collapsed="false">
      <c r="A836" s="37" t="n">
        <v>46247</v>
      </c>
      <c r="B836" s="44" t="s">
        <v>1276</v>
      </c>
      <c r="C836" s="44" t="s">
        <v>617</v>
      </c>
      <c r="D836" s="44" t="n">
        <v>1104002</v>
      </c>
      <c r="E836" s="44" t="s">
        <v>601</v>
      </c>
      <c r="F836" s="44" t="s">
        <v>1277</v>
      </c>
      <c r="G836" s="42"/>
      <c r="H836" s="42" t="n">
        <v>36320914.16</v>
      </c>
      <c r="I836" s="44" t="s">
        <v>432</v>
      </c>
      <c r="J836" s="11" t="n">
        <f aca="false">IF(D836="","",N(G836)-N(H836))</f>
        <v>-36320914.16</v>
      </c>
      <c r="K836" s="34" t="str">
        <f aca="false">IF(D836="","",IFERROR(INDEX(I_COA!$C$6:$C$265,MATCH(D836,I_COA!$A$6:$A$265,0)),"AKUN BARU"))</f>
        <v>Neraca</v>
      </c>
      <c r="L836" s="34" t="str">
        <f aca="false">IF(K836="LabaRugi",INDEX(I_COA!$D$6:$D$265,MATCH(D836,I_COA!$A$6:$A$265,0)),"")</f>
        <v/>
      </c>
      <c r="M836" s="34" t="str">
        <f aca="false">IF(K836="Neraca",INDEX(I_COA!$E$6:$E$265,MATCH(D836,I_COA!$A$6:$A$265,0)),"")</f>
        <v>Inventory - Product</v>
      </c>
      <c r="N836" s="34" t="str">
        <f aca="false">IF(D836="","",IFERROR(INDEX(I_COA!$G$6:$G$265,MATCH(D836,I_COA!$A$6:$A$265,0)),"N"))</f>
        <v>N</v>
      </c>
      <c r="O836" s="11" t="n">
        <f aca="false">IF(N836="N",ABS(J836),"")</f>
        <v>36320914.16</v>
      </c>
      <c r="P836" s="18" t="str">
        <f aca="false">IF(N836="N",B836&amp;"|"&amp;ROUND(O836,0),"")</f>
        <v>KGR26/0258|36320914</v>
      </c>
      <c r="Q836" s="18" t="str">
        <f aca="false">IF(N836&lt;&gt;"Y","",IFERROR(INDEX($D$6:$D$4005,MATCH(B836&amp;"|"&amp;ROUND(_xlfn.MAXIFS($O$6:$O$4005,$B$6:$B$4005,B836,$N$6:$N$4005,"N"),0),$P$6:$P$4005,0)),"(tanpa lawan)"))</f>
        <v/>
      </c>
      <c r="R836" s="44"/>
      <c r="S836" s="9" t="str">
        <f aca="false">IF(N836&lt;&gt;"Y","",IF(R836&lt;&gt;"",R836,IF(Q836="(tanpa lawan)","Transfer antar rekening",IFERROR(INDEX(I_COA!$F$6:$F$265,MATCH(Q836,I_COA!$A$6:$A$265,0)),"?"))))</f>
        <v/>
      </c>
    </row>
    <row r="837" customFormat="false" ht="15" hidden="false" customHeight="false" outlineLevel="0" collapsed="false">
      <c r="A837" s="37" t="n">
        <v>46247</v>
      </c>
      <c r="B837" s="44" t="s">
        <v>1278</v>
      </c>
      <c r="C837" s="44" t="s">
        <v>617</v>
      </c>
      <c r="D837" s="44" t="n">
        <v>1103101</v>
      </c>
      <c r="E837" s="44" t="s">
        <v>589</v>
      </c>
      <c r="F837" s="44" t="s">
        <v>1279</v>
      </c>
      <c r="G837" s="42" t="n">
        <v>1331000</v>
      </c>
      <c r="H837" s="42"/>
      <c r="I837" s="44" t="s">
        <v>1269</v>
      </c>
      <c r="J837" s="11" t="n">
        <f aca="false">IF(D837="","",N(G837)-N(H837))</f>
        <v>1331000</v>
      </c>
      <c r="K837" s="34" t="str">
        <f aca="false">IF(D837="","",IFERROR(INDEX(I_COA!$C$6:$C$265,MATCH(D837,I_COA!$A$6:$A$265,0)),"AKUN BARU"))</f>
        <v>Neraca</v>
      </c>
      <c r="L837" s="34" t="str">
        <f aca="false">IF(K837="LabaRugi",INDEX(I_COA!$D$6:$D$265,MATCH(D837,I_COA!$A$6:$A$265,0)),"")</f>
        <v/>
      </c>
      <c r="M837" s="34" t="str">
        <f aca="false">IF(K837="Neraca",INDEX(I_COA!$E$6:$E$265,MATCH(D837,I_COA!$A$6:$A$265,0)),"")</f>
        <v>Trade Receivables - Third Parties</v>
      </c>
      <c r="N837" s="34" t="str">
        <f aca="false">IF(D837="","",IFERROR(INDEX(I_COA!$G$6:$G$265,MATCH(D837,I_COA!$A$6:$A$265,0)),"N"))</f>
        <v>N</v>
      </c>
      <c r="O837" s="11" t="n">
        <f aca="false">IF(N837="N",ABS(J837),"")</f>
        <v>1331000</v>
      </c>
      <c r="P837" s="18" t="str">
        <f aca="false">IF(N837="N",B837&amp;"|"&amp;ROUND(O837,0),"")</f>
        <v>KGR26/0259|1331000</v>
      </c>
      <c r="Q837" s="18" t="str">
        <f aca="false">IF(N837&lt;&gt;"Y","",IFERROR(INDEX($D$6:$D$4005,MATCH(B837&amp;"|"&amp;ROUND(_xlfn.MAXIFS($O$6:$O$4005,$B$6:$B$4005,B837,$N$6:$N$4005,"N"),0),$P$6:$P$4005,0)),"(tanpa lawan)"))</f>
        <v/>
      </c>
      <c r="R837" s="44"/>
      <c r="S837" s="9" t="str">
        <f aca="false">IF(N837&lt;&gt;"Y","",IF(R837&lt;&gt;"",R837,IF(Q837="(tanpa lawan)","Transfer antar rekening",IFERROR(INDEX(I_COA!$F$6:$F$265,MATCH(Q837,I_COA!$A$6:$A$265,0)),"?"))))</f>
        <v/>
      </c>
    </row>
    <row r="838" customFormat="false" ht="15" hidden="false" customHeight="false" outlineLevel="0" collapsed="false">
      <c r="A838" s="37" t="n">
        <v>46247</v>
      </c>
      <c r="B838" s="44" t="s">
        <v>1278</v>
      </c>
      <c r="C838" s="44" t="s">
        <v>617</v>
      </c>
      <c r="D838" s="44" t="n">
        <v>4101012</v>
      </c>
      <c r="E838" s="44" t="s">
        <v>619</v>
      </c>
      <c r="F838" s="44" t="s">
        <v>1279</v>
      </c>
      <c r="G838" s="42"/>
      <c r="H838" s="42" t="n">
        <v>1331000</v>
      </c>
      <c r="I838" s="44" t="s">
        <v>1269</v>
      </c>
      <c r="J838" s="11" t="n">
        <f aca="false">IF(D838="","",N(G838)-N(H838))</f>
        <v>-1331000</v>
      </c>
      <c r="K838" s="34" t="str">
        <f aca="false">IF(D838="","",IFERROR(INDEX(I_COA!$C$6:$C$265,MATCH(D838,I_COA!$A$6:$A$265,0)),"AKUN BARU"))</f>
        <v>LabaRugi</v>
      </c>
      <c r="L838" s="34" t="str">
        <f aca="false">IF(K838="LabaRugi",INDEX(I_COA!$D$6:$D$265,MATCH(D838,I_COA!$A$6:$A$265,0)),"")</f>
        <v>Revenue - Trading</v>
      </c>
      <c r="M838" s="34" t="str">
        <f aca="false">IF(K838="Neraca",INDEX(I_COA!$E$6:$E$265,MATCH(D838,I_COA!$A$6:$A$265,0)),"")</f>
        <v/>
      </c>
      <c r="N838" s="34" t="str">
        <f aca="false">IF(D838="","",IFERROR(INDEX(I_COA!$G$6:$G$265,MATCH(D838,I_COA!$A$6:$A$265,0)),"N"))</f>
        <v>N</v>
      </c>
      <c r="O838" s="11" t="n">
        <f aca="false">IF(N838="N",ABS(J838),"")</f>
        <v>1331000</v>
      </c>
      <c r="P838" s="18" t="str">
        <f aca="false">IF(N838="N",B838&amp;"|"&amp;ROUND(O838,0),"")</f>
        <v>KGR26/0259|1331000</v>
      </c>
      <c r="Q838" s="18" t="str">
        <f aca="false">IF(N838&lt;&gt;"Y","",IFERROR(INDEX($D$6:$D$4005,MATCH(B838&amp;"|"&amp;ROUND(_xlfn.MAXIFS($O$6:$O$4005,$B$6:$B$4005,B838,$N$6:$N$4005,"N"),0),$P$6:$P$4005,0)),"(tanpa lawan)"))</f>
        <v/>
      </c>
      <c r="R838" s="44"/>
      <c r="S838" s="9" t="str">
        <f aca="false">IF(N838&lt;&gt;"Y","",IF(R838&lt;&gt;"",R838,IF(Q838="(tanpa lawan)","Transfer antar rekening",IFERROR(INDEX(I_COA!$F$6:$F$265,MATCH(Q838,I_COA!$A$6:$A$265,0)),"?"))))</f>
        <v/>
      </c>
    </row>
    <row r="839" customFormat="false" ht="15" hidden="false" customHeight="false" outlineLevel="0" collapsed="false">
      <c r="A839" s="37" t="n">
        <v>46247</v>
      </c>
      <c r="B839" s="44" t="s">
        <v>1278</v>
      </c>
      <c r="C839" s="44" t="s">
        <v>617</v>
      </c>
      <c r="D839" s="44" t="n">
        <v>5100011</v>
      </c>
      <c r="E839" s="44" t="s">
        <v>166</v>
      </c>
      <c r="F839" s="44" t="s">
        <v>1279</v>
      </c>
      <c r="G839" s="42" t="n">
        <v>1079465.22</v>
      </c>
      <c r="H839" s="42"/>
      <c r="I839" s="44" t="s">
        <v>1269</v>
      </c>
      <c r="J839" s="11" t="n">
        <f aca="false">IF(D839="","",N(G839)-N(H839))</f>
        <v>1079465.22</v>
      </c>
      <c r="K839" s="34" t="str">
        <f aca="false">IF(D839="","",IFERROR(INDEX(I_COA!$C$6:$C$265,MATCH(D839,I_COA!$A$6:$A$265,0)),"AKUN BARU"))</f>
        <v>LabaRugi</v>
      </c>
      <c r="L839" s="34" t="str">
        <f aca="false">IF(K839="LabaRugi",INDEX(I_COA!$D$6:$D$265,MATCH(D839,I_COA!$A$6:$A$265,0)),"")</f>
        <v>COGS - Trading</v>
      </c>
      <c r="M839" s="34" t="str">
        <f aca="false">IF(K839="Neraca",INDEX(I_COA!$E$6:$E$265,MATCH(D839,I_COA!$A$6:$A$265,0)),"")</f>
        <v/>
      </c>
      <c r="N839" s="34" t="str">
        <f aca="false">IF(D839="","",IFERROR(INDEX(I_COA!$G$6:$G$265,MATCH(D839,I_COA!$A$6:$A$265,0)),"N"))</f>
        <v>N</v>
      </c>
      <c r="O839" s="11" t="n">
        <f aca="false">IF(N839="N",ABS(J839),"")</f>
        <v>1079465.22</v>
      </c>
      <c r="P839" s="18" t="str">
        <f aca="false">IF(N839="N",B839&amp;"|"&amp;ROUND(O839,0),"")</f>
        <v>KGR26/0259|1079465</v>
      </c>
      <c r="Q839" s="18" t="str">
        <f aca="false">IF(N839&lt;&gt;"Y","",IFERROR(INDEX($D$6:$D$4005,MATCH(B839&amp;"|"&amp;ROUND(_xlfn.MAXIFS($O$6:$O$4005,$B$6:$B$4005,B839,$N$6:$N$4005,"N"),0),$P$6:$P$4005,0)),"(tanpa lawan)"))</f>
        <v/>
      </c>
      <c r="R839" s="44"/>
      <c r="S839" s="9" t="str">
        <f aca="false">IF(N839&lt;&gt;"Y","",IF(R839&lt;&gt;"",R839,IF(Q839="(tanpa lawan)","Transfer antar rekening",IFERROR(INDEX(I_COA!$F$6:$F$265,MATCH(Q839,I_COA!$A$6:$A$265,0)),"?"))))</f>
        <v/>
      </c>
    </row>
    <row r="840" customFormat="false" ht="15" hidden="false" customHeight="false" outlineLevel="0" collapsed="false">
      <c r="A840" s="37" t="n">
        <v>46247</v>
      </c>
      <c r="B840" s="44" t="s">
        <v>1278</v>
      </c>
      <c r="C840" s="44" t="s">
        <v>617</v>
      </c>
      <c r="D840" s="44" t="n">
        <v>1104002</v>
      </c>
      <c r="E840" s="44" t="s">
        <v>601</v>
      </c>
      <c r="F840" s="44" t="s">
        <v>1279</v>
      </c>
      <c r="G840" s="42"/>
      <c r="H840" s="42" t="n">
        <v>1079465.22</v>
      </c>
      <c r="I840" s="44" t="s">
        <v>1269</v>
      </c>
      <c r="J840" s="11" t="n">
        <f aca="false">IF(D840="","",N(G840)-N(H840))</f>
        <v>-1079465.22</v>
      </c>
      <c r="K840" s="34" t="str">
        <f aca="false">IF(D840="","",IFERROR(INDEX(I_COA!$C$6:$C$265,MATCH(D840,I_COA!$A$6:$A$265,0)),"AKUN BARU"))</f>
        <v>Neraca</v>
      </c>
      <c r="L840" s="34" t="str">
        <f aca="false">IF(K840="LabaRugi",INDEX(I_COA!$D$6:$D$265,MATCH(D840,I_COA!$A$6:$A$265,0)),"")</f>
        <v/>
      </c>
      <c r="M840" s="34" t="str">
        <f aca="false">IF(K840="Neraca",INDEX(I_COA!$E$6:$E$265,MATCH(D840,I_COA!$A$6:$A$265,0)),"")</f>
        <v>Inventory - Product</v>
      </c>
      <c r="N840" s="34" t="str">
        <f aca="false">IF(D840="","",IFERROR(INDEX(I_COA!$G$6:$G$265,MATCH(D840,I_COA!$A$6:$A$265,0)),"N"))</f>
        <v>N</v>
      </c>
      <c r="O840" s="11" t="n">
        <f aca="false">IF(N840="N",ABS(J840),"")</f>
        <v>1079465.22</v>
      </c>
      <c r="P840" s="18" t="str">
        <f aca="false">IF(N840="N",B840&amp;"|"&amp;ROUND(O840,0),"")</f>
        <v>KGR26/0259|1079465</v>
      </c>
      <c r="Q840" s="18" t="str">
        <f aca="false">IF(N840&lt;&gt;"Y","",IFERROR(INDEX($D$6:$D$4005,MATCH(B840&amp;"|"&amp;ROUND(_xlfn.MAXIFS($O$6:$O$4005,$B$6:$B$4005,B840,$N$6:$N$4005,"N"),0),$P$6:$P$4005,0)),"(tanpa lawan)"))</f>
        <v/>
      </c>
      <c r="R840" s="44"/>
      <c r="S840" s="9" t="str">
        <f aca="false">IF(N840&lt;&gt;"Y","",IF(R840&lt;&gt;"",R840,IF(Q840="(tanpa lawan)","Transfer antar rekening",IFERROR(INDEX(I_COA!$F$6:$F$265,MATCH(Q840,I_COA!$A$6:$A$265,0)),"?"))))</f>
        <v/>
      </c>
    </row>
    <row r="841" customFormat="false" ht="15" hidden="false" customHeight="false" outlineLevel="0" collapsed="false">
      <c r="A841" s="37" t="n">
        <v>46247</v>
      </c>
      <c r="B841" s="44" t="s">
        <v>1280</v>
      </c>
      <c r="C841" s="44" t="s">
        <v>617</v>
      </c>
      <c r="D841" s="44" t="n">
        <v>1103101</v>
      </c>
      <c r="E841" s="44" t="s">
        <v>589</v>
      </c>
      <c r="F841" s="44" t="s">
        <v>1281</v>
      </c>
      <c r="G841" s="42" t="n">
        <v>14930870</v>
      </c>
      <c r="H841" s="42"/>
      <c r="I841" s="44" t="s">
        <v>437</v>
      </c>
      <c r="J841" s="11" t="n">
        <f aca="false">IF(D841="","",N(G841)-N(H841))</f>
        <v>14930870</v>
      </c>
      <c r="K841" s="34" t="str">
        <f aca="false">IF(D841="","",IFERROR(INDEX(I_COA!$C$6:$C$265,MATCH(D841,I_COA!$A$6:$A$265,0)),"AKUN BARU"))</f>
        <v>Neraca</v>
      </c>
      <c r="L841" s="34" t="str">
        <f aca="false">IF(K841="LabaRugi",INDEX(I_COA!$D$6:$D$265,MATCH(D841,I_COA!$A$6:$A$265,0)),"")</f>
        <v/>
      </c>
      <c r="M841" s="34" t="str">
        <f aca="false">IF(K841="Neraca",INDEX(I_COA!$E$6:$E$265,MATCH(D841,I_COA!$A$6:$A$265,0)),"")</f>
        <v>Trade Receivables - Third Parties</v>
      </c>
      <c r="N841" s="34" t="str">
        <f aca="false">IF(D841="","",IFERROR(INDEX(I_COA!$G$6:$G$265,MATCH(D841,I_COA!$A$6:$A$265,0)),"N"))</f>
        <v>N</v>
      </c>
      <c r="O841" s="11" t="n">
        <f aca="false">IF(N841="N",ABS(J841),"")</f>
        <v>14930870</v>
      </c>
      <c r="P841" s="18" t="str">
        <f aca="false">IF(N841="N",B841&amp;"|"&amp;ROUND(O841,0),"")</f>
        <v>KGR26/0260|14930870</v>
      </c>
      <c r="Q841" s="18" t="str">
        <f aca="false">IF(N841&lt;&gt;"Y","",IFERROR(INDEX($D$6:$D$4005,MATCH(B841&amp;"|"&amp;ROUND(_xlfn.MAXIFS($O$6:$O$4005,$B$6:$B$4005,B841,$N$6:$N$4005,"N"),0),$P$6:$P$4005,0)),"(tanpa lawan)"))</f>
        <v/>
      </c>
      <c r="R841" s="44"/>
      <c r="S841" s="9" t="str">
        <f aca="false">IF(N841&lt;&gt;"Y","",IF(R841&lt;&gt;"",R841,IF(Q841="(tanpa lawan)","Transfer antar rekening",IFERROR(INDEX(I_COA!$F$6:$F$265,MATCH(Q841,I_COA!$A$6:$A$265,0)),"?"))))</f>
        <v/>
      </c>
    </row>
    <row r="842" customFormat="false" ht="15" hidden="false" customHeight="false" outlineLevel="0" collapsed="false">
      <c r="A842" s="37" t="n">
        <v>46247</v>
      </c>
      <c r="B842" s="44" t="s">
        <v>1280</v>
      </c>
      <c r="C842" s="44" t="s">
        <v>617</v>
      </c>
      <c r="D842" s="44" t="n">
        <v>4101012</v>
      </c>
      <c r="E842" s="44" t="s">
        <v>619</v>
      </c>
      <c r="F842" s="44" t="s">
        <v>1281</v>
      </c>
      <c r="G842" s="42"/>
      <c r="H842" s="42" t="n">
        <v>14930870</v>
      </c>
      <c r="I842" s="44" t="s">
        <v>437</v>
      </c>
      <c r="J842" s="11" t="n">
        <f aca="false">IF(D842="","",N(G842)-N(H842))</f>
        <v>-14930870</v>
      </c>
      <c r="K842" s="34" t="str">
        <f aca="false">IF(D842="","",IFERROR(INDEX(I_COA!$C$6:$C$265,MATCH(D842,I_COA!$A$6:$A$265,0)),"AKUN BARU"))</f>
        <v>LabaRugi</v>
      </c>
      <c r="L842" s="34" t="str">
        <f aca="false">IF(K842="LabaRugi",INDEX(I_COA!$D$6:$D$265,MATCH(D842,I_COA!$A$6:$A$265,0)),"")</f>
        <v>Revenue - Trading</v>
      </c>
      <c r="M842" s="34" t="str">
        <f aca="false">IF(K842="Neraca",INDEX(I_COA!$E$6:$E$265,MATCH(D842,I_COA!$A$6:$A$265,0)),"")</f>
        <v/>
      </c>
      <c r="N842" s="34" t="str">
        <f aca="false">IF(D842="","",IFERROR(INDEX(I_COA!$G$6:$G$265,MATCH(D842,I_COA!$A$6:$A$265,0)),"N"))</f>
        <v>N</v>
      </c>
      <c r="O842" s="11" t="n">
        <f aca="false">IF(N842="N",ABS(J842),"")</f>
        <v>14930870</v>
      </c>
      <c r="P842" s="18" t="str">
        <f aca="false">IF(N842="N",B842&amp;"|"&amp;ROUND(O842,0),"")</f>
        <v>KGR26/0260|14930870</v>
      </c>
      <c r="Q842" s="18" t="str">
        <f aca="false">IF(N842&lt;&gt;"Y","",IFERROR(INDEX($D$6:$D$4005,MATCH(B842&amp;"|"&amp;ROUND(_xlfn.MAXIFS($O$6:$O$4005,$B$6:$B$4005,B842,$N$6:$N$4005,"N"),0),$P$6:$P$4005,0)),"(tanpa lawan)"))</f>
        <v/>
      </c>
      <c r="R842" s="44"/>
      <c r="S842" s="9" t="str">
        <f aca="false">IF(N842&lt;&gt;"Y","",IF(R842&lt;&gt;"",R842,IF(Q842="(tanpa lawan)","Transfer antar rekening",IFERROR(INDEX(I_COA!$F$6:$F$265,MATCH(Q842,I_COA!$A$6:$A$265,0)),"?"))))</f>
        <v/>
      </c>
    </row>
    <row r="843" customFormat="false" ht="15" hidden="false" customHeight="false" outlineLevel="0" collapsed="false">
      <c r="A843" s="37" t="n">
        <v>46247</v>
      </c>
      <c r="B843" s="44" t="s">
        <v>1280</v>
      </c>
      <c r="C843" s="44" t="s">
        <v>617</v>
      </c>
      <c r="D843" s="44" t="n">
        <v>5100011</v>
      </c>
      <c r="E843" s="44" t="s">
        <v>166</v>
      </c>
      <c r="F843" s="44" t="s">
        <v>1281</v>
      </c>
      <c r="G843" s="42" t="n">
        <v>14569808.16</v>
      </c>
      <c r="H843" s="42"/>
      <c r="I843" s="44" t="s">
        <v>437</v>
      </c>
      <c r="J843" s="11" t="n">
        <f aca="false">IF(D843="","",N(G843)-N(H843))</f>
        <v>14569808.16</v>
      </c>
      <c r="K843" s="34" t="str">
        <f aca="false">IF(D843="","",IFERROR(INDEX(I_COA!$C$6:$C$265,MATCH(D843,I_COA!$A$6:$A$265,0)),"AKUN BARU"))</f>
        <v>LabaRugi</v>
      </c>
      <c r="L843" s="34" t="str">
        <f aca="false">IF(K843="LabaRugi",INDEX(I_COA!$D$6:$D$265,MATCH(D843,I_COA!$A$6:$A$265,0)),"")</f>
        <v>COGS - Trading</v>
      </c>
      <c r="M843" s="34" t="str">
        <f aca="false">IF(K843="Neraca",INDEX(I_COA!$E$6:$E$265,MATCH(D843,I_COA!$A$6:$A$265,0)),"")</f>
        <v/>
      </c>
      <c r="N843" s="34" t="str">
        <f aca="false">IF(D843="","",IFERROR(INDEX(I_COA!$G$6:$G$265,MATCH(D843,I_COA!$A$6:$A$265,0)),"N"))</f>
        <v>N</v>
      </c>
      <c r="O843" s="11" t="n">
        <f aca="false">IF(N843="N",ABS(J843),"")</f>
        <v>14569808.16</v>
      </c>
      <c r="P843" s="18" t="str">
        <f aca="false">IF(N843="N",B843&amp;"|"&amp;ROUND(O843,0),"")</f>
        <v>KGR26/0260|14569808</v>
      </c>
      <c r="Q843" s="18" t="str">
        <f aca="false">IF(N843&lt;&gt;"Y","",IFERROR(INDEX($D$6:$D$4005,MATCH(B843&amp;"|"&amp;ROUND(_xlfn.MAXIFS($O$6:$O$4005,$B$6:$B$4005,B843,$N$6:$N$4005,"N"),0),$P$6:$P$4005,0)),"(tanpa lawan)"))</f>
        <v/>
      </c>
      <c r="R843" s="44"/>
      <c r="S843" s="9" t="str">
        <f aca="false">IF(N843&lt;&gt;"Y","",IF(R843&lt;&gt;"",R843,IF(Q843="(tanpa lawan)","Transfer antar rekening",IFERROR(INDEX(I_COA!$F$6:$F$265,MATCH(Q843,I_COA!$A$6:$A$265,0)),"?"))))</f>
        <v/>
      </c>
    </row>
    <row r="844" customFormat="false" ht="15" hidden="false" customHeight="false" outlineLevel="0" collapsed="false">
      <c r="A844" s="37" t="n">
        <v>46247</v>
      </c>
      <c r="B844" s="44" t="s">
        <v>1280</v>
      </c>
      <c r="C844" s="44" t="s">
        <v>617</v>
      </c>
      <c r="D844" s="44" t="n">
        <v>1104002</v>
      </c>
      <c r="E844" s="44" t="s">
        <v>601</v>
      </c>
      <c r="F844" s="44" t="s">
        <v>1281</v>
      </c>
      <c r="G844" s="42"/>
      <c r="H844" s="42" t="n">
        <v>14569808.16</v>
      </c>
      <c r="I844" s="44" t="s">
        <v>437</v>
      </c>
      <c r="J844" s="11" t="n">
        <f aca="false">IF(D844="","",N(G844)-N(H844))</f>
        <v>-14569808.16</v>
      </c>
      <c r="K844" s="34" t="str">
        <f aca="false">IF(D844="","",IFERROR(INDEX(I_COA!$C$6:$C$265,MATCH(D844,I_COA!$A$6:$A$265,0)),"AKUN BARU"))</f>
        <v>Neraca</v>
      </c>
      <c r="L844" s="34" t="str">
        <f aca="false">IF(K844="LabaRugi",INDEX(I_COA!$D$6:$D$265,MATCH(D844,I_COA!$A$6:$A$265,0)),"")</f>
        <v/>
      </c>
      <c r="M844" s="34" t="str">
        <f aca="false">IF(K844="Neraca",INDEX(I_COA!$E$6:$E$265,MATCH(D844,I_COA!$A$6:$A$265,0)),"")</f>
        <v>Inventory - Product</v>
      </c>
      <c r="N844" s="34" t="str">
        <f aca="false">IF(D844="","",IFERROR(INDEX(I_COA!$G$6:$G$265,MATCH(D844,I_COA!$A$6:$A$265,0)),"N"))</f>
        <v>N</v>
      </c>
      <c r="O844" s="11" t="n">
        <f aca="false">IF(N844="N",ABS(J844),"")</f>
        <v>14569808.16</v>
      </c>
      <c r="P844" s="18" t="str">
        <f aca="false">IF(N844="N",B844&amp;"|"&amp;ROUND(O844,0),"")</f>
        <v>KGR26/0260|14569808</v>
      </c>
      <c r="Q844" s="18" t="str">
        <f aca="false">IF(N844&lt;&gt;"Y","",IFERROR(INDEX($D$6:$D$4005,MATCH(B844&amp;"|"&amp;ROUND(_xlfn.MAXIFS($O$6:$O$4005,$B$6:$B$4005,B844,$N$6:$N$4005,"N"),0),$P$6:$P$4005,0)),"(tanpa lawan)"))</f>
        <v/>
      </c>
      <c r="R844" s="44"/>
      <c r="S844" s="9" t="str">
        <f aca="false">IF(N844&lt;&gt;"Y","",IF(R844&lt;&gt;"",R844,IF(Q844="(tanpa lawan)","Transfer antar rekening",IFERROR(INDEX(I_COA!$F$6:$F$265,MATCH(Q844,I_COA!$A$6:$A$265,0)),"?"))))</f>
        <v/>
      </c>
    </row>
    <row r="845" customFormat="false" ht="15" hidden="false" customHeight="false" outlineLevel="0" collapsed="false">
      <c r="A845" s="37" t="n">
        <v>46247</v>
      </c>
      <c r="B845" s="44" t="s">
        <v>1282</v>
      </c>
      <c r="C845" s="44" t="s">
        <v>617</v>
      </c>
      <c r="D845" s="44" t="n">
        <v>1103101</v>
      </c>
      <c r="E845" s="44" t="s">
        <v>589</v>
      </c>
      <c r="F845" s="44" t="s">
        <v>1283</v>
      </c>
      <c r="G845" s="42" t="n">
        <v>56134050</v>
      </c>
      <c r="H845" s="42"/>
      <c r="I845" s="44" t="s">
        <v>841</v>
      </c>
      <c r="J845" s="11" t="n">
        <f aca="false">IF(D845="","",N(G845)-N(H845))</f>
        <v>56134050</v>
      </c>
      <c r="K845" s="34" t="str">
        <f aca="false">IF(D845="","",IFERROR(INDEX(I_COA!$C$6:$C$265,MATCH(D845,I_COA!$A$6:$A$265,0)),"AKUN BARU"))</f>
        <v>Neraca</v>
      </c>
      <c r="L845" s="34" t="str">
        <f aca="false">IF(K845="LabaRugi",INDEX(I_COA!$D$6:$D$265,MATCH(D845,I_COA!$A$6:$A$265,0)),"")</f>
        <v/>
      </c>
      <c r="M845" s="34" t="str">
        <f aca="false">IF(K845="Neraca",INDEX(I_COA!$E$6:$E$265,MATCH(D845,I_COA!$A$6:$A$265,0)),"")</f>
        <v>Trade Receivables - Third Parties</v>
      </c>
      <c r="N845" s="34" t="str">
        <f aca="false">IF(D845="","",IFERROR(INDEX(I_COA!$G$6:$G$265,MATCH(D845,I_COA!$A$6:$A$265,0)),"N"))</f>
        <v>N</v>
      </c>
      <c r="O845" s="11" t="n">
        <f aca="false">IF(N845="N",ABS(J845),"")</f>
        <v>56134050</v>
      </c>
      <c r="P845" s="18" t="str">
        <f aca="false">IF(N845="N",B845&amp;"|"&amp;ROUND(O845,0),"")</f>
        <v>KGR26/0261|56134050</v>
      </c>
      <c r="Q845" s="18" t="str">
        <f aca="false">IF(N845&lt;&gt;"Y","",IFERROR(INDEX($D$6:$D$4005,MATCH(B845&amp;"|"&amp;ROUND(_xlfn.MAXIFS($O$6:$O$4005,$B$6:$B$4005,B845,$N$6:$N$4005,"N"),0),$P$6:$P$4005,0)),"(tanpa lawan)"))</f>
        <v/>
      </c>
      <c r="R845" s="44"/>
      <c r="S845" s="9" t="str">
        <f aca="false">IF(N845&lt;&gt;"Y","",IF(R845&lt;&gt;"",R845,IF(Q845="(tanpa lawan)","Transfer antar rekening",IFERROR(INDEX(I_COA!$F$6:$F$265,MATCH(Q845,I_COA!$A$6:$A$265,0)),"?"))))</f>
        <v/>
      </c>
    </row>
    <row r="846" customFormat="false" ht="15" hidden="false" customHeight="false" outlineLevel="0" collapsed="false">
      <c r="A846" s="37" t="n">
        <v>46247</v>
      </c>
      <c r="B846" s="44" t="s">
        <v>1282</v>
      </c>
      <c r="C846" s="44" t="s">
        <v>617</v>
      </c>
      <c r="D846" s="44" t="n">
        <v>4101006</v>
      </c>
      <c r="E846" s="44" t="s">
        <v>626</v>
      </c>
      <c r="F846" s="44" t="s">
        <v>1283</v>
      </c>
      <c r="G846" s="42"/>
      <c r="H846" s="42" t="n">
        <v>6511550</v>
      </c>
      <c r="I846" s="44" t="s">
        <v>841</v>
      </c>
      <c r="J846" s="11" t="n">
        <f aca="false">IF(D846="","",N(G846)-N(H846))</f>
        <v>-6511550</v>
      </c>
      <c r="K846" s="34" t="str">
        <f aca="false">IF(D846="","",IFERROR(INDEX(I_COA!$C$6:$C$265,MATCH(D846,I_COA!$A$6:$A$265,0)),"AKUN BARU"))</f>
        <v>LabaRugi</v>
      </c>
      <c r="L846" s="34" t="str">
        <f aca="false">IF(K846="LabaRugi",INDEX(I_COA!$D$6:$D$265,MATCH(D846,I_COA!$A$6:$A$265,0)),"")</f>
        <v>Revenue - LB Main Product</v>
      </c>
      <c r="M846" s="34" t="str">
        <f aca="false">IF(K846="Neraca",INDEX(I_COA!$E$6:$E$265,MATCH(D846,I_COA!$A$6:$A$265,0)),"")</f>
        <v/>
      </c>
      <c r="N846" s="34" t="str">
        <f aca="false">IF(D846="","",IFERROR(INDEX(I_COA!$G$6:$G$265,MATCH(D846,I_COA!$A$6:$A$265,0)),"N"))</f>
        <v>N</v>
      </c>
      <c r="O846" s="11" t="n">
        <f aca="false">IF(N846="N",ABS(J846),"")</f>
        <v>6511550</v>
      </c>
      <c r="P846" s="18" t="str">
        <f aca="false">IF(N846="N",B846&amp;"|"&amp;ROUND(O846,0),"")</f>
        <v>KGR26/0261|6511550</v>
      </c>
      <c r="Q846" s="18" t="str">
        <f aca="false">IF(N846&lt;&gt;"Y","",IFERROR(INDEX($D$6:$D$4005,MATCH(B846&amp;"|"&amp;ROUND(_xlfn.MAXIFS($O$6:$O$4005,$B$6:$B$4005,B846,$N$6:$N$4005,"N"),0),$P$6:$P$4005,0)),"(tanpa lawan)"))</f>
        <v/>
      </c>
      <c r="R846" s="44"/>
      <c r="S846" s="9" t="str">
        <f aca="false">IF(N846&lt;&gt;"Y","",IF(R846&lt;&gt;"",R846,IF(Q846="(tanpa lawan)","Transfer antar rekening",IFERROR(INDEX(I_COA!$F$6:$F$265,MATCH(Q846,I_COA!$A$6:$A$265,0)),"?"))))</f>
        <v/>
      </c>
    </row>
    <row r="847" customFormat="false" ht="15" hidden="false" customHeight="false" outlineLevel="0" collapsed="false">
      <c r="A847" s="37" t="n">
        <v>46247</v>
      </c>
      <c r="B847" s="44" t="s">
        <v>1282</v>
      </c>
      <c r="C847" s="44" t="s">
        <v>617</v>
      </c>
      <c r="D847" s="44" t="n">
        <v>5100004</v>
      </c>
      <c r="E847" s="44" t="s">
        <v>627</v>
      </c>
      <c r="F847" s="44" t="s">
        <v>1283</v>
      </c>
      <c r="G847" s="42" t="n">
        <v>6226100.04</v>
      </c>
      <c r="H847" s="42"/>
      <c r="I847" s="44" t="s">
        <v>841</v>
      </c>
      <c r="J847" s="11" t="n">
        <f aca="false">IF(D847="","",N(G847)-N(H847))</f>
        <v>6226100.04</v>
      </c>
      <c r="K847" s="34" t="str">
        <f aca="false">IF(D847="","",IFERROR(INDEX(I_COA!$C$6:$C$265,MATCH(D847,I_COA!$A$6:$A$265,0)),"AKUN BARU"))</f>
        <v>LabaRugi</v>
      </c>
      <c r="L847" s="34" t="str">
        <f aca="false">IF(K847="LabaRugi",INDEX(I_COA!$D$6:$D$265,MATCH(D847,I_COA!$A$6:$A$265,0)),"")</f>
        <v>COGS - Live Bird</v>
      </c>
      <c r="M847" s="34" t="str">
        <f aca="false">IF(K847="Neraca",INDEX(I_COA!$E$6:$E$265,MATCH(D847,I_COA!$A$6:$A$265,0)),"")</f>
        <v/>
      </c>
      <c r="N847" s="34" t="str">
        <f aca="false">IF(D847="","",IFERROR(INDEX(I_COA!$G$6:$G$265,MATCH(D847,I_COA!$A$6:$A$265,0)),"N"))</f>
        <v>N</v>
      </c>
      <c r="O847" s="11" t="n">
        <f aca="false">IF(N847="N",ABS(J847),"")</f>
        <v>6226100.04</v>
      </c>
      <c r="P847" s="18" t="str">
        <f aca="false">IF(N847="N",B847&amp;"|"&amp;ROUND(O847,0),"")</f>
        <v>KGR26/0261|6226100</v>
      </c>
      <c r="Q847" s="18" t="str">
        <f aca="false">IF(N847&lt;&gt;"Y","",IFERROR(INDEX($D$6:$D$4005,MATCH(B847&amp;"|"&amp;ROUND(_xlfn.MAXIFS($O$6:$O$4005,$B$6:$B$4005,B847,$N$6:$N$4005,"N"),0),$P$6:$P$4005,0)),"(tanpa lawan)"))</f>
        <v/>
      </c>
      <c r="R847" s="44"/>
      <c r="S847" s="9" t="str">
        <f aca="false">IF(N847&lt;&gt;"Y","",IF(R847&lt;&gt;"",R847,IF(Q847="(tanpa lawan)","Transfer antar rekening",IFERROR(INDEX(I_COA!$F$6:$F$265,MATCH(Q847,I_COA!$A$6:$A$265,0)),"?"))))</f>
        <v/>
      </c>
    </row>
    <row r="848" customFormat="false" ht="15" hidden="false" customHeight="false" outlineLevel="0" collapsed="false">
      <c r="A848" s="37" t="n">
        <v>46247</v>
      </c>
      <c r="B848" s="44" t="s">
        <v>1282</v>
      </c>
      <c r="C848" s="44" t="s">
        <v>617</v>
      </c>
      <c r="D848" s="44" t="n">
        <v>1104002</v>
      </c>
      <c r="E848" s="44" t="s">
        <v>601</v>
      </c>
      <c r="F848" s="44" t="s">
        <v>1283</v>
      </c>
      <c r="G848" s="42"/>
      <c r="H848" s="42" t="n">
        <v>52350110.02</v>
      </c>
      <c r="I848" s="44" t="s">
        <v>841</v>
      </c>
      <c r="J848" s="11" t="n">
        <f aca="false">IF(D848="","",N(G848)-N(H848))</f>
        <v>-52350110.02</v>
      </c>
      <c r="K848" s="34" t="str">
        <f aca="false">IF(D848="","",IFERROR(INDEX(I_COA!$C$6:$C$265,MATCH(D848,I_COA!$A$6:$A$265,0)),"AKUN BARU"))</f>
        <v>Neraca</v>
      </c>
      <c r="L848" s="34" t="str">
        <f aca="false">IF(K848="LabaRugi",INDEX(I_COA!$D$6:$D$265,MATCH(D848,I_COA!$A$6:$A$265,0)),"")</f>
        <v/>
      </c>
      <c r="M848" s="34" t="str">
        <f aca="false">IF(K848="Neraca",INDEX(I_COA!$E$6:$E$265,MATCH(D848,I_COA!$A$6:$A$265,0)),"")</f>
        <v>Inventory - Product</v>
      </c>
      <c r="N848" s="34" t="str">
        <f aca="false">IF(D848="","",IFERROR(INDEX(I_COA!$G$6:$G$265,MATCH(D848,I_COA!$A$6:$A$265,0)),"N"))</f>
        <v>N</v>
      </c>
      <c r="O848" s="11" t="n">
        <f aca="false">IF(N848="N",ABS(J848),"")</f>
        <v>52350110.02</v>
      </c>
      <c r="P848" s="18" t="str">
        <f aca="false">IF(N848="N",B848&amp;"|"&amp;ROUND(O848,0),"")</f>
        <v>KGR26/0261|52350110</v>
      </c>
      <c r="Q848" s="18" t="str">
        <f aca="false">IF(N848&lt;&gt;"Y","",IFERROR(INDEX($D$6:$D$4005,MATCH(B848&amp;"|"&amp;ROUND(_xlfn.MAXIFS($O$6:$O$4005,$B$6:$B$4005,B848,$N$6:$N$4005,"N"),0),$P$6:$P$4005,0)),"(tanpa lawan)"))</f>
        <v/>
      </c>
      <c r="R848" s="44"/>
      <c r="S848" s="9" t="str">
        <f aca="false">IF(N848&lt;&gt;"Y","",IF(R848&lt;&gt;"",R848,IF(Q848="(tanpa lawan)","Transfer antar rekening",IFERROR(INDEX(I_COA!$F$6:$F$265,MATCH(Q848,I_COA!$A$6:$A$265,0)),"?"))))</f>
        <v/>
      </c>
    </row>
    <row r="849" customFormat="false" ht="15" hidden="false" customHeight="false" outlineLevel="0" collapsed="false">
      <c r="A849" s="37" t="n">
        <v>46247</v>
      </c>
      <c r="B849" s="44" t="s">
        <v>1282</v>
      </c>
      <c r="C849" s="44" t="s">
        <v>617</v>
      </c>
      <c r="D849" s="44" t="n">
        <v>4101012</v>
      </c>
      <c r="E849" s="44" t="s">
        <v>619</v>
      </c>
      <c r="F849" s="44" t="s">
        <v>1283</v>
      </c>
      <c r="G849" s="42"/>
      <c r="H849" s="42" t="n">
        <v>48929500</v>
      </c>
      <c r="I849" s="44" t="s">
        <v>841</v>
      </c>
      <c r="J849" s="11" t="n">
        <f aca="false">IF(D849="","",N(G849)-N(H849))</f>
        <v>-48929500</v>
      </c>
      <c r="K849" s="34" t="str">
        <f aca="false">IF(D849="","",IFERROR(INDEX(I_COA!$C$6:$C$265,MATCH(D849,I_COA!$A$6:$A$265,0)),"AKUN BARU"))</f>
        <v>LabaRugi</v>
      </c>
      <c r="L849" s="34" t="str">
        <f aca="false">IF(K849="LabaRugi",INDEX(I_COA!$D$6:$D$265,MATCH(D849,I_COA!$A$6:$A$265,0)),"")</f>
        <v>Revenue - Trading</v>
      </c>
      <c r="M849" s="34" t="str">
        <f aca="false">IF(K849="Neraca",INDEX(I_COA!$E$6:$E$265,MATCH(D849,I_COA!$A$6:$A$265,0)),"")</f>
        <v/>
      </c>
      <c r="N849" s="34" t="str">
        <f aca="false">IF(D849="","",IFERROR(INDEX(I_COA!$G$6:$G$265,MATCH(D849,I_COA!$A$6:$A$265,0)),"N"))</f>
        <v>N</v>
      </c>
      <c r="O849" s="11" t="n">
        <f aca="false">IF(N849="N",ABS(J849),"")</f>
        <v>48929500</v>
      </c>
      <c r="P849" s="18" t="str">
        <f aca="false">IF(N849="N",B849&amp;"|"&amp;ROUND(O849,0),"")</f>
        <v>KGR26/0261|48929500</v>
      </c>
      <c r="Q849" s="18" t="str">
        <f aca="false">IF(N849&lt;&gt;"Y","",IFERROR(INDEX($D$6:$D$4005,MATCH(B849&amp;"|"&amp;ROUND(_xlfn.MAXIFS($O$6:$O$4005,$B$6:$B$4005,B849,$N$6:$N$4005,"N"),0),$P$6:$P$4005,0)),"(tanpa lawan)"))</f>
        <v/>
      </c>
      <c r="R849" s="44"/>
      <c r="S849" s="9" t="str">
        <f aca="false">IF(N849&lt;&gt;"Y","",IF(R849&lt;&gt;"",R849,IF(Q849="(tanpa lawan)","Transfer antar rekening",IFERROR(INDEX(I_COA!$F$6:$F$265,MATCH(Q849,I_COA!$A$6:$A$265,0)),"?"))))</f>
        <v/>
      </c>
    </row>
    <row r="850" customFormat="false" ht="15" hidden="false" customHeight="false" outlineLevel="0" collapsed="false">
      <c r="A850" s="37" t="n">
        <v>46247</v>
      </c>
      <c r="B850" s="44" t="s">
        <v>1282</v>
      </c>
      <c r="C850" s="44" t="s">
        <v>617</v>
      </c>
      <c r="D850" s="44" t="n">
        <v>5100011</v>
      </c>
      <c r="E850" s="44" t="s">
        <v>166</v>
      </c>
      <c r="F850" s="44" t="s">
        <v>1283</v>
      </c>
      <c r="G850" s="42" t="n">
        <v>46124009.98</v>
      </c>
      <c r="H850" s="42"/>
      <c r="I850" s="44" t="s">
        <v>841</v>
      </c>
      <c r="J850" s="11" t="n">
        <f aca="false">IF(D850="","",N(G850)-N(H850))</f>
        <v>46124009.98</v>
      </c>
      <c r="K850" s="34" t="str">
        <f aca="false">IF(D850="","",IFERROR(INDEX(I_COA!$C$6:$C$265,MATCH(D850,I_COA!$A$6:$A$265,0)),"AKUN BARU"))</f>
        <v>LabaRugi</v>
      </c>
      <c r="L850" s="34" t="str">
        <f aca="false">IF(K850="LabaRugi",INDEX(I_COA!$D$6:$D$265,MATCH(D850,I_COA!$A$6:$A$265,0)),"")</f>
        <v>COGS - Trading</v>
      </c>
      <c r="M850" s="34" t="str">
        <f aca="false">IF(K850="Neraca",INDEX(I_COA!$E$6:$E$265,MATCH(D850,I_COA!$A$6:$A$265,0)),"")</f>
        <v/>
      </c>
      <c r="N850" s="34" t="str">
        <f aca="false">IF(D850="","",IFERROR(INDEX(I_COA!$G$6:$G$265,MATCH(D850,I_COA!$A$6:$A$265,0)),"N"))</f>
        <v>N</v>
      </c>
      <c r="O850" s="11" t="n">
        <f aca="false">IF(N850="N",ABS(J850),"")</f>
        <v>46124009.98</v>
      </c>
      <c r="P850" s="18" t="str">
        <f aca="false">IF(N850="N",B850&amp;"|"&amp;ROUND(O850,0),"")</f>
        <v>KGR26/0261|46124010</v>
      </c>
      <c r="Q850" s="18" t="str">
        <f aca="false">IF(N850&lt;&gt;"Y","",IFERROR(INDEX($D$6:$D$4005,MATCH(B850&amp;"|"&amp;ROUND(_xlfn.MAXIFS($O$6:$O$4005,$B$6:$B$4005,B850,$N$6:$N$4005,"N"),0),$P$6:$P$4005,0)),"(tanpa lawan)"))</f>
        <v/>
      </c>
      <c r="R850" s="44"/>
      <c r="S850" s="9" t="str">
        <f aca="false">IF(N850&lt;&gt;"Y","",IF(R850&lt;&gt;"",R850,IF(Q850="(tanpa lawan)","Transfer antar rekening",IFERROR(INDEX(I_COA!$F$6:$F$265,MATCH(Q850,I_COA!$A$6:$A$265,0)),"?"))))</f>
        <v/>
      </c>
    </row>
    <row r="851" customFormat="false" ht="15" hidden="false" customHeight="false" outlineLevel="0" collapsed="false">
      <c r="A851" s="37" t="n">
        <v>46247</v>
      </c>
      <c r="B851" s="44" t="s">
        <v>1282</v>
      </c>
      <c r="C851" s="44" t="s">
        <v>617</v>
      </c>
      <c r="D851" s="44" t="n">
        <v>4101010</v>
      </c>
      <c r="E851" s="44" t="s">
        <v>1284</v>
      </c>
      <c r="F851" s="44" t="s">
        <v>1283</v>
      </c>
      <c r="G851" s="42"/>
      <c r="H851" s="42" t="n">
        <v>693000</v>
      </c>
      <c r="I851" s="44" t="s">
        <v>841</v>
      </c>
      <c r="J851" s="11" t="n">
        <f aca="false">IF(D851="","",N(G851)-N(H851))</f>
        <v>-693000</v>
      </c>
      <c r="K851" s="34" t="str">
        <f aca="false">IF(D851="","",IFERROR(INDEX(I_COA!$C$6:$C$265,MATCH(D851,I_COA!$A$6:$A$265,0)),"AKUN BARU"))</f>
        <v>LabaRugi</v>
      </c>
      <c r="L851" s="34" t="str">
        <f aca="false">IF(K851="LabaRugi",INDEX(I_COA!$D$6:$D$265,MATCH(D851,I_COA!$A$6:$A$265,0)),"")</f>
        <v>Revenue - LB Main Product</v>
      </c>
      <c r="M851" s="34" t="str">
        <f aca="false">IF(K851="Neraca",INDEX(I_COA!$E$6:$E$265,MATCH(D851,I_COA!$A$6:$A$265,0)),"")</f>
        <v/>
      </c>
      <c r="N851" s="34" t="str">
        <f aca="false">IF(D851="","",IFERROR(INDEX(I_COA!$G$6:$G$265,MATCH(D851,I_COA!$A$6:$A$265,0)),"N"))</f>
        <v>N</v>
      </c>
      <c r="O851" s="11" t="n">
        <f aca="false">IF(N851="N",ABS(J851),"")</f>
        <v>693000</v>
      </c>
      <c r="P851" s="18" t="str">
        <f aca="false">IF(N851="N",B851&amp;"|"&amp;ROUND(O851,0),"")</f>
        <v>KGR26/0261|693000</v>
      </c>
      <c r="Q851" s="18" t="str">
        <f aca="false">IF(N851&lt;&gt;"Y","",IFERROR(INDEX($D$6:$D$4005,MATCH(B851&amp;"|"&amp;ROUND(_xlfn.MAXIFS($O$6:$O$4005,$B$6:$B$4005,B851,$N$6:$N$4005,"N"),0),$P$6:$P$4005,0)),"(tanpa lawan)"))</f>
        <v/>
      </c>
      <c r="R851" s="44"/>
      <c r="S851" s="9" t="str">
        <f aca="false">IF(N851&lt;&gt;"Y","",IF(R851&lt;&gt;"",R851,IF(Q851="(tanpa lawan)","Transfer antar rekening",IFERROR(INDEX(I_COA!$F$6:$F$265,MATCH(Q851,I_COA!$A$6:$A$265,0)),"?"))))</f>
        <v/>
      </c>
    </row>
    <row r="852" customFormat="false" ht="15" hidden="false" customHeight="false" outlineLevel="0" collapsed="false">
      <c r="A852" s="37" t="n">
        <v>46247</v>
      </c>
      <c r="B852" s="44" t="s">
        <v>1285</v>
      </c>
      <c r="C852" s="44" t="s">
        <v>617</v>
      </c>
      <c r="D852" s="44" t="n">
        <v>1103101</v>
      </c>
      <c r="E852" s="44" t="s">
        <v>589</v>
      </c>
      <c r="F852" s="44" t="s">
        <v>1286</v>
      </c>
      <c r="G852" s="42" t="n">
        <v>77135100</v>
      </c>
      <c r="H852" s="42"/>
      <c r="I852" s="44" t="s">
        <v>774</v>
      </c>
      <c r="J852" s="11" t="n">
        <f aca="false">IF(D852="","",N(G852)-N(H852))</f>
        <v>77135100</v>
      </c>
      <c r="K852" s="34" t="str">
        <f aca="false">IF(D852="","",IFERROR(INDEX(I_COA!$C$6:$C$265,MATCH(D852,I_COA!$A$6:$A$265,0)),"AKUN BARU"))</f>
        <v>Neraca</v>
      </c>
      <c r="L852" s="34" t="str">
        <f aca="false">IF(K852="LabaRugi",INDEX(I_COA!$D$6:$D$265,MATCH(D852,I_COA!$A$6:$A$265,0)),"")</f>
        <v/>
      </c>
      <c r="M852" s="34" t="str">
        <f aca="false">IF(K852="Neraca",INDEX(I_COA!$E$6:$E$265,MATCH(D852,I_COA!$A$6:$A$265,0)),"")</f>
        <v>Trade Receivables - Third Parties</v>
      </c>
      <c r="N852" s="34" t="str">
        <f aca="false">IF(D852="","",IFERROR(INDEX(I_COA!$G$6:$G$265,MATCH(D852,I_COA!$A$6:$A$265,0)),"N"))</f>
        <v>N</v>
      </c>
      <c r="O852" s="11" t="n">
        <f aca="false">IF(N852="N",ABS(J852),"")</f>
        <v>77135100</v>
      </c>
      <c r="P852" s="18" t="str">
        <f aca="false">IF(N852="N",B852&amp;"|"&amp;ROUND(O852,0),"")</f>
        <v>KGR26/0262|77135100</v>
      </c>
      <c r="Q852" s="18" t="str">
        <f aca="false">IF(N852&lt;&gt;"Y","",IFERROR(INDEX($D$6:$D$4005,MATCH(B852&amp;"|"&amp;ROUND(_xlfn.MAXIFS($O$6:$O$4005,$B$6:$B$4005,B852,$N$6:$N$4005,"N"),0),$P$6:$P$4005,0)),"(tanpa lawan)"))</f>
        <v/>
      </c>
      <c r="R852" s="44"/>
      <c r="S852" s="9" t="str">
        <f aca="false">IF(N852&lt;&gt;"Y","",IF(R852&lt;&gt;"",R852,IF(Q852="(tanpa lawan)","Transfer antar rekening",IFERROR(INDEX(I_COA!$F$6:$F$265,MATCH(Q852,I_COA!$A$6:$A$265,0)),"?"))))</f>
        <v/>
      </c>
    </row>
    <row r="853" customFormat="false" ht="15" hidden="false" customHeight="false" outlineLevel="0" collapsed="false">
      <c r="A853" s="37" t="n">
        <v>46247</v>
      </c>
      <c r="B853" s="44" t="s">
        <v>1285</v>
      </c>
      <c r="C853" s="44" t="s">
        <v>617</v>
      </c>
      <c r="D853" s="44" t="n">
        <v>4101012</v>
      </c>
      <c r="E853" s="44" t="s">
        <v>619</v>
      </c>
      <c r="F853" s="44" t="s">
        <v>1286</v>
      </c>
      <c r="G853" s="42"/>
      <c r="H853" s="42" t="n">
        <v>77135100</v>
      </c>
      <c r="I853" s="44" t="s">
        <v>774</v>
      </c>
      <c r="J853" s="11" t="n">
        <f aca="false">IF(D853="","",N(G853)-N(H853))</f>
        <v>-77135100</v>
      </c>
      <c r="K853" s="34" t="str">
        <f aca="false">IF(D853="","",IFERROR(INDEX(I_COA!$C$6:$C$265,MATCH(D853,I_COA!$A$6:$A$265,0)),"AKUN BARU"))</f>
        <v>LabaRugi</v>
      </c>
      <c r="L853" s="34" t="str">
        <f aca="false">IF(K853="LabaRugi",INDEX(I_COA!$D$6:$D$265,MATCH(D853,I_COA!$A$6:$A$265,0)),"")</f>
        <v>Revenue - Trading</v>
      </c>
      <c r="M853" s="34" t="str">
        <f aca="false">IF(K853="Neraca",INDEX(I_COA!$E$6:$E$265,MATCH(D853,I_COA!$A$6:$A$265,0)),"")</f>
        <v/>
      </c>
      <c r="N853" s="34" t="str">
        <f aca="false">IF(D853="","",IFERROR(INDEX(I_COA!$G$6:$G$265,MATCH(D853,I_COA!$A$6:$A$265,0)),"N"))</f>
        <v>N</v>
      </c>
      <c r="O853" s="11" t="n">
        <f aca="false">IF(N853="N",ABS(J853),"")</f>
        <v>77135100</v>
      </c>
      <c r="P853" s="18" t="str">
        <f aca="false">IF(N853="N",B853&amp;"|"&amp;ROUND(O853,0),"")</f>
        <v>KGR26/0262|77135100</v>
      </c>
      <c r="Q853" s="18" t="str">
        <f aca="false">IF(N853&lt;&gt;"Y","",IFERROR(INDEX($D$6:$D$4005,MATCH(B853&amp;"|"&amp;ROUND(_xlfn.MAXIFS($O$6:$O$4005,$B$6:$B$4005,B853,$N$6:$N$4005,"N"),0),$P$6:$P$4005,0)),"(tanpa lawan)"))</f>
        <v/>
      </c>
      <c r="R853" s="44"/>
      <c r="S853" s="9" t="str">
        <f aca="false">IF(N853&lt;&gt;"Y","",IF(R853&lt;&gt;"",R853,IF(Q853="(tanpa lawan)","Transfer antar rekening",IFERROR(INDEX(I_COA!$F$6:$F$265,MATCH(Q853,I_COA!$A$6:$A$265,0)),"?"))))</f>
        <v/>
      </c>
    </row>
    <row r="854" customFormat="false" ht="15" hidden="false" customHeight="false" outlineLevel="0" collapsed="false">
      <c r="A854" s="37" t="n">
        <v>46247</v>
      </c>
      <c r="B854" s="44" t="s">
        <v>1285</v>
      </c>
      <c r="C854" s="44" t="s">
        <v>617</v>
      </c>
      <c r="D854" s="44" t="n">
        <v>5100011</v>
      </c>
      <c r="E854" s="44" t="s">
        <v>166</v>
      </c>
      <c r="F854" s="44" t="s">
        <v>1286</v>
      </c>
      <c r="G854" s="42" t="n">
        <v>66285533.16</v>
      </c>
      <c r="H854" s="42"/>
      <c r="I854" s="44" t="s">
        <v>774</v>
      </c>
      <c r="J854" s="11" t="n">
        <f aca="false">IF(D854="","",N(G854)-N(H854))</f>
        <v>66285533.16</v>
      </c>
      <c r="K854" s="34" t="str">
        <f aca="false">IF(D854="","",IFERROR(INDEX(I_COA!$C$6:$C$265,MATCH(D854,I_COA!$A$6:$A$265,0)),"AKUN BARU"))</f>
        <v>LabaRugi</v>
      </c>
      <c r="L854" s="34" t="str">
        <f aca="false">IF(K854="LabaRugi",INDEX(I_COA!$D$6:$D$265,MATCH(D854,I_COA!$A$6:$A$265,0)),"")</f>
        <v>COGS - Trading</v>
      </c>
      <c r="M854" s="34" t="str">
        <f aca="false">IF(K854="Neraca",INDEX(I_COA!$E$6:$E$265,MATCH(D854,I_COA!$A$6:$A$265,0)),"")</f>
        <v/>
      </c>
      <c r="N854" s="34" t="str">
        <f aca="false">IF(D854="","",IFERROR(INDEX(I_COA!$G$6:$G$265,MATCH(D854,I_COA!$A$6:$A$265,0)),"N"))</f>
        <v>N</v>
      </c>
      <c r="O854" s="11" t="n">
        <f aca="false">IF(N854="N",ABS(J854),"")</f>
        <v>66285533.16</v>
      </c>
      <c r="P854" s="18" t="str">
        <f aca="false">IF(N854="N",B854&amp;"|"&amp;ROUND(O854,0),"")</f>
        <v>KGR26/0262|66285533</v>
      </c>
      <c r="Q854" s="18" t="str">
        <f aca="false">IF(N854&lt;&gt;"Y","",IFERROR(INDEX($D$6:$D$4005,MATCH(B854&amp;"|"&amp;ROUND(_xlfn.MAXIFS($O$6:$O$4005,$B$6:$B$4005,B854,$N$6:$N$4005,"N"),0),$P$6:$P$4005,0)),"(tanpa lawan)"))</f>
        <v/>
      </c>
      <c r="R854" s="44"/>
      <c r="S854" s="9" t="str">
        <f aca="false">IF(N854&lt;&gt;"Y","",IF(R854&lt;&gt;"",R854,IF(Q854="(tanpa lawan)","Transfer antar rekening",IFERROR(INDEX(I_COA!$F$6:$F$265,MATCH(Q854,I_COA!$A$6:$A$265,0)),"?"))))</f>
        <v/>
      </c>
    </row>
    <row r="855" customFormat="false" ht="15" hidden="false" customHeight="false" outlineLevel="0" collapsed="false">
      <c r="A855" s="37" t="n">
        <v>46247</v>
      </c>
      <c r="B855" s="44" t="s">
        <v>1285</v>
      </c>
      <c r="C855" s="44" t="s">
        <v>617</v>
      </c>
      <c r="D855" s="44" t="n">
        <v>1104002</v>
      </c>
      <c r="E855" s="44" t="s">
        <v>601</v>
      </c>
      <c r="F855" s="44" t="s">
        <v>1286</v>
      </c>
      <c r="G855" s="42"/>
      <c r="H855" s="42" t="n">
        <v>66285533.16</v>
      </c>
      <c r="I855" s="44" t="s">
        <v>774</v>
      </c>
      <c r="J855" s="11" t="n">
        <f aca="false">IF(D855="","",N(G855)-N(H855))</f>
        <v>-66285533.16</v>
      </c>
      <c r="K855" s="34" t="str">
        <f aca="false">IF(D855="","",IFERROR(INDEX(I_COA!$C$6:$C$265,MATCH(D855,I_COA!$A$6:$A$265,0)),"AKUN BARU"))</f>
        <v>Neraca</v>
      </c>
      <c r="L855" s="34" t="str">
        <f aca="false">IF(K855="LabaRugi",INDEX(I_COA!$D$6:$D$265,MATCH(D855,I_COA!$A$6:$A$265,0)),"")</f>
        <v/>
      </c>
      <c r="M855" s="34" t="str">
        <f aca="false">IF(K855="Neraca",INDEX(I_COA!$E$6:$E$265,MATCH(D855,I_COA!$A$6:$A$265,0)),"")</f>
        <v>Inventory - Product</v>
      </c>
      <c r="N855" s="34" t="str">
        <f aca="false">IF(D855="","",IFERROR(INDEX(I_COA!$G$6:$G$265,MATCH(D855,I_COA!$A$6:$A$265,0)),"N"))</f>
        <v>N</v>
      </c>
      <c r="O855" s="11" t="n">
        <f aca="false">IF(N855="N",ABS(J855),"")</f>
        <v>66285533.16</v>
      </c>
      <c r="P855" s="18" t="str">
        <f aca="false">IF(N855="N",B855&amp;"|"&amp;ROUND(O855,0),"")</f>
        <v>KGR26/0262|66285533</v>
      </c>
      <c r="Q855" s="18" t="str">
        <f aca="false">IF(N855&lt;&gt;"Y","",IFERROR(INDEX($D$6:$D$4005,MATCH(B855&amp;"|"&amp;ROUND(_xlfn.MAXIFS($O$6:$O$4005,$B$6:$B$4005,B855,$N$6:$N$4005,"N"),0),$P$6:$P$4005,0)),"(tanpa lawan)"))</f>
        <v/>
      </c>
      <c r="R855" s="44"/>
      <c r="S855" s="9" t="str">
        <f aca="false">IF(N855&lt;&gt;"Y","",IF(R855&lt;&gt;"",R855,IF(Q855="(tanpa lawan)","Transfer antar rekening",IFERROR(INDEX(I_COA!$F$6:$F$265,MATCH(Q855,I_COA!$A$6:$A$265,0)),"?"))))</f>
        <v/>
      </c>
    </row>
    <row r="856" customFormat="false" ht="15" hidden="false" customHeight="false" outlineLevel="0" collapsed="false">
      <c r="A856" s="37" t="n">
        <v>46247</v>
      </c>
      <c r="B856" s="44" t="s">
        <v>1287</v>
      </c>
      <c r="C856" s="44" t="s">
        <v>580</v>
      </c>
      <c r="D856" s="44" t="n">
        <v>1103123</v>
      </c>
      <c r="E856" s="44" t="s">
        <v>1288</v>
      </c>
      <c r="F856" s="44" t="s">
        <v>1289</v>
      </c>
      <c r="G856" s="42" t="n">
        <v>25219200</v>
      </c>
      <c r="H856" s="42"/>
      <c r="I856" s="44" t="s">
        <v>451</v>
      </c>
      <c r="J856" s="11" t="n">
        <f aca="false">IF(D856="","",N(G856)-N(H856))</f>
        <v>25219200</v>
      </c>
      <c r="K856" s="34" t="str">
        <f aca="false">IF(D856="","",IFERROR(INDEX(I_COA!$C$6:$C$265,MATCH(D856,I_COA!$A$6:$A$265,0)),"AKUN BARU"))</f>
        <v>Neraca</v>
      </c>
      <c r="L856" s="34" t="str">
        <f aca="false">IF(K856="LabaRugi",INDEX(I_COA!$D$6:$D$265,MATCH(D856,I_COA!$A$6:$A$265,0)),"")</f>
        <v/>
      </c>
      <c r="M856" s="34" t="str">
        <f aca="false">IF(K856="Neraca",INDEX(I_COA!$E$6:$E$265,MATCH(D856,I_COA!$A$6:$A$265,0)),"")</f>
        <v>Trade Receivables - Third Parties</v>
      </c>
      <c r="N856" s="34" t="str">
        <f aca="false">IF(D856="","",IFERROR(INDEX(I_COA!$G$6:$G$265,MATCH(D856,I_COA!$A$6:$A$265,0)),"N"))</f>
        <v>N</v>
      </c>
      <c r="O856" s="11" t="n">
        <f aca="false">IF(N856="N",ABS(J856),"")</f>
        <v>25219200</v>
      </c>
      <c r="P856" s="18" t="str">
        <f aca="false">IF(N856="N",B856&amp;"|"&amp;ROUND(O856,0),"")</f>
        <v>MJ26080018|25219200</v>
      </c>
      <c r="Q856" s="18" t="str">
        <f aca="false">IF(N856&lt;&gt;"Y","",IFERROR(INDEX($D$6:$D$4005,MATCH(B856&amp;"|"&amp;ROUND(_xlfn.MAXIFS($O$6:$O$4005,$B$6:$B$4005,B856,$N$6:$N$4005,"N"),0),$P$6:$P$4005,0)),"(tanpa lawan)"))</f>
        <v/>
      </c>
      <c r="R856" s="44"/>
      <c r="S856" s="9" t="str">
        <f aca="false">IF(N856&lt;&gt;"Y","",IF(R856&lt;&gt;"",R856,IF(Q856="(tanpa lawan)","Transfer antar rekening",IFERROR(INDEX(I_COA!$F$6:$F$265,MATCH(Q856,I_COA!$A$6:$A$265,0)),"?"))))</f>
        <v/>
      </c>
    </row>
    <row r="857" customFormat="false" ht="15" hidden="false" customHeight="false" outlineLevel="0" collapsed="false">
      <c r="A857" s="37" t="n">
        <v>46247</v>
      </c>
      <c r="B857" s="44" t="s">
        <v>1287</v>
      </c>
      <c r="C857" s="44" t="s">
        <v>580</v>
      </c>
      <c r="D857" s="44" t="n">
        <v>4101013</v>
      </c>
      <c r="E857" s="44" t="s">
        <v>1290</v>
      </c>
      <c r="F857" s="44" t="s">
        <v>1289</v>
      </c>
      <c r="G857" s="42"/>
      <c r="H857" s="42" t="n">
        <v>25219200</v>
      </c>
      <c r="I857" s="44"/>
      <c r="J857" s="11" t="n">
        <f aca="false">IF(D857="","",N(G857)-N(H857))</f>
        <v>-25219200</v>
      </c>
      <c r="K857" s="34" t="str">
        <f aca="false">IF(D857="","",IFERROR(INDEX(I_COA!$C$6:$C$265,MATCH(D857,I_COA!$A$6:$A$265,0)),"AKUN BARU"))</f>
        <v>LabaRugi</v>
      </c>
      <c r="L857" s="34" t="str">
        <f aca="false">IF(K857="LabaRugi",INDEX(I_COA!$D$6:$D$265,MATCH(D857,I_COA!$A$6:$A$265,0)),"")</f>
        <v>Revenue - LB Main Product</v>
      </c>
      <c r="M857" s="34" t="str">
        <f aca="false">IF(K857="Neraca",INDEX(I_COA!$E$6:$E$265,MATCH(D857,I_COA!$A$6:$A$265,0)),"")</f>
        <v/>
      </c>
      <c r="N857" s="34" t="str">
        <f aca="false">IF(D857="","",IFERROR(INDEX(I_COA!$G$6:$G$265,MATCH(D857,I_COA!$A$6:$A$265,0)),"N"))</f>
        <v>N</v>
      </c>
      <c r="O857" s="11" t="n">
        <f aca="false">IF(N857="N",ABS(J857),"")</f>
        <v>25219200</v>
      </c>
      <c r="P857" s="18" t="str">
        <f aca="false">IF(N857="N",B857&amp;"|"&amp;ROUND(O857,0),"")</f>
        <v>MJ26080018|25219200</v>
      </c>
      <c r="Q857" s="18" t="str">
        <f aca="false">IF(N857&lt;&gt;"Y","",IFERROR(INDEX($D$6:$D$4005,MATCH(B857&amp;"|"&amp;ROUND(_xlfn.MAXIFS($O$6:$O$4005,$B$6:$B$4005,B857,$N$6:$N$4005,"N"),0),$P$6:$P$4005,0)),"(tanpa lawan)"))</f>
        <v/>
      </c>
      <c r="R857" s="44"/>
      <c r="S857" s="9" t="str">
        <f aca="false">IF(N857&lt;&gt;"Y","",IF(R857&lt;&gt;"",R857,IF(Q857="(tanpa lawan)","Transfer antar rekening",IFERROR(INDEX(I_COA!$F$6:$F$265,MATCH(Q857,I_COA!$A$6:$A$265,0)),"?"))))</f>
        <v/>
      </c>
    </row>
    <row r="858" customFormat="false" ht="15" hidden="false" customHeight="false" outlineLevel="0" collapsed="false">
      <c r="A858" s="37" t="n">
        <v>46247</v>
      </c>
      <c r="B858" s="44" t="s">
        <v>1287</v>
      </c>
      <c r="C858" s="44" t="s">
        <v>580</v>
      </c>
      <c r="D858" s="44" t="n">
        <v>5100004</v>
      </c>
      <c r="E858" s="44" t="s">
        <v>627</v>
      </c>
      <c r="F858" s="44" t="s">
        <v>1289</v>
      </c>
      <c r="G858" s="42" t="n">
        <v>25358040</v>
      </c>
      <c r="H858" s="42"/>
      <c r="I858" s="44"/>
      <c r="J858" s="11" t="n">
        <f aca="false">IF(D858="","",N(G858)-N(H858))</f>
        <v>25358040</v>
      </c>
      <c r="K858" s="34" t="str">
        <f aca="false">IF(D858="","",IFERROR(INDEX(I_COA!$C$6:$C$265,MATCH(D858,I_COA!$A$6:$A$265,0)),"AKUN BARU"))</f>
        <v>LabaRugi</v>
      </c>
      <c r="L858" s="34" t="str">
        <f aca="false">IF(K858="LabaRugi",INDEX(I_COA!$D$6:$D$265,MATCH(D858,I_COA!$A$6:$A$265,0)),"")</f>
        <v>COGS - Live Bird</v>
      </c>
      <c r="M858" s="34" t="str">
        <f aca="false">IF(K858="Neraca",INDEX(I_COA!$E$6:$E$265,MATCH(D858,I_COA!$A$6:$A$265,0)),"")</f>
        <v/>
      </c>
      <c r="N858" s="34" t="str">
        <f aca="false">IF(D858="","",IFERROR(INDEX(I_COA!$G$6:$G$265,MATCH(D858,I_COA!$A$6:$A$265,0)),"N"))</f>
        <v>N</v>
      </c>
      <c r="O858" s="11" t="n">
        <f aca="false">IF(N858="N",ABS(J858),"")</f>
        <v>25358040</v>
      </c>
      <c r="P858" s="18" t="str">
        <f aca="false">IF(N858="N",B858&amp;"|"&amp;ROUND(O858,0),"")</f>
        <v>MJ26080018|25358040</v>
      </c>
      <c r="Q858" s="18" t="str">
        <f aca="false">IF(N858&lt;&gt;"Y","",IFERROR(INDEX($D$6:$D$4005,MATCH(B858&amp;"|"&amp;ROUND(_xlfn.MAXIFS($O$6:$O$4005,$B$6:$B$4005,B858,$N$6:$N$4005,"N"),0),$P$6:$P$4005,0)),"(tanpa lawan)"))</f>
        <v/>
      </c>
      <c r="R858" s="44"/>
      <c r="S858" s="9" t="str">
        <f aca="false">IF(N858&lt;&gt;"Y","",IF(R858&lt;&gt;"",R858,IF(Q858="(tanpa lawan)","Transfer antar rekening",IFERROR(INDEX(I_COA!$F$6:$F$265,MATCH(Q858,I_COA!$A$6:$A$265,0)),"?"))))</f>
        <v/>
      </c>
    </row>
    <row r="859" customFormat="false" ht="15" hidden="false" customHeight="false" outlineLevel="0" collapsed="false">
      <c r="A859" s="37" t="n">
        <v>46247</v>
      </c>
      <c r="B859" s="44" t="s">
        <v>1287</v>
      </c>
      <c r="C859" s="44" t="s">
        <v>580</v>
      </c>
      <c r="D859" s="44" t="n">
        <v>1104003</v>
      </c>
      <c r="E859" s="44" t="s">
        <v>613</v>
      </c>
      <c r="F859" s="44" t="s">
        <v>1289</v>
      </c>
      <c r="G859" s="42"/>
      <c r="H859" s="42" t="n">
        <v>25358040</v>
      </c>
      <c r="I859" s="44"/>
      <c r="J859" s="11" t="n">
        <f aca="false">IF(D859="","",N(G859)-N(H859))</f>
        <v>-25358040</v>
      </c>
      <c r="K859" s="34" t="str">
        <f aca="false">IF(D859="","",IFERROR(INDEX(I_COA!$C$6:$C$265,MATCH(D859,I_COA!$A$6:$A$265,0)),"AKUN BARU"))</f>
        <v>Neraca</v>
      </c>
      <c r="L859" s="34" t="str">
        <f aca="false">IF(K859="LabaRugi",INDEX(I_COA!$D$6:$D$265,MATCH(D859,I_COA!$A$6:$A$265,0)),"")</f>
        <v/>
      </c>
      <c r="M859" s="34" t="str">
        <f aca="false">IF(K859="Neraca",INDEX(I_COA!$E$6:$E$265,MATCH(D859,I_COA!$A$6:$A$265,0)),"")</f>
        <v>Inventory - Product</v>
      </c>
      <c r="N859" s="34" t="str">
        <f aca="false">IF(D859="","",IFERROR(INDEX(I_COA!$G$6:$G$265,MATCH(D859,I_COA!$A$6:$A$265,0)),"N"))</f>
        <v>N</v>
      </c>
      <c r="O859" s="11" t="n">
        <f aca="false">IF(N859="N",ABS(J859),"")</f>
        <v>25358040</v>
      </c>
      <c r="P859" s="18" t="str">
        <f aca="false">IF(N859="N",B859&amp;"|"&amp;ROUND(O859,0),"")</f>
        <v>MJ26080018|25358040</v>
      </c>
      <c r="Q859" s="18" t="str">
        <f aca="false">IF(N859&lt;&gt;"Y","",IFERROR(INDEX($D$6:$D$4005,MATCH(B859&amp;"|"&amp;ROUND(_xlfn.MAXIFS($O$6:$O$4005,$B$6:$B$4005,B859,$N$6:$N$4005,"N"),0),$P$6:$P$4005,0)),"(tanpa lawan)"))</f>
        <v/>
      </c>
      <c r="R859" s="44"/>
      <c r="S859" s="9" t="str">
        <f aca="false">IF(N859&lt;&gt;"Y","",IF(R859&lt;&gt;"",R859,IF(Q859="(tanpa lawan)","Transfer antar rekening",IFERROR(INDEX(I_COA!$F$6:$F$265,MATCH(Q859,I_COA!$A$6:$A$265,0)),"?"))))</f>
        <v/>
      </c>
    </row>
    <row r="860" customFormat="false" ht="15" hidden="false" customHeight="false" outlineLevel="0" collapsed="false">
      <c r="A860" s="37" t="n">
        <v>46247</v>
      </c>
      <c r="B860" s="44" t="s">
        <v>1291</v>
      </c>
      <c r="C860" s="44" t="s">
        <v>707</v>
      </c>
      <c r="D860" s="44" t="n">
        <v>5100009</v>
      </c>
      <c r="E860" s="44" t="s">
        <v>1003</v>
      </c>
      <c r="F860" s="44" t="s">
        <v>1292</v>
      </c>
      <c r="G860" s="42" t="n">
        <v>16720</v>
      </c>
      <c r="H860" s="42"/>
      <c r="I860" s="44" t="s">
        <v>440</v>
      </c>
      <c r="J860" s="11" t="n">
        <f aca="false">IF(D860="","",N(G860)-N(H860))</f>
        <v>16720</v>
      </c>
      <c r="K860" s="34" t="str">
        <f aca="false">IF(D860="","",IFERROR(INDEX(I_COA!$C$6:$C$265,MATCH(D860,I_COA!$A$6:$A$265,0)),"AKUN BARU"))</f>
        <v>LabaRugi</v>
      </c>
      <c r="L860" s="34" t="str">
        <f aca="false">IF(K860="LabaRugi",INDEX(I_COA!$D$6:$D$265,MATCH(D860,I_COA!$A$6:$A$265,0)),"")</f>
        <v>COGS - Blasting</v>
      </c>
      <c r="M860" s="34" t="str">
        <f aca="false">IF(K860="Neraca",INDEX(I_COA!$E$6:$E$265,MATCH(D860,I_COA!$A$6:$A$265,0)),"")</f>
        <v/>
      </c>
      <c r="N860" s="34" t="str">
        <f aca="false">IF(D860="","",IFERROR(INDEX(I_COA!$G$6:$G$265,MATCH(D860,I_COA!$A$6:$A$265,0)),"N"))</f>
        <v>N</v>
      </c>
      <c r="O860" s="11" t="n">
        <f aca="false">IF(N860="N",ABS(J860),"")</f>
        <v>16720</v>
      </c>
      <c r="P860" s="18" t="str">
        <f aca="false">IF(N860="N",B860&amp;"|"&amp;ROUND(O860,0),"")</f>
        <v>PI26080011|16720</v>
      </c>
      <c r="Q860" s="18" t="str">
        <f aca="false">IF(N860&lt;&gt;"Y","",IFERROR(INDEX($D$6:$D$4005,MATCH(B860&amp;"|"&amp;ROUND(_xlfn.MAXIFS($O$6:$O$4005,$B$6:$B$4005,B860,$N$6:$N$4005,"N"),0),$P$6:$P$4005,0)),"(tanpa lawan)"))</f>
        <v/>
      </c>
      <c r="R860" s="44"/>
      <c r="S860" s="9" t="str">
        <f aca="false">IF(N860&lt;&gt;"Y","",IF(R860&lt;&gt;"",R860,IF(Q860="(tanpa lawan)","Transfer antar rekening",IFERROR(INDEX(I_COA!$F$6:$F$265,MATCH(Q860,I_COA!$A$6:$A$265,0)),"?"))))</f>
        <v/>
      </c>
    </row>
    <row r="861" customFormat="false" ht="15" hidden="false" customHeight="false" outlineLevel="0" collapsed="false">
      <c r="A861" s="37" t="n">
        <v>46247</v>
      </c>
      <c r="B861" s="44" t="s">
        <v>1291</v>
      </c>
      <c r="C861" s="44" t="s">
        <v>707</v>
      </c>
      <c r="D861" s="44" t="n">
        <v>5100009</v>
      </c>
      <c r="E861" s="44" t="s">
        <v>1003</v>
      </c>
      <c r="F861" s="44" t="s">
        <v>1293</v>
      </c>
      <c r="G861" s="42" t="n">
        <v>118320</v>
      </c>
      <c r="H861" s="42"/>
      <c r="I861" s="44" t="s">
        <v>440</v>
      </c>
      <c r="J861" s="11" t="n">
        <f aca="false">IF(D861="","",N(G861)-N(H861))</f>
        <v>118320</v>
      </c>
      <c r="K861" s="34" t="str">
        <f aca="false">IF(D861="","",IFERROR(INDEX(I_COA!$C$6:$C$265,MATCH(D861,I_COA!$A$6:$A$265,0)),"AKUN BARU"))</f>
        <v>LabaRugi</v>
      </c>
      <c r="L861" s="34" t="str">
        <f aca="false">IF(K861="LabaRugi",INDEX(I_COA!$D$6:$D$265,MATCH(D861,I_COA!$A$6:$A$265,0)),"")</f>
        <v>COGS - Blasting</v>
      </c>
      <c r="M861" s="34" t="str">
        <f aca="false">IF(K861="Neraca",INDEX(I_COA!$E$6:$E$265,MATCH(D861,I_COA!$A$6:$A$265,0)),"")</f>
        <v/>
      </c>
      <c r="N861" s="34" t="str">
        <f aca="false">IF(D861="","",IFERROR(INDEX(I_COA!$G$6:$G$265,MATCH(D861,I_COA!$A$6:$A$265,0)),"N"))</f>
        <v>N</v>
      </c>
      <c r="O861" s="11" t="n">
        <f aca="false">IF(N861="N",ABS(J861),"")</f>
        <v>118320</v>
      </c>
      <c r="P861" s="18" t="str">
        <f aca="false">IF(N861="N",B861&amp;"|"&amp;ROUND(O861,0),"")</f>
        <v>PI26080011|118320</v>
      </c>
      <c r="Q861" s="18" t="str">
        <f aca="false">IF(N861&lt;&gt;"Y","",IFERROR(INDEX($D$6:$D$4005,MATCH(B861&amp;"|"&amp;ROUND(_xlfn.MAXIFS($O$6:$O$4005,$B$6:$B$4005,B861,$N$6:$N$4005,"N"),0),$P$6:$P$4005,0)),"(tanpa lawan)"))</f>
        <v/>
      </c>
      <c r="R861" s="44"/>
      <c r="S861" s="9" t="str">
        <f aca="false">IF(N861&lt;&gt;"Y","",IF(R861&lt;&gt;"",R861,IF(Q861="(tanpa lawan)","Transfer antar rekening",IFERROR(INDEX(I_COA!$F$6:$F$265,MATCH(Q861,I_COA!$A$6:$A$265,0)),"?"))))</f>
        <v/>
      </c>
    </row>
    <row r="862" customFormat="false" ht="15" hidden="false" customHeight="false" outlineLevel="0" collapsed="false">
      <c r="A862" s="37" t="n">
        <v>46247</v>
      </c>
      <c r="B862" s="44" t="s">
        <v>1291</v>
      </c>
      <c r="C862" s="44" t="s">
        <v>707</v>
      </c>
      <c r="D862" s="44" t="n">
        <v>5100009</v>
      </c>
      <c r="E862" s="44" t="s">
        <v>1003</v>
      </c>
      <c r="F862" s="44" t="s">
        <v>1294</v>
      </c>
      <c r="G862" s="42" t="n">
        <v>719600</v>
      </c>
      <c r="H862" s="42"/>
      <c r="I862" s="44" t="s">
        <v>440</v>
      </c>
      <c r="J862" s="11" t="n">
        <f aca="false">IF(D862="","",N(G862)-N(H862))</f>
        <v>719600</v>
      </c>
      <c r="K862" s="34" t="str">
        <f aca="false">IF(D862="","",IFERROR(INDEX(I_COA!$C$6:$C$265,MATCH(D862,I_COA!$A$6:$A$265,0)),"AKUN BARU"))</f>
        <v>LabaRugi</v>
      </c>
      <c r="L862" s="34" t="str">
        <f aca="false">IF(K862="LabaRugi",INDEX(I_COA!$D$6:$D$265,MATCH(D862,I_COA!$A$6:$A$265,0)),"")</f>
        <v>COGS - Blasting</v>
      </c>
      <c r="M862" s="34" t="str">
        <f aca="false">IF(K862="Neraca",INDEX(I_COA!$E$6:$E$265,MATCH(D862,I_COA!$A$6:$A$265,0)),"")</f>
        <v/>
      </c>
      <c r="N862" s="34" t="str">
        <f aca="false">IF(D862="","",IFERROR(INDEX(I_COA!$G$6:$G$265,MATCH(D862,I_COA!$A$6:$A$265,0)),"N"))</f>
        <v>N</v>
      </c>
      <c r="O862" s="11" t="n">
        <f aca="false">IF(N862="N",ABS(J862),"")</f>
        <v>719600</v>
      </c>
      <c r="P862" s="18" t="str">
        <f aca="false">IF(N862="N",B862&amp;"|"&amp;ROUND(O862,0),"")</f>
        <v>PI26080011|719600</v>
      </c>
      <c r="Q862" s="18" t="str">
        <f aca="false">IF(N862&lt;&gt;"Y","",IFERROR(INDEX($D$6:$D$4005,MATCH(B862&amp;"|"&amp;ROUND(_xlfn.MAXIFS($O$6:$O$4005,$B$6:$B$4005,B862,$N$6:$N$4005,"N"),0),$P$6:$P$4005,0)),"(tanpa lawan)"))</f>
        <v/>
      </c>
      <c r="R862" s="44"/>
      <c r="S862" s="9" t="str">
        <f aca="false">IF(N862&lt;&gt;"Y","",IF(R862&lt;&gt;"",R862,IF(Q862="(tanpa lawan)","Transfer antar rekening",IFERROR(INDEX(I_COA!$F$6:$F$265,MATCH(Q862,I_COA!$A$6:$A$265,0)),"?"))))</f>
        <v/>
      </c>
    </row>
    <row r="863" customFormat="false" ht="15" hidden="false" customHeight="false" outlineLevel="0" collapsed="false">
      <c r="A863" s="37" t="n">
        <v>46247</v>
      </c>
      <c r="B863" s="44" t="s">
        <v>1291</v>
      </c>
      <c r="C863" s="44" t="s">
        <v>707</v>
      </c>
      <c r="D863" s="44" t="n">
        <v>5100009</v>
      </c>
      <c r="E863" s="44" t="s">
        <v>1003</v>
      </c>
      <c r="F863" s="44" t="s">
        <v>1295</v>
      </c>
      <c r="G863" s="42" t="n">
        <v>90720</v>
      </c>
      <c r="H863" s="42"/>
      <c r="I863" s="44" t="s">
        <v>440</v>
      </c>
      <c r="J863" s="11" t="n">
        <f aca="false">IF(D863="","",N(G863)-N(H863))</f>
        <v>90720</v>
      </c>
      <c r="K863" s="34" t="str">
        <f aca="false">IF(D863="","",IFERROR(INDEX(I_COA!$C$6:$C$265,MATCH(D863,I_COA!$A$6:$A$265,0)),"AKUN BARU"))</f>
        <v>LabaRugi</v>
      </c>
      <c r="L863" s="34" t="str">
        <f aca="false">IF(K863="LabaRugi",INDEX(I_COA!$D$6:$D$265,MATCH(D863,I_COA!$A$6:$A$265,0)),"")</f>
        <v>COGS - Blasting</v>
      </c>
      <c r="M863" s="34" t="str">
        <f aca="false">IF(K863="Neraca",INDEX(I_COA!$E$6:$E$265,MATCH(D863,I_COA!$A$6:$A$265,0)),"")</f>
        <v/>
      </c>
      <c r="N863" s="34" t="str">
        <f aca="false">IF(D863="","",IFERROR(INDEX(I_COA!$G$6:$G$265,MATCH(D863,I_COA!$A$6:$A$265,0)),"N"))</f>
        <v>N</v>
      </c>
      <c r="O863" s="11" t="n">
        <f aca="false">IF(N863="N",ABS(J863),"")</f>
        <v>90720</v>
      </c>
      <c r="P863" s="18" t="str">
        <f aca="false">IF(N863="N",B863&amp;"|"&amp;ROUND(O863,0),"")</f>
        <v>PI26080011|90720</v>
      </c>
      <c r="Q863" s="18" t="str">
        <f aca="false">IF(N863&lt;&gt;"Y","",IFERROR(INDEX($D$6:$D$4005,MATCH(B863&amp;"|"&amp;ROUND(_xlfn.MAXIFS($O$6:$O$4005,$B$6:$B$4005,B863,$N$6:$N$4005,"N"),0),$P$6:$P$4005,0)),"(tanpa lawan)"))</f>
        <v/>
      </c>
      <c r="R863" s="44"/>
      <c r="S863" s="9" t="str">
        <f aca="false">IF(N863&lt;&gt;"Y","",IF(R863&lt;&gt;"",R863,IF(Q863="(tanpa lawan)","Transfer antar rekening",IFERROR(INDEX(I_COA!$F$6:$F$265,MATCH(Q863,I_COA!$A$6:$A$265,0)),"?"))))</f>
        <v/>
      </c>
    </row>
    <row r="864" customFormat="false" ht="15" hidden="false" customHeight="false" outlineLevel="0" collapsed="false">
      <c r="A864" s="37" t="n">
        <v>46247</v>
      </c>
      <c r="B864" s="44" t="s">
        <v>1291</v>
      </c>
      <c r="C864" s="44" t="s">
        <v>707</v>
      </c>
      <c r="D864" s="44" t="n">
        <v>2102003</v>
      </c>
      <c r="E864" s="44" t="s">
        <v>722</v>
      </c>
      <c r="F864" s="44" t="s">
        <v>1296</v>
      </c>
      <c r="G864" s="42"/>
      <c r="H864" s="42" t="n">
        <v>18907.2</v>
      </c>
      <c r="I864" s="44" t="s">
        <v>440</v>
      </c>
      <c r="J864" s="11" t="n">
        <f aca="false">IF(D864="","",N(G864)-N(H864))</f>
        <v>-18907.2</v>
      </c>
      <c r="K864" s="34" t="str">
        <f aca="false">IF(D864="","",IFERROR(INDEX(I_COA!$C$6:$C$265,MATCH(D864,I_COA!$A$6:$A$265,0)),"AKUN BARU"))</f>
        <v>Neraca</v>
      </c>
      <c r="L864" s="34" t="str">
        <f aca="false">IF(K864="LabaRugi",INDEX(I_COA!$D$6:$D$265,MATCH(D864,I_COA!$A$6:$A$265,0)),"")</f>
        <v/>
      </c>
      <c r="M864" s="34" t="str">
        <f aca="false">IF(K864="Neraca",INDEX(I_COA!$E$6:$E$265,MATCH(D864,I_COA!$A$6:$A$265,0)),"")</f>
        <v>Taxes Payable</v>
      </c>
      <c r="N864" s="34" t="str">
        <f aca="false">IF(D864="","",IFERROR(INDEX(I_COA!$G$6:$G$265,MATCH(D864,I_COA!$A$6:$A$265,0)),"N"))</f>
        <v>N</v>
      </c>
      <c r="O864" s="11" t="n">
        <f aca="false">IF(N864="N",ABS(J864),"")</f>
        <v>18907.2</v>
      </c>
      <c r="P864" s="18" t="str">
        <f aca="false">IF(N864="N",B864&amp;"|"&amp;ROUND(O864,0),"")</f>
        <v>PI26080011|18907</v>
      </c>
      <c r="Q864" s="18" t="str">
        <f aca="false">IF(N864&lt;&gt;"Y","",IFERROR(INDEX($D$6:$D$4005,MATCH(B864&amp;"|"&amp;ROUND(_xlfn.MAXIFS($O$6:$O$4005,$B$6:$B$4005,B864,$N$6:$N$4005,"N"),0),$P$6:$P$4005,0)),"(tanpa lawan)"))</f>
        <v/>
      </c>
      <c r="R864" s="44"/>
      <c r="S864" s="9" t="str">
        <f aca="false">IF(N864&lt;&gt;"Y","",IF(R864&lt;&gt;"",R864,IF(Q864="(tanpa lawan)","Transfer antar rekening",IFERROR(INDEX(I_COA!$F$6:$F$265,MATCH(Q864,I_COA!$A$6:$A$265,0)),"?"))))</f>
        <v/>
      </c>
    </row>
    <row r="865" customFormat="false" ht="15" hidden="false" customHeight="false" outlineLevel="0" collapsed="false">
      <c r="A865" s="37" t="n">
        <v>46247</v>
      </c>
      <c r="B865" s="44" t="s">
        <v>1291</v>
      </c>
      <c r="C865" s="44" t="s">
        <v>707</v>
      </c>
      <c r="D865" s="44" t="n">
        <v>1106001</v>
      </c>
      <c r="E865" s="44" t="s">
        <v>720</v>
      </c>
      <c r="F865" s="44" t="s">
        <v>721</v>
      </c>
      <c r="G865" s="42" t="n">
        <v>103990</v>
      </c>
      <c r="H865" s="42"/>
      <c r="I865" s="44" t="s">
        <v>440</v>
      </c>
      <c r="J865" s="11" t="n">
        <f aca="false">IF(D865="","",N(G865)-N(H865))</f>
        <v>103990</v>
      </c>
      <c r="K865" s="34" t="str">
        <f aca="false">IF(D865="","",IFERROR(INDEX(I_COA!$C$6:$C$265,MATCH(D865,I_COA!$A$6:$A$265,0)),"AKUN BARU"))</f>
        <v>Neraca</v>
      </c>
      <c r="L865" s="34" t="str">
        <f aca="false">IF(K865="LabaRugi",INDEX(I_COA!$D$6:$D$265,MATCH(D865,I_COA!$A$6:$A$265,0)),"")</f>
        <v/>
      </c>
      <c r="M865" s="34" t="str">
        <f aca="false">IF(K865="Neraca",INDEX(I_COA!$E$6:$E$265,MATCH(D865,I_COA!$A$6:$A$265,0)),"")</f>
        <v>Prepaid Tax</v>
      </c>
      <c r="N865" s="34" t="str">
        <f aca="false">IF(D865="","",IFERROR(INDEX(I_COA!$G$6:$G$265,MATCH(D865,I_COA!$A$6:$A$265,0)),"N"))</f>
        <v>N</v>
      </c>
      <c r="O865" s="11" t="n">
        <f aca="false">IF(N865="N",ABS(J865),"")</f>
        <v>103990</v>
      </c>
      <c r="P865" s="18" t="str">
        <f aca="false">IF(N865="N",B865&amp;"|"&amp;ROUND(O865,0),"")</f>
        <v>PI26080011|103990</v>
      </c>
      <c r="Q865" s="18" t="str">
        <f aca="false">IF(N865&lt;&gt;"Y","",IFERROR(INDEX($D$6:$D$4005,MATCH(B865&amp;"|"&amp;ROUND(_xlfn.MAXIFS($O$6:$O$4005,$B$6:$B$4005,B865,$N$6:$N$4005,"N"),0),$P$6:$P$4005,0)),"(tanpa lawan)"))</f>
        <v/>
      </c>
      <c r="R865" s="44"/>
      <c r="S865" s="9" t="str">
        <f aca="false">IF(N865&lt;&gt;"Y","",IF(R865&lt;&gt;"",R865,IF(Q865="(tanpa lawan)","Transfer antar rekening",IFERROR(INDEX(I_COA!$F$6:$F$265,MATCH(Q865,I_COA!$A$6:$A$265,0)),"?"))))</f>
        <v/>
      </c>
    </row>
    <row r="866" customFormat="false" ht="15" hidden="false" customHeight="false" outlineLevel="0" collapsed="false">
      <c r="A866" s="37" t="n">
        <v>46247</v>
      </c>
      <c r="B866" s="44" t="s">
        <v>1291</v>
      </c>
      <c r="C866" s="44" t="s">
        <v>707</v>
      </c>
      <c r="D866" s="44" t="n">
        <v>2101003</v>
      </c>
      <c r="E866" s="44" t="s">
        <v>679</v>
      </c>
      <c r="F866" s="44" t="s">
        <v>1297</v>
      </c>
      <c r="G866" s="42"/>
      <c r="H866" s="42" t="n">
        <v>1030442.8</v>
      </c>
      <c r="I866" s="44" t="s">
        <v>440</v>
      </c>
      <c r="J866" s="11" t="n">
        <f aca="false">IF(D866="","",N(G866)-N(H866))</f>
        <v>-1030442.8</v>
      </c>
      <c r="K866" s="34" t="str">
        <f aca="false">IF(D866="","",IFERROR(INDEX(I_COA!$C$6:$C$265,MATCH(D866,I_COA!$A$6:$A$265,0)),"AKUN BARU"))</f>
        <v>Neraca</v>
      </c>
      <c r="L866" s="34" t="str">
        <f aca="false">IF(K866="LabaRugi",INDEX(I_COA!$D$6:$D$265,MATCH(D866,I_COA!$A$6:$A$265,0)),"")</f>
        <v/>
      </c>
      <c r="M866" s="34" t="str">
        <f aca="false">IF(K866="Neraca",INDEX(I_COA!$E$6:$E$265,MATCH(D866,I_COA!$A$6:$A$265,0)),"")</f>
        <v>Other Payable - Third Parties</v>
      </c>
      <c r="N866" s="34" t="str">
        <f aca="false">IF(D866="","",IFERROR(INDEX(I_COA!$G$6:$G$265,MATCH(D866,I_COA!$A$6:$A$265,0)),"N"))</f>
        <v>N</v>
      </c>
      <c r="O866" s="11" t="n">
        <f aca="false">IF(N866="N",ABS(J866),"")</f>
        <v>1030442.8</v>
      </c>
      <c r="P866" s="18" t="str">
        <f aca="false">IF(N866="N",B866&amp;"|"&amp;ROUND(O866,0),"")</f>
        <v>PI26080011|1030443</v>
      </c>
      <c r="Q866" s="18" t="str">
        <f aca="false">IF(N866&lt;&gt;"Y","",IFERROR(INDEX($D$6:$D$4005,MATCH(B866&amp;"|"&amp;ROUND(_xlfn.MAXIFS($O$6:$O$4005,$B$6:$B$4005,B866,$N$6:$N$4005,"N"),0),$P$6:$P$4005,0)),"(tanpa lawan)"))</f>
        <v/>
      </c>
      <c r="R866" s="44"/>
      <c r="S866" s="9" t="str">
        <f aca="false">IF(N866&lt;&gt;"Y","",IF(R866&lt;&gt;"",R866,IF(Q866="(tanpa lawan)","Transfer antar rekening",IFERROR(INDEX(I_COA!$F$6:$F$265,MATCH(Q866,I_COA!$A$6:$A$265,0)),"?"))))</f>
        <v/>
      </c>
    </row>
    <row r="867" customFormat="false" ht="15" hidden="false" customHeight="false" outlineLevel="0" collapsed="false">
      <c r="A867" s="37" t="n">
        <v>46247</v>
      </c>
      <c r="B867" s="44" t="s">
        <v>1298</v>
      </c>
      <c r="C867" s="44" t="s">
        <v>707</v>
      </c>
      <c r="D867" s="44" t="n">
        <v>6200013</v>
      </c>
      <c r="E867" s="44" t="s">
        <v>1299</v>
      </c>
      <c r="F867" s="44" t="s">
        <v>1300</v>
      </c>
      <c r="G867" s="42" t="n">
        <v>1360</v>
      </c>
      <c r="H867" s="42"/>
      <c r="I867" s="44" t="s">
        <v>1301</v>
      </c>
      <c r="J867" s="11" t="n">
        <f aca="false">IF(D867="","",N(G867)-N(H867))</f>
        <v>1360</v>
      </c>
      <c r="K867" s="34" t="str">
        <f aca="false">IF(D867="","",IFERROR(INDEX(I_COA!$C$6:$C$265,MATCH(D867,I_COA!$A$6:$A$265,0)),"AKUN BARU"))</f>
        <v>LabaRugi</v>
      </c>
      <c r="L867" s="34" t="str">
        <f aca="false">IF(K867="LabaRugi",INDEX(I_COA!$D$6:$D$265,MATCH(D867,I_COA!$A$6:$A$265,0)),"")</f>
        <v>Office Supplies &amp; Utilities</v>
      </c>
      <c r="M867" s="34" t="str">
        <f aca="false">IF(K867="Neraca",INDEX(I_COA!$E$6:$E$265,MATCH(D867,I_COA!$A$6:$A$265,0)),"")</f>
        <v/>
      </c>
      <c r="N867" s="34" t="str">
        <f aca="false">IF(D867="","",IFERROR(INDEX(I_COA!$G$6:$G$265,MATCH(D867,I_COA!$A$6:$A$265,0)),"N"))</f>
        <v>N</v>
      </c>
      <c r="O867" s="11" t="n">
        <f aca="false">IF(N867="N",ABS(J867),"")</f>
        <v>1360</v>
      </c>
      <c r="P867" s="18" t="str">
        <f aca="false">IF(N867="N",B867&amp;"|"&amp;ROUND(O867,0),"")</f>
        <v>PI26080048|1360</v>
      </c>
      <c r="Q867" s="18" t="str">
        <f aca="false">IF(N867&lt;&gt;"Y","",IFERROR(INDEX($D$6:$D$4005,MATCH(B867&amp;"|"&amp;ROUND(_xlfn.MAXIFS($O$6:$O$4005,$B$6:$B$4005,B867,$N$6:$N$4005,"N"),0),$P$6:$P$4005,0)),"(tanpa lawan)"))</f>
        <v/>
      </c>
      <c r="R867" s="44"/>
      <c r="S867" s="9" t="str">
        <f aca="false">IF(N867&lt;&gt;"Y","",IF(R867&lt;&gt;"",R867,IF(Q867="(tanpa lawan)","Transfer antar rekening",IFERROR(INDEX(I_COA!$F$6:$F$265,MATCH(Q867,I_COA!$A$6:$A$265,0)),"?"))))</f>
        <v/>
      </c>
    </row>
    <row r="868" customFormat="false" ht="15" hidden="false" customHeight="false" outlineLevel="0" collapsed="false">
      <c r="A868" s="37" t="n">
        <v>46247</v>
      </c>
      <c r="B868" s="44" t="s">
        <v>1298</v>
      </c>
      <c r="C868" s="44" t="s">
        <v>707</v>
      </c>
      <c r="D868" s="44" t="n">
        <v>1106001</v>
      </c>
      <c r="E868" s="44" t="s">
        <v>720</v>
      </c>
      <c r="F868" s="44" t="s">
        <v>1302</v>
      </c>
      <c r="G868" s="42" t="n">
        <v>150</v>
      </c>
      <c r="H868" s="42"/>
      <c r="I868" s="44" t="s">
        <v>1301</v>
      </c>
      <c r="J868" s="11" t="n">
        <f aca="false">IF(D868="","",N(G868)-N(H868))</f>
        <v>150</v>
      </c>
      <c r="K868" s="34" t="str">
        <f aca="false">IF(D868="","",IFERROR(INDEX(I_COA!$C$6:$C$265,MATCH(D868,I_COA!$A$6:$A$265,0)),"AKUN BARU"))</f>
        <v>Neraca</v>
      </c>
      <c r="L868" s="34" t="str">
        <f aca="false">IF(K868="LabaRugi",INDEX(I_COA!$D$6:$D$265,MATCH(D868,I_COA!$A$6:$A$265,0)),"")</f>
        <v/>
      </c>
      <c r="M868" s="34" t="str">
        <f aca="false">IF(K868="Neraca",INDEX(I_COA!$E$6:$E$265,MATCH(D868,I_COA!$A$6:$A$265,0)),"")</f>
        <v>Prepaid Tax</v>
      </c>
      <c r="N868" s="34" t="str">
        <f aca="false">IF(D868="","",IFERROR(INDEX(I_COA!$G$6:$G$265,MATCH(D868,I_COA!$A$6:$A$265,0)),"N"))</f>
        <v>N</v>
      </c>
      <c r="O868" s="11" t="n">
        <f aca="false">IF(N868="N",ABS(J868),"")</f>
        <v>150</v>
      </c>
      <c r="P868" s="18" t="str">
        <f aca="false">IF(N868="N",B868&amp;"|"&amp;ROUND(O868,0),"")</f>
        <v>PI26080048|150</v>
      </c>
      <c r="Q868" s="18" t="str">
        <f aca="false">IF(N868&lt;&gt;"Y","",IFERROR(INDEX($D$6:$D$4005,MATCH(B868&amp;"|"&amp;ROUND(_xlfn.MAXIFS($O$6:$O$4005,$B$6:$B$4005,B868,$N$6:$N$4005,"N"),0),$P$6:$P$4005,0)),"(tanpa lawan)"))</f>
        <v/>
      </c>
      <c r="R868" s="44"/>
      <c r="S868" s="9" t="str">
        <f aca="false">IF(N868&lt;&gt;"Y","",IF(R868&lt;&gt;"",R868,IF(Q868="(tanpa lawan)","Transfer antar rekening",IFERROR(INDEX(I_COA!$F$6:$F$265,MATCH(Q868,I_COA!$A$6:$A$265,0)),"?"))))</f>
        <v/>
      </c>
    </row>
    <row r="869" customFormat="false" ht="15" hidden="false" customHeight="false" outlineLevel="0" collapsed="false">
      <c r="A869" s="37" t="n">
        <v>46247</v>
      </c>
      <c r="B869" s="44" t="s">
        <v>1298</v>
      </c>
      <c r="C869" s="44" t="s">
        <v>707</v>
      </c>
      <c r="D869" s="44" t="n">
        <v>2102003</v>
      </c>
      <c r="E869" s="44" t="s">
        <v>722</v>
      </c>
      <c r="F869" s="44" t="s">
        <v>1303</v>
      </c>
      <c r="G869" s="42"/>
      <c r="H869" s="42" t="n">
        <v>27.2</v>
      </c>
      <c r="I869" s="44" t="s">
        <v>1301</v>
      </c>
      <c r="J869" s="11" t="n">
        <f aca="false">IF(D869="","",N(G869)-N(H869))</f>
        <v>-27.2</v>
      </c>
      <c r="K869" s="34" t="str">
        <f aca="false">IF(D869="","",IFERROR(INDEX(I_COA!$C$6:$C$265,MATCH(D869,I_COA!$A$6:$A$265,0)),"AKUN BARU"))</f>
        <v>Neraca</v>
      </c>
      <c r="L869" s="34" t="str">
        <f aca="false">IF(K869="LabaRugi",INDEX(I_COA!$D$6:$D$265,MATCH(D869,I_COA!$A$6:$A$265,0)),"")</f>
        <v/>
      </c>
      <c r="M869" s="34" t="str">
        <f aca="false">IF(K869="Neraca",INDEX(I_COA!$E$6:$E$265,MATCH(D869,I_COA!$A$6:$A$265,0)),"")</f>
        <v>Taxes Payable</v>
      </c>
      <c r="N869" s="34" t="str">
        <f aca="false">IF(D869="","",IFERROR(INDEX(I_COA!$G$6:$G$265,MATCH(D869,I_COA!$A$6:$A$265,0)),"N"))</f>
        <v>N</v>
      </c>
      <c r="O869" s="11" t="n">
        <f aca="false">IF(N869="N",ABS(J869),"")</f>
        <v>27.2</v>
      </c>
      <c r="P869" s="18" t="str">
        <f aca="false">IF(N869="N",B869&amp;"|"&amp;ROUND(O869,0),"")</f>
        <v>PI26080048|27</v>
      </c>
      <c r="Q869" s="18" t="str">
        <f aca="false">IF(N869&lt;&gt;"Y","",IFERROR(INDEX($D$6:$D$4005,MATCH(B869&amp;"|"&amp;ROUND(_xlfn.MAXIFS($O$6:$O$4005,$B$6:$B$4005,B869,$N$6:$N$4005,"N"),0),$P$6:$P$4005,0)),"(tanpa lawan)"))</f>
        <v/>
      </c>
      <c r="R869" s="44"/>
      <c r="S869" s="9" t="str">
        <f aca="false">IF(N869&lt;&gt;"Y","",IF(R869&lt;&gt;"",R869,IF(Q869="(tanpa lawan)","Transfer antar rekening",IFERROR(INDEX(I_COA!$F$6:$F$265,MATCH(Q869,I_COA!$A$6:$A$265,0)),"?"))))</f>
        <v/>
      </c>
    </row>
    <row r="870" customFormat="false" ht="15" hidden="false" customHeight="false" outlineLevel="0" collapsed="false">
      <c r="A870" s="37" t="n">
        <v>46247</v>
      </c>
      <c r="B870" s="44" t="s">
        <v>1298</v>
      </c>
      <c r="C870" s="44" t="s">
        <v>707</v>
      </c>
      <c r="D870" s="44" t="n">
        <v>2101003</v>
      </c>
      <c r="E870" s="44" t="s">
        <v>679</v>
      </c>
      <c r="F870" s="44" t="s">
        <v>1300</v>
      </c>
      <c r="G870" s="42"/>
      <c r="H870" s="42" t="n">
        <v>1482.8</v>
      </c>
      <c r="I870" s="44" t="s">
        <v>1301</v>
      </c>
      <c r="J870" s="11" t="n">
        <f aca="false">IF(D870="","",N(G870)-N(H870))</f>
        <v>-1482.8</v>
      </c>
      <c r="K870" s="34" t="str">
        <f aca="false">IF(D870="","",IFERROR(INDEX(I_COA!$C$6:$C$265,MATCH(D870,I_COA!$A$6:$A$265,0)),"AKUN BARU"))</f>
        <v>Neraca</v>
      </c>
      <c r="L870" s="34" t="str">
        <f aca="false">IF(K870="LabaRugi",INDEX(I_COA!$D$6:$D$265,MATCH(D870,I_COA!$A$6:$A$265,0)),"")</f>
        <v/>
      </c>
      <c r="M870" s="34" t="str">
        <f aca="false">IF(K870="Neraca",INDEX(I_COA!$E$6:$E$265,MATCH(D870,I_COA!$A$6:$A$265,0)),"")</f>
        <v>Other Payable - Third Parties</v>
      </c>
      <c r="N870" s="34" t="str">
        <f aca="false">IF(D870="","",IFERROR(INDEX(I_COA!$G$6:$G$265,MATCH(D870,I_COA!$A$6:$A$265,0)),"N"))</f>
        <v>N</v>
      </c>
      <c r="O870" s="11" t="n">
        <f aca="false">IF(N870="N",ABS(J870),"")</f>
        <v>1482.8</v>
      </c>
      <c r="P870" s="18" t="str">
        <f aca="false">IF(N870="N",B870&amp;"|"&amp;ROUND(O870,0),"")</f>
        <v>PI26080048|1483</v>
      </c>
      <c r="Q870" s="18" t="str">
        <f aca="false">IF(N870&lt;&gt;"Y","",IFERROR(INDEX($D$6:$D$4005,MATCH(B870&amp;"|"&amp;ROUND(_xlfn.MAXIFS($O$6:$O$4005,$B$6:$B$4005,B870,$N$6:$N$4005,"N"),0),$P$6:$P$4005,0)),"(tanpa lawan)"))</f>
        <v/>
      </c>
      <c r="R870" s="44"/>
      <c r="S870" s="9" t="str">
        <f aca="false">IF(N870&lt;&gt;"Y","",IF(R870&lt;&gt;"",R870,IF(Q870="(tanpa lawan)","Transfer antar rekening",IFERROR(INDEX(I_COA!$F$6:$F$265,MATCH(Q870,I_COA!$A$6:$A$265,0)),"?"))))</f>
        <v/>
      </c>
    </row>
    <row r="871" customFormat="false" ht="15" hidden="false" customHeight="false" outlineLevel="0" collapsed="false">
      <c r="A871" s="37" t="n">
        <v>46247</v>
      </c>
      <c r="B871" s="44" t="s">
        <v>1304</v>
      </c>
      <c r="C871" s="44" t="s">
        <v>707</v>
      </c>
      <c r="D871" s="44" t="n">
        <v>6200013</v>
      </c>
      <c r="E871" s="44" t="s">
        <v>1299</v>
      </c>
      <c r="F871" s="44" t="s">
        <v>1305</v>
      </c>
      <c r="G871" s="42" t="n">
        <v>10480</v>
      </c>
      <c r="H871" s="42"/>
      <c r="I871" s="44" t="s">
        <v>1301</v>
      </c>
      <c r="J871" s="11" t="n">
        <f aca="false">IF(D871="","",N(G871)-N(H871))</f>
        <v>10480</v>
      </c>
      <c r="K871" s="34" t="str">
        <f aca="false">IF(D871="","",IFERROR(INDEX(I_COA!$C$6:$C$265,MATCH(D871,I_COA!$A$6:$A$265,0)),"AKUN BARU"))</f>
        <v>LabaRugi</v>
      </c>
      <c r="L871" s="34" t="str">
        <f aca="false">IF(K871="LabaRugi",INDEX(I_COA!$D$6:$D$265,MATCH(D871,I_COA!$A$6:$A$265,0)),"")</f>
        <v>Office Supplies &amp; Utilities</v>
      </c>
      <c r="M871" s="34" t="str">
        <f aca="false">IF(K871="Neraca",INDEX(I_COA!$E$6:$E$265,MATCH(D871,I_COA!$A$6:$A$265,0)),"")</f>
        <v/>
      </c>
      <c r="N871" s="34" t="str">
        <f aca="false">IF(D871="","",IFERROR(INDEX(I_COA!$G$6:$G$265,MATCH(D871,I_COA!$A$6:$A$265,0)),"N"))</f>
        <v>N</v>
      </c>
      <c r="O871" s="11" t="n">
        <f aca="false">IF(N871="N",ABS(J871),"")</f>
        <v>10480</v>
      </c>
      <c r="P871" s="18" t="str">
        <f aca="false">IF(N871="N",B871&amp;"|"&amp;ROUND(O871,0),"")</f>
        <v>PI26080049|10480</v>
      </c>
      <c r="Q871" s="18" t="str">
        <f aca="false">IF(N871&lt;&gt;"Y","",IFERROR(INDEX($D$6:$D$4005,MATCH(B871&amp;"|"&amp;ROUND(_xlfn.MAXIFS($O$6:$O$4005,$B$6:$B$4005,B871,$N$6:$N$4005,"N"),0),$P$6:$P$4005,0)),"(tanpa lawan)"))</f>
        <v/>
      </c>
      <c r="R871" s="44"/>
      <c r="S871" s="9" t="str">
        <f aca="false">IF(N871&lt;&gt;"Y","",IF(R871&lt;&gt;"",R871,IF(Q871="(tanpa lawan)","Transfer antar rekening",IFERROR(INDEX(I_COA!$F$6:$F$265,MATCH(Q871,I_COA!$A$6:$A$265,0)),"?"))))</f>
        <v/>
      </c>
    </row>
    <row r="872" customFormat="false" ht="15" hidden="false" customHeight="false" outlineLevel="0" collapsed="false">
      <c r="A872" s="37" t="n">
        <v>46247</v>
      </c>
      <c r="B872" s="44" t="s">
        <v>1304</v>
      </c>
      <c r="C872" s="44" t="s">
        <v>707</v>
      </c>
      <c r="D872" s="44" t="n">
        <v>1106001</v>
      </c>
      <c r="E872" s="44" t="s">
        <v>720</v>
      </c>
      <c r="F872" s="44" t="s">
        <v>1306</v>
      </c>
      <c r="G872" s="42" t="n">
        <v>1153</v>
      </c>
      <c r="H872" s="42"/>
      <c r="I872" s="44" t="s">
        <v>1301</v>
      </c>
      <c r="J872" s="11" t="n">
        <f aca="false">IF(D872="","",N(G872)-N(H872))</f>
        <v>1153</v>
      </c>
      <c r="K872" s="34" t="str">
        <f aca="false">IF(D872="","",IFERROR(INDEX(I_COA!$C$6:$C$265,MATCH(D872,I_COA!$A$6:$A$265,0)),"AKUN BARU"))</f>
        <v>Neraca</v>
      </c>
      <c r="L872" s="34" t="str">
        <f aca="false">IF(K872="LabaRugi",INDEX(I_COA!$D$6:$D$265,MATCH(D872,I_COA!$A$6:$A$265,0)),"")</f>
        <v/>
      </c>
      <c r="M872" s="34" t="str">
        <f aca="false">IF(K872="Neraca",INDEX(I_COA!$E$6:$E$265,MATCH(D872,I_COA!$A$6:$A$265,0)),"")</f>
        <v>Prepaid Tax</v>
      </c>
      <c r="N872" s="34" t="str">
        <f aca="false">IF(D872="","",IFERROR(INDEX(I_COA!$G$6:$G$265,MATCH(D872,I_COA!$A$6:$A$265,0)),"N"))</f>
        <v>N</v>
      </c>
      <c r="O872" s="11" t="n">
        <f aca="false">IF(N872="N",ABS(J872),"")</f>
        <v>1153</v>
      </c>
      <c r="P872" s="18" t="str">
        <f aca="false">IF(N872="N",B872&amp;"|"&amp;ROUND(O872,0),"")</f>
        <v>PI26080049|1153</v>
      </c>
      <c r="Q872" s="18" t="str">
        <f aca="false">IF(N872&lt;&gt;"Y","",IFERROR(INDEX($D$6:$D$4005,MATCH(B872&amp;"|"&amp;ROUND(_xlfn.MAXIFS($O$6:$O$4005,$B$6:$B$4005,B872,$N$6:$N$4005,"N"),0),$P$6:$P$4005,0)),"(tanpa lawan)"))</f>
        <v/>
      </c>
      <c r="R872" s="44"/>
      <c r="S872" s="9" t="str">
        <f aca="false">IF(N872&lt;&gt;"Y","",IF(R872&lt;&gt;"",R872,IF(Q872="(tanpa lawan)","Transfer antar rekening",IFERROR(INDEX(I_COA!$F$6:$F$265,MATCH(Q872,I_COA!$A$6:$A$265,0)),"?"))))</f>
        <v/>
      </c>
    </row>
    <row r="873" customFormat="false" ht="15" hidden="false" customHeight="false" outlineLevel="0" collapsed="false">
      <c r="A873" s="37" t="n">
        <v>46247</v>
      </c>
      <c r="B873" s="44" t="s">
        <v>1304</v>
      </c>
      <c r="C873" s="44" t="s">
        <v>707</v>
      </c>
      <c r="D873" s="44" t="n">
        <v>2102003</v>
      </c>
      <c r="E873" s="44" t="s">
        <v>722</v>
      </c>
      <c r="F873" s="44" t="s">
        <v>1307</v>
      </c>
      <c r="G873" s="42"/>
      <c r="H873" s="42" t="n">
        <v>209.6</v>
      </c>
      <c r="I873" s="44" t="s">
        <v>1301</v>
      </c>
      <c r="J873" s="11" t="n">
        <f aca="false">IF(D873="","",N(G873)-N(H873))</f>
        <v>-209.6</v>
      </c>
      <c r="K873" s="34" t="str">
        <f aca="false">IF(D873="","",IFERROR(INDEX(I_COA!$C$6:$C$265,MATCH(D873,I_COA!$A$6:$A$265,0)),"AKUN BARU"))</f>
        <v>Neraca</v>
      </c>
      <c r="L873" s="34" t="str">
        <f aca="false">IF(K873="LabaRugi",INDEX(I_COA!$D$6:$D$265,MATCH(D873,I_COA!$A$6:$A$265,0)),"")</f>
        <v/>
      </c>
      <c r="M873" s="34" t="str">
        <f aca="false">IF(K873="Neraca",INDEX(I_COA!$E$6:$E$265,MATCH(D873,I_COA!$A$6:$A$265,0)),"")</f>
        <v>Taxes Payable</v>
      </c>
      <c r="N873" s="34" t="str">
        <f aca="false">IF(D873="","",IFERROR(INDEX(I_COA!$G$6:$G$265,MATCH(D873,I_COA!$A$6:$A$265,0)),"N"))</f>
        <v>N</v>
      </c>
      <c r="O873" s="11" t="n">
        <f aca="false">IF(N873="N",ABS(J873),"")</f>
        <v>209.6</v>
      </c>
      <c r="P873" s="18" t="str">
        <f aca="false">IF(N873="N",B873&amp;"|"&amp;ROUND(O873,0),"")</f>
        <v>PI26080049|210</v>
      </c>
      <c r="Q873" s="18" t="str">
        <f aca="false">IF(N873&lt;&gt;"Y","",IFERROR(INDEX($D$6:$D$4005,MATCH(B873&amp;"|"&amp;ROUND(_xlfn.MAXIFS($O$6:$O$4005,$B$6:$B$4005,B873,$N$6:$N$4005,"N"),0),$P$6:$P$4005,0)),"(tanpa lawan)"))</f>
        <v/>
      </c>
      <c r="R873" s="44"/>
      <c r="S873" s="9" t="str">
        <f aca="false">IF(N873&lt;&gt;"Y","",IF(R873&lt;&gt;"",R873,IF(Q873="(tanpa lawan)","Transfer antar rekening",IFERROR(INDEX(I_COA!$F$6:$F$265,MATCH(Q873,I_COA!$A$6:$A$265,0)),"?"))))</f>
        <v/>
      </c>
    </row>
    <row r="874" customFormat="false" ht="15" hidden="false" customHeight="false" outlineLevel="0" collapsed="false">
      <c r="A874" s="37" t="n">
        <v>46247</v>
      </c>
      <c r="B874" s="44" t="s">
        <v>1304</v>
      </c>
      <c r="C874" s="44" t="s">
        <v>707</v>
      </c>
      <c r="D874" s="44" t="n">
        <v>2101003</v>
      </c>
      <c r="E874" s="44" t="s">
        <v>679</v>
      </c>
      <c r="F874" s="44" t="s">
        <v>1305</v>
      </c>
      <c r="G874" s="42"/>
      <c r="H874" s="42" t="n">
        <v>11423.4</v>
      </c>
      <c r="I874" s="44" t="s">
        <v>1301</v>
      </c>
      <c r="J874" s="11" t="n">
        <f aca="false">IF(D874="","",N(G874)-N(H874))</f>
        <v>-11423.4</v>
      </c>
      <c r="K874" s="34" t="str">
        <f aca="false">IF(D874="","",IFERROR(INDEX(I_COA!$C$6:$C$265,MATCH(D874,I_COA!$A$6:$A$265,0)),"AKUN BARU"))</f>
        <v>Neraca</v>
      </c>
      <c r="L874" s="34" t="str">
        <f aca="false">IF(K874="LabaRugi",INDEX(I_COA!$D$6:$D$265,MATCH(D874,I_COA!$A$6:$A$265,0)),"")</f>
        <v/>
      </c>
      <c r="M874" s="34" t="str">
        <f aca="false">IF(K874="Neraca",INDEX(I_COA!$E$6:$E$265,MATCH(D874,I_COA!$A$6:$A$265,0)),"")</f>
        <v>Other Payable - Third Parties</v>
      </c>
      <c r="N874" s="34" t="str">
        <f aca="false">IF(D874="","",IFERROR(INDEX(I_COA!$G$6:$G$265,MATCH(D874,I_COA!$A$6:$A$265,0)),"N"))</f>
        <v>N</v>
      </c>
      <c r="O874" s="11" t="n">
        <f aca="false">IF(N874="N",ABS(J874),"")</f>
        <v>11423.4</v>
      </c>
      <c r="P874" s="18" t="str">
        <f aca="false">IF(N874="N",B874&amp;"|"&amp;ROUND(O874,0),"")</f>
        <v>PI26080049|11423</v>
      </c>
      <c r="Q874" s="18" t="str">
        <f aca="false">IF(N874&lt;&gt;"Y","",IFERROR(INDEX($D$6:$D$4005,MATCH(B874&amp;"|"&amp;ROUND(_xlfn.MAXIFS($O$6:$O$4005,$B$6:$B$4005,B874,$N$6:$N$4005,"N"),0),$P$6:$P$4005,0)),"(tanpa lawan)"))</f>
        <v/>
      </c>
      <c r="R874" s="44"/>
      <c r="S874" s="9" t="str">
        <f aca="false">IF(N874&lt;&gt;"Y","",IF(R874&lt;&gt;"",R874,IF(Q874="(tanpa lawan)","Transfer antar rekening",IFERROR(INDEX(I_COA!$F$6:$F$265,MATCH(Q874,I_COA!$A$6:$A$265,0)),"?"))))</f>
        <v/>
      </c>
    </row>
    <row r="875" customFormat="false" ht="15" hidden="false" customHeight="false" outlineLevel="0" collapsed="false">
      <c r="A875" s="37" t="n">
        <v>46248</v>
      </c>
      <c r="B875" s="44" t="s">
        <v>1308</v>
      </c>
      <c r="C875" s="44" t="s">
        <v>580</v>
      </c>
      <c r="D875" s="44" t="n">
        <v>1102001</v>
      </c>
      <c r="E875" s="44" t="s">
        <v>586</v>
      </c>
      <c r="F875" s="44" t="s">
        <v>1309</v>
      </c>
      <c r="G875" s="42" t="n">
        <v>15219200</v>
      </c>
      <c r="H875" s="42"/>
      <c r="I875" s="44"/>
      <c r="J875" s="11" t="n">
        <f aca="false">IF(D875="","",N(G875)-N(H875))</f>
        <v>15219200</v>
      </c>
      <c r="K875" s="34" t="str">
        <f aca="false">IF(D875="","",IFERROR(INDEX(I_COA!$C$6:$C$265,MATCH(D875,I_COA!$A$6:$A$265,0)),"AKUN BARU"))</f>
        <v>Neraca</v>
      </c>
      <c r="L875" s="34" t="str">
        <f aca="false">IF(K875="LabaRugi",INDEX(I_COA!$D$6:$D$265,MATCH(D875,I_COA!$A$6:$A$265,0)),"")</f>
        <v/>
      </c>
      <c r="M875" s="34" t="str">
        <f aca="false">IF(K875="Neraca",INDEX(I_COA!$E$6:$E$265,MATCH(D875,I_COA!$A$6:$A$265,0)),"")</f>
        <v>Cash and cash equivalents</v>
      </c>
      <c r="N875" s="34" t="str">
        <f aca="false">IF(D875="","",IFERROR(INDEX(I_COA!$G$6:$G$265,MATCH(D875,I_COA!$A$6:$A$265,0)),"N"))</f>
        <v>Y</v>
      </c>
      <c r="O875" s="11" t="str">
        <f aca="false">IF(N875="N",ABS(J875),"")</f>
        <v/>
      </c>
      <c r="P875" s="18" t="str">
        <f aca="false">IF(N875="N",B875&amp;"|"&amp;ROUND(O875,0),"")</f>
        <v/>
      </c>
      <c r="Q875" s="18" t="n">
        <f aca="false">IF(N875&lt;&gt;"Y","",IFERROR(INDEX($D$6:$D$4005,MATCH(B875&amp;"|"&amp;ROUND(_xlfn.MAXIFS($O$6:$O$4005,$B$6:$B$4005,B875,$N$6:$N$4005,"N"),0),$P$6:$P$4005,0)),"(tanpa lawan)"))</f>
        <v>2101020</v>
      </c>
      <c r="R875" s="44"/>
      <c r="S875" s="9" t="str">
        <f aca="false">IF(N875&lt;&gt;"Y","",IF(R875&lt;&gt;"",R875,IF(Q875="(tanpa lawan)","Transfer antar rekening",IFERROR(INDEX(I_COA!$F$6:$F$265,MATCH(Q875,I_COA!$A$6:$A$265,0)),"?"))))</f>
        <v>Penerimaan dari pelanggan</v>
      </c>
    </row>
    <row r="876" customFormat="false" ht="15" hidden="false" customHeight="false" outlineLevel="0" collapsed="false">
      <c r="A876" s="37" t="n">
        <v>46248</v>
      </c>
      <c r="B876" s="44" t="s">
        <v>1308</v>
      </c>
      <c r="C876" s="44" t="s">
        <v>580</v>
      </c>
      <c r="D876" s="44" t="n">
        <v>2101020</v>
      </c>
      <c r="E876" s="44" t="s">
        <v>653</v>
      </c>
      <c r="F876" s="44" t="s">
        <v>1309</v>
      </c>
      <c r="G876" s="42"/>
      <c r="H876" s="42" t="n">
        <v>15219200</v>
      </c>
      <c r="I876" s="44" t="s">
        <v>660</v>
      </c>
      <c r="J876" s="11" t="n">
        <f aca="false">IF(D876="","",N(G876)-N(H876))</f>
        <v>-15219200</v>
      </c>
      <c r="K876" s="34" t="str">
        <f aca="false">IF(D876="","",IFERROR(INDEX(I_COA!$C$6:$C$265,MATCH(D876,I_COA!$A$6:$A$265,0)),"AKUN BARU"))</f>
        <v>Neraca</v>
      </c>
      <c r="L876" s="34" t="str">
        <f aca="false">IF(K876="LabaRugi",INDEX(I_COA!$D$6:$D$265,MATCH(D876,I_COA!$A$6:$A$265,0)),"")</f>
        <v/>
      </c>
      <c r="M876" s="34" t="str">
        <f aca="false">IF(K876="Neraca",INDEX(I_COA!$E$6:$E$265,MATCH(D876,I_COA!$A$6:$A$265,0)),"")</f>
        <v>Unearned Revenue</v>
      </c>
      <c r="N876" s="34" t="str">
        <f aca="false">IF(D876="","",IFERROR(INDEX(I_COA!$G$6:$G$265,MATCH(D876,I_COA!$A$6:$A$265,0)),"N"))</f>
        <v>N</v>
      </c>
      <c r="O876" s="11" t="n">
        <f aca="false">IF(N876="N",ABS(J876),"")</f>
        <v>15219200</v>
      </c>
      <c r="P876" s="18" t="str">
        <f aca="false">IF(N876="N",B876&amp;"|"&amp;ROUND(O876,0),"")</f>
        <v>B7626080060|15219200</v>
      </c>
      <c r="Q876" s="18" t="str">
        <f aca="false">IF(N876&lt;&gt;"Y","",IFERROR(INDEX($D$6:$D$4005,MATCH(B876&amp;"|"&amp;ROUND(_xlfn.MAXIFS($O$6:$O$4005,$B$6:$B$4005,B876,$N$6:$N$4005,"N"),0),$P$6:$P$4005,0)),"(tanpa lawan)"))</f>
        <v/>
      </c>
      <c r="R876" s="44"/>
      <c r="S876" s="9" t="str">
        <f aca="false">IF(N876&lt;&gt;"Y","",IF(R876&lt;&gt;"",R876,IF(Q876="(tanpa lawan)","Transfer antar rekening",IFERROR(INDEX(I_COA!$F$6:$F$265,MATCH(Q876,I_COA!$A$6:$A$265,0)),"?"))))</f>
        <v/>
      </c>
    </row>
    <row r="877" customFormat="false" ht="15" hidden="false" customHeight="false" outlineLevel="0" collapsed="false">
      <c r="A877" s="37" t="n">
        <v>46248</v>
      </c>
      <c r="B877" s="44" t="s">
        <v>1310</v>
      </c>
      <c r="C877" s="44" t="s">
        <v>580</v>
      </c>
      <c r="D877" s="44" t="n">
        <v>1102001</v>
      </c>
      <c r="E877" s="44" t="s">
        <v>586</v>
      </c>
      <c r="F877" s="44" t="s">
        <v>1309</v>
      </c>
      <c r="G877" s="42" t="n">
        <v>10000000</v>
      </c>
      <c r="H877" s="42"/>
      <c r="I877" s="44"/>
      <c r="J877" s="11" t="n">
        <f aca="false">IF(D877="","",N(G877)-N(H877))</f>
        <v>10000000</v>
      </c>
      <c r="K877" s="34" t="str">
        <f aca="false">IF(D877="","",IFERROR(INDEX(I_COA!$C$6:$C$265,MATCH(D877,I_COA!$A$6:$A$265,0)),"AKUN BARU"))</f>
        <v>Neraca</v>
      </c>
      <c r="L877" s="34" t="str">
        <f aca="false">IF(K877="LabaRugi",INDEX(I_COA!$D$6:$D$265,MATCH(D877,I_COA!$A$6:$A$265,0)),"")</f>
        <v/>
      </c>
      <c r="M877" s="34" t="str">
        <f aca="false">IF(K877="Neraca",INDEX(I_COA!$E$6:$E$265,MATCH(D877,I_COA!$A$6:$A$265,0)),"")</f>
        <v>Cash and cash equivalents</v>
      </c>
      <c r="N877" s="34" t="str">
        <f aca="false">IF(D877="","",IFERROR(INDEX(I_COA!$G$6:$G$265,MATCH(D877,I_COA!$A$6:$A$265,0)),"N"))</f>
        <v>Y</v>
      </c>
      <c r="O877" s="11" t="str">
        <f aca="false">IF(N877="N",ABS(J877),"")</f>
        <v/>
      </c>
      <c r="P877" s="18" t="str">
        <f aca="false">IF(N877="N",B877&amp;"|"&amp;ROUND(O877,0),"")</f>
        <v/>
      </c>
      <c r="Q877" s="18" t="n">
        <f aca="false">IF(N877&lt;&gt;"Y","",IFERROR(INDEX($D$6:$D$4005,MATCH(B877&amp;"|"&amp;ROUND(_xlfn.MAXIFS($O$6:$O$4005,$B$6:$B$4005,B877,$N$6:$N$4005,"N"),0),$P$6:$P$4005,0)),"(tanpa lawan)"))</f>
        <v>2101020</v>
      </c>
      <c r="R877" s="44"/>
      <c r="S877" s="9" t="str">
        <f aca="false">IF(N877&lt;&gt;"Y","",IF(R877&lt;&gt;"",R877,IF(Q877="(tanpa lawan)","Transfer antar rekening",IFERROR(INDEX(I_COA!$F$6:$F$265,MATCH(Q877,I_COA!$A$6:$A$265,0)),"?"))))</f>
        <v>Penerimaan dari pelanggan</v>
      </c>
    </row>
    <row r="878" customFormat="false" ht="15" hidden="false" customHeight="false" outlineLevel="0" collapsed="false">
      <c r="A878" s="37" t="n">
        <v>46248</v>
      </c>
      <c r="B878" s="44" t="s">
        <v>1310</v>
      </c>
      <c r="C878" s="44" t="s">
        <v>580</v>
      </c>
      <c r="D878" s="44" t="n">
        <v>2101020</v>
      </c>
      <c r="E878" s="44" t="s">
        <v>653</v>
      </c>
      <c r="F878" s="44" t="s">
        <v>1309</v>
      </c>
      <c r="G878" s="42"/>
      <c r="H878" s="42" t="n">
        <v>10000000</v>
      </c>
      <c r="I878" s="44" t="s">
        <v>660</v>
      </c>
      <c r="J878" s="11" t="n">
        <f aca="false">IF(D878="","",N(G878)-N(H878))</f>
        <v>-10000000</v>
      </c>
      <c r="K878" s="34" t="str">
        <f aca="false">IF(D878="","",IFERROR(INDEX(I_COA!$C$6:$C$265,MATCH(D878,I_COA!$A$6:$A$265,0)),"AKUN BARU"))</f>
        <v>Neraca</v>
      </c>
      <c r="L878" s="34" t="str">
        <f aca="false">IF(K878="LabaRugi",INDEX(I_COA!$D$6:$D$265,MATCH(D878,I_COA!$A$6:$A$265,0)),"")</f>
        <v/>
      </c>
      <c r="M878" s="34" t="str">
        <f aca="false">IF(K878="Neraca",INDEX(I_COA!$E$6:$E$265,MATCH(D878,I_COA!$A$6:$A$265,0)),"")</f>
        <v>Unearned Revenue</v>
      </c>
      <c r="N878" s="34" t="str">
        <f aca="false">IF(D878="","",IFERROR(INDEX(I_COA!$G$6:$G$265,MATCH(D878,I_COA!$A$6:$A$265,0)),"N"))</f>
        <v>N</v>
      </c>
      <c r="O878" s="11" t="n">
        <f aca="false">IF(N878="N",ABS(J878),"")</f>
        <v>10000000</v>
      </c>
      <c r="P878" s="18" t="str">
        <f aca="false">IF(N878="N",B878&amp;"|"&amp;ROUND(O878,0),"")</f>
        <v>B7626080061|10000000</v>
      </c>
      <c r="Q878" s="18" t="str">
        <f aca="false">IF(N878&lt;&gt;"Y","",IFERROR(INDEX($D$6:$D$4005,MATCH(B878&amp;"|"&amp;ROUND(_xlfn.MAXIFS($O$6:$O$4005,$B$6:$B$4005,B878,$N$6:$N$4005,"N"),0),$P$6:$P$4005,0)),"(tanpa lawan)"))</f>
        <v/>
      </c>
      <c r="R878" s="44"/>
      <c r="S878" s="9" t="str">
        <f aca="false">IF(N878&lt;&gt;"Y","",IF(R878&lt;&gt;"",R878,IF(Q878="(tanpa lawan)","Transfer antar rekening",IFERROR(INDEX(I_COA!$F$6:$F$265,MATCH(Q878,I_COA!$A$6:$A$265,0)),"?"))))</f>
        <v/>
      </c>
    </row>
    <row r="879" customFormat="false" ht="15" hidden="false" customHeight="false" outlineLevel="0" collapsed="false">
      <c r="A879" s="37" t="n">
        <v>46248</v>
      </c>
      <c r="B879" s="44" t="s">
        <v>1311</v>
      </c>
      <c r="C879" s="44" t="s">
        <v>585</v>
      </c>
      <c r="D879" s="44" t="n">
        <v>1102001</v>
      </c>
      <c r="E879" s="44" t="s">
        <v>586</v>
      </c>
      <c r="F879" s="44" t="s">
        <v>1312</v>
      </c>
      <c r="G879" s="42" t="n">
        <v>56134050</v>
      </c>
      <c r="H879" s="42"/>
      <c r="I879" s="44" t="s">
        <v>841</v>
      </c>
      <c r="J879" s="11" t="n">
        <f aca="false">IF(D879="","",N(G879)-N(H879))</f>
        <v>56134050</v>
      </c>
      <c r="K879" s="34" t="str">
        <f aca="false">IF(D879="","",IFERROR(INDEX(I_COA!$C$6:$C$265,MATCH(D879,I_COA!$A$6:$A$265,0)),"AKUN BARU"))</f>
        <v>Neraca</v>
      </c>
      <c r="L879" s="34" t="str">
        <f aca="false">IF(K879="LabaRugi",INDEX(I_COA!$D$6:$D$265,MATCH(D879,I_COA!$A$6:$A$265,0)),"")</f>
        <v/>
      </c>
      <c r="M879" s="34" t="str">
        <f aca="false">IF(K879="Neraca",INDEX(I_COA!$E$6:$E$265,MATCH(D879,I_COA!$A$6:$A$265,0)),"")</f>
        <v>Cash and cash equivalents</v>
      </c>
      <c r="N879" s="34" t="str">
        <f aca="false">IF(D879="","",IFERROR(INDEX(I_COA!$G$6:$G$265,MATCH(D879,I_COA!$A$6:$A$265,0)),"N"))</f>
        <v>Y</v>
      </c>
      <c r="O879" s="11" t="str">
        <f aca="false">IF(N879="N",ABS(J879),"")</f>
        <v/>
      </c>
      <c r="P879" s="18" t="str">
        <f aca="false">IF(N879="N",B879&amp;"|"&amp;ROUND(O879,0),"")</f>
        <v/>
      </c>
      <c r="Q879" s="18" t="n">
        <f aca="false">IF(N879&lt;&gt;"Y","",IFERROR(INDEX($D$6:$D$4005,MATCH(B879&amp;"|"&amp;ROUND(_xlfn.MAXIFS($O$6:$O$4005,$B$6:$B$4005,B879,$N$6:$N$4005,"N"),0),$P$6:$P$4005,0)),"(tanpa lawan)"))</f>
        <v>2101020</v>
      </c>
      <c r="R879" s="44"/>
      <c r="S879" s="9" t="str">
        <f aca="false">IF(N879&lt;&gt;"Y","",IF(R879&lt;&gt;"",R879,IF(Q879="(tanpa lawan)","Transfer antar rekening",IFERROR(INDEX(I_COA!$F$6:$F$265,MATCH(Q879,I_COA!$A$6:$A$265,0)),"?"))))</f>
        <v>Penerimaan dari pelanggan</v>
      </c>
    </row>
    <row r="880" customFormat="false" ht="15" hidden="false" customHeight="false" outlineLevel="0" collapsed="false">
      <c r="A880" s="37" t="n">
        <v>46248</v>
      </c>
      <c r="B880" s="44" t="s">
        <v>1311</v>
      </c>
      <c r="C880" s="44" t="s">
        <v>585</v>
      </c>
      <c r="D880" s="44" t="n">
        <v>1103101</v>
      </c>
      <c r="E880" s="44" t="s">
        <v>589</v>
      </c>
      <c r="F880" s="44" t="s">
        <v>1312</v>
      </c>
      <c r="G880" s="42"/>
      <c r="H880" s="42" t="n">
        <v>56134050</v>
      </c>
      <c r="I880" s="44" t="s">
        <v>841</v>
      </c>
      <c r="J880" s="11" t="n">
        <f aca="false">IF(D880="","",N(G880)-N(H880))</f>
        <v>-56134050</v>
      </c>
      <c r="K880" s="34" t="str">
        <f aca="false">IF(D880="","",IFERROR(INDEX(I_COA!$C$6:$C$265,MATCH(D880,I_COA!$A$6:$A$265,0)),"AKUN BARU"))</f>
        <v>Neraca</v>
      </c>
      <c r="L880" s="34" t="str">
        <f aca="false">IF(K880="LabaRugi",INDEX(I_COA!$D$6:$D$265,MATCH(D880,I_COA!$A$6:$A$265,0)),"")</f>
        <v/>
      </c>
      <c r="M880" s="34" t="str">
        <f aca="false">IF(K880="Neraca",INDEX(I_COA!$E$6:$E$265,MATCH(D880,I_COA!$A$6:$A$265,0)),"")</f>
        <v>Trade Receivables - Third Parties</v>
      </c>
      <c r="N880" s="34" t="str">
        <f aca="false">IF(D880="","",IFERROR(INDEX(I_COA!$G$6:$G$265,MATCH(D880,I_COA!$A$6:$A$265,0)),"N"))</f>
        <v>N</v>
      </c>
      <c r="O880" s="11" t="n">
        <f aca="false">IF(N880="N",ABS(J880),"")</f>
        <v>56134050</v>
      </c>
      <c r="P880" s="18" t="str">
        <f aca="false">IF(N880="N",B880&amp;"|"&amp;ROUND(O880,0),"")</f>
        <v>B7626080062|56134050</v>
      </c>
      <c r="Q880" s="18" t="str">
        <f aca="false">IF(N880&lt;&gt;"Y","",IFERROR(INDEX($D$6:$D$4005,MATCH(B880&amp;"|"&amp;ROUND(_xlfn.MAXIFS($O$6:$O$4005,$B$6:$B$4005,B880,$N$6:$N$4005,"N"),0),$P$6:$P$4005,0)),"(tanpa lawan)"))</f>
        <v/>
      </c>
      <c r="R880" s="44"/>
      <c r="S880" s="9" t="str">
        <f aca="false">IF(N880&lt;&gt;"Y","",IF(R880&lt;&gt;"",R880,IF(Q880="(tanpa lawan)","Transfer antar rekening",IFERROR(INDEX(I_COA!$F$6:$F$265,MATCH(Q880,I_COA!$A$6:$A$265,0)),"?"))))</f>
        <v/>
      </c>
    </row>
    <row r="881" customFormat="false" ht="15" hidden="false" customHeight="false" outlineLevel="0" collapsed="false">
      <c r="A881" s="37" t="n">
        <v>46248</v>
      </c>
      <c r="B881" s="44" t="s">
        <v>1313</v>
      </c>
      <c r="C881" s="44" t="s">
        <v>585</v>
      </c>
      <c r="D881" s="44" t="n">
        <v>1102001</v>
      </c>
      <c r="E881" s="44" t="s">
        <v>586</v>
      </c>
      <c r="F881" s="44" t="s">
        <v>1314</v>
      </c>
      <c r="G881" s="42" t="n">
        <v>46368000</v>
      </c>
      <c r="H881" s="42"/>
      <c r="I881" s="44" t="s">
        <v>465</v>
      </c>
      <c r="J881" s="11" t="n">
        <f aca="false">IF(D881="","",N(G881)-N(H881))</f>
        <v>46368000</v>
      </c>
      <c r="K881" s="34" t="str">
        <f aca="false">IF(D881="","",IFERROR(INDEX(I_COA!$C$6:$C$265,MATCH(D881,I_COA!$A$6:$A$265,0)),"AKUN BARU"))</f>
        <v>Neraca</v>
      </c>
      <c r="L881" s="34" t="str">
        <f aca="false">IF(K881="LabaRugi",INDEX(I_COA!$D$6:$D$265,MATCH(D881,I_COA!$A$6:$A$265,0)),"")</f>
        <v/>
      </c>
      <c r="M881" s="34" t="str">
        <f aca="false">IF(K881="Neraca",INDEX(I_COA!$E$6:$E$265,MATCH(D881,I_COA!$A$6:$A$265,0)),"")</f>
        <v>Cash and cash equivalents</v>
      </c>
      <c r="N881" s="34" t="str">
        <f aca="false">IF(D881="","",IFERROR(INDEX(I_COA!$G$6:$G$265,MATCH(D881,I_COA!$A$6:$A$265,0)),"N"))</f>
        <v>Y</v>
      </c>
      <c r="O881" s="11" t="str">
        <f aca="false">IF(N881="N",ABS(J881),"")</f>
        <v/>
      </c>
      <c r="P881" s="18" t="str">
        <f aca="false">IF(N881="N",B881&amp;"|"&amp;ROUND(O881,0),"")</f>
        <v/>
      </c>
      <c r="Q881" s="18" t="n">
        <f aca="false">IF(N881&lt;&gt;"Y","",IFERROR(INDEX($D$6:$D$4005,MATCH(B881&amp;"|"&amp;ROUND(_xlfn.MAXIFS($O$6:$O$4005,$B$6:$B$4005,B881,$N$6:$N$4005,"N"),0),$P$6:$P$4005,0)),"(tanpa lawan)"))</f>
        <v>1103101</v>
      </c>
      <c r="R881" s="44"/>
      <c r="S881" s="9" t="str">
        <f aca="false">IF(N881&lt;&gt;"Y","",IF(R881&lt;&gt;"",R881,IF(Q881="(tanpa lawan)","Transfer antar rekening",IFERROR(INDEX(I_COA!$F$6:$F$265,MATCH(Q881,I_COA!$A$6:$A$265,0)),"?"))))</f>
        <v>Penerimaan dari pelanggan</v>
      </c>
    </row>
    <row r="882" customFormat="false" ht="15" hidden="false" customHeight="false" outlineLevel="0" collapsed="false">
      <c r="A882" s="37" t="n">
        <v>46248</v>
      </c>
      <c r="B882" s="44" t="s">
        <v>1313</v>
      </c>
      <c r="C882" s="44" t="s">
        <v>585</v>
      </c>
      <c r="D882" s="44" t="n">
        <v>1103101</v>
      </c>
      <c r="E882" s="44" t="s">
        <v>589</v>
      </c>
      <c r="F882" s="44" t="s">
        <v>1314</v>
      </c>
      <c r="G882" s="42"/>
      <c r="H882" s="42" t="n">
        <v>46368000</v>
      </c>
      <c r="I882" s="44" t="s">
        <v>465</v>
      </c>
      <c r="J882" s="11" t="n">
        <f aca="false">IF(D882="","",N(G882)-N(H882))</f>
        <v>-46368000</v>
      </c>
      <c r="K882" s="34" t="str">
        <f aca="false">IF(D882="","",IFERROR(INDEX(I_COA!$C$6:$C$265,MATCH(D882,I_COA!$A$6:$A$265,0)),"AKUN BARU"))</f>
        <v>Neraca</v>
      </c>
      <c r="L882" s="34" t="str">
        <f aca="false">IF(K882="LabaRugi",INDEX(I_COA!$D$6:$D$265,MATCH(D882,I_COA!$A$6:$A$265,0)),"")</f>
        <v/>
      </c>
      <c r="M882" s="34" t="str">
        <f aca="false">IF(K882="Neraca",INDEX(I_COA!$E$6:$E$265,MATCH(D882,I_COA!$A$6:$A$265,0)),"")</f>
        <v>Trade Receivables - Third Parties</v>
      </c>
      <c r="N882" s="34" t="str">
        <f aca="false">IF(D882="","",IFERROR(INDEX(I_COA!$G$6:$G$265,MATCH(D882,I_COA!$A$6:$A$265,0)),"N"))</f>
        <v>N</v>
      </c>
      <c r="O882" s="11" t="n">
        <f aca="false">IF(N882="N",ABS(J882),"")</f>
        <v>46368000</v>
      </c>
      <c r="P882" s="18" t="str">
        <f aca="false">IF(N882="N",B882&amp;"|"&amp;ROUND(O882,0),"")</f>
        <v>B7626080063|46368000</v>
      </c>
      <c r="Q882" s="18" t="str">
        <f aca="false">IF(N882&lt;&gt;"Y","",IFERROR(INDEX($D$6:$D$4005,MATCH(B882&amp;"|"&amp;ROUND(_xlfn.MAXIFS($O$6:$O$4005,$B$6:$B$4005,B882,$N$6:$N$4005,"N"),0),$P$6:$P$4005,0)),"(tanpa lawan)"))</f>
        <v/>
      </c>
      <c r="R882" s="44"/>
      <c r="S882" s="9" t="str">
        <f aca="false">IF(N882&lt;&gt;"Y","",IF(R882&lt;&gt;"",R882,IF(Q882="(tanpa lawan)","Transfer antar rekening",IFERROR(INDEX(I_COA!$F$6:$F$265,MATCH(Q882,I_COA!$A$6:$A$265,0)),"?"))))</f>
        <v/>
      </c>
    </row>
    <row r="883" customFormat="false" ht="15" hidden="false" customHeight="false" outlineLevel="0" collapsed="false">
      <c r="A883" s="37" t="n">
        <v>46248</v>
      </c>
      <c r="B883" s="44" t="s">
        <v>1315</v>
      </c>
      <c r="C883" s="44" t="s">
        <v>580</v>
      </c>
      <c r="D883" s="44" t="n">
        <v>1102001</v>
      </c>
      <c r="E883" s="44" t="s">
        <v>586</v>
      </c>
      <c r="F883" s="44" t="s">
        <v>1316</v>
      </c>
      <c r="G883" s="42" t="n">
        <v>5000000</v>
      </c>
      <c r="H883" s="42"/>
      <c r="I883" s="44"/>
      <c r="J883" s="11" t="n">
        <f aca="false">IF(D883="","",N(G883)-N(H883))</f>
        <v>5000000</v>
      </c>
      <c r="K883" s="34" t="str">
        <f aca="false">IF(D883="","",IFERROR(INDEX(I_COA!$C$6:$C$265,MATCH(D883,I_COA!$A$6:$A$265,0)),"AKUN BARU"))</f>
        <v>Neraca</v>
      </c>
      <c r="L883" s="34" t="str">
        <f aca="false">IF(K883="LabaRugi",INDEX(I_COA!$D$6:$D$265,MATCH(D883,I_COA!$A$6:$A$265,0)),"")</f>
        <v/>
      </c>
      <c r="M883" s="34" t="str">
        <f aca="false">IF(K883="Neraca",INDEX(I_COA!$E$6:$E$265,MATCH(D883,I_COA!$A$6:$A$265,0)),"")</f>
        <v>Cash and cash equivalents</v>
      </c>
      <c r="N883" s="34" t="str">
        <f aca="false">IF(D883="","",IFERROR(INDEX(I_COA!$G$6:$G$265,MATCH(D883,I_COA!$A$6:$A$265,0)),"N"))</f>
        <v>Y</v>
      </c>
      <c r="O883" s="11" t="str">
        <f aca="false">IF(N883="N",ABS(J883),"")</f>
        <v/>
      </c>
      <c r="P883" s="18" t="str">
        <f aca="false">IF(N883="N",B883&amp;"|"&amp;ROUND(O883,0),"")</f>
        <v/>
      </c>
      <c r="Q883" s="18" t="n">
        <f aca="false">IF(N883&lt;&gt;"Y","",IFERROR(INDEX($D$6:$D$4005,MATCH(B883&amp;"|"&amp;ROUND(_xlfn.MAXIFS($O$6:$O$4005,$B$6:$B$4005,B883,$N$6:$N$4005,"N"),0),$P$6:$P$4005,0)),"(tanpa lawan)"))</f>
        <v>2101020</v>
      </c>
      <c r="R883" s="44"/>
      <c r="S883" s="9" t="str">
        <f aca="false">IF(N883&lt;&gt;"Y","",IF(R883&lt;&gt;"",R883,IF(Q883="(tanpa lawan)","Transfer antar rekening",IFERROR(INDEX(I_COA!$F$6:$F$265,MATCH(Q883,I_COA!$A$6:$A$265,0)),"?"))))</f>
        <v>Penerimaan dari pelanggan</v>
      </c>
    </row>
    <row r="884" customFormat="false" ht="15" hidden="false" customHeight="false" outlineLevel="0" collapsed="false">
      <c r="A884" s="37" t="n">
        <v>46248</v>
      </c>
      <c r="B884" s="44" t="s">
        <v>1315</v>
      </c>
      <c r="C884" s="44" t="s">
        <v>580</v>
      </c>
      <c r="D884" s="44" t="n">
        <v>2101020</v>
      </c>
      <c r="E884" s="44" t="s">
        <v>653</v>
      </c>
      <c r="F884" s="44" t="s">
        <v>1316</v>
      </c>
      <c r="G884" s="42"/>
      <c r="H884" s="42" t="n">
        <v>5000000</v>
      </c>
      <c r="I884" s="44" t="s">
        <v>660</v>
      </c>
      <c r="J884" s="11" t="n">
        <f aca="false">IF(D884="","",N(G884)-N(H884))</f>
        <v>-5000000</v>
      </c>
      <c r="K884" s="34" t="str">
        <f aca="false">IF(D884="","",IFERROR(INDEX(I_COA!$C$6:$C$265,MATCH(D884,I_COA!$A$6:$A$265,0)),"AKUN BARU"))</f>
        <v>Neraca</v>
      </c>
      <c r="L884" s="34" t="str">
        <f aca="false">IF(K884="LabaRugi",INDEX(I_COA!$D$6:$D$265,MATCH(D884,I_COA!$A$6:$A$265,0)),"")</f>
        <v/>
      </c>
      <c r="M884" s="34" t="str">
        <f aca="false">IF(K884="Neraca",INDEX(I_COA!$E$6:$E$265,MATCH(D884,I_COA!$A$6:$A$265,0)),"")</f>
        <v>Unearned Revenue</v>
      </c>
      <c r="N884" s="34" t="str">
        <f aca="false">IF(D884="","",IFERROR(INDEX(I_COA!$G$6:$G$265,MATCH(D884,I_COA!$A$6:$A$265,0)),"N"))</f>
        <v>N</v>
      </c>
      <c r="O884" s="11" t="n">
        <f aca="false">IF(N884="N",ABS(J884),"")</f>
        <v>5000000</v>
      </c>
      <c r="P884" s="18" t="str">
        <f aca="false">IF(N884="N",B884&amp;"|"&amp;ROUND(O884,0),"")</f>
        <v>B7626080064|5000000</v>
      </c>
      <c r="Q884" s="18" t="str">
        <f aca="false">IF(N884&lt;&gt;"Y","",IFERROR(INDEX($D$6:$D$4005,MATCH(B884&amp;"|"&amp;ROUND(_xlfn.MAXIFS($O$6:$O$4005,$B$6:$B$4005,B884,$N$6:$N$4005,"N"),0),$P$6:$P$4005,0)),"(tanpa lawan)"))</f>
        <v/>
      </c>
      <c r="R884" s="44"/>
      <c r="S884" s="9" t="str">
        <f aca="false">IF(N884&lt;&gt;"Y","",IF(R884&lt;&gt;"",R884,IF(Q884="(tanpa lawan)","Transfer antar rekening",IFERROR(INDEX(I_COA!$F$6:$F$265,MATCH(Q884,I_COA!$A$6:$A$265,0)),"?"))))</f>
        <v/>
      </c>
    </row>
    <row r="885" customFormat="false" ht="15" hidden="false" customHeight="false" outlineLevel="0" collapsed="false">
      <c r="A885" s="37" t="n">
        <v>46248</v>
      </c>
      <c r="B885" s="44" t="s">
        <v>1317</v>
      </c>
      <c r="C885" s="44" t="s">
        <v>585</v>
      </c>
      <c r="D885" s="44" t="n">
        <v>1102001</v>
      </c>
      <c r="E885" s="44" t="s">
        <v>586</v>
      </c>
      <c r="F885" s="44" t="s">
        <v>1318</v>
      </c>
      <c r="G885" s="42" t="n">
        <v>5792500</v>
      </c>
      <c r="H885" s="42"/>
      <c r="I885" s="44" t="s">
        <v>465</v>
      </c>
      <c r="J885" s="11" t="n">
        <f aca="false">IF(D885="","",N(G885)-N(H885))</f>
        <v>5792500</v>
      </c>
      <c r="K885" s="34" t="str">
        <f aca="false">IF(D885="","",IFERROR(INDEX(I_COA!$C$6:$C$265,MATCH(D885,I_COA!$A$6:$A$265,0)),"AKUN BARU"))</f>
        <v>Neraca</v>
      </c>
      <c r="L885" s="34" t="str">
        <f aca="false">IF(K885="LabaRugi",INDEX(I_COA!$D$6:$D$265,MATCH(D885,I_COA!$A$6:$A$265,0)),"")</f>
        <v/>
      </c>
      <c r="M885" s="34" t="str">
        <f aca="false">IF(K885="Neraca",INDEX(I_COA!$E$6:$E$265,MATCH(D885,I_COA!$A$6:$A$265,0)),"")</f>
        <v>Cash and cash equivalents</v>
      </c>
      <c r="N885" s="34" t="str">
        <f aca="false">IF(D885="","",IFERROR(INDEX(I_COA!$G$6:$G$265,MATCH(D885,I_COA!$A$6:$A$265,0)),"N"))</f>
        <v>Y</v>
      </c>
      <c r="O885" s="11" t="str">
        <f aca="false">IF(N885="N",ABS(J885),"")</f>
        <v/>
      </c>
      <c r="P885" s="18" t="str">
        <f aca="false">IF(N885="N",B885&amp;"|"&amp;ROUND(O885,0),"")</f>
        <v/>
      </c>
      <c r="Q885" s="18" t="n">
        <f aca="false">IF(N885&lt;&gt;"Y","",IFERROR(INDEX($D$6:$D$4005,MATCH(B885&amp;"|"&amp;ROUND(_xlfn.MAXIFS($O$6:$O$4005,$B$6:$B$4005,B885,$N$6:$N$4005,"N"),0),$P$6:$P$4005,0)),"(tanpa lawan)"))</f>
        <v>1103101</v>
      </c>
      <c r="R885" s="44"/>
      <c r="S885" s="9" t="str">
        <f aca="false">IF(N885&lt;&gt;"Y","",IF(R885&lt;&gt;"",R885,IF(Q885="(tanpa lawan)","Transfer antar rekening",IFERROR(INDEX(I_COA!$F$6:$F$265,MATCH(Q885,I_COA!$A$6:$A$265,0)),"?"))))</f>
        <v>Penerimaan dari pelanggan</v>
      </c>
    </row>
    <row r="886" customFormat="false" ht="15" hidden="false" customHeight="false" outlineLevel="0" collapsed="false">
      <c r="A886" s="37" t="n">
        <v>46248</v>
      </c>
      <c r="B886" s="44" t="s">
        <v>1317</v>
      </c>
      <c r="C886" s="44" t="s">
        <v>585</v>
      </c>
      <c r="D886" s="44" t="n">
        <v>1103101</v>
      </c>
      <c r="E886" s="44" t="s">
        <v>589</v>
      </c>
      <c r="F886" s="44" t="s">
        <v>1318</v>
      </c>
      <c r="G886" s="42"/>
      <c r="H886" s="42" t="n">
        <v>5792500</v>
      </c>
      <c r="I886" s="44" t="s">
        <v>465</v>
      </c>
      <c r="J886" s="11" t="n">
        <f aca="false">IF(D886="","",N(G886)-N(H886))</f>
        <v>-5792500</v>
      </c>
      <c r="K886" s="34" t="str">
        <f aca="false">IF(D886="","",IFERROR(INDEX(I_COA!$C$6:$C$265,MATCH(D886,I_COA!$A$6:$A$265,0)),"AKUN BARU"))</f>
        <v>Neraca</v>
      </c>
      <c r="L886" s="34" t="str">
        <f aca="false">IF(K886="LabaRugi",INDEX(I_COA!$D$6:$D$265,MATCH(D886,I_COA!$A$6:$A$265,0)),"")</f>
        <v/>
      </c>
      <c r="M886" s="34" t="str">
        <f aca="false">IF(K886="Neraca",INDEX(I_COA!$E$6:$E$265,MATCH(D886,I_COA!$A$6:$A$265,0)),"")</f>
        <v>Trade Receivables - Third Parties</v>
      </c>
      <c r="N886" s="34" t="str">
        <f aca="false">IF(D886="","",IFERROR(INDEX(I_COA!$G$6:$G$265,MATCH(D886,I_COA!$A$6:$A$265,0)),"N"))</f>
        <v>N</v>
      </c>
      <c r="O886" s="11" t="n">
        <f aca="false">IF(N886="N",ABS(J886),"")</f>
        <v>5792500</v>
      </c>
      <c r="P886" s="18" t="str">
        <f aca="false">IF(N886="N",B886&amp;"|"&amp;ROUND(O886,0),"")</f>
        <v>B7626080065|5792500</v>
      </c>
      <c r="Q886" s="18" t="str">
        <f aca="false">IF(N886&lt;&gt;"Y","",IFERROR(INDEX($D$6:$D$4005,MATCH(B886&amp;"|"&amp;ROUND(_xlfn.MAXIFS($O$6:$O$4005,$B$6:$B$4005,B886,$N$6:$N$4005,"N"),0),$P$6:$P$4005,0)),"(tanpa lawan)"))</f>
        <v/>
      </c>
      <c r="R886" s="44"/>
      <c r="S886" s="9" t="str">
        <f aca="false">IF(N886&lt;&gt;"Y","",IF(R886&lt;&gt;"",R886,IF(Q886="(tanpa lawan)","Transfer antar rekening",IFERROR(INDEX(I_COA!$F$6:$F$265,MATCH(Q886,I_COA!$A$6:$A$265,0)),"?"))))</f>
        <v/>
      </c>
    </row>
    <row r="887" customFormat="false" ht="15" hidden="false" customHeight="false" outlineLevel="0" collapsed="false">
      <c r="A887" s="37" t="n">
        <v>46248</v>
      </c>
      <c r="B887" s="44" t="s">
        <v>1319</v>
      </c>
      <c r="C887" s="44" t="s">
        <v>585</v>
      </c>
      <c r="D887" s="44" t="n">
        <v>1102001</v>
      </c>
      <c r="E887" s="44" t="s">
        <v>586</v>
      </c>
      <c r="F887" s="44" t="s">
        <v>1320</v>
      </c>
      <c r="G887" s="42" t="n">
        <v>106088500</v>
      </c>
      <c r="H887" s="42"/>
      <c r="I887" s="44" t="s">
        <v>592</v>
      </c>
      <c r="J887" s="11" t="n">
        <f aca="false">IF(D887="","",N(G887)-N(H887))</f>
        <v>106088500</v>
      </c>
      <c r="K887" s="34" t="str">
        <f aca="false">IF(D887="","",IFERROR(INDEX(I_COA!$C$6:$C$265,MATCH(D887,I_COA!$A$6:$A$265,0)),"AKUN BARU"))</f>
        <v>Neraca</v>
      </c>
      <c r="L887" s="34" t="str">
        <f aca="false">IF(K887="LabaRugi",INDEX(I_COA!$D$6:$D$265,MATCH(D887,I_COA!$A$6:$A$265,0)),"")</f>
        <v/>
      </c>
      <c r="M887" s="34" t="str">
        <f aca="false">IF(K887="Neraca",INDEX(I_COA!$E$6:$E$265,MATCH(D887,I_COA!$A$6:$A$265,0)),"")</f>
        <v>Cash and cash equivalents</v>
      </c>
      <c r="N887" s="34" t="str">
        <f aca="false">IF(D887="","",IFERROR(INDEX(I_COA!$G$6:$G$265,MATCH(D887,I_COA!$A$6:$A$265,0)),"N"))</f>
        <v>Y</v>
      </c>
      <c r="O887" s="11" t="str">
        <f aca="false">IF(N887="N",ABS(J887),"")</f>
        <v/>
      </c>
      <c r="P887" s="18" t="str">
        <f aca="false">IF(N887="N",B887&amp;"|"&amp;ROUND(O887,0),"")</f>
        <v/>
      </c>
      <c r="Q887" s="18" t="n">
        <f aca="false">IF(N887&lt;&gt;"Y","",IFERROR(INDEX($D$6:$D$4005,MATCH(B887&amp;"|"&amp;ROUND(_xlfn.MAXIFS($O$6:$O$4005,$B$6:$B$4005,B887,$N$6:$N$4005,"N"),0),$P$6:$P$4005,0)),"(tanpa lawan)"))</f>
        <v>1103101</v>
      </c>
      <c r="R887" s="44"/>
      <c r="S887" s="9" t="str">
        <f aca="false">IF(N887&lt;&gt;"Y","",IF(R887&lt;&gt;"",R887,IF(Q887="(tanpa lawan)","Transfer antar rekening",IFERROR(INDEX(I_COA!$F$6:$F$265,MATCH(Q887,I_COA!$A$6:$A$265,0)),"?"))))</f>
        <v>Penerimaan dari pelanggan</v>
      </c>
    </row>
    <row r="888" customFormat="false" ht="15" hidden="false" customHeight="false" outlineLevel="0" collapsed="false">
      <c r="A888" s="37" t="n">
        <v>46248</v>
      </c>
      <c r="B888" s="44" t="s">
        <v>1319</v>
      </c>
      <c r="C888" s="44" t="s">
        <v>585</v>
      </c>
      <c r="D888" s="44" t="n">
        <v>1103101</v>
      </c>
      <c r="E888" s="44" t="s">
        <v>589</v>
      </c>
      <c r="F888" s="44" t="s">
        <v>1320</v>
      </c>
      <c r="G888" s="42"/>
      <c r="H888" s="42" t="n">
        <v>106088500</v>
      </c>
      <c r="I888" s="44" t="s">
        <v>592</v>
      </c>
      <c r="J888" s="11" t="n">
        <f aca="false">IF(D888="","",N(G888)-N(H888))</f>
        <v>-106088500</v>
      </c>
      <c r="K888" s="34" t="str">
        <f aca="false">IF(D888="","",IFERROR(INDEX(I_COA!$C$6:$C$265,MATCH(D888,I_COA!$A$6:$A$265,0)),"AKUN BARU"))</f>
        <v>Neraca</v>
      </c>
      <c r="L888" s="34" t="str">
        <f aca="false">IF(K888="LabaRugi",INDEX(I_COA!$D$6:$D$265,MATCH(D888,I_COA!$A$6:$A$265,0)),"")</f>
        <v/>
      </c>
      <c r="M888" s="34" t="str">
        <f aca="false">IF(K888="Neraca",INDEX(I_COA!$E$6:$E$265,MATCH(D888,I_COA!$A$6:$A$265,0)),"")</f>
        <v>Trade Receivables - Third Parties</v>
      </c>
      <c r="N888" s="34" t="str">
        <f aca="false">IF(D888="","",IFERROR(INDEX(I_COA!$G$6:$G$265,MATCH(D888,I_COA!$A$6:$A$265,0)),"N"))</f>
        <v>N</v>
      </c>
      <c r="O888" s="11" t="n">
        <f aca="false">IF(N888="N",ABS(J888),"")</f>
        <v>106088500</v>
      </c>
      <c r="P888" s="18" t="str">
        <f aca="false">IF(N888="N",B888&amp;"|"&amp;ROUND(O888,0),"")</f>
        <v>B7626080066|106088500</v>
      </c>
      <c r="Q888" s="18" t="str">
        <f aca="false">IF(N888&lt;&gt;"Y","",IFERROR(INDEX($D$6:$D$4005,MATCH(B888&amp;"|"&amp;ROUND(_xlfn.MAXIFS($O$6:$O$4005,$B$6:$B$4005,B888,$N$6:$N$4005,"N"),0),$P$6:$P$4005,0)),"(tanpa lawan)"))</f>
        <v/>
      </c>
      <c r="R888" s="44"/>
      <c r="S888" s="9" t="str">
        <f aca="false">IF(N888&lt;&gt;"Y","",IF(R888&lt;&gt;"",R888,IF(Q888="(tanpa lawan)","Transfer antar rekening",IFERROR(INDEX(I_COA!$F$6:$F$265,MATCH(Q888,I_COA!$A$6:$A$265,0)),"?"))))</f>
        <v/>
      </c>
    </row>
    <row r="889" customFormat="false" ht="15" hidden="false" customHeight="false" outlineLevel="0" collapsed="false">
      <c r="A889" s="37" t="n">
        <v>46248</v>
      </c>
      <c r="B889" s="44" t="s">
        <v>1321</v>
      </c>
      <c r="C889" s="44" t="s">
        <v>585</v>
      </c>
      <c r="D889" s="44" t="n">
        <v>1102001</v>
      </c>
      <c r="E889" s="44" t="s">
        <v>586</v>
      </c>
      <c r="F889" s="44" t="s">
        <v>1322</v>
      </c>
      <c r="G889" s="42" t="n">
        <v>44624500</v>
      </c>
      <c r="H889" s="42"/>
      <c r="I889" s="44" t="s">
        <v>451</v>
      </c>
      <c r="J889" s="11" t="n">
        <f aca="false">IF(D889="","",N(G889)-N(H889))</f>
        <v>44624500</v>
      </c>
      <c r="K889" s="34" t="str">
        <f aca="false">IF(D889="","",IFERROR(INDEX(I_COA!$C$6:$C$265,MATCH(D889,I_COA!$A$6:$A$265,0)),"AKUN BARU"))</f>
        <v>Neraca</v>
      </c>
      <c r="L889" s="34" t="str">
        <f aca="false">IF(K889="LabaRugi",INDEX(I_COA!$D$6:$D$265,MATCH(D889,I_COA!$A$6:$A$265,0)),"")</f>
        <v/>
      </c>
      <c r="M889" s="34" t="str">
        <f aca="false">IF(K889="Neraca",INDEX(I_COA!$E$6:$E$265,MATCH(D889,I_COA!$A$6:$A$265,0)),"")</f>
        <v>Cash and cash equivalents</v>
      </c>
      <c r="N889" s="34" t="str">
        <f aca="false">IF(D889="","",IFERROR(INDEX(I_COA!$G$6:$G$265,MATCH(D889,I_COA!$A$6:$A$265,0)),"N"))</f>
        <v>Y</v>
      </c>
      <c r="O889" s="11" t="str">
        <f aca="false">IF(N889="N",ABS(J889),"")</f>
        <v/>
      </c>
      <c r="P889" s="18" t="str">
        <f aca="false">IF(N889="N",B889&amp;"|"&amp;ROUND(O889,0),"")</f>
        <v/>
      </c>
      <c r="Q889" s="18" t="n">
        <f aca="false">IF(N889&lt;&gt;"Y","",IFERROR(INDEX($D$6:$D$4005,MATCH(B889&amp;"|"&amp;ROUND(_xlfn.MAXIFS($O$6:$O$4005,$B$6:$B$4005,B889,$N$6:$N$4005,"N"),0),$P$6:$P$4005,0)),"(tanpa lawan)"))</f>
        <v>1103101</v>
      </c>
      <c r="R889" s="44"/>
      <c r="S889" s="9" t="str">
        <f aca="false">IF(N889&lt;&gt;"Y","",IF(R889&lt;&gt;"",R889,IF(Q889="(tanpa lawan)","Transfer antar rekening",IFERROR(INDEX(I_COA!$F$6:$F$265,MATCH(Q889,I_COA!$A$6:$A$265,0)),"?"))))</f>
        <v>Penerimaan dari pelanggan</v>
      </c>
    </row>
    <row r="890" customFormat="false" ht="15" hidden="false" customHeight="false" outlineLevel="0" collapsed="false">
      <c r="A890" s="37" t="n">
        <v>46248</v>
      </c>
      <c r="B890" s="44" t="s">
        <v>1321</v>
      </c>
      <c r="C890" s="44" t="s">
        <v>585</v>
      </c>
      <c r="D890" s="44" t="n">
        <v>1103101</v>
      </c>
      <c r="E890" s="44" t="s">
        <v>589</v>
      </c>
      <c r="F890" s="44" t="s">
        <v>1322</v>
      </c>
      <c r="G890" s="42"/>
      <c r="H890" s="42" t="n">
        <v>44624500</v>
      </c>
      <c r="I890" s="44" t="s">
        <v>451</v>
      </c>
      <c r="J890" s="11" t="n">
        <f aca="false">IF(D890="","",N(G890)-N(H890))</f>
        <v>-44624500</v>
      </c>
      <c r="K890" s="34" t="str">
        <f aca="false">IF(D890="","",IFERROR(INDEX(I_COA!$C$6:$C$265,MATCH(D890,I_COA!$A$6:$A$265,0)),"AKUN BARU"))</f>
        <v>Neraca</v>
      </c>
      <c r="L890" s="34" t="str">
        <f aca="false">IF(K890="LabaRugi",INDEX(I_COA!$D$6:$D$265,MATCH(D890,I_COA!$A$6:$A$265,0)),"")</f>
        <v/>
      </c>
      <c r="M890" s="34" t="str">
        <f aca="false">IF(K890="Neraca",INDEX(I_COA!$E$6:$E$265,MATCH(D890,I_COA!$A$6:$A$265,0)),"")</f>
        <v>Trade Receivables - Third Parties</v>
      </c>
      <c r="N890" s="34" t="str">
        <f aca="false">IF(D890="","",IFERROR(INDEX(I_COA!$G$6:$G$265,MATCH(D890,I_COA!$A$6:$A$265,0)),"N"))</f>
        <v>N</v>
      </c>
      <c r="O890" s="11" t="n">
        <f aca="false">IF(N890="N",ABS(J890),"")</f>
        <v>44624500</v>
      </c>
      <c r="P890" s="18" t="str">
        <f aca="false">IF(N890="N",B890&amp;"|"&amp;ROUND(O890,0),"")</f>
        <v>B7626080067|44624500</v>
      </c>
      <c r="Q890" s="18" t="str">
        <f aca="false">IF(N890&lt;&gt;"Y","",IFERROR(INDEX($D$6:$D$4005,MATCH(B890&amp;"|"&amp;ROUND(_xlfn.MAXIFS($O$6:$O$4005,$B$6:$B$4005,B890,$N$6:$N$4005,"N"),0),$P$6:$P$4005,0)),"(tanpa lawan)"))</f>
        <v/>
      </c>
      <c r="R890" s="44"/>
      <c r="S890" s="9" t="str">
        <f aca="false">IF(N890&lt;&gt;"Y","",IF(R890&lt;&gt;"",R890,IF(Q890="(tanpa lawan)","Transfer antar rekening",IFERROR(INDEX(I_COA!$F$6:$F$265,MATCH(Q890,I_COA!$A$6:$A$265,0)),"?"))))</f>
        <v/>
      </c>
    </row>
    <row r="891" customFormat="false" ht="15" hidden="false" customHeight="false" outlineLevel="0" collapsed="false">
      <c r="A891" s="37" t="n">
        <v>46248</v>
      </c>
      <c r="B891" s="44" t="s">
        <v>1323</v>
      </c>
      <c r="C891" s="44" t="s">
        <v>585</v>
      </c>
      <c r="D891" s="44" t="n">
        <v>1102001</v>
      </c>
      <c r="E891" s="44" t="s">
        <v>586</v>
      </c>
      <c r="F891" s="44" t="s">
        <v>1324</v>
      </c>
      <c r="G891" s="42" t="n">
        <v>67720500</v>
      </c>
      <c r="H891" s="42"/>
      <c r="I891" s="44" t="s">
        <v>437</v>
      </c>
      <c r="J891" s="11" t="n">
        <f aca="false">IF(D891="","",N(G891)-N(H891))</f>
        <v>67720500</v>
      </c>
      <c r="K891" s="34" t="str">
        <f aca="false">IF(D891="","",IFERROR(INDEX(I_COA!$C$6:$C$265,MATCH(D891,I_COA!$A$6:$A$265,0)),"AKUN BARU"))</f>
        <v>Neraca</v>
      </c>
      <c r="L891" s="34" t="str">
        <f aca="false">IF(K891="LabaRugi",INDEX(I_COA!$D$6:$D$265,MATCH(D891,I_COA!$A$6:$A$265,0)),"")</f>
        <v/>
      </c>
      <c r="M891" s="34" t="str">
        <f aca="false">IF(K891="Neraca",INDEX(I_COA!$E$6:$E$265,MATCH(D891,I_COA!$A$6:$A$265,0)),"")</f>
        <v>Cash and cash equivalents</v>
      </c>
      <c r="N891" s="34" t="str">
        <f aca="false">IF(D891="","",IFERROR(INDEX(I_COA!$G$6:$G$265,MATCH(D891,I_COA!$A$6:$A$265,0)),"N"))</f>
        <v>Y</v>
      </c>
      <c r="O891" s="11" t="str">
        <f aca="false">IF(N891="N",ABS(J891),"")</f>
        <v/>
      </c>
      <c r="P891" s="18" t="str">
        <f aca="false">IF(N891="N",B891&amp;"|"&amp;ROUND(O891,0),"")</f>
        <v/>
      </c>
      <c r="Q891" s="18" t="n">
        <f aca="false">IF(N891&lt;&gt;"Y","",IFERROR(INDEX($D$6:$D$4005,MATCH(B891&amp;"|"&amp;ROUND(_xlfn.MAXIFS($O$6:$O$4005,$B$6:$B$4005,B891,$N$6:$N$4005,"N"),0),$P$6:$P$4005,0)),"(tanpa lawan)"))</f>
        <v>1103101</v>
      </c>
      <c r="R891" s="44"/>
      <c r="S891" s="9" t="str">
        <f aca="false">IF(N891&lt;&gt;"Y","",IF(R891&lt;&gt;"",R891,IF(Q891="(tanpa lawan)","Transfer antar rekening",IFERROR(INDEX(I_COA!$F$6:$F$265,MATCH(Q891,I_COA!$A$6:$A$265,0)),"?"))))</f>
        <v>Penerimaan dari pelanggan</v>
      </c>
    </row>
    <row r="892" customFormat="false" ht="15" hidden="false" customHeight="false" outlineLevel="0" collapsed="false">
      <c r="A892" s="37" t="n">
        <v>46248</v>
      </c>
      <c r="B892" s="44" t="s">
        <v>1323</v>
      </c>
      <c r="C892" s="44" t="s">
        <v>585</v>
      </c>
      <c r="D892" s="44" t="n">
        <v>1103101</v>
      </c>
      <c r="E892" s="44" t="s">
        <v>589</v>
      </c>
      <c r="F892" s="44" t="s">
        <v>1324</v>
      </c>
      <c r="G892" s="42"/>
      <c r="H892" s="42" t="n">
        <v>67720500</v>
      </c>
      <c r="I892" s="44" t="s">
        <v>437</v>
      </c>
      <c r="J892" s="11" t="n">
        <f aca="false">IF(D892="","",N(G892)-N(H892))</f>
        <v>-67720500</v>
      </c>
      <c r="K892" s="34" t="str">
        <f aca="false">IF(D892="","",IFERROR(INDEX(I_COA!$C$6:$C$265,MATCH(D892,I_COA!$A$6:$A$265,0)),"AKUN BARU"))</f>
        <v>Neraca</v>
      </c>
      <c r="L892" s="34" t="str">
        <f aca="false">IF(K892="LabaRugi",INDEX(I_COA!$D$6:$D$265,MATCH(D892,I_COA!$A$6:$A$265,0)),"")</f>
        <v/>
      </c>
      <c r="M892" s="34" t="str">
        <f aca="false">IF(K892="Neraca",INDEX(I_COA!$E$6:$E$265,MATCH(D892,I_COA!$A$6:$A$265,0)),"")</f>
        <v>Trade Receivables - Third Parties</v>
      </c>
      <c r="N892" s="34" t="str">
        <f aca="false">IF(D892="","",IFERROR(INDEX(I_COA!$G$6:$G$265,MATCH(D892,I_COA!$A$6:$A$265,0)),"N"))</f>
        <v>N</v>
      </c>
      <c r="O892" s="11" t="n">
        <f aca="false">IF(N892="N",ABS(J892),"")</f>
        <v>67720500</v>
      </c>
      <c r="P892" s="18" t="str">
        <f aca="false">IF(N892="N",B892&amp;"|"&amp;ROUND(O892,0),"")</f>
        <v>B7626080068|67720500</v>
      </c>
      <c r="Q892" s="18" t="str">
        <f aca="false">IF(N892&lt;&gt;"Y","",IFERROR(INDEX($D$6:$D$4005,MATCH(B892&amp;"|"&amp;ROUND(_xlfn.MAXIFS($O$6:$O$4005,$B$6:$B$4005,B892,$N$6:$N$4005,"N"),0),$P$6:$P$4005,0)),"(tanpa lawan)"))</f>
        <v/>
      </c>
      <c r="R892" s="44"/>
      <c r="S892" s="9" t="str">
        <f aca="false">IF(N892&lt;&gt;"Y","",IF(R892&lt;&gt;"",R892,IF(Q892="(tanpa lawan)","Transfer antar rekening",IFERROR(INDEX(I_COA!$F$6:$F$265,MATCH(Q892,I_COA!$A$6:$A$265,0)),"?"))))</f>
        <v/>
      </c>
    </row>
    <row r="893" customFormat="false" ht="15" hidden="false" customHeight="false" outlineLevel="0" collapsed="false">
      <c r="A893" s="37" t="n">
        <v>46248</v>
      </c>
      <c r="B893" s="44" t="s">
        <v>1325</v>
      </c>
      <c r="C893" s="44" t="s">
        <v>580</v>
      </c>
      <c r="D893" s="44" t="n">
        <v>1102008</v>
      </c>
      <c r="E893" s="44" t="s">
        <v>781</v>
      </c>
      <c r="F893" s="44" t="s">
        <v>870</v>
      </c>
      <c r="G893" s="42" t="n">
        <v>500000000</v>
      </c>
      <c r="H893" s="42"/>
      <c r="I893" s="44"/>
      <c r="J893" s="11" t="n">
        <f aca="false">IF(D893="","",N(G893)-N(H893))</f>
        <v>500000000</v>
      </c>
      <c r="K893" s="34" t="str">
        <f aca="false">IF(D893="","",IFERROR(INDEX(I_COA!$C$6:$C$265,MATCH(D893,I_COA!$A$6:$A$265,0)),"AKUN BARU"))</f>
        <v>Neraca</v>
      </c>
      <c r="L893" s="34" t="str">
        <f aca="false">IF(K893="LabaRugi",INDEX(I_COA!$D$6:$D$265,MATCH(D893,I_COA!$A$6:$A$265,0)),"")</f>
        <v/>
      </c>
      <c r="M893" s="34" t="str">
        <f aca="false">IF(K893="Neraca",INDEX(I_COA!$E$6:$E$265,MATCH(D893,I_COA!$A$6:$A$265,0)),"")</f>
        <v>Advance Payment</v>
      </c>
      <c r="N893" s="34" t="str">
        <f aca="false">IF(D893="","",IFERROR(INDEX(I_COA!$G$6:$G$265,MATCH(D893,I_COA!$A$6:$A$265,0)),"N"))</f>
        <v>N</v>
      </c>
      <c r="O893" s="11" t="n">
        <f aca="false">IF(N893="N",ABS(J893),"")</f>
        <v>500000000</v>
      </c>
      <c r="P893" s="18" t="str">
        <f aca="false">IF(N893="N",B893&amp;"|"&amp;ROUND(O893,0),"")</f>
        <v>B7726080007|500000000</v>
      </c>
      <c r="Q893" s="18" t="str">
        <f aca="false">IF(N893&lt;&gt;"Y","",IFERROR(INDEX($D$6:$D$4005,MATCH(B893&amp;"|"&amp;ROUND(_xlfn.MAXIFS($O$6:$O$4005,$B$6:$B$4005,B893,$N$6:$N$4005,"N"),0),$P$6:$P$4005,0)),"(tanpa lawan)"))</f>
        <v/>
      </c>
      <c r="R893" s="44"/>
      <c r="S893" s="9" t="str">
        <f aca="false">IF(N893&lt;&gt;"Y","",IF(R893&lt;&gt;"",R893,IF(Q893="(tanpa lawan)","Transfer antar rekening",IFERROR(INDEX(I_COA!$F$6:$F$265,MATCH(Q893,I_COA!$A$6:$A$265,0)),"?"))))</f>
        <v/>
      </c>
    </row>
    <row r="894" customFormat="false" ht="15" hidden="false" customHeight="false" outlineLevel="0" collapsed="false">
      <c r="A894" s="37" t="n">
        <v>46248</v>
      </c>
      <c r="B894" s="44" t="s">
        <v>1325</v>
      </c>
      <c r="C894" s="44" t="s">
        <v>580</v>
      </c>
      <c r="D894" s="44" t="n">
        <v>1102001</v>
      </c>
      <c r="E894" s="44" t="s">
        <v>586</v>
      </c>
      <c r="F894" s="44" t="s">
        <v>782</v>
      </c>
      <c r="G894" s="42"/>
      <c r="H894" s="42" t="n">
        <v>500000000</v>
      </c>
      <c r="I894" s="44"/>
      <c r="J894" s="11" t="n">
        <f aca="false">IF(D894="","",N(G894)-N(H894))</f>
        <v>-500000000</v>
      </c>
      <c r="K894" s="34" t="str">
        <f aca="false">IF(D894="","",IFERROR(INDEX(I_COA!$C$6:$C$265,MATCH(D894,I_COA!$A$6:$A$265,0)),"AKUN BARU"))</f>
        <v>Neraca</v>
      </c>
      <c r="L894" s="34" t="str">
        <f aca="false">IF(K894="LabaRugi",INDEX(I_COA!$D$6:$D$265,MATCH(D894,I_COA!$A$6:$A$265,0)),"")</f>
        <v/>
      </c>
      <c r="M894" s="34" t="str">
        <f aca="false">IF(K894="Neraca",INDEX(I_COA!$E$6:$E$265,MATCH(D894,I_COA!$A$6:$A$265,0)),"")</f>
        <v>Cash and cash equivalents</v>
      </c>
      <c r="N894" s="34" t="str">
        <f aca="false">IF(D894="","",IFERROR(INDEX(I_COA!$G$6:$G$265,MATCH(D894,I_COA!$A$6:$A$265,0)),"N"))</f>
        <v>Y</v>
      </c>
      <c r="O894" s="11" t="str">
        <f aca="false">IF(N894="N",ABS(J894),"")</f>
        <v/>
      </c>
      <c r="P894" s="18" t="str">
        <f aca="false">IF(N894="N",B894&amp;"|"&amp;ROUND(O894,0),"")</f>
        <v/>
      </c>
      <c r="Q894" s="18" t="n">
        <f aca="false">IF(N894&lt;&gt;"Y","",IFERROR(INDEX($D$6:$D$4005,MATCH(B894&amp;"|"&amp;ROUND(_xlfn.MAXIFS($O$6:$O$4005,$B$6:$B$4005,B894,$N$6:$N$4005,"N"),0),$P$6:$P$4005,0)),"(tanpa lawan)"))</f>
        <v>1102008</v>
      </c>
      <c r="R894" s="44"/>
      <c r="S894" s="9" t="str">
        <f aca="false">IF(N894&lt;&gt;"Y","",IF(R894&lt;&gt;"",R894,IF(Q894="(tanpa lawan)","Transfer antar rekening",IFERROR(INDEX(I_COA!$F$6:$F$265,MATCH(Q894,I_COA!$A$6:$A$265,0)),"?"))))</f>
        <v>Transfer antar rekening</v>
      </c>
    </row>
    <row r="895" customFormat="false" ht="15" hidden="false" customHeight="false" outlineLevel="0" collapsed="false">
      <c r="A895" s="37" t="n">
        <v>46248</v>
      </c>
      <c r="B895" s="44" t="s">
        <v>1326</v>
      </c>
      <c r="C895" s="44" t="s">
        <v>580</v>
      </c>
      <c r="D895" s="44" t="n">
        <v>1102002</v>
      </c>
      <c r="E895" s="44" t="s">
        <v>598</v>
      </c>
      <c r="F895" s="44" t="s">
        <v>784</v>
      </c>
      <c r="G895" s="42" t="n">
        <v>500000000</v>
      </c>
      <c r="H895" s="42"/>
      <c r="I895" s="44"/>
      <c r="J895" s="11" t="n">
        <f aca="false">IF(D895="","",N(G895)-N(H895))</f>
        <v>500000000</v>
      </c>
      <c r="K895" s="34" t="str">
        <f aca="false">IF(D895="","",IFERROR(INDEX(I_COA!$C$6:$C$265,MATCH(D895,I_COA!$A$6:$A$265,0)),"AKUN BARU"))</f>
        <v>Neraca</v>
      </c>
      <c r="L895" s="34" t="str">
        <f aca="false">IF(K895="LabaRugi",INDEX(I_COA!$D$6:$D$265,MATCH(D895,I_COA!$A$6:$A$265,0)),"")</f>
        <v/>
      </c>
      <c r="M895" s="34" t="str">
        <f aca="false">IF(K895="Neraca",INDEX(I_COA!$E$6:$E$265,MATCH(D895,I_COA!$A$6:$A$265,0)),"")</f>
        <v>Cash and cash equivalents</v>
      </c>
      <c r="N895" s="34" t="str">
        <f aca="false">IF(D895="","",IFERROR(INDEX(I_COA!$G$6:$G$265,MATCH(D895,I_COA!$A$6:$A$265,0)),"N"))</f>
        <v>Y</v>
      </c>
      <c r="O895" s="11" t="str">
        <f aca="false">IF(N895="N",ABS(J895),"")</f>
        <v/>
      </c>
      <c r="P895" s="18" t="str">
        <f aca="false">IF(N895="N",B895&amp;"|"&amp;ROUND(O895,0),"")</f>
        <v/>
      </c>
      <c r="Q895" s="18" t="n">
        <f aca="false">IF(N895&lt;&gt;"Y","",IFERROR(INDEX($D$6:$D$4005,MATCH(B895&amp;"|"&amp;ROUND(_xlfn.MAXIFS($O$6:$O$4005,$B$6:$B$4005,B895,$N$6:$N$4005,"N"),0),$P$6:$P$4005,0)),"(tanpa lawan)"))</f>
        <v>1102008</v>
      </c>
      <c r="R895" s="44"/>
      <c r="S895" s="9" t="str">
        <f aca="false">IF(N895&lt;&gt;"Y","",IF(R895&lt;&gt;"",R895,IF(Q895="(tanpa lawan)","Transfer antar rekening",IFERROR(INDEX(I_COA!$F$6:$F$265,MATCH(Q895,I_COA!$A$6:$A$265,0)),"?"))))</f>
        <v>Transfer antar rekening</v>
      </c>
    </row>
    <row r="896" customFormat="false" ht="15" hidden="false" customHeight="false" outlineLevel="0" collapsed="false">
      <c r="A896" s="37" t="n">
        <v>46248</v>
      </c>
      <c r="B896" s="44" t="s">
        <v>1326</v>
      </c>
      <c r="C896" s="44" t="s">
        <v>580</v>
      </c>
      <c r="D896" s="44" t="n">
        <v>1102008</v>
      </c>
      <c r="E896" s="44" t="s">
        <v>781</v>
      </c>
      <c r="F896" s="44" t="s">
        <v>784</v>
      </c>
      <c r="G896" s="42"/>
      <c r="H896" s="42" t="n">
        <v>500000000</v>
      </c>
      <c r="I896" s="44"/>
      <c r="J896" s="11" t="n">
        <f aca="false">IF(D896="","",N(G896)-N(H896))</f>
        <v>-500000000</v>
      </c>
      <c r="K896" s="34" t="str">
        <f aca="false">IF(D896="","",IFERROR(INDEX(I_COA!$C$6:$C$265,MATCH(D896,I_COA!$A$6:$A$265,0)),"AKUN BARU"))</f>
        <v>Neraca</v>
      </c>
      <c r="L896" s="34" t="str">
        <f aca="false">IF(K896="LabaRugi",INDEX(I_COA!$D$6:$D$265,MATCH(D896,I_COA!$A$6:$A$265,0)),"")</f>
        <v/>
      </c>
      <c r="M896" s="34" t="str">
        <f aca="false">IF(K896="Neraca",INDEX(I_COA!$E$6:$E$265,MATCH(D896,I_COA!$A$6:$A$265,0)),"")</f>
        <v>Advance Payment</v>
      </c>
      <c r="N896" s="34" t="str">
        <f aca="false">IF(D896="","",IFERROR(INDEX(I_COA!$G$6:$G$265,MATCH(D896,I_COA!$A$6:$A$265,0)),"N"))</f>
        <v>N</v>
      </c>
      <c r="O896" s="11" t="n">
        <f aca="false">IF(N896="N",ABS(J896),"")</f>
        <v>500000000</v>
      </c>
      <c r="P896" s="18" t="str">
        <f aca="false">IF(N896="N",B896&amp;"|"&amp;ROUND(O896,0),"")</f>
        <v>B8426080008|500000000</v>
      </c>
      <c r="Q896" s="18" t="str">
        <f aca="false">IF(N896&lt;&gt;"Y","",IFERROR(INDEX($D$6:$D$4005,MATCH(B896&amp;"|"&amp;ROUND(_xlfn.MAXIFS($O$6:$O$4005,$B$6:$B$4005,B896,$N$6:$N$4005,"N"),0),$P$6:$P$4005,0)),"(tanpa lawan)"))</f>
        <v/>
      </c>
      <c r="R896" s="44"/>
      <c r="S896" s="9" t="str">
        <f aca="false">IF(N896&lt;&gt;"Y","",IF(R896&lt;&gt;"",R896,IF(Q896="(tanpa lawan)","Transfer antar rekening",IFERROR(INDEX(I_COA!$F$6:$F$265,MATCH(Q896,I_COA!$A$6:$A$265,0)),"?"))))</f>
        <v/>
      </c>
    </row>
    <row r="897" customFormat="false" ht="15" hidden="false" customHeight="false" outlineLevel="0" collapsed="false">
      <c r="A897" s="37" t="n">
        <v>46248</v>
      </c>
      <c r="B897" s="44" t="s">
        <v>1327</v>
      </c>
      <c r="C897" s="44" t="s">
        <v>594</v>
      </c>
      <c r="D897" s="44" t="n">
        <v>2101001</v>
      </c>
      <c r="E897" s="44" t="s">
        <v>595</v>
      </c>
      <c r="F897" s="44" t="s">
        <v>1328</v>
      </c>
      <c r="G897" s="42" t="n">
        <v>209459640</v>
      </c>
      <c r="H897" s="42"/>
      <c r="I897" s="44" t="s">
        <v>597</v>
      </c>
      <c r="J897" s="11" t="n">
        <f aca="false">IF(D897="","",N(G897)-N(H897))</f>
        <v>209459640</v>
      </c>
      <c r="K897" s="34" t="str">
        <f aca="false">IF(D897="","",IFERROR(INDEX(I_COA!$C$6:$C$265,MATCH(D897,I_COA!$A$6:$A$265,0)),"AKUN BARU"))</f>
        <v>Neraca</v>
      </c>
      <c r="L897" s="34" t="str">
        <f aca="false">IF(K897="LabaRugi",INDEX(I_COA!$D$6:$D$265,MATCH(D897,I_COA!$A$6:$A$265,0)),"")</f>
        <v/>
      </c>
      <c r="M897" s="34" t="str">
        <f aca="false">IF(K897="Neraca",INDEX(I_COA!$E$6:$E$265,MATCH(D897,I_COA!$A$6:$A$265,0)),"")</f>
        <v>Trade Payables - Third Parties</v>
      </c>
      <c r="N897" s="34" t="str">
        <f aca="false">IF(D897="","",IFERROR(INDEX(I_COA!$G$6:$G$265,MATCH(D897,I_COA!$A$6:$A$265,0)),"N"))</f>
        <v>N</v>
      </c>
      <c r="O897" s="11" t="n">
        <f aca="false">IF(N897="N",ABS(J897),"")</f>
        <v>209459640</v>
      </c>
      <c r="P897" s="18" t="str">
        <f aca="false">IF(N897="N",B897&amp;"|"&amp;ROUND(O897,0),"")</f>
        <v>B8526080053|209459640</v>
      </c>
      <c r="Q897" s="18" t="str">
        <f aca="false">IF(N897&lt;&gt;"Y","",IFERROR(INDEX($D$6:$D$4005,MATCH(B897&amp;"|"&amp;ROUND(_xlfn.MAXIFS($O$6:$O$4005,$B$6:$B$4005,B897,$N$6:$N$4005,"N"),0),$P$6:$P$4005,0)),"(tanpa lawan)"))</f>
        <v/>
      </c>
      <c r="R897" s="44"/>
      <c r="S897" s="9" t="str">
        <f aca="false">IF(N897&lt;&gt;"Y","",IF(R897&lt;&gt;"",R897,IF(Q897="(tanpa lawan)","Transfer antar rekening",IFERROR(INDEX(I_COA!$F$6:$F$265,MATCH(Q897,I_COA!$A$6:$A$265,0)),"?"))))</f>
        <v/>
      </c>
    </row>
    <row r="898" customFormat="false" ht="15" hidden="false" customHeight="false" outlineLevel="0" collapsed="false">
      <c r="A898" s="37" t="n">
        <v>46248</v>
      </c>
      <c r="B898" s="44" t="s">
        <v>1327</v>
      </c>
      <c r="C898" s="44" t="s">
        <v>594</v>
      </c>
      <c r="D898" s="44" t="n">
        <v>1102002</v>
      </c>
      <c r="E898" s="44" t="s">
        <v>598</v>
      </c>
      <c r="F898" s="44" t="s">
        <v>1328</v>
      </c>
      <c r="G898" s="42"/>
      <c r="H898" s="42" t="n">
        <v>209459640</v>
      </c>
      <c r="I898" s="44" t="s">
        <v>597</v>
      </c>
      <c r="J898" s="11" t="n">
        <f aca="false">IF(D898="","",N(G898)-N(H898))</f>
        <v>-209459640</v>
      </c>
      <c r="K898" s="34" t="str">
        <f aca="false">IF(D898="","",IFERROR(INDEX(I_COA!$C$6:$C$265,MATCH(D898,I_COA!$A$6:$A$265,0)),"AKUN BARU"))</f>
        <v>Neraca</v>
      </c>
      <c r="L898" s="34" t="str">
        <f aca="false">IF(K898="LabaRugi",INDEX(I_COA!$D$6:$D$265,MATCH(D898,I_COA!$A$6:$A$265,0)),"")</f>
        <v/>
      </c>
      <c r="M898" s="34" t="str">
        <f aca="false">IF(K898="Neraca",INDEX(I_COA!$E$6:$E$265,MATCH(D898,I_COA!$A$6:$A$265,0)),"")</f>
        <v>Cash and cash equivalents</v>
      </c>
      <c r="N898" s="34" t="str">
        <f aca="false">IF(D898="","",IFERROR(INDEX(I_COA!$G$6:$G$265,MATCH(D898,I_COA!$A$6:$A$265,0)),"N"))</f>
        <v>Y</v>
      </c>
      <c r="O898" s="11" t="str">
        <f aca="false">IF(N898="N",ABS(J898),"")</f>
        <v/>
      </c>
      <c r="P898" s="18" t="str">
        <f aca="false">IF(N898="N",B898&amp;"|"&amp;ROUND(O898,0),"")</f>
        <v/>
      </c>
      <c r="Q898" s="18" t="n">
        <f aca="false">IF(N898&lt;&gt;"Y","",IFERROR(INDEX($D$6:$D$4005,MATCH(B898&amp;"|"&amp;ROUND(_xlfn.MAXIFS($O$6:$O$4005,$B$6:$B$4005,B898,$N$6:$N$4005,"N"),0),$P$6:$P$4005,0)),"(tanpa lawan)"))</f>
        <v>2101001</v>
      </c>
      <c r="R898" s="44"/>
      <c r="S898" s="9" t="str">
        <f aca="false">IF(N898&lt;&gt;"Y","",IF(R898&lt;&gt;"",R898,IF(Q898="(tanpa lawan)","Transfer antar rekening",IFERROR(INDEX(I_COA!$F$6:$F$265,MATCH(Q898,I_COA!$A$6:$A$265,0)),"?"))))</f>
        <v>Bayar pemasok barang (live bird &amp; trading)</v>
      </c>
    </row>
    <row r="899" customFormat="false" ht="15" hidden="false" customHeight="false" outlineLevel="0" collapsed="false">
      <c r="A899" s="37" t="n">
        <v>46248</v>
      </c>
      <c r="B899" s="44" t="s">
        <v>1329</v>
      </c>
      <c r="C899" s="44" t="s">
        <v>594</v>
      </c>
      <c r="D899" s="44" t="n">
        <v>2101003</v>
      </c>
      <c r="E899" s="44" t="s">
        <v>679</v>
      </c>
      <c r="F899" s="44" t="s">
        <v>1330</v>
      </c>
      <c r="G899" s="42" t="n">
        <v>19500000</v>
      </c>
      <c r="H899" s="42"/>
      <c r="I899" s="44" t="s">
        <v>681</v>
      </c>
      <c r="J899" s="11" t="n">
        <f aca="false">IF(D899="","",N(G899)-N(H899))</f>
        <v>19500000</v>
      </c>
      <c r="K899" s="34" t="str">
        <f aca="false">IF(D899="","",IFERROR(INDEX(I_COA!$C$6:$C$265,MATCH(D899,I_COA!$A$6:$A$265,0)),"AKUN BARU"))</f>
        <v>Neraca</v>
      </c>
      <c r="L899" s="34" t="str">
        <f aca="false">IF(K899="LabaRugi",INDEX(I_COA!$D$6:$D$265,MATCH(D899,I_COA!$A$6:$A$265,0)),"")</f>
        <v/>
      </c>
      <c r="M899" s="34" t="str">
        <f aca="false">IF(K899="Neraca",INDEX(I_COA!$E$6:$E$265,MATCH(D899,I_COA!$A$6:$A$265,0)),"")</f>
        <v>Other Payable - Third Parties</v>
      </c>
      <c r="N899" s="34" t="str">
        <f aca="false">IF(D899="","",IFERROR(INDEX(I_COA!$G$6:$G$265,MATCH(D899,I_COA!$A$6:$A$265,0)),"N"))</f>
        <v>N</v>
      </c>
      <c r="O899" s="11" t="n">
        <f aca="false">IF(N899="N",ABS(J899),"")</f>
        <v>19500000</v>
      </c>
      <c r="P899" s="18" t="str">
        <f aca="false">IF(N899="N",B899&amp;"|"&amp;ROUND(O899,0),"")</f>
        <v>B8526080054|19500000</v>
      </c>
      <c r="Q899" s="18" t="str">
        <f aca="false">IF(N899&lt;&gt;"Y","",IFERROR(INDEX($D$6:$D$4005,MATCH(B899&amp;"|"&amp;ROUND(_xlfn.MAXIFS($O$6:$O$4005,$B$6:$B$4005,B899,$N$6:$N$4005,"N"),0),$P$6:$P$4005,0)),"(tanpa lawan)"))</f>
        <v/>
      </c>
      <c r="R899" s="44"/>
      <c r="S899" s="9" t="str">
        <f aca="false">IF(N899&lt;&gt;"Y","",IF(R899&lt;&gt;"",R899,IF(Q899="(tanpa lawan)","Transfer antar rekening",IFERROR(INDEX(I_COA!$F$6:$F$265,MATCH(Q899,I_COA!$A$6:$A$265,0)),"?"))))</f>
        <v/>
      </c>
    </row>
    <row r="900" customFormat="false" ht="15" hidden="false" customHeight="false" outlineLevel="0" collapsed="false">
      <c r="A900" s="37" t="n">
        <v>46248</v>
      </c>
      <c r="B900" s="44" t="s">
        <v>1329</v>
      </c>
      <c r="C900" s="44" t="s">
        <v>594</v>
      </c>
      <c r="D900" s="44" t="n">
        <v>6200023</v>
      </c>
      <c r="E900" s="44" t="s">
        <v>688</v>
      </c>
      <c r="F900" s="44" t="s">
        <v>1330</v>
      </c>
      <c r="G900" s="42"/>
      <c r="H900" s="42" t="n">
        <v>10000</v>
      </c>
      <c r="I900" s="44" t="s">
        <v>681</v>
      </c>
      <c r="J900" s="11" t="n">
        <f aca="false">IF(D900="","",N(G900)-N(H900))</f>
        <v>-10000</v>
      </c>
      <c r="K900" s="34" t="str">
        <f aca="false">IF(D900="","",IFERROR(INDEX(I_COA!$C$6:$C$265,MATCH(D900,I_COA!$A$6:$A$265,0)),"AKUN BARU"))</f>
        <v>LabaRugi</v>
      </c>
      <c r="L900" s="34" t="str">
        <f aca="false">IF(K900="LabaRugi",INDEX(I_COA!$D$6:$D$265,MATCH(D900,I_COA!$A$6:$A$265,0)),"")</f>
        <v>Tax expenses</v>
      </c>
      <c r="M900" s="34" t="str">
        <f aca="false">IF(K900="Neraca",INDEX(I_COA!$E$6:$E$265,MATCH(D900,I_COA!$A$6:$A$265,0)),"")</f>
        <v/>
      </c>
      <c r="N900" s="34" t="str">
        <f aca="false">IF(D900="","",IFERROR(INDEX(I_COA!$G$6:$G$265,MATCH(D900,I_COA!$A$6:$A$265,0)),"N"))</f>
        <v>N</v>
      </c>
      <c r="O900" s="11" t="n">
        <f aca="false">IF(N900="N",ABS(J900),"")</f>
        <v>10000</v>
      </c>
      <c r="P900" s="18" t="str">
        <f aca="false">IF(N900="N",B900&amp;"|"&amp;ROUND(O900,0),"")</f>
        <v>B8526080054|10000</v>
      </c>
      <c r="Q900" s="18" t="str">
        <f aca="false">IF(N900&lt;&gt;"Y","",IFERROR(INDEX($D$6:$D$4005,MATCH(B900&amp;"|"&amp;ROUND(_xlfn.MAXIFS($O$6:$O$4005,$B$6:$B$4005,B900,$N$6:$N$4005,"N"),0),$P$6:$P$4005,0)),"(tanpa lawan)"))</f>
        <v/>
      </c>
      <c r="R900" s="44"/>
      <c r="S900" s="9" t="str">
        <f aca="false">IF(N900&lt;&gt;"Y","",IF(R900&lt;&gt;"",R900,IF(Q900="(tanpa lawan)","Transfer antar rekening",IFERROR(INDEX(I_COA!$F$6:$F$265,MATCH(Q900,I_COA!$A$6:$A$265,0)),"?"))))</f>
        <v/>
      </c>
    </row>
    <row r="901" customFormat="false" ht="15" hidden="false" customHeight="false" outlineLevel="0" collapsed="false">
      <c r="A901" s="37" t="n">
        <v>46248</v>
      </c>
      <c r="B901" s="44" t="s">
        <v>1329</v>
      </c>
      <c r="C901" s="44" t="s">
        <v>594</v>
      </c>
      <c r="D901" s="44" t="n">
        <v>1102002</v>
      </c>
      <c r="E901" s="44" t="s">
        <v>598</v>
      </c>
      <c r="F901" s="44" t="s">
        <v>1330</v>
      </c>
      <c r="G901" s="42"/>
      <c r="H901" s="42" t="n">
        <v>19490000</v>
      </c>
      <c r="I901" s="44" t="s">
        <v>681</v>
      </c>
      <c r="J901" s="11" t="n">
        <f aca="false">IF(D901="","",N(G901)-N(H901))</f>
        <v>-19490000</v>
      </c>
      <c r="K901" s="34" t="str">
        <f aca="false">IF(D901="","",IFERROR(INDEX(I_COA!$C$6:$C$265,MATCH(D901,I_COA!$A$6:$A$265,0)),"AKUN BARU"))</f>
        <v>Neraca</v>
      </c>
      <c r="L901" s="34" t="str">
        <f aca="false">IF(K901="LabaRugi",INDEX(I_COA!$D$6:$D$265,MATCH(D901,I_COA!$A$6:$A$265,0)),"")</f>
        <v/>
      </c>
      <c r="M901" s="34" t="str">
        <f aca="false">IF(K901="Neraca",INDEX(I_COA!$E$6:$E$265,MATCH(D901,I_COA!$A$6:$A$265,0)),"")</f>
        <v>Cash and cash equivalents</v>
      </c>
      <c r="N901" s="34" t="str">
        <f aca="false">IF(D901="","",IFERROR(INDEX(I_COA!$G$6:$G$265,MATCH(D901,I_COA!$A$6:$A$265,0)),"N"))</f>
        <v>Y</v>
      </c>
      <c r="O901" s="11" t="str">
        <f aca="false">IF(N901="N",ABS(J901),"")</f>
        <v/>
      </c>
      <c r="P901" s="18" t="str">
        <f aca="false">IF(N901="N",B901&amp;"|"&amp;ROUND(O901,0),"")</f>
        <v/>
      </c>
      <c r="Q901" s="18" t="n">
        <f aca="false">IF(N901&lt;&gt;"Y","",IFERROR(INDEX($D$6:$D$4005,MATCH(B901&amp;"|"&amp;ROUND(_xlfn.MAXIFS($O$6:$O$4005,$B$6:$B$4005,B901,$N$6:$N$4005,"N"),0),$P$6:$P$4005,0)),"(tanpa lawan)"))</f>
        <v>2101003</v>
      </c>
      <c r="R901" s="44"/>
      <c r="S901" s="9" t="str">
        <f aca="false">IF(N901&lt;&gt;"Y","",IF(R901&lt;&gt;"",R901,IF(Q901="(tanpa lawan)","Transfer antar rekening",IFERROR(INDEX(I_COA!$F$6:$F$265,MATCH(Q901,I_COA!$A$6:$A$265,0)),"?"))))</f>
        <v>Bayar jasa (maklon, angkut, cold storage, sewa)</v>
      </c>
    </row>
    <row r="902" customFormat="false" ht="15" hidden="false" customHeight="false" outlineLevel="0" collapsed="false">
      <c r="A902" s="37" t="n">
        <v>46248</v>
      </c>
      <c r="B902" s="44" t="s">
        <v>1331</v>
      </c>
      <c r="C902" s="44" t="s">
        <v>594</v>
      </c>
      <c r="D902" s="44" t="n">
        <v>2101003</v>
      </c>
      <c r="E902" s="44" t="s">
        <v>679</v>
      </c>
      <c r="F902" s="44" t="s">
        <v>1332</v>
      </c>
      <c r="G902" s="42" t="n">
        <v>6825000</v>
      </c>
      <c r="H902" s="42"/>
      <c r="I902" s="44" t="s">
        <v>681</v>
      </c>
      <c r="J902" s="11" t="n">
        <f aca="false">IF(D902="","",N(G902)-N(H902))</f>
        <v>6825000</v>
      </c>
      <c r="K902" s="34" t="str">
        <f aca="false">IF(D902="","",IFERROR(INDEX(I_COA!$C$6:$C$265,MATCH(D902,I_COA!$A$6:$A$265,0)),"AKUN BARU"))</f>
        <v>Neraca</v>
      </c>
      <c r="L902" s="34" t="str">
        <f aca="false">IF(K902="LabaRugi",INDEX(I_COA!$D$6:$D$265,MATCH(D902,I_COA!$A$6:$A$265,0)),"")</f>
        <v/>
      </c>
      <c r="M902" s="34" t="str">
        <f aca="false">IF(K902="Neraca",INDEX(I_COA!$E$6:$E$265,MATCH(D902,I_COA!$A$6:$A$265,0)),"")</f>
        <v>Other Payable - Third Parties</v>
      </c>
      <c r="N902" s="34" t="str">
        <f aca="false">IF(D902="","",IFERROR(INDEX(I_COA!$G$6:$G$265,MATCH(D902,I_COA!$A$6:$A$265,0)),"N"))</f>
        <v>N</v>
      </c>
      <c r="O902" s="11" t="n">
        <f aca="false">IF(N902="N",ABS(J902),"")</f>
        <v>6825000</v>
      </c>
      <c r="P902" s="18" t="str">
        <f aca="false">IF(N902="N",B902&amp;"|"&amp;ROUND(O902,0),"")</f>
        <v>B8526080055|6825000</v>
      </c>
      <c r="Q902" s="18" t="str">
        <f aca="false">IF(N902&lt;&gt;"Y","",IFERROR(INDEX($D$6:$D$4005,MATCH(B902&amp;"|"&amp;ROUND(_xlfn.MAXIFS($O$6:$O$4005,$B$6:$B$4005,B902,$N$6:$N$4005,"N"),0),$P$6:$P$4005,0)),"(tanpa lawan)"))</f>
        <v/>
      </c>
      <c r="R902" s="44"/>
      <c r="S902" s="9" t="str">
        <f aca="false">IF(N902&lt;&gt;"Y","",IF(R902&lt;&gt;"",R902,IF(Q902="(tanpa lawan)","Transfer antar rekening",IFERROR(INDEX(I_COA!$F$6:$F$265,MATCH(Q902,I_COA!$A$6:$A$265,0)),"?"))))</f>
        <v/>
      </c>
    </row>
    <row r="903" customFormat="false" ht="15" hidden="false" customHeight="false" outlineLevel="0" collapsed="false">
      <c r="A903" s="37" t="n">
        <v>46248</v>
      </c>
      <c r="B903" s="44" t="s">
        <v>1331</v>
      </c>
      <c r="C903" s="44" t="s">
        <v>594</v>
      </c>
      <c r="D903" s="44" t="n">
        <v>6200023</v>
      </c>
      <c r="E903" s="44" t="s">
        <v>688</v>
      </c>
      <c r="F903" s="44" t="s">
        <v>1332</v>
      </c>
      <c r="G903" s="42"/>
      <c r="H903" s="42" t="n">
        <v>10000</v>
      </c>
      <c r="I903" s="44" t="s">
        <v>681</v>
      </c>
      <c r="J903" s="11" t="n">
        <f aca="false">IF(D903="","",N(G903)-N(H903))</f>
        <v>-10000</v>
      </c>
      <c r="K903" s="34" t="str">
        <f aca="false">IF(D903="","",IFERROR(INDEX(I_COA!$C$6:$C$265,MATCH(D903,I_COA!$A$6:$A$265,0)),"AKUN BARU"))</f>
        <v>LabaRugi</v>
      </c>
      <c r="L903" s="34" t="str">
        <f aca="false">IF(K903="LabaRugi",INDEX(I_COA!$D$6:$D$265,MATCH(D903,I_COA!$A$6:$A$265,0)),"")</f>
        <v>Tax expenses</v>
      </c>
      <c r="M903" s="34" t="str">
        <f aca="false">IF(K903="Neraca",INDEX(I_COA!$E$6:$E$265,MATCH(D903,I_COA!$A$6:$A$265,0)),"")</f>
        <v/>
      </c>
      <c r="N903" s="34" t="str">
        <f aca="false">IF(D903="","",IFERROR(INDEX(I_COA!$G$6:$G$265,MATCH(D903,I_COA!$A$6:$A$265,0)),"N"))</f>
        <v>N</v>
      </c>
      <c r="O903" s="11" t="n">
        <f aca="false">IF(N903="N",ABS(J903),"")</f>
        <v>10000</v>
      </c>
      <c r="P903" s="18" t="str">
        <f aca="false">IF(N903="N",B903&amp;"|"&amp;ROUND(O903,0),"")</f>
        <v>B8526080055|10000</v>
      </c>
      <c r="Q903" s="18" t="str">
        <f aca="false">IF(N903&lt;&gt;"Y","",IFERROR(INDEX($D$6:$D$4005,MATCH(B903&amp;"|"&amp;ROUND(_xlfn.MAXIFS($O$6:$O$4005,$B$6:$B$4005,B903,$N$6:$N$4005,"N"),0),$P$6:$P$4005,0)),"(tanpa lawan)"))</f>
        <v/>
      </c>
      <c r="R903" s="44"/>
      <c r="S903" s="9" t="str">
        <f aca="false">IF(N903&lt;&gt;"Y","",IF(R903&lt;&gt;"",R903,IF(Q903="(tanpa lawan)","Transfer antar rekening",IFERROR(INDEX(I_COA!$F$6:$F$265,MATCH(Q903,I_COA!$A$6:$A$265,0)),"?"))))</f>
        <v/>
      </c>
    </row>
    <row r="904" customFormat="false" ht="15" hidden="false" customHeight="false" outlineLevel="0" collapsed="false">
      <c r="A904" s="37" t="n">
        <v>46248</v>
      </c>
      <c r="B904" s="44" t="s">
        <v>1331</v>
      </c>
      <c r="C904" s="44" t="s">
        <v>594</v>
      </c>
      <c r="D904" s="44" t="n">
        <v>1102002</v>
      </c>
      <c r="E904" s="44" t="s">
        <v>598</v>
      </c>
      <c r="F904" s="44" t="s">
        <v>1332</v>
      </c>
      <c r="G904" s="42"/>
      <c r="H904" s="42" t="n">
        <v>6815000</v>
      </c>
      <c r="I904" s="44" t="s">
        <v>681</v>
      </c>
      <c r="J904" s="11" t="n">
        <f aca="false">IF(D904="","",N(G904)-N(H904))</f>
        <v>-6815000</v>
      </c>
      <c r="K904" s="34" t="str">
        <f aca="false">IF(D904="","",IFERROR(INDEX(I_COA!$C$6:$C$265,MATCH(D904,I_COA!$A$6:$A$265,0)),"AKUN BARU"))</f>
        <v>Neraca</v>
      </c>
      <c r="L904" s="34" t="str">
        <f aca="false">IF(K904="LabaRugi",INDEX(I_COA!$D$6:$D$265,MATCH(D904,I_COA!$A$6:$A$265,0)),"")</f>
        <v/>
      </c>
      <c r="M904" s="34" t="str">
        <f aca="false">IF(K904="Neraca",INDEX(I_COA!$E$6:$E$265,MATCH(D904,I_COA!$A$6:$A$265,0)),"")</f>
        <v>Cash and cash equivalents</v>
      </c>
      <c r="N904" s="34" t="str">
        <f aca="false">IF(D904="","",IFERROR(INDEX(I_COA!$G$6:$G$265,MATCH(D904,I_COA!$A$6:$A$265,0)),"N"))</f>
        <v>Y</v>
      </c>
      <c r="O904" s="11" t="str">
        <f aca="false">IF(N904="N",ABS(J904),"")</f>
        <v/>
      </c>
      <c r="P904" s="18" t="str">
        <f aca="false">IF(N904="N",B904&amp;"|"&amp;ROUND(O904,0),"")</f>
        <v/>
      </c>
      <c r="Q904" s="18" t="n">
        <f aca="false">IF(N904&lt;&gt;"Y","",IFERROR(INDEX($D$6:$D$4005,MATCH(B904&amp;"|"&amp;ROUND(_xlfn.MAXIFS($O$6:$O$4005,$B$6:$B$4005,B904,$N$6:$N$4005,"N"),0),$P$6:$P$4005,0)),"(tanpa lawan)"))</f>
        <v>2101003</v>
      </c>
      <c r="R904" s="44"/>
      <c r="S904" s="9" t="str">
        <f aca="false">IF(N904&lt;&gt;"Y","",IF(R904&lt;&gt;"",R904,IF(Q904="(tanpa lawan)","Transfer antar rekening",IFERROR(INDEX(I_COA!$F$6:$F$265,MATCH(Q904,I_COA!$A$6:$A$265,0)),"?"))))</f>
        <v>Bayar jasa (maklon, angkut, cold storage, sewa)</v>
      </c>
    </row>
    <row r="905" customFormat="false" ht="15" hidden="false" customHeight="false" outlineLevel="0" collapsed="false">
      <c r="A905" s="37" t="n">
        <v>46248</v>
      </c>
      <c r="B905" s="44" t="s">
        <v>1333</v>
      </c>
      <c r="C905" s="44" t="s">
        <v>594</v>
      </c>
      <c r="D905" s="44" t="n">
        <v>2101001</v>
      </c>
      <c r="E905" s="44" t="s">
        <v>595</v>
      </c>
      <c r="F905" s="44" t="s">
        <v>1334</v>
      </c>
      <c r="G905" s="42" t="n">
        <v>90510182</v>
      </c>
      <c r="H905" s="42"/>
      <c r="I905" s="44" t="s">
        <v>597</v>
      </c>
      <c r="J905" s="11" t="n">
        <f aca="false">IF(D905="","",N(G905)-N(H905))</f>
        <v>90510182</v>
      </c>
      <c r="K905" s="34" t="str">
        <f aca="false">IF(D905="","",IFERROR(INDEX(I_COA!$C$6:$C$265,MATCH(D905,I_COA!$A$6:$A$265,0)),"AKUN BARU"))</f>
        <v>Neraca</v>
      </c>
      <c r="L905" s="34" t="str">
        <f aca="false">IF(K905="LabaRugi",INDEX(I_COA!$D$6:$D$265,MATCH(D905,I_COA!$A$6:$A$265,0)),"")</f>
        <v/>
      </c>
      <c r="M905" s="34" t="str">
        <f aca="false">IF(K905="Neraca",INDEX(I_COA!$E$6:$E$265,MATCH(D905,I_COA!$A$6:$A$265,0)),"")</f>
        <v>Trade Payables - Third Parties</v>
      </c>
      <c r="N905" s="34" t="str">
        <f aca="false">IF(D905="","",IFERROR(INDEX(I_COA!$G$6:$G$265,MATCH(D905,I_COA!$A$6:$A$265,0)),"N"))</f>
        <v>N</v>
      </c>
      <c r="O905" s="11" t="n">
        <f aca="false">IF(N905="N",ABS(J905),"")</f>
        <v>90510182</v>
      </c>
      <c r="P905" s="18" t="str">
        <f aca="false">IF(N905="N",B905&amp;"|"&amp;ROUND(O905,0),"")</f>
        <v>B8526080056|90510182</v>
      </c>
      <c r="Q905" s="18" t="str">
        <f aca="false">IF(N905&lt;&gt;"Y","",IFERROR(INDEX($D$6:$D$4005,MATCH(B905&amp;"|"&amp;ROUND(_xlfn.MAXIFS($O$6:$O$4005,$B$6:$B$4005,B905,$N$6:$N$4005,"N"),0),$P$6:$P$4005,0)),"(tanpa lawan)"))</f>
        <v/>
      </c>
      <c r="R905" s="44"/>
      <c r="S905" s="9" t="str">
        <f aca="false">IF(N905&lt;&gt;"Y","",IF(R905&lt;&gt;"",R905,IF(Q905="(tanpa lawan)","Transfer antar rekening",IFERROR(INDEX(I_COA!$F$6:$F$265,MATCH(Q905,I_COA!$A$6:$A$265,0)),"?"))))</f>
        <v/>
      </c>
    </row>
    <row r="906" customFormat="false" ht="15" hidden="false" customHeight="false" outlineLevel="0" collapsed="false">
      <c r="A906" s="37" t="n">
        <v>46248</v>
      </c>
      <c r="B906" s="44" t="s">
        <v>1333</v>
      </c>
      <c r="C906" s="44" t="s">
        <v>594</v>
      </c>
      <c r="D906" s="44" t="n">
        <v>1102002</v>
      </c>
      <c r="E906" s="44" t="s">
        <v>598</v>
      </c>
      <c r="F906" s="44" t="s">
        <v>1334</v>
      </c>
      <c r="G906" s="42"/>
      <c r="H906" s="42" t="n">
        <v>90510182</v>
      </c>
      <c r="I906" s="44" t="s">
        <v>597</v>
      </c>
      <c r="J906" s="11" t="n">
        <f aca="false">IF(D906="","",N(G906)-N(H906))</f>
        <v>-90510182</v>
      </c>
      <c r="K906" s="34" t="str">
        <f aca="false">IF(D906="","",IFERROR(INDEX(I_COA!$C$6:$C$265,MATCH(D906,I_COA!$A$6:$A$265,0)),"AKUN BARU"))</f>
        <v>Neraca</v>
      </c>
      <c r="L906" s="34" t="str">
        <f aca="false">IF(K906="LabaRugi",INDEX(I_COA!$D$6:$D$265,MATCH(D906,I_COA!$A$6:$A$265,0)),"")</f>
        <v/>
      </c>
      <c r="M906" s="34" t="str">
        <f aca="false">IF(K906="Neraca",INDEX(I_COA!$E$6:$E$265,MATCH(D906,I_COA!$A$6:$A$265,0)),"")</f>
        <v>Cash and cash equivalents</v>
      </c>
      <c r="N906" s="34" t="str">
        <f aca="false">IF(D906="","",IFERROR(INDEX(I_COA!$G$6:$G$265,MATCH(D906,I_COA!$A$6:$A$265,0)),"N"))</f>
        <v>Y</v>
      </c>
      <c r="O906" s="11" t="str">
        <f aca="false">IF(N906="N",ABS(J906),"")</f>
        <v/>
      </c>
      <c r="P906" s="18" t="str">
        <f aca="false">IF(N906="N",B906&amp;"|"&amp;ROUND(O906,0),"")</f>
        <v/>
      </c>
      <c r="Q906" s="18" t="n">
        <f aca="false">IF(N906&lt;&gt;"Y","",IFERROR(INDEX($D$6:$D$4005,MATCH(B906&amp;"|"&amp;ROUND(_xlfn.MAXIFS($O$6:$O$4005,$B$6:$B$4005,B906,$N$6:$N$4005,"N"),0),$P$6:$P$4005,0)),"(tanpa lawan)"))</f>
        <v>2101001</v>
      </c>
      <c r="R906" s="44"/>
      <c r="S906" s="9" t="str">
        <f aca="false">IF(N906&lt;&gt;"Y","",IF(R906&lt;&gt;"",R906,IF(Q906="(tanpa lawan)","Transfer antar rekening",IFERROR(INDEX(I_COA!$F$6:$F$265,MATCH(Q906,I_COA!$A$6:$A$265,0)),"?"))))</f>
        <v>Bayar pemasok barang (live bird &amp; trading)</v>
      </c>
    </row>
    <row r="907" customFormat="false" ht="15" hidden="false" customHeight="false" outlineLevel="0" collapsed="false">
      <c r="A907" s="37" t="n">
        <v>46248</v>
      </c>
      <c r="B907" s="44" t="s">
        <v>1335</v>
      </c>
      <c r="C907" s="44" t="s">
        <v>594</v>
      </c>
      <c r="D907" s="44" t="n">
        <v>2101003</v>
      </c>
      <c r="E907" s="44" t="s">
        <v>679</v>
      </c>
      <c r="F907" s="44" t="s">
        <v>1336</v>
      </c>
      <c r="G907" s="42" t="n">
        <v>17550000</v>
      </c>
      <c r="H907" s="42"/>
      <c r="I907" s="44" t="s">
        <v>681</v>
      </c>
      <c r="J907" s="11" t="n">
        <f aca="false">IF(D907="","",N(G907)-N(H907))</f>
        <v>17550000</v>
      </c>
      <c r="K907" s="34" t="str">
        <f aca="false">IF(D907="","",IFERROR(INDEX(I_COA!$C$6:$C$265,MATCH(D907,I_COA!$A$6:$A$265,0)),"AKUN BARU"))</f>
        <v>Neraca</v>
      </c>
      <c r="L907" s="34" t="str">
        <f aca="false">IF(K907="LabaRugi",INDEX(I_COA!$D$6:$D$265,MATCH(D907,I_COA!$A$6:$A$265,0)),"")</f>
        <v/>
      </c>
      <c r="M907" s="34" t="str">
        <f aca="false">IF(K907="Neraca",INDEX(I_COA!$E$6:$E$265,MATCH(D907,I_COA!$A$6:$A$265,0)),"")</f>
        <v>Other Payable - Third Parties</v>
      </c>
      <c r="N907" s="34" t="str">
        <f aca="false">IF(D907="","",IFERROR(INDEX(I_COA!$G$6:$G$265,MATCH(D907,I_COA!$A$6:$A$265,0)),"N"))</f>
        <v>N</v>
      </c>
      <c r="O907" s="11" t="n">
        <f aca="false">IF(N907="N",ABS(J907),"")</f>
        <v>17550000</v>
      </c>
      <c r="P907" s="18" t="str">
        <f aca="false">IF(N907="N",B907&amp;"|"&amp;ROUND(O907,0),"")</f>
        <v>B8526080057|17550000</v>
      </c>
      <c r="Q907" s="18" t="str">
        <f aca="false">IF(N907&lt;&gt;"Y","",IFERROR(INDEX($D$6:$D$4005,MATCH(B907&amp;"|"&amp;ROUND(_xlfn.MAXIFS($O$6:$O$4005,$B$6:$B$4005,B907,$N$6:$N$4005,"N"),0),$P$6:$P$4005,0)),"(tanpa lawan)"))</f>
        <v/>
      </c>
      <c r="R907" s="44"/>
      <c r="S907" s="9" t="str">
        <f aca="false">IF(N907&lt;&gt;"Y","",IF(R907&lt;&gt;"",R907,IF(Q907="(tanpa lawan)","Transfer antar rekening",IFERROR(INDEX(I_COA!$F$6:$F$265,MATCH(Q907,I_COA!$A$6:$A$265,0)),"?"))))</f>
        <v/>
      </c>
    </row>
    <row r="908" customFormat="false" ht="15" hidden="false" customHeight="false" outlineLevel="0" collapsed="false">
      <c r="A908" s="37" t="n">
        <v>46248</v>
      </c>
      <c r="B908" s="44" t="s">
        <v>1335</v>
      </c>
      <c r="C908" s="44" t="s">
        <v>594</v>
      </c>
      <c r="D908" s="44" t="n">
        <v>6200023</v>
      </c>
      <c r="E908" s="44" t="s">
        <v>688</v>
      </c>
      <c r="F908" s="44" t="s">
        <v>1336</v>
      </c>
      <c r="G908" s="42"/>
      <c r="H908" s="42" t="n">
        <v>10000</v>
      </c>
      <c r="I908" s="44" t="s">
        <v>681</v>
      </c>
      <c r="J908" s="11" t="n">
        <f aca="false">IF(D908="","",N(G908)-N(H908))</f>
        <v>-10000</v>
      </c>
      <c r="K908" s="34" t="str">
        <f aca="false">IF(D908="","",IFERROR(INDEX(I_COA!$C$6:$C$265,MATCH(D908,I_COA!$A$6:$A$265,0)),"AKUN BARU"))</f>
        <v>LabaRugi</v>
      </c>
      <c r="L908" s="34" t="str">
        <f aca="false">IF(K908="LabaRugi",INDEX(I_COA!$D$6:$D$265,MATCH(D908,I_COA!$A$6:$A$265,0)),"")</f>
        <v>Tax expenses</v>
      </c>
      <c r="M908" s="34" t="str">
        <f aca="false">IF(K908="Neraca",INDEX(I_COA!$E$6:$E$265,MATCH(D908,I_COA!$A$6:$A$265,0)),"")</f>
        <v/>
      </c>
      <c r="N908" s="34" t="str">
        <f aca="false">IF(D908="","",IFERROR(INDEX(I_COA!$G$6:$G$265,MATCH(D908,I_COA!$A$6:$A$265,0)),"N"))</f>
        <v>N</v>
      </c>
      <c r="O908" s="11" t="n">
        <f aca="false">IF(N908="N",ABS(J908),"")</f>
        <v>10000</v>
      </c>
      <c r="P908" s="18" t="str">
        <f aca="false">IF(N908="N",B908&amp;"|"&amp;ROUND(O908,0),"")</f>
        <v>B8526080057|10000</v>
      </c>
      <c r="Q908" s="18" t="str">
        <f aca="false">IF(N908&lt;&gt;"Y","",IFERROR(INDEX($D$6:$D$4005,MATCH(B908&amp;"|"&amp;ROUND(_xlfn.MAXIFS($O$6:$O$4005,$B$6:$B$4005,B908,$N$6:$N$4005,"N"),0),$P$6:$P$4005,0)),"(tanpa lawan)"))</f>
        <v/>
      </c>
      <c r="R908" s="44"/>
      <c r="S908" s="9" t="str">
        <f aca="false">IF(N908&lt;&gt;"Y","",IF(R908&lt;&gt;"",R908,IF(Q908="(tanpa lawan)","Transfer antar rekening",IFERROR(INDEX(I_COA!$F$6:$F$265,MATCH(Q908,I_COA!$A$6:$A$265,0)),"?"))))</f>
        <v/>
      </c>
    </row>
    <row r="909" customFormat="false" ht="15" hidden="false" customHeight="false" outlineLevel="0" collapsed="false">
      <c r="A909" s="37" t="n">
        <v>46248</v>
      </c>
      <c r="B909" s="44" t="s">
        <v>1335</v>
      </c>
      <c r="C909" s="44" t="s">
        <v>594</v>
      </c>
      <c r="D909" s="44" t="n">
        <v>1102002</v>
      </c>
      <c r="E909" s="44" t="s">
        <v>598</v>
      </c>
      <c r="F909" s="44" t="s">
        <v>1336</v>
      </c>
      <c r="G909" s="42"/>
      <c r="H909" s="42" t="n">
        <v>17540000</v>
      </c>
      <c r="I909" s="44" t="s">
        <v>681</v>
      </c>
      <c r="J909" s="11" t="n">
        <f aca="false">IF(D909="","",N(G909)-N(H909))</f>
        <v>-17540000</v>
      </c>
      <c r="K909" s="34" t="str">
        <f aca="false">IF(D909="","",IFERROR(INDEX(I_COA!$C$6:$C$265,MATCH(D909,I_COA!$A$6:$A$265,0)),"AKUN BARU"))</f>
        <v>Neraca</v>
      </c>
      <c r="L909" s="34" t="str">
        <f aca="false">IF(K909="LabaRugi",INDEX(I_COA!$D$6:$D$265,MATCH(D909,I_COA!$A$6:$A$265,0)),"")</f>
        <v/>
      </c>
      <c r="M909" s="34" t="str">
        <f aca="false">IF(K909="Neraca",INDEX(I_COA!$E$6:$E$265,MATCH(D909,I_COA!$A$6:$A$265,0)),"")</f>
        <v>Cash and cash equivalents</v>
      </c>
      <c r="N909" s="34" t="str">
        <f aca="false">IF(D909="","",IFERROR(INDEX(I_COA!$G$6:$G$265,MATCH(D909,I_COA!$A$6:$A$265,0)),"N"))</f>
        <v>Y</v>
      </c>
      <c r="O909" s="11" t="str">
        <f aca="false">IF(N909="N",ABS(J909),"")</f>
        <v/>
      </c>
      <c r="P909" s="18" t="str">
        <f aca="false">IF(N909="N",B909&amp;"|"&amp;ROUND(O909,0),"")</f>
        <v/>
      </c>
      <c r="Q909" s="18" t="n">
        <f aca="false">IF(N909&lt;&gt;"Y","",IFERROR(INDEX($D$6:$D$4005,MATCH(B909&amp;"|"&amp;ROUND(_xlfn.MAXIFS($O$6:$O$4005,$B$6:$B$4005,B909,$N$6:$N$4005,"N"),0),$P$6:$P$4005,0)),"(tanpa lawan)"))</f>
        <v>2101003</v>
      </c>
      <c r="R909" s="44"/>
      <c r="S909" s="9" t="str">
        <f aca="false">IF(N909&lt;&gt;"Y","",IF(R909&lt;&gt;"",R909,IF(Q909="(tanpa lawan)","Transfer antar rekening",IFERROR(INDEX(I_COA!$F$6:$F$265,MATCH(Q909,I_COA!$A$6:$A$265,0)),"?"))))</f>
        <v>Bayar jasa (maklon, angkut, cold storage, sewa)</v>
      </c>
    </row>
    <row r="910" customFormat="false" ht="15" hidden="false" customHeight="false" outlineLevel="0" collapsed="false">
      <c r="A910" s="37" t="n">
        <v>46248</v>
      </c>
      <c r="B910" s="44" t="s">
        <v>1337</v>
      </c>
      <c r="C910" s="44" t="s">
        <v>690</v>
      </c>
      <c r="D910" s="44" t="n">
        <v>1104003</v>
      </c>
      <c r="E910" s="44" t="s">
        <v>613</v>
      </c>
      <c r="F910" s="44" t="s">
        <v>1338</v>
      </c>
      <c r="G910" s="42" t="n">
        <v>407673880.78</v>
      </c>
      <c r="H910" s="42"/>
      <c r="I910" s="44" t="s">
        <v>597</v>
      </c>
      <c r="J910" s="11" t="n">
        <f aca="false">IF(D910="","",N(G910)-N(H910))</f>
        <v>407673880.78</v>
      </c>
      <c r="K910" s="34" t="str">
        <f aca="false">IF(D910="","",IFERROR(INDEX(I_COA!$C$6:$C$265,MATCH(D910,I_COA!$A$6:$A$265,0)),"AKUN BARU"))</f>
        <v>Neraca</v>
      </c>
      <c r="L910" s="34" t="str">
        <f aca="false">IF(K910="LabaRugi",INDEX(I_COA!$D$6:$D$265,MATCH(D910,I_COA!$A$6:$A$265,0)),"")</f>
        <v/>
      </c>
      <c r="M910" s="34" t="str">
        <f aca="false">IF(K910="Neraca",INDEX(I_COA!$E$6:$E$265,MATCH(D910,I_COA!$A$6:$A$265,0)),"")</f>
        <v>Inventory - Product</v>
      </c>
      <c r="N910" s="34" t="str">
        <f aca="false">IF(D910="","",IFERROR(INDEX(I_COA!$G$6:$G$265,MATCH(D910,I_COA!$A$6:$A$265,0)),"N"))</f>
        <v>N</v>
      </c>
      <c r="O910" s="11" t="n">
        <f aca="false">IF(N910="N",ABS(J910),"")</f>
        <v>407673880.78</v>
      </c>
      <c r="P910" s="18" t="str">
        <f aca="false">IF(N910="N",B910&amp;"|"&amp;ROUND(O910,0),"")</f>
        <v>GR26080010|407673881</v>
      </c>
      <c r="Q910" s="18" t="str">
        <f aca="false">IF(N910&lt;&gt;"Y","",IFERROR(INDEX($D$6:$D$4005,MATCH(B910&amp;"|"&amp;ROUND(_xlfn.MAXIFS($O$6:$O$4005,$B$6:$B$4005,B910,$N$6:$N$4005,"N"),0),$P$6:$P$4005,0)),"(tanpa lawan)"))</f>
        <v/>
      </c>
      <c r="R910" s="44"/>
      <c r="S910" s="9" t="str">
        <f aca="false">IF(N910&lt;&gt;"Y","",IF(R910&lt;&gt;"",R910,IF(Q910="(tanpa lawan)","Transfer antar rekening",IFERROR(INDEX(I_COA!$F$6:$F$265,MATCH(Q910,I_COA!$A$6:$A$265,0)),"?"))))</f>
        <v/>
      </c>
    </row>
    <row r="911" customFormat="false" ht="15" hidden="false" customHeight="false" outlineLevel="0" collapsed="false">
      <c r="A911" s="37" t="n">
        <v>46248</v>
      </c>
      <c r="B911" s="44" t="s">
        <v>1337</v>
      </c>
      <c r="C911" s="44" t="s">
        <v>690</v>
      </c>
      <c r="D911" s="44" t="n">
        <v>2103011</v>
      </c>
      <c r="E911" s="44" t="s">
        <v>693</v>
      </c>
      <c r="F911" s="44" t="s">
        <v>1338</v>
      </c>
      <c r="G911" s="42"/>
      <c r="H911" s="42" t="n">
        <v>432097462.25</v>
      </c>
      <c r="I911" s="44" t="s">
        <v>597</v>
      </c>
      <c r="J911" s="11" t="n">
        <f aca="false">IF(D911="","",N(G911)-N(H911))</f>
        <v>-432097462.25</v>
      </c>
      <c r="K911" s="34" t="str">
        <f aca="false">IF(D911="","",IFERROR(INDEX(I_COA!$C$6:$C$265,MATCH(D911,I_COA!$A$6:$A$265,0)),"AKUN BARU"))</f>
        <v>Neraca</v>
      </c>
      <c r="L911" s="34" t="str">
        <f aca="false">IF(K911="LabaRugi",INDEX(I_COA!$D$6:$D$265,MATCH(D911,I_COA!$A$6:$A$265,0)),"")</f>
        <v/>
      </c>
      <c r="M911" s="34" t="str">
        <f aca="false">IF(K911="Neraca",INDEX(I_COA!$E$6:$E$265,MATCH(D911,I_COA!$A$6:$A$265,0)),"")</f>
        <v>Accrued Expenses - Third Parties</v>
      </c>
      <c r="N911" s="34" t="str">
        <f aca="false">IF(D911="","",IFERROR(INDEX(I_COA!$G$6:$G$265,MATCH(D911,I_COA!$A$6:$A$265,0)),"N"))</f>
        <v>N</v>
      </c>
      <c r="O911" s="11" t="n">
        <f aca="false">IF(N911="N",ABS(J911),"")</f>
        <v>432097462.25</v>
      </c>
      <c r="P911" s="18" t="str">
        <f aca="false">IF(N911="N",B911&amp;"|"&amp;ROUND(O911,0),"")</f>
        <v>GR26080010|432097462</v>
      </c>
      <c r="Q911" s="18" t="str">
        <f aca="false">IF(N911&lt;&gt;"Y","",IFERROR(INDEX($D$6:$D$4005,MATCH(B911&amp;"|"&amp;ROUND(_xlfn.MAXIFS($O$6:$O$4005,$B$6:$B$4005,B911,$N$6:$N$4005,"N"),0),$P$6:$P$4005,0)),"(tanpa lawan)"))</f>
        <v/>
      </c>
      <c r="R911" s="44"/>
      <c r="S911" s="9" t="str">
        <f aca="false">IF(N911&lt;&gt;"Y","",IF(R911&lt;&gt;"",R911,IF(Q911="(tanpa lawan)","Transfer antar rekening",IFERROR(INDEX(I_COA!$F$6:$F$265,MATCH(Q911,I_COA!$A$6:$A$265,0)),"?"))))</f>
        <v/>
      </c>
    </row>
    <row r="912" customFormat="false" ht="15" hidden="false" customHeight="false" outlineLevel="0" collapsed="false">
      <c r="A912" s="37" t="n">
        <v>46248</v>
      </c>
      <c r="B912" s="44" t="s">
        <v>1337</v>
      </c>
      <c r="C912" s="44" t="s">
        <v>690</v>
      </c>
      <c r="D912" s="44" t="n">
        <v>1104004</v>
      </c>
      <c r="E912" s="44" t="s">
        <v>917</v>
      </c>
      <c r="F912" s="44" t="s">
        <v>1338</v>
      </c>
      <c r="G912" s="42" t="n">
        <v>24423581.47</v>
      </c>
      <c r="H912" s="42"/>
      <c r="I912" s="44" t="s">
        <v>597</v>
      </c>
      <c r="J912" s="11" t="n">
        <f aca="false">IF(D912="","",N(G912)-N(H912))</f>
        <v>24423581.47</v>
      </c>
      <c r="K912" s="34" t="str">
        <f aca="false">IF(D912="","",IFERROR(INDEX(I_COA!$C$6:$C$265,MATCH(D912,I_COA!$A$6:$A$265,0)),"AKUN BARU"))</f>
        <v>Neraca</v>
      </c>
      <c r="L912" s="34" t="str">
        <f aca="false">IF(K912="LabaRugi",INDEX(I_COA!$D$6:$D$265,MATCH(D912,I_COA!$A$6:$A$265,0)),"")</f>
        <v/>
      </c>
      <c r="M912" s="34" t="str">
        <f aca="false">IF(K912="Neraca",INDEX(I_COA!$E$6:$E$265,MATCH(D912,I_COA!$A$6:$A$265,0)),"")</f>
        <v>Inventory - Product</v>
      </c>
      <c r="N912" s="34" t="str">
        <f aca="false">IF(D912="","",IFERROR(INDEX(I_COA!$G$6:$G$265,MATCH(D912,I_COA!$A$6:$A$265,0)),"N"))</f>
        <v>N</v>
      </c>
      <c r="O912" s="11" t="n">
        <f aca="false">IF(N912="N",ABS(J912),"")</f>
        <v>24423581.47</v>
      </c>
      <c r="P912" s="18" t="str">
        <f aca="false">IF(N912="N",B912&amp;"|"&amp;ROUND(O912,0),"")</f>
        <v>GR26080010|24423581</v>
      </c>
      <c r="Q912" s="18" t="str">
        <f aca="false">IF(N912&lt;&gt;"Y","",IFERROR(INDEX($D$6:$D$4005,MATCH(B912&amp;"|"&amp;ROUND(_xlfn.MAXIFS($O$6:$O$4005,$B$6:$B$4005,B912,$N$6:$N$4005,"N"),0),$P$6:$P$4005,0)),"(tanpa lawan)"))</f>
        <v/>
      </c>
      <c r="R912" s="44"/>
      <c r="S912" s="9" t="str">
        <f aca="false">IF(N912&lt;&gt;"Y","",IF(R912&lt;&gt;"",R912,IF(Q912="(tanpa lawan)","Transfer antar rekening",IFERROR(INDEX(I_COA!$F$6:$F$265,MATCH(Q912,I_COA!$A$6:$A$265,0)),"?"))))</f>
        <v/>
      </c>
    </row>
    <row r="913" customFormat="false" ht="15" hidden="false" customHeight="false" outlineLevel="0" collapsed="false">
      <c r="A913" s="37" t="n">
        <v>46248</v>
      </c>
      <c r="B913" s="44" t="s">
        <v>1339</v>
      </c>
      <c r="C913" s="44" t="s">
        <v>1056</v>
      </c>
      <c r="D913" s="44" t="n">
        <v>7100006</v>
      </c>
      <c r="E913" s="44" t="s">
        <v>1058</v>
      </c>
      <c r="F913" s="44" t="s">
        <v>1340</v>
      </c>
      <c r="G913" s="42" t="n">
        <v>895571.24</v>
      </c>
      <c r="H913" s="42"/>
      <c r="I913" s="44"/>
      <c r="J913" s="11" t="n">
        <f aca="false">IF(D913="","",N(G913)-N(H913))</f>
        <v>895571.24</v>
      </c>
      <c r="K913" s="34" t="str">
        <f aca="false">IF(D913="","",IFERROR(INDEX(I_COA!$C$6:$C$265,MATCH(D913,I_COA!$A$6:$A$265,0)),"AKUN BARU"))</f>
        <v>LabaRugi</v>
      </c>
      <c r="L913" s="34" t="str">
        <f aca="false">IF(K913="LabaRugi",INDEX(I_COA!$D$6:$D$265,MATCH(D913,I_COA!$A$6:$A$265,0)),"")</f>
        <v>Other Income</v>
      </c>
      <c r="M913" s="34" t="str">
        <f aca="false">IF(K913="Neraca",INDEX(I_COA!$E$6:$E$265,MATCH(D913,I_COA!$A$6:$A$265,0)),"")</f>
        <v/>
      </c>
      <c r="N913" s="34" t="str">
        <f aca="false">IF(D913="","",IFERROR(INDEX(I_COA!$G$6:$G$265,MATCH(D913,I_COA!$A$6:$A$265,0)),"N"))</f>
        <v>N</v>
      </c>
      <c r="O913" s="11" t="n">
        <f aca="false">IF(N913="N",ABS(J913),"")</f>
        <v>895571.24</v>
      </c>
      <c r="P913" s="18" t="str">
        <f aca="false">IF(N913="N",B913&amp;"|"&amp;ROUND(O913,0),"")</f>
        <v>IA26080006|895571</v>
      </c>
      <c r="Q913" s="18" t="str">
        <f aca="false">IF(N913&lt;&gt;"Y","",IFERROR(INDEX($D$6:$D$4005,MATCH(B913&amp;"|"&amp;ROUND(_xlfn.MAXIFS($O$6:$O$4005,$B$6:$B$4005,B913,$N$6:$N$4005,"N"),0),$P$6:$P$4005,0)),"(tanpa lawan)"))</f>
        <v/>
      </c>
      <c r="R913" s="44"/>
      <c r="S913" s="9" t="str">
        <f aca="false">IF(N913&lt;&gt;"Y","",IF(R913&lt;&gt;"",R913,IF(Q913="(tanpa lawan)","Transfer antar rekening",IFERROR(INDEX(I_COA!$F$6:$F$265,MATCH(Q913,I_COA!$A$6:$A$265,0)),"?"))))</f>
        <v/>
      </c>
    </row>
    <row r="914" customFormat="false" ht="15" hidden="false" customHeight="false" outlineLevel="0" collapsed="false">
      <c r="A914" s="37" t="n">
        <v>46248</v>
      </c>
      <c r="B914" s="44" t="s">
        <v>1339</v>
      </c>
      <c r="C914" s="44" t="s">
        <v>1056</v>
      </c>
      <c r="D914" s="44" t="n">
        <v>1104003</v>
      </c>
      <c r="E914" s="44" t="s">
        <v>613</v>
      </c>
      <c r="F914" s="44" t="s">
        <v>1340</v>
      </c>
      <c r="G914" s="42"/>
      <c r="H914" s="42" t="n">
        <v>5622250.61</v>
      </c>
      <c r="I914" s="44"/>
      <c r="J914" s="11" t="n">
        <f aca="false">IF(D914="","",N(G914)-N(H914))</f>
        <v>-5622250.61</v>
      </c>
      <c r="K914" s="34" t="str">
        <f aca="false">IF(D914="","",IFERROR(INDEX(I_COA!$C$6:$C$265,MATCH(D914,I_COA!$A$6:$A$265,0)),"AKUN BARU"))</f>
        <v>Neraca</v>
      </c>
      <c r="L914" s="34" t="str">
        <f aca="false">IF(K914="LabaRugi",INDEX(I_COA!$D$6:$D$265,MATCH(D914,I_COA!$A$6:$A$265,0)),"")</f>
        <v/>
      </c>
      <c r="M914" s="34" t="str">
        <f aca="false">IF(K914="Neraca",INDEX(I_COA!$E$6:$E$265,MATCH(D914,I_COA!$A$6:$A$265,0)),"")</f>
        <v>Inventory - Product</v>
      </c>
      <c r="N914" s="34" t="str">
        <f aca="false">IF(D914="","",IFERROR(INDEX(I_COA!$G$6:$G$265,MATCH(D914,I_COA!$A$6:$A$265,0)),"N"))</f>
        <v>N</v>
      </c>
      <c r="O914" s="11" t="n">
        <f aca="false">IF(N914="N",ABS(J914),"")</f>
        <v>5622250.61</v>
      </c>
      <c r="P914" s="18" t="str">
        <f aca="false">IF(N914="N",B914&amp;"|"&amp;ROUND(O914,0),"")</f>
        <v>IA26080006|5622251</v>
      </c>
      <c r="Q914" s="18" t="str">
        <f aca="false">IF(N914&lt;&gt;"Y","",IFERROR(INDEX($D$6:$D$4005,MATCH(B914&amp;"|"&amp;ROUND(_xlfn.MAXIFS($O$6:$O$4005,$B$6:$B$4005,B914,$N$6:$N$4005,"N"),0),$P$6:$P$4005,0)),"(tanpa lawan)"))</f>
        <v/>
      </c>
      <c r="R914" s="44"/>
      <c r="S914" s="9" t="str">
        <f aca="false">IF(N914&lt;&gt;"Y","",IF(R914&lt;&gt;"",R914,IF(Q914="(tanpa lawan)","Transfer antar rekening",IFERROR(INDEX(I_COA!$F$6:$F$265,MATCH(Q914,I_COA!$A$6:$A$265,0)),"?"))))</f>
        <v/>
      </c>
    </row>
    <row r="915" customFormat="false" ht="15" hidden="false" customHeight="false" outlineLevel="0" collapsed="false">
      <c r="A915" s="37" t="n">
        <v>46248</v>
      </c>
      <c r="B915" s="44" t="s">
        <v>1339</v>
      </c>
      <c r="C915" s="44" t="s">
        <v>1056</v>
      </c>
      <c r="D915" s="44" t="n">
        <v>1104006</v>
      </c>
      <c r="E915" s="44" t="s">
        <v>212</v>
      </c>
      <c r="F915" s="44" t="s">
        <v>1340</v>
      </c>
      <c r="G915" s="42" t="n">
        <v>4726679.38</v>
      </c>
      <c r="H915" s="42"/>
      <c r="I915" s="44"/>
      <c r="J915" s="11" t="n">
        <f aca="false">IF(D915="","",N(G915)-N(H915))</f>
        <v>4726679.38</v>
      </c>
      <c r="K915" s="34" t="str">
        <f aca="false">IF(D915="","",IFERROR(INDEX(I_COA!$C$6:$C$265,MATCH(D915,I_COA!$A$6:$A$265,0)),"AKUN BARU"))</f>
        <v>Neraca</v>
      </c>
      <c r="L915" s="34" t="str">
        <f aca="false">IF(K915="LabaRugi",INDEX(I_COA!$D$6:$D$265,MATCH(D915,I_COA!$A$6:$A$265,0)),"")</f>
        <v/>
      </c>
      <c r="M915" s="34" t="str">
        <f aca="false">IF(K915="Neraca",INDEX(I_COA!$E$6:$E$265,MATCH(D915,I_COA!$A$6:$A$265,0)),"")</f>
        <v>Inventory - Trading</v>
      </c>
      <c r="N915" s="34" t="str">
        <f aca="false">IF(D915="","",IFERROR(INDEX(I_COA!$G$6:$G$265,MATCH(D915,I_COA!$A$6:$A$265,0)),"N"))</f>
        <v>N</v>
      </c>
      <c r="O915" s="11" t="n">
        <f aca="false">IF(N915="N",ABS(J915),"")</f>
        <v>4726679.38</v>
      </c>
      <c r="P915" s="18" t="str">
        <f aca="false">IF(N915="N",B915&amp;"|"&amp;ROUND(O915,0),"")</f>
        <v>IA26080006|4726679</v>
      </c>
      <c r="Q915" s="18" t="str">
        <f aca="false">IF(N915&lt;&gt;"Y","",IFERROR(INDEX($D$6:$D$4005,MATCH(B915&amp;"|"&amp;ROUND(_xlfn.MAXIFS($O$6:$O$4005,$B$6:$B$4005,B915,$N$6:$N$4005,"N"),0),$P$6:$P$4005,0)),"(tanpa lawan)"))</f>
        <v/>
      </c>
      <c r="R915" s="44"/>
      <c r="S915" s="9" t="str">
        <f aca="false">IF(N915&lt;&gt;"Y","",IF(R915&lt;&gt;"",R915,IF(Q915="(tanpa lawan)","Transfer antar rekening",IFERROR(INDEX(I_COA!$F$6:$F$265,MATCH(Q915,I_COA!$A$6:$A$265,0)),"?"))))</f>
        <v/>
      </c>
    </row>
    <row r="916" customFormat="false" ht="15" hidden="false" customHeight="false" outlineLevel="0" collapsed="false">
      <c r="A916" s="37" t="n">
        <v>46248</v>
      </c>
      <c r="B916" s="44" t="s">
        <v>1341</v>
      </c>
      <c r="C916" s="44" t="s">
        <v>600</v>
      </c>
      <c r="D916" s="44" t="n">
        <v>1104002</v>
      </c>
      <c r="E916" s="44" t="s">
        <v>601</v>
      </c>
      <c r="F916" s="44" t="s">
        <v>1342</v>
      </c>
      <c r="G916" s="42" t="n">
        <v>48353845.98</v>
      </c>
      <c r="H916" s="42"/>
      <c r="I916" s="44" t="s">
        <v>451</v>
      </c>
      <c r="J916" s="11" t="n">
        <f aca="false">IF(D916="","",N(G916)-N(H916))</f>
        <v>48353845.98</v>
      </c>
      <c r="K916" s="34" t="str">
        <f aca="false">IF(D916="","",IFERROR(INDEX(I_COA!$C$6:$C$265,MATCH(D916,I_COA!$A$6:$A$265,0)),"AKUN BARU"))</f>
        <v>Neraca</v>
      </c>
      <c r="L916" s="34" t="str">
        <f aca="false">IF(K916="LabaRugi",INDEX(I_COA!$D$6:$D$265,MATCH(D916,I_COA!$A$6:$A$265,0)),"")</f>
        <v/>
      </c>
      <c r="M916" s="34" t="str">
        <f aca="false">IF(K916="Neraca",INDEX(I_COA!$E$6:$E$265,MATCH(D916,I_COA!$A$6:$A$265,0)),"")</f>
        <v>Inventory - Product</v>
      </c>
      <c r="N916" s="34" t="str">
        <f aca="false">IF(D916="","",IFERROR(INDEX(I_COA!$G$6:$G$265,MATCH(D916,I_COA!$A$6:$A$265,0)),"N"))</f>
        <v>N</v>
      </c>
      <c r="O916" s="11" t="n">
        <f aca="false">IF(N916="N",ABS(J916),"")</f>
        <v>48353845.98</v>
      </c>
      <c r="P916" s="18" t="str">
        <f aca="false">IF(N916="N",B916&amp;"|"&amp;ROUND(O916,0),"")</f>
        <v>KGR26.00265|48353846</v>
      </c>
      <c r="Q916" s="18" t="str">
        <f aca="false">IF(N916&lt;&gt;"Y","",IFERROR(INDEX($D$6:$D$4005,MATCH(B916&amp;"|"&amp;ROUND(_xlfn.MAXIFS($O$6:$O$4005,$B$6:$B$4005,B916,$N$6:$N$4005,"N"),0),$P$6:$P$4005,0)),"(tanpa lawan)"))</f>
        <v/>
      </c>
      <c r="R916" s="44"/>
      <c r="S916" s="9" t="str">
        <f aca="false">IF(N916&lt;&gt;"Y","",IF(R916&lt;&gt;"",R916,IF(Q916="(tanpa lawan)","Transfer antar rekening",IFERROR(INDEX(I_COA!$F$6:$F$265,MATCH(Q916,I_COA!$A$6:$A$265,0)),"?"))))</f>
        <v/>
      </c>
    </row>
    <row r="917" customFormat="false" ht="15" hidden="false" customHeight="false" outlineLevel="0" collapsed="false">
      <c r="A917" s="37" t="n">
        <v>46248</v>
      </c>
      <c r="B917" s="44" t="s">
        <v>1341</v>
      </c>
      <c r="C917" s="44" t="s">
        <v>600</v>
      </c>
      <c r="D917" s="44" t="n">
        <v>1104006</v>
      </c>
      <c r="E917" s="44" t="s">
        <v>212</v>
      </c>
      <c r="F917" s="44" t="s">
        <v>1342</v>
      </c>
      <c r="G917" s="42"/>
      <c r="H917" s="42" t="n">
        <v>48353845.98</v>
      </c>
      <c r="I917" s="44" t="s">
        <v>451</v>
      </c>
      <c r="J917" s="11" t="n">
        <f aca="false">IF(D917="","",N(G917)-N(H917))</f>
        <v>-48353845.98</v>
      </c>
      <c r="K917" s="34" t="str">
        <f aca="false">IF(D917="","",IFERROR(INDEX(I_COA!$C$6:$C$265,MATCH(D917,I_COA!$A$6:$A$265,0)),"AKUN BARU"))</f>
        <v>Neraca</v>
      </c>
      <c r="L917" s="34" t="str">
        <f aca="false">IF(K917="LabaRugi",INDEX(I_COA!$D$6:$D$265,MATCH(D917,I_COA!$A$6:$A$265,0)),"")</f>
        <v/>
      </c>
      <c r="M917" s="34" t="str">
        <f aca="false">IF(K917="Neraca",INDEX(I_COA!$E$6:$E$265,MATCH(D917,I_COA!$A$6:$A$265,0)),"")</f>
        <v>Inventory - Trading</v>
      </c>
      <c r="N917" s="34" t="str">
        <f aca="false">IF(D917="","",IFERROR(INDEX(I_COA!$G$6:$G$265,MATCH(D917,I_COA!$A$6:$A$265,0)),"N"))</f>
        <v>N</v>
      </c>
      <c r="O917" s="11" t="n">
        <f aca="false">IF(N917="N",ABS(J917),"")</f>
        <v>48353845.98</v>
      </c>
      <c r="P917" s="18" t="str">
        <f aca="false">IF(N917="N",B917&amp;"|"&amp;ROUND(O917,0),"")</f>
        <v>KGR26.00265|48353846</v>
      </c>
      <c r="Q917" s="18" t="str">
        <f aca="false">IF(N917&lt;&gt;"Y","",IFERROR(INDEX($D$6:$D$4005,MATCH(B917&amp;"|"&amp;ROUND(_xlfn.MAXIFS($O$6:$O$4005,$B$6:$B$4005,B917,$N$6:$N$4005,"N"),0),$P$6:$P$4005,0)),"(tanpa lawan)"))</f>
        <v/>
      </c>
      <c r="R917" s="44"/>
      <c r="S917" s="9" t="str">
        <f aca="false">IF(N917&lt;&gt;"Y","",IF(R917&lt;&gt;"",R917,IF(Q917="(tanpa lawan)","Transfer antar rekening",IFERROR(INDEX(I_COA!$F$6:$F$265,MATCH(Q917,I_COA!$A$6:$A$265,0)),"?"))))</f>
        <v/>
      </c>
    </row>
    <row r="918" customFormat="false" ht="15" hidden="false" customHeight="false" outlineLevel="0" collapsed="false">
      <c r="A918" s="37" t="n">
        <v>46248</v>
      </c>
      <c r="B918" s="44" t="s">
        <v>1343</v>
      </c>
      <c r="C918" s="44" t="s">
        <v>600</v>
      </c>
      <c r="D918" s="44" t="n">
        <v>1104002</v>
      </c>
      <c r="E918" s="44" t="s">
        <v>601</v>
      </c>
      <c r="F918" s="44" t="s">
        <v>1344</v>
      </c>
      <c r="G918" s="42" t="n">
        <v>46086352.09</v>
      </c>
      <c r="H918" s="42"/>
      <c r="I918" s="44" t="s">
        <v>465</v>
      </c>
      <c r="J918" s="11" t="n">
        <f aca="false">IF(D918="","",N(G918)-N(H918))</f>
        <v>46086352.09</v>
      </c>
      <c r="K918" s="34" t="str">
        <f aca="false">IF(D918="","",IFERROR(INDEX(I_COA!$C$6:$C$265,MATCH(D918,I_COA!$A$6:$A$265,0)),"AKUN BARU"))</f>
        <v>Neraca</v>
      </c>
      <c r="L918" s="34" t="str">
        <f aca="false">IF(K918="LabaRugi",INDEX(I_COA!$D$6:$D$265,MATCH(D918,I_COA!$A$6:$A$265,0)),"")</f>
        <v/>
      </c>
      <c r="M918" s="34" t="str">
        <f aca="false">IF(K918="Neraca",INDEX(I_COA!$E$6:$E$265,MATCH(D918,I_COA!$A$6:$A$265,0)),"")</f>
        <v>Inventory - Product</v>
      </c>
      <c r="N918" s="34" t="str">
        <f aca="false">IF(D918="","",IFERROR(INDEX(I_COA!$G$6:$G$265,MATCH(D918,I_COA!$A$6:$A$265,0)),"N"))</f>
        <v>N</v>
      </c>
      <c r="O918" s="11" t="n">
        <f aca="false">IF(N918="N",ABS(J918),"")</f>
        <v>46086352.09</v>
      </c>
      <c r="P918" s="18" t="str">
        <f aca="false">IF(N918="N",B918&amp;"|"&amp;ROUND(O918,0),"")</f>
        <v>KGR26.00266|46086352</v>
      </c>
      <c r="Q918" s="18" t="str">
        <f aca="false">IF(N918&lt;&gt;"Y","",IFERROR(INDEX($D$6:$D$4005,MATCH(B918&amp;"|"&amp;ROUND(_xlfn.MAXIFS($O$6:$O$4005,$B$6:$B$4005,B918,$N$6:$N$4005,"N"),0),$P$6:$P$4005,0)),"(tanpa lawan)"))</f>
        <v/>
      </c>
      <c r="R918" s="44"/>
      <c r="S918" s="9" t="str">
        <f aca="false">IF(N918&lt;&gt;"Y","",IF(R918&lt;&gt;"",R918,IF(Q918="(tanpa lawan)","Transfer antar rekening",IFERROR(INDEX(I_COA!$F$6:$F$265,MATCH(Q918,I_COA!$A$6:$A$265,0)),"?"))))</f>
        <v/>
      </c>
    </row>
    <row r="919" customFormat="false" ht="15" hidden="false" customHeight="false" outlineLevel="0" collapsed="false">
      <c r="A919" s="37" t="n">
        <v>46248</v>
      </c>
      <c r="B919" s="44" t="s">
        <v>1343</v>
      </c>
      <c r="C919" s="44" t="s">
        <v>600</v>
      </c>
      <c r="D919" s="44" t="n">
        <v>1104006</v>
      </c>
      <c r="E919" s="44" t="s">
        <v>212</v>
      </c>
      <c r="F919" s="44" t="s">
        <v>1344</v>
      </c>
      <c r="G919" s="42"/>
      <c r="H919" s="42" t="n">
        <v>46086352.09</v>
      </c>
      <c r="I919" s="44" t="s">
        <v>465</v>
      </c>
      <c r="J919" s="11" t="n">
        <f aca="false">IF(D919="","",N(G919)-N(H919))</f>
        <v>-46086352.09</v>
      </c>
      <c r="K919" s="34" t="str">
        <f aca="false">IF(D919="","",IFERROR(INDEX(I_COA!$C$6:$C$265,MATCH(D919,I_COA!$A$6:$A$265,0)),"AKUN BARU"))</f>
        <v>Neraca</v>
      </c>
      <c r="L919" s="34" t="str">
        <f aca="false">IF(K919="LabaRugi",INDEX(I_COA!$D$6:$D$265,MATCH(D919,I_COA!$A$6:$A$265,0)),"")</f>
        <v/>
      </c>
      <c r="M919" s="34" t="str">
        <f aca="false">IF(K919="Neraca",INDEX(I_COA!$E$6:$E$265,MATCH(D919,I_COA!$A$6:$A$265,0)),"")</f>
        <v>Inventory - Trading</v>
      </c>
      <c r="N919" s="34" t="str">
        <f aca="false">IF(D919="","",IFERROR(INDEX(I_COA!$G$6:$G$265,MATCH(D919,I_COA!$A$6:$A$265,0)),"N"))</f>
        <v>N</v>
      </c>
      <c r="O919" s="11" t="n">
        <f aca="false">IF(N919="N",ABS(J919),"")</f>
        <v>46086352.09</v>
      </c>
      <c r="P919" s="18" t="str">
        <f aca="false">IF(N919="N",B919&amp;"|"&amp;ROUND(O919,0),"")</f>
        <v>KGR26.00266|46086352</v>
      </c>
      <c r="Q919" s="18" t="str">
        <f aca="false">IF(N919&lt;&gt;"Y","",IFERROR(INDEX($D$6:$D$4005,MATCH(B919&amp;"|"&amp;ROUND(_xlfn.MAXIFS($O$6:$O$4005,$B$6:$B$4005,B919,$N$6:$N$4005,"N"),0),$P$6:$P$4005,0)),"(tanpa lawan)"))</f>
        <v/>
      </c>
      <c r="R919" s="44"/>
      <c r="S919" s="9" t="str">
        <f aca="false">IF(N919&lt;&gt;"Y","",IF(R919&lt;&gt;"",R919,IF(Q919="(tanpa lawan)","Transfer antar rekening",IFERROR(INDEX(I_COA!$F$6:$F$265,MATCH(Q919,I_COA!$A$6:$A$265,0)),"?"))))</f>
        <v/>
      </c>
    </row>
    <row r="920" customFormat="false" ht="15" hidden="false" customHeight="false" outlineLevel="0" collapsed="false">
      <c r="A920" s="37" t="n">
        <v>46248</v>
      </c>
      <c r="B920" s="44" t="s">
        <v>1345</v>
      </c>
      <c r="C920" s="44" t="s">
        <v>600</v>
      </c>
      <c r="D920" s="44" t="n">
        <v>1104002</v>
      </c>
      <c r="E920" s="44" t="s">
        <v>601</v>
      </c>
      <c r="F920" s="44" t="s">
        <v>1346</v>
      </c>
      <c r="G920" s="42" t="n">
        <v>5221552.13</v>
      </c>
      <c r="H920" s="42"/>
      <c r="I920" s="44" t="s">
        <v>465</v>
      </c>
      <c r="J920" s="11" t="n">
        <f aca="false">IF(D920="","",N(G920)-N(H920))</f>
        <v>5221552.13</v>
      </c>
      <c r="K920" s="34" t="str">
        <f aca="false">IF(D920="","",IFERROR(INDEX(I_COA!$C$6:$C$265,MATCH(D920,I_COA!$A$6:$A$265,0)),"AKUN BARU"))</f>
        <v>Neraca</v>
      </c>
      <c r="L920" s="34" t="str">
        <f aca="false">IF(K920="LabaRugi",INDEX(I_COA!$D$6:$D$265,MATCH(D920,I_COA!$A$6:$A$265,0)),"")</f>
        <v/>
      </c>
      <c r="M920" s="34" t="str">
        <f aca="false">IF(K920="Neraca",INDEX(I_COA!$E$6:$E$265,MATCH(D920,I_COA!$A$6:$A$265,0)),"")</f>
        <v>Inventory - Product</v>
      </c>
      <c r="N920" s="34" t="str">
        <f aca="false">IF(D920="","",IFERROR(INDEX(I_COA!$G$6:$G$265,MATCH(D920,I_COA!$A$6:$A$265,0)),"N"))</f>
        <v>N</v>
      </c>
      <c r="O920" s="11" t="n">
        <f aca="false">IF(N920="N",ABS(J920),"")</f>
        <v>5221552.13</v>
      </c>
      <c r="P920" s="18" t="str">
        <f aca="false">IF(N920="N",B920&amp;"|"&amp;ROUND(O920,0),"")</f>
        <v>KGR26.00267|5221552</v>
      </c>
      <c r="Q920" s="18" t="str">
        <f aca="false">IF(N920&lt;&gt;"Y","",IFERROR(INDEX($D$6:$D$4005,MATCH(B920&amp;"|"&amp;ROUND(_xlfn.MAXIFS($O$6:$O$4005,$B$6:$B$4005,B920,$N$6:$N$4005,"N"),0),$P$6:$P$4005,0)),"(tanpa lawan)"))</f>
        <v/>
      </c>
      <c r="R920" s="44"/>
      <c r="S920" s="9" t="str">
        <f aca="false">IF(N920&lt;&gt;"Y","",IF(R920&lt;&gt;"",R920,IF(Q920="(tanpa lawan)","Transfer antar rekening",IFERROR(INDEX(I_COA!$F$6:$F$265,MATCH(Q920,I_COA!$A$6:$A$265,0)),"?"))))</f>
        <v/>
      </c>
    </row>
    <row r="921" customFormat="false" ht="15" hidden="false" customHeight="false" outlineLevel="0" collapsed="false">
      <c r="A921" s="37" t="n">
        <v>46248</v>
      </c>
      <c r="B921" s="44" t="s">
        <v>1345</v>
      </c>
      <c r="C921" s="44" t="s">
        <v>600</v>
      </c>
      <c r="D921" s="44" t="n">
        <v>1104003</v>
      </c>
      <c r="E921" s="44" t="s">
        <v>613</v>
      </c>
      <c r="F921" s="44" t="s">
        <v>1346</v>
      </c>
      <c r="G921" s="42"/>
      <c r="H921" s="42" t="n">
        <v>5221552.13</v>
      </c>
      <c r="I921" s="44" t="s">
        <v>465</v>
      </c>
      <c r="J921" s="11" t="n">
        <f aca="false">IF(D921="","",N(G921)-N(H921))</f>
        <v>-5221552.13</v>
      </c>
      <c r="K921" s="34" t="str">
        <f aca="false">IF(D921="","",IFERROR(INDEX(I_COA!$C$6:$C$265,MATCH(D921,I_COA!$A$6:$A$265,0)),"AKUN BARU"))</f>
        <v>Neraca</v>
      </c>
      <c r="L921" s="34" t="str">
        <f aca="false">IF(K921="LabaRugi",INDEX(I_COA!$D$6:$D$265,MATCH(D921,I_COA!$A$6:$A$265,0)),"")</f>
        <v/>
      </c>
      <c r="M921" s="34" t="str">
        <f aca="false">IF(K921="Neraca",INDEX(I_COA!$E$6:$E$265,MATCH(D921,I_COA!$A$6:$A$265,0)),"")</f>
        <v>Inventory - Product</v>
      </c>
      <c r="N921" s="34" t="str">
        <f aca="false">IF(D921="","",IFERROR(INDEX(I_COA!$G$6:$G$265,MATCH(D921,I_COA!$A$6:$A$265,0)),"N"))</f>
        <v>N</v>
      </c>
      <c r="O921" s="11" t="n">
        <f aca="false">IF(N921="N",ABS(J921),"")</f>
        <v>5221552.13</v>
      </c>
      <c r="P921" s="18" t="str">
        <f aca="false">IF(N921="N",B921&amp;"|"&amp;ROUND(O921,0),"")</f>
        <v>KGR26.00267|5221552</v>
      </c>
      <c r="Q921" s="18" t="str">
        <f aca="false">IF(N921&lt;&gt;"Y","",IFERROR(INDEX($D$6:$D$4005,MATCH(B921&amp;"|"&amp;ROUND(_xlfn.MAXIFS($O$6:$O$4005,$B$6:$B$4005,B921,$N$6:$N$4005,"N"),0),$P$6:$P$4005,0)),"(tanpa lawan)"))</f>
        <v/>
      </c>
      <c r="R921" s="44"/>
      <c r="S921" s="9" t="str">
        <f aca="false">IF(N921&lt;&gt;"Y","",IF(R921&lt;&gt;"",R921,IF(Q921="(tanpa lawan)","Transfer antar rekening",IFERROR(INDEX(I_COA!$F$6:$F$265,MATCH(Q921,I_COA!$A$6:$A$265,0)),"?"))))</f>
        <v/>
      </c>
    </row>
    <row r="922" customFormat="false" ht="15" hidden="false" customHeight="false" outlineLevel="0" collapsed="false">
      <c r="A922" s="37" t="n">
        <v>46248</v>
      </c>
      <c r="B922" s="44" t="s">
        <v>1347</v>
      </c>
      <c r="C922" s="44" t="s">
        <v>600</v>
      </c>
      <c r="D922" s="44" t="n">
        <v>1104002</v>
      </c>
      <c r="E922" s="44" t="s">
        <v>601</v>
      </c>
      <c r="F922" s="44" t="s">
        <v>1348</v>
      </c>
      <c r="G922" s="42" t="n">
        <v>85681675.46</v>
      </c>
      <c r="H922" s="42"/>
      <c r="I922" s="44" t="s">
        <v>592</v>
      </c>
      <c r="J922" s="11" t="n">
        <f aca="false">IF(D922="","",N(G922)-N(H922))</f>
        <v>85681675.46</v>
      </c>
      <c r="K922" s="34" t="str">
        <f aca="false">IF(D922="","",IFERROR(INDEX(I_COA!$C$6:$C$265,MATCH(D922,I_COA!$A$6:$A$265,0)),"AKUN BARU"))</f>
        <v>Neraca</v>
      </c>
      <c r="L922" s="34" t="str">
        <f aca="false">IF(K922="LabaRugi",INDEX(I_COA!$D$6:$D$265,MATCH(D922,I_COA!$A$6:$A$265,0)),"")</f>
        <v/>
      </c>
      <c r="M922" s="34" t="str">
        <f aca="false">IF(K922="Neraca",INDEX(I_COA!$E$6:$E$265,MATCH(D922,I_COA!$A$6:$A$265,0)),"")</f>
        <v>Inventory - Product</v>
      </c>
      <c r="N922" s="34" t="str">
        <f aca="false">IF(D922="","",IFERROR(INDEX(I_COA!$G$6:$G$265,MATCH(D922,I_COA!$A$6:$A$265,0)),"N"))</f>
        <v>N</v>
      </c>
      <c r="O922" s="11" t="n">
        <f aca="false">IF(N922="N",ABS(J922),"")</f>
        <v>85681675.46</v>
      </c>
      <c r="P922" s="18" t="str">
        <f aca="false">IF(N922="N",B922&amp;"|"&amp;ROUND(O922,0),"")</f>
        <v>KGR26.00268|85681675</v>
      </c>
      <c r="Q922" s="18" t="str">
        <f aca="false">IF(N922&lt;&gt;"Y","",IFERROR(INDEX($D$6:$D$4005,MATCH(B922&amp;"|"&amp;ROUND(_xlfn.MAXIFS($O$6:$O$4005,$B$6:$B$4005,B922,$N$6:$N$4005,"N"),0),$P$6:$P$4005,0)),"(tanpa lawan)"))</f>
        <v/>
      </c>
      <c r="R922" s="44"/>
      <c r="S922" s="9" t="str">
        <f aca="false">IF(N922&lt;&gt;"Y","",IF(R922&lt;&gt;"",R922,IF(Q922="(tanpa lawan)","Transfer antar rekening",IFERROR(INDEX(I_COA!$F$6:$F$265,MATCH(Q922,I_COA!$A$6:$A$265,0)),"?"))))</f>
        <v/>
      </c>
    </row>
    <row r="923" customFormat="false" ht="15" hidden="false" customHeight="false" outlineLevel="0" collapsed="false">
      <c r="A923" s="37" t="n">
        <v>46248</v>
      </c>
      <c r="B923" s="44" t="s">
        <v>1347</v>
      </c>
      <c r="C923" s="44" t="s">
        <v>600</v>
      </c>
      <c r="D923" s="44" t="n">
        <v>1104006</v>
      </c>
      <c r="E923" s="44" t="s">
        <v>212</v>
      </c>
      <c r="F923" s="44" t="s">
        <v>1348</v>
      </c>
      <c r="G923" s="42"/>
      <c r="H923" s="42" t="n">
        <v>85681675.46</v>
      </c>
      <c r="I923" s="44" t="s">
        <v>592</v>
      </c>
      <c r="J923" s="11" t="n">
        <f aca="false">IF(D923="","",N(G923)-N(H923))</f>
        <v>-85681675.46</v>
      </c>
      <c r="K923" s="34" t="str">
        <f aca="false">IF(D923="","",IFERROR(INDEX(I_COA!$C$6:$C$265,MATCH(D923,I_COA!$A$6:$A$265,0)),"AKUN BARU"))</f>
        <v>Neraca</v>
      </c>
      <c r="L923" s="34" t="str">
        <f aca="false">IF(K923="LabaRugi",INDEX(I_COA!$D$6:$D$265,MATCH(D923,I_COA!$A$6:$A$265,0)),"")</f>
        <v/>
      </c>
      <c r="M923" s="34" t="str">
        <f aca="false">IF(K923="Neraca",INDEX(I_COA!$E$6:$E$265,MATCH(D923,I_COA!$A$6:$A$265,0)),"")</f>
        <v>Inventory - Trading</v>
      </c>
      <c r="N923" s="34" t="str">
        <f aca="false">IF(D923="","",IFERROR(INDEX(I_COA!$G$6:$G$265,MATCH(D923,I_COA!$A$6:$A$265,0)),"N"))</f>
        <v>N</v>
      </c>
      <c r="O923" s="11" t="n">
        <f aca="false">IF(N923="N",ABS(J923),"")</f>
        <v>85681675.46</v>
      </c>
      <c r="P923" s="18" t="str">
        <f aca="false">IF(N923="N",B923&amp;"|"&amp;ROUND(O923,0),"")</f>
        <v>KGR26.00268|85681675</v>
      </c>
      <c r="Q923" s="18" t="str">
        <f aca="false">IF(N923&lt;&gt;"Y","",IFERROR(INDEX($D$6:$D$4005,MATCH(B923&amp;"|"&amp;ROUND(_xlfn.MAXIFS($O$6:$O$4005,$B$6:$B$4005,B923,$N$6:$N$4005,"N"),0),$P$6:$P$4005,0)),"(tanpa lawan)"))</f>
        <v/>
      </c>
      <c r="R923" s="44"/>
      <c r="S923" s="9" t="str">
        <f aca="false">IF(N923&lt;&gt;"Y","",IF(R923&lt;&gt;"",R923,IF(Q923="(tanpa lawan)","Transfer antar rekening",IFERROR(INDEX(I_COA!$F$6:$F$265,MATCH(Q923,I_COA!$A$6:$A$265,0)),"?"))))</f>
        <v/>
      </c>
    </row>
    <row r="924" customFormat="false" ht="15" hidden="false" customHeight="false" outlineLevel="0" collapsed="false">
      <c r="A924" s="37" t="n">
        <v>46248</v>
      </c>
      <c r="B924" s="44" t="s">
        <v>1349</v>
      </c>
      <c r="C924" s="44" t="s">
        <v>600</v>
      </c>
      <c r="D924" s="44" t="n">
        <v>1104002</v>
      </c>
      <c r="E924" s="44" t="s">
        <v>601</v>
      </c>
      <c r="F924" s="44" t="s">
        <v>1350</v>
      </c>
      <c r="G924" s="42" t="n">
        <v>51583131.34</v>
      </c>
      <c r="H924" s="42"/>
      <c r="I924" s="44" t="s">
        <v>437</v>
      </c>
      <c r="J924" s="11" t="n">
        <f aca="false">IF(D924="","",N(G924)-N(H924))</f>
        <v>51583131.34</v>
      </c>
      <c r="K924" s="34" t="str">
        <f aca="false">IF(D924="","",IFERROR(INDEX(I_COA!$C$6:$C$265,MATCH(D924,I_COA!$A$6:$A$265,0)),"AKUN BARU"))</f>
        <v>Neraca</v>
      </c>
      <c r="L924" s="34" t="str">
        <f aca="false">IF(K924="LabaRugi",INDEX(I_COA!$D$6:$D$265,MATCH(D924,I_COA!$A$6:$A$265,0)),"")</f>
        <v/>
      </c>
      <c r="M924" s="34" t="str">
        <f aca="false">IF(K924="Neraca",INDEX(I_COA!$E$6:$E$265,MATCH(D924,I_COA!$A$6:$A$265,0)),"")</f>
        <v>Inventory - Product</v>
      </c>
      <c r="N924" s="34" t="str">
        <f aca="false">IF(D924="","",IFERROR(INDEX(I_COA!$G$6:$G$265,MATCH(D924,I_COA!$A$6:$A$265,0)),"N"))</f>
        <v>N</v>
      </c>
      <c r="O924" s="11" t="n">
        <f aca="false">IF(N924="N",ABS(J924),"")</f>
        <v>51583131.34</v>
      </c>
      <c r="P924" s="18" t="str">
        <f aca="false">IF(N924="N",B924&amp;"|"&amp;ROUND(O924,0),"")</f>
        <v>KGR26.00269|51583131</v>
      </c>
      <c r="Q924" s="18" t="str">
        <f aca="false">IF(N924&lt;&gt;"Y","",IFERROR(INDEX($D$6:$D$4005,MATCH(B924&amp;"|"&amp;ROUND(_xlfn.MAXIFS($O$6:$O$4005,$B$6:$B$4005,B924,$N$6:$N$4005,"N"),0),$P$6:$P$4005,0)),"(tanpa lawan)"))</f>
        <v/>
      </c>
      <c r="R924" s="44"/>
      <c r="S924" s="9" t="str">
        <f aca="false">IF(N924&lt;&gt;"Y","",IF(R924&lt;&gt;"",R924,IF(Q924="(tanpa lawan)","Transfer antar rekening",IFERROR(INDEX(I_COA!$F$6:$F$265,MATCH(Q924,I_COA!$A$6:$A$265,0)),"?"))))</f>
        <v/>
      </c>
    </row>
    <row r="925" customFormat="false" ht="15" hidden="false" customHeight="false" outlineLevel="0" collapsed="false">
      <c r="A925" s="37" t="n">
        <v>46248</v>
      </c>
      <c r="B925" s="44" t="s">
        <v>1349</v>
      </c>
      <c r="C925" s="44" t="s">
        <v>600</v>
      </c>
      <c r="D925" s="44" t="n">
        <v>1104006</v>
      </c>
      <c r="E925" s="44" t="s">
        <v>212</v>
      </c>
      <c r="F925" s="44" t="s">
        <v>1350</v>
      </c>
      <c r="G925" s="42"/>
      <c r="H925" s="42" t="n">
        <v>51583131.34</v>
      </c>
      <c r="I925" s="44" t="s">
        <v>437</v>
      </c>
      <c r="J925" s="11" t="n">
        <f aca="false">IF(D925="","",N(G925)-N(H925))</f>
        <v>-51583131.34</v>
      </c>
      <c r="K925" s="34" t="str">
        <f aca="false">IF(D925="","",IFERROR(INDEX(I_COA!$C$6:$C$265,MATCH(D925,I_COA!$A$6:$A$265,0)),"AKUN BARU"))</f>
        <v>Neraca</v>
      </c>
      <c r="L925" s="34" t="str">
        <f aca="false">IF(K925="LabaRugi",INDEX(I_COA!$D$6:$D$265,MATCH(D925,I_COA!$A$6:$A$265,0)),"")</f>
        <v/>
      </c>
      <c r="M925" s="34" t="str">
        <f aca="false">IF(K925="Neraca",INDEX(I_COA!$E$6:$E$265,MATCH(D925,I_COA!$A$6:$A$265,0)),"")</f>
        <v>Inventory - Trading</v>
      </c>
      <c r="N925" s="34" t="str">
        <f aca="false">IF(D925="","",IFERROR(INDEX(I_COA!$G$6:$G$265,MATCH(D925,I_COA!$A$6:$A$265,0)),"N"))</f>
        <v>N</v>
      </c>
      <c r="O925" s="11" t="n">
        <f aca="false">IF(N925="N",ABS(J925),"")</f>
        <v>51583131.34</v>
      </c>
      <c r="P925" s="18" t="str">
        <f aca="false">IF(N925="N",B925&amp;"|"&amp;ROUND(O925,0),"")</f>
        <v>KGR26.00269|51583131</v>
      </c>
      <c r="Q925" s="18" t="str">
        <f aca="false">IF(N925&lt;&gt;"Y","",IFERROR(INDEX($D$6:$D$4005,MATCH(B925&amp;"|"&amp;ROUND(_xlfn.MAXIFS($O$6:$O$4005,$B$6:$B$4005,B925,$N$6:$N$4005,"N"),0),$P$6:$P$4005,0)),"(tanpa lawan)"))</f>
        <v/>
      </c>
      <c r="R925" s="44"/>
      <c r="S925" s="9" t="str">
        <f aca="false">IF(N925&lt;&gt;"Y","",IF(R925&lt;&gt;"",R925,IF(Q925="(tanpa lawan)","Transfer antar rekening",IFERROR(INDEX(I_COA!$F$6:$F$265,MATCH(Q925,I_COA!$A$6:$A$265,0)),"?"))))</f>
        <v/>
      </c>
    </row>
    <row r="926" customFormat="false" ht="15" hidden="false" customHeight="false" outlineLevel="0" collapsed="false">
      <c r="A926" s="37" t="n">
        <v>46248</v>
      </c>
      <c r="B926" s="44" t="s">
        <v>1351</v>
      </c>
      <c r="C926" s="44" t="s">
        <v>600</v>
      </c>
      <c r="D926" s="44" t="n">
        <v>1104002</v>
      </c>
      <c r="E926" s="44" t="s">
        <v>601</v>
      </c>
      <c r="F926" s="44" t="s">
        <v>1352</v>
      </c>
      <c r="G926" s="42" t="n">
        <v>27041645.48</v>
      </c>
      <c r="H926" s="42"/>
      <c r="I926" s="44" t="s">
        <v>1194</v>
      </c>
      <c r="J926" s="11" t="n">
        <f aca="false">IF(D926="","",N(G926)-N(H926))</f>
        <v>27041645.48</v>
      </c>
      <c r="K926" s="34" t="str">
        <f aca="false">IF(D926="","",IFERROR(INDEX(I_COA!$C$6:$C$265,MATCH(D926,I_COA!$A$6:$A$265,0)),"AKUN BARU"))</f>
        <v>Neraca</v>
      </c>
      <c r="L926" s="34" t="str">
        <f aca="false">IF(K926="LabaRugi",INDEX(I_COA!$D$6:$D$265,MATCH(D926,I_COA!$A$6:$A$265,0)),"")</f>
        <v/>
      </c>
      <c r="M926" s="34" t="str">
        <f aca="false">IF(K926="Neraca",INDEX(I_COA!$E$6:$E$265,MATCH(D926,I_COA!$A$6:$A$265,0)),"")</f>
        <v>Inventory - Product</v>
      </c>
      <c r="N926" s="34" t="str">
        <f aca="false">IF(D926="","",IFERROR(INDEX(I_COA!$G$6:$G$265,MATCH(D926,I_COA!$A$6:$A$265,0)),"N"))</f>
        <v>N</v>
      </c>
      <c r="O926" s="11" t="n">
        <f aca="false">IF(N926="N",ABS(J926),"")</f>
        <v>27041645.48</v>
      </c>
      <c r="P926" s="18" t="str">
        <f aca="false">IF(N926="N",B926&amp;"|"&amp;ROUND(O926,0),"")</f>
        <v>KGR26.00270|27041645</v>
      </c>
      <c r="Q926" s="18" t="str">
        <f aca="false">IF(N926&lt;&gt;"Y","",IFERROR(INDEX($D$6:$D$4005,MATCH(B926&amp;"|"&amp;ROUND(_xlfn.MAXIFS($O$6:$O$4005,$B$6:$B$4005,B926,$N$6:$N$4005,"N"),0),$P$6:$P$4005,0)),"(tanpa lawan)"))</f>
        <v/>
      </c>
      <c r="R926" s="44"/>
      <c r="S926" s="9" t="str">
        <f aca="false">IF(N926&lt;&gt;"Y","",IF(R926&lt;&gt;"",R926,IF(Q926="(tanpa lawan)","Transfer antar rekening",IFERROR(INDEX(I_COA!$F$6:$F$265,MATCH(Q926,I_COA!$A$6:$A$265,0)),"?"))))</f>
        <v/>
      </c>
    </row>
    <row r="927" customFormat="false" ht="15" hidden="false" customHeight="false" outlineLevel="0" collapsed="false">
      <c r="A927" s="37" t="n">
        <v>46248</v>
      </c>
      <c r="B927" s="44" t="s">
        <v>1351</v>
      </c>
      <c r="C927" s="44" t="s">
        <v>600</v>
      </c>
      <c r="D927" s="44" t="n">
        <v>1104003</v>
      </c>
      <c r="E927" s="44" t="s">
        <v>613</v>
      </c>
      <c r="F927" s="44" t="s">
        <v>1352</v>
      </c>
      <c r="G927" s="42"/>
      <c r="H927" s="42" t="n">
        <v>27041645.48</v>
      </c>
      <c r="I927" s="44" t="s">
        <v>1194</v>
      </c>
      <c r="J927" s="11" t="n">
        <f aca="false">IF(D927="","",N(G927)-N(H927))</f>
        <v>-27041645.48</v>
      </c>
      <c r="K927" s="34" t="str">
        <f aca="false">IF(D927="","",IFERROR(INDEX(I_COA!$C$6:$C$265,MATCH(D927,I_COA!$A$6:$A$265,0)),"AKUN BARU"))</f>
        <v>Neraca</v>
      </c>
      <c r="L927" s="34" t="str">
        <f aca="false">IF(K927="LabaRugi",INDEX(I_COA!$D$6:$D$265,MATCH(D927,I_COA!$A$6:$A$265,0)),"")</f>
        <v/>
      </c>
      <c r="M927" s="34" t="str">
        <f aca="false">IF(K927="Neraca",INDEX(I_COA!$E$6:$E$265,MATCH(D927,I_COA!$A$6:$A$265,0)),"")</f>
        <v>Inventory - Product</v>
      </c>
      <c r="N927" s="34" t="str">
        <f aca="false">IF(D927="","",IFERROR(INDEX(I_COA!$G$6:$G$265,MATCH(D927,I_COA!$A$6:$A$265,0)),"N"))</f>
        <v>N</v>
      </c>
      <c r="O927" s="11" t="n">
        <f aca="false">IF(N927="N",ABS(J927),"")</f>
        <v>27041645.48</v>
      </c>
      <c r="P927" s="18" t="str">
        <f aca="false">IF(N927="N",B927&amp;"|"&amp;ROUND(O927,0),"")</f>
        <v>KGR26.00270|27041645</v>
      </c>
      <c r="Q927" s="18" t="str">
        <f aca="false">IF(N927&lt;&gt;"Y","",IFERROR(INDEX($D$6:$D$4005,MATCH(B927&amp;"|"&amp;ROUND(_xlfn.MAXIFS($O$6:$O$4005,$B$6:$B$4005,B927,$N$6:$N$4005,"N"),0),$P$6:$P$4005,0)),"(tanpa lawan)"))</f>
        <v/>
      </c>
      <c r="R927" s="44"/>
      <c r="S927" s="9" t="str">
        <f aca="false">IF(N927&lt;&gt;"Y","",IF(R927&lt;&gt;"",R927,IF(Q927="(tanpa lawan)","Transfer antar rekening",IFERROR(INDEX(I_COA!$F$6:$F$265,MATCH(Q927,I_COA!$A$6:$A$265,0)),"?"))))</f>
        <v/>
      </c>
    </row>
    <row r="928" customFormat="false" ht="15" hidden="false" customHeight="false" outlineLevel="0" collapsed="false">
      <c r="A928" s="37" t="n">
        <v>46248</v>
      </c>
      <c r="B928" s="44" t="s">
        <v>1353</v>
      </c>
      <c r="C928" s="44" t="s">
        <v>600</v>
      </c>
      <c r="D928" s="44" t="n">
        <v>1104002</v>
      </c>
      <c r="E928" s="44" t="s">
        <v>601</v>
      </c>
      <c r="F928" s="44" t="s">
        <v>1354</v>
      </c>
      <c r="G928" s="42" t="n">
        <v>51569420.63</v>
      </c>
      <c r="H928" s="42"/>
      <c r="I928" s="44" t="s">
        <v>592</v>
      </c>
      <c r="J928" s="11" t="n">
        <f aca="false">IF(D928="","",N(G928)-N(H928))</f>
        <v>51569420.63</v>
      </c>
      <c r="K928" s="34" t="str">
        <f aca="false">IF(D928="","",IFERROR(INDEX(I_COA!$C$6:$C$265,MATCH(D928,I_COA!$A$6:$A$265,0)),"AKUN BARU"))</f>
        <v>Neraca</v>
      </c>
      <c r="L928" s="34" t="str">
        <f aca="false">IF(K928="LabaRugi",INDEX(I_COA!$D$6:$D$265,MATCH(D928,I_COA!$A$6:$A$265,0)),"")</f>
        <v/>
      </c>
      <c r="M928" s="34" t="str">
        <f aca="false">IF(K928="Neraca",INDEX(I_COA!$E$6:$E$265,MATCH(D928,I_COA!$A$6:$A$265,0)),"")</f>
        <v>Inventory - Product</v>
      </c>
      <c r="N928" s="34" t="str">
        <f aca="false">IF(D928="","",IFERROR(INDEX(I_COA!$G$6:$G$265,MATCH(D928,I_COA!$A$6:$A$265,0)),"N"))</f>
        <v>N</v>
      </c>
      <c r="O928" s="11" t="n">
        <f aca="false">IF(N928="N",ABS(J928),"")</f>
        <v>51569420.63</v>
      </c>
      <c r="P928" s="18" t="str">
        <f aca="false">IF(N928="N",B928&amp;"|"&amp;ROUND(O928,0),"")</f>
        <v>KGR26.00271|51569421</v>
      </c>
      <c r="Q928" s="18" t="str">
        <f aca="false">IF(N928&lt;&gt;"Y","",IFERROR(INDEX($D$6:$D$4005,MATCH(B928&amp;"|"&amp;ROUND(_xlfn.MAXIFS($O$6:$O$4005,$B$6:$B$4005,B928,$N$6:$N$4005,"N"),0),$P$6:$P$4005,0)),"(tanpa lawan)"))</f>
        <v/>
      </c>
      <c r="R928" s="44"/>
      <c r="S928" s="9" t="str">
        <f aca="false">IF(N928&lt;&gt;"Y","",IF(R928&lt;&gt;"",R928,IF(Q928="(tanpa lawan)","Transfer antar rekening",IFERROR(INDEX(I_COA!$F$6:$F$265,MATCH(Q928,I_COA!$A$6:$A$265,0)),"?"))))</f>
        <v/>
      </c>
    </row>
    <row r="929" customFormat="false" ht="15" hidden="false" customHeight="false" outlineLevel="0" collapsed="false">
      <c r="A929" s="37" t="n">
        <v>46248</v>
      </c>
      <c r="B929" s="44" t="s">
        <v>1353</v>
      </c>
      <c r="C929" s="44" t="s">
        <v>600</v>
      </c>
      <c r="D929" s="44" t="n">
        <v>1104006</v>
      </c>
      <c r="E929" s="44" t="s">
        <v>212</v>
      </c>
      <c r="F929" s="44" t="s">
        <v>1354</v>
      </c>
      <c r="G929" s="42"/>
      <c r="H929" s="42" t="n">
        <v>51569420.63</v>
      </c>
      <c r="I929" s="44" t="s">
        <v>592</v>
      </c>
      <c r="J929" s="11" t="n">
        <f aca="false">IF(D929="","",N(G929)-N(H929))</f>
        <v>-51569420.63</v>
      </c>
      <c r="K929" s="34" t="str">
        <f aca="false">IF(D929="","",IFERROR(INDEX(I_COA!$C$6:$C$265,MATCH(D929,I_COA!$A$6:$A$265,0)),"AKUN BARU"))</f>
        <v>Neraca</v>
      </c>
      <c r="L929" s="34" t="str">
        <f aca="false">IF(K929="LabaRugi",INDEX(I_COA!$D$6:$D$265,MATCH(D929,I_COA!$A$6:$A$265,0)),"")</f>
        <v/>
      </c>
      <c r="M929" s="34" t="str">
        <f aca="false">IF(K929="Neraca",INDEX(I_COA!$E$6:$E$265,MATCH(D929,I_COA!$A$6:$A$265,0)),"")</f>
        <v>Inventory - Trading</v>
      </c>
      <c r="N929" s="34" t="str">
        <f aca="false">IF(D929="","",IFERROR(INDEX(I_COA!$G$6:$G$265,MATCH(D929,I_COA!$A$6:$A$265,0)),"N"))</f>
        <v>N</v>
      </c>
      <c r="O929" s="11" t="n">
        <f aca="false">IF(N929="N",ABS(J929),"")</f>
        <v>51569420.63</v>
      </c>
      <c r="P929" s="18" t="str">
        <f aca="false">IF(N929="N",B929&amp;"|"&amp;ROUND(O929,0),"")</f>
        <v>KGR26.00271|51569421</v>
      </c>
      <c r="Q929" s="18" t="str">
        <f aca="false">IF(N929&lt;&gt;"Y","",IFERROR(INDEX($D$6:$D$4005,MATCH(B929&amp;"|"&amp;ROUND(_xlfn.MAXIFS($O$6:$O$4005,$B$6:$B$4005,B929,$N$6:$N$4005,"N"),0),$P$6:$P$4005,0)),"(tanpa lawan)"))</f>
        <v/>
      </c>
      <c r="R929" s="44"/>
      <c r="S929" s="9" t="str">
        <f aca="false">IF(N929&lt;&gt;"Y","",IF(R929&lt;&gt;"",R929,IF(Q929="(tanpa lawan)","Transfer antar rekening",IFERROR(INDEX(I_COA!$F$6:$F$265,MATCH(Q929,I_COA!$A$6:$A$265,0)),"?"))))</f>
        <v/>
      </c>
    </row>
    <row r="930" customFormat="false" ht="15" hidden="false" customHeight="false" outlineLevel="0" collapsed="false">
      <c r="A930" s="37" t="n">
        <v>46248</v>
      </c>
      <c r="B930" s="44" t="s">
        <v>1355</v>
      </c>
      <c r="C930" s="44" t="s">
        <v>617</v>
      </c>
      <c r="D930" s="44" t="n">
        <v>1103101</v>
      </c>
      <c r="E930" s="44" t="s">
        <v>589</v>
      </c>
      <c r="F930" s="44" t="s">
        <v>1356</v>
      </c>
      <c r="G930" s="42" t="n">
        <v>46717000</v>
      </c>
      <c r="H930" s="42"/>
      <c r="I930" s="44" t="s">
        <v>451</v>
      </c>
      <c r="J930" s="11" t="n">
        <f aca="false">IF(D930="","",N(G930)-N(H930))</f>
        <v>46717000</v>
      </c>
      <c r="K930" s="34" t="str">
        <f aca="false">IF(D930="","",IFERROR(INDEX(I_COA!$C$6:$C$265,MATCH(D930,I_COA!$A$6:$A$265,0)),"AKUN BARU"))</f>
        <v>Neraca</v>
      </c>
      <c r="L930" s="34" t="str">
        <f aca="false">IF(K930="LabaRugi",INDEX(I_COA!$D$6:$D$265,MATCH(D930,I_COA!$A$6:$A$265,0)),"")</f>
        <v/>
      </c>
      <c r="M930" s="34" t="str">
        <f aca="false">IF(K930="Neraca",INDEX(I_COA!$E$6:$E$265,MATCH(D930,I_COA!$A$6:$A$265,0)),"")</f>
        <v>Trade Receivables - Third Parties</v>
      </c>
      <c r="N930" s="34" t="str">
        <f aca="false">IF(D930="","",IFERROR(INDEX(I_COA!$G$6:$G$265,MATCH(D930,I_COA!$A$6:$A$265,0)),"N"))</f>
        <v>N</v>
      </c>
      <c r="O930" s="11" t="n">
        <f aca="false">IF(N930="N",ABS(J930),"")</f>
        <v>46717000</v>
      </c>
      <c r="P930" s="18" t="str">
        <f aca="false">IF(N930="N",B930&amp;"|"&amp;ROUND(O930,0),"")</f>
        <v>KGR26/0265|46717000</v>
      </c>
      <c r="Q930" s="18" t="str">
        <f aca="false">IF(N930&lt;&gt;"Y","",IFERROR(INDEX($D$6:$D$4005,MATCH(B930&amp;"|"&amp;ROUND(_xlfn.MAXIFS($O$6:$O$4005,$B$6:$B$4005,B930,$N$6:$N$4005,"N"),0),$P$6:$P$4005,0)),"(tanpa lawan)"))</f>
        <v/>
      </c>
      <c r="R930" s="44"/>
      <c r="S930" s="9" t="str">
        <f aca="false">IF(N930&lt;&gt;"Y","",IF(R930&lt;&gt;"",R930,IF(Q930="(tanpa lawan)","Transfer antar rekening",IFERROR(INDEX(I_COA!$F$6:$F$265,MATCH(Q930,I_COA!$A$6:$A$265,0)),"?"))))</f>
        <v/>
      </c>
    </row>
    <row r="931" customFormat="false" ht="15" hidden="false" customHeight="false" outlineLevel="0" collapsed="false">
      <c r="A931" s="37" t="n">
        <v>46248</v>
      </c>
      <c r="B931" s="44" t="s">
        <v>1355</v>
      </c>
      <c r="C931" s="44" t="s">
        <v>617</v>
      </c>
      <c r="D931" s="44" t="n">
        <v>4101012</v>
      </c>
      <c r="E931" s="44" t="s">
        <v>619</v>
      </c>
      <c r="F931" s="44" t="s">
        <v>1356</v>
      </c>
      <c r="G931" s="42"/>
      <c r="H931" s="42" t="n">
        <v>46717000</v>
      </c>
      <c r="I931" s="44" t="s">
        <v>451</v>
      </c>
      <c r="J931" s="11" t="n">
        <f aca="false">IF(D931="","",N(G931)-N(H931))</f>
        <v>-46717000</v>
      </c>
      <c r="K931" s="34" t="str">
        <f aca="false">IF(D931="","",IFERROR(INDEX(I_COA!$C$6:$C$265,MATCH(D931,I_COA!$A$6:$A$265,0)),"AKUN BARU"))</f>
        <v>LabaRugi</v>
      </c>
      <c r="L931" s="34" t="str">
        <f aca="false">IF(K931="LabaRugi",INDEX(I_COA!$D$6:$D$265,MATCH(D931,I_COA!$A$6:$A$265,0)),"")</f>
        <v>Revenue - Trading</v>
      </c>
      <c r="M931" s="34" t="str">
        <f aca="false">IF(K931="Neraca",INDEX(I_COA!$E$6:$E$265,MATCH(D931,I_COA!$A$6:$A$265,0)),"")</f>
        <v/>
      </c>
      <c r="N931" s="34" t="str">
        <f aca="false">IF(D931="","",IFERROR(INDEX(I_COA!$G$6:$G$265,MATCH(D931,I_COA!$A$6:$A$265,0)),"N"))</f>
        <v>N</v>
      </c>
      <c r="O931" s="11" t="n">
        <f aca="false">IF(N931="N",ABS(J931),"")</f>
        <v>46717000</v>
      </c>
      <c r="P931" s="18" t="str">
        <f aca="false">IF(N931="N",B931&amp;"|"&amp;ROUND(O931,0),"")</f>
        <v>KGR26/0265|46717000</v>
      </c>
      <c r="Q931" s="18" t="str">
        <f aca="false">IF(N931&lt;&gt;"Y","",IFERROR(INDEX($D$6:$D$4005,MATCH(B931&amp;"|"&amp;ROUND(_xlfn.MAXIFS($O$6:$O$4005,$B$6:$B$4005,B931,$N$6:$N$4005,"N"),0),$P$6:$P$4005,0)),"(tanpa lawan)"))</f>
        <v/>
      </c>
      <c r="R931" s="44"/>
      <c r="S931" s="9" t="str">
        <f aca="false">IF(N931&lt;&gt;"Y","",IF(R931&lt;&gt;"",R931,IF(Q931="(tanpa lawan)","Transfer antar rekening",IFERROR(INDEX(I_COA!$F$6:$F$265,MATCH(Q931,I_COA!$A$6:$A$265,0)),"?"))))</f>
        <v/>
      </c>
    </row>
    <row r="932" customFormat="false" ht="15" hidden="false" customHeight="false" outlineLevel="0" collapsed="false">
      <c r="A932" s="37" t="n">
        <v>46248</v>
      </c>
      <c r="B932" s="44" t="s">
        <v>1355</v>
      </c>
      <c r="C932" s="44" t="s">
        <v>617</v>
      </c>
      <c r="D932" s="44" t="n">
        <v>5100011</v>
      </c>
      <c r="E932" s="44" t="s">
        <v>166</v>
      </c>
      <c r="F932" s="44" t="s">
        <v>1356</v>
      </c>
      <c r="G932" s="42" t="n">
        <v>48353845.98</v>
      </c>
      <c r="H932" s="42"/>
      <c r="I932" s="44" t="s">
        <v>451</v>
      </c>
      <c r="J932" s="11" t="n">
        <f aca="false">IF(D932="","",N(G932)-N(H932))</f>
        <v>48353845.98</v>
      </c>
      <c r="K932" s="34" t="str">
        <f aca="false">IF(D932="","",IFERROR(INDEX(I_COA!$C$6:$C$265,MATCH(D932,I_COA!$A$6:$A$265,0)),"AKUN BARU"))</f>
        <v>LabaRugi</v>
      </c>
      <c r="L932" s="34" t="str">
        <f aca="false">IF(K932="LabaRugi",INDEX(I_COA!$D$6:$D$265,MATCH(D932,I_COA!$A$6:$A$265,0)),"")</f>
        <v>COGS - Trading</v>
      </c>
      <c r="M932" s="34" t="str">
        <f aca="false">IF(K932="Neraca",INDEX(I_COA!$E$6:$E$265,MATCH(D932,I_COA!$A$6:$A$265,0)),"")</f>
        <v/>
      </c>
      <c r="N932" s="34" t="str">
        <f aca="false">IF(D932="","",IFERROR(INDEX(I_COA!$G$6:$G$265,MATCH(D932,I_COA!$A$6:$A$265,0)),"N"))</f>
        <v>N</v>
      </c>
      <c r="O932" s="11" t="n">
        <f aca="false">IF(N932="N",ABS(J932),"")</f>
        <v>48353845.98</v>
      </c>
      <c r="P932" s="18" t="str">
        <f aca="false">IF(N932="N",B932&amp;"|"&amp;ROUND(O932,0),"")</f>
        <v>KGR26/0265|48353846</v>
      </c>
      <c r="Q932" s="18" t="str">
        <f aca="false">IF(N932&lt;&gt;"Y","",IFERROR(INDEX($D$6:$D$4005,MATCH(B932&amp;"|"&amp;ROUND(_xlfn.MAXIFS($O$6:$O$4005,$B$6:$B$4005,B932,$N$6:$N$4005,"N"),0),$P$6:$P$4005,0)),"(tanpa lawan)"))</f>
        <v/>
      </c>
      <c r="R932" s="44"/>
      <c r="S932" s="9" t="str">
        <f aca="false">IF(N932&lt;&gt;"Y","",IF(R932&lt;&gt;"",R932,IF(Q932="(tanpa lawan)","Transfer antar rekening",IFERROR(INDEX(I_COA!$F$6:$F$265,MATCH(Q932,I_COA!$A$6:$A$265,0)),"?"))))</f>
        <v/>
      </c>
    </row>
    <row r="933" customFormat="false" ht="15" hidden="false" customHeight="false" outlineLevel="0" collapsed="false">
      <c r="A933" s="37" t="n">
        <v>46248</v>
      </c>
      <c r="B933" s="44" t="s">
        <v>1355</v>
      </c>
      <c r="C933" s="44" t="s">
        <v>617</v>
      </c>
      <c r="D933" s="44" t="n">
        <v>1104002</v>
      </c>
      <c r="E933" s="44" t="s">
        <v>601</v>
      </c>
      <c r="F933" s="44" t="s">
        <v>1356</v>
      </c>
      <c r="G933" s="42"/>
      <c r="H933" s="42" t="n">
        <v>48353845.98</v>
      </c>
      <c r="I933" s="44" t="s">
        <v>451</v>
      </c>
      <c r="J933" s="11" t="n">
        <f aca="false">IF(D933="","",N(G933)-N(H933))</f>
        <v>-48353845.98</v>
      </c>
      <c r="K933" s="34" t="str">
        <f aca="false">IF(D933="","",IFERROR(INDEX(I_COA!$C$6:$C$265,MATCH(D933,I_COA!$A$6:$A$265,0)),"AKUN BARU"))</f>
        <v>Neraca</v>
      </c>
      <c r="L933" s="34" t="str">
        <f aca="false">IF(K933="LabaRugi",INDEX(I_COA!$D$6:$D$265,MATCH(D933,I_COA!$A$6:$A$265,0)),"")</f>
        <v/>
      </c>
      <c r="M933" s="34" t="str">
        <f aca="false">IF(K933="Neraca",INDEX(I_COA!$E$6:$E$265,MATCH(D933,I_COA!$A$6:$A$265,0)),"")</f>
        <v>Inventory - Product</v>
      </c>
      <c r="N933" s="34" t="str">
        <f aca="false">IF(D933="","",IFERROR(INDEX(I_COA!$G$6:$G$265,MATCH(D933,I_COA!$A$6:$A$265,0)),"N"))</f>
        <v>N</v>
      </c>
      <c r="O933" s="11" t="n">
        <f aca="false">IF(N933="N",ABS(J933),"")</f>
        <v>48353845.98</v>
      </c>
      <c r="P933" s="18" t="str">
        <f aca="false">IF(N933="N",B933&amp;"|"&amp;ROUND(O933,0),"")</f>
        <v>KGR26/0265|48353846</v>
      </c>
      <c r="Q933" s="18" t="str">
        <f aca="false">IF(N933&lt;&gt;"Y","",IFERROR(INDEX($D$6:$D$4005,MATCH(B933&amp;"|"&amp;ROUND(_xlfn.MAXIFS($O$6:$O$4005,$B$6:$B$4005,B933,$N$6:$N$4005,"N"),0),$P$6:$P$4005,0)),"(tanpa lawan)"))</f>
        <v/>
      </c>
      <c r="R933" s="44"/>
      <c r="S933" s="9" t="str">
        <f aca="false">IF(N933&lt;&gt;"Y","",IF(R933&lt;&gt;"",R933,IF(Q933="(tanpa lawan)","Transfer antar rekening",IFERROR(INDEX(I_COA!$F$6:$F$265,MATCH(Q933,I_COA!$A$6:$A$265,0)),"?"))))</f>
        <v/>
      </c>
    </row>
    <row r="934" customFormat="false" ht="15" hidden="false" customHeight="false" outlineLevel="0" collapsed="false">
      <c r="A934" s="37" t="n">
        <v>46248</v>
      </c>
      <c r="B934" s="44" t="s">
        <v>1357</v>
      </c>
      <c r="C934" s="44" t="s">
        <v>617</v>
      </c>
      <c r="D934" s="44" t="n">
        <v>1103101</v>
      </c>
      <c r="E934" s="44" t="s">
        <v>589</v>
      </c>
      <c r="F934" s="44" t="s">
        <v>1358</v>
      </c>
      <c r="G934" s="42" t="n">
        <v>46368000</v>
      </c>
      <c r="H934" s="42"/>
      <c r="I934" s="44" t="s">
        <v>465</v>
      </c>
      <c r="J934" s="11" t="n">
        <f aca="false">IF(D934="","",N(G934)-N(H934))</f>
        <v>46368000</v>
      </c>
      <c r="K934" s="34" t="str">
        <f aca="false">IF(D934="","",IFERROR(INDEX(I_COA!$C$6:$C$265,MATCH(D934,I_COA!$A$6:$A$265,0)),"AKUN BARU"))</f>
        <v>Neraca</v>
      </c>
      <c r="L934" s="34" t="str">
        <f aca="false">IF(K934="LabaRugi",INDEX(I_COA!$D$6:$D$265,MATCH(D934,I_COA!$A$6:$A$265,0)),"")</f>
        <v/>
      </c>
      <c r="M934" s="34" t="str">
        <f aca="false">IF(K934="Neraca",INDEX(I_COA!$E$6:$E$265,MATCH(D934,I_COA!$A$6:$A$265,0)),"")</f>
        <v>Trade Receivables - Third Parties</v>
      </c>
      <c r="N934" s="34" t="str">
        <f aca="false">IF(D934="","",IFERROR(INDEX(I_COA!$G$6:$G$265,MATCH(D934,I_COA!$A$6:$A$265,0)),"N"))</f>
        <v>N</v>
      </c>
      <c r="O934" s="11" t="n">
        <f aca="false">IF(N934="N",ABS(J934),"")</f>
        <v>46368000</v>
      </c>
      <c r="P934" s="18" t="str">
        <f aca="false">IF(N934="N",B934&amp;"|"&amp;ROUND(O934,0),"")</f>
        <v>KGR26/0266|46368000</v>
      </c>
      <c r="Q934" s="18" t="str">
        <f aca="false">IF(N934&lt;&gt;"Y","",IFERROR(INDEX($D$6:$D$4005,MATCH(B934&amp;"|"&amp;ROUND(_xlfn.MAXIFS($O$6:$O$4005,$B$6:$B$4005,B934,$N$6:$N$4005,"N"),0),$P$6:$P$4005,0)),"(tanpa lawan)"))</f>
        <v/>
      </c>
      <c r="R934" s="44"/>
      <c r="S934" s="9" t="str">
        <f aca="false">IF(N934&lt;&gt;"Y","",IF(R934&lt;&gt;"",R934,IF(Q934="(tanpa lawan)","Transfer antar rekening",IFERROR(INDEX(I_COA!$F$6:$F$265,MATCH(Q934,I_COA!$A$6:$A$265,0)),"?"))))</f>
        <v/>
      </c>
    </row>
    <row r="935" customFormat="false" ht="15" hidden="false" customHeight="false" outlineLevel="0" collapsed="false">
      <c r="A935" s="37" t="n">
        <v>46248</v>
      </c>
      <c r="B935" s="44" t="s">
        <v>1357</v>
      </c>
      <c r="C935" s="44" t="s">
        <v>617</v>
      </c>
      <c r="D935" s="44" t="n">
        <v>4101012</v>
      </c>
      <c r="E935" s="44" t="s">
        <v>619</v>
      </c>
      <c r="F935" s="44" t="s">
        <v>1358</v>
      </c>
      <c r="G935" s="42"/>
      <c r="H935" s="42" t="n">
        <v>46368000</v>
      </c>
      <c r="I935" s="44" t="s">
        <v>465</v>
      </c>
      <c r="J935" s="11" t="n">
        <f aca="false">IF(D935="","",N(G935)-N(H935))</f>
        <v>-46368000</v>
      </c>
      <c r="K935" s="34" t="str">
        <f aca="false">IF(D935="","",IFERROR(INDEX(I_COA!$C$6:$C$265,MATCH(D935,I_COA!$A$6:$A$265,0)),"AKUN BARU"))</f>
        <v>LabaRugi</v>
      </c>
      <c r="L935" s="34" t="str">
        <f aca="false">IF(K935="LabaRugi",INDEX(I_COA!$D$6:$D$265,MATCH(D935,I_COA!$A$6:$A$265,0)),"")</f>
        <v>Revenue - Trading</v>
      </c>
      <c r="M935" s="34" t="str">
        <f aca="false">IF(K935="Neraca",INDEX(I_COA!$E$6:$E$265,MATCH(D935,I_COA!$A$6:$A$265,0)),"")</f>
        <v/>
      </c>
      <c r="N935" s="34" t="str">
        <f aca="false">IF(D935="","",IFERROR(INDEX(I_COA!$G$6:$G$265,MATCH(D935,I_COA!$A$6:$A$265,0)),"N"))</f>
        <v>N</v>
      </c>
      <c r="O935" s="11" t="n">
        <f aca="false">IF(N935="N",ABS(J935),"")</f>
        <v>46368000</v>
      </c>
      <c r="P935" s="18" t="str">
        <f aca="false">IF(N935="N",B935&amp;"|"&amp;ROUND(O935,0),"")</f>
        <v>KGR26/0266|46368000</v>
      </c>
      <c r="Q935" s="18" t="str">
        <f aca="false">IF(N935&lt;&gt;"Y","",IFERROR(INDEX($D$6:$D$4005,MATCH(B935&amp;"|"&amp;ROUND(_xlfn.MAXIFS($O$6:$O$4005,$B$6:$B$4005,B935,$N$6:$N$4005,"N"),0),$P$6:$P$4005,0)),"(tanpa lawan)"))</f>
        <v/>
      </c>
      <c r="R935" s="44"/>
      <c r="S935" s="9" t="str">
        <f aca="false">IF(N935&lt;&gt;"Y","",IF(R935&lt;&gt;"",R935,IF(Q935="(tanpa lawan)","Transfer antar rekening",IFERROR(INDEX(I_COA!$F$6:$F$265,MATCH(Q935,I_COA!$A$6:$A$265,0)),"?"))))</f>
        <v/>
      </c>
    </row>
    <row r="936" customFormat="false" ht="15" hidden="false" customHeight="false" outlineLevel="0" collapsed="false">
      <c r="A936" s="37" t="n">
        <v>46248</v>
      </c>
      <c r="B936" s="44" t="s">
        <v>1357</v>
      </c>
      <c r="C936" s="44" t="s">
        <v>617</v>
      </c>
      <c r="D936" s="44" t="n">
        <v>5100011</v>
      </c>
      <c r="E936" s="44" t="s">
        <v>166</v>
      </c>
      <c r="F936" s="44" t="s">
        <v>1358</v>
      </c>
      <c r="G936" s="42" t="n">
        <v>46086352.09</v>
      </c>
      <c r="H936" s="42"/>
      <c r="I936" s="44" t="s">
        <v>465</v>
      </c>
      <c r="J936" s="11" t="n">
        <f aca="false">IF(D936="","",N(G936)-N(H936))</f>
        <v>46086352.09</v>
      </c>
      <c r="K936" s="34" t="str">
        <f aca="false">IF(D936="","",IFERROR(INDEX(I_COA!$C$6:$C$265,MATCH(D936,I_COA!$A$6:$A$265,0)),"AKUN BARU"))</f>
        <v>LabaRugi</v>
      </c>
      <c r="L936" s="34" t="str">
        <f aca="false">IF(K936="LabaRugi",INDEX(I_COA!$D$6:$D$265,MATCH(D936,I_COA!$A$6:$A$265,0)),"")</f>
        <v>COGS - Trading</v>
      </c>
      <c r="M936" s="34" t="str">
        <f aca="false">IF(K936="Neraca",INDEX(I_COA!$E$6:$E$265,MATCH(D936,I_COA!$A$6:$A$265,0)),"")</f>
        <v/>
      </c>
      <c r="N936" s="34" t="str">
        <f aca="false">IF(D936="","",IFERROR(INDEX(I_COA!$G$6:$G$265,MATCH(D936,I_COA!$A$6:$A$265,0)),"N"))</f>
        <v>N</v>
      </c>
      <c r="O936" s="11" t="n">
        <f aca="false">IF(N936="N",ABS(J936),"")</f>
        <v>46086352.09</v>
      </c>
      <c r="P936" s="18" t="str">
        <f aca="false">IF(N936="N",B936&amp;"|"&amp;ROUND(O936,0),"")</f>
        <v>KGR26/0266|46086352</v>
      </c>
      <c r="Q936" s="18" t="str">
        <f aca="false">IF(N936&lt;&gt;"Y","",IFERROR(INDEX($D$6:$D$4005,MATCH(B936&amp;"|"&amp;ROUND(_xlfn.MAXIFS($O$6:$O$4005,$B$6:$B$4005,B936,$N$6:$N$4005,"N"),0),$P$6:$P$4005,0)),"(tanpa lawan)"))</f>
        <v/>
      </c>
      <c r="R936" s="44"/>
      <c r="S936" s="9" t="str">
        <f aca="false">IF(N936&lt;&gt;"Y","",IF(R936&lt;&gt;"",R936,IF(Q936="(tanpa lawan)","Transfer antar rekening",IFERROR(INDEX(I_COA!$F$6:$F$265,MATCH(Q936,I_COA!$A$6:$A$265,0)),"?"))))</f>
        <v/>
      </c>
    </row>
    <row r="937" customFormat="false" ht="15" hidden="false" customHeight="false" outlineLevel="0" collapsed="false">
      <c r="A937" s="37" t="n">
        <v>46248</v>
      </c>
      <c r="B937" s="44" t="s">
        <v>1357</v>
      </c>
      <c r="C937" s="44" t="s">
        <v>617</v>
      </c>
      <c r="D937" s="44" t="n">
        <v>1104002</v>
      </c>
      <c r="E937" s="44" t="s">
        <v>601</v>
      </c>
      <c r="F937" s="44" t="s">
        <v>1358</v>
      </c>
      <c r="G937" s="42"/>
      <c r="H937" s="42" t="n">
        <v>46086352.09</v>
      </c>
      <c r="I937" s="44" t="s">
        <v>465</v>
      </c>
      <c r="J937" s="11" t="n">
        <f aca="false">IF(D937="","",N(G937)-N(H937))</f>
        <v>-46086352.09</v>
      </c>
      <c r="K937" s="34" t="str">
        <f aca="false">IF(D937="","",IFERROR(INDEX(I_COA!$C$6:$C$265,MATCH(D937,I_COA!$A$6:$A$265,0)),"AKUN BARU"))</f>
        <v>Neraca</v>
      </c>
      <c r="L937" s="34" t="str">
        <f aca="false">IF(K937="LabaRugi",INDEX(I_COA!$D$6:$D$265,MATCH(D937,I_COA!$A$6:$A$265,0)),"")</f>
        <v/>
      </c>
      <c r="M937" s="34" t="str">
        <f aca="false">IF(K937="Neraca",INDEX(I_COA!$E$6:$E$265,MATCH(D937,I_COA!$A$6:$A$265,0)),"")</f>
        <v>Inventory - Product</v>
      </c>
      <c r="N937" s="34" t="str">
        <f aca="false">IF(D937="","",IFERROR(INDEX(I_COA!$G$6:$G$265,MATCH(D937,I_COA!$A$6:$A$265,0)),"N"))</f>
        <v>N</v>
      </c>
      <c r="O937" s="11" t="n">
        <f aca="false">IF(N937="N",ABS(J937),"")</f>
        <v>46086352.09</v>
      </c>
      <c r="P937" s="18" t="str">
        <f aca="false">IF(N937="N",B937&amp;"|"&amp;ROUND(O937,0),"")</f>
        <v>KGR26/0266|46086352</v>
      </c>
      <c r="Q937" s="18" t="str">
        <f aca="false">IF(N937&lt;&gt;"Y","",IFERROR(INDEX($D$6:$D$4005,MATCH(B937&amp;"|"&amp;ROUND(_xlfn.MAXIFS($O$6:$O$4005,$B$6:$B$4005,B937,$N$6:$N$4005,"N"),0),$P$6:$P$4005,0)),"(tanpa lawan)"))</f>
        <v/>
      </c>
      <c r="R937" s="44"/>
      <c r="S937" s="9" t="str">
        <f aca="false">IF(N937&lt;&gt;"Y","",IF(R937&lt;&gt;"",R937,IF(Q937="(tanpa lawan)","Transfer antar rekening",IFERROR(INDEX(I_COA!$F$6:$F$265,MATCH(Q937,I_COA!$A$6:$A$265,0)),"?"))))</f>
        <v/>
      </c>
    </row>
    <row r="938" customFormat="false" ht="15" hidden="false" customHeight="false" outlineLevel="0" collapsed="false">
      <c r="A938" s="37" t="n">
        <v>46248</v>
      </c>
      <c r="B938" s="44" t="s">
        <v>1359</v>
      </c>
      <c r="C938" s="44" t="s">
        <v>617</v>
      </c>
      <c r="D938" s="44" t="n">
        <v>1103101</v>
      </c>
      <c r="E938" s="44" t="s">
        <v>589</v>
      </c>
      <c r="F938" s="44" t="s">
        <v>1360</v>
      </c>
      <c r="G938" s="42" t="n">
        <v>5792500</v>
      </c>
      <c r="H938" s="42"/>
      <c r="I938" s="44" t="s">
        <v>465</v>
      </c>
      <c r="J938" s="11" t="n">
        <f aca="false">IF(D938="","",N(G938)-N(H938))</f>
        <v>5792500</v>
      </c>
      <c r="K938" s="34" t="str">
        <f aca="false">IF(D938="","",IFERROR(INDEX(I_COA!$C$6:$C$265,MATCH(D938,I_COA!$A$6:$A$265,0)),"AKUN BARU"))</f>
        <v>Neraca</v>
      </c>
      <c r="L938" s="34" t="str">
        <f aca="false">IF(K938="LabaRugi",INDEX(I_COA!$D$6:$D$265,MATCH(D938,I_COA!$A$6:$A$265,0)),"")</f>
        <v/>
      </c>
      <c r="M938" s="34" t="str">
        <f aca="false">IF(K938="Neraca",INDEX(I_COA!$E$6:$E$265,MATCH(D938,I_COA!$A$6:$A$265,0)),"")</f>
        <v>Trade Receivables - Third Parties</v>
      </c>
      <c r="N938" s="34" t="str">
        <f aca="false">IF(D938="","",IFERROR(INDEX(I_COA!$G$6:$G$265,MATCH(D938,I_COA!$A$6:$A$265,0)),"N"))</f>
        <v>N</v>
      </c>
      <c r="O938" s="11" t="n">
        <f aca="false">IF(N938="N",ABS(J938),"")</f>
        <v>5792500</v>
      </c>
      <c r="P938" s="18" t="str">
        <f aca="false">IF(N938="N",B938&amp;"|"&amp;ROUND(O938,0),"")</f>
        <v>KGR26/0267|5792500</v>
      </c>
      <c r="Q938" s="18" t="str">
        <f aca="false">IF(N938&lt;&gt;"Y","",IFERROR(INDEX($D$6:$D$4005,MATCH(B938&amp;"|"&amp;ROUND(_xlfn.MAXIFS($O$6:$O$4005,$B$6:$B$4005,B938,$N$6:$N$4005,"N"),0),$P$6:$P$4005,0)),"(tanpa lawan)"))</f>
        <v/>
      </c>
      <c r="R938" s="44"/>
      <c r="S938" s="9" t="str">
        <f aca="false">IF(N938&lt;&gt;"Y","",IF(R938&lt;&gt;"",R938,IF(Q938="(tanpa lawan)","Transfer antar rekening",IFERROR(INDEX(I_COA!$F$6:$F$265,MATCH(Q938,I_COA!$A$6:$A$265,0)),"?"))))</f>
        <v/>
      </c>
    </row>
    <row r="939" customFormat="false" ht="15" hidden="false" customHeight="false" outlineLevel="0" collapsed="false">
      <c r="A939" s="37" t="n">
        <v>46248</v>
      </c>
      <c r="B939" s="44" t="s">
        <v>1359</v>
      </c>
      <c r="C939" s="44" t="s">
        <v>617</v>
      </c>
      <c r="D939" s="44" t="n">
        <v>4101010</v>
      </c>
      <c r="E939" s="44" t="s">
        <v>1284</v>
      </c>
      <c r="F939" s="44" t="s">
        <v>1360</v>
      </c>
      <c r="G939" s="42"/>
      <c r="H939" s="42" t="n">
        <v>5792500</v>
      </c>
      <c r="I939" s="44" t="s">
        <v>465</v>
      </c>
      <c r="J939" s="11" t="n">
        <f aca="false">IF(D939="","",N(G939)-N(H939))</f>
        <v>-5792500</v>
      </c>
      <c r="K939" s="34" t="str">
        <f aca="false">IF(D939="","",IFERROR(INDEX(I_COA!$C$6:$C$265,MATCH(D939,I_COA!$A$6:$A$265,0)),"AKUN BARU"))</f>
        <v>LabaRugi</v>
      </c>
      <c r="L939" s="34" t="str">
        <f aca="false">IF(K939="LabaRugi",INDEX(I_COA!$D$6:$D$265,MATCH(D939,I_COA!$A$6:$A$265,0)),"")</f>
        <v>Revenue - LB Main Product</v>
      </c>
      <c r="M939" s="34" t="str">
        <f aca="false">IF(K939="Neraca",INDEX(I_COA!$E$6:$E$265,MATCH(D939,I_COA!$A$6:$A$265,0)),"")</f>
        <v/>
      </c>
      <c r="N939" s="34" t="str">
        <f aca="false">IF(D939="","",IFERROR(INDEX(I_COA!$G$6:$G$265,MATCH(D939,I_COA!$A$6:$A$265,0)),"N"))</f>
        <v>N</v>
      </c>
      <c r="O939" s="11" t="n">
        <f aca="false">IF(N939="N",ABS(J939),"")</f>
        <v>5792500</v>
      </c>
      <c r="P939" s="18" t="str">
        <f aca="false">IF(N939="N",B939&amp;"|"&amp;ROUND(O939,0),"")</f>
        <v>KGR26/0267|5792500</v>
      </c>
      <c r="Q939" s="18" t="str">
        <f aca="false">IF(N939&lt;&gt;"Y","",IFERROR(INDEX($D$6:$D$4005,MATCH(B939&amp;"|"&amp;ROUND(_xlfn.MAXIFS($O$6:$O$4005,$B$6:$B$4005,B939,$N$6:$N$4005,"N"),0),$P$6:$P$4005,0)),"(tanpa lawan)"))</f>
        <v/>
      </c>
      <c r="R939" s="44"/>
      <c r="S939" s="9" t="str">
        <f aca="false">IF(N939&lt;&gt;"Y","",IF(R939&lt;&gt;"",R939,IF(Q939="(tanpa lawan)","Transfer antar rekening",IFERROR(INDEX(I_COA!$F$6:$F$265,MATCH(Q939,I_COA!$A$6:$A$265,0)),"?"))))</f>
        <v/>
      </c>
    </row>
    <row r="940" customFormat="false" ht="15" hidden="false" customHeight="false" outlineLevel="0" collapsed="false">
      <c r="A940" s="37" t="n">
        <v>46248</v>
      </c>
      <c r="B940" s="44" t="s">
        <v>1359</v>
      </c>
      <c r="C940" s="44" t="s">
        <v>617</v>
      </c>
      <c r="D940" s="44" t="n">
        <v>5100004</v>
      </c>
      <c r="E940" s="44" t="s">
        <v>627</v>
      </c>
      <c r="F940" s="44" t="s">
        <v>1360</v>
      </c>
      <c r="G940" s="42" t="n">
        <v>5221552.13</v>
      </c>
      <c r="H940" s="42"/>
      <c r="I940" s="44" t="s">
        <v>465</v>
      </c>
      <c r="J940" s="11" t="n">
        <f aca="false">IF(D940="","",N(G940)-N(H940))</f>
        <v>5221552.13</v>
      </c>
      <c r="K940" s="34" t="str">
        <f aca="false">IF(D940="","",IFERROR(INDEX(I_COA!$C$6:$C$265,MATCH(D940,I_COA!$A$6:$A$265,0)),"AKUN BARU"))</f>
        <v>LabaRugi</v>
      </c>
      <c r="L940" s="34" t="str">
        <f aca="false">IF(K940="LabaRugi",INDEX(I_COA!$D$6:$D$265,MATCH(D940,I_COA!$A$6:$A$265,0)),"")</f>
        <v>COGS - Live Bird</v>
      </c>
      <c r="M940" s="34" t="str">
        <f aca="false">IF(K940="Neraca",INDEX(I_COA!$E$6:$E$265,MATCH(D940,I_COA!$A$6:$A$265,0)),"")</f>
        <v/>
      </c>
      <c r="N940" s="34" t="str">
        <f aca="false">IF(D940="","",IFERROR(INDEX(I_COA!$G$6:$G$265,MATCH(D940,I_COA!$A$6:$A$265,0)),"N"))</f>
        <v>N</v>
      </c>
      <c r="O940" s="11" t="n">
        <f aca="false">IF(N940="N",ABS(J940),"")</f>
        <v>5221552.13</v>
      </c>
      <c r="P940" s="18" t="str">
        <f aca="false">IF(N940="N",B940&amp;"|"&amp;ROUND(O940,0),"")</f>
        <v>KGR26/0267|5221552</v>
      </c>
      <c r="Q940" s="18" t="str">
        <f aca="false">IF(N940&lt;&gt;"Y","",IFERROR(INDEX($D$6:$D$4005,MATCH(B940&amp;"|"&amp;ROUND(_xlfn.MAXIFS($O$6:$O$4005,$B$6:$B$4005,B940,$N$6:$N$4005,"N"),0),$P$6:$P$4005,0)),"(tanpa lawan)"))</f>
        <v/>
      </c>
      <c r="R940" s="44"/>
      <c r="S940" s="9" t="str">
        <f aca="false">IF(N940&lt;&gt;"Y","",IF(R940&lt;&gt;"",R940,IF(Q940="(tanpa lawan)","Transfer antar rekening",IFERROR(INDEX(I_COA!$F$6:$F$265,MATCH(Q940,I_COA!$A$6:$A$265,0)),"?"))))</f>
        <v/>
      </c>
    </row>
    <row r="941" customFormat="false" ht="15" hidden="false" customHeight="false" outlineLevel="0" collapsed="false">
      <c r="A941" s="37" t="n">
        <v>46248</v>
      </c>
      <c r="B941" s="44" t="s">
        <v>1359</v>
      </c>
      <c r="C941" s="44" t="s">
        <v>617</v>
      </c>
      <c r="D941" s="44" t="n">
        <v>1104002</v>
      </c>
      <c r="E941" s="44" t="s">
        <v>601</v>
      </c>
      <c r="F941" s="44" t="s">
        <v>1360</v>
      </c>
      <c r="G941" s="42"/>
      <c r="H941" s="42" t="n">
        <v>5221552.13</v>
      </c>
      <c r="I941" s="44" t="s">
        <v>465</v>
      </c>
      <c r="J941" s="11" t="n">
        <f aca="false">IF(D941="","",N(G941)-N(H941))</f>
        <v>-5221552.13</v>
      </c>
      <c r="K941" s="34" t="str">
        <f aca="false">IF(D941="","",IFERROR(INDEX(I_COA!$C$6:$C$265,MATCH(D941,I_COA!$A$6:$A$265,0)),"AKUN BARU"))</f>
        <v>Neraca</v>
      </c>
      <c r="L941" s="34" t="str">
        <f aca="false">IF(K941="LabaRugi",INDEX(I_COA!$D$6:$D$265,MATCH(D941,I_COA!$A$6:$A$265,0)),"")</f>
        <v/>
      </c>
      <c r="M941" s="34" t="str">
        <f aca="false">IF(K941="Neraca",INDEX(I_COA!$E$6:$E$265,MATCH(D941,I_COA!$A$6:$A$265,0)),"")</f>
        <v>Inventory - Product</v>
      </c>
      <c r="N941" s="34" t="str">
        <f aca="false">IF(D941="","",IFERROR(INDEX(I_COA!$G$6:$G$265,MATCH(D941,I_COA!$A$6:$A$265,0)),"N"))</f>
        <v>N</v>
      </c>
      <c r="O941" s="11" t="n">
        <f aca="false">IF(N941="N",ABS(J941),"")</f>
        <v>5221552.13</v>
      </c>
      <c r="P941" s="18" t="str">
        <f aca="false">IF(N941="N",B941&amp;"|"&amp;ROUND(O941,0),"")</f>
        <v>KGR26/0267|5221552</v>
      </c>
      <c r="Q941" s="18" t="str">
        <f aca="false">IF(N941&lt;&gt;"Y","",IFERROR(INDEX($D$6:$D$4005,MATCH(B941&amp;"|"&amp;ROUND(_xlfn.MAXIFS($O$6:$O$4005,$B$6:$B$4005,B941,$N$6:$N$4005,"N"),0),$P$6:$P$4005,0)),"(tanpa lawan)"))</f>
        <v/>
      </c>
      <c r="R941" s="44"/>
      <c r="S941" s="9" t="str">
        <f aca="false">IF(N941&lt;&gt;"Y","",IF(R941&lt;&gt;"",R941,IF(Q941="(tanpa lawan)","Transfer antar rekening",IFERROR(INDEX(I_COA!$F$6:$F$265,MATCH(Q941,I_COA!$A$6:$A$265,0)),"?"))))</f>
        <v/>
      </c>
    </row>
    <row r="942" customFormat="false" ht="15" hidden="false" customHeight="false" outlineLevel="0" collapsed="false">
      <c r="A942" s="37" t="n">
        <v>46248</v>
      </c>
      <c r="B942" s="44" t="s">
        <v>1361</v>
      </c>
      <c r="C942" s="44" t="s">
        <v>617</v>
      </c>
      <c r="D942" s="44" t="n">
        <v>1103101</v>
      </c>
      <c r="E942" s="44" t="s">
        <v>589</v>
      </c>
      <c r="F942" s="44" t="s">
        <v>1362</v>
      </c>
      <c r="G942" s="42" t="n">
        <v>106088500</v>
      </c>
      <c r="H942" s="42"/>
      <c r="I942" s="44" t="s">
        <v>592</v>
      </c>
      <c r="J942" s="11" t="n">
        <f aca="false">IF(D942="","",N(G942)-N(H942))</f>
        <v>106088500</v>
      </c>
      <c r="K942" s="34" t="str">
        <f aca="false">IF(D942="","",IFERROR(INDEX(I_COA!$C$6:$C$265,MATCH(D942,I_COA!$A$6:$A$265,0)),"AKUN BARU"))</f>
        <v>Neraca</v>
      </c>
      <c r="L942" s="34" t="str">
        <f aca="false">IF(K942="LabaRugi",INDEX(I_COA!$D$6:$D$265,MATCH(D942,I_COA!$A$6:$A$265,0)),"")</f>
        <v/>
      </c>
      <c r="M942" s="34" t="str">
        <f aca="false">IF(K942="Neraca",INDEX(I_COA!$E$6:$E$265,MATCH(D942,I_COA!$A$6:$A$265,0)),"")</f>
        <v>Trade Receivables - Third Parties</v>
      </c>
      <c r="N942" s="34" t="str">
        <f aca="false">IF(D942="","",IFERROR(INDEX(I_COA!$G$6:$G$265,MATCH(D942,I_COA!$A$6:$A$265,0)),"N"))</f>
        <v>N</v>
      </c>
      <c r="O942" s="11" t="n">
        <f aca="false">IF(N942="N",ABS(J942),"")</f>
        <v>106088500</v>
      </c>
      <c r="P942" s="18" t="str">
        <f aca="false">IF(N942="N",B942&amp;"|"&amp;ROUND(O942,0),"")</f>
        <v>KGR26/0268|106088500</v>
      </c>
      <c r="Q942" s="18" t="str">
        <f aca="false">IF(N942&lt;&gt;"Y","",IFERROR(INDEX($D$6:$D$4005,MATCH(B942&amp;"|"&amp;ROUND(_xlfn.MAXIFS($O$6:$O$4005,$B$6:$B$4005,B942,$N$6:$N$4005,"N"),0),$P$6:$P$4005,0)),"(tanpa lawan)"))</f>
        <v/>
      </c>
      <c r="R942" s="44"/>
      <c r="S942" s="9" t="str">
        <f aca="false">IF(N942&lt;&gt;"Y","",IF(R942&lt;&gt;"",R942,IF(Q942="(tanpa lawan)","Transfer antar rekening",IFERROR(INDEX(I_COA!$F$6:$F$265,MATCH(Q942,I_COA!$A$6:$A$265,0)),"?"))))</f>
        <v/>
      </c>
    </row>
    <row r="943" customFormat="false" ht="15" hidden="false" customHeight="false" outlineLevel="0" collapsed="false">
      <c r="A943" s="37" t="n">
        <v>46248</v>
      </c>
      <c r="B943" s="44" t="s">
        <v>1361</v>
      </c>
      <c r="C943" s="44" t="s">
        <v>617</v>
      </c>
      <c r="D943" s="44" t="n">
        <v>4101012</v>
      </c>
      <c r="E943" s="44" t="s">
        <v>619</v>
      </c>
      <c r="F943" s="44" t="s">
        <v>1362</v>
      </c>
      <c r="G943" s="42"/>
      <c r="H943" s="42" t="n">
        <v>106088500</v>
      </c>
      <c r="I943" s="44" t="s">
        <v>592</v>
      </c>
      <c r="J943" s="11" t="n">
        <f aca="false">IF(D943="","",N(G943)-N(H943))</f>
        <v>-106088500</v>
      </c>
      <c r="K943" s="34" t="str">
        <f aca="false">IF(D943="","",IFERROR(INDEX(I_COA!$C$6:$C$265,MATCH(D943,I_COA!$A$6:$A$265,0)),"AKUN BARU"))</f>
        <v>LabaRugi</v>
      </c>
      <c r="L943" s="34" t="str">
        <f aca="false">IF(K943="LabaRugi",INDEX(I_COA!$D$6:$D$265,MATCH(D943,I_COA!$A$6:$A$265,0)),"")</f>
        <v>Revenue - Trading</v>
      </c>
      <c r="M943" s="34" t="str">
        <f aca="false">IF(K943="Neraca",INDEX(I_COA!$E$6:$E$265,MATCH(D943,I_COA!$A$6:$A$265,0)),"")</f>
        <v/>
      </c>
      <c r="N943" s="34" t="str">
        <f aca="false">IF(D943="","",IFERROR(INDEX(I_COA!$G$6:$G$265,MATCH(D943,I_COA!$A$6:$A$265,0)),"N"))</f>
        <v>N</v>
      </c>
      <c r="O943" s="11" t="n">
        <f aca="false">IF(N943="N",ABS(J943),"")</f>
        <v>106088500</v>
      </c>
      <c r="P943" s="18" t="str">
        <f aca="false">IF(N943="N",B943&amp;"|"&amp;ROUND(O943,0),"")</f>
        <v>KGR26/0268|106088500</v>
      </c>
      <c r="Q943" s="18" t="str">
        <f aca="false">IF(N943&lt;&gt;"Y","",IFERROR(INDEX($D$6:$D$4005,MATCH(B943&amp;"|"&amp;ROUND(_xlfn.MAXIFS($O$6:$O$4005,$B$6:$B$4005,B943,$N$6:$N$4005,"N"),0),$P$6:$P$4005,0)),"(tanpa lawan)"))</f>
        <v/>
      </c>
      <c r="R943" s="44"/>
      <c r="S943" s="9" t="str">
        <f aca="false">IF(N943&lt;&gt;"Y","",IF(R943&lt;&gt;"",R943,IF(Q943="(tanpa lawan)","Transfer antar rekening",IFERROR(INDEX(I_COA!$F$6:$F$265,MATCH(Q943,I_COA!$A$6:$A$265,0)),"?"))))</f>
        <v/>
      </c>
    </row>
    <row r="944" customFormat="false" ht="15" hidden="false" customHeight="false" outlineLevel="0" collapsed="false">
      <c r="A944" s="37" t="n">
        <v>46248</v>
      </c>
      <c r="B944" s="44" t="s">
        <v>1361</v>
      </c>
      <c r="C944" s="44" t="s">
        <v>617</v>
      </c>
      <c r="D944" s="44" t="n">
        <v>5100011</v>
      </c>
      <c r="E944" s="44" t="s">
        <v>166</v>
      </c>
      <c r="F944" s="44" t="s">
        <v>1362</v>
      </c>
      <c r="G944" s="42" t="n">
        <v>85681675.46</v>
      </c>
      <c r="H944" s="42"/>
      <c r="I944" s="44" t="s">
        <v>592</v>
      </c>
      <c r="J944" s="11" t="n">
        <f aca="false">IF(D944="","",N(G944)-N(H944))</f>
        <v>85681675.46</v>
      </c>
      <c r="K944" s="34" t="str">
        <f aca="false">IF(D944="","",IFERROR(INDEX(I_COA!$C$6:$C$265,MATCH(D944,I_COA!$A$6:$A$265,0)),"AKUN BARU"))</f>
        <v>LabaRugi</v>
      </c>
      <c r="L944" s="34" t="str">
        <f aca="false">IF(K944="LabaRugi",INDEX(I_COA!$D$6:$D$265,MATCH(D944,I_COA!$A$6:$A$265,0)),"")</f>
        <v>COGS - Trading</v>
      </c>
      <c r="M944" s="34" t="str">
        <f aca="false">IF(K944="Neraca",INDEX(I_COA!$E$6:$E$265,MATCH(D944,I_COA!$A$6:$A$265,0)),"")</f>
        <v/>
      </c>
      <c r="N944" s="34" t="str">
        <f aca="false">IF(D944="","",IFERROR(INDEX(I_COA!$G$6:$G$265,MATCH(D944,I_COA!$A$6:$A$265,0)),"N"))</f>
        <v>N</v>
      </c>
      <c r="O944" s="11" t="n">
        <f aca="false">IF(N944="N",ABS(J944),"")</f>
        <v>85681675.46</v>
      </c>
      <c r="P944" s="18" t="str">
        <f aca="false">IF(N944="N",B944&amp;"|"&amp;ROUND(O944,0),"")</f>
        <v>KGR26/0268|85681675</v>
      </c>
      <c r="Q944" s="18" t="str">
        <f aca="false">IF(N944&lt;&gt;"Y","",IFERROR(INDEX($D$6:$D$4005,MATCH(B944&amp;"|"&amp;ROUND(_xlfn.MAXIFS($O$6:$O$4005,$B$6:$B$4005,B944,$N$6:$N$4005,"N"),0),$P$6:$P$4005,0)),"(tanpa lawan)"))</f>
        <v/>
      </c>
      <c r="R944" s="44"/>
      <c r="S944" s="9" t="str">
        <f aca="false">IF(N944&lt;&gt;"Y","",IF(R944&lt;&gt;"",R944,IF(Q944="(tanpa lawan)","Transfer antar rekening",IFERROR(INDEX(I_COA!$F$6:$F$265,MATCH(Q944,I_COA!$A$6:$A$265,0)),"?"))))</f>
        <v/>
      </c>
    </row>
    <row r="945" customFormat="false" ht="15" hidden="false" customHeight="false" outlineLevel="0" collapsed="false">
      <c r="A945" s="37" t="n">
        <v>46248</v>
      </c>
      <c r="B945" s="44" t="s">
        <v>1361</v>
      </c>
      <c r="C945" s="44" t="s">
        <v>617</v>
      </c>
      <c r="D945" s="44" t="n">
        <v>1104002</v>
      </c>
      <c r="E945" s="44" t="s">
        <v>601</v>
      </c>
      <c r="F945" s="44" t="s">
        <v>1362</v>
      </c>
      <c r="G945" s="42"/>
      <c r="H945" s="42" t="n">
        <v>85681675.46</v>
      </c>
      <c r="I945" s="44" t="s">
        <v>592</v>
      </c>
      <c r="J945" s="11" t="n">
        <f aca="false">IF(D945="","",N(G945)-N(H945))</f>
        <v>-85681675.46</v>
      </c>
      <c r="K945" s="34" t="str">
        <f aca="false">IF(D945="","",IFERROR(INDEX(I_COA!$C$6:$C$265,MATCH(D945,I_COA!$A$6:$A$265,0)),"AKUN BARU"))</f>
        <v>Neraca</v>
      </c>
      <c r="L945" s="34" t="str">
        <f aca="false">IF(K945="LabaRugi",INDEX(I_COA!$D$6:$D$265,MATCH(D945,I_COA!$A$6:$A$265,0)),"")</f>
        <v/>
      </c>
      <c r="M945" s="34" t="str">
        <f aca="false">IF(K945="Neraca",INDEX(I_COA!$E$6:$E$265,MATCH(D945,I_COA!$A$6:$A$265,0)),"")</f>
        <v>Inventory - Product</v>
      </c>
      <c r="N945" s="34" t="str">
        <f aca="false">IF(D945="","",IFERROR(INDEX(I_COA!$G$6:$G$265,MATCH(D945,I_COA!$A$6:$A$265,0)),"N"))</f>
        <v>N</v>
      </c>
      <c r="O945" s="11" t="n">
        <f aca="false">IF(N945="N",ABS(J945),"")</f>
        <v>85681675.46</v>
      </c>
      <c r="P945" s="18" t="str">
        <f aca="false">IF(N945="N",B945&amp;"|"&amp;ROUND(O945,0),"")</f>
        <v>KGR26/0268|85681675</v>
      </c>
      <c r="Q945" s="18" t="str">
        <f aca="false">IF(N945&lt;&gt;"Y","",IFERROR(INDEX($D$6:$D$4005,MATCH(B945&amp;"|"&amp;ROUND(_xlfn.MAXIFS($O$6:$O$4005,$B$6:$B$4005,B945,$N$6:$N$4005,"N"),0),$P$6:$P$4005,0)),"(tanpa lawan)"))</f>
        <v/>
      </c>
      <c r="R945" s="44"/>
      <c r="S945" s="9" t="str">
        <f aca="false">IF(N945&lt;&gt;"Y","",IF(R945&lt;&gt;"",R945,IF(Q945="(tanpa lawan)","Transfer antar rekening",IFERROR(INDEX(I_COA!$F$6:$F$265,MATCH(Q945,I_COA!$A$6:$A$265,0)),"?"))))</f>
        <v/>
      </c>
    </row>
    <row r="946" customFormat="false" ht="15" hidden="false" customHeight="false" outlineLevel="0" collapsed="false">
      <c r="A946" s="37" t="n">
        <v>46248</v>
      </c>
      <c r="B946" s="44" t="s">
        <v>1363</v>
      </c>
      <c r="C946" s="44" t="s">
        <v>617</v>
      </c>
      <c r="D946" s="44" t="n">
        <v>1103101</v>
      </c>
      <c r="E946" s="44" t="s">
        <v>589</v>
      </c>
      <c r="F946" s="44" t="s">
        <v>1364</v>
      </c>
      <c r="G946" s="42" t="n">
        <v>67720500</v>
      </c>
      <c r="H946" s="42"/>
      <c r="I946" s="44" t="s">
        <v>437</v>
      </c>
      <c r="J946" s="11" t="n">
        <f aca="false">IF(D946="","",N(G946)-N(H946))</f>
        <v>67720500</v>
      </c>
      <c r="K946" s="34" t="str">
        <f aca="false">IF(D946="","",IFERROR(INDEX(I_COA!$C$6:$C$265,MATCH(D946,I_COA!$A$6:$A$265,0)),"AKUN BARU"))</f>
        <v>Neraca</v>
      </c>
      <c r="L946" s="34" t="str">
        <f aca="false">IF(K946="LabaRugi",INDEX(I_COA!$D$6:$D$265,MATCH(D946,I_COA!$A$6:$A$265,0)),"")</f>
        <v/>
      </c>
      <c r="M946" s="34" t="str">
        <f aca="false">IF(K946="Neraca",INDEX(I_COA!$E$6:$E$265,MATCH(D946,I_COA!$A$6:$A$265,0)),"")</f>
        <v>Trade Receivables - Third Parties</v>
      </c>
      <c r="N946" s="34" t="str">
        <f aca="false">IF(D946="","",IFERROR(INDEX(I_COA!$G$6:$G$265,MATCH(D946,I_COA!$A$6:$A$265,0)),"N"))</f>
        <v>N</v>
      </c>
      <c r="O946" s="11" t="n">
        <f aca="false">IF(N946="N",ABS(J946),"")</f>
        <v>67720500</v>
      </c>
      <c r="P946" s="18" t="str">
        <f aca="false">IF(N946="N",B946&amp;"|"&amp;ROUND(O946,0),"")</f>
        <v>KGR26/0269|67720500</v>
      </c>
      <c r="Q946" s="18" t="str">
        <f aca="false">IF(N946&lt;&gt;"Y","",IFERROR(INDEX($D$6:$D$4005,MATCH(B946&amp;"|"&amp;ROUND(_xlfn.MAXIFS($O$6:$O$4005,$B$6:$B$4005,B946,$N$6:$N$4005,"N"),0),$P$6:$P$4005,0)),"(tanpa lawan)"))</f>
        <v/>
      </c>
      <c r="R946" s="44"/>
      <c r="S946" s="9" t="str">
        <f aca="false">IF(N946&lt;&gt;"Y","",IF(R946&lt;&gt;"",R946,IF(Q946="(tanpa lawan)","Transfer antar rekening",IFERROR(INDEX(I_COA!$F$6:$F$265,MATCH(Q946,I_COA!$A$6:$A$265,0)),"?"))))</f>
        <v/>
      </c>
    </row>
    <row r="947" customFormat="false" ht="15" hidden="false" customHeight="false" outlineLevel="0" collapsed="false">
      <c r="A947" s="37" t="n">
        <v>46248</v>
      </c>
      <c r="B947" s="44" t="s">
        <v>1363</v>
      </c>
      <c r="C947" s="44" t="s">
        <v>617</v>
      </c>
      <c r="D947" s="44" t="n">
        <v>4101012</v>
      </c>
      <c r="E947" s="44" t="s">
        <v>619</v>
      </c>
      <c r="F947" s="44" t="s">
        <v>1364</v>
      </c>
      <c r="G947" s="42"/>
      <c r="H947" s="42" t="n">
        <v>67720500</v>
      </c>
      <c r="I947" s="44" t="s">
        <v>437</v>
      </c>
      <c r="J947" s="11" t="n">
        <f aca="false">IF(D947="","",N(G947)-N(H947))</f>
        <v>-67720500</v>
      </c>
      <c r="K947" s="34" t="str">
        <f aca="false">IF(D947="","",IFERROR(INDEX(I_COA!$C$6:$C$265,MATCH(D947,I_COA!$A$6:$A$265,0)),"AKUN BARU"))</f>
        <v>LabaRugi</v>
      </c>
      <c r="L947" s="34" t="str">
        <f aca="false">IF(K947="LabaRugi",INDEX(I_COA!$D$6:$D$265,MATCH(D947,I_COA!$A$6:$A$265,0)),"")</f>
        <v>Revenue - Trading</v>
      </c>
      <c r="M947" s="34" t="str">
        <f aca="false">IF(K947="Neraca",INDEX(I_COA!$E$6:$E$265,MATCH(D947,I_COA!$A$6:$A$265,0)),"")</f>
        <v/>
      </c>
      <c r="N947" s="34" t="str">
        <f aca="false">IF(D947="","",IFERROR(INDEX(I_COA!$G$6:$G$265,MATCH(D947,I_COA!$A$6:$A$265,0)),"N"))</f>
        <v>N</v>
      </c>
      <c r="O947" s="11" t="n">
        <f aca="false">IF(N947="N",ABS(J947),"")</f>
        <v>67720500</v>
      </c>
      <c r="P947" s="18" t="str">
        <f aca="false">IF(N947="N",B947&amp;"|"&amp;ROUND(O947,0),"")</f>
        <v>KGR26/0269|67720500</v>
      </c>
      <c r="Q947" s="18" t="str">
        <f aca="false">IF(N947&lt;&gt;"Y","",IFERROR(INDEX($D$6:$D$4005,MATCH(B947&amp;"|"&amp;ROUND(_xlfn.MAXIFS($O$6:$O$4005,$B$6:$B$4005,B947,$N$6:$N$4005,"N"),0),$P$6:$P$4005,0)),"(tanpa lawan)"))</f>
        <v/>
      </c>
      <c r="R947" s="44"/>
      <c r="S947" s="9" t="str">
        <f aca="false">IF(N947&lt;&gt;"Y","",IF(R947&lt;&gt;"",R947,IF(Q947="(tanpa lawan)","Transfer antar rekening",IFERROR(INDEX(I_COA!$F$6:$F$265,MATCH(Q947,I_COA!$A$6:$A$265,0)),"?"))))</f>
        <v/>
      </c>
    </row>
    <row r="948" customFormat="false" ht="15" hidden="false" customHeight="false" outlineLevel="0" collapsed="false">
      <c r="A948" s="37" t="n">
        <v>46248</v>
      </c>
      <c r="B948" s="44" t="s">
        <v>1363</v>
      </c>
      <c r="C948" s="44" t="s">
        <v>617</v>
      </c>
      <c r="D948" s="44" t="n">
        <v>5100011</v>
      </c>
      <c r="E948" s="44" t="s">
        <v>166</v>
      </c>
      <c r="F948" s="44" t="s">
        <v>1364</v>
      </c>
      <c r="G948" s="42" t="n">
        <v>51583131.34</v>
      </c>
      <c r="H948" s="42"/>
      <c r="I948" s="44" t="s">
        <v>437</v>
      </c>
      <c r="J948" s="11" t="n">
        <f aca="false">IF(D948="","",N(G948)-N(H948))</f>
        <v>51583131.34</v>
      </c>
      <c r="K948" s="34" t="str">
        <f aca="false">IF(D948="","",IFERROR(INDEX(I_COA!$C$6:$C$265,MATCH(D948,I_COA!$A$6:$A$265,0)),"AKUN BARU"))</f>
        <v>LabaRugi</v>
      </c>
      <c r="L948" s="34" t="str">
        <f aca="false">IF(K948="LabaRugi",INDEX(I_COA!$D$6:$D$265,MATCH(D948,I_COA!$A$6:$A$265,0)),"")</f>
        <v>COGS - Trading</v>
      </c>
      <c r="M948" s="34" t="str">
        <f aca="false">IF(K948="Neraca",INDEX(I_COA!$E$6:$E$265,MATCH(D948,I_COA!$A$6:$A$265,0)),"")</f>
        <v/>
      </c>
      <c r="N948" s="34" t="str">
        <f aca="false">IF(D948="","",IFERROR(INDEX(I_COA!$G$6:$G$265,MATCH(D948,I_COA!$A$6:$A$265,0)),"N"))</f>
        <v>N</v>
      </c>
      <c r="O948" s="11" t="n">
        <f aca="false">IF(N948="N",ABS(J948),"")</f>
        <v>51583131.34</v>
      </c>
      <c r="P948" s="18" t="str">
        <f aca="false">IF(N948="N",B948&amp;"|"&amp;ROUND(O948,0),"")</f>
        <v>KGR26/0269|51583131</v>
      </c>
      <c r="Q948" s="18" t="str">
        <f aca="false">IF(N948&lt;&gt;"Y","",IFERROR(INDEX($D$6:$D$4005,MATCH(B948&amp;"|"&amp;ROUND(_xlfn.MAXIFS($O$6:$O$4005,$B$6:$B$4005,B948,$N$6:$N$4005,"N"),0),$P$6:$P$4005,0)),"(tanpa lawan)"))</f>
        <v/>
      </c>
      <c r="R948" s="44"/>
      <c r="S948" s="9" t="str">
        <f aca="false">IF(N948&lt;&gt;"Y","",IF(R948&lt;&gt;"",R948,IF(Q948="(tanpa lawan)","Transfer antar rekening",IFERROR(INDEX(I_COA!$F$6:$F$265,MATCH(Q948,I_COA!$A$6:$A$265,0)),"?"))))</f>
        <v/>
      </c>
    </row>
    <row r="949" customFormat="false" ht="15" hidden="false" customHeight="false" outlineLevel="0" collapsed="false">
      <c r="A949" s="37" t="n">
        <v>46248</v>
      </c>
      <c r="B949" s="44" t="s">
        <v>1363</v>
      </c>
      <c r="C949" s="44" t="s">
        <v>617</v>
      </c>
      <c r="D949" s="44" t="n">
        <v>1104002</v>
      </c>
      <c r="E949" s="44" t="s">
        <v>601</v>
      </c>
      <c r="F949" s="44" t="s">
        <v>1364</v>
      </c>
      <c r="G949" s="42"/>
      <c r="H949" s="42" t="n">
        <v>51583131.34</v>
      </c>
      <c r="I949" s="44" t="s">
        <v>437</v>
      </c>
      <c r="J949" s="11" t="n">
        <f aca="false">IF(D949="","",N(G949)-N(H949))</f>
        <v>-51583131.34</v>
      </c>
      <c r="K949" s="34" t="str">
        <f aca="false">IF(D949="","",IFERROR(INDEX(I_COA!$C$6:$C$265,MATCH(D949,I_COA!$A$6:$A$265,0)),"AKUN BARU"))</f>
        <v>Neraca</v>
      </c>
      <c r="L949" s="34" t="str">
        <f aca="false">IF(K949="LabaRugi",INDEX(I_COA!$D$6:$D$265,MATCH(D949,I_COA!$A$6:$A$265,0)),"")</f>
        <v/>
      </c>
      <c r="M949" s="34" t="str">
        <f aca="false">IF(K949="Neraca",INDEX(I_COA!$E$6:$E$265,MATCH(D949,I_COA!$A$6:$A$265,0)),"")</f>
        <v>Inventory - Product</v>
      </c>
      <c r="N949" s="34" t="str">
        <f aca="false">IF(D949="","",IFERROR(INDEX(I_COA!$G$6:$G$265,MATCH(D949,I_COA!$A$6:$A$265,0)),"N"))</f>
        <v>N</v>
      </c>
      <c r="O949" s="11" t="n">
        <f aca="false">IF(N949="N",ABS(J949),"")</f>
        <v>51583131.34</v>
      </c>
      <c r="P949" s="18" t="str">
        <f aca="false">IF(N949="N",B949&amp;"|"&amp;ROUND(O949,0),"")</f>
        <v>KGR26/0269|51583131</v>
      </c>
      <c r="Q949" s="18" t="str">
        <f aca="false">IF(N949&lt;&gt;"Y","",IFERROR(INDEX($D$6:$D$4005,MATCH(B949&amp;"|"&amp;ROUND(_xlfn.MAXIFS($O$6:$O$4005,$B$6:$B$4005,B949,$N$6:$N$4005,"N"),0),$P$6:$P$4005,0)),"(tanpa lawan)"))</f>
        <v/>
      </c>
      <c r="R949" s="44"/>
      <c r="S949" s="9" t="str">
        <f aca="false">IF(N949&lt;&gt;"Y","",IF(R949&lt;&gt;"",R949,IF(Q949="(tanpa lawan)","Transfer antar rekening",IFERROR(INDEX(I_COA!$F$6:$F$265,MATCH(Q949,I_COA!$A$6:$A$265,0)),"?"))))</f>
        <v/>
      </c>
    </row>
    <row r="950" customFormat="false" ht="15" hidden="false" customHeight="false" outlineLevel="0" collapsed="false">
      <c r="A950" s="37" t="n">
        <v>46248</v>
      </c>
      <c r="B950" s="44" t="s">
        <v>1365</v>
      </c>
      <c r="C950" s="44" t="s">
        <v>617</v>
      </c>
      <c r="D950" s="44" t="n">
        <v>1103101</v>
      </c>
      <c r="E950" s="44" t="s">
        <v>589</v>
      </c>
      <c r="F950" s="44" t="s">
        <v>1366</v>
      </c>
      <c r="G950" s="42" t="n">
        <v>29998500</v>
      </c>
      <c r="H950" s="42"/>
      <c r="I950" s="44" t="s">
        <v>1194</v>
      </c>
      <c r="J950" s="11" t="n">
        <f aca="false">IF(D950="","",N(G950)-N(H950))</f>
        <v>29998500</v>
      </c>
      <c r="K950" s="34" t="str">
        <f aca="false">IF(D950="","",IFERROR(INDEX(I_COA!$C$6:$C$265,MATCH(D950,I_COA!$A$6:$A$265,0)),"AKUN BARU"))</f>
        <v>Neraca</v>
      </c>
      <c r="L950" s="34" t="str">
        <f aca="false">IF(K950="LabaRugi",INDEX(I_COA!$D$6:$D$265,MATCH(D950,I_COA!$A$6:$A$265,0)),"")</f>
        <v/>
      </c>
      <c r="M950" s="34" t="str">
        <f aca="false">IF(K950="Neraca",INDEX(I_COA!$E$6:$E$265,MATCH(D950,I_COA!$A$6:$A$265,0)),"")</f>
        <v>Trade Receivables - Third Parties</v>
      </c>
      <c r="N950" s="34" t="str">
        <f aca="false">IF(D950="","",IFERROR(INDEX(I_COA!$G$6:$G$265,MATCH(D950,I_COA!$A$6:$A$265,0)),"N"))</f>
        <v>N</v>
      </c>
      <c r="O950" s="11" t="n">
        <f aca="false">IF(N950="N",ABS(J950),"")</f>
        <v>29998500</v>
      </c>
      <c r="P950" s="18" t="str">
        <f aca="false">IF(N950="N",B950&amp;"|"&amp;ROUND(O950,0),"")</f>
        <v>KGR26/0270|29998500</v>
      </c>
      <c r="Q950" s="18" t="str">
        <f aca="false">IF(N950&lt;&gt;"Y","",IFERROR(INDEX($D$6:$D$4005,MATCH(B950&amp;"|"&amp;ROUND(_xlfn.MAXIFS($O$6:$O$4005,$B$6:$B$4005,B950,$N$6:$N$4005,"N"),0),$P$6:$P$4005,0)),"(tanpa lawan)"))</f>
        <v/>
      </c>
      <c r="R950" s="44"/>
      <c r="S950" s="9" t="str">
        <f aca="false">IF(N950&lt;&gt;"Y","",IF(R950&lt;&gt;"",R950,IF(Q950="(tanpa lawan)","Transfer antar rekening",IFERROR(INDEX(I_COA!$F$6:$F$265,MATCH(Q950,I_COA!$A$6:$A$265,0)),"?"))))</f>
        <v/>
      </c>
    </row>
    <row r="951" customFormat="false" ht="15" hidden="false" customHeight="false" outlineLevel="0" collapsed="false">
      <c r="A951" s="37" t="n">
        <v>46248</v>
      </c>
      <c r="B951" s="44" t="s">
        <v>1365</v>
      </c>
      <c r="C951" s="44" t="s">
        <v>617</v>
      </c>
      <c r="D951" s="44" t="n">
        <v>4101010</v>
      </c>
      <c r="E951" s="44" t="s">
        <v>1284</v>
      </c>
      <c r="F951" s="44" t="s">
        <v>1366</v>
      </c>
      <c r="G951" s="42"/>
      <c r="H951" s="42" t="n">
        <v>29998500</v>
      </c>
      <c r="I951" s="44" t="s">
        <v>1194</v>
      </c>
      <c r="J951" s="11" t="n">
        <f aca="false">IF(D951="","",N(G951)-N(H951))</f>
        <v>-29998500</v>
      </c>
      <c r="K951" s="34" t="str">
        <f aca="false">IF(D951="","",IFERROR(INDEX(I_COA!$C$6:$C$265,MATCH(D951,I_COA!$A$6:$A$265,0)),"AKUN BARU"))</f>
        <v>LabaRugi</v>
      </c>
      <c r="L951" s="34" t="str">
        <f aca="false">IF(K951="LabaRugi",INDEX(I_COA!$D$6:$D$265,MATCH(D951,I_COA!$A$6:$A$265,0)),"")</f>
        <v>Revenue - LB Main Product</v>
      </c>
      <c r="M951" s="34" t="str">
        <f aca="false">IF(K951="Neraca",INDEX(I_COA!$E$6:$E$265,MATCH(D951,I_COA!$A$6:$A$265,0)),"")</f>
        <v/>
      </c>
      <c r="N951" s="34" t="str">
        <f aca="false">IF(D951="","",IFERROR(INDEX(I_COA!$G$6:$G$265,MATCH(D951,I_COA!$A$6:$A$265,0)),"N"))</f>
        <v>N</v>
      </c>
      <c r="O951" s="11" t="n">
        <f aca="false">IF(N951="N",ABS(J951),"")</f>
        <v>29998500</v>
      </c>
      <c r="P951" s="18" t="str">
        <f aca="false">IF(N951="N",B951&amp;"|"&amp;ROUND(O951,0),"")</f>
        <v>KGR26/0270|29998500</v>
      </c>
      <c r="Q951" s="18" t="str">
        <f aca="false">IF(N951&lt;&gt;"Y","",IFERROR(INDEX($D$6:$D$4005,MATCH(B951&amp;"|"&amp;ROUND(_xlfn.MAXIFS($O$6:$O$4005,$B$6:$B$4005,B951,$N$6:$N$4005,"N"),0),$P$6:$P$4005,0)),"(tanpa lawan)"))</f>
        <v/>
      </c>
      <c r="R951" s="44"/>
      <c r="S951" s="9" t="str">
        <f aca="false">IF(N951&lt;&gt;"Y","",IF(R951&lt;&gt;"",R951,IF(Q951="(tanpa lawan)","Transfer antar rekening",IFERROR(INDEX(I_COA!$F$6:$F$265,MATCH(Q951,I_COA!$A$6:$A$265,0)),"?"))))</f>
        <v/>
      </c>
    </row>
    <row r="952" customFormat="false" ht="15" hidden="false" customHeight="false" outlineLevel="0" collapsed="false">
      <c r="A952" s="37" t="n">
        <v>46248</v>
      </c>
      <c r="B952" s="44" t="s">
        <v>1365</v>
      </c>
      <c r="C952" s="44" t="s">
        <v>617</v>
      </c>
      <c r="D952" s="44" t="n">
        <v>5100004</v>
      </c>
      <c r="E952" s="44" t="s">
        <v>627</v>
      </c>
      <c r="F952" s="44" t="s">
        <v>1366</v>
      </c>
      <c r="G952" s="42" t="n">
        <v>27041645.48</v>
      </c>
      <c r="H952" s="42"/>
      <c r="I952" s="44" t="s">
        <v>1194</v>
      </c>
      <c r="J952" s="11" t="n">
        <f aca="false">IF(D952="","",N(G952)-N(H952))</f>
        <v>27041645.48</v>
      </c>
      <c r="K952" s="34" t="str">
        <f aca="false">IF(D952="","",IFERROR(INDEX(I_COA!$C$6:$C$265,MATCH(D952,I_COA!$A$6:$A$265,0)),"AKUN BARU"))</f>
        <v>LabaRugi</v>
      </c>
      <c r="L952" s="34" t="str">
        <f aca="false">IF(K952="LabaRugi",INDEX(I_COA!$D$6:$D$265,MATCH(D952,I_COA!$A$6:$A$265,0)),"")</f>
        <v>COGS - Live Bird</v>
      </c>
      <c r="M952" s="34" t="str">
        <f aca="false">IF(K952="Neraca",INDEX(I_COA!$E$6:$E$265,MATCH(D952,I_COA!$A$6:$A$265,0)),"")</f>
        <v/>
      </c>
      <c r="N952" s="34" t="str">
        <f aca="false">IF(D952="","",IFERROR(INDEX(I_COA!$G$6:$G$265,MATCH(D952,I_COA!$A$6:$A$265,0)),"N"))</f>
        <v>N</v>
      </c>
      <c r="O952" s="11" t="n">
        <f aca="false">IF(N952="N",ABS(J952),"")</f>
        <v>27041645.48</v>
      </c>
      <c r="P952" s="18" t="str">
        <f aca="false">IF(N952="N",B952&amp;"|"&amp;ROUND(O952,0),"")</f>
        <v>KGR26/0270|27041645</v>
      </c>
      <c r="Q952" s="18" t="str">
        <f aca="false">IF(N952&lt;&gt;"Y","",IFERROR(INDEX($D$6:$D$4005,MATCH(B952&amp;"|"&amp;ROUND(_xlfn.MAXIFS($O$6:$O$4005,$B$6:$B$4005,B952,$N$6:$N$4005,"N"),0),$P$6:$P$4005,0)),"(tanpa lawan)"))</f>
        <v/>
      </c>
      <c r="R952" s="44"/>
      <c r="S952" s="9" t="str">
        <f aca="false">IF(N952&lt;&gt;"Y","",IF(R952&lt;&gt;"",R952,IF(Q952="(tanpa lawan)","Transfer antar rekening",IFERROR(INDEX(I_COA!$F$6:$F$265,MATCH(Q952,I_COA!$A$6:$A$265,0)),"?"))))</f>
        <v/>
      </c>
    </row>
    <row r="953" customFormat="false" ht="15" hidden="false" customHeight="false" outlineLevel="0" collapsed="false">
      <c r="A953" s="37" t="n">
        <v>46248</v>
      </c>
      <c r="B953" s="44" t="s">
        <v>1365</v>
      </c>
      <c r="C953" s="44" t="s">
        <v>617</v>
      </c>
      <c r="D953" s="44" t="n">
        <v>1104002</v>
      </c>
      <c r="E953" s="44" t="s">
        <v>601</v>
      </c>
      <c r="F953" s="44" t="s">
        <v>1366</v>
      </c>
      <c r="G953" s="42"/>
      <c r="H953" s="42" t="n">
        <v>27041645.48</v>
      </c>
      <c r="I953" s="44" t="s">
        <v>1194</v>
      </c>
      <c r="J953" s="11" t="n">
        <f aca="false">IF(D953="","",N(G953)-N(H953))</f>
        <v>-27041645.48</v>
      </c>
      <c r="K953" s="34" t="str">
        <f aca="false">IF(D953="","",IFERROR(INDEX(I_COA!$C$6:$C$265,MATCH(D953,I_COA!$A$6:$A$265,0)),"AKUN BARU"))</f>
        <v>Neraca</v>
      </c>
      <c r="L953" s="34" t="str">
        <f aca="false">IF(K953="LabaRugi",INDEX(I_COA!$D$6:$D$265,MATCH(D953,I_COA!$A$6:$A$265,0)),"")</f>
        <v/>
      </c>
      <c r="M953" s="34" t="str">
        <f aca="false">IF(K953="Neraca",INDEX(I_COA!$E$6:$E$265,MATCH(D953,I_COA!$A$6:$A$265,0)),"")</f>
        <v>Inventory - Product</v>
      </c>
      <c r="N953" s="34" t="str">
        <f aca="false">IF(D953="","",IFERROR(INDEX(I_COA!$G$6:$G$265,MATCH(D953,I_COA!$A$6:$A$265,0)),"N"))</f>
        <v>N</v>
      </c>
      <c r="O953" s="11" t="n">
        <f aca="false">IF(N953="N",ABS(J953),"")</f>
        <v>27041645.48</v>
      </c>
      <c r="P953" s="18" t="str">
        <f aca="false">IF(N953="N",B953&amp;"|"&amp;ROUND(O953,0),"")</f>
        <v>KGR26/0270|27041645</v>
      </c>
      <c r="Q953" s="18" t="str">
        <f aca="false">IF(N953&lt;&gt;"Y","",IFERROR(INDEX($D$6:$D$4005,MATCH(B953&amp;"|"&amp;ROUND(_xlfn.MAXIFS($O$6:$O$4005,$B$6:$B$4005,B953,$N$6:$N$4005,"N"),0),$P$6:$P$4005,0)),"(tanpa lawan)"))</f>
        <v/>
      </c>
      <c r="R953" s="44"/>
      <c r="S953" s="9" t="str">
        <f aca="false">IF(N953&lt;&gt;"Y","",IF(R953&lt;&gt;"",R953,IF(Q953="(tanpa lawan)","Transfer antar rekening",IFERROR(INDEX(I_COA!$F$6:$F$265,MATCH(Q953,I_COA!$A$6:$A$265,0)),"?"))))</f>
        <v/>
      </c>
    </row>
    <row r="954" customFormat="false" ht="15" hidden="false" customHeight="false" outlineLevel="0" collapsed="false">
      <c r="A954" s="37" t="n">
        <v>46248</v>
      </c>
      <c r="B954" s="44" t="s">
        <v>1367</v>
      </c>
      <c r="C954" s="44" t="s">
        <v>617</v>
      </c>
      <c r="D954" s="44" t="n">
        <v>1103101</v>
      </c>
      <c r="E954" s="44" t="s">
        <v>589</v>
      </c>
      <c r="F954" s="44" t="s">
        <v>1368</v>
      </c>
      <c r="G954" s="42" t="n">
        <v>67702500</v>
      </c>
      <c r="H954" s="42"/>
      <c r="I954" s="44" t="s">
        <v>592</v>
      </c>
      <c r="J954" s="11" t="n">
        <f aca="false">IF(D954="","",N(G954)-N(H954))</f>
        <v>67702500</v>
      </c>
      <c r="K954" s="34" t="str">
        <f aca="false">IF(D954="","",IFERROR(INDEX(I_COA!$C$6:$C$265,MATCH(D954,I_COA!$A$6:$A$265,0)),"AKUN BARU"))</f>
        <v>Neraca</v>
      </c>
      <c r="L954" s="34" t="str">
        <f aca="false">IF(K954="LabaRugi",INDEX(I_COA!$D$6:$D$265,MATCH(D954,I_COA!$A$6:$A$265,0)),"")</f>
        <v/>
      </c>
      <c r="M954" s="34" t="str">
        <f aca="false">IF(K954="Neraca",INDEX(I_COA!$E$6:$E$265,MATCH(D954,I_COA!$A$6:$A$265,0)),"")</f>
        <v>Trade Receivables - Third Parties</v>
      </c>
      <c r="N954" s="34" t="str">
        <f aca="false">IF(D954="","",IFERROR(INDEX(I_COA!$G$6:$G$265,MATCH(D954,I_COA!$A$6:$A$265,0)),"N"))</f>
        <v>N</v>
      </c>
      <c r="O954" s="11" t="n">
        <f aca="false">IF(N954="N",ABS(J954),"")</f>
        <v>67702500</v>
      </c>
      <c r="P954" s="18" t="str">
        <f aca="false">IF(N954="N",B954&amp;"|"&amp;ROUND(O954,0),"")</f>
        <v>KGR26/0271|67702500</v>
      </c>
      <c r="Q954" s="18" t="str">
        <f aca="false">IF(N954&lt;&gt;"Y","",IFERROR(INDEX($D$6:$D$4005,MATCH(B954&amp;"|"&amp;ROUND(_xlfn.MAXIFS($O$6:$O$4005,$B$6:$B$4005,B954,$N$6:$N$4005,"N"),0),$P$6:$P$4005,0)),"(tanpa lawan)"))</f>
        <v/>
      </c>
      <c r="R954" s="44"/>
      <c r="S954" s="9" t="str">
        <f aca="false">IF(N954&lt;&gt;"Y","",IF(R954&lt;&gt;"",R954,IF(Q954="(tanpa lawan)","Transfer antar rekening",IFERROR(INDEX(I_COA!$F$6:$F$265,MATCH(Q954,I_COA!$A$6:$A$265,0)),"?"))))</f>
        <v/>
      </c>
    </row>
    <row r="955" customFormat="false" ht="15" hidden="false" customHeight="false" outlineLevel="0" collapsed="false">
      <c r="A955" s="37" t="n">
        <v>46248</v>
      </c>
      <c r="B955" s="44" t="s">
        <v>1367</v>
      </c>
      <c r="C955" s="44" t="s">
        <v>617</v>
      </c>
      <c r="D955" s="44" t="n">
        <v>4101012</v>
      </c>
      <c r="E955" s="44" t="s">
        <v>619</v>
      </c>
      <c r="F955" s="44" t="s">
        <v>1368</v>
      </c>
      <c r="G955" s="42"/>
      <c r="H955" s="42" t="n">
        <v>67702500</v>
      </c>
      <c r="I955" s="44" t="s">
        <v>592</v>
      </c>
      <c r="J955" s="11" t="n">
        <f aca="false">IF(D955="","",N(G955)-N(H955))</f>
        <v>-67702500</v>
      </c>
      <c r="K955" s="34" t="str">
        <f aca="false">IF(D955="","",IFERROR(INDEX(I_COA!$C$6:$C$265,MATCH(D955,I_COA!$A$6:$A$265,0)),"AKUN BARU"))</f>
        <v>LabaRugi</v>
      </c>
      <c r="L955" s="34" t="str">
        <f aca="false">IF(K955="LabaRugi",INDEX(I_COA!$D$6:$D$265,MATCH(D955,I_COA!$A$6:$A$265,0)),"")</f>
        <v>Revenue - Trading</v>
      </c>
      <c r="M955" s="34" t="str">
        <f aca="false">IF(K955="Neraca",INDEX(I_COA!$E$6:$E$265,MATCH(D955,I_COA!$A$6:$A$265,0)),"")</f>
        <v/>
      </c>
      <c r="N955" s="34" t="str">
        <f aca="false">IF(D955="","",IFERROR(INDEX(I_COA!$G$6:$G$265,MATCH(D955,I_COA!$A$6:$A$265,0)),"N"))</f>
        <v>N</v>
      </c>
      <c r="O955" s="11" t="n">
        <f aca="false">IF(N955="N",ABS(J955),"")</f>
        <v>67702500</v>
      </c>
      <c r="P955" s="18" t="str">
        <f aca="false">IF(N955="N",B955&amp;"|"&amp;ROUND(O955,0),"")</f>
        <v>KGR26/0271|67702500</v>
      </c>
      <c r="Q955" s="18" t="str">
        <f aca="false">IF(N955&lt;&gt;"Y","",IFERROR(INDEX($D$6:$D$4005,MATCH(B955&amp;"|"&amp;ROUND(_xlfn.MAXIFS($O$6:$O$4005,$B$6:$B$4005,B955,$N$6:$N$4005,"N"),0),$P$6:$P$4005,0)),"(tanpa lawan)"))</f>
        <v/>
      </c>
      <c r="R955" s="44"/>
      <c r="S955" s="9" t="str">
        <f aca="false">IF(N955&lt;&gt;"Y","",IF(R955&lt;&gt;"",R955,IF(Q955="(tanpa lawan)","Transfer antar rekening",IFERROR(INDEX(I_COA!$F$6:$F$265,MATCH(Q955,I_COA!$A$6:$A$265,0)),"?"))))</f>
        <v/>
      </c>
    </row>
    <row r="956" customFormat="false" ht="15" hidden="false" customHeight="false" outlineLevel="0" collapsed="false">
      <c r="A956" s="37" t="n">
        <v>46248</v>
      </c>
      <c r="B956" s="44" t="s">
        <v>1367</v>
      </c>
      <c r="C956" s="44" t="s">
        <v>617</v>
      </c>
      <c r="D956" s="44" t="n">
        <v>5100011</v>
      </c>
      <c r="E956" s="44" t="s">
        <v>166</v>
      </c>
      <c r="F956" s="44" t="s">
        <v>1368</v>
      </c>
      <c r="G956" s="42" t="n">
        <v>51569420.63</v>
      </c>
      <c r="H956" s="42"/>
      <c r="I956" s="44" t="s">
        <v>592</v>
      </c>
      <c r="J956" s="11" t="n">
        <f aca="false">IF(D956="","",N(G956)-N(H956))</f>
        <v>51569420.63</v>
      </c>
      <c r="K956" s="34" t="str">
        <f aca="false">IF(D956="","",IFERROR(INDEX(I_COA!$C$6:$C$265,MATCH(D956,I_COA!$A$6:$A$265,0)),"AKUN BARU"))</f>
        <v>LabaRugi</v>
      </c>
      <c r="L956" s="34" t="str">
        <f aca="false">IF(K956="LabaRugi",INDEX(I_COA!$D$6:$D$265,MATCH(D956,I_COA!$A$6:$A$265,0)),"")</f>
        <v>COGS - Trading</v>
      </c>
      <c r="M956" s="34" t="str">
        <f aca="false">IF(K956="Neraca",INDEX(I_COA!$E$6:$E$265,MATCH(D956,I_COA!$A$6:$A$265,0)),"")</f>
        <v/>
      </c>
      <c r="N956" s="34" t="str">
        <f aca="false">IF(D956="","",IFERROR(INDEX(I_COA!$G$6:$G$265,MATCH(D956,I_COA!$A$6:$A$265,0)),"N"))</f>
        <v>N</v>
      </c>
      <c r="O956" s="11" t="n">
        <f aca="false">IF(N956="N",ABS(J956),"")</f>
        <v>51569420.63</v>
      </c>
      <c r="P956" s="18" t="str">
        <f aca="false">IF(N956="N",B956&amp;"|"&amp;ROUND(O956,0),"")</f>
        <v>KGR26/0271|51569421</v>
      </c>
      <c r="Q956" s="18" t="str">
        <f aca="false">IF(N956&lt;&gt;"Y","",IFERROR(INDEX($D$6:$D$4005,MATCH(B956&amp;"|"&amp;ROUND(_xlfn.MAXIFS($O$6:$O$4005,$B$6:$B$4005,B956,$N$6:$N$4005,"N"),0),$P$6:$P$4005,0)),"(tanpa lawan)"))</f>
        <v/>
      </c>
      <c r="R956" s="44"/>
      <c r="S956" s="9" t="str">
        <f aca="false">IF(N956&lt;&gt;"Y","",IF(R956&lt;&gt;"",R956,IF(Q956="(tanpa lawan)","Transfer antar rekening",IFERROR(INDEX(I_COA!$F$6:$F$265,MATCH(Q956,I_COA!$A$6:$A$265,0)),"?"))))</f>
        <v/>
      </c>
    </row>
    <row r="957" customFormat="false" ht="15" hidden="false" customHeight="false" outlineLevel="0" collapsed="false">
      <c r="A957" s="37" t="n">
        <v>46248</v>
      </c>
      <c r="B957" s="44" t="s">
        <v>1367</v>
      </c>
      <c r="C957" s="44" t="s">
        <v>617</v>
      </c>
      <c r="D957" s="44" t="n">
        <v>1104002</v>
      </c>
      <c r="E957" s="44" t="s">
        <v>601</v>
      </c>
      <c r="F957" s="44" t="s">
        <v>1368</v>
      </c>
      <c r="G957" s="42"/>
      <c r="H957" s="42" t="n">
        <v>51569420.63</v>
      </c>
      <c r="I957" s="44" t="s">
        <v>592</v>
      </c>
      <c r="J957" s="11" t="n">
        <f aca="false">IF(D957="","",N(G957)-N(H957))</f>
        <v>-51569420.63</v>
      </c>
      <c r="K957" s="34" t="str">
        <f aca="false">IF(D957="","",IFERROR(INDEX(I_COA!$C$6:$C$265,MATCH(D957,I_COA!$A$6:$A$265,0)),"AKUN BARU"))</f>
        <v>Neraca</v>
      </c>
      <c r="L957" s="34" t="str">
        <f aca="false">IF(K957="LabaRugi",INDEX(I_COA!$D$6:$D$265,MATCH(D957,I_COA!$A$6:$A$265,0)),"")</f>
        <v/>
      </c>
      <c r="M957" s="34" t="str">
        <f aca="false">IF(K957="Neraca",INDEX(I_COA!$E$6:$E$265,MATCH(D957,I_COA!$A$6:$A$265,0)),"")</f>
        <v>Inventory - Product</v>
      </c>
      <c r="N957" s="34" t="str">
        <f aca="false">IF(D957="","",IFERROR(INDEX(I_COA!$G$6:$G$265,MATCH(D957,I_COA!$A$6:$A$265,0)),"N"))</f>
        <v>N</v>
      </c>
      <c r="O957" s="11" t="n">
        <f aca="false">IF(N957="N",ABS(J957),"")</f>
        <v>51569420.63</v>
      </c>
      <c r="P957" s="18" t="str">
        <f aca="false">IF(N957="N",B957&amp;"|"&amp;ROUND(O957,0),"")</f>
        <v>KGR26/0271|51569421</v>
      </c>
      <c r="Q957" s="18" t="str">
        <f aca="false">IF(N957&lt;&gt;"Y","",IFERROR(INDEX($D$6:$D$4005,MATCH(B957&amp;"|"&amp;ROUND(_xlfn.MAXIFS($O$6:$O$4005,$B$6:$B$4005,B957,$N$6:$N$4005,"N"),0),$P$6:$P$4005,0)),"(tanpa lawan)"))</f>
        <v/>
      </c>
      <c r="R957" s="44"/>
      <c r="S957" s="9" t="str">
        <f aca="false">IF(N957&lt;&gt;"Y","",IF(R957&lt;&gt;"",R957,IF(Q957="(tanpa lawan)","Transfer antar rekening",IFERROR(INDEX(I_COA!$F$6:$F$265,MATCH(Q957,I_COA!$A$6:$A$265,0)),"?"))))</f>
        <v/>
      </c>
    </row>
    <row r="958" customFormat="false" ht="15" hidden="false" customHeight="false" outlineLevel="0" collapsed="false">
      <c r="A958" s="37" t="n">
        <v>46248</v>
      </c>
      <c r="B958" s="44" t="s">
        <v>1369</v>
      </c>
      <c r="C958" s="44" t="s">
        <v>580</v>
      </c>
      <c r="D958" s="44" t="n">
        <v>1103123</v>
      </c>
      <c r="E958" s="44" t="s">
        <v>1288</v>
      </c>
      <c r="F958" s="44" t="s">
        <v>1370</v>
      </c>
      <c r="G958" s="42" t="n">
        <v>252670475</v>
      </c>
      <c r="H958" s="42"/>
      <c r="I958" s="44" t="s">
        <v>457</v>
      </c>
      <c r="J958" s="11" t="n">
        <f aca="false">IF(D958="","",N(G958)-N(H958))</f>
        <v>252670475</v>
      </c>
      <c r="K958" s="34" t="str">
        <f aca="false">IF(D958="","",IFERROR(INDEX(I_COA!$C$6:$C$265,MATCH(D958,I_COA!$A$6:$A$265,0)),"AKUN BARU"))</f>
        <v>Neraca</v>
      </c>
      <c r="L958" s="34" t="str">
        <f aca="false">IF(K958="LabaRugi",INDEX(I_COA!$D$6:$D$265,MATCH(D958,I_COA!$A$6:$A$265,0)),"")</f>
        <v/>
      </c>
      <c r="M958" s="34" t="str">
        <f aca="false">IF(K958="Neraca",INDEX(I_COA!$E$6:$E$265,MATCH(D958,I_COA!$A$6:$A$265,0)),"")</f>
        <v>Trade Receivables - Third Parties</v>
      </c>
      <c r="N958" s="34" t="str">
        <f aca="false">IF(D958="","",IFERROR(INDEX(I_COA!$G$6:$G$265,MATCH(D958,I_COA!$A$6:$A$265,0)),"N"))</f>
        <v>N</v>
      </c>
      <c r="O958" s="11" t="n">
        <f aca="false">IF(N958="N",ABS(J958),"")</f>
        <v>252670475</v>
      </c>
      <c r="P958" s="18" t="str">
        <f aca="false">IF(N958="N",B958&amp;"|"&amp;ROUND(O958,0),"")</f>
        <v>MJ26080017|252670475</v>
      </c>
      <c r="Q958" s="18" t="str">
        <f aca="false">IF(N958&lt;&gt;"Y","",IFERROR(INDEX($D$6:$D$4005,MATCH(B958&amp;"|"&amp;ROUND(_xlfn.MAXIFS($O$6:$O$4005,$B$6:$B$4005,B958,$N$6:$N$4005,"N"),0),$P$6:$P$4005,0)),"(tanpa lawan)"))</f>
        <v/>
      </c>
      <c r="R958" s="44"/>
      <c r="S958" s="9" t="str">
        <f aca="false">IF(N958&lt;&gt;"Y","",IF(R958&lt;&gt;"",R958,IF(Q958="(tanpa lawan)","Transfer antar rekening",IFERROR(INDEX(I_COA!$F$6:$F$265,MATCH(Q958,I_COA!$A$6:$A$265,0)),"?"))))</f>
        <v/>
      </c>
    </row>
    <row r="959" customFormat="false" ht="15" hidden="false" customHeight="false" outlineLevel="0" collapsed="false">
      <c r="A959" s="37" t="n">
        <v>46248</v>
      </c>
      <c r="B959" s="44" t="s">
        <v>1369</v>
      </c>
      <c r="C959" s="44" t="s">
        <v>580</v>
      </c>
      <c r="D959" s="44" t="n">
        <v>4101013</v>
      </c>
      <c r="E959" s="44" t="s">
        <v>1290</v>
      </c>
      <c r="F959" s="44" t="s">
        <v>1370</v>
      </c>
      <c r="G959" s="42"/>
      <c r="H959" s="42" t="n">
        <v>252670475</v>
      </c>
      <c r="I959" s="44"/>
      <c r="J959" s="11" t="n">
        <f aca="false">IF(D959="","",N(G959)-N(H959))</f>
        <v>-252670475</v>
      </c>
      <c r="K959" s="34" t="str">
        <f aca="false">IF(D959="","",IFERROR(INDEX(I_COA!$C$6:$C$265,MATCH(D959,I_COA!$A$6:$A$265,0)),"AKUN BARU"))</f>
        <v>LabaRugi</v>
      </c>
      <c r="L959" s="34" t="str">
        <f aca="false">IF(K959="LabaRugi",INDEX(I_COA!$D$6:$D$265,MATCH(D959,I_COA!$A$6:$A$265,0)),"")</f>
        <v>Revenue - LB Main Product</v>
      </c>
      <c r="M959" s="34" t="str">
        <f aca="false">IF(K959="Neraca",INDEX(I_COA!$E$6:$E$265,MATCH(D959,I_COA!$A$6:$A$265,0)),"")</f>
        <v/>
      </c>
      <c r="N959" s="34" t="str">
        <f aca="false">IF(D959="","",IFERROR(INDEX(I_COA!$G$6:$G$265,MATCH(D959,I_COA!$A$6:$A$265,0)),"N"))</f>
        <v>N</v>
      </c>
      <c r="O959" s="11" t="n">
        <f aca="false">IF(N959="N",ABS(J959),"")</f>
        <v>252670475</v>
      </c>
      <c r="P959" s="18" t="str">
        <f aca="false">IF(N959="N",B959&amp;"|"&amp;ROUND(O959,0),"")</f>
        <v>MJ26080017|252670475</v>
      </c>
      <c r="Q959" s="18" t="str">
        <f aca="false">IF(N959&lt;&gt;"Y","",IFERROR(INDEX($D$6:$D$4005,MATCH(B959&amp;"|"&amp;ROUND(_xlfn.MAXIFS($O$6:$O$4005,$B$6:$B$4005,B959,$N$6:$N$4005,"N"),0),$P$6:$P$4005,0)),"(tanpa lawan)"))</f>
        <v/>
      </c>
      <c r="R959" s="44"/>
      <c r="S959" s="9" t="str">
        <f aca="false">IF(N959&lt;&gt;"Y","",IF(R959&lt;&gt;"",R959,IF(Q959="(tanpa lawan)","Transfer antar rekening",IFERROR(INDEX(I_COA!$F$6:$F$265,MATCH(Q959,I_COA!$A$6:$A$265,0)),"?"))))</f>
        <v/>
      </c>
    </row>
    <row r="960" customFormat="false" ht="15" hidden="false" customHeight="false" outlineLevel="0" collapsed="false">
      <c r="A960" s="37" t="n">
        <v>46248</v>
      </c>
      <c r="B960" s="44" t="s">
        <v>1369</v>
      </c>
      <c r="C960" s="44" t="s">
        <v>580</v>
      </c>
      <c r="D960" s="44" t="n">
        <v>5100004</v>
      </c>
      <c r="E960" s="44" t="s">
        <v>627</v>
      </c>
      <c r="F960" s="44" t="s">
        <v>1370</v>
      </c>
      <c r="G960" s="42" t="n">
        <v>254034723</v>
      </c>
      <c r="H960" s="42"/>
      <c r="I960" s="44"/>
      <c r="J960" s="11" t="n">
        <f aca="false">IF(D960="","",N(G960)-N(H960))</f>
        <v>254034723</v>
      </c>
      <c r="K960" s="34" t="str">
        <f aca="false">IF(D960="","",IFERROR(INDEX(I_COA!$C$6:$C$265,MATCH(D960,I_COA!$A$6:$A$265,0)),"AKUN BARU"))</f>
        <v>LabaRugi</v>
      </c>
      <c r="L960" s="34" t="str">
        <f aca="false">IF(K960="LabaRugi",INDEX(I_COA!$D$6:$D$265,MATCH(D960,I_COA!$A$6:$A$265,0)),"")</f>
        <v>COGS - Live Bird</v>
      </c>
      <c r="M960" s="34" t="str">
        <f aca="false">IF(K960="Neraca",INDEX(I_COA!$E$6:$E$265,MATCH(D960,I_COA!$A$6:$A$265,0)),"")</f>
        <v/>
      </c>
      <c r="N960" s="34" t="str">
        <f aca="false">IF(D960="","",IFERROR(INDEX(I_COA!$G$6:$G$265,MATCH(D960,I_COA!$A$6:$A$265,0)),"N"))</f>
        <v>N</v>
      </c>
      <c r="O960" s="11" t="n">
        <f aca="false">IF(N960="N",ABS(J960),"")</f>
        <v>254034723</v>
      </c>
      <c r="P960" s="18" t="str">
        <f aca="false">IF(N960="N",B960&amp;"|"&amp;ROUND(O960,0),"")</f>
        <v>MJ26080017|254034723</v>
      </c>
      <c r="Q960" s="18" t="str">
        <f aca="false">IF(N960&lt;&gt;"Y","",IFERROR(INDEX($D$6:$D$4005,MATCH(B960&amp;"|"&amp;ROUND(_xlfn.MAXIFS($O$6:$O$4005,$B$6:$B$4005,B960,$N$6:$N$4005,"N"),0),$P$6:$P$4005,0)),"(tanpa lawan)"))</f>
        <v/>
      </c>
      <c r="R960" s="44"/>
      <c r="S960" s="9" t="str">
        <f aca="false">IF(N960&lt;&gt;"Y","",IF(R960&lt;&gt;"",R960,IF(Q960="(tanpa lawan)","Transfer antar rekening",IFERROR(INDEX(I_COA!$F$6:$F$265,MATCH(Q960,I_COA!$A$6:$A$265,0)),"?"))))</f>
        <v/>
      </c>
    </row>
    <row r="961" customFormat="false" ht="15" hidden="false" customHeight="false" outlineLevel="0" collapsed="false">
      <c r="A961" s="37" t="n">
        <v>46248</v>
      </c>
      <c r="B961" s="44" t="s">
        <v>1369</v>
      </c>
      <c r="C961" s="44" t="s">
        <v>580</v>
      </c>
      <c r="D961" s="44" t="n">
        <v>1104003</v>
      </c>
      <c r="E961" s="44" t="s">
        <v>613</v>
      </c>
      <c r="F961" s="44" t="s">
        <v>1370</v>
      </c>
      <c r="G961" s="42"/>
      <c r="H961" s="42" t="n">
        <v>254034723</v>
      </c>
      <c r="I961" s="44"/>
      <c r="J961" s="11" t="n">
        <f aca="false">IF(D961="","",N(G961)-N(H961))</f>
        <v>-254034723</v>
      </c>
      <c r="K961" s="34" t="str">
        <f aca="false">IF(D961="","",IFERROR(INDEX(I_COA!$C$6:$C$265,MATCH(D961,I_COA!$A$6:$A$265,0)),"AKUN BARU"))</f>
        <v>Neraca</v>
      </c>
      <c r="L961" s="34" t="str">
        <f aca="false">IF(K961="LabaRugi",INDEX(I_COA!$D$6:$D$265,MATCH(D961,I_COA!$A$6:$A$265,0)),"")</f>
        <v/>
      </c>
      <c r="M961" s="34" t="str">
        <f aca="false">IF(K961="Neraca",INDEX(I_COA!$E$6:$E$265,MATCH(D961,I_COA!$A$6:$A$265,0)),"")</f>
        <v>Inventory - Product</v>
      </c>
      <c r="N961" s="34" t="str">
        <f aca="false">IF(D961="","",IFERROR(INDEX(I_COA!$G$6:$G$265,MATCH(D961,I_COA!$A$6:$A$265,0)),"N"))</f>
        <v>N</v>
      </c>
      <c r="O961" s="11" t="n">
        <f aca="false">IF(N961="N",ABS(J961),"")</f>
        <v>254034723</v>
      </c>
      <c r="P961" s="18" t="str">
        <f aca="false">IF(N961="N",B961&amp;"|"&amp;ROUND(O961,0),"")</f>
        <v>MJ26080017|254034723</v>
      </c>
      <c r="Q961" s="18" t="str">
        <f aca="false">IF(N961&lt;&gt;"Y","",IFERROR(INDEX($D$6:$D$4005,MATCH(B961&amp;"|"&amp;ROUND(_xlfn.MAXIFS($O$6:$O$4005,$B$6:$B$4005,B961,$N$6:$N$4005,"N"),0),$P$6:$P$4005,0)),"(tanpa lawan)"))</f>
        <v/>
      </c>
      <c r="R961" s="44"/>
      <c r="S961" s="9" t="str">
        <f aca="false">IF(N961&lt;&gt;"Y","",IF(R961&lt;&gt;"",R961,IF(Q961="(tanpa lawan)","Transfer antar rekening",IFERROR(INDEX(I_COA!$F$6:$F$265,MATCH(Q961,I_COA!$A$6:$A$265,0)),"?"))))</f>
        <v/>
      </c>
    </row>
    <row r="962" customFormat="false" ht="15" hidden="false" customHeight="false" outlineLevel="0" collapsed="false">
      <c r="A962" s="37" t="n">
        <v>46248</v>
      </c>
      <c r="B962" s="44" t="s">
        <v>1371</v>
      </c>
      <c r="C962" s="44" t="s">
        <v>707</v>
      </c>
      <c r="D962" s="44" t="n">
        <v>6100008</v>
      </c>
      <c r="E962" s="44" t="s">
        <v>1372</v>
      </c>
      <c r="F962" s="44" t="s">
        <v>1373</v>
      </c>
      <c r="G962" s="42" t="n">
        <v>7000000</v>
      </c>
      <c r="H962" s="42"/>
      <c r="I962" s="44" t="s">
        <v>1374</v>
      </c>
      <c r="J962" s="11" t="n">
        <f aca="false">IF(D962="","",N(G962)-N(H962))</f>
        <v>7000000</v>
      </c>
      <c r="K962" s="34" t="str">
        <f aca="false">IF(D962="","",IFERROR(INDEX(I_COA!$C$6:$C$265,MATCH(D962,I_COA!$A$6:$A$265,0)),"AKUN BARU"))</f>
        <v>LabaRugi</v>
      </c>
      <c r="L962" s="34" t="str">
        <f aca="false">IF(K962="LabaRugi",INDEX(I_COA!$D$6:$D$265,MATCH(D962,I_COA!$A$6:$A$265,0)),"")</f>
        <v>Office Transportation expenses</v>
      </c>
      <c r="M962" s="34" t="str">
        <f aca="false">IF(K962="Neraca",INDEX(I_COA!$E$6:$E$265,MATCH(D962,I_COA!$A$6:$A$265,0)),"")</f>
        <v/>
      </c>
      <c r="N962" s="34" t="str">
        <f aca="false">IF(D962="","",IFERROR(INDEX(I_COA!$G$6:$G$265,MATCH(D962,I_COA!$A$6:$A$265,0)),"N"))</f>
        <v>N</v>
      </c>
      <c r="O962" s="11" t="n">
        <f aca="false">IF(N962="N",ABS(J962),"")</f>
        <v>7000000</v>
      </c>
      <c r="P962" s="18" t="str">
        <f aca="false">IF(N962="N",B962&amp;"|"&amp;ROUND(O962,0),"")</f>
        <v>PI26080021|7000000</v>
      </c>
      <c r="Q962" s="18" t="str">
        <f aca="false">IF(N962&lt;&gt;"Y","",IFERROR(INDEX($D$6:$D$4005,MATCH(B962&amp;"|"&amp;ROUND(_xlfn.MAXIFS($O$6:$O$4005,$B$6:$B$4005,B962,$N$6:$N$4005,"N"),0),$P$6:$P$4005,0)),"(tanpa lawan)"))</f>
        <v/>
      </c>
      <c r="R962" s="44"/>
      <c r="S962" s="9" t="str">
        <f aca="false">IF(N962&lt;&gt;"Y","",IF(R962&lt;&gt;"",R962,IF(Q962="(tanpa lawan)","Transfer antar rekening",IFERROR(INDEX(I_COA!$F$6:$F$265,MATCH(Q962,I_COA!$A$6:$A$265,0)),"?"))))</f>
        <v/>
      </c>
    </row>
    <row r="963" customFormat="false" ht="15" hidden="false" customHeight="false" outlineLevel="0" collapsed="false">
      <c r="A963" s="37" t="n">
        <v>46248</v>
      </c>
      <c r="B963" s="44" t="s">
        <v>1371</v>
      </c>
      <c r="C963" s="44" t="s">
        <v>707</v>
      </c>
      <c r="D963" s="44" t="n">
        <v>2102003</v>
      </c>
      <c r="E963" s="44" t="s">
        <v>722</v>
      </c>
      <c r="F963" s="44" t="s">
        <v>1375</v>
      </c>
      <c r="G963" s="42"/>
      <c r="H963" s="42" t="n">
        <v>140000</v>
      </c>
      <c r="I963" s="44" t="s">
        <v>1374</v>
      </c>
      <c r="J963" s="11" t="n">
        <f aca="false">IF(D963="","",N(G963)-N(H963))</f>
        <v>-140000</v>
      </c>
      <c r="K963" s="34" t="str">
        <f aca="false">IF(D963="","",IFERROR(INDEX(I_COA!$C$6:$C$265,MATCH(D963,I_COA!$A$6:$A$265,0)),"AKUN BARU"))</f>
        <v>Neraca</v>
      </c>
      <c r="L963" s="34" t="str">
        <f aca="false">IF(K963="LabaRugi",INDEX(I_COA!$D$6:$D$265,MATCH(D963,I_COA!$A$6:$A$265,0)),"")</f>
        <v/>
      </c>
      <c r="M963" s="34" t="str">
        <f aca="false">IF(K963="Neraca",INDEX(I_COA!$E$6:$E$265,MATCH(D963,I_COA!$A$6:$A$265,0)),"")</f>
        <v>Taxes Payable</v>
      </c>
      <c r="N963" s="34" t="str">
        <f aca="false">IF(D963="","",IFERROR(INDEX(I_COA!$G$6:$G$265,MATCH(D963,I_COA!$A$6:$A$265,0)),"N"))</f>
        <v>N</v>
      </c>
      <c r="O963" s="11" t="n">
        <f aca="false">IF(N963="N",ABS(J963),"")</f>
        <v>140000</v>
      </c>
      <c r="P963" s="18" t="str">
        <f aca="false">IF(N963="N",B963&amp;"|"&amp;ROUND(O963,0),"")</f>
        <v>PI26080021|140000</v>
      </c>
      <c r="Q963" s="18" t="str">
        <f aca="false">IF(N963&lt;&gt;"Y","",IFERROR(INDEX($D$6:$D$4005,MATCH(B963&amp;"|"&amp;ROUND(_xlfn.MAXIFS($O$6:$O$4005,$B$6:$B$4005,B963,$N$6:$N$4005,"N"),0),$P$6:$P$4005,0)),"(tanpa lawan)"))</f>
        <v/>
      </c>
      <c r="R963" s="44"/>
      <c r="S963" s="9" t="str">
        <f aca="false">IF(N963&lt;&gt;"Y","",IF(R963&lt;&gt;"",R963,IF(Q963="(tanpa lawan)","Transfer antar rekening",IFERROR(INDEX(I_COA!$F$6:$F$265,MATCH(Q963,I_COA!$A$6:$A$265,0)),"?"))))</f>
        <v/>
      </c>
    </row>
    <row r="964" customFormat="false" ht="15" hidden="false" customHeight="false" outlineLevel="0" collapsed="false">
      <c r="A964" s="37" t="n">
        <v>46248</v>
      </c>
      <c r="B964" s="44" t="s">
        <v>1371</v>
      </c>
      <c r="C964" s="44" t="s">
        <v>707</v>
      </c>
      <c r="D964" s="44" t="n">
        <v>2101003</v>
      </c>
      <c r="E964" s="44" t="s">
        <v>679</v>
      </c>
      <c r="F964" s="44" t="s">
        <v>1373</v>
      </c>
      <c r="G964" s="42"/>
      <c r="H964" s="42" t="n">
        <v>6860000</v>
      </c>
      <c r="I964" s="44" t="s">
        <v>1374</v>
      </c>
      <c r="J964" s="11" t="n">
        <f aca="false">IF(D964="","",N(G964)-N(H964))</f>
        <v>-6860000</v>
      </c>
      <c r="K964" s="34" t="str">
        <f aca="false">IF(D964="","",IFERROR(INDEX(I_COA!$C$6:$C$265,MATCH(D964,I_COA!$A$6:$A$265,0)),"AKUN BARU"))</f>
        <v>Neraca</v>
      </c>
      <c r="L964" s="34" t="str">
        <f aca="false">IF(K964="LabaRugi",INDEX(I_COA!$D$6:$D$265,MATCH(D964,I_COA!$A$6:$A$265,0)),"")</f>
        <v/>
      </c>
      <c r="M964" s="34" t="str">
        <f aca="false">IF(K964="Neraca",INDEX(I_COA!$E$6:$E$265,MATCH(D964,I_COA!$A$6:$A$265,0)),"")</f>
        <v>Other Payable - Third Parties</v>
      </c>
      <c r="N964" s="34" t="str">
        <f aca="false">IF(D964="","",IFERROR(INDEX(I_COA!$G$6:$G$265,MATCH(D964,I_COA!$A$6:$A$265,0)),"N"))</f>
        <v>N</v>
      </c>
      <c r="O964" s="11" t="n">
        <f aca="false">IF(N964="N",ABS(J964),"")</f>
        <v>6860000</v>
      </c>
      <c r="P964" s="18" t="str">
        <f aca="false">IF(N964="N",B964&amp;"|"&amp;ROUND(O964,0),"")</f>
        <v>PI26080021|6860000</v>
      </c>
      <c r="Q964" s="18" t="str">
        <f aca="false">IF(N964&lt;&gt;"Y","",IFERROR(INDEX($D$6:$D$4005,MATCH(B964&amp;"|"&amp;ROUND(_xlfn.MAXIFS($O$6:$O$4005,$B$6:$B$4005,B964,$N$6:$N$4005,"N"),0),$P$6:$P$4005,0)),"(tanpa lawan)"))</f>
        <v/>
      </c>
      <c r="R964" s="44"/>
      <c r="S964" s="9" t="str">
        <f aca="false">IF(N964&lt;&gt;"Y","",IF(R964&lt;&gt;"",R964,IF(Q964="(tanpa lawan)","Transfer antar rekening",IFERROR(INDEX(I_COA!$F$6:$F$265,MATCH(Q964,I_COA!$A$6:$A$265,0)),"?"))))</f>
        <v/>
      </c>
    </row>
    <row r="965" customFormat="false" ht="15" hidden="false" customHeight="false" outlineLevel="0" collapsed="false">
      <c r="A965" s="37" t="n">
        <v>46248</v>
      </c>
      <c r="B965" s="44" t="s">
        <v>1376</v>
      </c>
      <c r="C965" s="44" t="s">
        <v>707</v>
      </c>
      <c r="D965" s="44" t="n">
        <v>6100006</v>
      </c>
      <c r="E965" s="44" t="s">
        <v>717</v>
      </c>
      <c r="F965" s="44" t="s">
        <v>1377</v>
      </c>
      <c r="G965" s="42" t="n">
        <v>6000000</v>
      </c>
      <c r="H965" s="42"/>
      <c r="I965" s="44" t="s">
        <v>1374</v>
      </c>
      <c r="J965" s="11" t="n">
        <f aca="false">IF(D965="","",N(G965)-N(H965))</f>
        <v>6000000</v>
      </c>
      <c r="K965" s="34" t="str">
        <f aca="false">IF(D965="","",IFERROR(INDEX(I_COA!$C$6:$C$265,MATCH(D965,I_COA!$A$6:$A$265,0)),"AKUN BARU"))</f>
        <v>LabaRugi</v>
      </c>
      <c r="L965" s="34" t="str">
        <f aca="false">IF(K965="LabaRugi",INDEX(I_COA!$D$6:$D$265,MATCH(D965,I_COA!$A$6:$A$265,0)),"")</f>
        <v>Delivery Expenses</v>
      </c>
      <c r="M965" s="34" t="str">
        <f aca="false">IF(K965="Neraca",INDEX(I_COA!$E$6:$E$265,MATCH(D965,I_COA!$A$6:$A$265,0)),"")</f>
        <v/>
      </c>
      <c r="N965" s="34" t="str">
        <f aca="false">IF(D965="","",IFERROR(INDEX(I_COA!$G$6:$G$265,MATCH(D965,I_COA!$A$6:$A$265,0)),"N"))</f>
        <v>N</v>
      </c>
      <c r="O965" s="11" t="n">
        <f aca="false">IF(N965="N",ABS(J965),"")</f>
        <v>6000000</v>
      </c>
      <c r="P965" s="18" t="str">
        <f aca="false">IF(N965="N",B965&amp;"|"&amp;ROUND(O965,0),"")</f>
        <v>PI26080022|6000000</v>
      </c>
      <c r="Q965" s="18" t="str">
        <f aca="false">IF(N965&lt;&gt;"Y","",IFERROR(INDEX($D$6:$D$4005,MATCH(B965&amp;"|"&amp;ROUND(_xlfn.MAXIFS($O$6:$O$4005,$B$6:$B$4005,B965,$N$6:$N$4005,"N"),0),$P$6:$P$4005,0)),"(tanpa lawan)"))</f>
        <v/>
      </c>
      <c r="R965" s="44"/>
      <c r="S965" s="9" t="str">
        <f aca="false">IF(N965&lt;&gt;"Y","",IF(R965&lt;&gt;"",R965,IF(Q965="(tanpa lawan)","Transfer antar rekening",IFERROR(INDEX(I_COA!$F$6:$F$265,MATCH(Q965,I_COA!$A$6:$A$265,0)),"?"))))</f>
        <v/>
      </c>
    </row>
    <row r="966" customFormat="false" ht="15" hidden="false" customHeight="false" outlineLevel="0" collapsed="false">
      <c r="A966" s="37" t="n">
        <v>46248</v>
      </c>
      <c r="B966" s="44" t="s">
        <v>1376</v>
      </c>
      <c r="C966" s="44" t="s">
        <v>707</v>
      </c>
      <c r="D966" s="44" t="n">
        <v>2102003</v>
      </c>
      <c r="E966" s="44" t="s">
        <v>722</v>
      </c>
      <c r="F966" s="44" t="s">
        <v>1378</v>
      </c>
      <c r="G966" s="42"/>
      <c r="H966" s="42" t="n">
        <v>120000</v>
      </c>
      <c r="I966" s="44" t="s">
        <v>1374</v>
      </c>
      <c r="J966" s="11" t="n">
        <f aca="false">IF(D966="","",N(G966)-N(H966))</f>
        <v>-120000</v>
      </c>
      <c r="K966" s="34" t="str">
        <f aca="false">IF(D966="","",IFERROR(INDEX(I_COA!$C$6:$C$265,MATCH(D966,I_COA!$A$6:$A$265,0)),"AKUN BARU"))</f>
        <v>Neraca</v>
      </c>
      <c r="L966" s="34" t="str">
        <f aca="false">IF(K966="LabaRugi",INDEX(I_COA!$D$6:$D$265,MATCH(D966,I_COA!$A$6:$A$265,0)),"")</f>
        <v/>
      </c>
      <c r="M966" s="34" t="str">
        <f aca="false">IF(K966="Neraca",INDEX(I_COA!$E$6:$E$265,MATCH(D966,I_COA!$A$6:$A$265,0)),"")</f>
        <v>Taxes Payable</v>
      </c>
      <c r="N966" s="34" t="str">
        <f aca="false">IF(D966="","",IFERROR(INDEX(I_COA!$G$6:$G$265,MATCH(D966,I_COA!$A$6:$A$265,0)),"N"))</f>
        <v>N</v>
      </c>
      <c r="O966" s="11" t="n">
        <f aca="false">IF(N966="N",ABS(J966),"")</f>
        <v>120000</v>
      </c>
      <c r="P966" s="18" t="str">
        <f aca="false">IF(N966="N",B966&amp;"|"&amp;ROUND(O966,0),"")</f>
        <v>PI26080022|120000</v>
      </c>
      <c r="Q966" s="18" t="str">
        <f aca="false">IF(N966&lt;&gt;"Y","",IFERROR(INDEX($D$6:$D$4005,MATCH(B966&amp;"|"&amp;ROUND(_xlfn.MAXIFS($O$6:$O$4005,$B$6:$B$4005,B966,$N$6:$N$4005,"N"),0),$P$6:$P$4005,0)),"(tanpa lawan)"))</f>
        <v/>
      </c>
      <c r="R966" s="44"/>
      <c r="S966" s="9" t="str">
        <f aca="false">IF(N966&lt;&gt;"Y","",IF(R966&lt;&gt;"",R966,IF(Q966="(tanpa lawan)","Transfer antar rekening",IFERROR(INDEX(I_COA!$F$6:$F$265,MATCH(Q966,I_COA!$A$6:$A$265,0)),"?"))))</f>
        <v/>
      </c>
    </row>
    <row r="967" customFormat="false" ht="15" hidden="false" customHeight="false" outlineLevel="0" collapsed="false">
      <c r="A967" s="37" t="n">
        <v>46248</v>
      </c>
      <c r="B967" s="44" t="s">
        <v>1376</v>
      </c>
      <c r="C967" s="44" t="s">
        <v>707</v>
      </c>
      <c r="D967" s="44" t="n">
        <v>2101003</v>
      </c>
      <c r="E967" s="44" t="s">
        <v>679</v>
      </c>
      <c r="F967" s="44" t="s">
        <v>1377</v>
      </c>
      <c r="G967" s="42"/>
      <c r="H967" s="42" t="n">
        <v>5880000</v>
      </c>
      <c r="I967" s="44" t="s">
        <v>1374</v>
      </c>
      <c r="J967" s="11" t="n">
        <f aca="false">IF(D967="","",N(G967)-N(H967))</f>
        <v>-5880000</v>
      </c>
      <c r="K967" s="34" t="str">
        <f aca="false">IF(D967="","",IFERROR(INDEX(I_COA!$C$6:$C$265,MATCH(D967,I_COA!$A$6:$A$265,0)),"AKUN BARU"))</f>
        <v>Neraca</v>
      </c>
      <c r="L967" s="34" t="str">
        <f aca="false">IF(K967="LabaRugi",INDEX(I_COA!$D$6:$D$265,MATCH(D967,I_COA!$A$6:$A$265,0)),"")</f>
        <v/>
      </c>
      <c r="M967" s="34" t="str">
        <f aca="false">IF(K967="Neraca",INDEX(I_COA!$E$6:$E$265,MATCH(D967,I_COA!$A$6:$A$265,0)),"")</f>
        <v>Other Payable - Third Parties</v>
      </c>
      <c r="N967" s="34" t="str">
        <f aca="false">IF(D967="","",IFERROR(INDEX(I_COA!$G$6:$G$265,MATCH(D967,I_COA!$A$6:$A$265,0)),"N"))</f>
        <v>N</v>
      </c>
      <c r="O967" s="11" t="n">
        <f aca="false">IF(N967="N",ABS(J967),"")</f>
        <v>5880000</v>
      </c>
      <c r="P967" s="18" t="str">
        <f aca="false">IF(N967="N",B967&amp;"|"&amp;ROUND(O967,0),"")</f>
        <v>PI26080022|5880000</v>
      </c>
      <c r="Q967" s="18" t="str">
        <f aca="false">IF(N967&lt;&gt;"Y","",IFERROR(INDEX($D$6:$D$4005,MATCH(B967&amp;"|"&amp;ROUND(_xlfn.MAXIFS($O$6:$O$4005,$B$6:$B$4005,B967,$N$6:$N$4005,"N"),0),$P$6:$P$4005,0)),"(tanpa lawan)"))</f>
        <v/>
      </c>
      <c r="R967" s="44"/>
      <c r="S967" s="9" t="str">
        <f aca="false">IF(N967&lt;&gt;"Y","",IF(R967&lt;&gt;"",R967,IF(Q967="(tanpa lawan)","Transfer antar rekening",IFERROR(INDEX(I_COA!$F$6:$F$265,MATCH(Q967,I_COA!$A$6:$A$265,0)),"?"))))</f>
        <v/>
      </c>
    </row>
    <row r="968" customFormat="false" ht="15" hidden="false" customHeight="false" outlineLevel="0" collapsed="false">
      <c r="A968" s="37" t="n">
        <v>46248</v>
      </c>
      <c r="B968" s="44" t="s">
        <v>1379</v>
      </c>
      <c r="C968" s="44" t="s">
        <v>707</v>
      </c>
      <c r="D968" s="44" t="n">
        <v>6100006</v>
      </c>
      <c r="E968" s="44" t="s">
        <v>717</v>
      </c>
      <c r="F968" s="44" t="s">
        <v>1380</v>
      </c>
      <c r="G968" s="42" t="n">
        <v>5400000</v>
      </c>
      <c r="H968" s="42"/>
      <c r="I968" s="44" t="s">
        <v>1374</v>
      </c>
      <c r="J968" s="11" t="n">
        <f aca="false">IF(D968="","",N(G968)-N(H968))</f>
        <v>5400000</v>
      </c>
      <c r="K968" s="34" t="str">
        <f aca="false">IF(D968="","",IFERROR(INDEX(I_COA!$C$6:$C$265,MATCH(D968,I_COA!$A$6:$A$265,0)),"AKUN BARU"))</f>
        <v>LabaRugi</v>
      </c>
      <c r="L968" s="34" t="str">
        <f aca="false">IF(K968="LabaRugi",INDEX(I_COA!$D$6:$D$265,MATCH(D968,I_COA!$A$6:$A$265,0)),"")</f>
        <v>Delivery Expenses</v>
      </c>
      <c r="M968" s="34" t="str">
        <f aca="false">IF(K968="Neraca",INDEX(I_COA!$E$6:$E$265,MATCH(D968,I_COA!$A$6:$A$265,0)),"")</f>
        <v/>
      </c>
      <c r="N968" s="34" t="str">
        <f aca="false">IF(D968="","",IFERROR(INDEX(I_COA!$G$6:$G$265,MATCH(D968,I_COA!$A$6:$A$265,0)),"N"))</f>
        <v>N</v>
      </c>
      <c r="O968" s="11" t="n">
        <f aca="false">IF(N968="N",ABS(J968),"")</f>
        <v>5400000</v>
      </c>
      <c r="P968" s="18" t="str">
        <f aca="false">IF(N968="N",B968&amp;"|"&amp;ROUND(O968,0),"")</f>
        <v>PI26080023|5400000</v>
      </c>
      <c r="Q968" s="18" t="str">
        <f aca="false">IF(N968&lt;&gt;"Y","",IFERROR(INDEX($D$6:$D$4005,MATCH(B968&amp;"|"&amp;ROUND(_xlfn.MAXIFS($O$6:$O$4005,$B$6:$B$4005,B968,$N$6:$N$4005,"N"),0),$P$6:$P$4005,0)),"(tanpa lawan)"))</f>
        <v/>
      </c>
      <c r="R968" s="44"/>
      <c r="S968" s="9" t="str">
        <f aca="false">IF(N968&lt;&gt;"Y","",IF(R968&lt;&gt;"",R968,IF(Q968="(tanpa lawan)","Transfer antar rekening",IFERROR(INDEX(I_COA!$F$6:$F$265,MATCH(Q968,I_COA!$A$6:$A$265,0)),"?"))))</f>
        <v/>
      </c>
    </row>
    <row r="969" customFormat="false" ht="15" hidden="false" customHeight="false" outlineLevel="0" collapsed="false">
      <c r="A969" s="37" t="n">
        <v>46248</v>
      </c>
      <c r="B969" s="44" t="s">
        <v>1379</v>
      </c>
      <c r="C969" s="44" t="s">
        <v>707</v>
      </c>
      <c r="D969" s="44" t="n">
        <v>2102003</v>
      </c>
      <c r="E969" s="44" t="s">
        <v>722</v>
      </c>
      <c r="F969" s="44" t="s">
        <v>1381</v>
      </c>
      <c r="G969" s="42"/>
      <c r="H969" s="42" t="n">
        <v>108000</v>
      </c>
      <c r="I969" s="44" t="s">
        <v>1374</v>
      </c>
      <c r="J969" s="11" t="n">
        <f aca="false">IF(D969="","",N(G969)-N(H969))</f>
        <v>-108000</v>
      </c>
      <c r="K969" s="34" t="str">
        <f aca="false">IF(D969="","",IFERROR(INDEX(I_COA!$C$6:$C$265,MATCH(D969,I_COA!$A$6:$A$265,0)),"AKUN BARU"))</f>
        <v>Neraca</v>
      </c>
      <c r="L969" s="34" t="str">
        <f aca="false">IF(K969="LabaRugi",INDEX(I_COA!$D$6:$D$265,MATCH(D969,I_COA!$A$6:$A$265,0)),"")</f>
        <v/>
      </c>
      <c r="M969" s="34" t="str">
        <f aca="false">IF(K969="Neraca",INDEX(I_COA!$E$6:$E$265,MATCH(D969,I_COA!$A$6:$A$265,0)),"")</f>
        <v>Taxes Payable</v>
      </c>
      <c r="N969" s="34" t="str">
        <f aca="false">IF(D969="","",IFERROR(INDEX(I_COA!$G$6:$G$265,MATCH(D969,I_COA!$A$6:$A$265,0)),"N"))</f>
        <v>N</v>
      </c>
      <c r="O969" s="11" t="n">
        <f aca="false">IF(N969="N",ABS(J969),"")</f>
        <v>108000</v>
      </c>
      <c r="P969" s="18" t="str">
        <f aca="false">IF(N969="N",B969&amp;"|"&amp;ROUND(O969,0),"")</f>
        <v>PI26080023|108000</v>
      </c>
      <c r="Q969" s="18" t="str">
        <f aca="false">IF(N969&lt;&gt;"Y","",IFERROR(INDEX($D$6:$D$4005,MATCH(B969&amp;"|"&amp;ROUND(_xlfn.MAXIFS($O$6:$O$4005,$B$6:$B$4005,B969,$N$6:$N$4005,"N"),0),$P$6:$P$4005,0)),"(tanpa lawan)"))</f>
        <v/>
      </c>
      <c r="R969" s="44"/>
      <c r="S969" s="9" t="str">
        <f aca="false">IF(N969&lt;&gt;"Y","",IF(R969&lt;&gt;"",R969,IF(Q969="(tanpa lawan)","Transfer antar rekening",IFERROR(INDEX(I_COA!$F$6:$F$265,MATCH(Q969,I_COA!$A$6:$A$265,0)),"?"))))</f>
        <v/>
      </c>
    </row>
    <row r="970" customFormat="false" ht="15" hidden="false" customHeight="false" outlineLevel="0" collapsed="false">
      <c r="A970" s="37" t="n">
        <v>46248</v>
      </c>
      <c r="B970" s="44" t="s">
        <v>1379</v>
      </c>
      <c r="C970" s="44" t="s">
        <v>707</v>
      </c>
      <c r="D970" s="44" t="n">
        <v>2101003</v>
      </c>
      <c r="E970" s="44" t="s">
        <v>679</v>
      </c>
      <c r="F970" s="44" t="s">
        <v>1380</v>
      </c>
      <c r="G970" s="42"/>
      <c r="H970" s="42" t="n">
        <v>5292000</v>
      </c>
      <c r="I970" s="44" t="s">
        <v>1374</v>
      </c>
      <c r="J970" s="11" t="n">
        <f aca="false">IF(D970="","",N(G970)-N(H970))</f>
        <v>-5292000</v>
      </c>
      <c r="K970" s="34" t="str">
        <f aca="false">IF(D970="","",IFERROR(INDEX(I_COA!$C$6:$C$265,MATCH(D970,I_COA!$A$6:$A$265,0)),"AKUN BARU"))</f>
        <v>Neraca</v>
      </c>
      <c r="L970" s="34" t="str">
        <f aca="false">IF(K970="LabaRugi",INDEX(I_COA!$D$6:$D$265,MATCH(D970,I_COA!$A$6:$A$265,0)),"")</f>
        <v/>
      </c>
      <c r="M970" s="34" t="str">
        <f aca="false">IF(K970="Neraca",INDEX(I_COA!$E$6:$E$265,MATCH(D970,I_COA!$A$6:$A$265,0)),"")</f>
        <v>Other Payable - Third Parties</v>
      </c>
      <c r="N970" s="34" t="str">
        <f aca="false">IF(D970="","",IFERROR(INDEX(I_COA!$G$6:$G$265,MATCH(D970,I_COA!$A$6:$A$265,0)),"N"))</f>
        <v>N</v>
      </c>
      <c r="O970" s="11" t="n">
        <f aca="false">IF(N970="N",ABS(J970),"")</f>
        <v>5292000</v>
      </c>
      <c r="P970" s="18" t="str">
        <f aca="false">IF(N970="N",B970&amp;"|"&amp;ROUND(O970,0),"")</f>
        <v>PI26080023|5292000</v>
      </c>
      <c r="Q970" s="18" t="str">
        <f aca="false">IF(N970&lt;&gt;"Y","",IFERROR(INDEX($D$6:$D$4005,MATCH(B970&amp;"|"&amp;ROUND(_xlfn.MAXIFS($O$6:$O$4005,$B$6:$B$4005,B970,$N$6:$N$4005,"N"),0),$P$6:$P$4005,0)),"(tanpa lawan)"))</f>
        <v/>
      </c>
      <c r="R970" s="44"/>
      <c r="S970" s="9" t="str">
        <f aca="false">IF(N970&lt;&gt;"Y","",IF(R970&lt;&gt;"",R970,IF(Q970="(tanpa lawan)","Transfer antar rekening",IFERROR(INDEX(I_COA!$F$6:$F$265,MATCH(Q970,I_COA!$A$6:$A$265,0)),"?"))))</f>
        <v/>
      </c>
    </row>
    <row r="971" customFormat="false" ht="15" hidden="false" customHeight="false" outlineLevel="0" collapsed="false">
      <c r="A971" s="37" t="n">
        <v>46248</v>
      </c>
      <c r="B971" s="44" t="s">
        <v>1382</v>
      </c>
      <c r="C971" s="44" t="s">
        <v>707</v>
      </c>
      <c r="D971" s="44" t="n">
        <v>1103121</v>
      </c>
      <c r="E971" s="44" t="s">
        <v>685</v>
      </c>
      <c r="F971" s="44" t="s">
        <v>1383</v>
      </c>
      <c r="G971" s="42" t="n">
        <v>25308000</v>
      </c>
      <c r="H971" s="42"/>
      <c r="I971" s="44" t="s">
        <v>1384</v>
      </c>
      <c r="J971" s="11" t="n">
        <f aca="false">IF(D971="","",N(G971)-N(H971))</f>
        <v>25308000</v>
      </c>
      <c r="K971" s="34" t="str">
        <f aca="false">IF(D971="","",IFERROR(INDEX(I_COA!$C$6:$C$265,MATCH(D971,I_COA!$A$6:$A$265,0)),"AKUN BARU"))</f>
        <v>Neraca</v>
      </c>
      <c r="L971" s="34" t="str">
        <f aca="false">IF(K971="LabaRugi",INDEX(I_COA!$D$6:$D$265,MATCH(D971,I_COA!$A$6:$A$265,0)),"")</f>
        <v/>
      </c>
      <c r="M971" s="34" t="str">
        <f aca="false">IF(K971="Neraca",INDEX(I_COA!$E$6:$E$265,MATCH(D971,I_COA!$A$6:$A$265,0)),"")</f>
        <v>Advance Payment</v>
      </c>
      <c r="N971" s="34" t="str">
        <f aca="false">IF(D971="","",IFERROR(INDEX(I_COA!$G$6:$G$265,MATCH(D971,I_COA!$A$6:$A$265,0)),"N"))</f>
        <v>N</v>
      </c>
      <c r="O971" s="11" t="n">
        <f aca="false">IF(N971="N",ABS(J971),"")</f>
        <v>25308000</v>
      </c>
      <c r="P971" s="18" t="str">
        <f aca="false">IF(N971="N",B971&amp;"|"&amp;ROUND(O971,0),"")</f>
        <v>PI26080024|25308000</v>
      </c>
      <c r="Q971" s="18" t="str">
        <f aca="false">IF(N971&lt;&gt;"Y","",IFERROR(INDEX($D$6:$D$4005,MATCH(B971&amp;"|"&amp;ROUND(_xlfn.MAXIFS($O$6:$O$4005,$B$6:$B$4005,B971,$N$6:$N$4005,"N"),0),$P$6:$P$4005,0)),"(tanpa lawan)"))</f>
        <v/>
      </c>
      <c r="R971" s="44"/>
      <c r="S971" s="9" t="str">
        <f aca="false">IF(N971&lt;&gt;"Y","",IF(R971&lt;&gt;"",R971,IF(Q971="(tanpa lawan)","Transfer antar rekening",IFERROR(INDEX(I_COA!$F$6:$F$265,MATCH(Q971,I_COA!$A$6:$A$265,0)),"?"))))</f>
        <v/>
      </c>
    </row>
    <row r="972" customFormat="false" ht="15" hidden="false" customHeight="false" outlineLevel="0" collapsed="false">
      <c r="A972" s="37" t="n">
        <v>46248</v>
      </c>
      <c r="B972" s="44" t="s">
        <v>1382</v>
      </c>
      <c r="C972" s="44" t="s">
        <v>707</v>
      </c>
      <c r="D972" s="44" t="n">
        <v>2101003</v>
      </c>
      <c r="E972" s="44" t="s">
        <v>679</v>
      </c>
      <c r="F972" s="44" t="s">
        <v>1383</v>
      </c>
      <c r="G972" s="42"/>
      <c r="H972" s="42" t="n">
        <v>25308000</v>
      </c>
      <c r="I972" s="44" t="s">
        <v>1384</v>
      </c>
      <c r="J972" s="11" t="n">
        <f aca="false">IF(D972="","",N(G972)-N(H972))</f>
        <v>-25308000</v>
      </c>
      <c r="K972" s="34" t="str">
        <f aca="false">IF(D972="","",IFERROR(INDEX(I_COA!$C$6:$C$265,MATCH(D972,I_COA!$A$6:$A$265,0)),"AKUN BARU"))</f>
        <v>Neraca</v>
      </c>
      <c r="L972" s="34" t="str">
        <f aca="false">IF(K972="LabaRugi",INDEX(I_COA!$D$6:$D$265,MATCH(D972,I_COA!$A$6:$A$265,0)),"")</f>
        <v/>
      </c>
      <c r="M972" s="34" t="str">
        <f aca="false">IF(K972="Neraca",INDEX(I_COA!$E$6:$E$265,MATCH(D972,I_COA!$A$6:$A$265,0)),"")</f>
        <v>Other Payable - Third Parties</v>
      </c>
      <c r="N972" s="34" t="str">
        <f aca="false">IF(D972="","",IFERROR(INDEX(I_COA!$G$6:$G$265,MATCH(D972,I_COA!$A$6:$A$265,0)),"N"))</f>
        <v>N</v>
      </c>
      <c r="O972" s="11" t="n">
        <f aca="false">IF(N972="N",ABS(J972),"")</f>
        <v>25308000</v>
      </c>
      <c r="P972" s="18" t="str">
        <f aca="false">IF(N972="N",B972&amp;"|"&amp;ROUND(O972,0),"")</f>
        <v>PI26080024|25308000</v>
      </c>
      <c r="Q972" s="18" t="str">
        <f aca="false">IF(N972&lt;&gt;"Y","",IFERROR(INDEX($D$6:$D$4005,MATCH(B972&amp;"|"&amp;ROUND(_xlfn.MAXIFS($O$6:$O$4005,$B$6:$B$4005,B972,$N$6:$N$4005,"N"),0),$P$6:$P$4005,0)),"(tanpa lawan)"))</f>
        <v/>
      </c>
      <c r="R972" s="44"/>
      <c r="S972" s="9" t="str">
        <f aca="false">IF(N972&lt;&gt;"Y","",IF(R972&lt;&gt;"",R972,IF(Q972="(tanpa lawan)","Transfer antar rekening",IFERROR(INDEX(I_COA!$F$6:$F$265,MATCH(Q972,I_COA!$A$6:$A$265,0)),"?"))))</f>
        <v/>
      </c>
    </row>
    <row r="973" customFormat="false" ht="15" hidden="false" customHeight="false" outlineLevel="0" collapsed="false">
      <c r="A973" s="37" t="n">
        <v>46248</v>
      </c>
      <c r="B973" s="44" t="s">
        <v>1385</v>
      </c>
      <c r="C973" s="44" t="s">
        <v>707</v>
      </c>
      <c r="D973" s="44" t="n">
        <v>5100007</v>
      </c>
      <c r="E973" s="44" t="s">
        <v>708</v>
      </c>
      <c r="F973" s="44" t="s">
        <v>1386</v>
      </c>
      <c r="G973" s="42" t="n">
        <v>18000000</v>
      </c>
      <c r="H973" s="42"/>
      <c r="I973" s="44" t="s">
        <v>681</v>
      </c>
      <c r="J973" s="11" t="n">
        <f aca="false">IF(D973="","",N(G973)-N(H973))</f>
        <v>18000000</v>
      </c>
      <c r="K973" s="34" t="str">
        <f aca="false">IF(D973="","",IFERROR(INDEX(I_COA!$C$6:$C$265,MATCH(D973,I_COA!$A$6:$A$265,0)),"AKUN BARU"))</f>
        <v>LabaRugi</v>
      </c>
      <c r="L973" s="34" t="str">
        <f aca="false">IF(K973="LabaRugi",INDEX(I_COA!$D$6:$D$265,MATCH(D973,I_COA!$A$6:$A$265,0)),"")</f>
        <v>Other COGS - Expedition</v>
      </c>
      <c r="M973" s="34" t="str">
        <f aca="false">IF(K973="Neraca",INDEX(I_COA!$E$6:$E$265,MATCH(D973,I_COA!$A$6:$A$265,0)),"")</f>
        <v/>
      </c>
      <c r="N973" s="34" t="str">
        <f aca="false">IF(D973="","",IFERROR(INDEX(I_COA!$G$6:$G$265,MATCH(D973,I_COA!$A$6:$A$265,0)),"N"))</f>
        <v>N</v>
      </c>
      <c r="O973" s="11" t="n">
        <f aca="false">IF(N973="N",ABS(J973),"")</f>
        <v>18000000</v>
      </c>
      <c r="P973" s="18" t="str">
        <f aca="false">IF(N973="N",B973&amp;"|"&amp;ROUND(O973,0),"")</f>
        <v>PI26080035|18000000</v>
      </c>
      <c r="Q973" s="18" t="str">
        <f aca="false">IF(N973&lt;&gt;"Y","",IFERROR(INDEX($D$6:$D$4005,MATCH(B973&amp;"|"&amp;ROUND(_xlfn.MAXIFS($O$6:$O$4005,$B$6:$B$4005,B973,$N$6:$N$4005,"N"),0),$P$6:$P$4005,0)),"(tanpa lawan)"))</f>
        <v/>
      </c>
      <c r="R973" s="44"/>
      <c r="S973" s="9" t="str">
        <f aca="false">IF(N973&lt;&gt;"Y","",IF(R973&lt;&gt;"",R973,IF(Q973="(tanpa lawan)","Transfer antar rekening",IFERROR(INDEX(I_COA!$F$6:$F$265,MATCH(Q973,I_COA!$A$6:$A$265,0)),"?"))))</f>
        <v/>
      </c>
    </row>
    <row r="974" customFormat="false" ht="15" hidden="false" customHeight="false" outlineLevel="0" collapsed="false">
      <c r="A974" s="37" t="n">
        <v>46248</v>
      </c>
      <c r="B974" s="44" t="s">
        <v>1385</v>
      </c>
      <c r="C974" s="44" t="s">
        <v>707</v>
      </c>
      <c r="D974" s="44" t="n">
        <v>2102002</v>
      </c>
      <c r="E974" s="44" t="s">
        <v>633</v>
      </c>
      <c r="F974" s="44" t="s">
        <v>1387</v>
      </c>
      <c r="G974" s="42"/>
      <c r="H974" s="42" t="n">
        <v>450000</v>
      </c>
      <c r="I974" s="44" t="s">
        <v>681</v>
      </c>
      <c r="J974" s="11" t="n">
        <f aca="false">IF(D974="","",N(G974)-N(H974))</f>
        <v>-450000</v>
      </c>
      <c r="K974" s="34" t="str">
        <f aca="false">IF(D974="","",IFERROR(INDEX(I_COA!$C$6:$C$265,MATCH(D974,I_COA!$A$6:$A$265,0)),"AKUN BARU"))</f>
        <v>Neraca</v>
      </c>
      <c r="L974" s="34" t="str">
        <f aca="false">IF(K974="LabaRugi",INDEX(I_COA!$D$6:$D$265,MATCH(D974,I_COA!$A$6:$A$265,0)),"")</f>
        <v/>
      </c>
      <c r="M974" s="34" t="str">
        <f aca="false">IF(K974="Neraca",INDEX(I_COA!$E$6:$E$265,MATCH(D974,I_COA!$A$6:$A$265,0)),"")</f>
        <v>Taxes Payable</v>
      </c>
      <c r="N974" s="34" t="str">
        <f aca="false">IF(D974="","",IFERROR(INDEX(I_COA!$G$6:$G$265,MATCH(D974,I_COA!$A$6:$A$265,0)),"N"))</f>
        <v>N</v>
      </c>
      <c r="O974" s="11" t="n">
        <f aca="false">IF(N974="N",ABS(J974),"")</f>
        <v>450000</v>
      </c>
      <c r="P974" s="18" t="str">
        <f aca="false">IF(N974="N",B974&amp;"|"&amp;ROUND(O974,0),"")</f>
        <v>PI26080035|450000</v>
      </c>
      <c r="Q974" s="18" t="str">
        <f aca="false">IF(N974&lt;&gt;"Y","",IFERROR(INDEX($D$6:$D$4005,MATCH(B974&amp;"|"&amp;ROUND(_xlfn.MAXIFS($O$6:$O$4005,$B$6:$B$4005,B974,$N$6:$N$4005,"N"),0),$P$6:$P$4005,0)),"(tanpa lawan)"))</f>
        <v/>
      </c>
      <c r="R974" s="44"/>
      <c r="S974" s="9" t="str">
        <f aca="false">IF(N974&lt;&gt;"Y","",IF(R974&lt;&gt;"",R974,IF(Q974="(tanpa lawan)","Transfer antar rekening",IFERROR(INDEX(I_COA!$F$6:$F$265,MATCH(Q974,I_COA!$A$6:$A$265,0)),"?"))))</f>
        <v/>
      </c>
    </row>
    <row r="975" customFormat="false" ht="15" hidden="false" customHeight="false" outlineLevel="0" collapsed="false">
      <c r="A975" s="37" t="n">
        <v>46248</v>
      </c>
      <c r="B975" s="44" t="s">
        <v>1385</v>
      </c>
      <c r="C975" s="44" t="s">
        <v>707</v>
      </c>
      <c r="D975" s="44" t="n">
        <v>2101003</v>
      </c>
      <c r="E975" s="44" t="s">
        <v>679</v>
      </c>
      <c r="F975" s="44" t="s">
        <v>1386</v>
      </c>
      <c r="G975" s="42"/>
      <c r="H975" s="42" t="n">
        <v>17550000</v>
      </c>
      <c r="I975" s="44" t="s">
        <v>681</v>
      </c>
      <c r="J975" s="11" t="n">
        <f aca="false">IF(D975="","",N(G975)-N(H975))</f>
        <v>-17550000</v>
      </c>
      <c r="K975" s="34" t="str">
        <f aca="false">IF(D975="","",IFERROR(INDEX(I_COA!$C$6:$C$265,MATCH(D975,I_COA!$A$6:$A$265,0)),"AKUN BARU"))</f>
        <v>Neraca</v>
      </c>
      <c r="L975" s="34" t="str">
        <f aca="false">IF(K975="LabaRugi",INDEX(I_COA!$D$6:$D$265,MATCH(D975,I_COA!$A$6:$A$265,0)),"")</f>
        <v/>
      </c>
      <c r="M975" s="34" t="str">
        <f aca="false">IF(K975="Neraca",INDEX(I_COA!$E$6:$E$265,MATCH(D975,I_COA!$A$6:$A$265,0)),"")</f>
        <v>Other Payable - Third Parties</v>
      </c>
      <c r="N975" s="34" t="str">
        <f aca="false">IF(D975="","",IFERROR(INDEX(I_COA!$G$6:$G$265,MATCH(D975,I_COA!$A$6:$A$265,0)),"N"))</f>
        <v>N</v>
      </c>
      <c r="O975" s="11" t="n">
        <f aca="false">IF(N975="N",ABS(J975),"")</f>
        <v>17550000</v>
      </c>
      <c r="P975" s="18" t="str">
        <f aca="false">IF(N975="N",B975&amp;"|"&amp;ROUND(O975,0),"")</f>
        <v>PI26080035|17550000</v>
      </c>
      <c r="Q975" s="18" t="str">
        <f aca="false">IF(N975&lt;&gt;"Y","",IFERROR(INDEX($D$6:$D$4005,MATCH(B975&amp;"|"&amp;ROUND(_xlfn.MAXIFS($O$6:$O$4005,$B$6:$B$4005,B975,$N$6:$N$4005,"N"),0),$P$6:$P$4005,0)),"(tanpa lawan)"))</f>
        <v/>
      </c>
      <c r="R975" s="44"/>
      <c r="S975" s="9" t="str">
        <f aca="false">IF(N975&lt;&gt;"Y","",IF(R975&lt;&gt;"",R975,IF(Q975="(tanpa lawan)","Transfer antar rekening",IFERROR(INDEX(I_COA!$F$6:$F$265,MATCH(Q975,I_COA!$A$6:$A$265,0)),"?"))))</f>
        <v/>
      </c>
    </row>
    <row r="976" customFormat="false" ht="15" hidden="false" customHeight="false" outlineLevel="0" collapsed="false">
      <c r="A976" s="37" t="n">
        <v>46248</v>
      </c>
      <c r="B976" s="44" t="s">
        <v>1388</v>
      </c>
      <c r="C976" s="44" t="s">
        <v>707</v>
      </c>
      <c r="D976" s="44" t="n">
        <v>5100006</v>
      </c>
      <c r="E976" s="44" t="s">
        <v>950</v>
      </c>
      <c r="F976" s="44" t="s">
        <v>1389</v>
      </c>
      <c r="G976" s="42" t="n">
        <v>23557280</v>
      </c>
      <c r="H976" s="42"/>
      <c r="I976" s="44" t="s">
        <v>440</v>
      </c>
      <c r="J976" s="11" t="n">
        <f aca="false">IF(D976="","",N(G976)-N(H976))</f>
        <v>23557280</v>
      </c>
      <c r="K976" s="34" t="str">
        <f aca="false">IF(D976="","",IFERROR(INDEX(I_COA!$C$6:$C$265,MATCH(D976,I_COA!$A$6:$A$265,0)),"AKUN BARU"))</f>
        <v>LabaRugi</v>
      </c>
      <c r="L976" s="34" t="str">
        <f aca="false">IF(K976="LabaRugi",INDEX(I_COA!$D$6:$D$265,MATCH(D976,I_COA!$A$6:$A$265,0)),"")</f>
        <v>COGS - Live Bird</v>
      </c>
      <c r="M976" s="34" t="str">
        <f aca="false">IF(K976="Neraca",INDEX(I_COA!$E$6:$E$265,MATCH(D976,I_COA!$A$6:$A$265,0)),"")</f>
        <v/>
      </c>
      <c r="N976" s="34" t="str">
        <f aca="false">IF(D976="","",IFERROR(INDEX(I_COA!$G$6:$G$265,MATCH(D976,I_COA!$A$6:$A$265,0)),"N"))</f>
        <v>N</v>
      </c>
      <c r="O976" s="11" t="n">
        <f aca="false">IF(N976="N",ABS(J976),"")</f>
        <v>23557280</v>
      </c>
      <c r="P976" s="18" t="str">
        <f aca="false">IF(N976="N",B976&amp;"|"&amp;ROUND(O976,0),"")</f>
        <v>PI26080036|23557280</v>
      </c>
      <c r="Q976" s="18" t="str">
        <f aca="false">IF(N976&lt;&gt;"Y","",IFERROR(INDEX($D$6:$D$4005,MATCH(B976&amp;"|"&amp;ROUND(_xlfn.MAXIFS($O$6:$O$4005,$B$6:$B$4005,B976,$N$6:$N$4005,"N"),0),$P$6:$P$4005,0)),"(tanpa lawan)"))</f>
        <v/>
      </c>
      <c r="R976" s="44"/>
      <c r="S976" s="9" t="str">
        <f aca="false">IF(N976&lt;&gt;"Y","",IF(R976&lt;&gt;"",R976,IF(Q976="(tanpa lawan)","Transfer antar rekening",IFERROR(INDEX(I_COA!$F$6:$F$265,MATCH(Q976,I_COA!$A$6:$A$265,0)),"?"))))</f>
        <v/>
      </c>
    </row>
    <row r="977" customFormat="false" ht="15" hidden="false" customHeight="false" outlineLevel="0" collapsed="false">
      <c r="A977" s="37" t="n">
        <v>46248</v>
      </c>
      <c r="B977" s="44" t="s">
        <v>1388</v>
      </c>
      <c r="C977" s="44" t="s">
        <v>707</v>
      </c>
      <c r="D977" s="44" t="n">
        <v>5100009</v>
      </c>
      <c r="E977" s="44" t="s">
        <v>1003</v>
      </c>
      <c r="F977" s="44" t="s">
        <v>1390</v>
      </c>
      <c r="G977" s="42" t="n">
        <v>2574640</v>
      </c>
      <c r="H977" s="42"/>
      <c r="I977" s="44" t="s">
        <v>440</v>
      </c>
      <c r="J977" s="11" t="n">
        <f aca="false">IF(D977="","",N(G977)-N(H977))</f>
        <v>2574640</v>
      </c>
      <c r="K977" s="34" t="str">
        <f aca="false">IF(D977="","",IFERROR(INDEX(I_COA!$C$6:$C$265,MATCH(D977,I_COA!$A$6:$A$265,0)),"AKUN BARU"))</f>
        <v>LabaRugi</v>
      </c>
      <c r="L977" s="34" t="str">
        <f aca="false">IF(K977="LabaRugi",INDEX(I_COA!$D$6:$D$265,MATCH(D977,I_COA!$A$6:$A$265,0)),"")</f>
        <v>COGS - Blasting</v>
      </c>
      <c r="M977" s="34" t="str">
        <f aca="false">IF(K977="Neraca",INDEX(I_COA!$E$6:$E$265,MATCH(D977,I_COA!$A$6:$A$265,0)),"")</f>
        <v/>
      </c>
      <c r="N977" s="34" t="str">
        <f aca="false">IF(D977="","",IFERROR(INDEX(I_COA!$G$6:$G$265,MATCH(D977,I_COA!$A$6:$A$265,0)),"N"))</f>
        <v>N</v>
      </c>
      <c r="O977" s="11" t="n">
        <f aca="false">IF(N977="N",ABS(J977),"")</f>
        <v>2574640</v>
      </c>
      <c r="P977" s="18" t="str">
        <f aca="false">IF(N977="N",B977&amp;"|"&amp;ROUND(O977,0),"")</f>
        <v>PI26080036|2574640</v>
      </c>
      <c r="Q977" s="18" t="str">
        <f aca="false">IF(N977&lt;&gt;"Y","",IFERROR(INDEX($D$6:$D$4005,MATCH(B977&amp;"|"&amp;ROUND(_xlfn.MAXIFS($O$6:$O$4005,$B$6:$B$4005,B977,$N$6:$N$4005,"N"),0),$P$6:$P$4005,0)),"(tanpa lawan)"))</f>
        <v/>
      </c>
      <c r="R977" s="44"/>
      <c r="S977" s="9" t="str">
        <f aca="false">IF(N977&lt;&gt;"Y","",IF(R977&lt;&gt;"",R977,IF(Q977="(tanpa lawan)","Transfer antar rekening",IFERROR(INDEX(I_COA!$F$6:$F$265,MATCH(Q977,I_COA!$A$6:$A$265,0)),"?"))))</f>
        <v/>
      </c>
    </row>
    <row r="978" customFormat="false" ht="15" hidden="false" customHeight="false" outlineLevel="0" collapsed="false">
      <c r="A978" s="37" t="n">
        <v>46248</v>
      </c>
      <c r="B978" s="44" t="s">
        <v>1388</v>
      </c>
      <c r="C978" s="44" t="s">
        <v>707</v>
      </c>
      <c r="D978" s="44" t="n">
        <v>2102003</v>
      </c>
      <c r="E978" s="44" t="s">
        <v>722</v>
      </c>
      <c r="F978" s="44" t="s">
        <v>1118</v>
      </c>
      <c r="G978" s="42"/>
      <c r="H978" s="42" t="n">
        <v>522638.4</v>
      </c>
      <c r="I978" s="44" t="s">
        <v>440</v>
      </c>
      <c r="J978" s="11" t="n">
        <f aca="false">IF(D978="","",N(G978)-N(H978))</f>
        <v>-522638.4</v>
      </c>
      <c r="K978" s="34" t="str">
        <f aca="false">IF(D978="","",IFERROR(INDEX(I_COA!$C$6:$C$265,MATCH(D978,I_COA!$A$6:$A$265,0)),"AKUN BARU"))</f>
        <v>Neraca</v>
      </c>
      <c r="L978" s="34" t="str">
        <f aca="false">IF(K978="LabaRugi",INDEX(I_COA!$D$6:$D$265,MATCH(D978,I_COA!$A$6:$A$265,0)),"")</f>
        <v/>
      </c>
      <c r="M978" s="34" t="str">
        <f aca="false">IF(K978="Neraca",INDEX(I_COA!$E$6:$E$265,MATCH(D978,I_COA!$A$6:$A$265,0)),"")</f>
        <v>Taxes Payable</v>
      </c>
      <c r="N978" s="34" t="str">
        <f aca="false">IF(D978="","",IFERROR(INDEX(I_COA!$G$6:$G$265,MATCH(D978,I_COA!$A$6:$A$265,0)),"N"))</f>
        <v>N</v>
      </c>
      <c r="O978" s="11" t="n">
        <f aca="false">IF(N978="N",ABS(J978),"")</f>
        <v>522638.4</v>
      </c>
      <c r="P978" s="18" t="str">
        <f aca="false">IF(N978="N",B978&amp;"|"&amp;ROUND(O978,0),"")</f>
        <v>PI26080036|522638</v>
      </c>
      <c r="Q978" s="18" t="str">
        <f aca="false">IF(N978&lt;&gt;"Y","",IFERROR(INDEX($D$6:$D$4005,MATCH(B978&amp;"|"&amp;ROUND(_xlfn.MAXIFS($O$6:$O$4005,$B$6:$B$4005,B978,$N$6:$N$4005,"N"),0),$P$6:$P$4005,0)),"(tanpa lawan)"))</f>
        <v/>
      </c>
      <c r="R978" s="44"/>
      <c r="S978" s="9" t="str">
        <f aca="false">IF(N978&lt;&gt;"Y","",IF(R978&lt;&gt;"",R978,IF(Q978="(tanpa lawan)","Transfer antar rekening",IFERROR(INDEX(I_COA!$F$6:$F$265,MATCH(Q978,I_COA!$A$6:$A$265,0)),"?"))))</f>
        <v/>
      </c>
    </row>
    <row r="979" customFormat="false" ht="15" hidden="false" customHeight="false" outlineLevel="0" collapsed="false">
      <c r="A979" s="37" t="n">
        <v>46248</v>
      </c>
      <c r="B979" s="44" t="s">
        <v>1388</v>
      </c>
      <c r="C979" s="44" t="s">
        <v>707</v>
      </c>
      <c r="D979" s="44" t="n">
        <v>1106001</v>
      </c>
      <c r="E979" s="44" t="s">
        <v>720</v>
      </c>
      <c r="F979" s="44" t="s">
        <v>721</v>
      </c>
      <c r="G979" s="42" t="n">
        <v>2874511</v>
      </c>
      <c r="H979" s="42"/>
      <c r="I979" s="44" t="s">
        <v>440</v>
      </c>
      <c r="J979" s="11" t="n">
        <f aca="false">IF(D979="","",N(G979)-N(H979))</f>
        <v>2874511</v>
      </c>
      <c r="K979" s="34" t="str">
        <f aca="false">IF(D979="","",IFERROR(INDEX(I_COA!$C$6:$C$265,MATCH(D979,I_COA!$A$6:$A$265,0)),"AKUN BARU"))</f>
        <v>Neraca</v>
      </c>
      <c r="L979" s="34" t="str">
        <f aca="false">IF(K979="LabaRugi",INDEX(I_COA!$D$6:$D$265,MATCH(D979,I_COA!$A$6:$A$265,0)),"")</f>
        <v/>
      </c>
      <c r="M979" s="34" t="str">
        <f aca="false">IF(K979="Neraca",INDEX(I_COA!$E$6:$E$265,MATCH(D979,I_COA!$A$6:$A$265,0)),"")</f>
        <v>Prepaid Tax</v>
      </c>
      <c r="N979" s="34" t="str">
        <f aca="false">IF(D979="","",IFERROR(INDEX(I_COA!$G$6:$G$265,MATCH(D979,I_COA!$A$6:$A$265,0)),"N"))</f>
        <v>N</v>
      </c>
      <c r="O979" s="11" t="n">
        <f aca="false">IF(N979="N",ABS(J979),"")</f>
        <v>2874511</v>
      </c>
      <c r="P979" s="18" t="str">
        <f aca="false">IF(N979="N",B979&amp;"|"&amp;ROUND(O979,0),"")</f>
        <v>PI26080036|2874511</v>
      </c>
      <c r="Q979" s="18" t="str">
        <f aca="false">IF(N979&lt;&gt;"Y","",IFERROR(INDEX($D$6:$D$4005,MATCH(B979&amp;"|"&amp;ROUND(_xlfn.MAXIFS($O$6:$O$4005,$B$6:$B$4005,B979,$N$6:$N$4005,"N"),0),$P$6:$P$4005,0)),"(tanpa lawan)"))</f>
        <v/>
      </c>
      <c r="R979" s="44"/>
      <c r="S979" s="9" t="str">
        <f aca="false">IF(N979&lt;&gt;"Y","",IF(R979&lt;&gt;"",R979,IF(Q979="(tanpa lawan)","Transfer antar rekening",IFERROR(INDEX(I_COA!$F$6:$F$265,MATCH(Q979,I_COA!$A$6:$A$265,0)),"?"))))</f>
        <v/>
      </c>
    </row>
    <row r="980" customFormat="false" ht="15" hidden="false" customHeight="false" outlineLevel="0" collapsed="false">
      <c r="A980" s="37" t="n">
        <v>46248</v>
      </c>
      <c r="B980" s="44" t="s">
        <v>1388</v>
      </c>
      <c r="C980" s="44" t="s">
        <v>707</v>
      </c>
      <c r="D980" s="44" t="n">
        <v>2101003</v>
      </c>
      <c r="E980" s="44" t="s">
        <v>679</v>
      </c>
      <c r="F980" s="44" t="s">
        <v>1391</v>
      </c>
      <c r="G980" s="42"/>
      <c r="H980" s="42" t="n">
        <v>28483792.6</v>
      </c>
      <c r="I980" s="44" t="s">
        <v>440</v>
      </c>
      <c r="J980" s="11" t="n">
        <f aca="false">IF(D980="","",N(G980)-N(H980))</f>
        <v>-28483792.6</v>
      </c>
      <c r="K980" s="34" t="str">
        <f aca="false">IF(D980="","",IFERROR(INDEX(I_COA!$C$6:$C$265,MATCH(D980,I_COA!$A$6:$A$265,0)),"AKUN BARU"))</f>
        <v>Neraca</v>
      </c>
      <c r="L980" s="34" t="str">
        <f aca="false">IF(K980="LabaRugi",INDEX(I_COA!$D$6:$D$265,MATCH(D980,I_COA!$A$6:$A$265,0)),"")</f>
        <v/>
      </c>
      <c r="M980" s="34" t="str">
        <f aca="false">IF(K980="Neraca",INDEX(I_COA!$E$6:$E$265,MATCH(D980,I_COA!$A$6:$A$265,0)),"")</f>
        <v>Other Payable - Third Parties</v>
      </c>
      <c r="N980" s="34" t="str">
        <f aca="false">IF(D980="","",IFERROR(INDEX(I_COA!$G$6:$G$265,MATCH(D980,I_COA!$A$6:$A$265,0)),"N"))</f>
        <v>N</v>
      </c>
      <c r="O980" s="11" t="n">
        <f aca="false">IF(N980="N",ABS(J980),"")</f>
        <v>28483792.6</v>
      </c>
      <c r="P980" s="18" t="str">
        <f aca="false">IF(N980="N",B980&amp;"|"&amp;ROUND(O980,0),"")</f>
        <v>PI26080036|28483793</v>
      </c>
      <c r="Q980" s="18" t="str">
        <f aca="false">IF(N980&lt;&gt;"Y","",IFERROR(INDEX($D$6:$D$4005,MATCH(B980&amp;"|"&amp;ROUND(_xlfn.MAXIFS($O$6:$O$4005,$B$6:$B$4005,B980,$N$6:$N$4005,"N"),0),$P$6:$P$4005,0)),"(tanpa lawan)"))</f>
        <v/>
      </c>
      <c r="R980" s="44"/>
      <c r="S980" s="9" t="str">
        <f aca="false">IF(N980&lt;&gt;"Y","",IF(R980&lt;&gt;"",R980,IF(Q980="(tanpa lawan)","Transfer antar rekening",IFERROR(INDEX(I_COA!$F$6:$F$265,MATCH(Q980,I_COA!$A$6:$A$265,0)),"?"))))</f>
        <v/>
      </c>
    </row>
    <row r="981" customFormat="false" ht="15" hidden="false" customHeight="false" outlineLevel="0" collapsed="false">
      <c r="A981" s="37" t="n">
        <v>46248</v>
      </c>
      <c r="B981" s="44" t="s">
        <v>1392</v>
      </c>
      <c r="C981" s="44" t="s">
        <v>707</v>
      </c>
      <c r="D981" s="44" t="n">
        <v>910004</v>
      </c>
      <c r="E981" s="44" t="s">
        <v>781</v>
      </c>
      <c r="F981" s="44" t="s">
        <v>1393</v>
      </c>
      <c r="G981" s="42" t="n">
        <v>102400000</v>
      </c>
      <c r="H981" s="42"/>
      <c r="I981" s="44" t="s">
        <v>888</v>
      </c>
      <c r="J981" s="11" t="n">
        <f aca="false">IF(D981="","",N(G981)-N(H981))</f>
        <v>102400000</v>
      </c>
      <c r="K981" s="34" t="str">
        <f aca="false">IF(D981="","",IFERROR(INDEX(I_COA!$C$6:$C$265,MATCH(D981,I_COA!$A$6:$A$265,0)),"AKUN BARU"))</f>
        <v>Neraca</v>
      </c>
      <c r="L981" s="34" t="str">
        <f aca="false">IF(K981="LabaRugi",INDEX(I_COA!$D$6:$D$265,MATCH(D981,I_COA!$A$6:$A$265,0)),"")</f>
        <v/>
      </c>
      <c r="M981" s="34" t="str">
        <f aca="false">IF(K981="Neraca",INDEX(I_COA!$E$6:$E$265,MATCH(D981,I_COA!$A$6:$A$265,0)),"")</f>
        <v>Temporary account (to reclassify)</v>
      </c>
      <c r="N981" s="34" t="str">
        <f aca="false">IF(D981="","",IFERROR(INDEX(I_COA!$G$6:$G$265,MATCH(D981,I_COA!$A$6:$A$265,0)),"N"))</f>
        <v>N</v>
      </c>
      <c r="O981" s="11" t="n">
        <f aca="false">IF(N981="N",ABS(J981),"")</f>
        <v>102400000</v>
      </c>
      <c r="P981" s="18" t="str">
        <f aca="false">IF(N981="N",B981&amp;"|"&amp;ROUND(O981,0),"")</f>
        <v>PI26080037|102400000</v>
      </c>
      <c r="Q981" s="18" t="str">
        <f aca="false">IF(N981&lt;&gt;"Y","",IFERROR(INDEX($D$6:$D$4005,MATCH(B981&amp;"|"&amp;ROUND(_xlfn.MAXIFS($O$6:$O$4005,$B$6:$B$4005,B981,$N$6:$N$4005,"N"),0),$P$6:$P$4005,0)),"(tanpa lawan)"))</f>
        <v/>
      </c>
      <c r="R981" s="44"/>
      <c r="S981" s="9" t="str">
        <f aca="false">IF(N981&lt;&gt;"Y","",IF(R981&lt;&gt;"",R981,IF(Q981="(tanpa lawan)","Transfer antar rekening",IFERROR(INDEX(I_COA!$F$6:$F$265,MATCH(Q981,I_COA!$A$6:$A$265,0)),"?"))))</f>
        <v/>
      </c>
    </row>
    <row r="982" customFormat="false" ht="15" hidden="false" customHeight="false" outlineLevel="0" collapsed="false">
      <c r="A982" s="37" t="n">
        <v>46248</v>
      </c>
      <c r="B982" s="44" t="s">
        <v>1392</v>
      </c>
      <c r="C982" s="44" t="s">
        <v>707</v>
      </c>
      <c r="D982" s="44" t="n">
        <v>2101001</v>
      </c>
      <c r="E982" s="44" t="s">
        <v>595</v>
      </c>
      <c r="F982" s="44" t="s">
        <v>1393</v>
      </c>
      <c r="G982" s="42"/>
      <c r="H982" s="42" t="n">
        <v>102400000</v>
      </c>
      <c r="I982" s="44" t="s">
        <v>888</v>
      </c>
      <c r="J982" s="11" t="n">
        <f aca="false">IF(D982="","",N(G982)-N(H982))</f>
        <v>-102400000</v>
      </c>
      <c r="K982" s="34" t="str">
        <f aca="false">IF(D982="","",IFERROR(INDEX(I_COA!$C$6:$C$265,MATCH(D982,I_COA!$A$6:$A$265,0)),"AKUN BARU"))</f>
        <v>Neraca</v>
      </c>
      <c r="L982" s="34" t="str">
        <f aca="false">IF(K982="LabaRugi",INDEX(I_COA!$D$6:$D$265,MATCH(D982,I_COA!$A$6:$A$265,0)),"")</f>
        <v/>
      </c>
      <c r="M982" s="34" t="str">
        <f aca="false">IF(K982="Neraca",INDEX(I_COA!$E$6:$E$265,MATCH(D982,I_COA!$A$6:$A$265,0)),"")</f>
        <v>Trade Payables - Third Parties</v>
      </c>
      <c r="N982" s="34" t="str">
        <f aca="false">IF(D982="","",IFERROR(INDEX(I_COA!$G$6:$G$265,MATCH(D982,I_COA!$A$6:$A$265,0)),"N"))</f>
        <v>N</v>
      </c>
      <c r="O982" s="11" t="n">
        <f aca="false">IF(N982="N",ABS(J982),"")</f>
        <v>102400000</v>
      </c>
      <c r="P982" s="18" t="str">
        <f aca="false">IF(N982="N",B982&amp;"|"&amp;ROUND(O982,0),"")</f>
        <v>PI26080037|102400000</v>
      </c>
      <c r="Q982" s="18" t="str">
        <f aca="false">IF(N982&lt;&gt;"Y","",IFERROR(INDEX($D$6:$D$4005,MATCH(B982&amp;"|"&amp;ROUND(_xlfn.MAXIFS($O$6:$O$4005,$B$6:$B$4005,B982,$N$6:$N$4005,"N"),0),$P$6:$P$4005,0)),"(tanpa lawan)"))</f>
        <v/>
      </c>
      <c r="R982" s="44"/>
      <c r="S982" s="9" t="str">
        <f aca="false">IF(N982&lt;&gt;"Y","",IF(R982&lt;&gt;"",R982,IF(Q982="(tanpa lawan)","Transfer antar rekening",IFERROR(INDEX(I_COA!$F$6:$F$265,MATCH(Q982,I_COA!$A$6:$A$265,0)),"?"))))</f>
        <v/>
      </c>
    </row>
    <row r="983" customFormat="false" ht="15" hidden="false" customHeight="false" outlineLevel="0" collapsed="false">
      <c r="A983" s="37" t="n">
        <v>46248</v>
      </c>
      <c r="B983" s="44" t="s">
        <v>1394</v>
      </c>
      <c r="C983" s="44" t="s">
        <v>707</v>
      </c>
      <c r="D983" s="44" t="n">
        <v>2103011</v>
      </c>
      <c r="E983" s="44" t="s">
        <v>693</v>
      </c>
      <c r="F983" s="44" t="s">
        <v>1338</v>
      </c>
      <c r="G983" s="42" t="n">
        <v>432097462.25</v>
      </c>
      <c r="H983" s="42"/>
      <c r="I983" s="44" t="s">
        <v>597</v>
      </c>
      <c r="J983" s="11" t="n">
        <f aca="false">IF(D983="","",N(G983)-N(H983))</f>
        <v>432097462.25</v>
      </c>
      <c r="K983" s="34" t="str">
        <f aca="false">IF(D983="","",IFERROR(INDEX(I_COA!$C$6:$C$265,MATCH(D983,I_COA!$A$6:$A$265,0)),"AKUN BARU"))</f>
        <v>Neraca</v>
      </c>
      <c r="L983" s="34" t="str">
        <f aca="false">IF(K983="LabaRugi",INDEX(I_COA!$D$6:$D$265,MATCH(D983,I_COA!$A$6:$A$265,0)),"")</f>
        <v/>
      </c>
      <c r="M983" s="34" t="str">
        <f aca="false">IF(K983="Neraca",INDEX(I_COA!$E$6:$E$265,MATCH(D983,I_COA!$A$6:$A$265,0)),"")</f>
        <v>Accrued Expenses - Third Parties</v>
      </c>
      <c r="N983" s="34" t="str">
        <f aca="false">IF(D983="","",IFERROR(INDEX(I_COA!$G$6:$G$265,MATCH(D983,I_COA!$A$6:$A$265,0)),"N"))</f>
        <v>N</v>
      </c>
      <c r="O983" s="11" t="n">
        <f aca="false">IF(N983="N",ABS(J983),"")</f>
        <v>432097462.25</v>
      </c>
      <c r="P983" s="18" t="str">
        <f aca="false">IF(N983="N",B983&amp;"|"&amp;ROUND(O983,0),"")</f>
        <v>PI26080038|432097462</v>
      </c>
      <c r="Q983" s="18" t="str">
        <f aca="false">IF(N983&lt;&gt;"Y","",IFERROR(INDEX($D$6:$D$4005,MATCH(B983&amp;"|"&amp;ROUND(_xlfn.MAXIFS($O$6:$O$4005,$B$6:$B$4005,B983,$N$6:$N$4005,"N"),0),$P$6:$P$4005,0)),"(tanpa lawan)"))</f>
        <v/>
      </c>
      <c r="R983" s="44"/>
      <c r="S983" s="9" t="str">
        <f aca="false">IF(N983&lt;&gt;"Y","",IF(R983&lt;&gt;"",R983,IF(Q983="(tanpa lawan)","Transfer antar rekening",IFERROR(INDEX(I_COA!$F$6:$F$265,MATCH(Q983,I_COA!$A$6:$A$265,0)),"?"))))</f>
        <v/>
      </c>
    </row>
    <row r="984" customFormat="false" ht="15" hidden="false" customHeight="false" outlineLevel="0" collapsed="false">
      <c r="A984" s="37" t="n">
        <v>46248</v>
      </c>
      <c r="B984" s="44" t="s">
        <v>1394</v>
      </c>
      <c r="C984" s="44" t="s">
        <v>707</v>
      </c>
      <c r="D984" s="44" t="n">
        <v>5100006</v>
      </c>
      <c r="E984" s="44" t="s">
        <v>950</v>
      </c>
      <c r="F984" s="44" t="s">
        <v>1389</v>
      </c>
      <c r="G984" s="42"/>
      <c r="H984" s="42" t="n">
        <v>23557280</v>
      </c>
      <c r="I984" s="44" t="s">
        <v>597</v>
      </c>
      <c r="J984" s="11" t="n">
        <f aca="false">IF(D984="","",N(G984)-N(H984))</f>
        <v>-23557280</v>
      </c>
      <c r="K984" s="34" t="str">
        <f aca="false">IF(D984="","",IFERROR(INDEX(I_COA!$C$6:$C$265,MATCH(D984,I_COA!$A$6:$A$265,0)),"AKUN BARU"))</f>
        <v>LabaRugi</v>
      </c>
      <c r="L984" s="34" t="str">
        <f aca="false">IF(K984="LabaRugi",INDEX(I_COA!$D$6:$D$265,MATCH(D984,I_COA!$A$6:$A$265,0)),"")</f>
        <v>COGS - Live Bird</v>
      </c>
      <c r="M984" s="34" t="str">
        <f aca="false">IF(K984="Neraca",INDEX(I_COA!$E$6:$E$265,MATCH(D984,I_COA!$A$6:$A$265,0)),"")</f>
        <v/>
      </c>
      <c r="N984" s="34" t="str">
        <f aca="false">IF(D984="","",IFERROR(INDEX(I_COA!$G$6:$G$265,MATCH(D984,I_COA!$A$6:$A$265,0)),"N"))</f>
        <v>N</v>
      </c>
      <c r="O984" s="11" t="n">
        <f aca="false">IF(N984="N",ABS(J984),"")</f>
        <v>23557280</v>
      </c>
      <c r="P984" s="18" t="str">
        <f aca="false">IF(N984="N",B984&amp;"|"&amp;ROUND(O984,0),"")</f>
        <v>PI26080038|23557280</v>
      </c>
      <c r="Q984" s="18" t="str">
        <f aca="false">IF(N984&lt;&gt;"Y","",IFERROR(INDEX($D$6:$D$4005,MATCH(B984&amp;"|"&amp;ROUND(_xlfn.MAXIFS($O$6:$O$4005,$B$6:$B$4005,B984,$N$6:$N$4005,"N"),0),$P$6:$P$4005,0)),"(tanpa lawan)"))</f>
        <v/>
      </c>
      <c r="R984" s="44"/>
      <c r="S984" s="9" t="str">
        <f aca="false">IF(N984&lt;&gt;"Y","",IF(R984&lt;&gt;"",R984,IF(Q984="(tanpa lawan)","Transfer antar rekening",IFERROR(INDEX(I_COA!$F$6:$F$265,MATCH(Q984,I_COA!$A$6:$A$265,0)),"?"))))</f>
        <v/>
      </c>
    </row>
    <row r="985" customFormat="false" ht="15" hidden="false" customHeight="false" outlineLevel="0" collapsed="false">
      <c r="A985" s="37" t="n">
        <v>46248</v>
      </c>
      <c r="B985" s="44" t="s">
        <v>1394</v>
      </c>
      <c r="C985" s="44" t="s">
        <v>707</v>
      </c>
      <c r="D985" s="44" t="n">
        <v>5100007</v>
      </c>
      <c r="E985" s="44" t="s">
        <v>708</v>
      </c>
      <c r="F985" s="44" t="s">
        <v>1386</v>
      </c>
      <c r="G985" s="42"/>
      <c r="H985" s="42" t="n">
        <v>18000000</v>
      </c>
      <c r="I985" s="44" t="s">
        <v>597</v>
      </c>
      <c r="J985" s="11" t="n">
        <f aca="false">IF(D985="","",N(G985)-N(H985))</f>
        <v>-18000000</v>
      </c>
      <c r="K985" s="34" t="str">
        <f aca="false">IF(D985="","",IFERROR(INDEX(I_COA!$C$6:$C$265,MATCH(D985,I_COA!$A$6:$A$265,0)),"AKUN BARU"))</f>
        <v>LabaRugi</v>
      </c>
      <c r="L985" s="34" t="str">
        <f aca="false">IF(K985="LabaRugi",INDEX(I_COA!$D$6:$D$265,MATCH(D985,I_COA!$A$6:$A$265,0)),"")</f>
        <v>Other COGS - Expedition</v>
      </c>
      <c r="M985" s="34" t="str">
        <f aca="false">IF(K985="Neraca",INDEX(I_COA!$E$6:$E$265,MATCH(D985,I_COA!$A$6:$A$265,0)),"")</f>
        <v/>
      </c>
      <c r="N985" s="34" t="str">
        <f aca="false">IF(D985="","",IFERROR(INDEX(I_COA!$G$6:$G$265,MATCH(D985,I_COA!$A$6:$A$265,0)),"N"))</f>
        <v>N</v>
      </c>
      <c r="O985" s="11" t="n">
        <f aca="false">IF(N985="N",ABS(J985),"")</f>
        <v>18000000</v>
      </c>
      <c r="P985" s="18" t="str">
        <f aca="false">IF(N985="N",B985&amp;"|"&amp;ROUND(O985,0),"")</f>
        <v>PI26080038|18000000</v>
      </c>
      <c r="Q985" s="18" t="str">
        <f aca="false">IF(N985&lt;&gt;"Y","",IFERROR(INDEX($D$6:$D$4005,MATCH(B985&amp;"|"&amp;ROUND(_xlfn.MAXIFS($O$6:$O$4005,$B$6:$B$4005,B985,$N$6:$N$4005,"N"),0),$P$6:$P$4005,0)),"(tanpa lawan)"))</f>
        <v/>
      </c>
      <c r="R985" s="44"/>
      <c r="S985" s="9" t="str">
        <f aca="false">IF(N985&lt;&gt;"Y","",IF(R985&lt;&gt;"",R985,IF(Q985="(tanpa lawan)","Transfer antar rekening",IFERROR(INDEX(I_COA!$F$6:$F$265,MATCH(Q985,I_COA!$A$6:$A$265,0)),"?"))))</f>
        <v/>
      </c>
    </row>
    <row r="986" customFormat="false" ht="15" hidden="false" customHeight="false" outlineLevel="0" collapsed="false">
      <c r="A986" s="37" t="n">
        <v>46248</v>
      </c>
      <c r="B986" s="44" t="s">
        <v>1394</v>
      </c>
      <c r="C986" s="44" t="s">
        <v>707</v>
      </c>
      <c r="D986" s="44" t="n">
        <v>910004</v>
      </c>
      <c r="E986" s="44" t="s">
        <v>781</v>
      </c>
      <c r="F986" s="44" t="s">
        <v>1395</v>
      </c>
      <c r="G986" s="42"/>
      <c r="H986" s="42" t="n">
        <v>102400000</v>
      </c>
      <c r="I986" s="44" t="s">
        <v>597</v>
      </c>
      <c r="J986" s="11" t="n">
        <f aca="false">IF(D986="","",N(G986)-N(H986))</f>
        <v>-102400000</v>
      </c>
      <c r="K986" s="34" t="str">
        <f aca="false">IF(D986="","",IFERROR(INDEX(I_COA!$C$6:$C$265,MATCH(D986,I_COA!$A$6:$A$265,0)),"AKUN BARU"))</f>
        <v>Neraca</v>
      </c>
      <c r="L986" s="34" t="str">
        <f aca="false">IF(K986="LabaRugi",INDEX(I_COA!$D$6:$D$265,MATCH(D986,I_COA!$A$6:$A$265,0)),"")</f>
        <v/>
      </c>
      <c r="M986" s="34" t="str">
        <f aca="false">IF(K986="Neraca",INDEX(I_COA!$E$6:$E$265,MATCH(D986,I_COA!$A$6:$A$265,0)),"")</f>
        <v>Temporary account (to reclassify)</v>
      </c>
      <c r="N986" s="34" t="str">
        <f aca="false">IF(D986="","",IFERROR(INDEX(I_COA!$G$6:$G$265,MATCH(D986,I_COA!$A$6:$A$265,0)),"N"))</f>
        <v>N</v>
      </c>
      <c r="O986" s="11" t="n">
        <f aca="false">IF(N986="N",ABS(J986),"")</f>
        <v>102400000</v>
      </c>
      <c r="P986" s="18" t="str">
        <f aca="false">IF(N986="N",B986&amp;"|"&amp;ROUND(O986,0),"")</f>
        <v>PI26080038|102400000</v>
      </c>
      <c r="Q986" s="18" t="str">
        <f aca="false">IF(N986&lt;&gt;"Y","",IFERROR(INDEX($D$6:$D$4005,MATCH(B986&amp;"|"&amp;ROUND(_xlfn.MAXIFS($O$6:$O$4005,$B$6:$B$4005,B986,$N$6:$N$4005,"N"),0),$P$6:$P$4005,0)),"(tanpa lawan)"))</f>
        <v/>
      </c>
      <c r="R986" s="44"/>
      <c r="S986" s="9" t="str">
        <f aca="false">IF(N986&lt;&gt;"Y","",IF(R986&lt;&gt;"",R986,IF(Q986="(tanpa lawan)","Transfer antar rekening",IFERROR(INDEX(I_COA!$F$6:$F$265,MATCH(Q986,I_COA!$A$6:$A$265,0)),"?"))))</f>
        <v/>
      </c>
    </row>
    <row r="987" customFormat="false" ht="15" hidden="false" customHeight="false" outlineLevel="0" collapsed="false">
      <c r="A987" s="37" t="n">
        <v>46248</v>
      </c>
      <c r="B987" s="44" t="s">
        <v>1394</v>
      </c>
      <c r="C987" s="44" t="s">
        <v>707</v>
      </c>
      <c r="D987" s="44" t="n">
        <v>7100008</v>
      </c>
      <c r="E987" s="44" t="s">
        <v>952</v>
      </c>
      <c r="F987" s="44" t="s">
        <v>1338</v>
      </c>
      <c r="G987" s="42"/>
      <c r="H987" s="42" t="n">
        <v>0.25</v>
      </c>
      <c r="I987" s="44" t="s">
        <v>597</v>
      </c>
      <c r="J987" s="11" t="n">
        <f aca="false">IF(D987="","",N(G987)-N(H987))</f>
        <v>-0.25</v>
      </c>
      <c r="K987" s="34" t="str">
        <f aca="false">IF(D987="","",IFERROR(INDEX(I_COA!$C$6:$C$265,MATCH(D987,I_COA!$A$6:$A$265,0)),"AKUN BARU"))</f>
        <v>LabaRugi</v>
      </c>
      <c r="L987" s="34" t="str">
        <f aca="false">IF(K987="LabaRugi",INDEX(I_COA!$D$6:$D$265,MATCH(D987,I_COA!$A$6:$A$265,0)),"")</f>
        <v>Other Income</v>
      </c>
      <c r="M987" s="34" t="str">
        <f aca="false">IF(K987="Neraca",INDEX(I_COA!$E$6:$E$265,MATCH(D987,I_COA!$A$6:$A$265,0)),"")</f>
        <v/>
      </c>
      <c r="N987" s="34" t="str">
        <f aca="false">IF(D987="","",IFERROR(INDEX(I_COA!$G$6:$G$265,MATCH(D987,I_COA!$A$6:$A$265,0)),"N"))</f>
        <v>N</v>
      </c>
      <c r="O987" s="11" t="n">
        <f aca="false">IF(N987="N",ABS(J987),"")</f>
        <v>0.25</v>
      </c>
      <c r="P987" s="18" t="str">
        <f aca="false">IF(N987="N",B987&amp;"|"&amp;ROUND(O987,0),"")</f>
        <v>PI26080038|0</v>
      </c>
      <c r="Q987" s="18" t="str">
        <f aca="false">IF(N987&lt;&gt;"Y","",IFERROR(INDEX($D$6:$D$4005,MATCH(B987&amp;"|"&amp;ROUND(_xlfn.MAXIFS($O$6:$O$4005,$B$6:$B$4005,B987,$N$6:$N$4005,"N"),0),$P$6:$P$4005,0)),"(tanpa lawan)"))</f>
        <v/>
      </c>
      <c r="R987" s="44"/>
      <c r="S987" s="9" t="str">
        <f aca="false">IF(N987&lt;&gt;"Y","",IF(R987&lt;&gt;"",R987,IF(Q987="(tanpa lawan)","Transfer antar rekening",IFERROR(INDEX(I_COA!$F$6:$F$265,MATCH(Q987,I_COA!$A$6:$A$265,0)),"?"))))</f>
        <v/>
      </c>
    </row>
    <row r="988" customFormat="false" ht="15" hidden="false" customHeight="false" outlineLevel="0" collapsed="false">
      <c r="A988" s="37" t="n">
        <v>46248</v>
      </c>
      <c r="B988" s="44" t="s">
        <v>1394</v>
      </c>
      <c r="C988" s="44" t="s">
        <v>707</v>
      </c>
      <c r="D988" s="44" t="n">
        <v>2102007</v>
      </c>
      <c r="E988" s="44" t="s">
        <v>955</v>
      </c>
      <c r="F988" s="44" t="s">
        <v>1396</v>
      </c>
      <c r="G988" s="42"/>
      <c r="H988" s="42" t="n">
        <v>256000</v>
      </c>
      <c r="I988" s="44" t="s">
        <v>597</v>
      </c>
      <c r="J988" s="11" t="n">
        <f aca="false">IF(D988="","",N(G988)-N(H988))</f>
        <v>-256000</v>
      </c>
      <c r="K988" s="34" t="str">
        <f aca="false">IF(D988="","",IFERROR(INDEX(I_COA!$C$6:$C$265,MATCH(D988,I_COA!$A$6:$A$265,0)),"AKUN BARU"))</f>
        <v>Neraca</v>
      </c>
      <c r="L988" s="34" t="str">
        <f aca="false">IF(K988="LabaRugi",INDEX(I_COA!$D$6:$D$265,MATCH(D988,I_COA!$A$6:$A$265,0)),"")</f>
        <v/>
      </c>
      <c r="M988" s="34" t="str">
        <f aca="false">IF(K988="Neraca",INDEX(I_COA!$E$6:$E$265,MATCH(D988,I_COA!$A$6:$A$265,0)),"")</f>
        <v>Taxes Payable</v>
      </c>
      <c r="N988" s="34" t="str">
        <f aca="false">IF(D988="","",IFERROR(INDEX(I_COA!$G$6:$G$265,MATCH(D988,I_COA!$A$6:$A$265,0)),"N"))</f>
        <v>N</v>
      </c>
      <c r="O988" s="11" t="n">
        <f aca="false">IF(N988="N",ABS(J988),"")</f>
        <v>256000</v>
      </c>
      <c r="P988" s="18" t="str">
        <f aca="false">IF(N988="N",B988&amp;"|"&amp;ROUND(O988,0),"")</f>
        <v>PI26080038|256000</v>
      </c>
      <c r="Q988" s="18" t="str">
        <f aca="false">IF(N988&lt;&gt;"Y","",IFERROR(INDEX($D$6:$D$4005,MATCH(B988&amp;"|"&amp;ROUND(_xlfn.MAXIFS($O$6:$O$4005,$B$6:$B$4005,B988,$N$6:$N$4005,"N"),0),$P$6:$P$4005,0)),"(tanpa lawan)"))</f>
        <v/>
      </c>
      <c r="R988" s="44"/>
      <c r="S988" s="9" t="str">
        <f aca="false">IF(N988&lt;&gt;"Y","",IF(R988&lt;&gt;"",R988,IF(Q988="(tanpa lawan)","Transfer antar rekening",IFERROR(INDEX(I_COA!$F$6:$F$265,MATCH(Q988,I_COA!$A$6:$A$265,0)),"?"))))</f>
        <v/>
      </c>
    </row>
    <row r="989" customFormat="false" ht="15" hidden="false" customHeight="false" outlineLevel="0" collapsed="false">
      <c r="A989" s="37" t="n">
        <v>46248</v>
      </c>
      <c r="B989" s="44" t="s">
        <v>1394</v>
      </c>
      <c r="C989" s="44" t="s">
        <v>707</v>
      </c>
      <c r="D989" s="44" t="n">
        <v>2102007</v>
      </c>
      <c r="E989" s="44" t="s">
        <v>955</v>
      </c>
      <c r="F989" s="44" t="s">
        <v>1397</v>
      </c>
      <c r="G989" s="42"/>
      <c r="H989" s="42" t="n">
        <v>720350</v>
      </c>
      <c r="I989" s="44" t="s">
        <v>597</v>
      </c>
      <c r="J989" s="11" t="n">
        <f aca="false">IF(D989="","",N(G989)-N(H989))</f>
        <v>-720350</v>
      </c>
      <c r="K989" s="34" t="str">
        <f aca="false">IF(D989="","",IFERROR(INDEX(I_COA!$C$6:$C$265,MATCH(D989,I_COA!$A$6:$A$265,0)),"AKUN BARU"))</f>
        <v>Neraca</v>
      </c>
      <c r="L989" s="34" t="str">
        <f aca="false">IF(K989="LabaRugi",INDEX(I_COA!$D$6:$D$265,MATCH(D989,I_COA!$A$6:$A$265,0)),"")</f>
        <v/>
      </c>
      <c r="M989" s="34" t="str">
        <f aca="false">IF(K989="Neraca",INDEX(I_COA!$E$6:$E$265,MATCH(D989,I_COA!$A$6:$A$265,0)),"")</f>
        <v>Taxes Payable</v>
      </c>
      <c r="N989" s="34" t="str">
        <f aca="false">IF(D989="","",IFERROR(INDEX(I_COA!$G$6:$G$265,MATCH(D989,I_COA!$A$6:$A$265,0)),"N"))</f>
        <v>N</v>
      </c>
      <c r="O989" s="11" t="n">
        <f aca="false">IF(N989="N",ABS(J989),"")</f>
        <v>720350</v>
      </c>
      <c r="P989" s="18" t="str">
        <f aca="false">IF(N989="N",B989&amp;"|"&amp;ROUND(O989,0),"")</f>
        <v>PI26080038|720350</v>
      </c>
      <c r="Q989" s="18" t="str">
        <f aca="false">IF(N989&lt;&gt;"Y","",IFERROR(INDEX($D$6:$D$4005,MATCH(B989&amp;"|"&amp;ROUND(_xlfn.MAXIFS($O$6:$O$4005,$B$6:$B$4005,B989,$N$6:$N$4005,"N"),0),$P$6:$P$4005,0)),"(tanpa lawan)"))</f>
        <v/>
      </c>
      <c r="R989" s="44"/>
      <c r="S989" s="9" t="str">
        <f aca="false">IF(N989&lt;&gt;"Y","",IF(R989&lt;&gt;"",R989,IF(Q989="(tanpa lawan)","Transfer antar rekening",IFERROR(INDEX(I_COA!$F$6:$F$265,MATCH(Q989,I_COA!$A$6:$A$265,0)),"?"))))</f>
        <v/>
      </c>
    </row>
    <row r="990" customFormat="false" ht="15" hidden="false" customHeight="false" outlineLevel="0" collapsed="false">
      <c r="A990" s="37" t="n">
        <v>46248</v>
      </c>
      <c r="B990" s="44" t="s">
        <v>1394</v>
      </c>
      <c r="C990" s="44" t="s">
        <v>707</v>
      </c>
      <c r="D990" s="44" t="n">
        <v>7200010</v>
      </c>
      <c r="E990" s="44" t="s">
        <v>953</v>
      </c>
      <c r="F990" s="44" t="s">
        <v>1396</v>
      </c>
      <c r="G990" s="42" t="n">
        <v>256000</v>
      </c>
      <c r="H990" s="42"/>
      <c r="I990" s="44" t="s">
        <v>597</v>
      </c>
      <c r="J990" s="11" t="n">
        <f aca="false">IF(D990="","",N(G990)-N(H990))</f>
        <v>256000</v>
      </c>
      <c r="K990" s="34" t="str">
        <f aca="false">IF(D990="","",IFERROR(INDEX(I_COA!$C$6:$C$265,MATCH(D990,I_COA!$A$6:$A$265,0)),"AKUN BARU"))</f>
        <v>LabaRugi</v>
      </c>
      <c r="L990" s="34" t="str">
        <f aca="false">IF(K990="LabaRugi",INDEX(I_COA!$D$6:$D$265,MATCH(D990,I_COA!$A$6:$A$265,0)),"")</f>
        <v>Tax expenses</v>
      </c>
      <c r="M990" s="34" t="str">
        <f aca="false">IF(K990="Neraca",INDEX(I_COA!$E$6:$E$265,MATCH(D990,I_COA!$A$6:$A$265,0)),"")</f>
        <v/>
      </c>
      <c r="N990" s="34" t="str">
        <f aca="false">IF(D990="","",IFERROR(INDEX(I_COA!$G$6:$G$265,MATCH(D990,I_COA!$A$6:$A$265,0)),"N"))</f>
        <v>N</v>
      </c>
      <c r="O990" s="11" t="n">
        <f aca="false">IF(N990="N",ABS(J990),"")</f>
        <v>256000</v>
      </c>
      <c r="P990" s="18" t="str">
        <f aca="false">IF(N990="N",B990&amp;"|"&amp;ROUND(O990,0),"")</f>
        <v>PI26080038|256000</v>
      </c>
      <c r="Q990" s="18" t="str">
        <f aca="false">IF(N990&lt;&gt;"Y","",IFERROR(INDEX($D$6:$D$4005,MATCH(B990&amp;"|"&amp;ROUND(_xlfn.MAXIFS($O$6:$O$4005,$B$6:$B$4005,B990,$N$6:$N$4005,"N"),0),$P$6:$P$4005,0)),"(tanpa lawan)"))</f>
        <v/>
      </c>
      <c r="R990" s="44"/>
      <c r="S990" s="9" t="str">
        <f aca="false">IF(N990&lt;&gt;"Y","",IF(R990&lt;&gt;"",R990,IF(Q990="(tanpa lawan)","Transfer antar rekening",IFERROR(INDEX(I_COA!$F$6:$F$265,MATCH(Q990,I_COA!$A$6:$A$265,0)),"?"))))</f>
        <v/>
      </c>
    </row>
    <row r="991" customFormat="false" ht="15" hidden="false" customHeight="false" outlineLevel="0" collapsed="false">
      <c r="A991" s="37" t="n">
        <v>46248</v>
      </c>
      <c r="B991" s="44" t="s">
        <v>1394</v>
      </c>
      <c r="C991" s="44" t="s">
        <v>707</v>
      </c>
      <c r="D991" s="44" t="n">
        <v>7200010</v>
      </c>
      <c r="E991" s="44" t="s">
        <v>953</v>
      </c>
      <c r="F991" s="44" t="s">
        <v>1397</v>
      </c>
      <c r="G991" s="42" t="n">
        <v>720350</v>
      </c>
      <c r="H991" s="42"/>
      <c r="I991" s="44" t="s">
        <v>597</v>
      </c>
      <c r="J991" s="11" t="n">
        <f aca="false">IF(D991="","",N(G991)-N(H991))</f>
        <v>720350</v>
      </c>
      <c r="K991" s="34" t="str">
        <f aca="false">IF(D991="","",IFERROR(INDEX(I_COA!$C$6:$C$265,MATCH(D991,I_COA!$A$6:$A$265,0)),"AKUN BARU"))</f>
        <v>LabaRugi</v>
      </c>
      <c r="L991" s="34" t="str">
        <f aca="false">IF(K991="LabaRugi",INDEX(I_COA!$D$6:$D$265,MATCH(D991,I_COA!$A$6:$A$265,0)),"")</f>
        <v>Tax expenses</v>
      </c>
      <c r="M991" s="34" t="str">
        <f aca="false">IF(K991="Neraca",INDEX(I_COA!$E$6:$E$265,MATCH(D991,I_COA!$A$6:$A$265,0)),"")</f>
        <v/>
      </c>
      <c r="N991" s="34" t="str">
        <f aca="false">IF(D991="","",IFERROR(INDEX(I_COA!$G$6:$G$265,MATCH(D991,I_COA!$A$6:$A$265,0)),"N"))</f>
        <v>N</v>
      </c>
      <c r="O991" s="11" t="n">
        <f aca="false">IF(N991="N",ABS(J991),"")</f>
        <v>720350</v>
      </c>
      <c r="P991" s="18" t="str">
        <f aca="false">IF(N991="N",B991&amp;"|"&amp;ROUND(O991,0),"")</f>
        <v>PI26080038|720350</v>
      </c>
      <c r="Q991" s="18" t="str">
        <f aca="false">IF(N991&lt;&gt;"Y","",IFERROR(INDEX($D$6:$D$4005,MATCH(B991&amp;"|"&amp;ROUND(_xlfn.MAXIFS($O$6:$O$4005,$B$6:$B$4005,B991,$N$6:$N$4005,"N"),0),$P$6:$P$4005,0)),"(tanpa lawan)"))</f>
        <v/>
      </c>
      <c r="R991" s="44"/>
      <c r="S991" s="9" t="str">
        <f aca="false">IF(N991&lt;&gt;"Y","",IF(R991&lt;&gt;"",R991,IF(Q991="(tanpa lawan)","Transfer antar rekening",IFERROR(INDEX(I_COA!$F$6:$F$265,MATCH(Q991,I_COA!$A$6:$A$265,0)),"?"))))</f>
        <v/>
      </c>
    </row>
    <row r="992" customFormat="false" ht="15" hidden="false" customHeight="false" outlineLevel="0" collapsed="false">
      <c r="A992" s="37" t="n">
        <v>46248</v>
      </c>
      <c r="B992" s="44" t="s">
        <v>1394</v>
      </c>
      <c r="C992" s="44" t="s">
        <v>707</v>
      </c>
      <c r="D992" s="44" t="n">
        <v>2101001</v>
      </c>
      <c r="E992" s="44" t="s">
        <v>595</v>
      </c>
      <c r="F992" s="44" t="s">
        <v>1338</v>
      </c>
      <c r="G992" s="42"/>
      <c r="H992" s="42" t="n">
        <v>288140182</v>
      </c>
      <c r="I992" s="44" t="s">
        <v>597</v>
      </c>
      <c r="J992" s="11" t="n">
        <f aca="false">IF(D992="","",N(G992)-N(H992))</f>
        <v>-288140182</v>
      </c>
      <c r="K992" s="34" t="str">
        <f aca="false">IF(D992="","",IFERROR(INDEX(I_COA!$C$6:$C$265,MATCH(D992,I_COA!$A$6:$A$265,0)),"AKUN BARU"))</f>
        <v>Neraca</v>
      </c>
      <c r="L992" s="34" t="str">
        <f aca="false">IF(K992="LabaRugi",INDEX(I_COA!$D$6:$D$265,MATCH(D992,I_COA!$A$6:$A$265,0)),"")</f>
        <v/>
      </c>
      <c r="M992" s="34" t="str">
        <f aca="false">IF(K992="Neraca",INDEX(I_COA!$E$6:$E$265,MATCH(D992,I_COA!$A$6:$A$265,0)),"")</f>
        <v>Trade Payables - Third Parties</v>
      </c>
      <c r="N992" s="34" t="str">
        <f aca="false">IF(D992="","",IFERROR(INDEX(I_COA!$G$6:$G$265,MATCH(D992,I_COA!$A$6:$A$265,0)),"N"))</f>
        <v>N</v>
      </c>
      <c r="O992" s="11" t="n">
        <f aca="false">IF(N992="N",ABS(J992),"")</f>
        <v>288140182</v>
      </c>
      <c r="P992" s="18" t="str">
        <f aca="false">IF(N992="N",B992&amp;"|"&amp;ROUND(O992,0),"")</f>
        <v>PI26080038|288140182</v>
      </c>
      <c r="Q992" s="18" t="str">
        <f aca="false">IF(N992&lt;&gt;"Y","",IFERROR(INDEX($D$6:$D$4005,MATCH(B992&amp;"|"&amp;ROUND(_xlfn.MAXIFS($O$6:$O$4005,$B$6:$B$4005,B992,$N$6:$N$4005,"N"),0),$P$6:$P$4005,0)),"(tanpa lawan)"))</f>
        <v/>
      </c>
      <c r="R992" s="44"/>
      <c r="S992" s="9" t="str">
        <f aca="false">IF(N992&lt;&gt;"Y","",IF(R992&lt;&gt;"",R992,IF(Q992="(tanpa lawan)","Transfer antar rekening",IFERROR(INDEX(I_COA!$F$6:$F$265,MATCH(Q992,I_COA!$A$6:$A$265,0)),"?"))))</f>
        <v/>
      </c>
    </row>
    <row r="993" customFormat="false" ht="15" hidden="false" customHeight="false" outlineLevel="0" collapsed="false">
      <c r="A993" s="37" t="n">
        <v>46248</v>
      </c>
      <c r="B993" s="44" t="s">
        <v>1398</v>
      </c>
      <c r="C993" s="44" t="s">
        <v>707</v>
      </c>
      <c r="D993" s="44" t="n">
        <v>5100002</v>
      </c>
      <c r="E993" s="44" t="s">
        <v>1399</v>
      </c>
      <c r="F993" s="44" t="s">
        <v>1400</v>
      </c>
      <c r="G993" s="42" t="n">
        <v>20000000</v>
      </c>
      <c r="H993" s="42"/>
      <c r="I993" s="44" t="s">
        <v>681</v>
      </c>
      <c r="J993" s="11" t="n">
        <f aca="false">IF(D993="","",N(G993)-N(H993))</f>
        <v>20000000</v>
      </c>
      <c r="K993" s="34" t="str">
        <f aca="false">IF(D993="","",IFERROR(INDEX(I_COA!$C$6:$C$265,MATCH(D993,I_COA!$A$6:$A$265,0)),"AKUN BARU"))</f>
        <v>LabaRugi</v>
      </c>
      <c r="L993" s="34" t="str">
        <f aca="false">IF(K993="LabaRugi",INDEX(I_COA!$D$6:$D$265,MATCH(D993,I_COA!$A$6:$A$265,0)),"")</f>
        <v>Other COGS - Expedition</v>
      </c>
      <c r="M993" s="34" t="str">
        <f aca="false">IF(K993="Neraca",INDEX(I_COA!$E$6:$E$265,MATCH(D993,I_COA!$A$6:$A$265,0)),"")</f>
        <v/>
      </c>
      <c r="N993" s="34" t="str">
        <f aca="false">IF(D993="","",IFERROR(INDEX(I_COA!$G$6:$G$265,MATCH(D993,I_COA!$A$6:$A$265,0)),"N"))</f>
        <v>N</v>
      </c>
      <c r="O993" s="11" t="n">
        <f aca="false">IF(N993="N",ABS(J993),"")</f>
        <v>20000000</v>
      </c>
      <c r="P993" s="18" t="str">
        <f aca="false">IF(N993="N",B993&amp;"|"&amp;ROUND(O993,0),"")</f>
        <v>PI26080050|20000000</v>
      </c>
      <c r="Q993" s="18" t="str">
        <f aca="false">IF(N993&lt;&gt;"Y","",IFERROR(INDEX($D$6:$D$4005,MATCH(B993&amp;"|"&amp;ROUND(_xlfn.MAXIFS($O$6:$O$4005,$B$6:$B$4005,B993,$N$6:$N$4005,"N"),0),$P$6:$P$4005,0)),"(tanpa lawan)"))</f>
        <v/>
      </c>
      <c r="R993" s="44"/>
      <c r="S993" s="9" t="str">
        <f aca="false">IF(N993&lt;&gt;"Y","",IF(R993&lt;&gt;"",R993,IF(Q993="(tanpa lawan)","Transfer antar rekening",IFERROR(INDEX(I_COA!$F$6:$F$265,MATCH(Q993,I_COA!$A$6:$A$265,0)),"?"))))</f>
        <v/>
      </c>
    </row>
    <row r="994" customFormat="false" ht="15" hidden="false" customHeight="false" outlineLevel="0" collapsed="false">
      <c r="A994" s="37" t="n">
        <v>46248</v>
      </c>
      <c r="B994" s="44" t="s">
        <v>1398</v>
      </c>
      <c r="C994" s="44" t="s">
        <v>707</v>
      </c>
      <c r="D994" s="44" t="n">
        <v>2102002</v>
      </c>
      <c r="E994" s="44" t="s">
        <v>633</v>
      </c>
      <c r="F994" s="44" t="s">
        <v>1401</v>
      </c>
      <c r="G994" s="42"/>
      <c r="H994" s="42" t="n">
        <v>500000</v>
      </c>
      <c r="I994" s="44" t="s">
        <v>681</v>
      </c>
      <c r="J994" s="11" t="n">
        <f aca="false">IF(D994="","",N(G994)-N(H994))</f>
        <v>-500000</v>
      </c>
      <c r="K994" s="34" t="str">
        <f aca="false">IF(D994="","",IFERROR(INDEX(I_COA!$C$6:$C$265,MATCH(D994,I_COA!$A$6:$A$265,0)),"AKUN BARU"))</f>
        <v>Neraca</v>
      </c>
      <c r="L994" s="34" t="str">
        <f aca="false">IF(K994="LabaRugi",INDEX(I_COA!$D$6:$D$265,MATCH(D994,I_COA!$A$6:$A$265,0)),"")</f>
        <v/>
      </c>
      <c r="M994" s="34" t="str">
        <f aca="false">IF(K994="Neraca",INDEX(I_COA!$E$6:$E$265,MATCH(D994,I_COA!$A$6:$A$265,0)),"")</f>
        <v>Taxes Payable</v>
      </c>
      <c r="N994" s="34" t="str">
        <f aca="false">IF(D994="","",IFERROR(INDEX(I_COA!$G$6:$G$265,MATCH(D994,I_COA!$A$6:$A$265,0)),"N"))</f>
        <v>N</v>
      </c>
      <c r="O994" s="11" t="n">
        <f aca="false">IF(N994="N",ABS(J994),"")</f>
        <v>500000</v>
      </c>
      <c r="P994" s="18" t="str">
        <f aca="false">IF(N994="N",B994&amp;"|"&amp;ROUND(O994,0),"")</f>
        <v>PI26080050|500000</v>
      </c>
      <c r="Q994" s="18" t="str">
        <f aca="false">IF(N994&lt;&gt;"Y","",IFERROR(INDEX($D$6:$D$4005,MATCH(B994&amp;"|"&amp;ROUND(_xlfn.MAXIFS($O$6:$O$4005,$B$6:$B$4005,B994,$N$6:$N$4005,"N"),0),$P$6:$P$4005,0)),"(tanpa lawan)"))</f>
        <v/>
      </c>
      <c r="R994" s="44"/>
      <c r="S994" s="9" t="str">
        <f aca="false">IF(N994&lt;&gt;"Y","",IF(R994&lt;&gt;"",R994,IF(Q994="(tanpa lawan)","Transfer antar rekening",IFERROR(INDEX(I_COA!$F$6:$F$265,MATCH(Q994,I_COA!$A$6:$A$265,0)),"?"))))</f>
        <v/>
      </c>
    </row>
    <row r="995" customFormat="false" ht="15" hidden="false" customHeight="false" outlineLevel="0" collapsed="false">
      <c r="A995" s="37" t="n">
        <v>46248</v>
      </c>
      <c r="B995" s="44" t="s">
        <v>1398</v>
      </c>
      <c r="C995" s="44" t="s">
        <v>707</v>
      </c>
      <c r="D995" s="44" t="n">
        <v>2101003</v>
      </c>
      <c r="E995" s="44" t="s">
        <v>679</v>
      </c>
      <c r="F995" s="44" t="s">
        <v>1400</v>
      </c>
      <c r="G995" s="42"/>
      <c r="H995" s="42" t="n">
        <v>19500000</v>
      </c>
      <c r="I995" s="44" t="s">
        <v>681</v>
      </c>
      <c r="J995" s="11" t="n">
        <f aca="false">IF(D995="","",N(G995)-N(H995))</f>
        <v>-19500000</v>
      </c>
      <c r="K995" s="34" t="str">
        <f aca="false">IF(D995="","",IFERROR(INDEX(I_COA!$C$6:$C$265,MATCH(D995,I_COA!$A$6:$A$265,0)),"AKUN BARU"))</f>
        <v>Neraca</v>
      </c>
      <c r="L995" s="34" t="str">
        <f aca="false">IF(K995="LabaRugi",INDEX(I_COA!$D$6:$D$265,MATCH(D995,I_COA!$A$6:$A$265,0)),"")</f>
        <v/>
      </c>
      <c r="M995" s="34" t="str">
        <f aca="false">IF(K995="Neraca",INDEX(I_COA!$E$6:$E$265,MATCH(D995,I_COA!$A$6:$A$265,0)),"")</f>
        <v>Other Payable - Third Parties</v>
      </c>
      <c r="N995" s="34" t="str">
        <f aca="false">IF(D995="","",IFERROR(INDEX(I_COA!$G$6:$G$265,MATCH(D995,I_COA!$A$6:$A$265,0)),"N"))</f>
        <v>N</v>
      </c>
      <c r="O995" s="11" t="n">
        <f aca="false">IF(N995="N",ABS(J995),"")</f>
        <v>19500000</v>
      </c>
      <c r="P995" s="18" t="str">
        <f aca="false">IF(N995="N",B995&amp;"|"&amp;ROUND(O995,0),"")</f>
        <v>PI26080050|19500000</v>
      </c>
      <c r="Q995" s="18" t="str">
        <f aca="false">IF(N995&lt;&gt;"Y","",IFERROR(INDEX($D$6:$D$4005,MATCH(B995&amp;"|"&amp;ROUND(_xlfn.MAXIFS($O$6:$O$4005,$B$6:$B$4005,B995,$N$6:$N$4005,"N"),0),$P$6:$P$4005,0)),"(tanpa lawan)"))</f>
        <v/>
      </c>
      <c r="R995" s="44"/>
      <c r="S995" s="9" t="str">
        <f aca="false">IF(N995&lt;&gt;"Y","",IF(R995&lt;&gt;"",R995,IF(Q995="(tanpa lawan)","Transfer antar rekening",IFERROR(INDEX(I_COA!$F$6:$F$265,MATCH(Q995,I_COA!$A$6:$A$265,0)),"?"))))</f>
        <v/>
      </c>
    </row>
    <row r="996" customFormat="false" ht="15" hidden="false" customHeight="false" outlineLevel="0" collapsed="false">
      <c r="A996" s="37" t="n">
        <v>46249</v>
      </c>
      <c r="B996" s="44" t="s">
        <v>1311</v>
      </c>
      <c r="C996" s="44" t="s">
        <v>580</v>
      </c>
      <c r="D996" s="44" t="n">
        <v>1102001</v>
      </c>
      <c r="E996" s="44" t="s">
        <v>586</v>
      </c>
      <c r="F996" s="44" t="s">
        <v>1402</v>
      </c>
      <c r="G996" s="42" t="n">
        <v>252670475</v>
      </c>
      <c r="H996" s="42"/>
      <c r="I996" s="44"/>
      <c r="J996" s="11" t="n">
        <f aca="false">IF(D996="","",N(G996)-N(H996))</f>
        <v>252670475</v>
      </c>
      <c r="K996" s="34" t="str">
        <f aca="false">IF(D996="","",IFERROR(INDEX(I_COA!$C$6:$C$265,MATCH(D996,I_COA!$A$6:$A$265,0)),"AKUN BARU"))</f>
        <v>Neraca</v>
      </c>
      <c r="L996" s="34" t="str">
        <f aca="false">IF(K996="LabaRugi",INDEX(I_COA!$D$6:$D$265,MATCH(D996,I_COA!$A$6:$A$265,0)),"")</f>
        <v/>
      </c>
      <c r="M996" s="34" t="str">
        <f aca="false">IF(K996="Neraca",INDEX(I_COA!$E$6:$E$265,MATCH(D996,I_COA!$A$6:$A$265,0)),"")</f>
        <v>Cash and cash equivalents</v>
      </c>
      <c r="N996" s="34" t="str">
        <f aca="false">IF(D996="","",IFERROR(INDEX(I_COA!$G$6:$G$265,MATCH(D996,I_COA!$A$6:$A$265,0)),"N"))</f>
        <v>Y</v>
      </c>
      <c r="O996" s="11" t="str">
        <f aca="false">IF(N996="N",ABS(J996),"")</f>
        <v/>
      </c>
      <c r="P996" s="18" t="str">
        <f aca="false">IF(N996="N",B996&amp;"|"&amp;ROUND(O996,0),"")</f>
        <v/>
      </c>
      <c r="Q996" s="18" t="n">
        <f aca="false">IF(N996&lt;&gt;"Y","",IFERROR(INDEX($D$6:$D$4005,MATCH(B996&amp;"|"&amp;ROUND(_xlfn.MAXIFS($O$6:$O$4005,$B$6:$B$4005,B996,$N$6:$N$4005,"N"),0),$P$6:$P$4005,0)),"(tanpa lawan)"))</f>
        <v>2101020</v>
      </c>
      <c r="R996" s="44"/>
      <c r="S996" s="9" t="str">
        <f aca="false">IF(N996&lt;&gt;"Y","",IF(R996&lt;&gt;"",R996,IF(Q996="(tanpa lawan)","Transfer antar rekening",IFERROR(INDEX(I_COA!$F$6:$F$265,MATCH(Q996,I_COA!$A$6:$A$265,0)),"?"))))</f>
        <v>Penerimaan dari pelanggan</v>
      </c>
    </row>
    <row r="997" customFormat="false" ht="15" hidden="false" customHeight="false" outlineLevel="0" collapsed="false">
      <c r="A997" s="37" t="n">
        <v>46249</v>
      </c>
      <c r="B997" s="44" t="s">
        <v>1311</v>
      </c>
      <c r="C997" s="44" t="s">
        <v>580</v>
      </c>
      <c r="D997" s="44" t="n">
        <v>2101020</v>
      </c>
      <c r="E997" s="44" t="s">
        <v>653</v>
      </c>
      <c r="F997" s="44" t="s">
        <v>1402</v>
      </c>
      <c r="G997" s="42"/>
      <c r="H997" s="42" t="n">
        <v>252670475</v>
      </c>
      <c r="I997" s="44" t="s">
        <v>660</v>
      </c>
      <c r="J997" s="11" t="n">
        <f aca="false">IF(D997="","",N(G997)-N(H997))</f>
        <v>-252670475</v>
      </c>
      <c r="K997" s="34" t="str">
        <f aca="false">IF(D997="","",IFERROR(INDEX(I_COA!$C$6:$C$265,MATCH(D997,I_COA!$A$6:$A$265,0)),"AKUN BARU"))</f>
        <v>Neraca</v>
      </c>
      <c r="L997" s="34" t="str">
        <f aca="false">IF(K997="LabaRugi",INDEX(I_COA!$D$6:$D$265,MATCH(D997,I_COA!$A$6:$A$265,0)),"")</f>
        <v/>
      </c>
      <c r="M997" s="34" t="str">
        <f aca="false">IF(K997="Neraca",INDEX(I_COA!$E$6:$E$265,MATCH(D997,I_COA!$A$6:$A$265,0)),"")</f>
        <v>Unearned Revenue</v>
      </c>
      <c r="N997" s="34" t="str">
        <f aca="false">IF(D997="","",IFERROR(INDEX(I_COA!$G$6:$G$265,MATCH(D997,I_COA!$A$6:$A$265,0)),"N"))</f>
        <v>N</v>
      </c>
      <c r="O997" s="11" t="n">
        <f aca="false">IF(N997="N",ABS(J997),"")</f>
        <v>252670475</v>
      </c>
      <c r="P997" s="18" t="str">
        <f aca="false">IF(N997="N",B997&amp;"|"&amp;ROUND(O997,0),"")</f>
        <v>B7626080062|252670475</v>
      </c>
      <c r="Q997" s="18" t="str">
        <f aca="false">IF(N997&lt;&gt;"Y","",IFERROR(INDEX($D$6:$D$4005,MATCH(B997&amp;"|"&amp;ROUND(_xlfn.MAXIFS($O$6:$O$4005,$B$6:$B$4005,B997,$N$6:$N$4005,"N"),0),$P$6:$P$4005,0)),"(tanpa lawan)"))</f>
        <v/>
      </c>
      <c r="R997" s="44"/>
      <c r="S997" s="9" t="str">
        <f aca="false">IF(N997&lt;&gt;"Y","",IF(R997&lt;&gt;"",R997,IF(Q997="(tanpa lawan)","Transfer antar rekening",IFERROR(INDEX(I_COA!$F$6:$F$265,MATCH(Q997,I_COA!$A$6:$A$265,0)),"?"))))</f>
        <v/>
      </c>
    </row>
    <row r="998" customFormat="false" ht="15" hidden="false" customHeight="false" outlineLevel="0" collapsed="false">
      <c r="A998" s="37" t="n">
        <v>46249</v>
      </c>
      <c r="B998" s="44" t="s">
        <v>1403</v>
      </c>
      <c r="C998" s="44" t="s">
        <v>585</v>
      </c>
      <c r="D998" s="44" t="n">
        <v>1102001</v>
      </c>
      <c r="E998" s="44" t="s">
        <v>586</v>
      </c>
      <c r="F998" s="44" t="s">
        <v>1404</v>
      </c>
      <c r="G998" s="42" t="n">
        <v>67702500</v>
      </c>
      <c r="H998" s="42"/>
      <c r="I998" s="44" t="s">
        <v>592</v>
      </c>
      <c r="J998" s="11" t="n">
        <f aca="false">IF(D998="","",N(G998)-N(H998))</f>
        <v>67702500</v>
      </c>
      <c r="K998" s="34" t="str">
        <f aca="false">IF(D998="","",IFERROR(INDEX(I_COA!$C$6:$C$265,MATCH(D998,I_COA!$A$6:$A$265,0)),"AKUN BARU"))</f>
        <v>Neraca</v>
      </c>
      <c r="L998" s="34" t="str">
        <f aca="false">IF(K998="LabaRugi",INDEX(I_COA!$D$6:$D$265,MATCH(D998,I_COA!$A$6:$A$265,0)),"")</f>
        <v/>
      </c>
      <c r="M998" s="34" t="str">
        <f aca="false">IF(K998="Neraca",INDEX(I_COA!$E$6:$E$265,MATCH(D998,I_COA!$A$6:$A$265,0)),"")</f>
        <v>Cash and cash equivalents</v>
      </c>
      <c r="N998" s="34" t="str">
        <f aca="false">IF(D998="","",IFERROR(INDEX(I_COA!$G$6:$G$265,MATCH(D998,I_COA!$A$6:$A$265,0)),"N"))</f>
        <v>Y</v>
      </c>
      <c r="O998" s="11" t="str">
        <f aca="false">IF(N998="N",ABS(J998),"")</f>
        <v/>
      </c>
      <c r="P998" s="18" t="str">
        <f aca="false">IF(N998="N",B998&amp;"|"&amp;ROUND(O998,0),"")</f>
        <v/>
      </c>
      <c r="Q998" s="18" t="n">
        <f aca="false">IF(N998&lt;&gt;"Y","",IFERROR(INDEX($D$6:$D$4005,MATCH(B998&amp;"|"&amp;ROUND(_xlfn.MAXIFS($O$6:$O$4005,$B$6:$B$4005,B998,$N$6:$N$4005,"N"),0),$P$6:$P$4005,0)),"(tanpa lawan)"))</f>
        <v>1103101</v>
      </c>
      <c r="R998" s="44"/>
      <c r="S998" s="9" t="str">
        <f aca="false">IF(N998&lt;&gt;"Y","",IF(R998&lt;&gt;"",R998,IF(Q998="(tanpa lawan)","Transfer antar rekening",IFERROR(INDEX(I_COA!$F$6:$F$265,MATCH(Q998,I_COA!$A$6:$A$265,0)),"?"))))</f>
        <v>Penerimaan dari pelanggan</v>
      </c>
    </row>
    <row r="999" customFormat="false" ht="15" hidden="false" customHeight="false" outlineLevel="0" collapsed="false">
      <c r="A999" s="37" t="n">
        <v>46249</v>
      </c>
      <c r="B999" s="44" t="s">
        <v>1403</v>
      </c>
      <c r="C999" s="44" t="s">
        <v>585</v>
      </c>
      <c r="D999" s="44" t="n">
        <v>1103101</v>
      </c>
      <c r="E999" s="44" t="s">
        <v>589</v>
      </c>
      <c r="F999" s="44" t="s">
        <v>1404</v>
      </c>
      <c r="G999" s="42"/>
      <c r="H999" s="42" t="n">
        <v>67702500</v>
      </c>
      <c r="I999" s="44" t="s">
        <v>592</v>
      </c>
      <c r="J999" s="11" t="n">
        <f aca="false">IF(D999="","",N(G999)-N(H999))</f>
        <v>-67702500</v>
      </c>
      <c r="K999" s="34" t="str">
        <f aca="false">IF(D999="","",IFERROR(INDEX(I_COA!$C$6:$C$265,MATCH(D999,I_COA!$A$6:$A$265,0)),"AKUN BARU"))</f>
        <v>Neraca</v>
      </c>
      <c r="L999" s="34" t="str">
        <f aca="false">IF(K999="LabaRugi",INDEX(I_COA!$D$6:$D$265,MATCH(D999,I_COA!$A$6:$A$265,0)),"")</f>
        <v/>
      </c>
      <c r="M999" s="34" t="str">
        <f aca="false">IF(K999="Neraca",INDEX(I_COA!$E$6:$E$265,MATCH(D999,I_COA!$A$6:$A$265,0)),"")</f>
        <v>Trade Receivables - Third Parties</v>
      </c>
      <c r="N999" s="34" t="str">
        <f aca="false">IF(D999="","",IFERROR(INDEX(I_COA!$G$6:$G$265,MATCH(D999,I_COA!$A$6:$A$265,0)),"N"))</f>
        <v>N</v>
      </c>
      <c r="O999" s="11" t="n">
        <f aca="false">IF(N999="N",ABS(J999),"")</f>
        <v>67702500</v>
      </c>
      <c r="P999" s="18" t="str">
        <f aca="false">IF(N999="N",B999&amp;"|"&amp;ROUND(O999,0),"")</f>
        <v>B7626080069|67702500</v>
      </c>
      <c r="Q999" s="18" t="str">
        <f aca="false">IF(N999&lt;&gt;"Y","",IFERROR(INDEX($D$6:$D$4005,MATCH(B999&amp;"|"&amp;ROUND(_xlfn.MAXIFS($O$6:$O$4005,$B$6:$B$4005,B999,$N$6:$N$4005,"N"),0),$P$6:$P$4005,0)),"(tanpa lawan)"))</f>
        <v/>
      </c>
      <c r="R999" s="44"/>
      <c r="S999" s="9" t="str">
        <f aca="false">IF(N999&lt;&gt;"Y","",IF(R999&lt;&gt;"",R999,IF(Q999="(tanpa lawan)","Transfer antar rekening",IFERROR(INDEX(I_COA!$F$6:$F$265,MATCH(Q999,I_COA!$A$6:$A$265,0)),"?"))))</f>
        <v/>
      </c>
    </row>
    <row r="1000" customFormat="false" ht="15" hidden="false" customHeight="false" outlineLevel="0" collapsed="false">
      <c r="A1000" s="37" t="n">
        <v>46249</v>
      </c>
      <c r="B1000" s="44" t="s">
        <v>1405</v>
      </c>
      <c r="C1000" s="44" t="s">
        <v>585</v>
      </c>
      <c r="D1000" s="44" t="n">
        <v>1102001</v>
      </c>
      <c r="E1000" s="44" t="s">
        <v>586</v>
      </c>
      <c r="F1000" s="44" t="s">
        <v>1406</v>
      </c>
      <c r="G1000" s="42" t="n">
        <v>29998500</v>
      </c>
      <c r="H1000" s="42"/>
      <c r="I1000" s="44" t="s">
        <v>1194</v>
      </c>
      <c r="J1000" s="11" t="n">
        <f aca="false">IF(D1000="","",N(G1000)-N(H1000))</f>
        <v>29998500</v>
      </c>
      <c r="K1000" s="34" t="str">
        <f aca="false">IF(D1000="","",IFERROR(INDEX(I_COA!$C$6:$C$265,MATCH(D1000,I_COA!$A$6:$A$265,0)),"AKUN BARU"))</f>
        <v>Neraca</v>
      </c>
      <c r="L1000" s="34" t="str">
        <f aca="false">IF(K1000="LabaRugi",INDEX(I_COA!$D$6:$D$265,MATCH(D1000,I_COA!$A$6:$A$265,0)),"")</f>
        <v/>
      </c>
      <c r="M1000" s="34" t="str">
        <f aca="false">IF(K1000="Neraca",INDEX(I_COA!$E$6:$E$265,MATCH(D1000,I_COA!$A$6:$A$265,0)),"")</f>
        <v>Cash and cash equivalents</v>
      </c>
      <c r="N1000" s="34" t="str">
        <f aca="false">IF(D1000="","",IFERROR(INDEX(I_COA!$G$6:$G$265,MATCH(D1000,I_COA!$A$6:$A$265,0)),"N"))</f>
        <v>Y</v>
      </c>
      <c r="O1000" s="11" t="str">
        <f aca="false">IF(N1000="N",ABS(J1000),"")</f>
        <v/>
      </c>
      <c r="P1000" s="18" t="str">
        <f aca="false">IF(N1000="N",B1000&amp;"|"&amp;ROUND(O1000,0),"")</f>
        <v/>
      </c>
      <c r="Q1000" s="18" t="n">
        <f aca="false">IF(N1000&lt;&gt;"Y","",IFERROR(INDEX($D$6:$D$4005,MATCH(B1000&amp;"|"&amp;ROUND(_xlfn.MAXIFS($O$6:$O$4005,$B$6:$B$4005,B1000,$N$6:$N$4005,"N"),0),$P$6:$P$4005,0)),"(tanpa lawan)"))</f>
        <v>1103101</v>
      </c>
      <c r="R1000" s="44"/>
      <c r="S1000" s="9" t="str">
        <f aca="false">IF(N1000&lt;&gt;"Y","",IF(R1000&lt;&gt;"",R1000,IF(Q1000="(tanpa lawan)","Transfer antar rekening",IFERROR(INDEX(I_COA!$F$6:$F$265,MATCH(Q1000,I_COA!$A$6:$A$265,0)),"?"))))</f>
        <v>Penerimaan dari pelanggan</v>
      </c>
    </row>
    <row r="1001" customFormat="false" ht="15" hidden="false" customHeight="false" outlineLevel="0" collapsed="false">
      <c r="A1001" s="37" t="n">
        <v>46249</v>
      </c>
      <c r="B1001" s="44" t="s">
        <v>1405</v>
      </c>
      <c r="C1001" s="44" t="s">
        <v>585</v>
      </c>
      <c r="D1001" s="44" t="n">
        <v>1103101</v>
      </c>
      <c r="E1001" s="44" t="s">
        <v>589</v>
      </c>
      <c r="F1001" s="44" t="s">
        <v>1406</v>
      </c>
      <c r="G1001" s="42"/>
      <c r="H1001" s="42" t="n">
        <v>29998500</v>
      </c>
      <c r="I1001" s="44" t="s">
        <v>1194</v>
      </c>
      <c r="J1001" s="11" t="n">
        <f aca="false">IF(D1001="","",N(G1001)-N(H1001))</f>
        <v>-29998500</v>
      </c>
      <c r="K1001" s="34" t="str">
        <f aca="false">IF(D1001="","",IFERROR(INDEX(I_COA!$C$6:$C$265,MATCH(D1001,I_COA!$A$6:$A$265,0)),"AKUN BARU"))</f>
        <v>Neraca</v>
      </c>
      <c r="L1001" s="34" t="str">
        <f aca="false">IF(K1001="LabaRugi",INDEX(I_COA!$D$6:$D$265,MATCH(D1001,I_COA!$A$6:$A$265,0)),"")</f>
        <v/>
      </c>
      <c r="M1001" s="34" t="str">
        <f aca="false">IF(K1001="Neraca",INDEX(I_COA!$E$6:$E$265,MATCH(D1001,I_COA!$A$6:$A$265,0)),"")</f>
        <v>Trade Receivables - Third Parties</v>
      </c>
      <c r="N1001" s="34" t="str">
        <f aca="false">IF(D1001="","",IFERROR(INDEX(I_COA!$G$6:$G$265,MATCH(D1001,I_COA!$A$6:$A$265,0)),"N"))</f>
        <v>N</v>
      </c>
      <c r="O1001" s="11" t="n">
        <f aca="false">IF(N1001="N",ABS(J1001),"")</f>
        <v>29998500</v>
      </c>
      <c r="P1001" s="18" t="str">
        <f aca="false">IF(N1001="N",B1001&amp;"|"&amp;ROUND(O1001,0),"")</f>
        <v>B7626080070|29998500</v>
      </c>
      <c r="Q1001" s="18" t="str">
        <f aca="false">IF(N1001&lt;&gt;"Y","",IFERROR(INDEX($D$6:$D$4005,MATCH(B1001&amp;"|"&amp;ROUND(_xlfn.MAXIFS($O$6:$O$4005,$B$6:$B$4005,B1001,$N$6:$N$4005,"N"),0),$P$6:$P$4005,0)),"(tanpa lawan)"))</f>
        <v/>
      </c>
      <c r="R1001" s="44"/>
      <c r="S1001" s="9" t="str">
        <f aca="false">IF(N1001&lt;&gt;"Y","",IF(R1001&lt;&gt;"",R1001,IF(Q1001="(tanpa lawan)","Transfer antar rekening",IFERROR(INDEX(I_COA!$F$6:$F$265,MATCH(Q1001,I_COA!$A$6:$A$265,0)),"?"))))</f>
        <v/>
      </c>
    </row>
    <row r="1002" customFormat="false" ht="15" hidden="false" customHeight="false" outlineLevel="0" collapsed="false">
      <c r="A1002" s="37" t="n">
        <v>46249</v>
      </c>
      <c r="B1002" s="44" t="s">
        <v>1407</v>
      </c>
      <c r="C1002" s="44" t="s">
        <v>585</v>
      </c>
      <c r="D1002" s="44" t="n">
        <v>1102001</v>
      </c>
      <c r="E1002" s="44" t="s">
        <v>586</v>
      </c>
      <c r="F1002" s="44" t="s">
        <v>1408</v>
      </c>
      <c r="G1002" s="42" t="n">
        <v>67834675</v>
      </c>
      <c r="H1002" s="42"/>
      <c r="I1002" s="44" t="s">
        <v>429</v>
      </c>
      <c r="J1002" s="11" t="n">
        <f aca="false">IF(D1002="","",N(G1002)-N(H1002))</f>
        <v>67834675</v>
      </c>
      <c r="K1002" s="34" t="str">
        <f aca="false">IF(D1002="","",IFERROR(INDEX(I_COA!$C$6:$C$265,MATCH(D1002,I_COA!$A$6:$A$265,0)),"AKUN BARU"))</f>
        <v>Neraca</v>
      </c>
      <c r="L1002" s="34" t="str">
        <f aca="false">IF(K1002="LabaRugi",INDEX(I_COA!$D$6:$D$265,MATCH(D1002,I_COA!$A$6:$A$265,0)),"")</f>
        <v/>
      </c>
      <c r="M1002" s="34" t="str">
        <f aca="false">IF(K1002="Neraca",INDEX(I_COA!$E$6:$E$265,MATCH(D1002,I_COA!$A$6:$A$265,0)),"")</f>
        <v>Cash and cash equivalents</v>
      </c>
      <c r="N1002" s="34" t="str">
        <f aca="false">IF(D1002="","",IFERROR(INDEX(I_COA!$G$6:$G$265,MATCH(D1002,I_COA!$A$6:$A$265,0)),"N"))</f>
        <v>Y</v>
      </c>
      <c r="O1002" s="11" t="str">
        <f aca="false">IF(N1002="N",ABS(J1002),"")</f>
        <v/>
      </c>
      <c r="P1002" s="18" t="str">
        <f aca="false">IF(N1002="N",B1002&amp;"|"&amp;ROUND(O1002,0),"")</f>
        <v/>
      </c>
      <c r="Q1002" s="18" t="n">
        <f aca="false">IF(N1002&lt;&gt;"Y","",IFERROR(INDEX($D$6:$D$4005,MATCH(B1002&amp;"|"&amp;ROUND(_xlfn.MAXIFS($O$6:$O$4005,$B$6:$B$4005,B1002,$N$6:$N$4005,"N"),0),$P$6:$P$4005,0)),"(tanpa lawan)"))</f>
        <v>1103101</v>
      </c>
      <c r="R1002" s="44"/>
      <c r="S1002" s="9" t="str">
        <f aca="false">IF(N1002&lt;&gt;"Y","",IF(R1002&lt;&gt;"",R1002,IF(Q1002="(tanpa lawan)","Transfer antar rekening",IFERROR(INDEX(I_COA!$F$6:$F$265,MATCH(Q1002,I_COA!$A$6:$A$265,0)),"?"))))</f>
        <v>Penerimaan dari pelanggan</v>
      </c>
    </row>
    <row r="1003" customFormat="false" ht="15" hidden="false" customHeight="false" outlineLevel="0" collapsed="false">
      <c r="A1003" s="37" t="n">
        <v>46249</v>
      </c>
      <c r="B1003" s="44" t="s">
        <v>1407</v>
      </c>
      <c r="C1003" s="44" t="s">
        <v>585</v>
      </c>
      <c r="D1003" s="44" t="n">
        <v>1103101</v>
      </c>
      <c r="E1003" s="44" t="s">
        <v>589</v>
      </c>
      <c r="F1003" s="44" t="s">
        <v>1408</v>
      </c>
      <c r="G1003" s="42"/>
      <c r="H1003" s="42" t="n">
        <v>67834675</v>
      </c>
      <c r="I1003" s="44" t="s">
        <v>429</v>
      </c>
      <c r="J1003" s="11" t="n">
        <f aca="false">IF(D1003="","",N(G1003)-N(H1003))</f>
        <v>-67834675</v>
      </c>
      <c r="K1003" s="34" t="str">
        <f aca="false">IF(D1003="","",IFERROR(INDEX(I_COA!$C$6:$C$265,MATCH(D1003,I_COA!$A$6:$A$265,0)),"AKUN BARU"))</f>
        <v>Neraca</v>
      </c>
      <c r="L1003" s="34" t="str">
        <f aca="false">IF(K1003="LabaRugi",INDEX(I_COA!$D$6:$D$265,MATCH(D1003,I_COA!$A$6:$A$265,0)),"")</f>
        <v/>
      </c>
      <c r="M1003" s="34" t="str">
        <f aca="false">IF(K1003="Neraca",INDEX(I_COA!$E$6:$E$265,MATCH(D1003,I_COA!$A$6:$A$265,0)),"")</f>
        <v>Trade Receivables - Third Parties</v>
      </c>
      <c r="N1003" s="34" t="str">
        <f aca="false">IF(D1003="","",IFERROR(INDEX(I_COA!$G$6:$G$265,MATCH(D1003,I_COA!$A$6:$A$265,0)),"N"))</f>
        <v>N</v>
      </c>
      <c r="O1003" s="11" t="n">
        <f aca="false">IF(N1003="N",ABS(J1003),"")</f>
        <v>67834675</v>
      </c>
      <c r="P1003" s="18" t="str">
        <f aca="false">IF(N1003="N",B1003&amp;"|"&amp;ROUND(O1003,0),"")</f>
        <v>B7626080071|67834675</v>
      </c>
      <c r="Q1003" s="18" t="str">
        <f aca="false">IF(N1003&lt;&gt;"Y","",IFERROR(INDEX($D$6:$D$4005,MATCH(B1003&amp;"|"&amp;ROUND(_xlfn.MAXIFS($O$6:$O$4005,$B$6:$B$4005,B1003,$N$6:$N$4005,"N"),0),$P$6:$P$4005,0)),"(tanpa lawan)"))</f>
        <v/>
      </c>
      <c r="R1003" s="44"/>
      <c r="S1003" s="9" t="str">
        <f aca="false">IF(N1003&lt;&gt;"Y","",IF(R1003&lt;&gt;"",R1003,IF(Q1003="(tanpa lawan)","Transfer antar rekening",IFERROR(INDEX(I_COA!$F$6:$F$265,MATCH(Q1003,I_COA!$A$6:$A$265,0)),"?"))))</f>
        <v/>
      </c>
    </row>
    <row r="1004" customFormat="false" ht="15" hidden="false" customHeight="false" outlineLevel="0" collapsed="false">
      <c r="A1004" s="37" t="n">
        <v>46249</v>
      </c>
      <c r="B1004" s="44" t="s">
        <v>1409</v>
      </c>
      <c r="C1004" s="44" t="s">
        <v>585</v>
      </c>
      <c r="D1004" s="44" t="n">
        <v>1102001</v>
      </c>
      <c r="E1004" s="44" t="s">
        <v>586</v>
      </c>
      <c r="F1004" s="44" t="s">
        <v>1410</v>
      </c>
      <c r="G1004" s="42" t="n">
        <v>30985000</v>
      </c>
      <c r="H1004" s="42"/>
      <c r="I1004" s="44" t="s">
        <v>1411</v>
      </c>
      <c r="J1004" s="11" t="n">
        <f aca="false">IF(D1004="","",N(G1004)-N(H1004))</f>
        <v>30985000</v>
      </c>
      <c r="K1004" s="34" t="str">
        <f aca="false">IF(D1004="","",IFERROR(INDEX(I_COA!$C$6:$C$265,MATCH(D1004,I_COA!$A$6:$A$265,0)),"AKUN BARU"))</f>
        <v>Neraca</v>
      </c>
      <c r="L1004" s="34" t="str">
        <f aca="false">IF(K1004="LabaRugi",INDEX(I_COA!$D$6:$D$265,MATCH(D1004,I_COA!$A$6:$A$265,0)),"")</f>
        <v/>
      </c>
      <c r="M1004" s="34" t="str">
        <f aca="false">IF(K1004="Neraca",INDEX(I_COA!$E$6:$E$265,MATCH(D1004,I_COA!$A$6:$A$265,0)),"")</f>
        <v>Cash and cash equivalents</v>
      </c>
      <c r="N1004" s="34" t="str">
        <f aca="false">IF(D1004="","",IFERROR(INDEX(I_COA!$G$6:$G$265,MATCH(D1004,I_COA!$A$6:$A$265,0)),"N"))</f>
        <v>Y</v>
      </c>
      <c r="O1004" s="11" t="str">
        <f aca="false">IF(N1004="N",ABS(J1004),"")</f>
        <v/>
      </c>
      <c r="P1004" s="18" t="str">
        <f aca="false">IF(N1004="N",B1004&amp;"|"&amp;ROUND(O1004,0),"")</f>
        <v/>
      </c>
      <c r="Q1004" s="18" t="n">
        <f aca="false">IF(N1004&lt;&gt;"Y","",IFERROR(INDEX($D$6:$D$4005,MATCH(B1004&amp;"|"&amp;ROUND(_xlfn.MAXIFS($O$6:$O$4005,$B$6:$B$4005,B1004,$N$6:$N$4005,"N"),0),$P$6:$P$4005,0)),"(tanpa lawan)"))</f>
        <v>1103101</v>
      </c>
      <c r="R1004" s="44"/>
      <c r="S1004" s="9" t="str">
        <f aca="false">IF(N1004&lt;&gt;"Y","",IF(R1004&lt;&gt;"",R1004,IF(Q1004="(tanpa lawan)","Transfer antar rekening",IFERROR(INDEX(I_COA!$F$6:$F$265,MATCH(Q1004,I_COA!$A$6:$A$265,0)),"?"))))</f>
        <v>Penerimaan dari pelanggan</v>
      </c>
    </row>
    <row r="1005" customFormat="false" ht="15" hidden="false" customHeight="false" outlineLevel="0" collapsed="false">
      <c r="A1005" s="37" t="n">
        <v>46249</v>
      </c>
      <c r="B1005" s="44" t="s">
        <v>1409</v>
      </c>
      <c r="C1005" s="44" t="s">
        <v>585</v>
      </c>
      <c r="D1005" s="44" t="n">
        <v>7200008</v>
      </c>
      <c r="E1005" s="44" t="s">
        <v>683</v>
      </c>
      <c r="F1005" s="44" t="s">
        <v>1410</v>
      </c>
      <c r="G1005" s="42" t="n">
        <v>800</v>
      </c>
      <c r="H1005" s="42"/>
      <c r="I1005" s="44" t="s">
        <v>1411</v>
      </c>
      <c r="J1005" s="11" t="n">
        <f aca="false">IF(D1005="","",N(G1005)-N(H1005))</f>
        <v>800</v>
      </c>
      <c r="K1005" s="34" t="str">
        <f aca="false">IF(D1005="","",IFERROR(INDEX(I_COA!$C$6:$C$265,MATCH(D1005,I_COA!$A$6:$A$265,0)),"AKUN BARU"))</f>
        <v>LabaRugi</v>
      </c>
      <c r="L1005" s="34" t="str">
        <f aca="false">IF(K1005="LabaRugi",INDEX(I_COA!$D$6:$D$265,MATCH(D1005,I_COA!$A$6:$A$265,0)),"")</f>
        <v>Other Expense</v>
      </c>
      <c r="M1005" s="34" t="str">
        <f aca="false">IF(K1005="Neraca",INDEX(I_COA!$E$6:$E$265,MATCH(D1005,I_COA!$A$6:$A$265,0)),"")</f>
        <v/>
      </c>
      <c r="N1005" s="34" t="str">
        <f aca="false">IF(D1005="","",IFERROR(INDEX(I_COA!$G$6:$G$265,MATCH(D1005,I_COA!$A$6:$A$265,0)),"N"))</f>
        <v>N</v>
      </c>
      <c r="O1005" s="11" t="n">
        <f aca="false">IF(N1005="N",ABS(J1005),"")</f>
        <v>800</v>
      </c>
      <c r="P1005" s="18" t="str">
        <f aca="false">IF(N1005="N",B1005&amp;"|"&amp;ROUND(O1005,0),"")</f>
        <v>B7626080072|800</v>
      </c>
      <c r="Q1005" s="18" t="str">
        <f aca="false">IF(N1005&lt;&gt;"Y","",IFERROR(INDEX($D$6:$D$4005,MATCH(B1005&amp;"|"&amp;ROUND(_xlfn.MAXIFS($O$6:$O$4005,$B$6:$B$4005,B1005,$N$6:$N$4005,"N"),0),$P$6:$P$4005,0)),"(tanpa lawan)"))</f>
        <v/>
      </c>
      <c r="R1005" s="44"/>
      <c r="S1005" s="9" t="str">
        <f aca="false">IF(N1005&lt;&gt;"Y","",IF(R1005&lt;&gt;"",R1005,IF(Q1005="(tanpa lawan)","Transfer antar rekening",IFERROR(INDEX(I_COA!$F$6:$F$265,MATCH(Q1005,I_COA!$A$6:$A$265,0)),"?"))))</f>
        <v/>
      </c>
    </row>
    <row r="1006" customFormat="false" ht="15" hidden="false" customHeight="false" outlineLevel="0" collapsed="false">
      <c r="A1006" s="37" t="n">
        <v>46249</v>
      </c>
      <c r="B1006" s="44" t="s">
        <v>1409</v>
      </c>
      <c r="C1006" s="44" t="s">
        <v>585</v>
      </c>
      <c r="D1006" s="44" t="n">
        <v>1103101</v>
      </c>
      <c r="E1006" s="44" t="s">
        <v>589</v>
      </c>
      <c r="F1006" s="44" t="s">
        <v>1410</v>
      </c>
      <c r="G1006" s="42"/>
      <c r="H1006" s="42" t="n">
        <v>30985800</v>
      </c>
      <c r="I1006" s="44" t="s">
        <v>1411</v>
      </c>
      <c r="J1006" s="11" t="n">
        <f aca="false">IF(D1006="","",N(G1006)-N(H1006))</f>
        <v>-30985800</v>
      </c>
      <c r="K1006" s="34" t="str">
        <f aca="false">IF(D1006="","",IFERROR(INDEX(I_COA!$C$6:$C$265,MATCH(D1006,I_COA!$A$6:$A$265,0)),"AKUN BARU"))</f>
        <v>Neraca</v>
      </c>
      <c r="L1006" s="34" t="str">
        <f aca="false">IF(K1006="LabaRugi",INDEX(I_COA!$D$6:$D$265,MATCH(D1006,I_COA!$A$6:$A$265,0)),"")</f>
        <v/>
      </c>
      <c r="M1006" s="34" t="str">
        <f aca="false">IF(K1006="Neraca",INDEX(I_COA!$E$6:$E$265,MATCH(D1006,I_COA!$A$6:$A$265,0)),"")</f>
        <v>Trade Receivables - Third Parties</v>
      </c>
      <c r="N1006" s="34" t="str">
        <f aca="false">IF(D1006="","",IFERROR(INDEX(I_COA!$G$6:$G$265,MATCH(D1006,I_COA!$A$6:$A$265,0)),"N"))</f>
        <v>N</v>
      </c>
      <c r="O1006" s="11" t="n">
        <f aca="false">IF(N1006="N",ABS(J1006),"")</f>
        <v>30985800</v>
      </c>
      <c r="P1006" s="18" t="str">
        <f aca="false">IF(N1006="N",B1006&amp;"|"&amp;ROUND(O1006,0),"")</f>
        <v>B7626080072|30985800</v>
      </c>
      <c r="Q1006" s="18" t="str">
        <f aca="false">IF(N1006&lt;&gt;"Y","",IFERROR(INDEX($D$6:$D$4005,MATCH(B1006&amp;"|"&amp;ROUND(_xlfn.MAXIFS($O$6:$O$4005,$B$6:$B$4005,B1006,$N$6:$N$4005,"N"),0),$P$6:$P$4005,0)),"(tanpa lawan)"))</f>
        <v/>
      </c>
      <c r="R1006" s="44"/>
      <c r="S1006" s="9" t="str">
        <f aca="false">IF(N1006&lt;&gt;"Y","",IF(R1006&lt;&gt;"",R1006,IF(Q1006="(tanpa lawan)","Transfer antar rekening",IFERROR(INDEX(I_COA!$F$6:$F$265,MATCH(Q1006,I_COA!$A$6:$A$265,0)),"?"))))</f>
        <v/>
      </c>
    </row>
    <row r="1007" customFormat="false" ht="15" hidden="false" customHeight="false" outlineLevel="0" collapsed="false">
      <c r="A1007" s="37" t="n">
        <v>46249</v>
      </c>
      <c r="B1007" s="44" t="s">
        <v>1412</v>
      </c>
      <c r="C1007" s="44" t="s">
        <v>585</v>
      </c>
      <c r="D1007" s="44" t="n">
        <v>1102001</v>
      </c>
      <c r="E1007" s="44" t="s">
        <v>586</v>
      </c>
      <c r="F1007" s="44" t="s">
        <v>1413</v>
      </c>
      <c r="G1007" s="42" t="n">
        <v>34449000</v>
      </c>
      <c r="H1007" s="42"/>
      <c r="I1007" s="44" t="s">
        <v>432</v>
      </c>
      <c r="J1007" s="11" t="n">
        <f aca="false">IF(D1007="","",N(G1007)-N(H1007))</f>
        <v>34449000</v>
      </c>
      <c r="K1007" s="34" t="str">
        <f aca="false">IF(D1007="","",IFERROR(INDEX(I_COA!$C$6:$C$265,MATCH(D1007,I_COA!$A$6:$A$265,0)),"AKUN BARU"))</f>
        <v>Neraca</v>
      </c>
      <c r="L1007" s="34" t="str">
        <f aca="false">IF(K1007="LabaRugi",INDEX(I_COA!$D$6:$D$265,MATCH(D1007,I_COA!$A$6:$A$265,0)),"")</f>
        <v/>
      </c>
      <c r="M1007" s="34" t="str">
        <f aca="false">IF(K1007="Neraca",INDEX(I_COA!$E$6:$E$265,MATCH(D1007,I_COA!$A$6:$A$265,0)),"")</f>
        <v>Cash and cash equivalents</v>
      </c>
      <c r="N1007" s="34" t="str">
        <f aca="false">IF(D1007="","",IFERROR(INDEX(I_COA!$G$6:$G$265,MATCH(D1007,I_COA!$A$6:$A$265,0)),"N"))</f>
        <v>Y</v>
      </c>
      <c r="O1007" s="11" t="str">
        <f aca="false">IF(N1007="N",ABS(J1007),"")</f>
        <v/>
      </c>
      <c r="P1007" s="18" t="str">
        <f aca="false">IF(N1007="N",B1007&amp;"|"&amp;ROUND(O1007,0),"")</f>
        <v/>
      </c>
      <c r="Q1007" s="18" t="n">
        <f aca="false">IF(N1007&lt;&gt;"Y","",IFERROR(INDEX($D$6:$D$4005,MATCH(B1007&amp;"|"&amp;ROUND(_xlfn.MAXIFS($O$6:$O$4005,$B$6:$B$4005,B1007,$N$6:$N$4005,"N"),0),$P$6:$P$4005,0)),"(tanpa lawan)"))</f>
        <v>1103101</v>
      </c>
      <c r="R1007" s="44"/>
      <c r="S1007" s="9" t="str">
        <f aca="false">IF(N1007&lt;&gt;"Y","",IF(R1007&lt;&gt;"",R1007,IF(Q1007="(tanpa lawan)","Transfer antar rekening",IFERROR(INDEX(I_COA!$F$6:$F$265,MATCH(Q1007,I_COA!$A$6:$A$265,0)),"?"))))</f>
        <v>Penerimaan dari pelanggan</v>
      </c>
    </row>
    <row r="1008" customFormat="false" ht="15" hidden="false" customHeight="false" outlineLevel="0" collapsed="false">
      <c r="A1008" s="37" t="n">
        <v>46249</v>
      </c>
      <c r="B1008" s="44" t="s">
        <v>1412</v>
      </c>
      <c r="C1008" s="44" t="s">
        <v>585</v>
      </c>
      <c r="D1008" s="44" t="n">
        <v>1103101</v>
      </c>
      <c r="E1008" s="44" t="s">
        <v>589</v>
      </c>
      <c r="F1008" s="44" t="s">
        <v>1413</v>
      </c>
      <c r="G1008" s="42"/>
      <c r="H1008" s="42" t="n">
        <v>34449000</v>
      </c>
      <c r="I1008" s="44" t="s">
        <v>432</v>
      </c>
      <c r="J1008" s="11" t="n">
        <f aca="false">IF(D1008="","",N(G1008)-N(H1008))</f>
        <v>-34449000</v>
      </c>
      <c r="K1008" s="34" t="str">
        <f aca="false">IF(D1008="","",IFERROR(INDEX(I_COA!$C$6:$C$265,MATCH(D1008,I_COA!$A$6:$A$265,0)),"AKUN BARU"))</f>
        <v>Neraca</v>
      </c>
      <c r="L1008" s="34" t="str">
        <f aca="false">IF(K1008="LabaRugi",INDEX(I_COA!$D$6:$D$265,MATCH(D1008,I_COA!$A$6:$A$265,0)),"")</f>
        <v/>
      </c>
      <c r="M1008" s="34" t="str">
        <f aca="false">IF(K1008="Neraca",INDEX(I_COA!$E$6:$E$265,MATCH(D1008,I_COA!$A$6:$A$265,0)),"")</f>
        <v>Trade Receivables - Third Parties</v>
      </c>
      <c r="N1008" s="34" t="str">
        <f aca="false">IF(D1008="","",IFERROR(INDEX(I_COA!$G$6:$G$265,MATCH(D1008,I_COA!$A$6:$A$265,0)),"N"))</f>
        <v>N</v>
      </c>
      <c r="O1008" s="11" t="n">
        <f aca="false">IF(N1008="N",ABS(J1008),"")</f>
        <v>34449000</v>
      </c>
      <c r="P1008" s="18" t="str">
        <f aca="false">IF(N1008="N",B1008&amp;"|"&amp;ROUND(O1008,0),"")</f>
        <v>B7626080073|34449000</v>
      </c>
      <c r="Q1008" s="18" t="str">
        <f aca="false">IF(N1008&lt;&gt;"Y","",IFERROR(INDEX($D$6:$D$4005,MATCH(B1008&amp;"|"&amp;ROUND(_xlfn.MAXIFS($O$6:$O$4005,$B$6:$B$4005,B1008,$N$6:$N$4005,"N"),0),$P$6:$P$4005,0)),"(tanpa lawan)"))</f>
        <v/>
      </c>
      <c r="R1008" s="44"/>
      <c r="S1008" s="9" t="str">
        <f aca="false">IF(N1008&lt;&gt;"Y","",IF(R1008&lt;&gt;"",R1008,IF(Q1008="(tanpa lawan)","Transfer antar rekening",IFERROR(INDEX(I_COA!$F$6:$F$265,MATCH(Q1008,I_COA!$A$6:$A$265,0)),"?"))))</f>
        <v/>
      </c>
    </row>
    <row r="1009" customFormat="false" ht="15" hidden="false" customHeight="false" outlineLevel="0" collapsed="false">
      <c r="A1009" s="37" t="n">
        <v>46249</v>
      </c>
      <c r="B1009" s="44" t="s">
        <v>1414</v>
      </c>
      <c r="C1009" s="44" t="s">
        <v>585</v>
      </c>
      <c r="D1009" s="44" t="n">
        <v>1102001</v>
      </c>
      <c r="E1009" s="44" t="s">
        <v>586</v>
      </c>
      <c r="F1009" s="44" t="s">
        <v>1415</v>
      </c>
      <c r="G1009" s="42" t="n">
        <v>14197500</v>
      </c>
      <c r="H1009" s="42"/>
      <c r="I1009" s="44" t="s">
        <v>429</v>
      </c>
      <c r="J1009" s="11" t="n">
        <f aca="false">IF(D1009="","",N(G1009)-N(H1009))</f>
        <v>14197500</v>
      </c>
      <c r="K1009" s="34" t="str">
        <f aca="false">IF(D1009="","",IFERROR(INDEX(I_COA!$C$6:$C$265,MATCH(D1009,I_COA!$A$6:$A$265,0)),"AKUN BARU"))</f>
        <v>Neraca</v>
      </c>
      <c r="L1009" s="34" t="str">
        <f aca="false">IF(K1009="LabaRugi",INDEX(I_COA!$D$6:$D$265,MATCH(D1009,I_COA!$A$6:$A$265,0)),"")</f>
        <v/>
      </c>
      <c r="M1009" s="34" t="str">
        <f aca="false">IF(K1009="Neraca",INDEX(I_COA!$E$6:$E$265,MATCH(D1009,I_COA!$A$6:$A$265,0)),"")</f>
        <v>Cash and cash equivalents</v>
      </c>
      <c r="N1009" s="34" t="str">
        <f aca="false">IF(D1009="","",IFERROR(INDEX(I_COA!$G$6:$G$265,MATCH(D1009,I_COA!$A$6:$A$265,0)),"N"))</f>
        <v>Y</v>
      </c>
      <c r="O1009" s="11" t="str">
        <f aca="false">IF(N1009="N",ABS(J1009),"")</f>
        <v/>
      </c>
      <c r="P1009" s="18" t="str">
        <f aca="false">IF(N1009="N",B1009&amp;"|"&amp;ROUND(O1009,0),"")</f>
        <v/>
      </c>
      <c r="Q1009" s="18" t="n">
        <f aca="false">IF(N1009&lt;&gt;"Y","",IFERROR(INDEX($D$6:$D$4005,MATCH(B1009&amp;"|"&amp;ROUND(_xlfn.MAXIFS($O$6:$O$4005,$B$6:$B$4005,B1009,$N$6:$N$4005,"N"),0),$P$6:$P$4005,0)),"(tanpa lawan)"))</f>
        <v>1103101</v>
      </c>
      <c r="R1009" s="44"/>
      <c r="S1009" s="9" t="str">
        <f aca="false">IF(N1009&lt;&gt;"Y","",IF(R1009&lt;&gt;"",R1009,IF(Q1009="(tanpa lawan)","Transfer antar rekening",IFERROR(INDEX(I_COA!$F$6:$F$265,MATCH(Q1009,I_COA!$A$6:$A$265,0)),"?"))))</f>
        <v>Penerimaan dari pelanggan</v>
      </c>
    </row>
    <row r="1010" customFormat="false" ht="15" hidden="false" customHeight="false" outlineLevel="0" collapsed="false">
      <c r="A1010" s="37" t="n">
        <v>46249</v>
      </c>
      <c r="B1010" s="44" t="s">
        <v>1414</v>
      </c>
      <c r="C1010" s="44" t="s">
        <v>585</v>
      </c>
      <c r="D1010" s="44" t="n">
        <v>2101020</v>
      </c>
      <c r="E1010" s="44" t="s">
        <v>653</v>
      </c>
      <c r="F1010" s="44" t="s">
        <v>1415</v>
      </c>
      <c r="G1010" s="42"/>
      <c r="H1010" s="42" t="n">
        <v>234000</v>
      </c>
      <c r="I1010" s="44" t="s">
        <v>429</v>
      </c>
      <c r="J1010" s="11" t="n">
        <f aca="false">IF(D1010="","",N(G1010)-N(H1010))</f>
        <v>-234000</v>
      </c>
      <c r="K1010" s="34" t="str">
        <f aca="false">IF(D1010="","",IFERROR(INDEX(I_COA!$C$6:$C$265,MATCH(D1010,I_COA!$A$6:$A$265,0)),"AKUN BARU"))</f>
        <v>Neraca</v>
      </c>
      <c r="L1010" s="34" t="str">
        <f aca="false">IF(K1010="LabaRugi",INDEX(I_COA!$D$6:$D$265,MATCH(D1010,I_COA!$A$6:$A$265,0)),"")</f>
        <v/>
      </c>
      <c r="M1010" s="34" t="str">
        <f aca="false">IF(K1010="Neraca",INDEX(I_COA!$E$6:$E$265,MATCH(D1010,I_COA!$A$6:$A$265,0)),"")</f>
        <v>Unearned Revenue</v>
      </c>
      <c r="N1010" s="34" t="str">
        <f aca="false">IF(D1010="","",IFERROR(INDEX(I_COA!$G$6:$G$265,MATCH(D1010,I_COA!$A$6:$A$265,0)),"N"))</f>
        <v>N</v>
      </c>
      <c r="O1010" s="11" t="n">
        <f aca="false">IF(N1010="N",ABS(J1010),"")</f>
        <v>234000</v>
      </c>
      <c r="P1010" s="18" t="str">
        <f aca="false">IF(N1010="N",B1010&amp;"|"&amp;ROUND(O1010,0),"")</f>
        <v>B7626080074|234000</v>
      </c>
      <c r="Q1010" s="18" t="str">
        <f aca="false">IF(N1010&lt;&gt;"Y","",IFERROR(INDEX($D$6:$D$4005,MATCH(B1010&amp;"|"&amp;ROUND(_xlfn.MAXIFS($O$6:$O$4005,$B$6:$B$4005,B1010,$N$6:$N$4005,"N"),0),$P$6:$P$4005,0)),"(tanpa lawan)"))</f>
        <v/>
      </c>
      <c r="R1010" s="44"/>
      <c r="S1010" s="9" t="str">
        <f aca="false">IF(N1010&lt;&gt;"Y","",IF(R1010&lt;&gt;"",R1010,IF(Q1010="(tanpa lawan)","Transfer antar rekening",IFERROR(INDEX(I_COA!$F$6:$F$265,MATCH(Q1010,I_COA!$A$6:$A$265,0)),"?"))))</f>
        <v/>
      </c>
    </row>
    <row r="1011" customFormat="false" ht="15" hidden="false" customHeight="false" outlineLevel="0" collapsed="false">
      <c r="A1011" s="37" t="n">
        <v>46249</v>
      </c>
      <c r="B1011" s="44" t="s">
        <v>1414</v>
      </c>
      <c r="C1011" s="44" t="s">
        <v>585</v>
      </c>
      <c r="D1011" s="44" t="n">
        <v>1103101</v>
      </c>
      <c r="E1011" s="44" t="s">
        <v>589</v>
      </c>
      <c r="F1011" s="44" t="s">
        <v>1415</v>
      </c>
      <c r="G1011" s="42"/>
      <c r="H1011" s="42" t="n">
        <v>13963500</v>
      </c>
      <c r="I1011" s="44" t="s">
        <v>429</v>
      </c>
      <c r="J1011" s="11" t="n">
        <f aca="false">IF(D1011="","",N(G1011)-N(H1011))</f>
        <v>-13963500</v>
      </c>
      <c r="K1011" s="34" t="str">
        <f aca="false">IF(D1011="","",IFERROR(INDEX(I_COA!$C$6:$C$265,MATCH(D1011,I_COA!$A$6:$A$265,0)),"AKUN BARU"))</f>
        <v>Neraca</v>
      </c>
      <c r="L1011" s="34" t="str">
        <f aca="false">IF(K1011="LabaRugi",INDEX(I_COA!$D$6:$D$265,MATCH(D1011,I_COA!$A$6:$A$265,0)),"")</f>
        <v/>
      </c>
      <c r="M1011" s="34" t="str">
        <f aca="false">IF(K1011="Neraca",INDEX(I_COA!$E$6:$E$265,MATCH(D1011,I_COA!$A$6:$A$265,0)),"")</f>
        <v>Trade Receivables - Third Parties</v>
      </c>
      <c r="N1011" s="34" t="str">
        <f aca="false">IF(D1011="","",IFERROR(INDEX(I_COA!$G$6:$G$265,MATCH(D1011,I_COA!$A$6:$A$265,0)),"N"))</f>
        <v>N</v>
      </c>
      <c r="O1011" s="11" t="n">
        <f aca="false">IF(N1011="N",ABS(J1011),"")</f>
        <v>13963500</v>
      </c>
      <c r="P1011" s="18" t="str">
        <f aca="false">IF(N1011="N",B1011&amp;"|"&amp;ROUND(O1011,0),"")</f>
        <v>B7626080074|13963500</v>
      </c>
      <c r="Q1011" s="18" t="str">
        <f aca="false">IF(N1011&lt;&gt;"Y","",IFERROR(INDEX($D$6:$D$4005,MATCH(B1011&amp;"|"&amp;ROUND(_xlfn.MAXIFS($O$6:$O$4005,$B$6:$B$4005,B1011,$N$6:$N$4005,"N"),0),$P$6:$P$4005,0)),"(tanpa lawan)"))</f>
        <v/>
      </c>
      <c r="R1011" s="44"/>
      <c r="S1011" s="9" t="str">
        <f aca="false">IF(N1011&lt;&gt;"Y","",IF(R1011&lt;&gt;"",R1011,IF(Q1011="(tanpa lawan)","Transfer antar rekening",IFERROR(INDEX(I_COA!$F$6:$F$265,MATCH(Q1011,I_COA!$A$6:$A$265,0)),"?"))))</f>
        <v/>
      </c>
    </row>
    <row r="1012" customFormat="false" ht="15" hidden="false" customHeight="false" outlineLevel="0" collapsed="false">
      <c r="A1012" s="37" t="n">
        <v>46249</v>
      </c>
      <c r="B1012" s="44" t="s">
        <v>1416</v>
      </c>
      <c r="C1012" s="44" t="s">
        <v>690</v>
      </c>
      <c r="D1012" s="44" t="n">
        <v>1104006</v>
      </c>
      <c r="E1012" s="44" t="s">
        <v>212</v>
      </c>
      <c r="F1012" s="44" t="s">
        <v>1417</v>
      </c>
      <c r="G1012" s="42" t="n">
        <v>1097950780.2</v>
      </c>
      <c r="H1012" s="42"/>
      <c r="I1012" s="44" t="s">
        <v>597</v>
      </c>
      <c r="J1012" s="11" t="n">
        <f aca="false">IF(D1012="","",N(G1012)-N(H1012))</f>
        <v>1097950780.2</v>
      </c>
      <c r="K1012" s="34" t="str">
        <f aca="false">IF(D1012="","",IFERROR(INDEX(I_COA!$C$6:$C$265,MATCH(D1012,I_COA!$A$6:$A$265,0)),"AKUN BARU"))</f>
        <v>Neraca</v>
      </c>
      <c r="L1012" s="34" t="str">
        <f aca="false">IF(K1012="LabaRugi",INDEX(I_COA!$D$6:$D$265,MATCH(D1012,I_COA!$A$6:$A$265,0)),"")</f>
        <v/>
      </c>
      <c r="M1012" s="34" t="str">
        <f aca="false">IF(K1012="Neraca",INDEX(I_COA!$E$6:$E$265,MATCH(D1012,I_COA!$A$6:$A$265,0)),"")</f>
        <v>Inventory - Trading</v>
      </c>
      <c r="N1012" s="34" t="str">
        <f aca="false">IF(D1012="","",IFERROR(INDEX(I_COA!$G$6:$G$265,MATCH(D1012,I_COA!$A$6:$A$265,0)),"N"))</f>
        <v>N</v>
      </c>
      <c r="O1012" s="11" t="n">
        <f aca="false">IF(N1012="N",ABS(J1012),"")</f>
        <v>1097950780.2</v>
      </c>
      <c r="P1012" s="18" t="str">
        <f aca="false">IF(N1012="N",B1012&amp;"|"&amp;ROUND(O1012,0),"")</f>
        <v>GR26080018|1097950780</v>
      </c>
      <c r="Q1012" s="18" t="str">
        <f aca="false">IF(N1012&lt;&gt;"Y","",IFERROR(INDEX($D$6:$D$4005,MATCH(B1012&amp;"|"&amp;ROUND(_xlfn.MAXIFS($O$6:$O$4005,$B$6:$B$4005,B1012,$N$6:$N$4005,"N"),0),$P$6:$P$4005,0)),"(tanpa lawan)"))</f>
        <v/>
      </c>
      <c r="R1012" s="44"/>
      <c r="S1012" s="9" t="str">
        <f aca="false">IF(N1012&lt;&gt;"Y","",IF(R1012&lt;&gt;"",R1012,IF(Q1012="(tanpa lawan)","Transfer antar rekening",IFERROR(INDEX(I_COA!$F$6:$F$265,MATCH(Q1012,I_COA!$A$6:$A$265,0)),"?"))))</f>
        <v/>
      </c>
    </row>
    <row r="1013" customFormat="false" ht="15" hidden="false" customHeight="false" outlineLevel="0" collapsed="false">
      <c r="A1013" s="37" t="n">
        <v>46249</v>
      </c>
      <c r="B1013" s="44" t="s">
        <v>1416</v>
      </c>
      <c r="C1013" s="44" t="s">
        <v>690</v>
      </c>
      <c r="D1013" s="44" t="n">
        <v>2103011</v>
      </c>
      <c r="E1013" s="44" t="s">
        <v>693</v>
      </c>
      <c r="F1013" s="44" t="s">
        <v>1417</v>
      </c>
      <c r="G1013" s="42"/>
      <c r="H1013" s="42" t="n">
        <v>1097950780.2</v>
      </c>
      <c r="I1013" s="44" t="s">
        <v>597</v>
      </c>
      <c r="J1013" s="11" t="n">
        <f aca="false">IF(D1013="","",N(G1013)-N(H1013))</f>
        <v>-1097950780.2</v>
      </c>
      <c r="K1013" s="34" t="str">
        <f aca="false">IF(D1013="","",IFERROR(INDEX(I_COA!$C$6:$C$265,MATCH(D1013,I_COA!$A$6:$A$265,0)),"AKUN BARU"))</f>
        <v>Neraca</v>
      </c>
      <c r="L1013" s="34" t="str">
        <f aca="false">IF(K1013="LabaRugi",INDEX(I_COA!$D$6:$D$265,MATCH(D1013,I_COA!$A$6:$A$265,0)),"")</f>
        <v/>
      </c>
      <c r="M1013" s="34" t="str">
        <f aca="false">IF(K1013="Neraca",INDEX(I_COA!$E$6:$E$265,MATCH(D1013,I_COA!$A$6:$A$265,0)),"")</f>
        <v>Accrued Expenses - Third Parties</v>
      </c>
      <c r="N1013" s="34" t="str">
        <f aca="false">IF(D1013="","",IFERROR(INDEX(I_COA!$G$6:$G$265,MATCH(D1013,I_COA!$A$6:$A$265,0)),"N"))</f>
        <v>N</v>
      </c>
      <c r="O1013" s="11" t="n">
        <f aca="false">IF(N1013="N",ABS(J1013),"")</f>
        <v>1097950780.2</v>
      </c>
      <c r="P1013" s="18" t="str">
        <f aca="false">IF(N1013="N",B1013&amp;"|"&amp;ROUND(O1013,0),"")</f>
        <v>GR26080018|1097950780</v>
      </c>
      <c r="Q1013" s="18" t="str">
        <f aca="false">IF(N1013&lt;&gt;"Y","",IFERROR(INDEX($D$6:$D$4005,MATCH(B1013&amp;"|"&amp;ROUND(_xlfn.MAXIFS($O$6:$O$4005,$B$6:$B$4005,B1013,$N$6:$N$4005,"N"),0),$P$6:$P$4005,0)),"(tanpa lawan)"))</f>
        <v/>
      </c>
      <c r="R1013" s="44"/>
      <c r="S1013" s="9" t="str">
        <f aca="false">IF(N1013&lt;&gt;"Y","",IF(R1013&lt;&gt;"",R1013,IF(Q1013="(tanpa lawan)","Transfer antar rekening",IFERROR(INDEX(I_COA!$F$6:$F$265,MATCH(Q1013,I_COA!$A$6:$A$265,0)),"?"))))</f>
        <v/>
      </c>
    </row>
    <row r="1014" customFormat="false" ht="15" hidden="false" customHeight="false" outlineLevel="0" collapsed="false">
      <c r="A1014" s="37" t="n">
        <v>46249</v>
      </c>
      <c r="B1014" s="44" t="s">
        <v>1418</v>
      </c>
      <c r="C1014" s="44" t="s">
        <v>600</v>
      </c>
      <c r="D1014" s="44" t="n">
        <v>1104002</v>
      </c>
      <c r="E1014" s="44" t="s">
        <v>601</v>
      </c>
      <c r="F1014" s="44" t="s">
        <v>1419</v>
      </c>
      <c r="G1014" s="42" t="n">
        <v>91185802.43</v>
      </c>
      <c r="H1014" s="42"/>
      <c r="I1014" s="44" t="s">
        <v>1223</v>
      </c>
      <c r="J1014" s="11" t="n">
        <f aca="false">IF(D1014="","",N(G1014)-N(H1014))</f>
        <v>91185802.43</v>
      </c>
      <c r="K1014" s="34" t="str">
        <f aca="false">IF(D1014="","",IFERROR(INDEX(I_COA!$C$6:$C$265,MATCH(D1014,I_COA!$A$6:$A$265,0)),"AKUN BARU"))</f>
        <v>Neraca</v>
      </c>
      <c r="L1014" s="34" t="str">
        <f aca="false">IF(K1014="LabaRugi",INDEX(I_COA!$D$6:$D$265,MATCH(D1014,I_COA!$A$6:$A$265,0)),"")</f>
        <v/>
      </c>
      <c r="M1014" s="34" t="str">
        <f aca="false">IF(K1014="Neraca",INDEX(I_COA!$E$6:$E$265,MATCH(D1014,I_COA!$A$6:$A$265,0)),"")</f>
        <v>Inventory - Product</v>
      </c>
      <c r="N1014" s="34" t="str">
        <f aca="false">IF(D1014="","",IFERROR(INDEX(I_COA!$G$6:$G$265,MATCH(D1014,I_COA!$A$6:$A$265,0)),"N"))</f>
        <v>N</v>
      </c>
      <c r="O1014" s="11" t="n">
        <f aca="false">IF(N1014="N",ABS(J1014),"")</f>
        <v>91185802.43</v>
      </c>
      <c r="P1014" s="18" t="str">
        <f aca="false">IF(N1014="N",B1014&amp;"|"&amp;ROUND(O1014,0),"")</f>
        <v>KGR26.00257|91185802</v>
      </c>
      <c r="Q1014" s="18" t="str">
        <f aca="false">IF(N1014&lt;&gt;"Y","",IFERROR(INDEX($D$6:$D$4005,MATCH(B1014&amp;"|"&amp;ROUND(_xlfn.MAXIFS($O$6:$O$4005,$B$6:$B$4005,B1014,$N$6:$N$4005,"N"),0),$P$6:$P$4005,0)),"(tanpa lawan)"))</f>
        <v/>
      </c>
      <c r="R1014" s="44"/>
      <c r="S1014" s="9" t="str">
        <f aca="false">IF(N1014&lt;&gt;"Y","",IF(R1014&lt;&gt;"",R1014,IF(Q1014="(tanpa lawan)","Transfer antar rekening",IFERROR(INDEX(I_COA!$F$6:$F$265,MATCH(Q1014,I_COA!$A$6:$A$265,0)),"?"))))</f>
        <v/>
      </c>
    </row>
    <row r="1015" customFormat="false" ht="15" hidden="false" customHeight="false" outlineLevel="0" collapsed="false">
      <c r="A1015" s="37" t="n">
        <v>46249</v>
      </c>
      <c r="B1015" s="44" t="s">
        <v>1418</v>
      </c>
      <c r="C1015" s="44" t="s">
        <v>600</v>
      </c>
      <c r="D1015" s="44" t="n">
        <v>1104004</v>
      </c>
      <c r="E1015" s="44" t="s">
        <v>917</v>
      </c>
      <c r="F1015" s="44" t="s">
        <v>1419</v>
      </c>
      <c r="G1015" s="42"/>
      <c r="H1015" s="42" t="n">
        <v>114123.62</v>
      </c>
      <c r="I1015" s="44" t="s">
        <v>1223</v>
      </c>
      <c r="J1015" s="11" t="n">
        <f aca="false">IF(D1015="","",N(G1015)-N(H1015))</f>
        <v>-114123.62</v>
      </c>
      <c r="K1015" s="34" t="str">
        <f aca="false">IF(D1015="","",IFERROR(INDEX(I_COA!$C$6:$C$265,MATCH(D1015,I_COA!$A$6:$A$265,0)),"AKUN BARU"))</f>
        <v>Neraca</v>
      </c>
      <c r="L1015" s="34" t="str">
        <f aca="false">IF(K1015="LabaRugi",INDEX(I_COA!$D$6:$D$265,MATCH(D1015,I_COA!$A$6:$A$265,0)),"")</f>
        <v/>
      </c>
      <c r="M1015" s="34" t="str">
        <f aca="false">IF(K1015="Neraca",INDEX(I_COA!$E$6:$E$265,MATCH(D1015,I_COA!$A$6:$A$265,0)),"")</f>
        <v>Inventory - Product</v>
      </c>
      <c r="N1015" s="34" t="str">
        <f aca="false">IF(D1015="","",IFERROR(INDEX(I_COA!$G$6:$G$265,MATCH(D1015,I_COA!$A$6:$A$265,0)),"N"))</f>
        <v>N</v>
      </c>
      <c r="O1015" s="11" t="n">
        <f aca="false">IF(N1015="N",ABS(J1015),"")</f>
        <v>114123.62</v>
      </c>
      <c r="P1015" s="18" t="str">
        <f aca="false">IF(N1015="N",B1015&amp;"|"&amp;ROUND(O1015,0),"")</f>
        <v>KGR26.00257|114124</v>
      </c>
      <c r="Q1015" s="18" t="str">
        <f aca="false">IF(N1015&lt;&gt;"Y","",IFERROR(INDEX($D$6:$D$4005,MATCH(B1015&amp;"|"&amp;ROUND(_xlfn.MAXIFS($O$6:$O$4005,$B$6:$B$4005,B1015,$N$6:$N$4005,"N"),0),$P$6:$P$4005,0)),"(tanpa lawan)"))</f>
        <v/>
      </c>
      <c r="R1015" s="44"/>
      <c r="S1015" s="9" t="str">
        <f aca="false">IF(N1015&lt;&gt;"Y","",IF(R1015&lt;&gt;"",R1015,IF(Q1015="(tanpa lawan)","Transfer antar rekening",IFERROR(INDEX(I_COA!$F$6:$F$265,MATCH(Q1015,I_COA!$A$6:$A$265,0)),"?"))))</f>
        <v/>
      </c>
    </row>
    <row r="1016" customFormat="false" ht="15" hidden="false" customHeight="false" outlineLevel="0" collapsed="false">
      <c r="A1016" s="37" t="n">
        <v>46249</v>
      </c>
      <c r="B1016" s="44" t="s">
        <v>1418</v>
      </c>
      <c r="C1016" s="44" t="s">
        <v>600</v>
      </c>
      <c r="D1016" s="44" t="n">
        <v>1104003</v>
      </c>
      <c r="E1016" s="44" t="s">
        <v>613</v>
      </c>
      <c r="F1016" s="44" t="s">
        <v>1419</v>
      </c>
      <c r="G1016" s="42"/>
      <c r="H1016" s="42" t="n">
        <v>91071678.81</v>
      </c>
      <c r="I1016" s="44" t="s">
        <v>1223</v>
      </c>
      <c r="J1016" s="11" t="n">
        <f aca="false">IF(D1016="","",N(G1016)-N(H1016))</f>
        <v>-91071678.81</v>
      </c>
      <c r="K1016" s="34" t="str">
        <f aca="false">IF(D1016="","",IFERROR(INDEX(I_COA!$C$6:$C$265,MATCH(D1016,I_COA!$A$6:$A$265,0)),"AKUN BARU"))</f>
        <v>Neraca</v>
      </c>
      <c r="L1016" s="34" t="str">
        <f aca="false">IF(K1016="LabaRugi",INDEX(I_COA!$D$6:$D$265,MATCH(D1016,I_COA!$A$6:$A$265,0)),"")</f>
        <v/>
      </c>
      <c r="M1016" s="34" t="str">
        <f aca="false">IF(K1016="Neraca",INDEX(I_COA!$E$6:$E$265,MATCH(D1016,I_COA!$A$6:$A$265,0)),"")</f>
        <v>Inventory - Product</v>
      </c>
      <c r="N1016" s="34" t="str">
        <f aca="false">IF(D1016="","",IFERROR(INDEX(I_COA!$G$6:$G$265,MATCH(D1016,I_COA!$A$6:$A$265,0)),"N"))</f>
        <v>N</v>
      </c>
      <c r="O1016" s="11" t="n">
        <f aca="false">IF(N1016="N",ABS(J1016),"")</f>
        <v>91071678.81</v>
      </c>
      <c r="P1016" s="18" t="str">
        <f aca="false">IF(N1016="N",B1016&amp;"|"&amp;ROUND(O1016,0),"")</f>
        <v>KGR26.00257|91071679</v>
      </c>
      <c r="Q1016" s="18" t="str">
        <f aca="false">IF(N1016&lt;&gt;"Y","",IFERROR(INDEX($D$6:$D$4005,MATCH(B1016&amp;"|"&amp;ROUND(_xlfn.MAXIFS($O$6:$O$4005,$B$6:$B$4005,B1016,$N$6:$N$4005,"N"),0),$P$6:$P$4005,0)),"(tanpa lawan)"))</f>
        <v/>
      </c>
      <c r="R1016" s="44"/>
      <c r="S1016" s="9" t="str">
        <f aca="false">IF(N1016&lt;&gt;"Y","",IF(R1016&lt;&gt;"",R1016,IF(Q1016="(tanpa lawan)","Transfer antar rekening",IFERROR(INDEX(I_COA!$F$6:$F$265,MATCH(Q1016,I_COA!$A$6:$A$265,0)),"?"))))</f>
        <v/>
      </c>
    </row>
    <row r="1017" customFormat="false" ht="15" hidden="false" customHeight="false" outlineLevel="0" collapsed="false">
      <c r="A1017" s="37" t="n">
        <v>46249</v>
      </c>
      <c r="B1017" s="44" t="s">
        <v>1420</v>
      </c>
      <c r="C1017" s="44" t="s">
        <v>600</v>
      </c>
      <c r="D1017" s="44" t="n">
        <v>1104002</v>
      </c>
      <c r="E1017" s="44" t="s">
        <v>601</v>
      </c>
      <c r="F1017" s="44" t="s">
        <v>1421</v>
      </c>
      <c r="G1017" s="42" t="n">
        <v>56773992.95</v>
      </c>
      <c r="H1017" s="42"/>
      <c r="I1017" s="44" t="s">
        <v>429</v>
      </c>
      <c r="J1017" s="11" t="n">
        <f aca="false">IF(D1017="","",N(G1017)-N(H1017))</f>
        <v>56773992.95</v>
      </c>
      <c r="K1017" s="34" t="str">
        <f aca="false">IF(D1017="","",IFERROR(INDEX(I_COA!$C$6:$C$265,MATCH(D1017,I_COA!$A$6:$A$265,0)),"AKUN BARU"))</f>
        <v>Neraca</v>
      </c>
      <c r="L1017" s="34" t="str">
        <f aca="false">IF(K1017="LabaRugi",INDEX(I_COA!$D$6:$D$265,MATCH(D1017,I_COA!$A$6:$A$265,0)),"")</f>
        <v/>
      </c>
      <c r="M1017" s="34" t="str">
        <f aca="false">IF(K1017="Neraca",INDEX(I_COA!$E$6:$E$265,MATCH(D1017,I_COA!$A$6:$A$265,0)),"")</f>
        <v>Inventory - Product</v>
      </c>
      <c r="N1017" s="34" t="str">
        <f aca="false">IF(D1017="","",IFERROR(INDEX(I_COA!$G$6:$G$265,MATCH(D1017,I_COA!$A$6:$A$265,0)),"N"))</f>
        <v>N</v>
      </c>
      <c r="O1017" s="11" t="n">
        <f aca="false">IF(N1017="N",ABS(J1017),"")</f>
        <v>56773992.95</v>
      </c>
      <c r="P1017" s="18" t="str">
        <f aca="false">IF(N1017="N",B1017&amp;"|"&amp;ROUND(O1017,0),"")</f>
        <v>KGR26.00272|56773993</v>
      </c>
      <c r="Q1017" s="18" t="str">
        <f aca="false">IF(N1017&lt;&gt;"Y","",IFERROR(INDEX($D$6:$D$4005,MATCH(B1017&amp;"|"&amp;ROUND(_xlfn.MAXIFS($O$6:$O$4005,$B$6:$B$4005,B1017,$N$6:$N$4005,"N"),0),$P$6:$P$4005,0)),"(tanpa lawan)"))</f>
        <v/>
      </c>
      <c r="R1017" s="44"/>
      <c r="S1017" s="9" t="str">
        <f aca="false">IF(N1017&lt;&gt;"Y","",IF(R1017&lt;&gt;"",R1017,IF(Q1017="(tanpa lawan)","Transfer antar rekening",IFERROR(INDEX(I_COA!$F$6:$F$265,MATCH(Q1017,I_COA!$A$6:$A$265,0)),"?"))))</f>
        <v/>
      </c>
    </row>
    <row r="1018" customFormat="false" ht="15" hidden="false" customHeight="false" outlineLevel="0" collapsed="false">
      <c r="A1018" s="37" t="n">
        <v>46249</v>
      </c>
      <c r="B1018" s="44" t="s">
        <v>1420</v>
      </c>
      <c r="C1018" s="44" t="s">
        <v>600</v>
      </c>
      <c r="D1018" s="44" t="n">
        <v>1104006</v>
      </c>
      <c r="E1018" s="44" t="s">
        <v>212</v>
      </c>
      <c r="F1018" s="44" t="s">
        <v>1421</v>
      </c>
      <c r="G1018" s="42"/>
      <c r="H1018" s="42" t="n">
        <v>56773992.95</v>
      </c>
      <c r="I1018" s="44" t="s">
        <v>429</v>
      </c>
      <c r="J1018" s="11" t="n">
        <f aca="false">IF(D1018="","",N(G1018)-N(H1018))</f>
        <v>-56773992.95</v>
      </c>
      <c r="K1018" s="34" t="str">
        <f aca="false">IF(D1018="","",IFERROR(INDEX(I_COA!$C$6:$C$265,MATCH(D1018,I_COA!$A$6:$A$265,0)),"AKUN BARU"))</f>
        <v>Neraca</v>
      </c>
      <c r="L1018" s="34" t="str">
        <f aca="false">IF(K1018="LabaRugi",INDEX(I_COA!$D$6:$D$265,MATCH(D1018,I_COA!$A$6:$A$265,0)),"")</f>
        <v/>
      </c>
      <c r="M1018" s="34" t="str">
        <f aca="false">IF(K1018="Neraca",INDEX(I_COA!$E$6:$E$265,MATCH(D1018,I_COA!$A$6:$A$265,0)),"")</f>
        <v>Inventory - Trading</v>
      </c>
      <c r="N1018" s="34" t="str">
        <f aca="false">IF(D1018="","",IFERROR(INDEX(I_COA!$G$6:$G$265,MATCH(D1018,I_COA!$A$6:$A$265,0)),"N"))</f>
        <v>N</v>
      </c>
      <c r="O1018" s="11" t="n">
        <f aca="false">IF(N1018="N",ABS(J1018),"")</f>
        <v>56773992.95</v>
      </c>
      <c r="P1018" s="18" t="str">
        <f aca="false">IF(N1018="N",B1018&amp;"|"&amp;ROUND(O1018,0),"")</f>
        <v>KGR26.00272|56773993</v>
      </c>
      <c r="Q1018" s="18" t="str">
        <f aca="false">IF(N1018&lt;&gt;"Y","",IFERROR(INDEX($D$6:$D$4005,MATCH(B1018&amp;"|"&amp;ROUND(_xlfn.MAXIFS($O$6:$O$4005,$B$6:$B$4005,B1018,$N$6:$N$4005,"N"),0),$P$6:$P$4005,0)),"(tanpa lawan)"))</f>
        <v/>
      </c>
      <c r="R1018" s="44"/>
      <c r="S1018" s="9" t="str">
        <f aca="false">IF(N1018&lt;&gt;"Y","",IF(R1018&lt;&gt;"",R1018,IF(Q1018="(tanpa lawan)","Transfer antar rekening",IFERROR(INDEX(I_COA!$F$6:$F$265,MATCH(Q1018,I_COA!$A$6:$A$265,0)),"?"))))</f>
        <v/>
      </c>
    </row>
    <row r="1019" customFormat="false" ht="15" hidden="false" customHeight="false" outlineLevel="0" collapsed="false">
      <c r="A1019" s="37" t="n">
        <v>46249</v>
      </c>
      <c r="B1019" s="44" t="s">
        <v>1422</v>
      </c>
      <c r="C1019" s="44" t="s">
        <v>600</v>
      </c>
      <c r="D1019" s="44" t="n">
        <v>1104002</v>
      </c>
      <c r="E1019" s="44" t="s">
        <v>601</v>
      </c>
      <c r="F1019" s="44" t="s">
        <v>1423</v>
      </c>
      <c r="G1019" s="42" t="n">
        <v>31977068.95</v>
      </c>
      <c r="H1019" s="42"/>
      <c r="I1019" s="44" t="s">
        <v>1411</v>
      </c>
      <c r="J1019" s="11" t="n">
        <f aca="false">IF(D1019="","",N(G1019)-N(H1019))</f>
        <v>31977068.95</v>
      </c>
      <c r="K1019" s="34" t="str">
        <f aca="false">IF(D1019="","",IFERROR(INDEX(I_COA!$C$6:$C$265,MATCH(D1019,I_COA!$A$6:$A$265,0)),"AKUN BARU"))</f>
        <v>Neraca</v>
      </c>
      <c r="L1019" s="34" t="str">
        <f aca="false">IF(K1019="LabaRugi",INDEX(I_COA!$D$6:$D$265,MATCH(D1019,I_COA!$A$6:$A$265,0)),"")</f>
        <v/>
      </c>
      <c r="M1019" s="34" t="str">
        <f aca="false">IF(K1019="Neraca",INDEX(I_COA!$E$6:$E$265,MATCH(D1019,I_COA!$A$6:$A$265,0)),"")</f>
        <v>Inventory - Product</v>
      </c>
      <c r="N1019" s="34" t="str">
        <f aca="false">IF(D1019="","",IFERROR(INDEX(I_COA!$G$6:$G$265,MATCH(D1019,I_COA!$A$6:$A$265,0)),"N"))</f>
        <v>N</v>
      </c>
      <c r="O1019" s="11" t="n">
        <f aca="false">IF(N1019="N",ABS(J1019),"")</f>
        <v>31977068.95</v>
      </c>
      <c r="P1019" s="18" t="str">
        <f aca="false">IF(N1019="N",B1019&amp;"|"&amp;ROUND(O1019,0),"")</f>
        <v>KGR26.00273|31977069</v>
      </c>
      <c r="Q1019" s="18" t="str">
        <f aca="false">IF(N1019&lt;&gt;"Y","",IFERROR(INDEX($D$6:$D$4005,MATCH(B1019&amp;"|"&amp;ROUND(_xlfn.MAXIFS($O$6:$O$4005,$B$6:$B$4005,B1019,$N$6:$N$4005,"N"),0),$P$6:$P$4005,0)),"(tanpa lawan)"))</f>
        <v/>
      </c>
      <c r="R1019" s="44"/>
      <c r="S1019" s="9" t="str">
        <f aca="false">IF(N1019&lt;&gt;"Y","",IF(R1019&lt;&gt;"",R1019,IF(Q1019="(tanpa lawan)","Transfer antar rekening",IFERROR(INDEX(I_COA!$F$6:$F$265,MATCH(Q1019,I_COA!$A$6:$A$265,0)),"?"))))</f>
        <v/>
      </c>
    </row>
    <row r="1020" customFormat="false" ht="15" hidden="false" customHeight="false" outlineLevel="0" collapsed="false">
      <c r="A1020" s="37" t="n">
        <v>46249</v>
      </c>
      <c r="B1020" s="44" t="s">
        <v>1422</v>
      </c>
      <c r="C1020" s="44" t="s">
        <v>600</v>
      </c>
      <c r="D1020" s="44" t="n">
        <v>1104006</v>
      </c>
      <c r="E1020" s="44" t="s">
        <v>212</v>
      </c>
      <c r="F1020" s="44" t="s">
        <v>1423</v>
      </c>
      <c r="G1020" s="42"/>
      <c r="H1020" s="42" t="n">
        <v>31977068.95</v>
      </c>
      <c r="I1020" s="44" t="s">
        <v>1411</v>
      </c>
      <c r="J1020" s="11" t="n">
        <f aca="false">IF(D1020="","",N(G1020)-N(H1020))</f>
        <v>-31977068.95</v>
      </c>
      <c r="K1020" s="34" t="str">
        <f aca="false">IF(D1020="","",IFERROR(INDEX(I_COA!$C$6:$C$265,MATCH(D1020,I_COA!$A$6:$A$265,0)),"AKUN BARU"))</f>
        <v>Neraca</v>
      </c>
      <c r="L1020" s="34" t="str">
        <f aca="false">IF(K1020="LabaRugi",INDEX(I_COA!$D$6:$D$265,MATCH(D1020,I_COA!$A$6:$A$265,0)),"")</f>
        <v/>
      </c>
      <c r="M1020" s="34" t="str">
        <f aca="false">IF(K1020="Neraca",INDEX(I_COA!$E$6:$E$265,MATCH(D1020,I_COA!$A$6:$A$265,0)),"")</f>
        <v>Inventory - Trading</v>
      </c>
      <c r="N1020" s="34" t="str">
        <f aca="false">IF(D1020="","",IFERROR(INDEX(I_COA!$G$6:$G$265,MATCH(D1020,I_COA!$A$6:$A$265,0)),"N"))</f>
        <v>N</v>
      </c>
      <c r="O1020" s="11" t="n">
        <f aca="false">IF(N1020="N",ABS(J1020),"")</f>
        <v>31977068.95</v>
      </c>
      <c r="P1020" s="18" t="str">
        <f aca="false">IF(N1020="N",B1020&amp;"|"&amp;ROUND(O1020,0),"")</f>
        <v>KGR26.00273|31977069</v>
      </c>
      <c r="Q1020" s="18" t="str">
        <f aca="false">IF(N1020&lt;&gt;"Y","",IFERROR(INDEX($D$6:$D$4005,MATCH(B1020&amp;"|"&amp;ROUND(_xlfn.MAXIFS($O$6:$O$4005,$B$6:$B$4005,B1020,$N$6:$N$4005,"N"),0),$P$6:$P$4005,0)),"(tanpa lawan)"))</f>
        <v/>
      </c>
      <c r="R1020" s="44"/>
      <c r="S1020" s="9" t="str">
        <f aca="false">IF(N1020&lt;&gt;"Y","",IF(R1020&lt;&gt;"",R1020,IF(Q1020="(tanpa lawan)","Transfer antar rekening",IFERROR(INDEX(I_COA!$F$6:$F$265,MATCH(Q1020,I_COA!$A$6:$A$265,0)),"?"))))</f>
        <v/>
      </c>
    </row>
    <row r="1021" customFormat="false" ht="15" hidden="false" customHeight="false" outlineLevel="0" collapsed="false">
      <c r="A1021" s="37" t="n">
        <v>46249</v>
      </c>
      <c r="B1021" s="44" t="s">
        <v>1424</v>
      </c>
      <c r="C1021" s="44" t="s">
        <v>600</v>
      </c>
      <c r="D1021" s="44" t="n">
        <v>1104002</v>
      </c>
      <c r="E1021" s="44" t="s">
        <v>601</v>
      </c>
      <c r="F1021" s="44" t="s">
        <v>1425</v>
      </c>
      <c r="G1021" s="42" t="n">
        <v>36512939.73</v>
      </c>
      <c r="H1021" s="42"/>
      <c r="I1021" s="44" t="s">
        <v>432</v>
      </c>
      <c r="J1021" s="11" t="n">
        <f aca="false">IF(D1021="","",N(G1021)-N(H1021))</f>
        <v>36512939.73</v>
      </c>
      <c r="K1021" s="34" t="str">
        <f aca="false">IF(D1021="","",IFERROR(INDEX(I_COA!$C$6:$C$265,MATCH(D1021,I_COA!$A$6:$A$265,0)),"AKUN BARU"))</f>
        <v>Neraca</v>
      </c>
      <c r="L1021" s="34" t="str">
        <f aca="false">IF(K1021="LabaRugi",INDEX(I_COA!$D$6:$D$265,MATCH(D1021,I_COA!$A$6:$A$265,0)),"")</f>
        <v/>
      </c>
      <c r="M1021" s="34" t="str">
        <f aca="false">IF(K1021="Neraca",INDEX(I_COA!$E$6:$E$265,MATCH(D1021,I_COA!$A$6:$A$265,0)),"")</f>
        <v>Inventory - Product</v>
      </c>
      <c r="N1021" s="34" t="str">
        <f aca="false">IF(D1021="","",IFERROR(INDEX(I_COA!$G$6:$G$265,MATCH(D1021,I_COA!$A$6:$A$265,0)),"N"))</f>
        <v>N</v>
      </c>
      <c r="O1021" s="11" t="n">
        <f aca="false">IF(N1021="N",ABS(J1021),"")</f>
        <v>36512939.73</v>
      </c>
      <c r="P1021" s="18" t="str">
        <f aca="false">IF(N1021="N",B1021&amp;"|"&amp;ROUND(O1021,0),"")</f>
        <v>KGR26.00274|36512940</v>
      </c>
      <c r="Q1021" s="18" t="str">
        <f aca="false">IF(N1021&lt;&gt;"Y","",IFERROR(INDEX($D$6:$D$4005,MATCH(B1021&amp;"|"&amp;ROUND(_xlfn.MAXIFS($O$6:$O$4005,$B$6:$B$4005,B1021,$N$6:$N$4005,"N"),0),$P$6:$P$4005,0)),"(tanpa lawan)"))</f>
        <v/>
      </c>
      <c r="R1021" s="44"/>
      <c r="S1021" s="9" t="str">
        <f aca="false">IF(N1021&lt;&gt;"Y","",IF(R1021&lt;&gt;"",R1021,IF(Q1021="(tanpa lawan)","Transfer antar rekening",IFERROR(INDEX(I_COA!$F$6:$F$265,MATCH(Q1021,I_COA!$A$6:$A$265,0)),"?"))))</f>
        <v/>
      </c>
    </row>
    <row r="1022" customFormat="false" ht="15" hidden="false" customHeight="false" outlineLevel="0" collapsed="false">
      <c r="A1022" s="37" t="n">
        <v>46249</v>
      </c>
      <c r="B1022" s="44" t="s">
        <v>1424</v>
      </c>
      <c r="C1022" s="44" t="s">
        <v>600</v>
      </c>
      <c r="D1022" s="44" t="n">
        <v>1104006</v>
      </c>
      <c r="E1022" s="44" t="s">
        <v>212</v>
      </c>
      <c r="F1022" s="44" t="s">
        <v>1425</v>
      </c>
      <c r="G1022" s="42"/>
      <c r="H1022" s="42" t="n">
        <v>36512939.73</v>
      </c>
      <c r="I1022" s="44" t="s">
        <v>432</v>
      </c>
      <c r="J1022" s="11" t="n">
        <f aca="false">IF(D1022="","",N(G1022)-N(H1022))</f>
        <v>-36512939.73</v>
      </c>
      <c r="K1022" s="34" t="str">
        <f aca="false">IF(D1022="","",IFERROR(INDEX(I_COA!$C$6:$C$265,MATCH(D1022,I_COA!$A$6:$A$265,0)),"AKUN BARU"))</f>
        <v>Neraca</v>
      </c>
      <c r="L1022" s="34" t="str">
        <f aca="false">IF(K1022="LabaRugi",INDEX(I_COA!$D$6:$D$265,MATCH(D1022,I_COA!$A$6:$A$265,0)),"")</f>
        <v/>
      </c>
      <c r="M1022" s="34" t="str">
        <f aca="false">IF(K1022="Neraca",INDEX(I_COA!$E$6:$E$265,MATCH(D1022,I_COA!$A$6:$A$265,0)),"")</f>
        <v>Inventory - Trading</v>
      </c>
      <c r="N1022" s="34" t="str">
        <f aca="false">IF(D1022="","",IFERROR(INDEX(I_COA!$G$6:$G$265,MATCH(D1022,I_COA!$A$6:$A$265,0)),"N"))</f>
        <v>N</v>
      </c>
      <c r="O1022" s="11" t="n">
        <f aca="false">IF(N1022="N",ABS(J1022),"")</f>
        <v>36512939.73</v>
      </c>
      <c r="P1022" s="18" t="str">
        <f aca="false">IF(N1022="N",B1022&amp;"|"&amp;ROUND(O1022,0),"")</f>
        <v>KGR26.00274|36512940</v>
      </c>
      <c r="Q1022" s="18" t="str">
        <f aca="false">IF(N1022&lt;&gt;"Y","",IFERROR(INDEX($D$6:$D$4005,MATCH(B1022&amp;"|"&amp;ROUND(_xlfn.MAXIFS($O$6:$O$4005,$B$6:$B$4005,B1022,$N$6:$N$4005,"N"),0),$P$6:$P$4005,0)),"(tanpa lawan)"))</f>
        <v/>
      </c>
      <c r="R1022" s="44"/>
      <c r="S1022" s="9" t="str">
        <f aca="false">IF(N1022&lt;&gt;"Y","",IF(R1022&lt;&gt;"",R1022,IF(Q1022="(tanpa lawan)","Transfer antar rekening",IFERROR(INDEX(I_COA!$F$6:$F$265,MATCH(Q1022,I_COA!$A$6:$A$265,0)),"?"))))</f>
        <v/>
      </c>
    </row>
    <row r="1023" customFormat="false" ht="15" hidden="false" customHeight="false" outlineLevel="0" collapsed="false">
      <c r="A1023" s="37" t="n">
        <v>46249</v>
      </c>
      <c r="B1023" s="44" t="s">
        <v>1426</v>
      </c>
      <c r="C1023" s="44" t="s">
        <v>600</v>
      </c>
      <c r="D1023" s="44" t="n">
        <v>1104002</v>
      </c>
      <c r="E1023" s="44" t="s">
        <v>601</v>
      </c>
      <c r="F1023" s="44" t="s">
        <v>1427</v>
      </c>
      <c r="G1023" s="42" t="n">
        <v>10636085.89</v>
      </c>
      <c r="H1023" s="42"/>
      <c r="I1023" s="44" t="s">
        <v>429</v>
      </c>
      <c r="J1023" s="11" t="n">
        <f aca="false">IF(D1023="","",N(G1023)-N(H1023))</f>
        <v>10636085.89</v>
      </c>
      <c r="K1023" s="34" t="str">
        <f aca="false">IF(D1023="","",IFERROR(INDEX(I_COA!$C$6:$C$265,MATCH(D1023,I_COA!$A$6:$A$265,0)),"AKUN BARU"))</f>
        <v>Neraca</v>
      </c>
      <c r="L1023" s="34" t="str">
        <f aca="false">IF(K1023="LabaRugi",INDEX(I_COA!$D$6:$D$265,MATCH(D1023,I_COA!$A$6:$A$265,0)),"")</f>
        <v/>
      </c>
      <c r="M1023" s="34" t="str">
        <f aca="false">IF(K1023="Neraca",INDEX(I_COA!$E$6:$E$265,MATCH(D1023,I_COA!$A$6:$A$265,0)),"")</f>
        <v>Inventory - Product</v>
      </c>
      <c r="N1023" s="34" t="str">
        <f aca="false">IF(D1023="","",IFERROR(INDEX(I_COA!$G$6:$G$265,MATCH(D1023,I_COA!$A$6:$A$265,0)),"N"))</f>
        <v>N</v>
      </c>
      <c r="O1023" s="11" t="n">
        <f aca="false">IF(N1023="N",ABS(J1023),"")</f>
        <v>10636085.89</v>
      </c>
      <c r="P1023" s="18" t="str">
        <f aca="false">IF(N1023="N",B1023&amp;"|"&amp;ROUND(O1023,0),"")</f>
        <v>KGR26.00275|10636086</v>
      </c>
      <c r="Q1023" s="18" t="str">
        <f aca="false">IF(N1023&lt;&gt;"Y","",IFERROR(INDEX($D$6:$D$4005,MATCH(B1023&amp;"|"&amp;ROUND(_xlfn.MAXIFS($O$6:$O$4005,$B$6:$B$4005,B1023,$N$6:$N$4005,"N"),0),$P$6:$P$4005,0)),"(tanpa lawan)"))</f>
        <v/>
      </c>
      <c r="R1023" s="44"/>
      <c r="S1023" s="9" t="str">
        <f aca="false">IF(N1023&lt;&gt;"Y","",IF(R1023&lt;&gt;"",R1023,IF(Q1023="(tanpa lawan)","Transfer antar rekening",IFERROR(INDEX(I_COA!$F$6:$F$265,MATCH(Q1023,I_COA!$A$6:$A$265,0)),"?"))))</f>
        <v/>
      </c>
    </row>
    <row r="1024" customFormat="false" ht="15" hidden="false" customHeight="false" outlineLevel="0" collapsed="false">
      <c r="A1024" s="37" t="n">
        <v>46249</v>
      </c>
      <c r="B1024" s="44" t="s">
        <v>1426</v>
      </c>
      <c r="C1024" s="44" t="s">
        <v>600</v>
      </c>
      <c r="D1024" s="44" t="n">
        <v>1104006</v>
      </c>
      <c r="E1024" s="44" t="s">
        <v>212</v>
      </c>
      <c r="F1024" s="44" t="s">
        <v>1427</v>
      </c>
      <c r="G1024" s="42"/>
      <c r="H1024" s="42" t="n">
        <v>10636085.89</v>
      </c>
      <c r="I1024" s="44" t="s">
        <v>429</v>
      </c>
      <c r="J1024" s="11" t="n">
        <f aca="false">IF(D1024="","",N(G1024)-N(H1024))</f>
        <v>-10636085.89</v>
      </c>
      <c r="K1024" s="34" t="str">
        <f aca="false">IF(D1024="","",IFERROR(INDEX(I_COA!$C$6:$C$265,MATCH(D1024,I_COA!$A$6:$A$265,0)),"AKUN BARU"))</f>
        <v>Neraca</v>
      </c>
      <c r="L1024" s="34" t="str">
        <f aca="false">IF(K1024="LabaRugi",INDEX(I_COA!$D$6:$D$265,MATCH(D1024,I_COA!$A$6:$A$265,0)),"")</f>
        <v/>
      </c>
      <c r="M1024" s="34" t="str">
        <f aca="false">IF(K1024="Neraca",INDEX(I_COA!$E$6:$E$265,MATCH(D1024,I_COA!$A$6:$A$265,0)),"")</f>
        <v>Inventory - Trading</v>
      </c>
      <c r="N1024" s="34" t="str">
        <f aca="false">IF(D1024="","",IFERROR(INDEX(I_COA!$G$6:$G$265,MATCH(D1024,I_COA!$A$6:$A$265,0)),"N"))</f>
        <v>N</v>
      </c>
      <c r="O1024" s="11" t="n">
        <f aca="false">IF(N1024="N",ABS(J1024),"")</f>
        <v>10636085.89</v>
      </c>
      <c r="P1024" s="18" t="str">
        <f aca="false">IF(N1024="N",B1024&amp;"|"&amp;ROUND(O1024,0),"")</f>
        <v>KGR26.00275|10636086</v>
      </c>
      <c r="Q1024" s="18" t="str">
        <f aca="false">IF(N1024&lt;&gt;"Y","",IFERROR(INDEX($D$6:$D$4005,MATCH(B1024&amp;"|"&amp;ROUND(_xlfn.MAXIFS($O$6:$O$4005,$B$6:$B$4005,B1024,$N$6:$N$4005,"N"),0),$P$6:$P$4005,0)),"(tanpa lawan)"))</f>
        <v/>
      </c>
      <c r="R1024" s="44"/>
      <c r="S1024" s="9" t="str">
        <f aca="false">IF(N1024&lt;&gt;"Y","",IF(R1024&lt;&gt;"",R1024,IF(Q1024="(tanpa lawan)","Transfer antar rekening",IFERROR(INDEX(I_COA!$F$6:$F$265,MATCH(Q1024,I_COA!$A$6:$A$265,0)),"?"))))</f>
        <v/>
      </c>
    </row>
    <row r="1025" customFormat="false" ht="15" hidden="false" customHeight="false" outlineLevel="0" collapsed="false">
      <c r="A1025" s="37" t="n">
        <v>46249</v>
      </c>
      <c r="B1025" s="44" t="s">
        <v>1428</v>
      </c>
      <c r="C1025" s="44" t="s">
        <v>617</v>
      </c>
      <c r="D1025" s="44" t="n">
        <v>1103101</v>
      </c>
      <c r="E1025" s="44" t="s">
        <v>589</v>
      </c>
      <c r="F1025" s="44" t="s">
        <v>1429</v>
      </c>
      <c r="G1025" s="42" t="n">
        <v>67834675</v>
      </c>
      <c r="H1025" s="42"/>
      <c r="I1025" s="44" t="s">
        <v>429</v>
      </c>
      <c r="J1025" s="11" t="n">
        <f aca="false">IF(D1025="","",N(G1025)-N(H1025))</f>
        <v>67834675</v>
      </c>
      <c r="K1025" s="34" t="str">
        <f aca="false">IF(D1025="","",IFERROR(INDEX(I_COA!$C$6:$C$265,MATCH(D1025,I_COA!$A$6:$A$265,0)),"AKUN BARU"))</f>
        <v>Neraca</v>
      </c>
      <c r="L1025" s="34" t="str">
        <f aca="false">IF(K1025="LabaRugi",INDEX(I_COA!$D$6:$D$265,MATCH(D1025,I_COA!$A$6:$A$265,0)),"")</f>
        <v/>
      </c>
      <c r="M1025" s="34" t="str">
        <f aca="false">IF(K1025="Neraca",INDEX(I_COA!$E$6:$E$265,MATCH(D1025,I_COA!$A$6:$A$265,0)),"")</f>
        <v>Trade Receivables - Third Parties</v>
      </c>
      <c r="N1025" s="34" t="str">
        <f aca="false">IF(D1025="","",IFERROR(INDEX(I_COA!$G$6:$G$265,MATCH(D1025,I_COA!$A$6:$A$265,0)),"N"))</f>
        <v>N</v>
      </c>
      <c r="O1025" s="11" t="n">
        <f aca="false">IF(N1025="N",ABS(J1025),"")</f>
        <v>67834675</v>
      </c>
      <c r="P1025" s="18" t="str">
        <f aca="false">IF(N1025="N",B1025&amp;"|"&amp;ROUND(O1025,0),"")</f>
        <v>KGR26/0272|67834675</v>
      </c>
      <c r="Q1025" s="18" t="str">
        <f aca="false">IF(N1025&lt;&gt;"Y","",IFERROR(INDEX($D$6:$D$4005,MATCH(B1025&amp;"|"&amp;ROUND(_xlfn.MAXIFS($O$6:$O$4005,$B$6:$B$4005,B1025,$N$6:$N$4005,"N"),0),$P$6:$P$4005,0)),"(tanpa lawan)"))</f>
        <v/>
      </c>
      <c r="R1025" s="44"/>
      <c r="S1025" s="9" t="str">
        <f aca="false">IF(N1025&lt;&gt;"Y","",IF(R1025&lt;&gt;"",R1025,IF(Q1025="(tanpa lawan)","Transfer antar rekening",IFERROR(INDEX(I_COA!$F$6:$F$265,MATCH(Q1025,I_COA!$A$6:$A$265,0)),"?"))))</f>
        <v/>
      </c>
    </row>
    <row r="1026" customFormat="false" ht="15" hidden="false" customHeight="false" outlineLevel="0" collapsed="false">
      <c r="A1026" s="37" t="n">
        <v>46249</v>
      </c>
      <c r="B1026" s="44" t="s">
        <v>1428</v>
      </c>
      <c r="C1026" s="44" t="s">
        <v>617</v>
      </c>
      <c r="D1026" s="44" t="n">
        <v>4101012</v>
      </c>
      <c r="E1026" s="44" t="s">
        <v>619</v>
      </c>
      <c r="F1026" s="44" t="s">
        <v>1429</v>
      </c>
      <c r="G1026" s="42"/>
      <c r="H1026" s="42" t="n">
        <v>67834675</v>
      </c>
      <c r="I1026" s="44" t="s">
        <v>429</v>
      </c>
      <c r="J1026" s="11" t="n">
        <f aca="false">IF(D1026="","",N(G1026)-N(H1026))</f>
        <v>-67834675</v>
      </c>
      <c r="K1026" s="34" t="str">
        <f aca="false">IF(D1026="","",IFERROR(INDEX(I_COA!$C$6:$C$265,MATCH(D1026,I_COA!$A$6:$A$265,0)),"AKUN BARU"))</f>
        <v>LabaRugi</v>
      </c>
      <c r="L1026" s="34" t="str">
        <f aca="false">IF(K1026="LabaRugi",INDEX(I_COA!$D$6:$D$265,MATCH(D1026,I_COA!$A$6:$A$265,0)),"")</f>
        <v>Revenue - Trading</v>
      </c>
      <c r="M1026" s="34" t="str">
        <f aca="false">IF(K1026="Neraca",INDEX(I_COA!$E$6:$E$265,MATCH(D1026,I_COA!$A$6:$A$265,0)),"")</f>
        <v/>
      </c>
      <c r="N1026" s="34" t="str">
        <f aca="false">IF(D1026="","",IFERROR(INDEX(I_COA!$G$6:$G$265,MATCH(D1026,I_COA!$A$6:$A$265,0)),"N"))</f>
        <v>N</v>
      </c>
      <c r="O1026" s="11" t="n">
        <f aca="false">IF(N1026="N",ABS(J1026),"")</f>
        <v>67834675</v>
      </c>
      <c r="P1026" s="18" t="str">
        <f aca="false">IF(N1026="N",B1026&amp;"|"&amp;ROUND(O1026,0),"")</f>
        <v>KGR26/0272|67834675</v>
      </c>
      <c r="Q1026" s="18" t="str">
        <f aca="false">IF(N1026&lt;&gt;"Y","",IFERROR(INDEX($D$6:$D$4005,MATCH(B1026&amp;"|"&amp;ROUND(_xlfn.MAXIFS($O$6:$O$4005,$B$6:$B$4005,B1026,$N$6:$N$4005,"N"),0),$P$6:$P$4005,0)),"(tanpa lawan)"))</f>
        <v/>
      </c>
      <c r="R1026" s="44"/>
      <c r="S1026" s="9" t="str">
        <f aca="false">IF(N1026&lt;&gt;"Y","",IF(R1026&lt;&gt;"",R1026,IF(Q1026="(tanpa lawan)","Transfer antar rekening",IFERROR(INDEX(I_COA!$F$6:$F$265,MATCH(Q1026,I_COA!$A$6:$A$265,0)),"?"))))</f>
        <v/>
      </c>
    </row>
    <row r="1027" customFormat="false" ht="15" hidden="false" customHeight="false" outlineLevel="0" collapsed="false">
      <c r="A1027" s="37" t="n">
        <v>46249</v>
      </c>
      <c r="B1027" s="44" t="s">
        <v>1428</v>
      </c>
      <c r="C1027" s="44" t="s">
        <v>617</v>
      </c>
      <c r="D1027" s="44" t="n">
        <v>5100011</v>
      </c>
      <c r="E1027" s="44" t="s">
        <v>166</v>
      </c>
      <c r="F1027" s="44" t="s">
        <v>1429</v>
      </c>
      <c r="G1027" s="42" t="n">
        <v>56773992.95</v>
      </c>
      <c r="H1027" s="42"/>
      <c r="I1027" s="44" t="s">
        <v>429</v>
      </c>
      <c r="J1027" s="11" t="n">
        <f aca="false">IF(D1027="","",N(G1027)-N(H1027))</f>
        <v>56773992.95</v>
      </c>
      <c r="K1027" s="34" t="str">
        <f aca="false">IF(D1027="","",IFERROR(INDEX(I_COA!$C$6:$C$265,MATCH(D1027,I_COA!$A$6:$A$265,0)),"AKUN BARU"))</f>
        <v>LabaRugi</v>
      </c>
      <c r="L1027" s="34" t="str">
        <f aca="false">IF(K1027="LabaRugi",INDEX(I_COA!$D$6:$D$265,MATCH(D1027,I_COA!$A$6:$A$265,0)),"")</f>
        <v>COGS - Trading</v>
      </c>
      <c r="M1027" s="34" t="str">
        <f aca="false">IF(K1027="Neraca",INDEX(I_COA!$E$6:$E$265,MATCH(D1027,I_COA!$A$6:$A$265,0)),"")</f>
        <v/>
      </c>
      <c r="N1027" s="34" t="str">
        <f aca="false">IF(D1027="","",IFERROR(INDEX(I_COA!$G$6:$G$265,MATCH(D1027,I_COA!$A$6:$A$265,0)),"N"))</f>
        <v>N</v>
      </c>
      <c r="O1027" s="11" t="n">
        <f aca="false">IF(N1027="N",ABS(J1027),"")</f>
        <v>56773992.95</v>
      </c>
      <c r="P1027" s="18" t="str">
        <f aca="false">IF(N1027="N",B1027&amp;"|"&amp;ROUND(O1027,0),"")</f>
        <v>KGR26/0272|56773993</v>
      </c>
      <c r="Q1027" s="18" t="str">
        <f aca="false">IF(N1027&lt;&gt;"Y","",IFERROR(INDEX($D$6:$D$4005,MATCH(B1027&amp;"|"&amp;ROUND(_xlfn.MAXIFS($O$6:$O$4005,$B$6:$B$4005,B1027,$N$6:$N$4005,"N"),0),$P$6:$P$4005,0)),"(tanpa lawan)"))</f>
        <v/>
      </c>
      <c r="R1027" s="44"/>
      <c r="S1027" s="9" t="str">
        <f aca="false">IF(N1027&lt;&gt;"Y","",IF(R1027&lt;&gt;"",R1027,IF(Q1027="(tanpa lawan)","Transfer antar rekening",IFERROR(INDEX(I_COA!$F$6:$F$265,MATCH(Q1027,I_COA!$A$6:$A$265,0)),"?"))))</f>
        <v/>
      </c>
    </row>
    <row r="1028" customFormat="false" ht="15" hidden="false" customHeight="false" outlineLevel="0" collapsed="false">
      <c r="A1028" s="37" t="n">
        <v>46249</v>
      </c>
      <c r="B1028" s="44" t="s">
        <v>1428</v>
      </c>
      <c r="C1028" s="44" t="s">
        <v>617</v>
      </c>
      <c r="D1028" s="44" t="n">
        <v>1104002</v>
      </c>
      <c r="E1028" s="44" t="s">
        <v>601</v>
      </c>
      <c r="F1028" s="44" t="s">
        <v>1429</v>
      </c>
      <c r="G1028" s="42"/>
      <c r="H1028" s="42" t="n">
        <v>56773992.95</v>
      </c>
      <c r="I1028" s="44" t="s">
        <v>429</v>
      </c>
      <c r="J1028" s="11" t="n">
        <f aca="false">IF(D1028="","",N(G1028)-N(H1028))</f>
        <v>-56773992.95</v>
      </c>
      <c r="K1028" s="34" t="str">
        <f aca="false">IF(D1028="","",IFERROR(INDEX(I_COA!$C$6:$C$265,MATCH(D1028,I_COA!$A$6:$A$265,0)),"AKUN BARU"))</f>
        <v>Neraca</v>
      </c>
      <c r="L1028" s="34" t="str">
        <f aca="false">IF(K1028="LabaRugi",INDEX(I_COA!$D$6:$D$265,MATCH(D1028,I_COA!$A$6:$A$265,0)),"")</f>
        <v/>
      </c>
      <c r="M1028" s="34" t="str">
        <f aca="false">IF(K1028="Neraca",INDEX(I_COA!$E$6:$E$265,MATCH(D1028,I_COA!$A$6:$A$265,0)),"")</f>
        <v>Inventory - Product</v>
      </c>
      <c r="N1028" s="34" t="str">
        <f aca="false">IF(D1028="","",IFERROR(INDEX(I_COA!$G$6:$G$265,MATCH(D1028,I_COA!$A$6:$A$265,0)),"N"))</f>
        <v>N</v>
      </c>
      <c r="O1028" s="11" t="n">
        <f aca="false">IF(N1028="N",ABS(J1028),"")</f>
        <v>56773992.95</v>
      </c>
      <c r="P1028" s="18" t="str">
        <f aca="false">IF(N1028="N",B1028&amp;"|"&amp;ROUND(O1028,0),"")</f>
        <v>KGR26/0272|56773993</v>
      </c>
      <c r="Q1028" s="18" t="str">
        <f aca="false">IF(N1028&lt;&gt;"Y","",IFERROR(INDEX($D$6:$D$4005,MATCH(B1028&amp;"|"&amp;ROUND(_xlfn.MAXIFS($O$6:$O$4005,$B$6:$B$4005,B1028,$N$6:$N$4005,"N"),0),$P$6:$P$4005,0)),"(tanpa lawan)"))</f>
        <v/>
      </c>
      <c r="R1028" s="44"/>
      <c r="S1028" s="9" t="str">
        <f aca="false">IF(N1028&lt;&gt;"Y","",IF(R1028&lt;&gt;"",R1028,IF(Q1028="(tanpa lawan)","Transfer antar rekening",IFERROR(INDEX(I_COA!$F$6:$F$265,MATCH(Q1028,I_COA!$A$6:$A$265,0)),"?"))))</f>
        <v/>
      </c>
    </row>
    <row r="1029" customFormat="false" ht="15" hidden="false" customHeight="false" outlineLevel="0" collapsed="false">
      <c r="A1029" s="37" t="n">
        <v>46249</v>
      </c>
      <c r="B1029" s="44" t="s">
        <v>1430</v>
      </c>
      <c r="C1029" s="44" t="s">
        <v>617</v>
      </c>
      <c r="D1029" s="44" t="n">
        <v>1103101</v>
      </c>
      <c r="E1029" s="44" t="s">
        <v>589</v>
      </c>
      <c r="F1029" s="44" t="s">
        <v>1431</v>
      </c>
      <c r="G1029" s="42" t="n">
        <v>30985800</v>
      </c>
      <c r="H1029" s="42"/>
      <c r="I1029" s="44" t="s">
        <v>1411</v>
      </c>
      <c r="J1029" s="11" t="n">
        <f aca="false">IF(D1029="","",N(G1029)-N(H1029))</f>
        <v>30985800</v>
      </c>
      <c r="K1029" s="34" t="str">
        <f aca="false">IF(D1029="","",IFERROR(INDEX(I_COA!$C$6:$C$265,MATCH(D1029,I_COA!$A$6:$A$265,0)),"AKUN BARU"))</f>
        <v>Neraca</v>
      </c>
      <c r="L1029" s="34" t="str">
        <f aca="false">IF(K1029="LabaRugi",INDEX(I_COA!$D$6:$D$265,MATCH(D1029,I_COA!$A$6:$A$265,0)),"")</f>
        <v/>
      </c>
      <c r="M1029" s="34" t="str">
        <f aca="false">IF(K1029="Neraca",INDEX(I_COA!$E$6:$E$265,MATCH(D1029,I_COA!$A$6:$A$265,0)),"")</f>
        <v>Trade Receivables - Third Parties</v>
      </c>
      <c r="N1029" s="34" t="str">
        <f aca="false">IF(D1029="","",IFERROR(INDEX(I_COA!$G$6:$G$265,MATCH(D1029,I_COA!$A$6:$A$265,0)),"N"))</f>
        <v>N</v>
      </c>
      <c r="O1029" s="11" t="n">
        <f aca="false">IF(N1029="N",ABS(J1029),"")</f>
        <v>30985800</v>
      </c>
      <c r="P1029" s="18" t="str">
        <f aca="false">IF(N1029="N",B1029&amp;"|"&amp;ROUND(O1029,0),"")</f>
        <v>KGR26/0273|30985800</v>
      </c>
      <c r="Q1029" s="18" t="str">
        <f aca="false">IF(N1029&lt;&gt;"Y","",IFERROR(INDEX($D$6:$D$4005,MATCH(B1029&amp;"|"&amp;ROUND(_xlfn.MAXIFS($O$6:$O$4005,$B$6:$B$4005,B1029,$N$6:$N$4005,"N"),0),$P$6:$P$4005,0)),"(tanpa lawan)"))</f>
        <v/>
      </c>
      <c r="R1029" s="44"/>
      <c r="S1029" s="9" t="str">
        <f aca="false">IF(N1029&lt;&gt;"Y","",IF(R1029&lt;&gt;"",R1029,IF(Q1029="(tanpa lawan)","Transfer antar rekening",IFERROR(INDEX(I_COA!$F$6:$F$265,MATCH(Q1029,I_COA!$A$6:$A$265,0)),"?"))))</f>
        <v/>
      </c>
    </row>
    <row r="1030" customFormat="false" ht="15" hidden="false" customHeight="false" outlineLevel="0" collapsed="false">
      <c r="A1030" s="37" t="n">
        <v>46249</v>
      </c>
      <c r="B1030" s="44" t="s">
        <v>1430</v>
      </c>
      <c r="C1030" s="44" t="s">
        <v>617</v>
      </c>
      <c r="D1030" s="44" t="n">
        <v>4101012</v>
      </c>
      <c r="E1030" s="44" t="s">
        <v>619</v>
      </c>
      <c r="F1030" s="44" t="s">
        <v>1431</v>
      </c>
      <c r="G1030" s="42"/>
      <c r="H1030" s="42" t="n">
        <v>30985800</v>
      </c>
      <c r="I1030" s="44" t="s">
        <v>1411</v>
      </c>
      <c r="J1030" s="11" t="n">
        <f aca="false">IF(D1030="","",N(G1030)-N(H1030))</f>
        <v>-30985800</v>
      </c>
      <c r="K1030" s="34" t="str">
        <f aca="false">IF(D1030="","",IFERROR(INDEX(I_COA!$C$6:$C$265,MATCH(D1030,I_COA!$A$6:$A$265,0)),"AKUN BARU"))</f>
        <v>LabaRugi</v>
      </c>
      <c r="L1030" s="34" t="str">
        <f aca="false">IF(K1030="LabaRugi",INDEX(I_COA!$D$6:$D$265,MATCH(D1030,I_COA!$A$6:$A$265,0)),"")</f>
        <v>Revenue - Trading</v>
      </c>
      <c r="M1030" s="34" t="str">
        <f aca="false">IF(K1030="Neraca",INDEX(I_COA!$E$6:$E$265,MATCH(D1030,I_COA!$A$6:$A$265,0)),"")</f>
        <v/>
      </c>
      <c r="N1030" s="34" t="str">
        <f aca="false">IF(D1030="","",IFERROR(INDEX(I_COA!$G$6:$G$265,MATCH(D1030,I_COA!$A$6:$A$265,0)),"N"))</f>
        <v>N</v>
      </c>
      <c r="O1030" s="11" t="n">
        <f aca="false">IF(N1030="N",ABS(J1030),"")</f>
        <v>30985800</v>
      </c>
      <c r="P1030" s="18" t="str">
        <f aca="false">IF(N1030="N",B1030&amp;"|"&amp;ROUND(O1030,0),"")</f>
        <v>KGR26/0273|30985800</v>
      </c>
      <c r="Q1030" s="18" t="str">
        <f aca="false">IF(N1030&lt;&gt;"Y","",IFERROR(INDEX($D$6:$D$4005,MATCH(B1030&amp;"|"&amp;ROUND(_xlfn.MAXIFS($O$6:$O$4005,$B$6:$B$4005,B1030,$N$6:$N$4005,"N"),0),$P$6:$P$4005,0)),"(tanpa lawan)"))</f>
        <v/>
      </c>
      <c r="R1030" s="44"/>
      <c r="S1030" s="9" t="str">
        <f aca="false">IF(N1030&lt;&gt;"Y","",IF(R1030&lt;&gt;"",R1030,IF(Q1030="(tanpa lawan)","Transfer antar rekening",IFERROR(INDEX(I_COA!$F$6:$F$265,MATCH(Q1030,I_COA!$A$6:$A$265,0)),"?"))))</f>
        <v/>
      </c>
    </row>
    <row r="1031" customFormat="false" ht="15" hidden="false" customHeight="false" outlineLevel="0" collapsed="false">
      <c r="A1031" s="37" t="n">
        <v>46249</v>
      </c>
      <c r="B1031" s="44" t="s">
        <v>1430</v>
      </c>
      <c r="C1031" s="44" t="s">
        <v>617</v>
      </c>
      <c r="D1031" s="44" t="n">
        <v>5100011</v>
      </c>
      <c r="E1031" s="44" t="s">
        <v>166</v>
      </c>
      <c r="F1031" s="44" t="s">
        <v>1431</v>
      </c>
      <c r="G1031" s="42" t="n">
        <v>31977068.95</v>
      </c>
      <c r="H1031" s="42"/>
      <c r="I1031" s="44" t="s">
        <v>1411</v>
      </c>
      <c r="J1031" s="11" t="n">
        <f aca="false">IF(D1031="","",N(G1031)-N(H1031))</f>
        <v>31977068.95</v>
      </c>
      <c r="K1031" s="34" t="str">
        <f aca="false">IF(D1031="","",IFERROR(INDEX(I_COA!$C$6:$C$265,MATCH(D1031,I_COA!$A$6:$A$265,0)),"AKUN BARU"))</f>
        <v>LabaRugi</v>
      </c>
      <c r="L1031" s="34" t="str">
        <f aca="false">IF(K1031="LabaRugi",INDEX(I_COA!$D$6:$D$265,MATCH(D1031,I_COA!$A$6:$A$265,0)),"")</f>
        <v>COGS - Trading</v>
      </c>
      <c r="M1031" s="34" t="str">
        <f aca="false">IF(K1031="Neraca",INDEX(I_COA!$E$6:$E$265,MATCH(D1031,I_COA!$A$6:$A$265,0)),"")</f>
        <v/>
      </c>
      <c r="N1031" s="34" t="str">
        <f aca="false">IF(D1031="","",IFERROR(INDEX(I_COA!$G$6:$G$265,MATCH(D1031,I_COA!$A$6:$A$265,0)),"N"))</f>
        <v>N</v>
      </c>
      <c r="O1031" s="11" t="n">
        <f aca="false">IF(N1031="N",ABS(J1031),"")</f>
        <v>31977068.95</v>
      </c>
      <c r="P1031" s="18" t="str">
        <f aca="false">IF(N1031="N",B1031&amp;"|"&amp;ROUND(O1031,0),"")</f>
        <v>KGR26/0273|31977069</v>
      </c>
      <c r="Q1031" s="18" t="str">
        <f aca="false">IF(N1031&lt;&gt;"Y","",IFERROR(INDEX($D$6:$D$4005,MATCH(B1031&amp;"|"&amp;ROUND(_xlfn.MAXIFS($O$6:$O$4005,$B$6:$B$4005,B1031,$N$6:$N$4005,"N"),0),$P$6:$P$4005,0)),"(tanpa lawan)"))</f>
        <v/>
      </c>
      <c r="R1031" s="44"/>
      <c r="S1031" s="9" t="str">
        <f aca="false">IF(N1031&lt;&gt;"Y","",IF(R1031&lt;&gt;"",R1031,IF(Q1031="(tanpa lawan)","Transfer antar rekening",IFERROR(INDEX(I_COA!$F$6:$F$265,MATCH(Q1031,I_COA!$A$6:$A$265,0)),"?"))))</f>
        <v/>
      </c>
    </row>
    <row r="1032" customFormat="false" ht="15" hidden="false" customHeight="false" outlineLevel="0" collapsed="false">
      <c r="A1032" s="37" t="n">
        <v>46249</v>
      </c>
      <c r="B1032" s="44" t="s">
        <v>1430</v>
      </c>
      <c r="C1032" s="44" t="s">
        <v>617</v>
      </c>
      <c r="D1032" s="44" t="n">
        <v>1104002</v>
      </c>
      <c r="E1032" s="44" t="s">
        <v>601</v>
      </c>
      <c r="F1032" s="44" t="s">
        <v>1431</v>
      </c>
      <c r="G1032" s="42"/>
      <c r="H1032" s="42" t="n">
        <v>31977068.95</v>
      </c>
      <c r="I1032" s="44" t="s">
        <v>1411</v>
      </c>
      <c r="J1032" s="11" t="n">
        <f aca="false">IF(D1032="","",N(G1032)-N(H1032))</f>
        <v>-31977068.95</v>
      </c>
      <c r="K1032" s="34" t="str">
        <f aca="false">IF(D1032="","",IFERROR(INDEX(I_COA!$C$6:$C$265,MATCH(D1032,I_COA!$A$6:$A$265,0)),"AKUN BARU"))</f>
        <v>Neraca</v>
      </c>
      <c r="L1032" s="34" t="str">
        <f aca="false">IF(K1032="LabaRugi",INDEX(I_COA!$D$6:$D$265,MATCH(D1032,I_COA!$A$6:$A$265,0)),"")</f>
        <v/>
      </c>
      <c r="M1032" s="34" t="str">
        <f aca="false">IF(K1032="Neraca",INDEX(I_COA!$E$6:$E$265,MATCH(D1032,I_COA!$A$6:$A$265,0)),"")</f>
        <v>Inventory - Product</v>
      </c>
      <c r="N1032" s="34" t="str">
        <f aca="false">IF(D1032="","",IFERROR(INDEX(I_COA!$G$6:$G$265,MATCH(D1032,I_COA!$A$6:$A$265,0)),"N"))</f>
        <v>N</v>
      </c>
      <c r="O1032" s="11" t="n">
        <f aca="false">IF(N1032="N",ABS(J1032),"")</f>
        <v>31977068.95</v>
      </c>
      <c r="P1032" s="18" t="str">
        <f aca="false">IF(N1032="N",B1032&amp;"|"&amp;ROUND(O1032,0),"")</f>
        <v>KGR26/0273|31977069</v>
      </c>
      <c r="Q1032" s="18" t="str">
        <f aca="false">IF(N1032&lt;&gt;"Y","",IFERROR(INDEX($D$6:$D$4005,MATCH(B1032&amp;"|"&amp;ROUND(_xlfn.MAXIFS($O$6:$O$4005,$B$6:$B$4005,B1032,$N$6:$N$4005,"N"),0),$P$6:$P$4005,0)),"(tanpa lawan)"))</f>
        <v/>
      </c>
      <c r="R1032" s="44"/>
      <c r="S1032" s="9" t="str">
        <f aca="false">IF(N1032&lt;&gt;"Y","",IF(R1032&lt;&gt;"",R1032,IF(Q1032="(tanpa lawan)","Transfer antar rekening",IFERROR(INDEX(I_COA!$F$6:$F$265,MATCH(Q1032,I_COA!$A$6:$A$265,0)),"?"))))</f>
        <v/>
      </c>
    </row>
    <row r="1033" customFormat="false" ht="15" hidden="false" customHeight="false" outlineLevel="0" collapsed="false">
      <c r="A1033" s="37" t="n">
        <v>46249</v>
      </c>
      <c r="B1033" s="44" t="s">
        <v>1432</v>
      </c>
      <c r="C1033" s="44" t="s">
        <v>617</v>
      </c>
      <c r="D1033" s="44" t="n">
        <v>1103101</v>
      </c>
      <c r="E1033" s="44" t="s">
        <v>589</v>
      </c>
      <c r="F1033" s="44" t="s">
        <v>1433</v>
      </c>
      <c r="G1033" s="42" t="n">
        <v>34449000</v>
      </c>
      <c r="H1033" s="42"/>
      <c r="I1033" s="44" t="s">
        <v>432</v>
      </c>
      <c r="J1033" s="11" t="n">
        <f aca="false">IF(D1033="","",N(G1033)-N(H1033))</f>
        <v>34449000</v>
      </c>
      <c r="K1033" s="34" t="str">
        <f aca="false">IF(D1033="","",IFERROR(INDEX(I_COA!$C$6:$C$265,MATCH(D1033,I_COA!$A$6:$A$265,0)),"AKUN BARU"))</f>
        <v>Neraca</v>
      </c>
      <c r="L1033" s="34" t="str">
        <f aca="false">IF(K1033="LabaRugi",INDEX(I_COA!$D$6:$D$265,MATCH(D1033,I_COA!$A$6:$A$265,0)),"")</f>
        <v/>
      </c>
      <c r="M1033" s="34" t="str">
        <f aca="false">IF(K1033="Neraca",INDEX(I_COA!$E$6:$E$265,MATCH(D1033,I_COA!$A$6:$A$265,0)),"")</f>
        <v>Trade Receivables - Third Parties</v>
      </c>
      <c r="N1033" s="34" t="str">
        <f aca="false">IF(D1033="","",IFERROR(INDEX(I_COA!$G$6:$G$265,MATCH(D1033,I_COA!$A$6:$A$265,0)),"N"))</f>
        <v>N</v>
      </c>
      <c r="O1033" s="11" t="n">
        <f aca="false">IF(N1033="N",ABS(J1033),"")</f>
        <v>34449000</v>
      </c>
      <c r="P1033" s="18" t="str">
        <f aca="false">IF(N1033="N",B1033&amp;"|"&amp;ROUND(O1033,0),"")</f>
        <v>KGR26/0274|34449000</v>
      </c>
      <c r="Q1033" s="18" t="str">
        <f aca="false">IF(N1033&lt;&gt;"Y","",IFERROR(INDEX($D$6:$D$4005,MATCH(B1033&amp;"|"&amp;ROUND(_xlfn.MAXIFS($O$6:$O$4005,$B$6:$B$4005,B1033,$N$6:$N$4005,"N"),0),$P$6:$P$4005,0)),"(tanpa lawan)"))</f>
        <v/>
      </c>
      <c r="R1033" s="44"/>
      <c r="S1033" s="9" t="str">
        <f aca="false">IF(N1033&lt;&gt;"Y","",IF(R1033&lt;&gt;"",R1033,IF(Q1033="(tanpa lawan)","Transfer antar rekening",IFERROR(INDEX(I_COA!$F$6:$F$265,MATCH(Q1033,I_COA!$A$6:$A$265,0)),"?"))))</f>
        <v/>
      </c>
    </row>
    <row r="1034" customFormat="false" ht="15" hidden="false" customHeight="false" outlineLevel="0" collapsed="false">
      <c r="A1034" s="37" t="n">
        <v>46249</v>
      </c>
      <c r="B1034" s="44" t="s">
        <v>1432</v>
      </c>
      <c r="C1034" s="44" t="s">
        <v>617</v>
      </c>
      <c r="D1034" s="44" t="n">
        <v>4101012</v>
      </c>
      <c r="E1034" s="44" t="s">
        <v>619</v>
      </c>
      <c r="F1034" s="44" t="s">
        <v>1433</v>
      </c>
      <c r="G1034" s="42"/>
      <c r="H1034" s="42" t="n">
        <v>34449000</v>
      </c>
      <c r="I1034" s="44" t="s">
        <v>432</v>
      </c>
      <c r="J1034" s="11" t="n">
        <f aca="false">IF(D1034="","",N(G1034)-N(H1034))</f>
        <v>-34449000</v>
      </c>
      <c r="K1034" s="34" t="str">
        <f aca="false">IF(D1034="","",IFERROR(INDEX(I_COA!$C$6:$C$265,MATCH(D1034,I_COA!$A$6:$A$265,0)),"AKUN BARU"))</f>
        <v>LabaRugi</v>
      </c>
      <c r="L1034" s="34" t="str">
        <f aca="false">IF(K1034="LabaRugi",INDEX(I_COA!$D$6:$D$265,MATCH(D1034,I_COA!$A$6:$A$265,0)),"")</f>
        <v>Revenue - Trading</v>
      </c>
      <c r="M1034" s="34" t="str">
        <f aca="false">IF(K1034="Neraca",INDEX(I_COA!$E$6:$E$265,MATCH(D1034,I_COA!$A$6:$A$265,0)),"")</f>
        <v/>
      </c>
      <c r="N1034" s="34" t="str">
        <f aca="false">IF(D1034="","",IFERROR(INDEX(I_COA!$G$6:$G$265,MATCH(D1034,I_COA!$A$6:$A$265,0)),"N"))</f>
        <v>N</v>
      </c>
      <c r="O1034" s="11" t="n">
        <f aca="false">IF(N1034="N",ABS(J1034),"")</f>
        <v>34449000</v>
      </c>
      <c r="P1034" s="18" t="str">
        <f aca="false">IF(N1034="N",B1034&amp;"|"&amp;ROUND(O1034,0),"")</f>
        <v>KGR26/0274|34449000</v>
      </c>
      <c r="Q1034" s="18" t="str">
        <f aca="false">IF(N1034&lt;&gt;"Y","",IFERROR(INDEX($D$6:$D$4005,MATCH(B1034&amp;"|"&amp;ROUND(_xlfn.MAXIFS($O$6:$O$4005,$B$6:$B$4005,B1034,$N$6:$N$4005,"N"),0),$P$6:$P$4005,0)),"(tanpa lawan)"))</f>
        <v/>
      </c>
      <c r="R1034" s="44"/>
      <c r="S1034" s="9" t="str">
        <f aca="false">IF(N1034&lt;&gt;"Y","",IF(R1034&lt;&gt;"",R1034,IF(Q1034="(tanpa lawan)","Transfer antar rekening",IFERROR(INDEX(I_COA!$F$6:$F$265,MATCH(Q1034,I_COA!$A$6:$A$265,0)),"?"))))</f>
        <v/>
      </c>
    </row>
    <row r="1035" customFormat="false" ht="15" hidden="false" customHeight="false" outlineLevel="0" collapsed="false">
      <c r="A1035" s="37" t="n">
        <v>46249</v>
      </c>
      <c r="B1035" s="44" t="s">
        <v>1432</v>
      </c>
      <c r="C1035" s="44" t="s">
        <v>617</v>
      </c>
      <c r="D1035" s="44" t="n">
        <v>5100011</v>
      </c>
      <c r="E1035" s="44" t="s">
        <v>166</v>
      </c>
      <c r="F1035" s="44" t="s">
        <v>1433</v>
      </c>
      <c r="G1035" s="42" t="n">
        <v>36512939.73</v>
      </c>
      <c r="H1035" s="42"/>
      <c r="I1035" s="44" t="s">
        <v>432</v>
      </c>
      <c r="J1035" s="11" t="n">
        <f aca="false">IF(D1035="","",N(G1035)-N(H1035))</f>
        <v>36512939.73</v>
      </c>
      <c r="K1035" s="34" t="str">
        <f aca="false">IF(D1035="","",IFERROR(INDEX(I_COA!$C$6:$C$265,MATCH(D1035,I_COA!$A$6:$A$265,0)),"AKUN BARU"))</f>
        <v>LabaRugi</v>
      </c>
      <c r="L1035" s="34" t="str">
        <f aca="false">IF(K1035="LabaRugi",INDEX(I_COA!$D$6:$D$265,MATCH(D1035,I_COA!$A$6:$A$265,0)),"")</f>
        <v>COGS - Trading</v>
      </c>
      <c r="M1035" s="34" t="str">
        <f aca="false">IF(K1035="Neraca",INDEX(I_COA!$E$6:$E$265,MATCH(D1035,I_COA!$A$6:$A$265,0)),"")</f>
        <v/>
      </c>
      <c r="N1035" s="34" t="str">
        <f aca="false">IF(D1035="","",IFERROR(INDEX(I_COA!$G$6:$G$265,MATCH(D1035,I_COA!$A$6:$A$265,0)),"N"))</f>
        <v>N</v>
      </c>
      <c r="O1035" s="11" t="n">
        <f aca="false">IF(N1035="N",ABS(J1035),"")</f>
        <v>36512939.73</v>
      </c>
      <c r="P1035" s="18" t="str">
        <f aca="false">IF(N1035="N",B1035&amp;"|"&amp;ROUND(O1035,0),"")</f>
        <v>KGR26/0274|36512940</v>
      </c>
      <c r="Q1035" s="18" t="str">
        <f aca="false">IF(N1035&lt;&gt;"Y","",IFERROR(INDEX($D$6:$D$4005,MATCH(B1035&amp;"|"&amp;ROUND(_xlfn.MAXIFS($O$6:$O$4005,$B$6:$B$4005,B1035,$N$6:$N$4005,"N"),0),$P$6:$P$4005,0)),"(tanpa lawan)"))</f>
        <v/>
      </c>
      <c r="R1035" s="44"/>
      <c r="S1035" s="9" t="str">
        <f aca="false">IF(N1035&lt;&gt;"Y","",IF(R1035&lt;&gt;"",R1035,IF(Q1035="(tanpa lawan)","Transfer antar rekening",IFERROR(INDEX(I_COA!$F$6:$F$265,MATCH(Q1035,I_COA!$A$6:$A$265,0)),"?"))))</f>
        <v/>
      </c>
    </row>
    <row r="1036" customFormat="false" ht="15" hidden="false" customHeight="false" outlineLevel="0" collapsed="false">
      <c r="A1036" s="37" t="n">
        <v>46249</v>
      </c>
      <c r="B1036" s="44" t="s">
        <v>1432</v>
      </c>
      <c r="C1036" s="44" t="s">
        <v>617</v>
      </c>
      <c r="D1036" s="44" t="n">
        <v>1104002</v>
      </c>
      <c r="E1036" s="44" t="s">
        <v>601</v>
      </c>
      <c r="F1036" s="44" t="s">
        <v>1433</v>
      </c>
      <c r="G1036" s="42"/>
      <c r="H1036" s="42" t="n">
        <v>36512939.73</v>
      </c>
      <c r="I1036" s="44" t="s">
        <v>432</v>
      </c>
      <c r="J1036" s="11" t="n">
        <f aca="false">IF(D1036="","",N(G1036)-N(H1036))</f>
        <v>-36512939.73</v>
      </c>
      <c r="K1036" s="34" t="str">
        <f aca="false">IF(D1036="","",IFERROR(INDEX(I_COA!$C$6:$C$265,MATCH(D1036,I_COA!$A$6:$A$265,0)),"AKUN BARU"))</f>
        <v>Neraca</v>
      </c>
      <c r="L1036" s="34" t="str">
        <f aca="false">IF(K1036="LabaRugi",INDEX(I_COA!$D$6:$D$265,MATCH(D1036,I_COA!$A$6:$A$265,0)),"")</f>
        <v/>
      </c>
      <c r="M1036" s="34" t="str">
        <f aca="false">IF(K1036="Neraca",INDEX(I_COA!$E$6:$E$265,MATCH(D1036,I_COA!$A$6:$A$265,0)),"")</f>
        <v>Inventory - Product</v>
      </c>
      <c r="N1036" s="34" t="str">
        <f aca="false">IF(D1036="","",IFERROR(INDEX(I_COA!$G$6:$G$265,MATCH(D1036,I_COA!$A$6:$A$265,0)),"N"))</f>
        <v>N</v>
      </c>
      <c r="O1036" s="11" t="n">
        <f aca="false">IF(N1036="N",ABS(J1036),"")</f>
        <v>36512939.73</v>
      </c>
      <c r="P1036" s="18" t="str">
        <f aca="false">IF(N1036="N",B1036&amp;"|"&amp;ROUND(O1036,0),"")</f>
        <v>KGR26/0274|36512940</v>
      </c>
      <c r="Q1036" s="18" t="str">
        <f aca="false">IF(N1036&lt;&gt;"Y","",IFERROR(INDEX($D$6:$D$4005,MATCH(B1036&amp;"|"&amp;ROUND(_xlfn.MAXIFS($O$6:$O$4005,$B$6:$B$4005,B1036,$N$6:$N$4005,"N"),0),$P$6:$P$4005,0)),"(tanpa lawan)"))</f>
        <v/>
      </c>
      <c r="R1036" s="44"/>
      <c r="S1036" s="9" t="str">
        <f aca="false">IF(N1036&lt;&gt;"Y","",IF(R1036&lt;&gt;"",R1036,IF(Q1036="(tanpa lawan)","Transfer antar rekening",IFERROR(INDEX(I_COA!$F$6:$F$265,MATCH(Q1036,I_COA!$A$6:$A$265,0)),"?"))))</f>
        <v/>
      </c>
    </row>
    <row r="1037" customFormat="false" ht="15" hidden="false" customHeight="false" outlineLevel="0" collapsed="false">
      <c r="A1037" s="37" t="n">
        <v>46249</v>
      </c>
      <c r="B1037" s="44" t="s">
        <v>1434</v>
      </c>
      <c r="C1037" s="44" t="s">
        <v>617</v>
      </c>
      <c r="D1037" s="44" t="n">
        <v>1103101</v>
      </c>
      <c r="E1037" s="44" t="s">
        <v>589</v>
      </c>
      <c r="F1037" s="44" t="s">
        <v>1435</v>
      </c>
      <c r="G1037" s="42" t="n">
        <v>13963500</v>
      </c>
      <c r="H1037" s="42"/>
      <c r="I1037" s="44" t="s">
        <v>429</v>
      </c>
      <c r="J1037" s="11" t="n">
        <f aca="false">IF(D1037="","",N(G1037)-N(H1037))</f>
        <v>13963500</v>
      </c>
      <c r="K1037" s="34" t="str">
        <f aca="false">IF(D1037="","",IFERROR(INDEX(I_COA!$C$6:$C$265,MATCH(D1037,I_COA!$A$6:$A$265,0)),"AKUN BARU"))</f>
        <v>Neraca</v>
      </c>
      <c r="L1037" s="34" t="str">
        <f aca="false">IF(K1037="LabaRugi",INDEX(I_COA!$D$6:$D$265,MATCH(D1037,I_COA!$A$6:$A$265,0)),"")</f>
        <v/>
      </c>
      <c r="M1037" s="34" t="str">
        <f aca="false">IF(K1037="Neraca",INDEX(I_COA!$E$6:$E$265,MATCH(D1037,I_COA!$A$6:$A$265,0)),"")</f>
        <v>Trade Receivables - Third Parties</v>
      </c>
      <c r="N1037" s="34" t="str">
        <f aca="false">IF(D1037="","",IFERROR(INDEX(I_COA!$G$6:$G$265,MATCH(D1037,I_COA!$A$6:$A$265,0)),"N"))</f>
        <v>N</v>
      </c>
      <c r="O1037" s="11" t="n">
        <f aca="false">IF(N1037="N",ABS(J1037),"")</f>
        <v>13963500</v>
      </c>
      <c r="P1037" s="18" t="str">
        <f aca="false">IF(N1037="N",B1037&amp;"|"&amp;ROUND(O1037,0),"")</f>
        <v>KGR26/0275|13963500</v>
      </c>
      <c r="Q1037" s="18" t="str">
        <f aca="false">IF(N1037&lt;&gt;"Y","",IFERROR(INDEX($D$6:$D$4005,MATCH(B1037&amp;"|"&amp;ROUND(_xlfn.MAXIFS($O$6:$O$4005,$B$6:$B$4005,B1037,$N$6:$N$4005,"N"),0),$P$6:$P$4005,0)),"(tanpa lawan)"))</f>
        <v/>
      </c>
      <c r="R1037" s="44"/>
      <c r="S1037" s="9" t="str">
        <f aca="false">IF(N1037&lt;&gt;"Y","",IF(R1037&lt;&gt;"",R1037,IF(Q1037="(tanpa lawan)","Transfer antar rekening",IFERROR(INDEX(I_COA!$F$6:$F$265,MATCH(Q1037,I_COA!$A$6:$A$265,0)),"?"))))</f>
        <v/>
      </c>
    </row>
    <row r="1038" customFormat="false" ht="15" hidden="false" customHeight="false" outlineLevel="0" collapsed="false">
      <c r="A1038" s="37" t="n">
        <v>46249</v>
      </c>
      <c r="B1038" s="44" t="s">
        <v>1434</v>
      </c>
      <c r="C1038" s="44" t="s">
        <v>617</v>
      </c>
      <c r="D1038" s="44" t="n">
        <v>4101012</v>
      </c>
      <c r="E1038" s="44" t="s">
        <v>619</v>
      </c>
      <c r="F1038" s="44" t="s">
        <v>1435</v>
      </c>
      <c r="G1038" s="42"/>
      <c r="H1038" s="42" t="n">
        <v>13963500</v>
      </c>
      <c r="I1038" s="44" t="s">
        <v>429</v>
      </c>
      <c r="J1038" s="11" t="n">
        <f aca="false">IF(D1038="","",N(G1038)-N(H1038))</f>
        <v>-13963500</v>
      </c>
      <c r="K1038" s="34" t="str">
        <f aca="false">IF(D1038="","",IFERROR(INDEX(I_COA!$C$6:$C$265,MATCH(D1038,I_COA!$A$6:$A$265,0)),"AKUN BARU"))</f>
        <v>LabaRugi</v>
      </c>
      <c r="L1038" s="34" t="str">
        <f aca="false">IF(K1038="LabaRugi",INDEX(I_COA!$D$6:$D$265,MATCH(D1038,I_COA!$A$6:$A$265,0)),"")</f>
        <v>Revenue - Trading</v>
      </c>
      <c r="M1038" s="34" t="str">
        <f aca="false">IF(K1038="Neraca",INDEX(I_COA!$E$6:$E$265,MATCH(D1038,I_COA!$A$6:$A$265,0)),"")</f>
        <v/>
      </c>
      <c r="N1038" s="34" t="str">
        <f aca="false">IF(D1038="","",IFERROR(INDEX(I_COA!$G$6:$G$265,MATCH(D1038,I_COA!$A$6:$A$265,0)),"N"))</f>
        <v>N</v>
      </c>
      <c r="O1038" s="11" t="n">
        <f aca="false">IF(N1038="N",ABS(J1038),"")</f>
        <v>13963500</v>
      </c>
      <c r="P1038" s="18" t="str">
        <f aca="false">IF(N1038="N",B1038&amp;"|"&amp;ROUND(O1038,0),"")</f>
        <v>KGR26/0275|13963500</v>
      </c>
      <c r="Q1038" s="18" t="str">
        <f aca="false">IF(N1038&lt;&gt;"Y","",IFERROR(INDEX($D$6:$D$4005,MATCH(B1038&amp;"|"&amp;ROUND(_xlfn.MAXIFS($O$6:$O$4005,$B$6:$B$4005,B1038,$N$6:$N$4005,"N"),0),$P$6:$P$4005,0)),"(tanpa lawan)"))</f>
        <v/>
      </c>
      <c r="R1038" s="44"/>
      <c r="S1038" s="9" t="str">
        <f aca="false">IF(N1038&lt;&gt;"Y","",IF(R1038&lt;&gt;"",R1038,IF(Q1038="(tanpa lawan)","Transfer antar rekening",IFERROR(INDEX(I_COA!$F$6:$F$265,MATCH(Q1038,I_COA!$A$6:$A$265,0)),"?"))))</f>
        <v/>
      </c>
    </row>
    <row r="1039" customFormat="false" ht="15" hidden="false" customHeight="false" outlineLevel="0" collapsed="false">
      <c r="A1039" s="37" t="n">
        <v>46249</v>
      </c>
      <c r="B1039" s="44" t="s">
        <v>1434</v>
      </c>
      <c r="C1039" s="44" t="s">
        <v>617</v>
      </c>
      <c r="D1039" s="44" t="n">
        <v>5100011</v>
      </c>
      <c r="E1039" s="44" t="s">
        <v>166</v>
      </c>
      <c r="F1039" s="44" t="s">
        <v>1435</v>
      </c>
      <c r="G1039" s="42" t="n">
        <v>10636085.89</v>
      </c>
      <c r="H1039" s="42"/>
      <c r="I1039" s="44" t="s">
        <v>429</v>
      </c>
      <c r="J1039" s="11" t="n">
        <f aca="false">IF(D1039="","",N(G1039)-N(H1039))</f>
        <v>10636085.89</v>
      </c>
      <c r="K1039" s="34" t="str">
        <f aca="false">IF(D1039="","",IFERROR(INDEX(I_COA!$C$6:$C$265,MATCH(D1039,I_COA!$A$6:$A$265,0)),"AKUN BARU"))</f>
        <v>LabaRugi</v>
      </c>
      <c r="L1039" s="34" t="str">
        <f aca="false">IF(K1039="LabaRugi",INDEX(I_COA!$D$6:$D$265,MATCH(D1039,I_COA!$A$6:$A$265,0)),"")</f>
        <v>COGS - Trading</v>
      </c>
      <c r="M1039" s="34" t="str">
        <f aca="false">IF(K1039="Neraca",INDEX(I_COA!$E$6:$E$265,MATCH(D1039,I_COA!$A$6:$A$265,0)),"")</f>
        <v/>
      </c>
      <c r="N1039" s="34" t="str">
        <f aca="false">IF(D1039="","",IFERROR(INDEX(I_COA!$G$6:$G$265,MATCH(D1039,I_COA!$A$6:$A$265,0)),"N"))</f>
        <v>N</v>
      </c>
      <c r="O1039" s="11" t="n">
        <f aca="false">IF(N1039="N",ABS(J1039),"")</f>
        <v>10636085.89</v>
      </c>
      <c r="P1039" s="18" t="str">
        <f aca="false">IF(N1039="N",B1039&amp;"|"&amp;ROUND(O1039,0),"")</f>
        <v>KGR26/0275|10636086</v>
      </c>
      <c r="Q1039" s="18" t="str">
        <f aca="false">IF(N1039&lt;&gt;"Y","",IFERROR(INDEX($D$6:$D$4005,MATCH(B1039&amp;"|"&amp;ROUND(_xlfn.MAXIFS($O$6:$O$4005,$B$6:$B$4005,B1039,$N$6:$N$4005,"N"),0),$P$6:$P$4005,0)),"(tanpa lawan)"))</f>
        <v/>
      </c>
      <c r="R1039" s="44"/>
      <c r="S1039" s="9" t="str">
        <f aca="false">IF(N1039&lt;&gt;"Y","",IF(R1039&lt;&gt;"",R1039,IF(Q1039="(tanpa lawan)","Transfer antar rekening",IFERROR(INDEX(I_COA!$F$6:$F$265,MATCH(Q1039,I_COA!$A$6:$A$265,0)),"?"))))</f>
        <v/>
      </c>
    </row>
    <row r="1040" customFormat="false" ht="15" hidden="false" customHeight="false" outlineLevel="0" collapsed="false">
      <c r="A1040" s="37" t="n">
        <v>46249</v>
      </c>
      <c r="B1040" s="44" t="s">
        <v>1434</v>
      </c>
      <c r="C1040" s="44" t="s">
        <v>617</v>
      </c>
      <c r="D1040" s="44" t="n">
        <v>1104002</v>
      </c>
      <c r="E1040" s="44" t="s">
        <v>601</v>
      </c>
      <c r="F1040" s="44" t="s">
        <v>1435</v>
      </c>
      <c r="G1040" s="42"/>
      <c r="H1040" s="42" t="n">
        <v>10636085.89</v>
      </c>
      <c r="I1040" s="44" t="s">
        <v>429</v>
      </c>
      <c r="J1040" s="11" t="n">
        <f aca="false">IF(D1040="","",N(G1040)-N(H1040))</f>
        <v>-10636085.89</v>
      </c>
      <c r="K1040" s="34" t="str">
        <f aca="false">IF(D1040="","",IFERROR(INDEX(I_COA!$C$6:$C$265,MATCH(D1040,I_COA!$A$6:$A$265,0)),"AKUN BARU"))</f>
        <v>Neraca</v>
      </c>
      <c r="L1040" s="34" t="str">
        <f aca="false">IF(K1040="LabaRugi",INDEX(I_COA!$D$6:$D$265,MATCH(D1040,I_COA!$A$6:$A$265,0)),"")</f>
        <v/>
      </c>
      <c r="M1040" s="34" t="str">
        <f aca="false">IF(K1040="Neraca",INDEX(I_COA!$E$6:$E$265,MATCH(D1040,I_COA!$A$6:$A$265,0)),"")</f>
        <v>Inventory - Product</v>
      </c>
      <c r="N1040" s="34" t="str">
        <f aca="false">IF(D1040="","",IFERROR(INDEX(I_COA!$G$6:$G$265,MATCH(D1040,I_COA!$A$6:$A$265,0)),"N"))</f>
        <v>N</v>
      </c>
      <c r="O1040" s="11" t="n">
        <f aca="false">IF(N1040="N",ABS(J1040),"")</f>
        <v>10636085.89</v>
      </c>
      <c r="P1040" s="18" t="str">
        <f aca="false">IF(N1040="N",B1040&amp;"|"&amp;ROUND(O1040,0),"")</f>
        <v>KGR26/0275|10636086</v>
      </c>
      <c r="Q1040" s="18" t="str">
        <f aca="false">IF(N1040&lt;&gt;"Y","",IFERROR(INDEX($D$6:$D$4005,MATCH(B1040&amp;"|"&amp;ROUND(_xlfn.MAXIFS($O$6:$O$4005,$B$6:$B$4005,B1040,$N$6:$N$4005,"N"),0),$P$6:$P$4005,0)),"(tanpa lawan)"))</f>
        <v/>
      </c>
      <c r="R1040" s="44"/>
      <c r="S1040" s="9" t="str">
        <f aca="false">IF(N1040&lt;&gt;"Y","",IF(R1040&lt;&gt;"",R1040,IF(Q1040="(tanpa lawan)","Transfer antar rekening",IFERROR(INDEX(I_COA!$F$6:$F$265,MATCH(Q1040,I_COA!$A$6:$A$265,0)),"?"))))</f>
        <v/>
      </c>
    </row>
    <row r="1041" customFormat="false" ht="15" hidden="false" customHeight="false" outlineLevel="0" collapsed="false">
      <c r="A1041" s="37" t="n">
        <v>46249</v>
      </c>
      <c r="B1041" s="44" t="s">
        <v>1436</v>
      </c>
      <c r="C1041" s="44" t="s">
        <v>580</v>
      </c>
      <c r="D1041" s="44" t="n">
        <v>5100014</v>
      </c>
      <c r="E1041" s="44" t="s">
        <v>1437</v>
      </c>
      <c r="F1041" s="44" t="s">
        <v>1438</v>
      </c>
      <c r="G1041" s="42" t="n">
        <v>769230</v>
      </c>
      <c r="H1041" s="42"/>
      <c r="I1041" s="44"/>
      <c r="J1041" s="11" t="n">
        <f aca="false">IF(D1041="","",N(G1041)-N(H1041))</f>
        <v>769230</v>
      </c>
      <c r="K1041" s="34" t="str">
        <f aca="false">IF(D1041="","",IFERROR(INDEX(I_COA!$C$6:$C$265,MATCH(D1041,I_COA!$A$6:$A$265,0)),"AKUN BARU"))</f>
        <v>LabaRugi</v>
      </c>
      <c r="L1041" s="34" t="str">
        <f aca="false">IF(K1041="LabaRugi",INDEX(I_COA!$D$6:$D$265,MATCH(D1041,I_COA!$A$6:$A$265,0)),"")</f>
        <v>Storage Expenses</v>
      </c>
      <c r="M1041" s="34" t="str">
        <f aca="false">IF(K1041="Neraca",INDEX(I_COA!$E$6:$E$265,MATCH(D1041,I_COA!$A$6:$A$265,0)),"")</f>
        <v/>
      </c>
      <c r="N1041" s="34" t="str">
        <f aca="false">IF(D1041="","",IFERROR(INDEX(I_COA!$G$6:$G$265,MATCH(D1041,I_COA!$A$6:$A$265,0)),"N"))</f>
        <v>N</v>
      </c>
      <c r="O1041" s="11" t="n">
        <f aca="false">IF(N1041="N",ABS(J1041),"")</f>
        <v>769230</v>
      </c>
      <c r="P1041" s="18" t="str">
        <f aca="false">IF(N1041="N",B1041&amp;"|"&amp;ROUND(O1041,0),"")</f>
        <v>MJ26080004|769230</v>
      </c>
      <c r="Q1041" s="18" t="str">
        <f aca="false">IF(N1041&lt;&gt;"Y","",IFERROR(INDEX($D$6:$D$4005,MATCH(B1041&amp;"|"&amp;ROUND(_xlfn.MAXIFS($O$6:$O$4005,$B$6:$B$4005,B1041,$N$6:$N$4005,"N"),0),$P$6:$P$4005,0)),"(tanpa lawan)"))</f>
        <v/>
      </c>
      <c r="R1041" s="44"/>
      <c r="S1041" s="9" t="str">
        <f aca="false">IF(N1041&lt;&gt;"Y","",IF(R1041&lt;&gt;"",R1041,IF(Q1041="(tanpa lawan)","Transfer antar rekening",IFERROR(INDEX(I_COA!$F$6:$F$265,MATCH(Q1041,I_COA!$A$6:$A$265,0)),"?"))))</f>
        <v/>
      </c>
    </row>
    <row r="1042" customFormat="false" ht="15" hidden="false" customHeight="false" outlineLevel="0" collapsed="false">
      <c r="A1042" s="37" t="n">
        <v>46249</v>
      </c>
      <c r="B1042" s="44" t="s">
        <v>1436</v>
      </c>
      <c r="C1042" s="44" t="s">
        <v>580</v>
      </c>
      <c r="D1042" s="44" t="n">
        <v>2102002</v>
      </c>
      <c r="E1042" s="44" t="s">
        <v>633</v>
      </c>
      <c r="F1042" s="44" t="s">
        <v>1439</v>
      </c>
      <c r="G1042" s="42"/>
      <c r="H1042" s="42" t="n">
        <v>19230</v>
      </c>
      <c r="I1042" s="44"/>
      <c r="J1042" s="11" t="n">
        <f aca="false">IF(D1042="","",N(G1042)-N(H1042))</f>
        <v>-19230</v>
      </c>
      <c r="K1042" s="34" t="str">
        <f aca="false">IF(D1042="","",IFERROR(INDEX(I_COA!$C$6:$C$265,MATCH(D1042,I_COA!$A$6:$A$265,0)),"AKUN BARU"))</f>
        <v>Neraca</v>
      </c>
      <c r="L1042" s="34" t="str">
        <f aca="false">IF(K1042="LabaRugi",INDEX(I_COA!$D$6:$D$265,MATCH(D1042,I_COA!$A$6:$A$265,0)),"")</f>
        <v/>
      </c>
      <c r="M1042" s="34" t="str">
        <f aca="false">IF(K1042="Neraca",INDEX(I_COA!$E$6:$E$265,MATCH(D1042,I_COA!$A$6:$A$265,0)),"")</f>
        <v>Taxes Payable</v>
      </c>
      <c r="N1042" s="34" t="str">
        <f aca="false">IF(D1042="","",IFERROR(INDEX(I_COA!$G$6:$G$265,MATCH(D1042,I_COA!$A$6:$A$265,0)),"N"))</f>
        <v>N</v>
      </c>
      <c r="O1042" s="11" t="n">
        <f aca="false">IF(N1042="N",ABS(J1042),"")</f>
        <v>19230</v>
      </c>
      <c r="P1042" s="18" t="str">
        <f aca="false">IF(N1042="N",B1042&amp;"|"&amp;ROUND(O1042,0),"")</f>
        <v>MJ26080004|19230</v>
      </c>
      <c r="Q1042" s="18" t="str">
        <f aca="false">IF(N1042&lt;&gt;"Y","",IFERROR(INDEX($D$6:$D$4005,MATCH(B1042&amp;"|"&amp;ROUND(_xlfn.MAXIFS($O$6:$O$4005,$B$6:$B$4005,B1042,$N$6:$N$4005,"N"),0),$P$6:$P$4005,0)),"(tanpa lawan)"))</f>
        <v/>
      </c>
      <c r="R1042" s="44"/>
      <c r="S1042" s="9" t="str">
        <f aca="false">IF(N1042&lt;&gt;"Y","",IF(R1042&lt;&gt;"",R1042,IF(Q1042="(tanpa lawan)","Transfer antar rekening",IFERROR(INDEX(I_COA!$F$6:$F$265,MATCH(Q1042,I_COA!$A$6:$A$265,0)),"?"))))</f>
        <v/>
      </c>
    </row>
    <row r="1043" customFormat="false" ht="15" hidden="false" customHeight="false" outlineLevel="0" collapsed="false">
      <c r="A1043" s="37" t="n">
        <v>46249</v>
      </c>
      <c r="B1043" s="44" t="s">
        <v>1436</v>
      </c>
      <c r="C1043" s="44" t="s">
        <v>580</v>
      </c>
      <c r="D1043" s="44" t="n">
        <v>5100013</v>
      </c>
      <c r="E1043" s="44" t="s">
        <v>631</v>
      </c>
      <c r="F1043" s="44" t="s">
        <v>1440</v>
      </c>
      <c r="G1043" s="42" t="n">
        <v>102565</v>
      </c>
      <c r="H1043" s="42"/>
      <c r="I1043" s="44"/>
      <c r="J1043" s="11" t="n">
        <f aca="false">IF(D1043="","",N(G1043)-N(H1043))</f>
        <v>102565</v>
      </c>
      <c r="K1043" s="34" t="str">
        <f aca="false">IF(D1043="","",IFERROR(INDEX(I_COA!$C$6:$C$265,MATCH(D1043,I_COA!$A$6:$A$265,0)),"AKUN BARU"))</f>
        <v>LabaRugi</v>
      </c>
      <c r="L1043" s="34" t="str">
        <f aca="false">IF(K1043="LabaRugi",INDEX(I_COA!$D$6:$D$265,MATCH(D1043,I_COA!$A$6:$A$265,0)),"")</f>
        <v>Storage Expenses</v>
      </c>
      <c r="M1043" s="34" t="str">
        <f aca="false">IF(K1043="Neraca",INDEX(I_COA!$E$6:$E$265,MATCH(D1043,I_COA!$A$6:$A$265,0)),"")</f>
        <v/>
      </c>
      <c r="N1043" s="34" t="str">
        <f aca="false">IF(D1043="","",IFERROR(INDEX(I_COA!$G$6:$G$265,MATCH(D1043,I_COA!$A$6:$A$265,0)),"N"))</f>
        <v>N</v>
      </c>
      <c r="O1043" s="11" t="n">
        <f aca="false">IF(N1043="N",ABS(J1043),"")</f>
        <v>102565</v>
      </c>
      <c r="P1043" s="18" t="str">
        <f aca="false">IF(N1043="N",B1043&amp;"|"&amp;ROUND(O1043,0),"")</f>
        <v>MJ26080004|102565</v>
      </c>
      <c r="Q1043" s="18" t="str">
        <f aca="false">IF(N1043&lt;&gt;"Y","",IFERROR(INDEX($D$6:$D$4005,MATCH(B1043&amp;"|"&amp;ROUND(_xlfn.MAXIFS($O$6:$O$4005,$B$6:$B$4005,B1043,$N$6:$N$4005,"N"),0),$P$6:$P$4005,0)),"(tanpa lawan)"))</f>
        <v/>
      </c>
      <c r="R1043" s="44"/>
      <c r="S1043" s="9" t="str">
        <f aca="false">IF(N1043&lt;&gt;"Y","",IF(R1043&lt;&gt;"",R1043,IF(Q1043="(tanpa lawan)","Transfer antar rekening",IFERROR(INDEX(I_COA!$F$6:$F$265,MATCH(Q1043,I_COA!$A$6:$A$265,0)),"?"))))</f>
        <v/>
      </c>
    </row>
    <row r="1044" customFormat="false" ht="15" hidden="false" customHeight="false" outlineLevel="0" collapsed="false">
      <c r="A1044" s="37" t="n">
        <v>46249</v>
      </c>
      <c r="B1044" s="44" t="s">
        <v>1436</v>
      </c>
      <c r="C1044" s="44" t="s">
        <v>580</v>
      </c>
      <c r="D1044" s="44" t="n">
        <v>2102002</v>
      </c>
      <c r="E1044" s="44" t="s">
        <v>633</v>
      </c>
      <c r="F1044" s="44" t="s">
        <v>1441</v>
      </c>
      <c r="G1044" s="42"/>
      <c r="H1044" s="42" t="n">
        <v>2565</v>
      </c>
      <c r="I1044" s="44"/>
      <c r="J1044" s="11" t="n">
        <f aca="false">IF(D1044="","",N(G1044)-N(H1044))</f>
        <v>-2565</v>
      </c>
      <c r="K1044" s="34" t="str">
        <f aca="false">IF(D1044="","",IFERROR(INDEX(I_COA!$C$6:$C$265,MATCH(D1044,I_COA!$A$6:$A$265,0)),"AKUN BARU"))</f>
        <v>Neraca</v>
      </c>
      <c r="L1044" s="34" t="str">
        <f aca="false">IF(K1044="LabaRugi",INDEX(I_COA!$D$6:$D$265,MATCH(D1044,I_COA!$A$6:$A$265,0)),"")</f>
        <v/>
      </c>
      <c r="M1044" s="34" t="str">
        <f aca="false">IF(K1044="Neraca",INDEX(I_COA!$E$6:$E$265,MATCH(D1044,I_COA!$A$6:$A$265,0)),"")</f>
        <v>Taxes Payable</v>
      </c>
      <c r="N1044" s="34" t="str">
        <f aca="false">IF(D1044="","",IFERROR(INDEX(I_COA!$G$6:$G$265,MATCH(D1044,I_COA!$A$6:$A$265,0)),"N"))</f>
        <v>N</v>
      </c>
      <c r="O1044" s="11" t="n">
        <f aca="false">IF(N1044="N",ABS(J1044),"")</f>
        <v>2565</v>
      </c>
      <c r="P1044" s="18" t="str">
        <f aca="false">IF(N1044="N",B1044&amp;"|"&amp;ROUND(O1044,0),"")</f>
        <v>MJ26080004|2565</v>
      </c>
      <c r="Q1044" s="18" t="str">
        <f aca="false">IF(N1044&lt;&gt;"Y","",IFERROR(INDEX($D$6:$D$4005,MATCH(B1044&amp;"|"&amp;ROUND(_xlfn.MAXIFS($O$6:$O$4005,$B$6:$B$4005,B1044,$N$6:$N$4005,"N"),0),$P$6:$P$4005,0)),"(tanpa lawan)"))</f>
        <v/>
      </c>
      <c r="R1044" s="44"/>
      <c r="S1044" s="9" t="str">
        <f aca="false">IF(N1044&lt;&gt;"Y","",IF(R1044&lt;&gt;"",R1044,IF(Q1044="(tanpa lawan)","Transfer antar rekening",IFERROR(INDEX(I_COA!$F$6:$F$265,MATCH(Q1044,I_COA!$A$6:$A$265,0)),"?"))))</f>
        <v/>
      </c>
    </row>
    <row r="1045" customFormat="false" ht="15" hidden="false" customHeight="false" outlineLevel="0" collapsed="false">
      <c r="A1045" s="37" t="n">
        <v>46249</v>
      </c>
      <c r="B1045" s="44" t="s">
        <v>1436</v>
      </c>
      <c r="C1045" s="44" t="s">
        <v>580</v>
      </c>
      <c r="D1045" s="44" t="n">
        <v>6100006</v>
      </c>
      <c r="E1045" s="44" t="s">
        <v>717</v>
      </c>
      <c r="F1045" s="44" t="s">
        <v>1442</v>
      </c>
      <c r="G1045" s="42" t="n">
        <v>820000</v>
      </c>
      <c r="H1045" s="42"/>
      <c r="I1045" s="44"/>
      <c r="J1045" s="11" t="n">
        <f aca="false">IF(D1045="","",N(G1045)-N(H1045))</f>
        <v>820000</v>
      </c>
      <c r="K1045" s="34" t="str">
        <f aca="false">IF(D1045="","",IFERROR(INDEX(I_COA!$C$6:$C$265,MATCH(D1045,I_COA!$A$6:$A$265,0)),"AKUN BARU"))</f>
        <v>LabaRugi</v>
      </c>
      <c r="L1045" s="34" t="str">
        <f aca="false">IF(K1045="LabaRugi",INDEX(I_COA!$D$6:$D$265,MATCH(D1045,I_COA!$A$6:$A$265,0)),"")</f>
        <v>Delivery Expenses</v>
      </c>
      <c r="M1045" s="34" t="str">
        <f aca="false">IF(K1045="Neraca",INDEX(I_COA!$E$6:$E$265,MATCH(D1045,I_COA!$A$6:$A$265,0)),"")</f>
        <v/>
      </c>
      <c r="N1045" s="34" t="str">
        <f aca="false">IF(D1045="","",IFERROR(INDEX(I_COA!$G$6:$G$265,MATCH(D1045,I_COA!$A$6:$A$265,0)),"N"))</f>
        <v>N</v>
      </c>
      <c r="O1045" s="11" t="n">
        <f aca="false">IF(N1045="N",ABS(J1045),"")</f>
        <v>820000</v>
      </c>
      <c r="P1045" s="18" t="str">
        <f aca="false">IF(N1045="N",B1045&amp;"|"&amp;ROUND(O1045,0),"")</f>
        <v>MJ26080004|820000</v>
      </c>
      <c r="Q1045" s="18" t="str">
        <f aca="false">IF(N1045&lt;&gt;"Y","",IFERROR(INDEX($D$6:$D$4005,MATCH(B1045&amp;"|"&amp;ROUND(_xlfn.MAXIFS($O$6:$O$4005,$B$6:$B$4005,B1045,$N$6:$N$4005,"N"),0),$P$6:$P$4005,0)),"(tanpa lawan)"))</f>
        <v/>
      </c>
      <c r="R1045" s="44"/>
      <c r="S1045" s="9" t="str">
        <f aca="false">IF(N1045&lt;&gt;"Y","",IF(R1045&lt;&gt;"",R1045,IF(Q1045="(tanpa lawan)","Transfer antar rekening",IFERROR(INDEX(I_COA!$F$6:$F$265,MATCH(Q1045,I_COA!$A$6:$A$265,0)),"?"))))</f>
        <v/>
      </c>
    </row>
    <row r="1046" customFormat="false" ht="15" hidden="false" customHeight="false" outlineLevel="0" collapsed="false">
      <c r="A1046" s="37" t="n">
        <v>46249</v>
      </c>
      <c r="B1046" s="44" t="s">
        <v>1436</v>
      </c>
      <c r="C1046" s="44" t="s">
        <v>580</v>
      </c>
      <c r="D1046" s="44" t="n">
        <v>2102003</v>
      </c>
      <c r="E1046" s="44" t="s">
        <v>722</v>
      </c>
      <c r="F1046" s="44" t="s">
        <v>1443</v>
      </c>
      <c r="G1046" s="42"/>
      <c r="H1046" s="42" t="n">
        <v>16400</v>
      </c>
      <c r="I1046" s="44"/>
      <c r="J1046" s="11" t="n">
        <f aca="false">IF(D1046="","",N(G1046)-N(H1046))</f>
        <v>-16400</v>
      </c>
      <c r="K1046" s="34" t="str">
        <f aca="false">IF(D1046="","",IFERROR(INDEX(I_COA!$C$6:$C$265,MATCH(D1046,I_COA!$A$6:$A$265,0)),"AKUN BARU"))</f>
        <v>Neraca</v>
      </c>
      <c r="L1046" s="34" t="str">
        <f aca="false">IF(K1046="LabaRugi",INDEX(I_COA!$D$6:$D$265,MATCH(D1046,I_COA!$A$6:$A$265,0)),"")</f>
        <v/>
      </c>
      <c r="M1046" s="34" t="str">
        <f aca="false">IF(K1046="Neraca",INDEX(I_COA!$E$6:$E$265,MATCH(D1046,I_COA!$A$6:$A$265,0)),"")</f>
        <v>Taxes Payable</v>
      </c>
      <c r="N1046" s="34" t="str">
        <f aca="false">IF(D1046="","",IFERROR(INDEX(I_COA!$G$6:$G$265,MATCH(D1046,I_COA!$A$6:$A$265,0)),"N"))</f>
        <v>N</v>
      </c>
      <c r="O1046" s="11" t="n">
        <f aca="false">IF(N1046="N",ABS(J1046),"")</f>
        <v>16400</v>
      </c>
      <c r="P1046" s="18" t="str">
        <f aca="false">IF(N1046="N",B1046&amp;"|"&amp;ROUND(O1046,0),"")</f>
        <v>MJ26080004|16400</v>
      </c>
      <c r="Q1046" s="18" t="str">
        <f aca="false">IF(N1046&lt;&gt;"Y","",IFERROR(INDEX($D$6:$D$4005,MATCH(B1046&amp;"|"&amp;ROUND(_xlfn.MAXIFS($O$6:$O$4005,$B$6:$B$4005,B1046,$N$6:$N$4005,"N"),0),$P$6:$P$4005,0)),"(tanpa lawan)"))</f>
        <v/>
      </c>
      <c r="R1046" s="44"/>
      <c r="S1046" s="9" t="str">
        <f aca="false">IF(N1046&lt;&gt;"Y","",IF(R1046&lt;&gt;"",R1046,IF(Q1046="(tanpa lawan)","Transfer antar rekening",IFERROR(INDEX(I_COA!$F$6:$F$265,MATCH(Q1046,I_COA!$A$6:$A$265,0)),"?"))))</f>
        <v/>
      </c>
    </row>
    <row r="1047" customFormat="false" ht="15" hidden="false" customHeight="false" outlineLevel="0" collapsed="false">
      <c r="A1047" s="37" t="n">
        <v>46249</v>
      </c>
      <c r="B1047" s="44" t="s">
        <v>1436</v>
      </c>
      <c r="C1047" s="44" t="s">
        <v>580</v>
      </c>
      <c r="D1047" s="44" t="n">
        <v>1103120</v>
      </c>
      <c r="E1047" s="44" t="s">
        <v>640</v>
      </c>
      <c r="F1047" s="44" t="s">
        <v>1444</v>
      </c>
      <c r="G1047" s="42"/>
      <c r="H1047" s="42" t="n">
        <v>1653600</v>
      </c>
      <c r="I1047" s="44" t="s">
        <v>642</v>
      </c>
      <c r="J1047" s="11" t="n">
        <f aca="false">IF(D1047="","",N(G1047)-N(H1047))</f>
        <v>-1653600</v>
      </c>
      <c r="K1047" s="34" t="str">
        <f aca="false">IF(D1047="","",IFERROR(INDEX(I_COA!$C$6:$C$265,MATCH(D1047,I_COA!$A$6:$A$265,0)),"AKUN BARU"))</f>
        <v>Neraca</v>
      </c>
      <c r="L1047" s="34" t="str">
        <f aca="false">IF(K1047="LabaRugi",INDEX(I_COA!$D$6:$D$265,MATCH(D1047,I_COA!$A$6:$A$265,0)),"")</f>
        <v/>
      </c>
      <c r="M1047" s="34" t="str">
        <f aca="false">IF(K1047="Neraca",INDEX(I_COA!$E$6:$E$265,MATCH(D1047,I_COA!$A$6:$A$265,0)),"")</f>
        <v>Advance Payment</v>
      </c>
      <c r="N1047" s="34" t="str">
        <f aca="false">IF(D1047="","",IFERROR(INDEX(I_COA!$G$6:$G$265,MATCH(D1047,I_COA!$A$6:$A$265,0)),"N"))</f>
        <v>N</v>
      </c>
      <c r="O1047" s="11" t="n">
        <f aca="false">IF(N1047="N",ABS(J1047),"")</f>
        <v>1653600</v>
      </c>
      <c r="P1047" s="18" t="str">
        <f aca="false">IF(N1047="N",B1047&amp;"|"&amp;ROUND(O1047,0),"")</f>
        <v>MJ26080004|1653600</v>
      </c>
      <c r="Q1047" s="18" t="str">
        <f aca="false">IF(N1047&lt;&gt;"Y","",IFERROR(INDEX($D$6:$D$4005,MATCH(B1047&amp;"|"&amp;ROUND(_xlfn.MAXIFS($O$6:$O$4005,$B$6:$B$4005,B1047,$N$6:$N$4005,"N"),0),$P$6:$P$4005,0)),"(tanpa lawan)"))</f>
        <v/>
      </c>
      <c r="R1047" s="44"/>
      <c r="S1047" s="9" t="str">
        <f aca="false">IF(N1047&lt;&gt;"Y","",IF(R1047&lt;&gt;"",R1047,IF(Q1047="(tanpa lawan)","Transfer antar rekening",IFERROR(INDEX(I_COA!$F$6:$F$265,MATCH(Q1047,I_COA!$A$6:$A$265,0)),"?"))))</f>
        <v/>
      </c>
    </row>
    <row r="1048" customFormat="false" ht="15" hidden="false" customHeight="false" outlineLevel="0" collapsed="false">
      <c r="A1048" s="37" t="n">
        <v>46249</v>
      </c>
      <c r="B1048" s="44" t="s">
        <v>1445</v>
      </c>
      <c r="C1048" s="44" t="s">
        <v>707</v>
      </c>
      <c r="D1048" s="44" t="n">
        <v>5100012</v>
      </c>
      <c r="E1048" s="44" t="s">
        <v>1446</v>
      </c>
      <c r="F1048" s="44" t="s">
        <v>1447</v>
      </c>
      <c r="G1048" s="42" t="n">
        <v>4849258</v>
      </c>
      <c r="H1048" s="42"/>
      <c r="I1048" s="44" t="s">
        <v>1031</v>
      </c>
      <c r="J1048" s="11" t="n">
        <f aca="false">IF(D1048="","",N(G1048)-N(H1048))</f>
        <v>4849258</v>
      </c>
      <c r="K1048" s="34" t="str">
        <f aca="false">IF(D1048="","",IFERROR(INDEX(I_COA!$C$6:$C$265,MATCH(D1048,I_COA!$A$6:$A$265,0)),"AKUN BARU"))</f>
        <v>LabaRugi</v>
      </c>
      <c r="L1048" s="34" t="str">
        <f aca="false">IF(K1048="LabaRugi",INDEX(I_COA!$D$6:$D$265,MATCH(D1048,I_COA!$A$6:$A$265,0)),"")</f>
        <v>Storage Expenses</v>
      </c>
      <c r="M1048" s="34" t="str">
        <f aca="false">IF(K1048="Neraca",INDEX(I_COA!$E$6:$E$265,MATCH(D1048,I_COA!$A$6:$A$265,0)),"")</f>
        <v/>
      </c>
      <c r="N1048" s="34" t="str">
        <f aca="false">IF(D1048="","",IFERROR(INDEX(I_COA!$G$6:$G$265,MATCH(D1048,I_COA!$A$6:$A$265,0)),"N"))</f>
        <v>N</v>
      </c>
      <c r="O1048" s="11" t="n">
        <f aca="false">IF(N1048="N",ABS(J1048),"")</f>
        <v>4849258</v>
      </c>
      <c r="P1048" s="18" t="str">
        <f aca="false">IF(N1048="N",B1048&amp;"|"&amp;ROUND(O1048,0),"")</f>
        <v>PI26080071|4849258</v>
      </c>
      <c r="Q1048" s="18" t="str">
        <f aca="false">IF(N1048&lt;&gt;"Y","",IFERROR(INDEX($D$6:$D$4005,MATCH(B1048&amp;"|"&amp;ROUND(_xlfn.MAXIFS($O$6:$O$4005,$B$6:$B$4005,B1048,$N$6:$N$4005,"N"),0),$P$6:$P$4005,0)),"(tanpa lawan)"))</f>
        <v/>
      </c>
      <c r="R1048" s="44"/>
      <c r="S1048" s="9" t="str">
        <f aca="false">IF(N1048&lt;&gt;"Y","",IF(R1048&lt;&gt;"",R1048,IF(Q1048="(tanpa lawan)","Transfer antar rekening",IFERROR(INDEX(I_COA!$F$6:$F$265,MATCH(Q1048,I_COA!$A$6:$A$265,0)),"?"))))</f>
        <v/>
      </c>
    </row>
    <row r="1049" customFormat="false" ht="15" hidden="false" customHeight="false" outlineLevel="0" collapsed="false">
      <c r="A1049" s="37" t="n">
        <v>46249</v>
      </c>
      <c r="B1049" s="44" t="s">
        <v>1445</v>
      </c>
      <c r="C1049" s="44" t="s">
        <v>707</v>
      </c>
      <c r="D1049" s="44" t="n">
        <v>5100013</v>
      </c>
      <c r="E1049" s="44" t="s">
        <v>631</v>
      </c>
      <c r="F1049" s="44" t="s">
        <v>1448</v>
      </c>
      <c r="G1049" s="42" t="n">
        <v>584065.8</v>
      </c>
      <c r="H1049" s="42"/>
      <c r="I1049" s="44" t="s">
        <v>1031</v>
      </c>
      <c r="J1049" s="11" t="n">
        <f aca="false">IF(D1049="","",N(G1049)-N(H1049))</f>
        <v>584065.8</v>
      </c>
      <c r="K1049" s="34" t="str">
        <f aca="false">IF(D1049="","",IFERROR(INDEX(I_COA!$C$6:$C$265,MATCH(D1049,I_COA!$A$6:$A$265,0)),"AKUN BARU"))</f>
        <v>LabaRugi</v>
      </c>
      <c r="L1049" s="34" t="str">
        <f aca="false">IF(K1049="LabaRugi",INDEX(I_COA!$D$6:$D$265,MATCH(D1049,I_COA!$A$6:$A$265,0)),"")</f>
        <v>Storage Expenses</v>
      </c>
      <c r="M1049" s="34" t="str">
        <f aca="false">IF(K1049="Neraca",INDEX(I_COA!$E$6:$E$265,MATCH(D1049,I_COA!$A$6:$A$265,0)),"")</f>
        <v/>
      </c>
      <c r="N1049" s="34" t="str">
        <f aca="false">IF(D1049="","",IFERROR(INDEX(I_COA!$G$6:$G$265,MATCH(D1049,I_COA!$A$6:$A$265,0)),"N"))</f>
        <v>N</v>
      </c>
      <c r="O1049" s="11" t="n">
        <f aca="false">IF(N1049="N",ABS(J1049),"")</f>
        <v>584065.8</v>
      </c>
      <c r="P1049" s="18" t="str">
        <f aca="false">IF(N1049="N",B1049&amp;"|"&amp;ROUND(O1049,0),"")</f>
        <v>PI26080071|584066</v>
      </c>
      <c r="Q1049" s="18" t="str">
        <f aca="false">IF(N1049&lt;&gt;"Y","",IFERROR(INDEX($D$6:$D$4005,MATCH(B1049&amp;"|"&amp;ROUND(_xlfn.MAXIFS($O$6:$O$4005,$B$6:$B$4005,B1049,$N$6:$N$4005,"N"),0),$P$6:$P$4005,0)),"(tanpa lawan)"))</f>
        <v/>
      </c>
      <c r="R1049" s="44"/>
      <c r="S1049" s="9" t="str">
        <f aca="false">IF(N1049&lt;&gt;"Y","",IF(R1049&lt;&gt;"",R1049,IF(Q1049="(tanpa lawan)","Transfer antar rekening",IFERROR(INDEX(I_COA!$F$6:$F$265,MATCH(Q1049,I_COA!$A$6:$A$265,0)),"?"))))</f>
        <v/>
      </c>
    </row>
    <row r="1050" customFormat="false" ht="15" hidden="false" customHeight="false" outlineLevel="0" collapsed="false">
      <c r="A1050" s="37" t="n">
        <v>46249</v>
      </c>
      <c r="B1050" s="44" t="s">
        <v>1445</v>
      </c>
      <c r="C1050" s="44" t="s">
        <v>707</v>
      </c>
      <c r="D1050" s="44" t="n">
        <v>5100014</v>
      </c>
      <c r="E1050" s="44" t="s">
        <v>1437</v>
      </c>
      <c r="F1050" s="44" t="s">
        <v>1449</v>
      </c>
      <c r="G1050" s="42" t="n">
        <v>691858.2</v>
      </c>
      <c r="H1050" s="42"/>
      <c r="I1050" s="44" t="s">
        <v>1031</v>
      </c>
      <c r="J1050" s="11" t="n">
        <f aca="false">IF(D1050="","",N(G1050)-N(H1050))</f>
        <v>691858.2</v>
      </c>
      <c r="K1050" s="34" t="str">
        <f aca="false">IF(D1050="","",IFERROR(INDEX(I_COA!$C$6:$C$265,MATCH(D1050,I_COA!$A$6:$A$265,0)),"AKUN BARU"))</f>
        <v>LabaRugi</v>
      </c>
      <c r="L1050" s="34" t="str">
        <f aca="false">IF(K1050="LabaRugi",INDEX(I_COA!$D$6:$D$265,MATCH(D1050,I_COA!$A$6:$A$265,0)),"")</f>
        <v>Storage Expenses</v>
      </c>
      <c r="M1050" s="34" t="str">
        <f aca="false">IF(K1050="Neraca",INDEX(I_COA!$E$6:$E$265,MATCH(D1050,I_COA!$A$6:$A$265,0)),"")</f>
        <v/>
      </c>
      <c r="N1050" s="34" t="str">
        <f aca="false">IF(D1050="","",IFERROR(INDEX(I_COA!$G$6:$G$265,MATCH(D1050,I_COA!$A$6:$A$265,0)),"N"))</f>
        <v>N</v>
      </c>
      <c r="O1050" s="11" t="n">
        <f aca="false">IF(N1050="N",ABS(J1050),"")</f>
        <v>691858.2</v>
      </c>
      <c r="P1050" s="18" t="str">
        <f aca="false">IF(N1050="N",B1050&amp;"|"&amp;ROUND(O1050,0),"")</f>
        <v>PI26080071|691858</v>
      </c>
      <c r="Q1050" s="18" t="str">
        <f aca="false">IF(N1050&lt;&gt;"Y","",IFERROR(INDEX($D$6:$D$4005,MATCH(B1050&amp;"|"&amp;ROUND(_xlfn.MAXIFS($O$6:$O$4005,$B$6:$B$4005,B1050,$N$6:$N$4005,"N"),0),$P$6:$P$4005,0)),"(tanpa lawan)"))</f>
        <v/>
      </c>
      <c r="R1050" s="44"/>
      <c r="S1050" s="9" t="str">
        <f aca="false">IF(N1050&lt;&gt;"Y","",IF(R1050&lt;&gt;"",R1050,IF(Q1050="(tanpa lawan)","Transfer antar rekening",IFERROR(INDEX(I_COA!$F$6:$F$265,MATCH(Q1050,I_COA!$A$6:$A$265,0)),"?"))))</f>
        <v/>
      </c>
    </row>
    <row r="1051" customFormat="false" ht="15" hidden="false" customHeight="false" outlineLevel="0" collapsed="false">
      <c r="A1051" s="37" t="n">
        <v>46249</v>
      </c>
      <c r="B1051" s="44" t="s">
        <v>1445</v>
      </c>
      <c r="C1051" s="44" t="s">
        <v>707</v>
      </c>
      <c r="D1051" s="44" t="n">
        <v>1106001</v>
      </c>
      <c r="E1051" s="44" t="s">
        <v>720</v>
      </c>
      <c r="F1051" s="44" t="s">
        <v>721</v>
      </c>
      <c r="G1051" s="42" t="n">
        <v>673770.02</v>
      </c>
      <c r="H1051" s="42"/>
      <c r="I1051" s="44" t="s">
        <v>1031</v>
      </c>
      <c r="J1051" s="11" t="n">
        <f aca="false">IF(D1051="","",N(G1051)-N(H1051))</f>
        <v>673770.02</v>
      </c>
      <c r="K1051" s="34" t="str">
        <f aca="false">IF(D1051="","",IFERROR(INDEX(I_COA!$C$6:$C$265,MATCH(D1051,I_COA!$A$6:$A$265,0)),"AKUN BARU"))</f>
        <v>Neraca</v>
      </c>
      <c r="L1051" s="34" t="str">
        <f aca="false">IF(K1051="LabaRugi",INDEX(I_COA!$D$6:$D$265,MATCH(D1051,I_COA!$A$6:$A$265,0)),"")</f>
        <v/>
      </c>
      <c r="M1051" s="34" t="str">
        <f aca="false">IF(K1051="Neraca",INDEX(I_COA!$E$6:$E$265,MATCH(D1051,I_COA!$A$6:$A$265,0)),"")</f>
        <v>Prepaid Tax</v>
      </c>
      <c r="N1051" s="34" t="str">
        <f aca="false">IF(D1051="","",IFERROR(INDEX(I_COA!$G$6:$G$265,MATCH(D1051,I_COA!$A$6:$A$265,0)),"N"))</f>
        <v>N</v>
      </c>
      <c r="O1051" s="11" t="n">
        <f aca="false">IF(N1051="N",ABS(J1051),"")</f>
        <v>673770.02</v>
      </c>
      <c r="P1051" s="18" t="str">
        <f aca="false">IF(N1051="N",B1051&amp;"|"&amp;ROUND(O1051,0),"")</f>
        <v>PI26080071|673770</v>
      </c>
      <c r="Q1051" s="18" t="str">
        <f aca="false">IF(N1051&lt;&gt;"Y","",IFERROR(INDEX($D$6:$D$4005,MATCH(B1051&amp;"|"&amp;ROUND(_xlfn.MAXIFS($O$6:$O$4005,$B$6:$B$4005,B1051,$N$6:$N$4005,"N"),0),$P$6:$P$4005,0)),"(tanpa lawan)"))</f>
        <v/>
      </c>
      <c r="R1051" s="44"/>
      <c r="S1051" s="9" t="str">
        <f aca="false">IF(N1051&lt;&gt;"Y","",IF(R1051&lt;&gt;"",R1051,IF(Q1051="(tanpa lawan)","Transfer antar rekening",IFERROR(INDEX(I_COA!$F$6:$F$265,MATCH(Q1051,I_COA!$A$6:$A$265,0)),"?"))))</f>
        <v/>
      </c>
    </row>
    <row r="1052" customFormat="false" ht="15" hidden="false" customHeight="false" outlineLevel="0" collapsed="false">
      <c r="A1052" s="37" t="n">
        <v>46249</v>
      </c>
      <c r="B1052" s="44" t="s">
        <v>1445</v>
      </c>
      <c r="C1052" s="44" t="s">
        <v>707</v>
      </c>
      <c r="D1052" s="44" t="n">
        <v>6200023</v>
      </c>
      <c r="E1052" s="44" t="s">
        <v>688</v>
      </c>
      <c r="F1052" s="44" t="s">
        <v>1450</v>
      </c>
      <c r="G1052" s="42" t="n">
        <v>10000</v>
      </c>
      <c r="H1052" s="42"/>
      <c r="I1052" s="44" t="s">
        <v>1031</v>
      </c>
      <c r="J1052" s="11" t="n">
        <f aca="false">IF(D1052="","",N(G1052)-N(H1052))</f>
        <v>10000</v>
      </c>
      <c r="K1052" s="34" t="str">
        <f aca="false">IF(D1052="","",IFERROR(INDEX(I_COA!$C$6:$C$265,MATCH(D1052,I_COA!$A$6:$A$265,0)),"AKUN BARU"))</f>
        <v>LabaRugi</v>
      </c>
      <c r="L1052" s="34" t="str">
        <f aca="false">IF(K1052="LabaRugi",INDEX(I_COA!$D$6:$D$265,MATCH(D1052,I_COA!$A$6:$A$265,0)),"")</f>
        <v>Tax expenses</v>
      </c>
      <c r="M1052" s="34" t="str">
        <f aca="false">IF(K1052="Neraca",INDEX(I_COA!$E$6:$E$265,MATCH(D1052,I_COA!$A$6:$A$265,0)),"")</f>
        <v/>
      </c>
      <c r="N1052" s="34" t="str">
        <f aca="false">IF(D1052="","",IFERROR(INDEX(I_COA!$G$6:$G$265,MATCH(D1052,I_COA!$A$6:$A$265,0)),"N"))</f>
        <v>N</v>
      </c>
      <c r="O1052" s="11" t="n">
        <f aca="false">IF(N1052="N",ABS(J1052),"")</f>
        <v>10000</v>
      </c>
      <c r="P1052" s="18" t="str">
        <f aca="false">IF(N1052="N",B1052&amp;"|"&amp;ROUND(O1052,0),"")</f>
        <v>PI26080071|10000</v>
      </c>
      <c r="Q1052" s="18" t="str">
        <f aca="false">IF(N1052&lt;&gt;"Y","",IFERROR(INDEX($D$6:$D$4005,MATCH(B1052&amp;"|"&amp;ROUND(_xlfn.MAXIFS($O$6:$O$4005,$B$6:$B$4005,B1052,$N$6:$N$4005,"N"),0),$P$6:$P$4005,0)),"(tanpa lawan)"))</f>
        <v/>
      </c>
      <c r="R1052" s="44"/>
      <c r="S1052" s="9" t="str">
        <f aca="false">IF(N1052&lt;&gt;"Y","",IF(R1052&lt;&gt;"",R1052,IF(Q1052="(tanpa lawan)","Transfer antar rekening",IFERROR(INDEX(I_COA!$F$6:$F$265,MATCH(Q1052,I_COA!$A$6:$A$265,0)),"?"))))</f>
        <v/>
      </c>
    </row>
    <row r="1053" customFormat="false" ht="15" hidden="false" customHeight="false" outlineLevel="0" collapsed="false">
      <c r="A1053" s="37" t="n">
        <v>46249</v>
      </c>
      <c r="B1053" s="44" t="s">
        <v>1445</v>
      </c>
      <c r="C1053" s="44" t="s">
        <v>707</v>
      </c>
      <c r="D1053" s="44" t="n">
        <v>2102003</v>
      </c>
      <c r="E1053" s="44" t="s">
        <v>722</v>
      </c>
      <c r="F1053" s="44" t="s">
        <v>1451</v>
      </c>
      <c r="G1053" s="42"/>
      <c r="H1053" s="42" t="n">
        <v>122503.64</v>
      </c>
      <c r="I1053" s="44" t="s">
        <v>1031</v>
      </c>
      <c r="J1053" s="11" t="n">
        <f aca="false">IF(D1053="","",N(G1053)-N(H1053))</f>
        <v>-122503.64</v>
      </c>
      <c r="K1053" s="34" t="str">
        <f aca="false">IF(D1053="","",IFERROR(INDEX(I_COA!$C$6:$C$265,MATCH(D1053,I_COA!$A$6:$A$265,0)),"AKUN BARU"))</f>
        <v>Neraca</v>
      </c>
      <c r="L1053" s="34" t="str">
        <f aca="false">IF(K1053="LabaRugi",INDEX(I_COA!$D$6:$D$265,MATCH(D1053,I_COA!$A$6:$A$265,0)),"")</f>
        <v/>
      </c>
      <c r="M1053" s="34" t="str">
        <f aca="false">IF(K1053="Neraca",INDEX(I_COA!$E$6:$E$265,MATCH(D1053,I_COA!$A$6:$A$265,0)),"")</f>
        <v>Taxes Payable</v>
      </c>
      <c r="N1053" s="34" t="str">
        <f aca="false">IF(D1053="","",IFERROR(INDEX(I_COA!$G$6:$G$265,MATCH(D1053,I_COA!$A$6:$A$265,0)),"N"))</f>
        <v>N</v>
      </c>
      <c r="O1053" s="11" t="n">
        <f aca="false">IF(N1053="N",ABS(J1053),"")</f>
        <v>122503.64</v>
      </c>
      <c r="P1053" s="18" t="str">
        <f aca="false">IF(N1053="N",B1053&amp;"|"&amp;ROUND(O1053,0),"")</f>
        <v>PI26080071|122504</v>
      </c>
      <c r="Q1053" s="18" t="str">
        <f aca="false">IF(N1053&lt;&gt;"Y","",IFERROR(INDEX($D$6:$D$4005,MATCH(B1053&amp;"|"&amp;ROUND(_xlfn.MAXIFS($O$6:$O$4005,$B$6:$B$4005,B1053,$N$6:$N$4005,"N"),0),$P$6:$P$4005,0)),"(tanpa lawan)"))</f>
        <v/>
      </c>
      <c r="R1053" s="44"/>
      <c r="S1053" s="9" t="str">
        <f aca="false">IF(N1053&lt;&gt;"Y","",IF(R1053&lt;&gt;"",R1053,IF(Q1053="(tanpa lawan)","Transfer antar rekening",IFERROR(INDEX(I_COA!$F$6:$F$265,MATCH(Q1053,I_COA!$A$6:$A$265,0)),"?"))))</f>
        <v/>
      </c>
    </row>
    <row r="1054" customFormat="false" ht="15" hidden="false" customHeight="false" outlineLevel="0" collapsed="false">
      <c r="A1054" s="37" t="n">
        <v>46249</v>
      </c>
      <c r="B1054" s="44" t="s">
        <v>1445</v>
      </c>
      <c r="C1054" s="44" t="s">
        <v>707</v>
      </c>
      <c r="D1054" s="44" t="n">
        <v>2101003</v>
      </c>
      <c r="E1054" s="44" t="s">
        <v>679</v>
      </c>
      <c r="F1054" s="44" t="s">
        <v>1452</v>
      </c>
      <c r="G1054" s="42"/>
      <c r="H1054" s="42" t="n">
        <v>6686448.38</v>
      </c>
      <c r="I1054" s="44" t="s">
        <v>1031</v>
      </c>
      <c r="J1054" s="11" t="n">
        <f aca="false">IF(D1054="","",N(G1054)-N(H1054))</f>
        <v>-6686448.38</v>
      </c>
      <c r="K1054" s="34" t="str">
        <f aca="false">IF(D1054="","",IFERROR(INDEX(I_COA!$C$6:$C$265,MATCH(D1054,I_COA!$A$6:$A$265,0)),"AKUN BARU"))</f>
        <v>Neraca</v>
      </c>
      <c r="L1054" s="34" t="str">
        <f aca="false">IF(K1054="LabaRugi",INDEX(I_COA!$D$6:$D$265,MATCH(D1054,I_COA!$A$6:$A$265,0)),"")</f>
        <v/>
      </c>
      <c r="M1054" s="34" t="str">
        <f aca="false">IF(K1054="Neraca",INDEX(I_COA!$E$6:$E$265,MATCH(D1054,I_COA!$A$6:$A$265,0)),"")</f>
        <v>Other Payable - Third Parties</v>
      </c>
      <c r="N1054" s="34" t="str">
        <f aca="false">IF(D1054="","",IFERROR(INDEX(I_COA!$G$6:$G$265,MATCH(D1054,I_COA!$A$6:$A$265,0)),"N"))</f>
        <v>N</v>
      </c>
      <c r="O1054" s="11" t="n">
        <f aca="false">IF(N1054="N",ABS(J1054),"")</f>
        <v>6686448.38</v>
      </c>
      <c r="P1054" s="18" t="str">
        <f aca="false">IF(N1054="N",B1054&amp;"|"&amp;ROUND(O1054,0),"")</f>
        <v>PI26080071|6686448</v>
      </c>
      <c r="Q1054" s="18" t="str">
        <f aca="false">IF(N1054&lt;&gt;"Y","",IFERROR(INDEX($D$6:$D$4005,MATCH(B1054&amp;"|"&amp;ROUND(_xlfn.MAXIFS($O$6:$O$4005,$B$6:$B$4005,B1054,$N$6:$N$4005,"N"),0),$P$6:$P$4005,0)),"(tanpa lawan)"))</f>
        <v/>
      </c>
      <c r="R1054" s="44"/>
      <c r="S1054" s="9" t="str">
        <f aca="false">IF(N1054&lt;&gt;"Y","",IF(R1054&lt;&gt;"",R1054,IF(Q1054="(tanpa lawan)","Transfer antar rekening",IFERROR(INDEX(I_COA!$F$6:$F$265,MATCH(Q1054,I_COA!$A$6:$A$265,0)),"?"))))</f>
        <v/>
      </c>
    </row>
    <row r="1055" customFormat="false" ht="15" hidden="false" customHeight="false" outlineLevel="0" collapsed="false">
      <c r="A1055" s="37" t="n">
        <v>46249</v>
      </c>
      <c r="B1055" s="44" t="s">
        <v>1453</v>
      </c>
      <c r="C1055" s="44" t="s">
        <v>707</v>
      </c>
      <c r="D1055" s="44" t="n">
        <v>2103011</v>
      </c>
      <c r="E1055" s="44" t="s">
        <v>693</v>
      </c>
      <c r="F1055" s="44" t="s">
        <v>1417</v>
      </c>
      <c r="G1055" s="42" t="n">
        <v>1097950780.2</v>
      </c>
      <c r="H1055" s="42"/>
      <c r="I1055" s="44" t="s">
        <v>597</v>
      </c>
      <c r="J1055" s="11" t="n">
        <f aca="false">IF(D1055="","",N(G1055)-N(H1055))</f>
        <v>1097950780.2</v>
      </c>
      <c r="K1055" s="34" t="str">
        <f aca="false">IF(D1055="","",IFERROR(INDEX(I_COA!$C$6:$C$265,MATCH(D1055,I_COA!$A$6:$A$265,0)),"AKUN BARU"))</f>
        <v>Neraca</v>
      </c>
      <c r="L1055" s="34" t="str">
        <f aca="false">IF(K1055="LabaRugi",INDEX(I_COA!$D$6:$D$265,MATCH(D1055,I_COA!$A$6:$A$265,0)),"")</f>
        <v/>
      </c>
      <c r="M1055" s="34" t="str">
        <f aca="false">IF(K1055="Neraca",INDEX(I_COA!$E$6:$E$265,MATCH(D1055,I_COA!$A$6:$A$265,0)),"")</f>
        <v>Accrued Expenses - Third Parties</v>
      </c>
      <c r="N1055" s="34" t="str">
        <f aca="false">IF(D1055="","",IFERROR(INDEX(I_COA!$G$6:$G$265,MATCH(D1055,I_COA!$A$6:$A$265,0)),"N"))</f>
        <v>N</v>
      </c>
      <c r="O1055" s="11" t="n">
        <f aca="false">IF(N1055="N",ABS(J1055),"")</f>
        <v>1097950780.2</v>
      </c>
      <c r="P1055" s="18" t="str">
        <f aca="false">IF(N1055="N",B1055&amp;"|"&amp;ROUND(O1055,0),"")</f>
        <v>PI26080082|1097950780</v>
      </c>
      <c r="Q1055" s="18" t="str">
        <f aca="false">IF(N1055&lt;&gt;"Y","",IFERROR(INDEX($D$6:$D$4005,MATCH(B1055&amp;"|"&amp;ROUND(_xlfn.MAXIFS($O$6:$O$4005,$B$6:$B$4005,B1055,$N$6:$N$4005,"N"),0),$P$6:$P$4005,0)),"(tanpa lawan)"))</f>
        <v/>
      </c>
      <c r="R1055" s="44"/>
      <c r="S1055" s="9" t="str">
        <f aca="false">IF(N1055&lt;&gt;"Y","",IF(R1055&lt;&gt;"",R1055,IF(Q1055="(tanpa lawan)","Transfer antar rekening",IFERROR(INDEX(I_COA!$F$6:$F$265,MATCH(Q1055,I_COA!$A$6:$A$265,0)),"?"))))</f>
        <v/>
      </c>
    </row>
    <row r="1056" customFormat="false" ht="15" hidden="false" customHeight="false" outlineLevel="0" collapsed="false">
      <c r="A1056" s="37" t="n">
        <v>46249</v>
      </c>
      <c r="B1056" s="44" t="s">
        <v>1453</v>
      </c>
      <c r="C1056" s="44" t="s">
        <v>707</v>
      </c>
      <c r="D1056" s="44" t="n">
        <v>5100007</v>
      </c>
      <c r="E1056" s="44" t="s">
        <v>708</v>
      </c>
      <c r="F1056" s="44" t="s">
        <v>1398</v>
      </c>
      <c r="G1056" s="42"/>
      <c r="H1056" s="42" t="n">
        <v>20000000</v>
      </c>
      <c r="I1056" s="44" t="s">
        <v>597</v>
      </c>
      <c r="J1056" s="11" t="n">
        <f aca="false">IF(D1056="","",N(G1056)-N(H1056))</f>
        <v>-20000000</v>
      </c>
      <c r="K1056" s="34" t="str">
        <f aca="false">IF(D1056="","",IFERROR(INDEX(I_COA!$C$6:$C$265,MATCH(D1056,I_COA!$A$6:$A$265,0)),"AKUN BARU"))</f>
        <v>LabaRugi</v>
      </c>
      <c r="L1056" s="34" t="str">
        <f aca="false">IF(K1056="LabaRugi",INDEX(I_COA!$D$6:$D$265,MATCH(D1056,I_COA!$A$6:$A$265,0)),"")</f>
        <v>Other COGS - Expedition</v>
      </c>
      <c r="M1056" s="34" t="str">
        <f aca="false">IF(K1056="Neraca",INDEX(I_COA!$E$6:$E$265,MATCH(D1056,I_COA!$A$6:$A$265,0)),"")</f>
        <v/>
      </c>
      <c r="N1056" s="34" t="str">
        <f aca="false">IF(D1056="","",IFERROR(INDEX(I_COA!$G$6:$G$265,MATCH(D1056,I_COA!$A$6:$A$265,0)),"N"))</f>
        <v>N</v>
      </c>
      <c r="O1056" s="11" t="n">
        <f aca="false">IF(N1056="N",ABS(J1056),"")</f>
        <v>20000000</v>
      </c>
      <c r="P1056" s="18" t="str">
        <f aca="false">IF(N1056="N",B1056&amp;"|"&amp;ROUND(O1056,0),"")</f>
        <v>PI26080082|20000000</v>
      </c>
      <c r="Q1056" s="18" t="str">
        <f aca="false">IF(N1056&lt;&gt;"Y","",IFERROR(INDEX($D$6:$D$4005,MATCH(B1056&amp;"|"&amp;ROUND(_xlfn.MAXIFS($O$6:$O$4005,$B$6:$B$4005,B1056,$N$6:$N$4005,"N"),0),$P$6:$P$4005,0)),"(tanpa lawan)"))</f>
        <v/>
      </c>
      <c r="R1056" s="44"/>
      <c r="S1056" s="9" t="str">
        <f aca="false">IF(N1056&lt;&gt;"Y","",IF(R1056&lt;&gt;"",R1056,IF(Q1056="(tanpa lawan)","Transfer antar rekening",IFERROR(INDEX(I_COA!$F$6:$F$265,MATCH(Q1056,I_COA!$A$6:$A$265,0)),"?"))))</f>
        <v/>
      </c>
    </row>
    <row r="1057" customFormat="false" ht="15" hidden="false" customHeight="false" outlineLevel="0" collapsed="false">
      <c r="A1057" s="37" t="n">
        <v>46249</v>
      </c>
      <c r="B1057" s="44" t="s">
        <v>1453</v>
      </c>
      <c r="C1057" s="44" t="s">
        <v>707</v>
      </c>
      <c r="D1057" s="44" t="n">
        <v>5100007</v>
      </c>
      <c r="E1057" s="44" t="s">
        <v>708</v>
      </c>
      <c r="F1057" s="44" t="s">
        <v>1454</v>
      </c>
      <c r="G1057" s="42"/>
      <c r="H1057" s="42" t="n">
        <v>18000000</v>
      </c>
      <c r="I1057" s="44" t="s">
        <v>597</v>
      </c>
      <c r="J1057" s="11" t="n">
        <f aca="false">IF(D1057="","",N(G1057)-N(H1057))</f>
        <v>-18000000</v>
      </c>
      <c r="K1057" s="34" t="str">
        <f aca="false">IF(D1057="","",IFERROR(INDEX(I_COA!$C$6:$C$265,MATCH(D1057,I_COA!$A$6:$A$265,0)),"AKUN BARU"))</f>
        <v>LabaRugi</v>
      </c>
      <c r="L1057" s="34" t="str">
        <f aca="false">IF(K1057="LabaRugi",INDEX(I_COA!$D$6:$D$265,MATCH(D1057,I_COA!$A$6:$A$265,0)),"")</f>
        <v>Other COGS - Expedition</v>
      </c>
      <c r="M1057" s="34" t="str">
        <f aca="false">IF(K1057="Neraca",INDEX(I_COA!$E$6:$E$265,MATCH(D1057,I_COA!$A$6:$A$265,0)),"")</f>
        <v/>
      </c>
      <c r="N1057" s="34" t="str">
        <f aca="false">IF(D1057="","",IFERROR(INDEX(I_COA!$G$6:$G$265,MATCH(D1057,I_COA!$A$6:$A$265,0)),"N"))</f>
        <v>N</v>
      </c>
      <c r="O1057" s="11" t="n">
        <f aca="false">IF(N1057="N",ABS(J1057),"")</f>
        <v>18000000</v>
      </c>
      <c r="P1057" s="18" t="str">
        <f aca="false">IF(N1057="N",B1057&amp;"|"&amp;ROUND(O1057,0),"")</f>
        <v>PI26080082|18000000</v>
      </c>
      <c r="Q1057" s="18" t="str">
        <f aca="false">IF(N1057&lt;&gt;"Y","",IFERROR(INDEX($D$6:$D$4005,MATCH(B1057&amp;"|"&amp;ROUND(_xlfn.MAXIFS($O$6:$O$4005,$B$6:$B$4005,B1057,$N$6:$N$4005,"N"),0),$P$6:$P$4005,0)),"(tanpa lawan)"))</f>
        <v/>
      </c>
      <c r="R1057" s="44"/>
      <c r="S1057" s="9" t="str">
        <f aca="false">IF(N1057&lt;&gt;"Y","",IF(R1057&lt;&gt;"",R1057,IF(Q1057="(tanpa lawan)","Transfer antar rekening",IFERROR(INDEX(I_COA!$F$6:$F$265,MATCH(Q1057,I_COA!$A$6:$A$265,0)),"?"))))</f>
        <v/>
      </c>
    </row>
    <row r="1058" customFormat="false" ht="15" hidden="false" customHeight="false" outlineLevel="0" collapsed="false">
      <c r="A1058" s="37" t="n">
        <v>46249</v>
      </c>
      <c r="B1058" s="44" t="s">
        <v>1453</v>
      </c>
      <c r="C1058" s="44" t="s">
        <v>707</v>
      </c>
      <c r="D1058" s="44" t="n">
        <v>5100007</v>
      </c>
      <c r="E1058" s="44" t="s">
        <v>708</v>
      </c>
      <c r="F1058" s="44" t="s">
        <v>1455</v>
      </c>
      <c r="G1058" s="42"/>
      <c r="H1058" s="42" t="n">
        <v>11000000</v>
      </c>
      <c r="I1058" s="44" t="s">
        <v>597</v>
      </c>
      <c r="J1058" s="11" t="n">
        <f aca="false">IF(D1058="","",N(G1058)-N(H1058))</f>
        <v>-11000000</v>
      </c>
      <c r="K1058" s="34" t="str">
        <f aca="false">IF(D1058="","",IFERROR(INDEX(I_COA!$C$6:$C$265,MATCH(D1058,I_COA!$A$6:$A$265,0)),"AKUN BARU"))</f>
        <v>LabaRugi</v>
      </c>
      <c r="L1058" s="34" t="str">
        <f aca="false">IF(K1058="LabaRugi",INDEX(I_COA!$D$6:$D$265,MATCH(D1058,I_COA!$A$6:$A$265,0)),"")</f>
        <v>Other COGS - Expedition</v>
      </c>
      <c r="M1058" s="34" t="str">
        <f aca="false">IF(K1058="Neraca",INDEX(I_COA!$E$6:$E$265,MATCH(D1058,I_COA!$A$6:$A$265,0)),"")</f>
        <v/>
      </c>
      <c r="N1058" s="34" t="str">
        <f aca="false">IF(D1058="","",IFERROR(INDEX(I_COA!$G$6:$G$265,MATCH(D1058,I_COA!$A$6:$A$265,0)),"N"))</f>
        <v>N</v>
      </c>
      <c r="O1058" s="11" t="n">
        <f aca="false">IF(N1058="N",ABS(J1058),"")</f>
        <v>11000000</v>
      </c>
      <c r="P1058" s="18" t="str">
        <f aca="false">IF(N1058="N",B1058&amp;"|"&amp;ROUND(O1058,0),"")</f>
        <v>PI26080082|11000000</v>
      </c>
      <c r="Q1058" s="18" t="str">
        <f aca="false">IF(N1058&lt;&gt;"Y","",IFERROR(INDEX($D$6:$D$4005,MATCH(B1058&amp;"|"&amp;ROUND(_xlfn.MAXIFS($O$6:$O$4005,$B$6:$B$4005,B1058,$N$6:$N$4005,"N"),0),$P$6:$P$4005,0)),"(tanpa lawan)"))</f>
        <v/>
      </c>
      <c r="R1058" s="44"/>
      <c r="S1058" s="9" t="str">
        <f aca="false">IF(N1058&lt;&gt;"Y","",IF(R1058&lt;&gt;"",R1058,IF(Q1058="(tanpa lawan)","Transfer antar rekening",IFERROR(INDEX(I_COA!$F$6:$F$265,MATCH(Q1058,I_COA!$A$6:$A$265,0)),"?"))))</f>
        <v/>
      </c>
    </row>
    <row r="1059" customFormat="false" ht="15" hidden="false" customHeight="false" outlineLevel="0" collapsed="false">
      <c r="A1059" s="37" t="n">
        <v>46249</v>
      </c>
      <c r="B1059" s="44" t="s">
        <v>1453</v>
      </c>
      <c r="C1059" s="44" t="s">
        <v>707</v>
      </c>
      <c r="D1059" s="44" t="n">
        <v>7100008</v>
      </c>
      <c r="E1059" s="44" t="s">
        <v>952</v>
      </c>
      <c r="F1059" s="44" t="s">
        <v>1417</v>
      </c>
      <c r="G1059" s="42"/>
      <c r="H1059" s="42" t="n">
        <v>0.2</v>
      </c>
      <c r="I1059" s="44" t="s">
        <v>597</v>
      </c>
      <c r="J1059" s="11" t="n">
        <f aca="false">IF(D1059="","",N(G1059)-N(H1059))</f>
        <v>-0.2</v>
      </c>
      <c r="K1059" s="34" t="str">
        <f aca="false">IF(D1059="","",IFERROR(INDEX(I_COA!$C$6:$C$265,MATCH(D1059,I_COA!$A$6:$A$265,0)),"AKUN BARU"))</f>
        <v>LabaRugi</v>
      </c>
      <c r="L1059" s="34" t="str">
        <f aca="false">IF(K1059="LabaRugi",INDEX(I_COA!$D$6:$D$265,MATCH(D1059,I_COA!$A$6:$A$265,0)),"")</f>
        <v>Other Income</v>
      </c>
      <c r="M1059" s="34" t="str">
        <f aca="false">IF(K1059="Neraca",INDEX(I_COA!$E$6:$E$265,MATCH(D1059,I_COA!$A$6:$A$265,0)),"")</f>
        <v/>
      </c>
      <c r="N1059" s="34" t="str">
        <f aca="false">IF(D1059="","",IFERROR(INDEX(I_COA!$G$6:$G$265,MATCH(D1059,I_COA!$A$6:$A$265,0)),"N"))</f>
        <v>N</v>
      </c>
      <c r="O1059" s="11" t="n">
        <f aca="false">IF(N1059="N",ABS(J1059),"")</f>
        <v>0.2</v>
      </c>
      <c r="P1059" s="18" t="str">
        <f aca="false">IF(N1059="N",B1059&amp;"|"&amp;ROUND(O1059,0),"")</f>
        <v>PI26080082|0</v>
      </c>
      <c r="Q1059" s="18" t="str">
        <f aca="false">IF(N1059&lt;&gt;"Y","",IFERROR(INDEX($D$6:$D$4005,MATCH(B1059&amp;"|"&amp;ROUND(_xlfn.MAXIFS($O$6:$O$4005,$B$6:$B$4005,B1059,$N$6:$N$4005,"N"),0),$P$6:$P$4005,0)),"(tanpa lawan)"))</f>
        <v/>
      </c>
      <c r="R1059" s="44"/>
      <c r="S1059" s="9" t="str">
        <f aca="false">IF(N1059&lt;&gt;"Y","",IF(R1059&lt;&gt;"",R1059,IF(Q1059="(tanpa lawan)","Transfer antar rekening",IFERROR(INDEX(I_COA!$F$6:$F$265,MATCH(Q1059,I_COA!$A$6:$A$265,0)),"?"))))</f>
        <v/>
      </c>
    </row>
    <row r="1060" customFormat="false" ht="15" hidden="false" customHeight="false" outlineLevel="0" collapsed="false">
      <c r="A1060" s="37" t="n">
        <v>46249</v>
      </c>
      <c r="B1060" s="44" t="s">
        <v>1453</v>
      </c>
      <c r="C1060" s="44" t="s">
        <v>707</v>
      </c>
      <c r="D1060" s="44" t="n">
        <v>2101001</v>
      </c>
      <c r="E1060" s="44" t="s">
        <v>595</v>
      </c>
      <c r="F1060" s="44" t="s">
        <v>1417</v>
      </c>
      <c r="G1060" s="42"/>
      <c r="H1060" s="42" t="n">
        <v>1048950780</v>
      </c>
      <c r="I1060" s="44" t="s">
        <v>597</v>
      </c>
      <c r="J1060" s="11" t="n">
        <f aca="false">IF(D1060="","",N(G1060)-N(H1060))</f>
        <v>-1048950780</v>
      </c>
      <c r="K1060" s="34" t="str">
        <f aca="false">IF(D1060="","",IFERROR(INDEX(I_COA!$C$6:$C$265,MATCH(D1060,I_COA!$A$6:$A$265,0)),"AKUN BARU"))</f>
        <v>Neraca</v>
      </c>
      <c r="L1060" s="34" t="str">
        <f aca="false">IF(K1060="LabaRugi",INDEX(I_COA!$D$6:$D$265,MATCH(D1060,I_COA!$A$6:$A$265,0)),"")</f>
        <v/>
      </c>
      <c r="M1060" s="34" t="str">
        <f aca="false">IF(K1060="Neraca",INDEX(I_COA!$E$6:$E$265,MATCH(D1060,I_COA!$A$6:$A$265,0)),"")</f>
        <v>Trade Payables - Third Parties</v>
      </c>
      <c r="N1060" s="34" t="str">
        <f aca="false">IF(D1060="","",IFERROR(INDEX(I_COA!$G$6:$G$265,MATCH(D1060,I_COA!$A$6:$A$265,0)),"N"))</f>
        <v>N</v>
      </c>
      <c r="O1060" s="11" t="n">
        <f aca="false">IF(N1060="N",ABS(J1060),"")</f>
        <v>1048950780</v>
      </c>
      <c r="P1060" s="18" t="str">
        <f aca="false">IF(N1060="N",B1060&amp;"|"&amp;ROUND(O1060,0),"")</f>
        <v>PI26080082|1048950780</v>
      </c>
      <c r="Q1060" s="18" t="str">
        <f aca="false">IF(N1060&lt;&gt;"Y","",IFERROR(INDEX($D$6:$D$4005,MATCH(B1060&amp;"|"&amp;ROUND(_xlfn.MAXIFS($O$6:$O$4005,$B$6:$B$4005,B1060,$N$6:$N$4005,"N"),0),$P$6:$P$4005,0)),"(tanpa lawan)"))</f>
        <v/>
      </c>
      <c r="R1060" s="44"/>
      <c r="S1060" s="9" t="str">
        <f aca="false">IF(N1060&lt;&gt;"Y","",IF(R1060&lt;&gt;"",R1060,IF(Q1060="(tanpa lawan)","Transfer antar rekening",IFERROR(INDEX(I_COA!$F$6:$F$265,MATCH(Q1060,I_COA!$A$6:$A$265,0)),"?"))))</f>
        <v/>
      </c>
    </row>
    <row r="1061" customFormat="false" ht="15" hidden="false" customHeight="false" outlineLevel="0" collapsed="false">
      <c r="A1061" s="37" t="n">
        <v>46250</v>
      </c>
      <c r="B1061" s="44" t="s">
        <v>1455</v>
      </c>
      <c r="C1061" s="44" t="s">
        <v>707</v>
      </c>
      <c r="D1061" s="44" t="n">
        <v>5100007</v>
      </c>
      <c r="E1061" s="44" t="s">
        <v>708</v>
      </c>
      <c r="F1061" s="44" t="s">
        <v>1400</v>
      </c>
      <c r="G1061" s="42" t="n">
        <v>11000000</v>
      </c>
      <c r="H1061" s="42"/>
      <c r="I1061" s="44" t="s">
        <v>681</v>
      </c>
      <c r="J1061" s="11" t="n">
        <f aca="false">IF(D1061="","",N(G1061)-N(H1061))</f>
        <v>11000000</v>
      </c>
      <c r="K1061" s="34" t="str">
        <f aca="false">IF(D1061="","",IFERROR(INDEX(I_COA!$C$6:$C$265,MATCH(D1061,I_COA!$A$6:$A$265,0)),"AKUN BARU"))</f>
        <v>LabaRugi</v>
      </c>
      <c r="L1061" s="34" t="str">
        <f aca="false">IF(K1061="LabaRugi",INDEX(I_COA!$D$6:$D$265,MATCH(D1061,I_COA!$A$6:$A$265,0)),"")</f>
        <v>Other COGS - Expedition</v>
      </c>
      <c r="M1061" s="34" t="str">
        <f aca="false">IF(K1061="Neraca",INDEX(I_COA!$E$6:$E$265,MATCH(D1061,I_COA!$A$6:$A$265,0)),"")</f>
        <v/>
      </c>
      <c r="N1061" s="34" t="str">
        <f aca="false">IF(D1061="","",IFERROR(INDEX(I_COA!$G$6:$G$265,MATCH(D1061,I_COA!$A$6:$A$265,0)),"N"))</f>
        <v>N</v>
      </c>
      <c r="O1061" s="11" t="n">
        <f aca="false">IF(N1061="N",ABS(J1061),"")</f>
        <v>11000000</v>
      </c>
      <c r="P1061" s="18" t="str">
        <f aca="false">IF(N1061="N",B1061&amp;"|"&amp;ROUND(O1061,0),"")</f>
        <v>PI26080052|11000000</v>
      </c>
      <c r="Q1061" s="18" t="str">
        <f aca="false">IF(N1061&lt;&gt;"Y","",IFERROR(INDEX($D$6:$D$4005,MATCH(B1061&amp;"|"&amp;ROUND(_xlfn.MAXIFS($O$6:$O$4005,$B$6:$B$4005,B1061,$N$6:$N$4005,"N"),0),$P$6:$P$4005,0)),"(tanpa lawan)"))</f>
        <v/>
      </c>
      <c r="R1061" s="44"/>
      <c r="S1061" s="9" t="str">
        <f aca="false">IF(N1061&lt;&gt;"Y","",IF(R1061&lt;&gt;"",R1061,IF(Q1061="(tanpa lawan)","Transfer antar rekening",IFERROR(INDEX(I_COA!$F$6:$F$265,MATCH(Q1061,I_COA!$A$6:$A$265,0)),"?"))))</f>
        <v/>
      </c>
    </row>
    <row r="1062" customFormat="false" ht="15" hidden="false" customHeight="false" outlineLevel="0" collapsed="false">
      <c r="A1062" s="37" t="n">
        <v>46250</v>
      </c>
      <c r="B1062" s="44" t="s">
        <v>1455</v>
      </c>
      <c r="C1062" s="44" t="s">
        <v>707</v>
      </c>
      <c r="D1062" s="44" t="n">
        <v>2102002</v>
      </c>
      <c r="E1062" s="44" t="s">
        <v>633</v>
      </c>
      <c r="F1062" s="44" t="s">
        <v>1456</v>
      </c>
      <c r="G1062" s="42"/>
      <c r="H1062" s="42" t="n">
        <v>275000</v>
      </c>
      <c r="I1062" s="44" t="s">
        <v>681</v>
      </c>
      <c r="J1062" s="11" t="n">
        <f aca="false">IF(D1062="","",N(G1062)-N(H1062))</f>
        <v>-275000</v>
      </c>
      <c r="K1062" s="34" t="str">
        <f aca="false">IF(D1062="","",IFERROR(INDEX(I_COA!$C$6:$C$265,MATCH(D1062,I_COA!$A$6:$A$265,0)),"AKUN BARU"))</f>
        <v>Neraca</v>
      </c>
      <c r="L1062" s="34" t="str">
        <f aca="false">IF(K1062="LabaRugi",INDEX(I_COA!$D$6:$D$265,MATCH(D1062,I_COA!$A$6:$A$265,0)),"")</f>
        <v/>
      </c>
      <c r="M1062" s="34" t="str">
        <f aca="false">IF(K1062="Neraca",INDEX(I_COA!$E$6:$E$265,MATCH(D1062,I_COA!$A$6:$A$265,0)),"")</f>
        <v>Taxes Payable</v>
      </c>
      <c r="N1062" s="34" t="str">
        <f aca="false">IF(D1062="","",IFERROR(INDEX(I_COA!$G$6:$G$265,MATCH(D1062,I_COA!$A$6:$A$265,0)),"N"))</f>
        <v>N</v>
      </c>
      <c r="O1062" s="11" t="n">
        <f aca="false">IF(N1062="N",ABS(J1062),"")</f>
        <v>275000</v>
      </c>
      <c r="P1062" s="18" t="str">
        <f aca="false">IF(N1062="N",B1062&amp;"|"&amp;ROUND(O1062,0),"")</f>
        <v>PI26080052|275000</v>
      </c>
      <c r="Q1062" s="18" t="str">
        <f aca="false">IF(N1062&lt;&gt;"Y","",IFERROR(INDEX($D$6:$D$4005,MATCH(B1062&amp;"|"&amp;ROUND(_xlfn.MAXIFS($O$6:$O$4005,$B$6:$B$4005,B1062,$N$6:$N$4005,"N"),0),$P$6:$P$4005,0)),"(tanpa lawan)"))</f>
        <v/>
      </c>
      <c r="R1062" s="44"/>
      <c r="S1062" s="9" t="str">
        <f aca="false">IF(N1062&lt;&gt;"Y","",IF(R1062&lt;&gt;"",R1062,IF(Q1062="(tanpa lawan)","Transfer antar rekening",IFERROR(INDEX(I_COA!$F$6:$F$265,MATCH(Q1062,I_COA!$A$6:$A$265,0)),"?"))))</f>
        <v/>
      </c>
    </row>
    <row r="1063" customFormat="false" ht="15" hidden="false" customHeight="false" outlineLevel="0" collapsed="false">
      <c r="A1063" s="37" t="n">
        <v>46250</v>
      </c>
      <c r="B1063" s="44" t="s">
        <v>1455</v>
      </c>
      <c r="C1063" s="44" t="s">
        <v>707</v>
      </c>
      <c r="D1063" s="44" t="n">
        <v>2101003</v>
      </c>
      <c r="E1063" s="44" t="s">
        <v>679</v>
      </c>
      <c r="F1063" s="44" t="s">
        <v>1400</v>
      </c>
      <c r="G1063" s="42"/>
      <c r="H1063" s="42" t="n">
        <v>10725000</v>
      </c>
      <c r="I1063" s="44" t="s">
        <v>681</v>
      </c>
      <c r="J1063" s="11" t="n">
        <f aca="false">IF(D1063="","",N(G1063)-N(H1063))</f>
        <v>-10725000</v>
      </c>
      <c r="K1063" s="34" t="str">
        <f aca="false">IF(D1063="","",IFERROR(INDEX(I_COA!$C$6:$C$265,MATCH(D1063,I_COA!$A$6:$A$265,0)),"AKUN BARU"))</f>
        <v>Neraca</v>
      </c>
      <c r="L1063" s="34" t="str">
        <f aca="false">IF(K1063="LabaRugi",INDEX(I_COA!$D$6:$D$265,MATCH(D1063,I_COA!$A$6:$A$265,0)),"")</f>
        <v/>
      </c>
      <c r="M1063" s="34" t="str">
        <f aca="false">IF(K1063="Neraca",INDEX(I_COA!$E$6:$E$265,MATCH(D1063,I_COA!$A$6:$A$265,0)),"")</f>
        <v>Other Payable - Third Parties</v>
      </c>
      <c r="N1063" s="34" t="str">
        <f aca="false">IF(D1063="","",IFERROR(INDEX(I_COA!$G$6:$G$265,MATCH(D1063,I_COA!$A$6:$A$265,0)),"N"))</f>
        <v>N</v>
      </c>
      <c r="O1063" s="11" t="n">
        <f aca="false">IF(N1063="N",ABS(J1063),"")</f>
        <v>10725000</v>
      </c>
      <c r="P1063" s="18" t="str">
        <f aca="false">IF(N1063="N",B1063&amp;"|"&amp;ROUND(O1063,0),"")</f>
        <v>PI26080052|10725000</v>
      </c>
      <c r="Q1063" s="18" t="str">
        <f aca="false">IF(N1063&lt;&gt;"Y","",IFERROR(INDEX($D$6:$D$4005,MATCH(B1063&amp;"|"&amp;ROUND(_xlfn.MAXIFS($O$6:$O$4005,$B$6:$B$4005,B1063,$N$6:$N$4005,"N"),0),$P$6:$P$4005,0)),"(tanpa lawan)"))</f>
        <v/>
      </c>
      <c r="R1063" s="44"/>
      <c r="S1063" s="9" t="str">
        <f aca="false">IF(N1063&lt;&gt;"Y","",IF(R1063&lt;&gt;"",R1063,IF(Q1063="(tanpa lawan)","Transfer antar rekening",IFERROR(INDEX(I_COA!$F$6:$F$265,MATCH(Q1063,I_COA!$A$6:$A$265,0)),"?"))))</f>
        <v/>
      </c>
    </row>
    <row r="1064" customFormat="false" ht="15" hidden="false" customHeight="false" outlineLevel="0" collapsed="false">
      <c r="A1064" s="37" t="n">
        <v>46252</v>
      </c>
      <c r="B1064" s="44" t="s">
        <v>1457</v>
      </c>
      <c r="C1064" s="44" t="s">
        <v>585</v>
      </c>
      <c r="D1064" s="44" t="n">
        <v>1102001</v>
      </c>
      <c r="E1064" s="44" t="s">
        <v>586</v>
      </c>
      <c r="F1064" s="44" t="s">
        <v>1458</v>
      </c>
      <c r="G1064" s="42" t="n">
        <v>15462300</v>
      </c>
      <c r="H1064" s="42"/>
      <c r="I1064" s="44" t="s">
        <v>465</v>
      </c>
      <c r="J1064" s="11" t="n">
        <f aca="false">IF(D1064="","",N(G1064)-N(H1064))</f>
        <v>15462300</v>
      </c>
      <c r="K1064" s="34" t="str">
        <f aca="false">IF(D1064="","",IFERROR(INDEX(I_COA!$C$6:$C$265,MATCH(D1064,I_COA!$A$6:$A$265,0)),"AKUN BARU"))</f>
        <v>Neraca</v>
      </c>
      <c r="L1064" s="34" t="str">
        <f aca="false">IF(K1064="LabaRugi",INDEX(I_COA!$D$6:$D$265,MATCH(D1064,I_COA!$A$6:$A$265,0)),"")</f>
        <v/>
      </c>
      <c r="M1064" s="34" t="str">
        <f aca="false">IF(K1064="Neraca",INDEX(I_COA!$E$6:$E$265,MATCH(D1064,I_COA!$A$6:$A$265,0)),"")</f>
        <v>Cash and cash equivalents</v>
      </c>
      <c r="N1064" s="34" t="str">
        <f aca="false">IF(D1064="","",IFERROR(INDEX(I_COA!$G$6:$G$265,MATCH(D1064,I_COA!$A$6:$A$265,0)),"N"))</f>
        <v>Y</v>
      </c>
      <c r="O1064" s="11" t="str">
        <f aca="false">IF(N1064="N",ABS(J1064),"")</f>
        <v/>
      </c>
      <c r="P1064" s="18" t="str">
        <f aca="false">IF(N1064="N",B1064&amp;"|"&amp;ROUND(O1064,0),"")</f>
        <v/>
      </c>
      <c r="Q1064" s="18" t="n">
        <f aca="false">IF(N1064&lt;&gt;"Y","",IFERROR(INDEX($D$6:$D$4005,MATCH(B1064&amp;"|"&amp;ROUND(_xlfn.MAXIFS($O$6:$O$4005,$B$6:$B$4005,B1064,$N$6:$N$4005,"N"),0),$P$6:$P$4005,0)),"(tanpa lawan)"))</f>
        <v>1103101</v>
      </c>
      <c r="R1064" s="44"/>
      <c r="S1064" s="9" t="str">
        <f aca="false">IF(N1064&lt;&gt;"Y","",IF(R1064&lt;&gt;"",R1064,IF(Q1064="(tanpa lawan)","Transfer antar rekening",IFERROR(INDEX(I_COA!$F$6:$F$265,MATCH(Q1064,I_COA!$A$6:$A$265,0)),"?"))))</f>
        <v>Penerimaan dari pelanggan</v>
      </c>
    </row>
    <row r="1065" customFormat="false" ht="15" hidden="false" customHeight="false" outlineLevel="0" collapsed="false">
      <c r="A1065" s="37" t="n">
        <v>46252</v>
      </c>
      <c r="B1065" s="44" t="s">
        <v>1457</v>
      </c>
      <c r="C1065" s="44" t="s">
        <v>585</v>
      </c>
      <c r="D1065" s="44" t="n">
        <v>1103101</v>
      </c>
      <c r="E1065" s="44" t="s">
        <v>589</v>
      </c>
      <c r="F1065" s="44" t="s">
        <v>1458</v>
      </c>
      <c r="G1065" s="42"/>
      <c r="H1065" s="42" t="n">
        <v>15462300</v>
      </c>
      <c r="I1065" s="44" t="s">
        <v>465</v>
      </c>
      <c r="J1065" s="11" t="n">
        <f aca="false">IF(D1065="","",N(G1065)-N(H1065))</f>
        <v>-15462300</v>
      </c>
      <c r="K1065" s="34" t="str">
        <f aca="false">IF(D1065="","",IFERROR(INDEX(I_COA!$C$6:$C$265,MATCH(D1065,I_COA!$A$6:$A$265,0)),"AKUN BARU"))</f>
        <v>Neraca</v>
      </c>
      <c r="L1065" s="34" t="str">
        <f aca="false">IF(K1065="LabaRugi",INDEX(I_COA!$D$6:$D$265,MATCH(D1065,I_COA!$A$6:$A$265,0)),"")</f>
        <v/>
      </c>
      <c r="M1065" s="34" t="str">
        <f aca="false">IF(K1065="Neraca",INDEX(I_COA!$E$6:$E$265,MATCH(D1065,I_COA!$A$6:$A$265,0)),"")</f>
        <v>Trade Receivables - Third Parties</v>
      </c>
      <c r="N1065" s="34" t="str">
        <f aca="false">IF(D1065="","",IFERROR(INDEX(I_COA!$G$6:$G$265,MATCH(D1065,I_COA!$A$6:$A$265,0)),"N"))</f>
        <v>N</v>
      </c>
      <c r="O1065" s="11" t="n">
        <f aca="false">IF(N1065="N",ABS(J1065),"")</f>
        <v>15462300</v>
      </c>
      <c r="P1065" s="18" t="str">
        <f aca="false">IF(N1065="N",B1065&amp;"|"&amp;ROUND(O1065,0),"")</f>
        <v>B7626080076|15462300</v>
      </c>
      <c r="Q1065" s="18" t="str">
        <f aca="false">IF(N1065&lt;&gt;"Y","",IFERROR(INDEX($D$6:$D$4005,MATCH(B1065&amp;"|"&amp;ROUND(_xlfn.MAXIFS($O$6:$O$4005,$B$6:$B$4005,B1065,$N$6:$N$4005,"N"),0),$P$6:$P$4005,0)),"(tanpa lawan)"))</f>
        <v/>
      </c>
      <c r="R1065" s="44"/>
      <c r="S1065" s="9" t="str">
        <f aca="false">IF(N1065&lt;&gt;"Y","",IF(R1065&lt;&gt;"",R1065,IF(Q1065="(tanpa lawan)","Transfer antar rekening",IFERROR(INDEX(I_COA!$F$6:$F$265,MATCH(Q1065,I_COA!$A$6:$A$265,0)),"?"))))</f>
        <v/>
      </c>
    </row>
    <row r="1066" customFormat="false" ht="15" hidden="false" customHeight="false" outlineLevel="0" collapsed="false">
      <c r="A1066" s="37" t="n">
        <v>46252</v>
      </c>
      <c r="B1066" s="44" t="s">
        <v>1459</v>
      </c>
      <c r="C1066" s="44" t="s">
        <v>585</v>
      </c>
      <c r="D1066" s="44" t="n">
        <v>1102001</v>
      </c>
      <c r="E1066" s="44" t="s">
        <v>586</v>
      </c>
      <c r="F1066" s="44" t="s">
        <v>1460</v>
      </c>
      <c r="G1066" s="42" t="n">
        <v>77301000</v>
      </c>
      <c r="H1066" s="42"/>
      <c r="I1066" s="44" t="s">
        <v>432</v>
      </c>
      <c r="J1066" s="11" t="n">
        <f aca="false">IF(D1066="","",N(G1066)-N(H1066))</f>
        <v>77301000</v>
      </c>
      <c r="K1066" s="34" t="str">
        <f aca="false">IF(D1066="","",IFERROR(INDEX(I_COA!$C$6:$C$265,MATCH(D1066,I_COA!$A$6:$A$265,0)),"AKUN BARU"))</f>
        <v>Neraca</v>
      </c>
      <c r="L1066" s="34" t="str">
        <f aca="false">IF(K1066="LabaRugi",INDEX(I_COA!$D$6:$D$265,MATCH(D1066,I_COA!$A$6:$A$265,0)),"")</f>
        <v/>
      </c>
      <c r="M1066" s="34" t="str">
        <f aca="false">IF(K1066="Neraca",INDEX(I_COA!$E$6:$E$265,MATCH(D1066,I_COA!$A$6:$A$265,0)),"")</f>
        <v>Cash and cash equivalents</v>
      </c>
      <c r="N1066" s="34" t="str">
        <f aca="false">IF(D1066="","",IFERROR(INDEX(I_COA!$G$6:$G$265,MATCH(D1066,I_COA!$A$6:$A$265,0)),"N"))</f>
        <v>Y</v>
      </c>
      <c r="O1066" s="11" t="str">
        <f aca="false">IF(N1066="N",ABS(J1066),"")</f>
        <v/>
      </c>
      <c r="P1066" s="18" t="str">
        <f aca="false">IF(N1066="N",B1066&amp;"|"&amp;ROUND(O1066,0),"")</f>
        <v/>
      </c>
      <c r="Q1066" s="18" t="n">
        <f aca="false">IF(N1066&lt;&gt;"Y","",IFERROR(INDEX($D$6:$D$4005,MATCH(B1066&amp;"|"&amp;ROUND(_xlfn.MAXIFS($O$6:$O$4005,$B$6:$B$4005,B1066,$N$6:$N$4005,"N"),0),$P$6:$P$4005,0)),"(tanpa lawan)"))</f>
        <v>1103101</v>
      </c>
      <c r="R1066" s="44"/>
      <c r="S1066" s="9" t="str">
        <f aca="false">IF(N1066&lt;&gt;"Y","",IF(R1066&lt;&gt;"",R1066,IF(Q1066="(tanpa lawan)","Transfer antar rekening",IFERROR(INDEX(I_COA!$F$6:$F$265,MATCH(Q1066,I_COA!$A$6:$A$265,0)),"?"))))</f>
        <v>Penerimaan dari pelanggan</v>
      </c>
    </row>
    <row r="1067" customFormat="false" ht="15" hidden="false" customHeight="false" outlineLevel="0" collapsed="false">
      <c r="A1067" s="37" t="n">
        <v>46252</v>
      </c>
      <c r="B1067" s="44" t="s">
        <v>1459</v>
      </c>
      <c r="C1067" s="44" t="s">
        <v>585</v>
      </c>
      <c r="D1067" s="44" t="n">
        <v>1103101</v>
      </c>
      <c r="E1067" s="44" t="s">
        <v>589</v>
      </c>
      <c r="F1067" s="44" t="s">
        <v>1460</v>
      </c>
      <c r="G1067" s="42"/>
      <c r="H1067" s="42" t="n">
        <v>77301000</v>
      </c>
      <c r="I1067" s="44" t="s">
        <v>432</v>
      </c>
      <c r="J1067" s="11" t="n">
        <f aca="false">IF(D1067="","",N(G1067)-N(H1067))</f>
        <v>-77301000</v>
      </c>
      <c r="K1067" s="34" t="str">
        <f aca="false">IF(D1067="","",IFERROR(INDEX(I_COA!$C$6:$C$265,MATCH(D1067,I_COA!$A$6:$A$265,0)),"AKUN BARU"))</f>
        <v>Neraca</v>
      </c>
      <c r="L1067" s="34" t="str">
        <f aca="false">IF(K1067="LabaRugi",INDEX(I_COA!$D$6:$D$265,MATCH(D1067,I_COA!$A$6:$A$265,0)),"")</f>
        <v/>
      </c>
      <c r="M1067" s="34" t="str">
        <f aca="false">IF(K1067="Neraca",INDEX(I_COA!$E$6:$E$265,MATCH(D1067,I_COA!$A$6:$A$265,0)),"")</f>
        <v>Trade Receivables - Third Parties</v>
      </c>
      <c r="N1067" s="34" t="str">
        <f aca="false">IF(D1067="","",IFERROR(INDEX(I_COA!$G$6:$G$265,MATCH(D1067,I_COA!$A$6:$A$265,0)),"N"))</f>
        <v>N</v>
      </c>
      <c r="O1067" s="11" t="n">
        <f aca="false">IF(N1067="N",ABS(J1067),"")</f>
        <v>77301000</v>
      </c>
      <c r="P1067" s="18" t="str">
        <f aca="false">IF(N1067="N",B1067&amp;"|"&amp;ROUND(O1067,0),"")</f>
        <v>B7626080077|77301000</v>
      </c>
      <c r="Q1067" s="18" t="str">
        <f aca="false">IF(N1067&lt;&gt;"Y","",IFERROR(INDEX($D$6:$D$4005,MATCH(B1067&amp;"|"&amp;ROUND(_xlfn.MAXIFS($O$6:$O$4005,$B$6:$B$4005,B1067,$N$6:$N$4005,"N"),0),$P$6:$P$4005,0)),"(tanpa lawan)"))</f>
        <v/>
      </c>
      <c r="R1067" s="44"/>
      <c r="S1067" s="9" t="str">
        <f aca="false">IF(N1067&lt;&gt;"Y","",IF(R1067&lt;&gt;"",R1067,IF(Q1067="(tanpa lawan)","Transfer antar rekening",IFERROR(INDEX(I_COA!$F$6:$F$265,MATCH(Q1067,I_COA!$A$6:$A$265,0)),"?"))))</f>
        <v/>
      </c>
    </row>
    <row r="1068" customFormat="false" ht="15" hidden="false" customHeight="false" outlineLevel="0" collapsed="false">
      <c r="A1068" s="37" t="n">
        <v>46252</v>
      </c>
      <c r="B1068" s="44" t="s">
        <v>1461</v>
      </c>
      <c r="C1068" s="44" t="s">
        <v>585</v>
      </c>
      <c r="D1068" s="44" t="n">
        <v>1102001</v>
      </c>
      <c r="E1068" s="44" t="s">
        <v>586</v>
      </c>
      <c r="F1068" s="44" t="s">
        <v>1462</v>
      </c>
      <c r="G1068" s="42" t="n">
        <v>43905000</v>
      </c>
      <c r="H1068" s="42"/>
      <c r="I1068" s="44" t="s">
        <v>432</v>
      </c>
      <c r="J1068" s="11" t="n">
        <f aca="false">IF(D1068="","",N(G1068)-N(H1068))</f>
        <v>43905000</v>
      </c>
      <c r="K1068" s="34" t="str">
        <f aca="false">IF(D1068="","",IFERROR(INDEX(I_COA!$C$6:$C$265,MATCH(D1068,I_COA!$A$6:$A$265,0)),"AKUN BARU"))</f>
        <v>Neraca</v>
      </c>
      <c r="L1068" s="34" t="str">
        <f aca="false">IF(K1068="LabaRugi",INDEX(I_COA!$D$6:$D$265,MATCH(D1068,I_COA!$A$6:$A$265,0)),"")</f>
        <v/>
      </c>
      <c r="M1068" s="34" t="str">
        <f aca="false">IF(K1068="Neraca",INDEX(I_COA!$E$6:$E$265,MATCH(D1068,I_COA!$A$6:$A$265,0)),"")</f>
        <v>Cash and cash equivalents</v>
      </c>
      <c r="N1068" s="34" t="str">
        <f aca="false">IF(D1068="","",IFERROR(INDEX(I_COA!$G$6:$G$265,MATCH(D1068,I_COA!$A$6:$A$265,0)),"N"))</f>
        <v>Y</v>
      </c>
      <c r="O1068" s="11" t="str">
        <f aca="false">IF(N1068="N",ABS(J1068),"")</f>
        <v/>
      </c>
      <c r="P1068" s="18" t="str">
        <f aca="false">IF(N1068="N",B1068&amp;"|"&amp;ROUND(O1068,0),"")</f>
        <v/>
      </c>
      <c r="Q1068" s="18" t="n">
        <f aca="false">IF(N1068&lt;&gt;"Y","",IFERROR(INDEX($D$6:$D$4005,MATCH(B1068&amp;"|"&amp;ROUND(_xlfn.MAXIFS($O$6:$O$4005,$B$6:$B$4005,B1068,$N$6:$N$4005,"N"),0),$P$6:$P$4005,0)),"(tanpa lawan)"))</f>
        <v>1103101</v>
      </c>
      <c r="R1068" s="44"/>
      <c r="S1068" s="9" t="str">
        <f aca="false">IF(N1068&lt;&gt;"Y","",IF(R1068&lt;&gt;"",R1068,IF(Q1068="(tanpa lawan)","Transfer antar rekening",IFERROR(INDEX(I_COA!$F$6:$F$265,MATCH(Q1068,I_COA!$A$6:$A$265,0)),"?"))))</f>
        <v>Penerimaan dari pelanggan</v>
      </c>
    </row>
    <row r="1069" customFormat="false" ht="15" hidden="false" customHeight="false" outlineLevel="0" collapsed="false">
      <c r="A1069" s="37" t="n">
        <v>46252</v>
      </c>
      <c r="B1069" s="44" t="s">
        <v>1461</v>
      </c>
      <c r="C1069" s="44" t="s">
        <v>585</v>
      </c>
      <c r="D1069" s="44" t="n">
        <v>1103101</v>
      </c>
      <c r="E1069" s="44" t="s">
        <v>589</v>
      </c>
      <c r="F1069" s="44" t="s">
        <v>1462</v>
      </c>
      <c r="G1069" s="42"/>
      <c r="H1069" s="42" t="n">
        <v>43905000</v>
      </c>
      <c r="I1069" s="44" t="s">
        <v>432</v>
      </c>
      <c r="J1069" s="11" t="n">
        <f aca="false">IF(D1069="","",N(G1069)-N(H1069))</f>
        <v>-43905000</v>
      </c>
      <c r="K1069" s="34" t="str">
        <f aca="false">IF(D1069="","",IFERROR(INDEX(I_COA!$C$6:$C$265,MATCH(D1069,I_COA!$A$6:$A$265,0)),"AKUN BARU"))</f>
        <v>Neraca</v>
      </c>
      <c r="L1069" s="34" t="str">
        <f aca="false">IF(K1069="LabaRugi",INDEX(I_COA!$D$6:$D$265,MATCH(D1069,I_COA!$A$6:$A$265,0)),"")</f>
        <v/>
      </c>
      <c r="M1069" s="34" t="str">
        <f aca="false">IF(K1069="Neraca",INDEX(I_COA!$E$6:$E$265,MATCH(D1069,I_COA!$A$6:$A$265,0)),"")</f>
        <v>Trade Receivables - Third Parties</v>
      </c>
      <c r="N1069" s="34" t="str">
        <f aca="false">IF(D1069="","",IFERROR(INDEX(I_COA!$G$6:$G$265,MATCH(D1069,I_COA!$A$6:$A$265,0)),"N"))</f>
        <v>N</v>
      </c>
      <c r="O1069" s="11" t="n">
        <f aca="false">IF(N1069="N",ABS(J1069),"")</f>
        <v>43905000</v>
      </c>
      <c r="P1069" s="18" t="str">
        <f aca="false">IF(N1069="N",B1069&amp;"|"&amp;ROUND(O1069,0),"")</f>
        <v>B7626080078|43905000</v>
      </c>
      <c r="Q1069" s="18" t="str">
        <f aca="false">IF(N1069&lt;&gt;"Y","",IFERROR(INDEX($D$6:$D$4005,MATCH(B1069&amp;"|"&amp;ROUND(_xlfn.MAXIFS($O$6:$O$4005,$B$6:$B$4005,B1069,$N$6:$N$4005,"N"),0),$P$6:$P$4005,0)),"(tanpa lawan)"))</f>
        <v/>
      </c>
      <c r="R1069" s="44"/>
      <c r="S1069" s="9" t="str">
        <f aca="false">IF(N1069&lt;&gt;"Y","",IF(R1069&lt;&gt;"",R1069,IF(Q1069="(tanpa lawan)","Transfer antar rekening",IFERROR(INDEX(I_COA!$F$6:$F$265,MATCH(Q1069,I_COA!$A$6:$A$265,0)),"?"))))</f>
        <v/>
      </c>
    </row>
    <row r="1070" customFormat="false" ht="15" hidden="false" customHeight="false" outlineLevel="0" collapsed="false">
      <c r="A1070" s="37" t="n">
        <v>46252</v>
      </c>
      <c r="B1070" s="44" t="s">
        <v>1463</v>
      </c>
      <c r="C1070" s="44" t="s">
        <v>580</v>
      </c>
      <c r="D1070" s="44" t="n">
        <v>1102008</v>
      </c>
      <c r="E1070" s="44" t="s">
        <v>781</v>
      </c>
      <c r="F1070" s="44" t="s">
        <v>870</v>
      </c>
      <c r="G1070" s="42" t="n">
        <v>300000000</v>
      </c>
      <c r="H1070" s="42"/>
      <c r="I1070" s="44"/>
      <c r="J1070" s="11" t="n">
        <f aca="false">IF(D1070="","",N(G1070)-N(H1070))</f>
        <v>300000000</v>
      </c>
      <c r="K1070" s="34" t="str">
        <f aca="false">IF(D1070="","",IFERROR(INDEX(I_COA!$C$6:$C$265,MATCH(D1070,I_COA!$A$6:$A$265,0)),"AKUN BARU"))</f>
        <v>Neraca</v>
      </c>
      <c r="L1070" s="34" t="str">
        <f aca="false">IF(K1070="LabaRugi",INDEX(I_COA!$D$6:$D$265,MATCH(D1070,I_COA!$A$6:$A$265,0)),"")</f>
        <v/>
      </c>
      <c r="M1070" s="34" t="str">
        <f aca="false">IF(K1070="Neraca",INDEX(I_COA!$E$6:$E$265,MATCH(D1070,I_COA!$A$6:$A$265,0)),"")</f>
        <v>Advance Payment</v>
      </c>
      <c r="N1070" s="34" t="str">
        <f aca="false">IF(D1070="","",IFERROR(INDEX(I_COA!$G$6:$G$265,MATCH(D1070,I_COA!$A$6:$A$265,0)),"N"))</f>
        <v>N</v>
      </c>
      <c r="O1070" s="11" t="n">
        <f aca="false">IF(N1070="N",ABS(J1070),"")</f>
        <v>300000000</v>
      </c>
      <c r="P1070" s="18" t="str">
        <f aca="false">IF(N1070="N",B1070&amp;"|"&amp;ROUND(O1070,0),"")</f>
        <v>B7726080008|300000000</v>
      </c>
      <c r="Q1070" s="18" t="str">
        <f aca="false">IF(N1070&lt;&gt;"Y","",IFERROR(INDEX($D$6:$D$4005,MATCH(B1070&amp;"|"&amp;ROUND(_xlfn.MAXIFS($O$6:$O$4005,$B$6:$B$4005,B1070,$N$6:$N$4005,"N"),0),$P$6:$P$4005,0)),"(tanpa lawan)"))</f>
        <v/>
      </c>
      <c r="R1070" s="44"/>
      <c r="S1070" s="9" t="str">
        <f aca="false">IF(N1070&lt;&gt;"Y","",IF(R1070&lt;&gt;"",R1070,IF(Q1070="(tanpa lawan)","Transfer antar rekening",IFERROR(INDEX(I_COA!$F$6:$F$265,MATCH(Q1070,I_COA!$A$6:$A$265,0)),"?"))))</f>
        <v/>
      </c>
    </row>
    <row r="1071" customFormat="false" ht="15" hidden="false" customHeight="false" outlineLevel="0" collapsed="false">
      <c r="A1071" s="37" t="n">
        <v>46252</v>
      </c>
      <c r="B1071" s="44" t="s">
        <v>1463</v>
      </c>
      <c r="C1071" s="44" t="s">
        <v>580</v>
      </c>
      <c r="D1071" s="44" t="n">
        <v>1102001</v>
      </c>
      <c r="E1071" s="44" t="s">
        <v>586</v>
      </c>
      <c r="F1071" s="44" t="s">
        <v>782</v>
      </c>
      <c r="G1071" s="42"/>
      <c r="H1071" s="42" t="n">
        <v>300000000</v>
      </c>
      <c r="I1071" s="44"/>
      <c r="J1071" s="11" t="n">
        <f aca="false">IF(D1071="","",N(G1071)-N(H1071))</f>
        <v>-300000000</v>
      </c>
      <c r="K1071" s="34" t="str">
        <f aca="false">IF(D1071="","",IFERROR(INDEX(I_COA!$C$6:$C$265,MATCH(D1071,I_COA!$A$6:$A$265,0)),"AKUN BARU"))</f>
        <v>Neraca</v>
      </c>
      <c r="L1071" s="34" t="str">
        <f aca="false">IF(K1071="LabaRugi",INDEX(I_COA!$D$6:$D$265,MATCH(D1071,I_COA!$A$6:$A$265,0)),"")</f>
        <v/>
      </c>
      <c r="M1071" s="34" t="str">
        <f aca="false">IF(K1071="Neraca",INDEX(I_COA!$E$6:$E$265,MATCH(D1071,I_COA!$A$6:$A$265,0)),"")</f>
        <v>Cash and cash equivalents</v>
      </c>
      <c r="N1071" s="34" t="str">
        <f aca="false">IF(D1071="","",IFERROR(INDEX(I_COA!$G$6:$G$265,MATCH(D1071,I_COA!$A$6:$A$265,0)),"N"))</f>
        <v>Y</v>
      </c>
      <c r="O1071" s="11" t="str">
        <f aca="false">IF(N1071="N",ABS(J1071),"")</f>
        <v/>
      </c>
      <c r="P1071" s="18" t="str">
        <f aca="false">IF(N1071="N",B1071&amp;"|"&amp;ROUND(O1071,0),"")</f>
        <v/>
      </c>
      <c r="Q1071" s="18" t="n">
        <f aca="false">IF(N1071&lt;&gt;"Y","",IFERROR(INDEX($D$6:$D$4005,MATCH(B1071&amp;"|"&amp;ROUND(_xlfn.MAXIFS($O$6:$O$4005,$B$6:$B$4005,B1071,$N$6:$N$4005,"N"),0),$P$6:$P$4005,0)),"(tanpa lawan)"))</f>
        <v>1102008</v>
      </c>
      <c r="R1071" s="44"/>
      <c r="S1071" s="9" t="str">
        <f aca="false">IF(N1071&lt;&gt;"Y","",IF(R1071&lt;&gt;"",R1071,IF(Q1071="(tanpa lawan)","Transfer antar rekening",IFERROR(INDEX(I_COA!$F$6:$F$265,MATCH(Q1071,I_COA!$A$6:$A$265,0)),"?"))))</f>
        <v>Transfer antar rekening</v>
      </c>
    </row>
    <row r="1072" customFormat="false" ht="15" hidden="false" customHeight="false" outlineLevel="0" collapsed="false">
      <c r="A1072" s="37" t="n">
        <v>46252</v>
      </c>
      <c r="B1072" s="44" t="s">
        <v>1464</v>
      </c>
      <c r="C1072" s="44" t="s">
        <v>580</v>
      </c>
      <c r="D1072" s="44" t="n">
        <v>1102008</v>
      </c>
      <c r="E1072" s="44" t="s">
        <v>781</v>
      </c>
      <c r="F1072" s="44" t="s">
        <v>782</v>
      </c>
      <c r="G1072" s="42" t="n">
        <v>500000000</v>
      </c>
      <c r="H1072" s="42"/>
      <c r="I1072" s="44"/>
      <c r="J1072" s="11" t="n">
        <f aca="false">IF(D1072="","",N(G1072)-N(H1072))</f>
        <v>500000000</v>
      </c>
      <c r="K1072" s="34" t="str">
        <f aca="false">IF(D1072="","",IFERROR(INDEX(I_COA!$C$6:$C$265,MATCH(D1072,I_COA!$A$6:$A$265,0)),"AKUN BARU"))</f>
        <v>Neraca</v>
      </c>
      <c r="L1072" s="34" t="str">
        <f aca="false">IF(K1072="LabaRugi",INDEX(I_COA!$D$6:$D$265,MATCH(D1072,I_COA!$A$6:$A$265,0)),"")</f>
        <v/>
      </c>
      <c r="M1072" s="34" t="str">
        <f aca="false">IF(K1072="Neraca",INDEX(I_COA!$E$6:$E$265,MATCH(D1072,I_COA!$A$6:$A$265,0)),"")</f>
        <v>Advance Payment</v>
      </c>
      <c r="N1072" s="34" t="str">
        <f aca="false">IF(D1072="","",IFERROR(INDEX(I_COA!$G$6:$G$265,MATCH(D1072,I_COA!$A$6:$A$265,0)),"N"))</f>
        <v>N</v>
      </c>
      <c r="O1072" s="11" t="n">
        <f aca="false">IF(N1072="N",ABS(J1072),"")</f>
        <v>500000000</v>
      </c>
      <c r="P1072" s="18" t="str">
        <f aca="false">IF(N1072="N",B1072&amp;"|"&amp;ROUND(O1072,0),"")</f>
        <v>B7726080009|500000000</v>
      </c>
      <c r="Q1072" s="18" t="str">
        <f aca="false">IF(N1072&lt;&gt;"Y","",IFERROR(INDEX($D$6:$D$4005,MATCH(B1072&amp;"|"&amp;ROUND(_xlfn.MAXIFS($O$6:$O$4005,$B$6:$B$4005,B1072,$N$6:$N$4005,"N"),0),$P$6:$P$4005,0)),"(tanpa lawan)"))</f>
        <v/>
      </c>
      <c r="R1072" s="44"/>
      <c r="S1072" s="9" t="str">
        <f aca="false">IF(N1072&lt;&gt;"Y","",IF(R1072&lt;&gt;"",R1072,IF(Q1072="(tanpa lawan)","Transfer antar rekening",IFERROR(INDEX(I_COA!$F$6:$F$265,MATCH(Q1072,I_COA!$A$6:$A$265,0)),"?"))))</f>
        <v/>
      </c>
    </row>
    <row r="1073" customFormat="false" ht="15" hidden="false" customHeight="false" outlineLevel="0" collapsed="false">
      <c r="A1073" s="37" t="n">
        <v>46252</v>
      </c>
      <c r="B1073" s="44" t="s">
        <v>1464</v>
      </c>
      <c r="C1073" s="44" t="s">
        <v>580</v>
      </c>
      <c r="D1073" s="44" t="n">
        <v>1102001</v>
      </c>
      <c r="E1073" s="44" t="s">
        <v>586</v>
      </c>
      <c r="F1073" s="44" t="s">
        <v>782</v>
      </c>
      <c r="G1073" s="42"/>
      <c r="H1073" s="42" t="n">
        <v>500000000</v>
      </c>
      <c r="I1073" s="44"/>
      <c r="J1073" s="11" t="n">
        <f aca="false">IF(D1073="","",N(G1073)-N(H1073))</f>
        <v>-500000000</v>
      </c>
      <c r="K1073" s="34" t="str">
        <f aca="false">IF(D1073="","",IFERROR(INDEX(I_COA!$C$6:$C$265,MATCH(D1073,I_COA!$A$6:$A$265,0)),"AKUN BARU"))</f>
        <v>Neraca</v>
      </c>
      <c r="L1073" s="34" t="str">
        <f aca="false">IF(K1073="LabaRugi",INDEX(I_COA!$D$6:$D$265,MATCH(D1073,I_COA!$A$6:$A$265,0)),"")</f>
        <v/>
      </c>
      <c r="M1073" s="34" t="str">
        <f aca="false">IF(K1073="Neraca",INDEX(I_COA!$E$6:$E$265,MATCH(D1073,I_COA!$A$6:$A$265,0)),"")</f>
        <v>Cash and cash equivalents</v>
      </c>
      <c r="N1073" s="34" t="str">
        <f aca="false">IF(D1073="","",IFERROR(INDEX(I_COA!$G$6:$G$265,MATCH(D1073,I_COA!$A$6:$A$265,0)),"N"))</f>
        <v>Y</v>
      </c>
      <c r="O1073" s="11" t="str">
        <f aca="false">IF(N1073="N",ABS(J1073),"")</f>
        <v/>
      </c>
      <c r="P1073" s="18" t="str">
        <f aca="false">IF(N1073="N",B1073&amp;"|"&amp;ROUND(O1073,0),"")</f>
        <v/>
      </c>
      <c r="Q1073" s="18" t="n">
        <f aca="false">IF(N1073&lt;&gt;"Y","",IFERROR(INDEX($D$6:$D$4005,MATCH(B1073&amp;"|"&amp;ROUND(_xlfn.MAXIFS($O$6:$O$4005,$B$6:$B$4005,B1073,$N$6:$N$4005,"N"),0),$P$6:$P$4005,0)),"(tanpa lawan)"))</f>
        <v>1102008</v>
      </c>
      <c r="R1073" s="44"/>
      <c r="S1073" s="9" t="str">
        <f aca="false">IF(N1073&lt;&gt;"Y","",IF(R1073&lt;&gt;"",R1073,IF(Q1073="(tanpa lawan)","Transfer antar rekening",IFERROR(INDEX(I_COA!$F$6:$F$265,MATCH(Q1073,I_COA!$A$6:$A$265,0)),"?"))))</f>
        <v>Transfer antar rekening</v>
      </c>
    </row>
    <row r="1074" customFormat="false" ht="15" hidden="false" customHeight="false" outlineLevel="0" collapsed="false">
      <c r="A1074" s="37" t="n">
        <v>46252</v>
      </c>
      <c r="B1074" s="44" t="s">
        <v>1465</v>
      </c>
      <c r="C1074" s="44" t="s">
        <v>580</v>
      </c>
      <c r="D1074" s="44" t="n">
        <v>1102002</v>
      </c>
      <c r="E1074" s="44" t="s">
        <v>598</v>
      </c>
      <c r="F1074" s="44" t="s">
        <v>784</v>
      </c>
      <c r="G1074" s="42" t="n">
        <v>300000000</v>
      </c>
      <c r="H1074" s="42"/>
      <c r="I1074" s="44"/>
      <c r="J1074" s="11" t="n">
        <f aca="false">IF(D1074="","",N(G1074)-N(H1074))</f>
        <v>300000000</v>
      </c>
      <c r="K1074" s="34" t="str">
        <f aca="false">IF(D1074="","",IFERROR(INDEX(I_COA!$C$6:$C$265,MATCH(D1074,I_COA!$A$6:$A$265,0)),"AKUN BARU"))</f>
        <v>Neraca</v>
      </c>
      <c r="L1074" s="34" t="str">
        <f aca="false">IF(K1074="LabaRugi",INDEX(I_COA!$D$6:$D$265,MATCH(D1074,I_COA!$A$6:$A$265,0)),"")</f>
        <v/>
      </c>
      <c r="M1074" s="34" t="str">
        <f aca="false">IF(K1074="Neraca",INDEX(I_COA!$E$6:$E$265,MATCH(D1074,I_COA!$A$6:$A$265,0)),"")</f>
        <v>Cash and cash equivalents</v>
      </c>
      <c r="N1074" s="34" t="str">
        <f aca="false">IF(D1074="","",IFERROR(INDEX(I_COA!$G$6:$G$265,MATCH(D1074,I_COA!$A$6:$A$265,0)),"N"))</f>
        <v>Y</v>
      </c>
      <c r="O1074" s="11" t="str">
        <f aca="false">IF(N1074="N",ABS(J1074),"")</f>
        <v/>
      </c>
      <c r="P1074" s="18" t="str">
        <f aca="false">IF(N1074="N",B1074&amp;"|"&amp;ROUND(O1074,0),"")</f>
        <v/>
      </c>
      <c r="Q1074" s="18" t="n">
        <f aca="false">IF(N1074&lt;&gt;"Y","",IFERROR(INDEX($D$6:$D$4005,MATCH(B1074&amp;"|"&amp;ROUND(_xlfn.MAXIFS($O$6:$O$4005,$B$6:$B$4005,B1074,$N$6:$N$4005,"N"),0),$P$6:$P$4005,0)),"(tanpa lawan)"))</f>
        <v>1102008</v>
      </c>
      <c r="R1074" s="44"/>
      <c r="S1074" s="9" t="str">
        <f aca="false">IF(N1074&lt;&gt;"Y","",IF(R1074&lt;&gt;"",R1074,IF(Q1074="(tanpa lawan)","Transfer antar rekening",IFERROR(INDEX(I_COA!$F$6:$F$265,MATCH(Q1074,I_COA!$A$6:$A$265,0)),"?"))))</f>
        <v>Transfer antar rekening</v>
      </c>
    </row>
    <row r="1075" customFormat="false" ht="15" hidden="false" customHeight="false" outlineLevel="0" collapsed="false">
      <c r="A1075" s="37" t="n">
        <v>46252</v>
      </c>
      <c r="B1075" s="44" t="s">
        <v>1465</v>
      </c>
      <c r="C1075" s="44" t="s">
        <v>580</v>
      </c>
      <c r="D1075" s="44" t="n">
        <v>1102008</v>
      </c>
      <c r="E1075" s="44" t="s">
        <v>781</v>
      </c>
      <c r="F1075" s="44" t="s">
        <v>784</v>
      </c>
      <c r="G1075" s="42"/>
      <c r="H1075" s="42" t="n">
        <v>300000000</v>
      </c>
      <c r="I1075" s="44"/>
      <c r="J1075" s="11" t="n">
        <f aca="false">IF(D1075="","",N(G1075)-N(H1075))</f>
        <v>-300000000</v>
      </c>
      <c r="K1075" s="34" t="str">
        <f aca="false">IF(D1075="","",IFERROR(INDEX(I_COA!$C$6:$C$265,MATCH(D1075,I_COA!$A$6:$A$265,0)),"AKUN BARU"))</f>
        <v>Neraca</v>
      </c>
      <c r="L1075" s="34" t="str">
        <f aca="false">IF(K1075="LabaRugi",INDEX(I_COA!$D$6:$D$265,MATCH(D1075,I_COA!$A$6:$A$265,0)),"")</f>
        <v/>
      </c>
      <c r="M1075" s="34" t="str">
        <f aca="false">IF(K1075="Neraca",INDEX(I_COA!$E$6:$E$265,MATCH(D1075,I_COA!$A$6:$A$265,0)),"")</f>
        <v>Advance Payment</v>
      </c>
      <c r="N1075" s="34" t="str">
        <f aca="false">IF(D1075="","",IFERROR(INDEX(I_COA!$G$6:$G$265,MATCH(D1075,I_COA!$A$6:$A$265,0)),"N"))</f>
        <v>N</v>
      </c>
      <c r="O1075" s="11" t="n">
        <f aca="false">IF(N1075="N",ABS(J1075),"")</f>
        <v>300000000</v>
      </c>
      <c r="P1075" s="18" t="str">
        <f aca="false">IF(N1075="N",B1075&amp;"|"&amp;ROUND(O1075,0),"")</f>
        <v>B8426080009|300000000</v>
      </c>
      <c r="Q1075" s="18" t="str">
        <f aca="false">IF(N1075&lt;&gt;"Y","",IFERROR(INDEX($D$6:$D$4005,MATCH(B1075&amp;"|"&amp;ROUND(_xlfn.MAXIFS($O$6:$O$4005,$B$6:$B$4005,B1075,$N$6:$N$4005,"N"),0),$P$6:$P$4005,0)),"(tanpa lawan)"))</f>
        <v/>
      </c>
      <c r="R1075" s="44"/>
      <c r="S1075" s="9" t="str">
        <f aca="false">IF(N1075&lt;&gt;"Y","",IF(R1075&lt;&gt;"",R1075,IF(Q1075="(tanpa lawan)","Transfer antar rekening",IFERROR(INDEX(I_COA!$F$6:$F$265,MATCH(Q1075,I_COA!$A$6:$A$265,0)),"?"))))</f>
        <v/>
      </c>
    </row>
    <row r="1076" customFormat="false" ht="15" hidden="false" customHeight="false" outlineLevel="0" collapsed="false">
      <c r="A1076" s="37" t="n">
        <v>46252</v>
      </c>
      <c r="B1076" s="44" t="s">
        <v>1466</v>
      </c>
      <c r="C1076" s="44" t="s">
        <v>580</v>
      </c>
      <c r="D1076" s="44" t="n">
        <v>1102002</v>
      </c>
      <c r="E1076" s="44" t="s">
        <v>598</v>
      </c>
      <c r="F1076" s="44" t="s">
        <v>784</v>
      </c>
      <c r="G1076" s="42" t="n">
        <v>500000000</v>
      </c>
      <c r="H1076" s="42"/>
      <c r="I1076" s="44"/>
      <c r="J1076" s="11" t="n">
        <f aca="false">IF(D1076="","",N(G1076)-N(H1076))</f>
        <v>500000000</v>
      </c>
      <c r="K1076" s="34" t="str">
        <f aca="false">IF(D1076="","",IFERROR(INDEX(I_COA!$C$6:$C$265,MATCH(D1076,I_COA!$A$6:$A$265,0)),"AKUN BARU"))</f>
        <v>Neraca</v>
      </c>
      <c r="L1076" s="34" t="str">
        <f aca="false">IF(K1076="LabaRugi",INDEX(I_COA!$D$6:$D$265,MATCH(D1076,I_COA!$A$6:$A$265,0)),"")</f>
        <v/>
      </c>
      <c r="M1076" s="34" t="str">
        <f aca="false">IF(K1076="Neraca",INDEX(I_COA!$E$6:$E$265,MATCH(D1076,I_COA!$A$6:$A$265,0)),"")</f>
        <v>Cash and cash equivalents</v>
      </c>
      <c r="N1076" s="34" t="str">
        <f aca="false">IF(D1076="","",IFERROR(INDEX(I_COA!$G$6:$G$265,MATCH(D1076,I_COA!$A$6:$A$265,0)),"N"))</f>
        <v>Y</v>
      </c>
      <c r="O1076" s="11" t="str">
        <f aca="false">IF(N1076="N",ABS(J1076),"")</f>
        <v/>
      </c>
      <c r="P1076" s="18" t="str">
        <f aca="false">IF(N1076="N",B1076&amp;"|"&amp;ROUND(O1076,0),"")</f>
        <v/>
      </c>
      <c r="Q1076" s="18" t="n">
        <f aca="false">IF(N1076&lt;&gt;"Y","",IFERROR(INDEX($D$6:$D$4005,MATCH(B1076&amp;"|"&amp;ROUND(_xlfn.MAXIFS($O$6:$O$4005,$B$6:$B$4005,B1076,$N$6:$N$4005,"N"),0),$P$6:$P$4005,0)),"(tanpa lawan)"))</f>
        <v>1102008</v>
      </c>
      <c r="R1076" s="44"/>
      <c r="S1076" s="9" t="str">
        <f aca="false">IF(N1076&lt;&gt;"Y","",IF(R1076&lt;&gt;"",R1076,IF(Q1076="(tanpa lawan)","Transfer antar rekening",IFERROR(INDEX(I_COA!$F$6:$F$265,MATCH(Q1076,I_COA!$A$6:$A$265,0)),"?"))))</f>
        <v>Transfer antar rekening</v>
      </c>
    </row>
    <row r="1077" customFormat="false" ht="15" hidden="false" customHeight="false" outlineLevel="0" collapsed="false">
      <c r="A1077" s="37" t="n">
        <v>46252</v>
      </c>
      <c r="B1077" s="44" t="s">
        <v>1466</v>
      </c>
      <c r="C1077" s="44" t="s">
        <v>580</v>
      </c>
      <c r="D1077" s="44" t="n">
        <v>1102008</v>
      </c>
      <c r="E1077" s="44" t="s">
        <v>781</v>
      </c>
      <c r="F1077" s="44" t="s">
        <v>784</v>
      </c>
      <c r="G1077" s="42"/>
      <c r="H1077" s="42" t="n">
        <v>500000000</v>
      </c>
      <c r="I1077" s="44"/>
      <c r="J1077" s="11" t="n">
        <f aca="false">IF(D1077="","",N(G1077)-N(H1077))</f>
        <v>-500000000</v>
      </c>
      <c r="K1077" s="34" t="str">
        <f aca="false">IF(D1077="","",IFERROR(INDEX(I_COA!$C$6:$C$265,MATCH(D1077,I_COA!$A$6:$A$265,0)),"AKUN BARU"))</f>
        <v>Neraca</v>
      </c>
      <c r="L1077" s="34" t="str">
        <f aca="false">IF(K1077="LabaRugi",INDEX(I_COA!$D$6:$D$265,MATCH(D1077,I_COA!$A$6:$A$265,0)),"")</f>
        <v/>
      </c>
      <c r="M1077" s="34" t="str">
        <f aca="false">IF(K1077="Neraca",INDEX(I_COA!$E$6:$E$265,MATCH(D1077,I_COA!$A$6:$A$265,0)),"")</f>
        <v>Advance Payment</v>
      </c>
      <c r="N1077" s="34" t="str">
        <f aca="false">IF(D1077="","",IFERROR(INDEX(I_COA!$G$6:$G$265,MATCH(D1077,I_COA!$A$6:$A$265,0)),"N"))</f>
        <v>N</v>
      </c>
      <c r="O1077" s="11" t="n">
        <f aca="false">IF(N1077="N",ABS(J1077),"")</f>
        <v>500000000</v>
      </c>
      <c r="P1077" s="18" t="str">
        <f aca="false">IF(N1077="N",B1077&amp;"|"&amp;ROUND(O1077,0),"")</f>
        <v>B8426080010|500000000</v>
      </c>
      <c r="Q1077" s="18" t="str">
        <f aca="false">IF(N1077&lt;&gt;"Y","",IFERROR(INDEX($D$6:$D$4005,MATCH(B1077&amp;"|"&amp;ROUND(_xlfn.MAXIFS($O$6:$O$4005,$B$6:$B$4005,B1077,$N$6:$N$4005,"N"),0),$P$6:$P$4005,0)),"(tanpa lawan)"))</f>
        <v/>
      </c>
      <c r="R1077" s="44"/>
      <c r="S1077" s="9" t="str">
        <f aca="false">IF(N1077&lt;&gt;"Y","",IF(R1077&lt;&gt;"",R1077,IF(Q1077="(tanpa lawan)","Transfer antar rekening",IFERROR(INDEX(I_COA!$F$6:$F$265,MATCH(Q1077,I_COA!$A$6:$A$265,0)),"?"))))</f>
        <v/>
      </c>
    </row>
    <row r="1078" customFormat="false" ht="15" hidden="false" customHeight="false" outlineLevel="0" collapsed="false">
      <c r="A1078" s="37" t="n">
        <v>46252</v>
      </c>
      <c r="B1078" s="44" t="s">
        <v>1467</v>
      </c>
      <c r="C1078" s="44" t="s">
        <v>594</v>
      </c>
      <c r="D1078" s="44" t="n">
        <v>2101001</v>
      </c>
      <c r="E1078" s="44" t="s">
        <v>595</v>
      </c>
      <c r="F1078" s="44" t="s">
        <v>1328</v>
      </c>
      <c r="G1078" s="42" t="n">
        <v>1900435</v>
      </c>
      <c r="H1078" s="42"/>
      <c r="I1078" s="44" t="s">
        <v>597</v>
      </c>
      <c r="J1078" s="11" t="n">
        <f aca="false">IF(D1078="","",N(G1078)-N(H1078))</f>
        <v>1900435</v>
      </c>
      <c r="K1078" s="34" t="str">
        <f aca="false">IF(D1078="","",IFERROR(INDEX(I_COA!$C$6:$C$265,MATCH(D1078,I_COA!$A$6:$A$265,0)),"AKUN BARU"))</f>
        <v>Neraca</v>
      </c>
      <c r="L1078" s="34" t="str">
        <f aca="false">IF(K1078="LabaRugi",INDEX(I_COA!$D$6:$D$265,MATCH(D1078,I_COA!$A$6:$A$265,0)),"")</f>
        <v/>
      </c>
      <c r="M1078" s="34" t="str">
        <f aca="false">IF(K1078="Neraca",INDEX(I_COA!$E$6:$E$265,MATCH(D1078,I_COA!$A$6:$A$265,0)),"")</f>
        <v>Trade Payables - Third Parties</v>
      </c>
      <c r="N1078" s="34" t="str">
        <f aca="false">IF(D1078="","",IFERROR(INDEX(I_COA!$G$6:$G$265,MATCH(D1078,I_COA!$A$6:$A$265,0)),"N"))</f>
        <v>N</v>
      </c>
      <c r="O1078" s="11" t="n">
        <f aca="false">IF(N1078="N",ABS(J1078),"")</f>
        <v>1900435</v>
      </c>
      <c r="P1078" s="18" t="str">
        <f aca="false">IF(N1078="N",B1078&amp;"|"&amp;ROUND(O1078,0),"")</f>
        <v>B8526080058|1900435</v>
      </c>
      <c r="Q1078" s="18" t="str">
        <f aca="false">IF(N1078&lt;&gt;"Y","",IFERROR(INDEX($D$6:$D$4005,MATCH(B1078&amp;"|"&amp;ROUND(_xlfn.MAXIFS($O$6:$O$4005,$B$6:$B$4005,B1078,$N$6:$N$4005,"N"),0),$P$6:$P$4005,0)),"(tanpa lawan)"))</f>
        <v/>
      </c>
      <c r="R1078" s="44"/>
      <c r="S1078" s="9" t="str">
        <f aca="false">IF(N1078&lt;&gt;"Y","",IF(R1078&lt;&gt;"",R1078,IF(Q1078="(tanpa lawan)","Transfer antar rekening",IFERROR(INDEX(I_COA!$F$6:$F$265,MATCH(Q1078,I_COA!$A$6:$A$265,0)),"?"))))</f>
        <v/>
      </c>
    </row>
    <row r="1079" customFormat="false" ht="15" hidden="false" customHeight="false" outlineLevel="0" collapsed="false">
      <c r="A1079" s="37" t="n">
        <v>46252</v>
      </c>
      <c r="B1079" s="44" t="s">
        <v>1467</v>
      </c>
      <c r="C1079" s="44" t="s">
        <v>594</v>
      </c>
      <c r="D1079" s="44" t="n">
        <v>2101001</v>
      </c>
      <c r="E1079" s="44" t="s">
        <v>595</v>
      </c>
      <c r="F1079" s="44" t="s">
        <v>1328</v>
      </c>
      <c r="G1079" s="42" t="n">
        <v>150345</v>
      </c>
      <c r="H1079" s="42"/>
      <c r="I1079" s="44" t="s">
        <v>597</v>
      </c>
      <c r="J1079" s="11" t="n">
        <f aca="false">IF(D1079="","",N(G1079)-N(H1079))</f>
        <v>150345</v>
      </c>
      <c r="K1079" s="34" t="str">
        <f aca="false">IF(D1079="","",IFERROR(INDEX(I_COA!$C$6:$C$265,MATCH(D1079,I_COA!$A$6:$A$265,0)),"AKUN BARU"))</f>
        <v>Neraca</v>
      </c>
      <c r="L1079" s="34" t="str">
        <f aca="false">IF(K1079="LabaRugi",INDEX(I_COA!$D$6:$D$265,MATCH(D1079,I_COA!$A$6:$A$265,0)),"")</f>
        <v/>
      </c>
      <c r="M1079" s="34" t="str">
        <f aca="false">IF(K1079="Neraca",INDEX(I_COA!$E$6:$E$265,MATCH(D1079,I_COA!$A$6:$A$265,0)),"")</f>
        <v>Trade Payables - Third Parties</v>
      </c>
      <c r="N1079" s="34" t="str">
        <f aca="false">IF(D1079="","",IFERROR(INDEX(I_COA!$G$6:$G$265,MATCH(D1079,I_COA!$A$6:$A$265,0)),"N"))</f>
        <v>N</v>
      </c>
      <c r="O1079" s="11" t="n">
        <f aca="false">IF(N1079="N",ABS(J1079),"")</f>
        <v>150345</v>
      </c>
      <c r="P1079" s="18" t="str">
        <f aca="false">IF(N1079="N",B1079&amp;"|"&amp;ROUND(O1079,0),"")</f>
        <v>B8526080058|150345</v>
      </c>
      <c r="Q1079" s="18" t="str">
        <f aca="false">IF(N1079&lt;&gt;"Y","",IFERROR(INDEX($D$6:$D$4005,MATCH(B1079&amp;"|"&amp;ROUND(_xlfn.MAXIFS($O$6:$O$4005,$B$6:$B$4005,B1079,$N$6:$N$4005,"N"),0),$P$6:$P$4005,0)),"(tanpa lawan)"))</f>
        <v/>
      </c>
      <c r="R1079" s="44"/>
      <c r="S1079" s="9" t="str">
        <f aca="false">IF(N1079&lt;&gt;"Y","",IF(R1079&lt;&gt;"",R1079,IF(Q1079="(tanpa lawan)","Transfer antar rekening",IFERROR(INDEX(I_COA!$F$6:$F$265,MATCH(Q1079,I_COA!$A$6:$A$265,0)),"?"))))</f>
        <v/>
      </c>
    </row>
    <row r="1080" customFormat="false" ht="15" hidden="false" customHeight="false" outlineLevel="0" collapsed="false">
      <c r="A1080" s="37" t="n">
        <v>46252</v>
      </c>
      <c r="B1080" s="44" t="s">
        <v>1467</v>
      </c>
      <c r="C1080" s="44" t="s">
        <v>594</v>
      </c>
      <c r="D1080" s="44" t="n">
        <v>1102002</v>
      </c>
      <c r="E1080" s="44" t="s">
        <v>598</v>
      </c>
      <c r="F1080" s="44" t="s">
        <v>1328</v>
      </c>
      <c r="G1080" s="42"/>
      <c r="H1080" s="42" t="n">
        <v>2050780</v>
      </c>
      <c r="I1080" s="44" t="s">
        <v>597</v>
      </c>
      <c r="J1080" s="11" t="n">
        <f aca="false">IF(D1080="","",N(G1080)-N(H1080))</f>
        <v>-2050780</v>
      </c>
      <c r="K1080" s="34" t="str">
        <f aca="false">IF(D1080="","",IFERROR(INDEX(I_COA!$C$6:$C$265,MATCH(D1080,I_COA!$A$6:$A$265,0)),"AKUN BARU"))</f>
        <v>Neraca</v>
      </c>
      <c r="L1080" s="34" t="str">
        <f aca="false">IF(K1080="LabaRugi",INDEX(I_COA!$D$6:$D$265,MATCH(D1080,I_COA!$A$6:$A$265,0)),"")</f>
        <v/>
      </c>
      <c r="M1080" s="34" t="str">
        <f aca="false">IF(K1080="Neraca",INDEX(I_COA!$E$6:$E$265,MATCH(D1080,I_COA!$A$6:$A$265,0)),"")</f>
        <v>Cash and cash equivalents</v>
      </c>
      <c r="N1080" s="34" t="str">
        <f aca="false">IF(D1080="","",IFERROR(INDEX(I_COA!$G$6:$G$265,MATCH(D1080,I_COA!$A$6:$A$265,0)),"N"))</f>
        <v>Y</v>
      </c>
      <c r="O1080" s="11" t="str">
        <f aca="false">IF(N1080="N",ABS(J1080),"")</f>
        <v/>
      </c>
      <c r="P1080" s="18" t="str">
        <f aca="false">IF(N1080="N",B1080&amp;"|"&amp;ROUND(O1080,0),"")</f>
        <v/>
      </c>
      <c r="Q1080" s="18" t="n">
        <f aca="false">IF(N1080&lt;&gt;"Y","",IFERROR(INDEX($D$6:$D$4005,MATCH(B1080&amp;"|"&amp;ROUND(_xlfn.MAXIFS($O$6:$O$4005,$B$6:$B$4005,B1080,$N$6:$N$4005,"N"),0),$P$6:$P$4005,0)),"(tanpa lawan)"))</f>
        <v>2101001</v>
      </c>
      <c r="R1080" s="44"/>
      <c r="S1080" s="9" t="str">
        <f aca="false">IF(N1080&lt;&gt;"Y","",IF(R1080&lt;&gt;"",R1080,IF(Q1080="(tanpa lawan)","Transfer antar rekening",IFERROR(INDEX(I_COA!$F$6:$F$265,MATCH(Q1080,I_COA!$A$6:$A$265,0)),"?"))))</f>
        <v>Bayar pemasok barang (live bird &amp; trading)</v>
      </c>
    </row>
    <row r="1081" customFormat="false" ht="15" hidden="false" customHeight="false" outlineLevel="0" collapsed="false">
      <c r="A1081" s="37" t="n">
        <v>46252</v>
      </c>
      <c r="B1081" s="44" t="s">
        <v>1468</v>
      </c>
      <c r="C1081" s="44" t="s">
        <v>594</v>
      </c>
      <c r="D1081" s="44" t="n">
        <v>2101003</v>
      </c>
      <c r="E1081" s="44" t="s">
        <v>679</v>
      </c>
      <c r="F1081" s="44" t="s">
        <v>1469</v>
      </c>
      <c r="G1081" s="42" t="n">
        <v>10725000</v>
      </c>
      <c r="H1081" s="42"/>
      <c r="I1081" s="44" t="s">
        <v>681</v>
      </c>
      <c r="J1081" s="11" t="n">
        <f aca="false">IF(D1081="","",N(G1081)-N(H1081))</f>
        <v>10725000</v>
      </c>
      <c r="K1081" s="34" t="str">
        <f aca="false">IF(D1081="","",IFERROR(INDEX(I_COA!$C$6:$C$265,MATCH(D1081,I_COA!$A$6:$A$265,0)),"AKUN BARU"))</f>
        <v>Neraca</v>
      </c>
      <c r="L1081" s="34" t="str">
        <f aca="false">IF(K1081="LabaRugi",INDEX(I_COA!$D$6:$D$265,MATCH(D1081,I_COA!$A$6:$A$265,0)),"")</f>
        <v/>
      </c>
      <c r="M1081" s="34" t="str">
        <f aca="false">IF(K1081="Neraca",INDEX(I_COA!$E$6:$E$265,MATCH(D1081,I_COA!$A$6:$A$265,0)),"")</f>
        <v>Other Payable - Third Parties</v>
      </c>
      <c r="N1081" s="34" t="str">
        <f aca="false">IF(D1081="","",IFERROR(INDEX(I_COA!$G$6:$G$265,MATCH(D1081,I_COA!$A$6:$A$265,0)),"N"))</f>
        <v>N</v>
      </c>
      <c r="O1081" s="11" t="n">
        <f aca="false">IF(N1081="N",ABS(J1081),"")</f>
        <v>10725000</v>
      </c>
      <c r="P1081" s="18" t="str">
        <f aca="false">IF(N1081="N",B1081&amp;"|"&amp;ROUND(O1081,0),"")</f>
        <v>B8526080059|10725000</v>
      </c>
      <c r="Q1081" s="18" t="str">
        <f aca="false">IF(N1081&lt;&gt;"Y","",IFERROR(INDEX($D$6:$D$4005,MATCH(B1081&amp;"|"&amp;ROUND(_xlfn.MAXIFS($O$6:$O$4005,$B$6:$B$4005,B1081,$N$6:$N$4005,"N"),0),$P$6:$P$4005,0)),"(tanpa lawan)"))</f>
        <v/>
      </c>
      <c r="R1081" s="44"/>
      <c r="S1081" s="9" t="str">
        <f aca="false">IF(N1081&lt;&gt;"Y","",IF(R1081&lt;&gt;"",R1081,IF(Q1081="(tanpa lawan)","Transfer antar rekening",IFERROR(INDEX(I_COA!$F$6:$F$265,MATCH(Q1081,I_COA!$A$6:$A$265,0)),"?"))))</f>
        <v/>
      </c>
    </row>
    <row r="1082" customFormat="false" ht="15" hidden="false" customHeight="false" outlineLevel="0" collapsed="false">
      <c r="A1082" s="37" t="n">
        <v>46252</v>
      </c>
      <c r="B1082" s="44" t="s">
        <v>1468</v>
      </c>
      <c r="C1082" s="44" t="s">
        <v>594</v>
      </c>
      <c r="D1082" s="44" t="n">
        <v>6200023</v>
      </c>
      <c r="E1082" s="44" t="s">
        <v>688</v>
      </c>
      <c r="F1082" s="44" t="s">
        <v>1469</v>
      </c>
      <c r="G1082" s="42"/>
      <c r="H1082" s="42" t="n">
        <v>10000</v>
      </c>
      <c r="I1082" s="44" t="s">
        <v>681</v>
      </c>
      <c r="J1082" s="11" t="n">
        <f aca="false">IF(D1082="","",N(G1082)-N(H1082))</f>
        <v>-10000</v>
      </c>
      <c r="K1082" s="34" t="str">
        <f aca="false">IF(D1082="","",IFERROR(INDEX(I_COA!$C$6:$C$265,MATCH(D1082,I_COA!$A$6:$A$265,0)),"AKUN BARU"))</f>
        <v>LabaRugi</v>
      </c>
      <c r="L1082" s="34" t="str">
        <f aca="false">IF(K1082="LabaRugi",INDEX(I_COA!$D$6:$D$265,MATCH(D1082,I_COA!$A$6:$A$265,0)),"")</f>
        <v>Tax expenses</v>
      </c>
      <c r="M1082" s="34" t="str">
        <f aca="false">IF(K1082="Neraca",INDEX(I_COA!$E$6:$E$265,MATCH(D1082,I_COA!$A$6:$A$265,0)),"")</f>
        <v/>
      </c>
      <c r="N1082" s="34" t="str">
        <f aca="false">IF(D1082="","",IFERROR(INDEX(I_COA!$G$6:$G$265,MATCH(D1082,I_COA!$A$6:$A$265,0)),"N"))</f>
        <v>N</v>
      </c>
      <c r="O1082" s="11" t="n">
        <f aca="false">IF(N1082="N",ABS(J1082),"")</f>
        <v>10000</v>
      </c>
      <c r="P1082" s="18" t="str">
        <f aca="false">IF(N1082="N",B1082&amp;"|"&amp;ROUND(O1082,0),"")</f>
        <v>B8526080059|10000</v>
      </c>
      <c r="Q1082" s="18" t="str">
        <f aca="false">IF(N1082&lt;&gt;"Y","",IFERROR(INDEX($D$6:$D$4005,MATCH(B1082&amp;"|"&amp;ROUND(_xlfn.MAXIFS($O$6:$O$4005,$B$6:$B$4005,B1082,$N$6:$N$4005,"N"),0),$P$6:$P$4005,0)),"(tanpa lawan)"))</f>
        <v/>
      </c>
      <c r="R1082" s="44"/>
      <c r="S1082" s="9" t="str">
        <f aca="false">IF(N1082&lt;&gt;"Y","",IF(R1082&lt;&gt;"",R1082,IF(Q1082="(tanpa lawan)","Transfer antar rekening",IFERROR(INDEX(I_COA!$F$6:$F$265,MATCH(Q1082,I_COA!$A$6:$A$265,0)),"?"))))</f>
        <v/>
      </c>
    </row>
    <row r="1083" customFormat="false" ht="15" hidden="false" customHeight="false" outlineLevel="0" collapsed="false">
      <c r="A1083" s="37" t="n">
        <v>46252</v>
      </c>
      <c r="B1083" s="44" t="s">
        <v>1468</v>
      </c>
      <c r="C1083" s="44" t="s">
        <v>594</v>
      </c>
      <c r="D1083" s="44" t="n">
        <v>1102002</v>
      </c>
      <c r="E1083" s="44" t="s">
        <v>598</v>
      </c>
      <c r="F1083" s="44" t="s">
        <v>1469</v>
      </c>
      <c r="G1083" s="42"/>
      <c r="H1083" s="42" t="n">
        <v>10715000</v>
      </c>
      <c r="I1083" s="44" t="s">
        <v>681</v>
      </c>
      <c r="J1083" s="11" t="n">
        <f aca="false">IF(D1083="","",N(G1083)-N(H1083))</f>
        <v>-10715000</v>
      </c>
      <c r="K1083" s="34" t="str">
        <f aca="false">IF(D1083="","",IFERROR(INDEX(I_COA!$C$6:$C$265,MATCH(D1083,I_COA!$A$6:$A$265,0)),"AKUN BARU"))</f>
        <v>Neraca</v>
      </c>
      <c r="L1083" s="34" t="str">
        <f aca="false">IF(K1083="LabaRugi",INDEX(I_COA!$D$6:$D$265,MATCH(D1083,I_COA!$A$6:$A$265,0)),"")</f>
        <v/>
      </c>
      <c r="M1083" s="34" t="str">
        <f aca="false">IF(K1083="Neraca",INDEX(I_COA!$E$6:$E$265,MATCH(D1083,I_COA!$A$6:$A$265,0)),"")</f>
        <v>Cash and cash equivalents</v>
      </c>
      <c r="N1083" s="34" t="str">
        <f aca="false">IF(D1083="","",IFERROR(INDEX(I_COA!$G$6:$G$265,MATCH(D1083,I_COA!$A$6:$A$265,0)),"N"))</f>
        <v>Y</v>
      </c>
      <c r="O1083" s="11" t="str">
        <f aca="false">IF(N1083="N",ABS(J1083),"")</f>
        <v/>
      </c>
      <c r="P1083" s="18" t="str">
        <f aca="false">IF(N1083="N",B1083&amp;"|"&amp;ROUND(O1083,0),"")</f>
        <v/>
      </c>
      <c r="Q1083" s="18" t="n">
        <f aca="false">IF(N1083&lt;&gt;"Y","",IFERROR(INDEX($D$6:$D$4005,MATCH(B1083&amp;"|"&amp;ROUND(_xlfn.MAXIFS($O$6:$O$4005,$B$6:$B$4005,B1083,$N$6:$N$4005,"N"),0),$P$6:$P$4005,0)),"(tanpa lawan)"))</f>
        <v>2101003</v>
      </c>
      <c r="R1083" s="44"/>
      <c r="S1083" s="9" t="str">
        <f aca="false">IF(N1083&lt;&gt;"Y","",IF(R1083&lt;&gt;"",R1083,IF(Q1083="(tanpa lawan)","Transfer antar rekening",IFERROR(INDEX(I_COA!$F$6:$F$265,MATCH(Q1083,I_COA!$A$6:$A$265,0)),"?"))))</f>
        <v>Bayar jasa (maklon, angkut, cold storage, sewa)</v>
      </c>
    </row>
    <row r="1084" customFormat="false" ht="15" hidden="false" customHeight="false" outlineLevel="0" collapsed="false">
      <c r="A1084" s="37" t="n">
        <v>46252</v>
      </c>
      <c r="B1084" s="44" t="s">
        <v>1470</v>
      </c>
      <c r="C1084" s="44" t="s">
        <v>594</v>
      </c>
      <c r="D1084" s="44" t="n">
        <v>2101001</v>
      </c>
      <c r="E1084" s="44" t="s">
        <v>595</v>
      </c>
      <c r="F1084" s="44" t="s">
        <v>1471</v>
      </c>
      <c r="G1084" s="42" t="n">
        <v>441387880</v>
      </c>
      <c r="H1084" s="42"/>
      <c r="I1084" s="44" t="s">
        <v>597</v>
      </c>
      <c r="J1084" s="11" t="n">
        <f aca="false">IF(D1084="","",N(G1084)-N(H1084))</f>
        <v>441387880</v>
      </c>
      <c r="K1084" s="34" t="str">
        <f aca="false">IF(D1084="","",IFERROR(INDEX(I_COA!$C$6:$C$265,MATCH(D1084,I_COA!$A$6:$A$265,0)),"AKUN BARU"))</f>
        <v>Neraca</v>
      </c>
      <c r="L1084" s="34" t="str">
        <f aca="false">IF(K1084="LabaRugi",INDEX(I_COA!$D$6:$D$265,MATCH(D1084,I_COA!$A$6:$A$265,0)),"")</f>
        <v/>
      </c>
      <c r="M1084" s="34" t="str">
        <f aca="false">IF(K1084="Neraca",INDEX(I_COA!$E$6:$E$265,MATCH(D1084,I_COA!$A$6:$A$265,0)),"")</f>
        <v>Trade Payables - Third Parties</v>
      </c>
      <c r="N1084" s="34" t="str">
        <f aca="false">IF(D1084="","",IFERROR(INDEX(I_COA!$G$6:$G$265,MATCH(D1084,I_COA!$A$6:$A$265,0)),"N"))</f>
        <v>N</v>
      </c>
      <c r="O1084" s="11" t="n">
        <f aca="false">IF(N1084="N",ABS(J1084),"")</f>
        <v>441387880</v>
      </c>
      <c r="P1084" s="18" t="str">
        <f aca="false">IF(N1084="N",B1084&amp;"|"&amp;ROUND(O1084,0),"")</f>
        <v>B8526080060|441387880</v>
      </c>
      <c r="Q1084" s="18" t="str">
        <f aca="false">IF(N1084&lt;&gt;"Y","",IFERROR(INDEX($D$6:$D$4005,MATCH(B1084&amp;"|"&amp;ROUND(_xlfn.MAXIFS($O$6:$O$4005,$B$6:$B$4005,B1084,$N$6:$N$4005,"N"),0),$P$6:$P$4005,0)),"(tanpa lawan)"))</f>
        <v/>
      </c>
      <c r="R1084" s="44"/>
      <c r="S1084" s="9" t="str">
        <f aca="false">IF(N1084&lt;&gt;"Y","",IF(R1084&lt;&gt;"",R1084,IF(Q1084="(tanpa lawan)","Transfer antar rekening",IFERROR(INDEX(I_COA!$F$6:$F$265,MATCH(Q1084,I_COA!$A$6:$A$265,0)),"?"))))</f>
        <v/>
      </c>
    </row>
    <row r="1085" customFormat="false" ht="15" hidden="false" customHeight="false" outlineLevel="0" collapsed="false">
      <c r="A1085" s="37" t="n">
        <v>46252</v>
      </c>
      <c r="B1085" s="44" t="s">
        <v>1470</v>
      </c>
      <c r="C1085" s="44" t="s">
        <v>594</v>
      </c>
      <c r="D1085" s="44" t="n">
        <v>6200023</v>
      </c>
      <c r="E1085" s="44" t="s">
        <v>688</v>
      </c>
      <c r="F1085" s="44" t="s">
        <v>1471</v>
      </c>
      <c r="G1085" s="42"/>
      <c r="H1085" s="42" t="n">
        <v>10000</v>
      </c>
      <c r="I1085" s="44" t="s">
        <v>597</v>
      </c>
      <c r="J1085" s="11" t="n">
        <f aca="false">IF(D1085="","",N(G1085)-N(H1085))</f>
        <v>-10000</v>
      </c>
      <c r="K1085" s="34" t="str">
        <f aca="false">IF(D1085="","",IFERROR(INDEX(I_COA!$C$6:$C$265,MATCH(D1085,I_COA!$A$6:$A$265,0)),"AKUN BARU"))</f>
        <v>LabaRugi</v>
      </c>
      <c r="L1085" s="34" t="str">
        <f aca="false">IF(K1085="LabaRugi",INDEX(I_COA!$D$6:$D$265,MATCH(D1085,I_COA!$A$6:$A$265,0)),"")</f>
        <v>Tax expenses</v>
      </c>
      <c r="M1085" s="34" t="str">
        <f aca="false">IF(K1085="Neraca",INDEX(I_COA!$E$6:$E$265,MATCH(D1085,I_COA!$A$6:$A$265,0)),"")</f>
        <v/>
      </c>
      <c r="N1085" s="34" t="str">
        <f aca="false">IF(D1085="","",IFERROR(INDEX(I_COA!$G$6:$G$265,MATCH(D1085,I_COA!$A$6:$A$265,0)),"N"))</f>
        <v>N</v>
      </c>
      <c r="O1085" s="11" t="n">
        <f aca="false">IF(N1085="N",ABS(J1085),"")</f>
        <v>10000</v>
      </c>
      <c r="P1085" s="18" t="str">
        <f aca="false">IF(N1085="N",B1085&amp;"|"&amp;ROUND(O1085,0),"")</f>
        <v>B8526080060|10000</v>
      </c>
      <c r="Q1085" s="18" t="str">
        <f aca="false">IF(N1085&lt;&gt;"Y","",IFERROR(INDEX($D$6:$D$4005,MATCH(B1085&amp;"|"&amp;ROUND(_xlfn.MAXIFS($O$6:$O$4005,$B$6:$B$4005,B1085,$N$6:$N$4005,"N"),0),$P$6:$P$4005,0)),"(tanpa lawan)"))</f>
        <v/>
      </c>
      <c r="R1085" s="44"/>
      <c r="S1085" s="9" t="str">
        <f aca="false">IF(N1085&lt;&gt;"Y","",IF(R1085&lt;&gt;"",R1085,IF(Q1085="(tanpa lawan)","Transfer antar rekening",IFERROR(INDEX(I_COA!$F$6:$F$265,MATCH(Q1085,I_COA!$A$6:$A$265,0)),"?"))))</f>
        <v/>
      </c>
    </row>
    <row r="1086" customFormat="false" ht="15" hidden="false" customHeight="false" outlineLevel="0" collapsed="false">
      <c r="A1086" s="37" t="n">
        <v>46252</v>
      </c>
      <c r="B1086" s="44" t="s">
        <v>1470</v>
      </c>
      <c r="C1086" s="44" t="s">
        <v>594</v>
      </c>
      <c r="D1086" s="44" t="n">
        <v>1102002</v>
      </c>
      <c r="E1086" s="44" t="s">
        <v>598</v>
      </c>
      <c r="F1086" s="44" t="s">
        <v>1471</v>
      </c>
      <c r="G1086" s="42"/>
      <c r="H1086" s="42" t="n">
        <v>441377880</v>
      </c>
      <c r="I1086" s="44" t="s">
        <v>597</v>
      </c>
      <c r="J1086" s="11" t="n">
        <f aca="false">IF(D1086="","",N(G1086)-N(H1086))</f>
        <v>-441377880</v>
      </c>
      <c r="K1086" s="34" t="str">
        <f aca="false">IF(D1086="","",IFERROR(INDEX(I_COA!$C$6:$C$265,MATCH(D1086,I_COA!$A$6:$A$265,0)),"AKUN BARU"))</f>
        <v>Neraca</v>
      </c>
      <c r="L1086" s="34" t="str">
        <f aca="false">IF(K1086="LabaRugi",INDEX(I_COA!$D$6:$D$265,MATCH(D1086,I_COA!$A$6:$A$265,0)),"")</f>
        <v/>
      </c>
      <c r="M1086" s="34" t="str">
        <f aca="false">IF(K1086="Neraca",INDEX(I_COA!$E$6:$E$265,MATCH(D1086,I_COA!$A$6:$A$265,0)),"")</f>
        <v>Cash and cash equivalents</v>
      </c>
      <c r="N1086" s="34" t="str">
        <f aca="false">IF(D1086="","",IFERROR(INDEX(I_COA!$G$6:$G$265,MATCH(D1086,I_COA!$A$6:$A$265,0)),"N"))</f>
        <v>Y</v>
      </c>
      <c r="O1086" s="11" t="str">
        <f aca="false">IF(N1086="N",ABS(J1086),"")</f>
        <v/>
      </c>
      <c r="P1086" s="18" t="str">
        <f aca="false">IF(N1086="N",B1086&amp;"|"&amp;ROUND(O1086,0),"")</f>
        <v/>
      </c>
      <c r="Q1086" s="18" t="n">
        <f aca="false">IF(N1086&lt;&gt;"Y","",IFERROR(INDEX($D$6:$D$4005,MATCH(B1086&amp;"|"&amp;ROUND(_xlfn.MAXIFS($O$6:$O$4005,$B$6:$B$4005,B1086,$N$6:$N$4005,"N"),0),$P$6:$P$4005,0)),"(tanpa lawan)"))</f>
        <v>2101001</v>
      </c>
      <c r="R1086" s="44"/>
      <c r="S1086" s="9" t="str">
        <f aca="false">IF(N1086&lt;&gt;"Y","",IF(R1086&lt;&gt;"",R1086,IF(Q1086="(tanpa lawan)","Transfer antar rekening",IFERROR(INDEX(I_COA!$F$6:$F$265,MATCH(Q1086,I_COA!$A$6:$A$265,0)),"?"))))</f>
        <v>Bayar pemasok barang (live bird &amp; trading)</v>
      </c>
    </row>
    <row r="1087" customFormat="false" ht="15" hidden="false" customHeight="false" outlineLevel="0" collapsed="false">
      <c r="A1087" s="37" t="n">
        <v>46252</v>
      </c>
      <c r="B1087" s="44" t="s">
        <v>1472</v>
      </c>
      <c r="C1087" s="44" t="s">
        <v>594</v>
      </c>
      <c r="D1087" s="44" t="n">
        <v>2101003</v>
      </c>
      <c r="E1087" s="44" t="s">
        <v>679</v>
      </c>
      <c r="F1087" s="44" t="s">
        <v>1473</v>
      </c>
      <c r="G1087" s="42" t="n">
        <v>28275000</v>
      </c>
      <c r="H1087" s="42"/>
      <c r="I1087" s="44" t="s">
        <v>681</v>
      </c>
      <c r="J1087" s="11" t="n">
        <f aca="false">IF(D1087="","",N(G1087)-N(H1087))</f>
        <v>28275000</v>
      </c>
      <c r="K1087" s="34" t="str">
        <f aca="false">IF(D1087="","",IFERROR(INDEX(I_COA!$C$6:$C$265,MATCH(D1087,I_COA!$A$6:$A$265,0)),"AKUN BARU"))</f>
        <v>Neraca</v>
      </c>
      <c r="L1087" s="34" t="str">
        <f aca="false">IF(K1087="LabaRugi",INDEX(I_COA!$D$6:$D$265,MATCH(D1087,I_COA!$A$6:$A$265,0)),"")</f>
        <v/>
      </c>
      <c r="M1087" s="34" t="str">
        <f aca="false">IF(K1087="Neraca",INDEX(I_COA!$E$6:$E$265,MATCH(D1087,I_COA!$A$6:$A$265,0)),"")</f>
        <v>Other Payable - Third Parties</v>
      </c>
      <c r="N1087" s="34" t="str">
        <f aca="false">IF(D1087="","",IFERROR(INDEX(I_COA!$G$6:$G$265,MATCH(D1087,I_COA!$A$6:$A$265,0)),"N"))</f>
        <v>N</v>
      </c>
      <c r="O1087" s="11" t="n">
        <f aca="false">IF(N1087="N",ABS(J1087),"")</f>
        <v>28275000</v>
      </c>
      <c r="P1087" s="18" t="str">
        <f aca="false">IF(N1087="N",B1087&amp;"|"&amp;ROUND(O1087,0),"")</f>
        <v>B8526080061|28275000</v>
      </c>
      <c r="Q1087" s="18" t="str">
        <f aca="false">IF(N1087&lt;&gt;"Y","",IFERROR(INDEX($D$6:$D$4005,MATCH(B1087&amp;"|"&amp;ROUND(_xlfn.MAXIFS($O$6:$O$4005,$B$6:$B$4005,B1087,$N$6:$N$4005,"N"),0),$P$6:$P$4005,0)),"(tanpa lawan)"))</f>
        <v/>
      </c>
      <c r="R1087" s="44"/>
      <c r="S1087" s="9" t="str">
        <f aca="false">IF(N1087&lt;&gt;"Y","",IF(R1087&lt;&gt;"",R1087,IF(Q1087="(tanpa lawan)","Transfer antar rekening",IFERROR(INDEX(I_COA!$F$6:$F$265,MATCH(Q1087,I_COA!$A$6:$A$265,0)),"?"))))</f>
        <v/>
      </c>
    </row>
    <row r="1088" customFormat="false" ht="15" hidden="false" customHeight="false" outlineLevel="0" collapsed="false">
      <c r="A1088" s="37" t="n">
        <v>46252</v>
      </c>
      <c r="B1088" s="44" t="s">
        <v>1472</v>
      </c>
      <c r="C1088" s="44" t="s">
        <v>594</v>
      </c>
      <c r="D1088" s="44" t="n">
        <v>6200023</v>
      </c>
      <c r="E1088" s="44" t="s">
        <v>688</v>
      </c>
      <c r="F1088" s="44" t="s">
        <v>1473</v>
      </c>
      <c r="G1088" s="42"/>
      <c r="H1088" s="42" t="n">
        <v>10000</v>
      </c>
      <c r="I1088" s="44" t="s">
        <v>681</v>
      </c>
      <c r="J1088" s="11" t="n">
        <f aca="false">IF(D1088="","",N(G1088)-N(H1088))</f>
        <v>-10000</v>
      </c>
      <c r="K1088" s="34" t="str">
        <f aca="false">IF(D1088="","",IFERROR(INDEX(I_COA!$C$6:$C$265,MATCH(D1088,I_COA!$A$6:$A$265,0)),"AKUN BARU"))</f>
        <v>LabaRugi</v>
      </c>
      <c r="L1088" s="34" t="str">
        <f aca="false">IF(K1088="LabaRugi",INDEX(I_COA!$D$6:$D$265,MATCH(D1088,I_COA!$A$6:$A$265,0)),"")</f>
        <v>Tax expenses</v>
      </c>
      <c r="M1088" s="34" t="str">
        <f aca="false">IF(K1088="Neraca",INDEX(I_COA!$E$6:$E$265,MATCH(D1088,I_COA!$A$6:$A$265,0)),"")</f>
        <v/>
      </c>
      <c r="N1088" s="34" t="str">
        <f aca="false">IF(D1088="","",IFERROR(INDEX(I_COA!$G$6:$G$265,MATCH(D1088,I_COA!$A$6:$A$265,0)),"N"))</f>
        <v>N</v>
      </c>
      <c r="O1088" s="11" t="n">
        <f aca="false">IF(N1088="N",ABS(J1088),"")</f>
        <v>10000</v>
      </c>
      <c r="P1088" s="18" t="str">
        <f aca="false">IF(N1088="N",B1088&amp;"|"&amp;ROUND(O1088,0),"")</f>
        <v>B8526080061|10000</v>
      </c>
      <c r="Q1088" s="18" t="str">
        <f aca="false">IF(N1088&lt;&gt;"Y","",IFERROR(INDEX($D$6:$D$4005,MATCH(B1088&amp;"|"&amp;ROUND(_xlfn.MAXIFS($O$6:$O$4005,$B$6:$B$4005,B1088,$N$6:$N$4005,"N"),0),$P$6:$P$4005,0)),"(tanpa lawan)"))</f>
        <v/>
      </c>
      <c r="R1088" s="44"/>
      <c r="S1088" s="9" t="str">
        <f aca="false">IF(N1088&lt;&gt;"Y","",IF(R1088&lt;&gt;"",R1088,IF(Q1088="(tanpa lawan)","Transfer antar rekening",IFERROR(INDEX(I_COA!$F$6:$F$265,MATCH(Q1088,I_COA!$A$6:$A$265,0)),"?"))))</f>
        <v/>
      </c>
    </row>
    <row r="1089" customFormat="false" ht="15" hidden="false" customHeight="false" outlineLevel="0" collapsed="false">
      <c r="A1089" s="37" t="n">
        <v>46252</v>
      </c>
      <c r="B1089" s="44" t="s">
        <v>1472</v>
      </c>
      <c r="C1089" s="44" t="s">
        <v>594</v>
      </c>
      <c r="D1089" s="44" t="n">
        <v>1102002</v>
      </c>
      <c r="E1089" s="44" t="s">
        <v>598</v>
      </c>
      <c r="F1089" s="44" t="s">
        <v>1473</v>
      </c>
      <c r="G1089" s="42"/>
      <c r="H1089" s="42" t="n">
        <v>28265000</v>
      </c>
      <c r="I1089" s="44" t="s">
        <v>681</v>
      </c>
      <c r="J1089" s="11" t="n">
        <f aca="false">IF(D1089="","",N(G1089)-N(H1089))</f>
        <v>-28265000</v>
      </c>
      <c r="K1089" s="34" t="str">
        <f aca="false">IF(D1089="","",IFERROR(INDEX(I_COA!$C$6:$C$265,MATCH(D1089,I_COA!$A$6:$A$265,0)),"AKUN BARU"))</f>
        <v>Neraca</v>
      </c>
      <c r="L1089" s="34" t="str">
        <f aca="false">IF(K1089="LabaRugi",INDEX(I_COA!$D$6:$D$265,MATCH(D1089,I_COA!$A$6:$A$265,0)),"")</f>
        <v/>
      </c>
      <c r="M1089" s="34" t="str">
        <f aca="false">IF(K1089="Neraca",INDEX(I_COA!$E$6:$E$265,MATCH(D1089,I_COA!$A$6:$A$265,0)),"")</f>
        <v>Cash and cash equivalents</v>
      </c>
      <c r="N1089" s="34" t="str">
        <f aca="false">IF(D1089="","",IFERROR(INDEX(I_COA!$G$6:$G$265,MATCH(D1089,I_COA!$A$6:$A$265,0)),"N"))</f>
        <v>Y</v>
      </c>
      <c r="O1089" s="11" t="str">
        <f aca="false">IF(N1089="N",ABS(J1089),"")</f>
        <v/>
      </c>
      <c r="P1089" s="18" t="str">
        <f aca="false">IF(N1089="N",B1089&amp;"|"&amp;ROUND(O1089,0),"")</f>
        <v/>
      </c>
      <c r="Q1089" s="18" t="n">
        <f aca="false">IF(N1089&lt;&gt;"Y","",IFERROR(INDEX($D$6:$D$4005,MATCH(B1089&amp;"|"&amp;ROUND(_xlfn.MAXIFS($O$6:$O$4005,$B$6:$B$4005,B1089,$N$6:$N$4005,"N"),0),$P$6:$P$4005,0)),"(tanpa lawan)"))</f>
        <v>2101003</v>
      </c>
      <c r="R1089" s="44"/>
      <c r="S1089" s="9" t="str">
        <f aca="false">IF(N1089&lt;&gt;"Y","",IF(R1089&lt;&gt;"",R1089,IF(Q1089="(tanpa lawan)","Transfer antar rekening",IFERROR(INDEX(I_COA!$F$6:$F$265,MATCH(Q1089,I_COA!$A$6:$A$265,0)),"?"))))</f>
        <v>Bayar jasa (maklon, angkut, cold storage, sewa)</v>
      </c>
    </row>
    <row r="1090" customFormat="false" ht="15" hidden="false" customHeight="false" outlineLevel="0" collapsed="false">
      <c r="A1090" s="37" t="n">
        <v>46252</v>
      </c>
      <c r="B1090" s="44" t="s">
        <v>1474</v>
      </c>
      <c r="C1090" s="44" t="s">
        <v>594</v>
      </c>
      <c r="D1090" s="44" t="n">
        <v>2101001</v>
      </c>
      <c r="E1090" s="44" t="s">
        <v>595</v>
      </c>
      <c r="F1090" s="44" t="s">
        <v>1475</v>
      </c>
      <c r="G1090" s="42" t="n">
        <v>412052090</v>
      </c>
      <c r="H1090" s="42"/>
      <c r="I1090" s="44" t="s">
        <v>597</v>
      </c>
      <c r="J1090" s="11" t="n">
        <f aca="false">IF(D1090="","",N(G1090)-N(H1090))</f>
        <v>412052090</v>
      </c>
      <c r="K1090" s="34" t="str">
        <f aca="false">IF(D1090="","",IFERROR(INDEX(I_COA!$C$6:$C$265,MATCH(D1090,I_COA!$A$6:$A$265,0)),"AKUN BARU"))</f>
        <v>Neraca</v>
      </c>
      <c r="L1090" s="34" t="str">
        <f aca="false">IF(K1090="LabaRugi",INDEX(I_COA!$D$6:$D$265,MATCH(D1090,I_COA!$A$6:$A$265,0)),"")</f>
        <v/>
      </c>
      <c r="M1090" s="34" t="str">
        <f aca="false">IF(K1090="Neraca",INDEX(I_COA!$E$6:$E$265,MATCH(D1090,I_COA!$A$6:$A$265,0)),"")</f>
        <v>Trade Payables - Third Parties</v>
      </c>
      <c r="N1090" s="34" t="str">
        <f aca="false">IF(D1090="","",IFERROR(INDEX(I_COA!$G$6:$G$265,MATCH(D1090,I_COA!$A$6:$A$265,0)),"N"))</f>
        <v>N</v>
      </c>
      <c r="O1090" s="11" t="n">
        <f aca="false">IF(N1090="N",ABS(J1090),"")</f>
        <v>412052090</v>
      </c>
      <c r="P1090" s="18" t="str">
        <f aca="false">IF(N1090="N",B1090&amp;"|"&amp;ROUND(O1090,0),"")</f>
        <v>B8526080062A|412052090</v>
      </c>
      <c r="Q1090" s="18" t="str">
        <f aca="false">IF(N1090&lt;&gt;"Y","",IFERROR(INDEX($D$6:$D$4005,MATCH(B1090&amp;"|"&amp;ROUND(_xlfn.MAXIFS($O$6:$O$4005,$B$6:$B$4005,B1090,$N$6:$N$4005,"N"),0),$P$6:$P$4005,0)),"(tanpa lawan)"))</f>
        <v/>
      </c>
      <c r="R1090" s="44"/>
      <c r="S1090" s="9" t="str">
        <f aca="false">IF(N1090&lt;&gt;"Y","",IF(R1090&lt;&gt;"",R1090,IF(Q1090="(tanpa lawan)","Transfer antar rekening",IFERROR(INDEX(I_COA!$F$6:$F$265,MATCH(Q1090,I_COA!$A$6:$A$265,0)),"?"))))</f>
        <v/>
      </c>
    </row>
    <row r="1091" customFormat="false" ht="15" hidden="false" customHeight="false" outlineLevel="0" collapsed="false">
      <c r="A1091" s="37" t="n">
        <v>46252</v>
      </c>
      <c r="B1091" s="44" t="s">
        <v>1474</v>
      </c>
      <c r="C1091" s="44" t="s">
        <v>594</v>
      </c>
      <c r="D1091" s="44" t="n">
        <v>6200023</v>
      </c>
      <c r="E1091" s="44" t="s">
        <v>688</v>
      </c>
      <c r="F1091" s="44" t="s">
        <v>1475</v>
      </c>
      <c r="G1091" s="42"/>
      <c r="H1091" s="42" t="n">
        <v>10000</v>
      </c>
      <c r="I1091" s="44" t="s">
        <v>597</v>
      </c>
      <c r="J1091" s="11" t="n">
        <f aca="false">IF(D1091="","",N(G1091)-N(H1091))</f>
        <v>-10000</v>
      </c>
      <c r="K1091" s="34" t="str">
        <f aca="false">IF(D1091="","",IFERROR(INDEX(I_COA!$C$6:$C$265,MATCH(D1091,I_COA!$A$6:$A$265,0)),"AKUN BARU"))</f>
        <v>LabaRugi</v>
      </c>
      <c r="L1091" s="34" t="str">
        <f aca="false">IF(K1091="LabaRugi",INDEX(I_COA!$D$6:$D$265,MATCH(D1091,I_COA!$A$6:$A$265,0)),"")</f>
        <v>Tax expenses</v>
      </c>
      <c r="M1091" s="34" t="str">
        <f aca="false">IF(K1091="Neraca",INDEX(I_COA!$E$6:$E$265,MATCH(D1091,I_COA!$A$6:$A$265,0)),"")</f>
        <v/>
      </c>
      <c r="N1091" s="34" t="str">
        <f aca="false">IF(D1091="","",IFERROR(INDEX(I_COA!$G$6:$G$265,MATCH(D1091,I_COA!$A$6:$A$265,0)),"N"))</f>
        <v>N</v>
      </c>
      <c r="O1091" s="11" t="n">
        <f aca="false">IF(N1091="N",ABS(J1091),"")</f>
        <v>10000</v>
      </c>
      <c r="P1091" s="18" t="str">
        <f aca="false">IF(N1091="N",B1091&amp;"|"&amp;ROUND(O1091,0),"")</f>
        <v>B8526080062A|10000</v>
      </c>
      <c r="Q1091" s="18" t="str">
        <f aca="false">IF(N1091&lt;&gt;"Y","",IFERROR(INDEX($D$6:$D$4005,MATCH(B1091&amp;"|"&amp;ROUND(_xlfn.MAXIFS($O$6:$O$4005,$B$6:$B$4005,B1091,$N$6:$N$4005,"N"),0),$P$6:$P$4005,0)),"(tanpa lawan)"))</f>
        <v/>
      </c>
      <c r="R1091" s="44"/>
      <c r="S1091" s="9" t="str">
        <f aca="false">IF(N1091&lt;&gt;"Y","",IF(R1091&lt;&gt;"",R1091,IF(Q1091="(tanpa lawan)","Transfer antar rekening",IFERROR(INDEX(I_COA!$F$6:$F$265,MATCH(Q1091,I_COA!$A$6:$A$265,0)),"?"))))</f>
        <v/>
      </c>
    </row>
    <row r="1092" customFormat="false" ht="15" hidden="false" customHeight="false" outlineLevel="0" collapsed="false">
      <c r="A1092" s="37" t="n">
        <v>46252</v>
      </c>
      <c r="B1092" s="44" t="s">
        <v>1474</v>
      </c>
      <c r="C1092" s="44" t="s">
        <v>594</v>
      </c>
      <c r="D1092" s="44" t="n">
        <v>1102002</v>
      </c>
      <c r="E1092" s="44" t="s">
        <v>598</v>
      </c>
      <c r="F1092" s="44" t="s">
        <v>1475</v>
      </c>
      <c r="G1092" s="42"/>
      <c r="H1092" s="42" t="n">
        <v>412042090</v>
      </c>
      <c r="I1092" s="44" t="s">
        <v>597</v>
      </c>
      <c r="J1092" s="11" t="n">
        <f aca="false">IF(D1092="","",N(G1092)-N(H1092))</f>
        <v>-412042090</v>
      </c>
      <c r="K1092" s="34" t="str">
        <f aca="false">IF(D1092="","",IFERROR(INDEX(I_COA!$C$6:$C$265,MATCH(D1092,I_COA!$A$6:$A$265,0)),"AKUN BARU"))</f>
        <v>Neraca</v>
      </c>
      <c r="L1092" s="34" t="str">
        <f aca="false">IF(K1092="LabaRugi",INDEX(I_COA!$D$6:$D$265,MATCH(D1092,I_COA!$A$6:$A$265,0)),"")</f>
        <v/>
      </c>
      <c r="M1092" s="34" t="str">
        <f aca="false">IF(K1092="Neraca",INDEX(I_COA!$E$6:$E$265,MATCH(D1092,I_COA!$A$6:$A$265,0)),"")</f>
        <v>Cash and cash equivalents</v>
      </c>
      <c r="N1092" s="34" t="str">
        <f aca="false">IF(D1092="","",IFERROR(INDEX(I_COA!$G$6:$G$265,MATCH(D1092,I_COA!$A$6:$A$265,0)),"N"))</f>
        <v>Y</v>
      </c>
      <c r="O1092" s="11" t="str">
        <f aca="false">IF(N1092="N",ABS(J1092),"")</f>
        <v/>
      </c>
      <c r="P1092" s="18" t="str">
        <f aca="false">IF(N1092="N",B1092&amp;"|"&amp;ROUND(O1092,0),"")</f>
        <v/>
      </c>
      <c r="Q1092" s="18" t="n">
        <f aca="false">IF(N1092&lt;&gt;"Y","",IFERROR(INDEX($D$6:$D$4005,MATCH(B1092&amp;"|"&amp;ROUND(_xlfn.MAXIFS($O$6:$O$4005,$B$6:$B$4005,B1092,$N$6:$N$4005,"N"),0),$P$6:$P$4005,0)),"(tanpa lawan)"))</f>
        <v>2101001</v>
      </c>
      <c r="R1092" s="44"/>
      <c r="S1092" s="9" t="str">
        <f aca="false">IF(N1092&lt;&gt;"Y","",IF(R1092&lt;&gt;"",R1092,IF(Q1092="(tanpa lawan)","Transfer antar rekening",IFERROR(INDEX(I_COA!$F$6:$F$265,MATCH(Q1092,I_COA!$A$6:$A$265,0)),"?"))))</f>
        <v>Bayar pemasok barang (live bird &amp; trading)</v>
      </c>
    </row>
    <row r="1093" customFormat="false" ht="15" hidden="false" customHeight="false" outlineLevel="0" collapsed="false">
      <c r="A1093" s="37" t="n">
        <v>46252</v>
      </c>
      <c r="B1093" s="44" t="s">
        <v>1476</v>
      </c>
      <c r="C1093" s="44" t="s">
        <v>580</v>
      </c>
      <c r="D1093" s="44" t="n">
        <v>1103121</v>
      </c>
      <c r="E1093" s="44" t="s">
        <v>685</v>
      </c>
      <c r="F1093" s="44" t="s">
        <v>1477</v>
      </c>
      <c r="G1093" s="42" t="n">
        <v>7057910</v>
      </c>
      <c r="H1093" s="42"/>
      <c r="I1093" s="44" t="s">
        <v>660</v>
      </c>
      <c r="J1093" s="11" t="n">
        <f aca="false">IF(D1093="","",N(G1093)-N(H1093))</f>
        <v>7057910</v>
      </c>
      <c r="K1093" s="34" t="str">
        <f aca="false">IF(D1093="","",IFERROR(INDEX(I_COA!$C$6:$C$265,MATCH(D1093,I_COA!$A$6:$A$265,0)),"AKUN BARU"))</f>
        <v>Neraca</v>
      </c>
      <c r="L1093" s="34" t="str">
        <f aca="false">IF(K1093="LabaRugi",INDEX(I_COA!$D$6:$D$265,MATCH(D1093,I_COA!$A$6:$A$265,0)),"")</f>
        <v/>
      </c>
      <c r="M1093" s="34" t="str">
        <f aca="false">IF(K1093="Neraca",INDEX(I_COA!$E$6:$E$265,MATCH(D1093,I_COA!$A$6:$A$265,0)),"")</f>
        <v>Advance Payment</v>
      </c>
      <c r="N1093" s="34" t="str">
        <f aca="false">IF(D1093="","",IFERROR(INDEX(I_COA!$G$6:$G$265,MATCH(D1093,I_COA!$A$6:$A$265,0)),"N"))</f>
        <v>N</v>
      </c>
      <c r="O1093" s="11" t="n">
        <f aca="false">IF(N1093="N",ABS(J1093),"")</f>
        <v>7057910</v>
      </c>
      <c r="P1093" s="18" t="str">
        <f aca="false">IF(N1093="N",B1093&amp;"|"&amp;ROUND(O1093,0),"")</f>
        <v>B8526080062B|7057910</v>
      </c>
      <c r="Q1093" s="18" t="str">
        <f aca="false">IF(N1093&lt;&gt;"Y","",IFERROR(INDEX($D$6:$D$4005,MATCH(B1093&amp;"|"&amp;ROUND(_xlfn.MAXIFS($O$6:$O$4005,$B$6:$B$4005,B1093,$N$6:$N$4005,"N"),0),$P$6:$P$4005,0)),"(tanpa lawan)"))</f>
        <v/>
      </c>
      <c r="R1093" s="44"/>
      <c r="S1093" s="9" t="str">
        <f aca="false">IF(N1093&lt;&gt;"Y","",IF(R1093&lt;&gt;"",R1093,IF(Q1093="(tanpa lawan)","Transfer antar rekening",IFERROR(INDEX(I_COA!$F$6:$F$265,MATCH(Q1093,I_COA!$A$6:$A$265,0)),"?"))))</f>
        <v/>
      </c>
    </row>
    <row r="1094" customFormat="false" ht="15" hidden="false" customHeight="false" outlineLevel="0" collapsed="false">
      <c r="A1094" s="37" t="n">
        <v>46252</v>
      </c>
      <c r="B1094" s="44" t="s">
        <v>1476</v>
      </c>
      <c r="C1094" s="44" t="s">
        <v>580</v>
      </c>
      <c r="D1094" s="44" t="n">
        <v>1102002</v>
      </c>
      <c r="E1094" s="44" t="s">
        <v>598</v>
      </c>
      <c r="F1094" s="44" t="s">
        <v>1478</v>
      </c>
      <c r="G1094" s="42"/>
      <c r="H1094" s="42" t="n">
        <v>7057910</v>
      </c>
      <c r="I1094" s="44"/>
      <c r="J1094" s="11" t="n">
        <f aca="false">IF(D1094="","",N(G1094)-N(H1094))</f>
        <v>-7057910</v>
      </c>
      <c r="K1094" s="34" t="str">
        <f aca="false">IF(D1094="","",IFERROR(INDEX(I_COA!$C$6:$C$265,MATCH(D1094,I_COA!$A$6:$A$265,0)),"AKUN BARU"))</f>
        <v>Neraca</v>
      </c>
      <c r="L1094" s="34" t="str">
        <f aca="false">IF(K1094="LabaRugi",INDEX(I_COA!$D$6:$D$265,MATCH(D1094,I_COA!$A$6:$A$265,0)),"")</f>
        <v/>
      </c>
      <c r="M1094" s="34" t="str">
        <f aca="false">IF(K1094="Neraca",INDEX(I_COA!$E$6:$E$265,MATCH(D1094,I_COA!$A$6:$A$265,0)),"")</f>
        <v>Cash and cash equivalents</v>
      </c>
      <c r="N1094" s="34" t="str">
        <f aca="false">IF(D1094="","",IFERROR(INDEX(I_COA!$G$6:$G$265,MATCH(D1094,I_COA!$A$6:$A$265,0)),"N"))</f>
        <v>Y</v>
      </c>
      <c r="O1094" s="11" t="str">
        <f aca="false">IF(N1094="N",ABS(J1094),"")</f>
        <v/>
      </c>
      <c r="P1094" s="18" t="str">
        <f aca="false">IF(N1094="N",B1094&amp;"|"&amp;ROUND(O1094,0),"")</f>
        <v/>
      </c>
      <c r="Q1094" s="18" t="n">
        <f aca="false">IF(N1094&lt;&gt;"Y","",IFERROR(INDEX($D$6:$D$4005,MATCH(B1094&amp;"|"&amp;ROUND(_xlfn.MAXIFS($O$6:$O$4005,$B$6:$B$4005,B1094,$N$6:$N$4005,"N"),0),$P$6:$P$4005,0)),"(tanpa lawan)"))</f>
        <v>1103121</v>
      </c>
      <c r="R1094" s="44"/>
      <c r="S1094" s="9" t="str">
        <f aca="false">IF(N1094&lt;&gt;"Y","",IF(R1094&lt;&gt;"",R1094,IF(Q1094="(tanpa lawan)","Transfer antar rekening",IFERROR(INDEX(I_COA!$F$6:$F$265,MATCH(Q1094,I_COA!$A$6:$A$265,0)),"?"))))</f>
        <v>Bayar pemasok barang (live bird &amp; trading)</v>
      </c>
    </row>
    <row r="1095" customFormat="false" ht="15" hidden="false" customHeight="false" outlineLevel="0" collapsed="false">
      <c r="A1095" s="37" t="n">
        <v>46252</v>
      </c>
      <c r="B1095" s="44" t="s">
        <v>1479</v>
      </c>
      <c r="C1095" s="44" t="s">
        <v>594</v>
      </c>
      <c r="D1095" s="44" t="n">
        <v>2101003</v>
      </c>
      <c r="E1095" s="44" t="s">
        <v>679</v>
      </c>
      <c r="F1095" s="44" t="s">
        <v>1480</v>
      </c>
      <c r="G1095" s="42" t="n">
        <v>17550000</v>
      </c>
      <c r="H1095" s="42"/>
      <c r="I1095" s="44" t="s">
        <v>681</v>
      </c>
      <c r="J1095" s="11" t="n">
        <f aca="false">IF(D1095="","",N(G1095)-N(H1095))</f>
        <v>17550000</v>
      </c>
      <c r="K1095" s="34" t="str">
        <f aca="false">IF(D1095="","",IFERROR(INDEX(I_COA!$C$6:$C$265,MATCH(D1095,I_COA!$A$6:$A$265,0)),"AKUN BARU"))</f>
        <v>Neraca</v>
      </c>
      <c r="L1095" s="34" t="str">
        <f aca="false">IF(K1095="LabaRugi",INDEX(I_COA!$D$6:$D$265,MATCH(D1095,I_COA!$A$6:$A$265,0)),"")</f>
        <v/>
      </c>
      <c r="M1095" s="34" t="str">
        <f aca="false">IF(K1095="Neraca",INDEX(I_COA!$E$6:$E$265,MATCH(D1095,I_COA!$A$6:$A$265,0)),"")</f>
        <v>Other Payable - Third Parties</v>
      </c>
      <c r="N1095" s="34" t="str">
        <f aca="false">IF(D1095="","",IFERROR(INDEX(I_COA!$G$6:$G$265,MATCH(D1095,I_COA!$A$6:$A$265,0)),"N"))</f>
        <v>N</v>
      </c>
      <c r="O1095" s="11" t="n">
        <f aca="false">IF(N1095="N",ABS(J1095),"")</f>
        <v>17550000</v>
      </c>
      <c r="P1095" s="18" t="str">
        <f aca="false">IF(N1095="N",B1095&amp;"|"&amp;ROUND(O1095,0),"")</f>
        <v>B8526080063|17550000</v>
      </c>
      <c r="Q1095" s="18" t="str">
        <f aca="false">IF(N1095&lt;&gt;"Y","",IFERROR(INDEX($D$6:$D$4005,MATCH(B1095&amp;"|"&amp;ROUND(_xlfn.MAXIFS($O$6:$O$4005,$B$6:$B$4005,B1095,$N$6:$N$4005,"N"),0),$P$6:$P$4005,0)),"(tanpa lawan)"))</f>
        <v/>
      </c>
      <c r="R1095" s="44"/>
      <c r="S1095" s="9" t="str">
        <f aca="false">IF(N1095&lt;&gt;"Y","",IF(R1095&lt;&gt;"",R1095,IF(Q1095="(tanpa lawan)","Transfer antar rekening",IFERROR(INDEX(I_COA!$F$6:$F$265,MATCH(Q1095,I_COA!$A$6:$A$265,0)),"?"))))</f>
        <v/>
      </c>
    </row>
    <row r="1096" customFormat="false" ht="15" hidden="false" customHeight="false" outlineLevel="0" collapsed="false">
      <c r="A1096" s="37" t="n">
        <v>46252</v>
      </c>
      <c r="B1096" s="44" t="s">
        <v>1479</v>
      </c>
      <c r="C1096" s="44" t="s">
        <v>594</v>
      </c>
      <c r="D1096" s="44" t="n">
        <v>6200023</v>
      </c>
      <c r="E1096" s="44" t="s">
        <v>688</v>
      </c>
      <c r="F1096" s="44" t="s">
        <v>1480</v>
      </c>
      <c r="G1096" s="42"/>
      <c r="H1096" s="42" t="n">
        <v>10000</v>
      </c>
      <c r="I1096" s="44" t="s">
        <v>681</v>
      </c>
      <c r="J1096" s="11" t="n">
        <f aca="false">IF(D1096="","",N(G1096)-N(H1096))</f>
        <v>-10000</v>
      </c>
      <c r="K1096" s="34" t="str">
        <f aca="false">IF(D1096="","",IFERROR(INDEX(I_COA!$C$6:$C$265,MATCH(D1096,I_COA!$A$6:$A$265,0)),"AKUN BARU"))</f>
        <v>LabaRugi</v>
      </c>
      <c r="L1096" s="34" t="str">
        <f aca="false">IF(K1096="LabaRugi",INDEX(I_COA!$D$6:$D$265,MATCH(D1096,I_COA!$A$6:$A$265,0)),"")</f>
        <v>Tax expenses</v>
      </c>
      <c r="M1096" s="34" t="str">
        <f aca="false">IF(K1096="Neraca",INDEX(I_COA!$E$6:$E$265,MATCH(D1096,I_COA!$A$6:$A$265,0)),"")</f>
        <v/>
      </c>
      <c r="N1096" s="34" t="str">
        <f aca="false">IF(D1096="","",IFERROR(INDEX(I_COA!$G$6:$G$265,MATCH(D1096,I_COA!$A$6:$A$265,0)),"N"))</f>
        <v>N</v>
      </c>
      <c r="O1096" s="11" t="n">
        <f aca="false">IF(N1096="N",ABS(J1096),"")</f>
        <v>10000</v>
      </c>
      <c r="P1096" s="18" t="str">
        <f aca="false">IF(N1096="N",B1096&amp;"|"&amp;ROUND(O1096,0),"")</f>
        <v>B8526080063|10000</v>
      </c>
      <c r="Q1096" s="18" t="str">
        <f aca="false">IF(N1096&lt;&gt;"Y","",IFERROR(INDEX($D$6:$D$4005,MATCH(B1096&amp;"|"&amp;ROUND(_xlfn.MAXIFS($O$6:$O$4005,$B$6:$B$4005,B1096,$N$6:$N$4005,"N"),0),$P$6:$P$4005,0)),"(tanpa lawan)"))</f>
        <v/>
      </c>
      <c r="R1096" s="44"/>
      <c r="S1096" s="9" t="str">
        <f aca="false">IF(N1096&lt;&gt;"Y","",IF(R1096&lt;&gt;"",R1096,IF(Q1096="(tanpa lawan)","Transfer antar rekening",IFERROR(INDEX(I_COA!$F$6:$F$265,MATCH(Q1096,I_COA!$A$6:$A$265,0)),"?"))))</f>
        <v/>
      </c>
    </row>
    <row r="1097" customFormat="false" ht="15" hidden="false" customHeight="false" outlineLevel="0" collapsed="false">
      <c r="A1097" s="37" t="n">
        <v>46252</v>
      </c>
      <c r="B1097" s="44" t="s">
        <v>1479</v>
      </c>
      <c r="C1097" s="44" t="s">
        <v>594</v>
      </c>
      <c r="D1097" s="44" t="n">
        <v>1102002</v>
      </c>
      <c r="E1097" s="44" t="s">
        <v>598</v>
      </c>
      <c r="F1097" s="44" t="s">
        <v>1480</v>
      </c>
      <c r="G1097" s="42"/>
      <c r="H1097" s="42" t="n">
        <v>17540000</v>
      </c>
      <c r="I1097" s="44" t="s">
        <v>681</v>
      </c>
      <c r="J1097" s="11" t="n">
        <f aca="false">IF(D1097="","",N(G1097)-N(H1097))</f>
        <v>-17540000</v>
      </c>
      <c r="K1097" s="34" t="str">
        <f aca="false">IF(D1097="","",IFERROR(INDEX(I_COA!$C$6:$C$265,MATCH(D1097,I_COA!$A$6:$A$265,0)),"AKUN BARU"))</f>
        <v>Neraca</v>
      </c>
      <c r="L1097" s="34" t="str">
        <f aca="false">IF(K1097="LabaRugi",INDEX(I_COA!$D$6:$D$265,MATCH(D1097,I_COA!$A$6:$A$265,0)),"")</f>
        <v/>
      </c>
      <c r="M1097" s="34" t="str">
        <f aca="false">IF(K1097="Neraca",INDEX(I_COA!$E$6:$E$265,MATCH(D1097,I_COA!$A$6:$A$265,0)),"")</f>
        <v>Cash and cash equivalents</v>
      </c>
      <c r="N1097" s="34" t="str">
        <f aca="false">IF(D1097="","",IFERROR(INDEX(I_COA!$G$6:$G$265,MATCH(D1097,I_COA!$A$6:$A$265,0)),"N"))</f>
        <v>Y</v>
      </c>
      <c r="O1097" s="11" t="str">
        <f aca="false">IF(N1097="N",ABS(J1097),"")</f>
        <v/>
      </c>
      <c r="P1097" s="18" t="str">
        <f aca="false">IF(N1097="N",B1097&amp;"|"&amp;ROUND(O1097,0),"")</f>
        <v/>
      </c>
      <c r="Q1097" s="18" t="n">
        <f aca="false">IF(N1097&lt;&gt;"Y","",IFERROR(INDEX($D$6:$D$4005,MATCH(B1097&amp;"|"&amp;ROUND(_xlfn.MAXIFS($O$6:$O$4005,$B$6:$B$4005,B1097,$N$6:$N$4005,"N"),0),$P$6:$P$4005,0)),"(tanpa lawan)"))</f>
        <v>2101003</v>
      </c>
      <c r="R1097" s="44"/>
      <c r="S1097" s="9" t="str">
        <f aca="false">IF(N1097&lt;&gt;"Y","",IF(R1097&lt;&gt;"",R1097,IF(Q1097="(tanpa lawan)","Transfer antar rekening",IFERROR(INDEX(I_COA!$F$6:$F$265,MATCH(Q1097,I_COA!$A$6:$A$265,0)),"?"))))</f>
        <v>Bayar jasa (maklon, angkut, cold storage, sewa)</v>
      </c>
    </row>
    <row r="1098" customFormat="false" ht="15" hidden="false" customHeight="false" outlineLevel="0" collapsed="false">
      <c r="A1098" s="37" t="n">
        <v>46252</v>
      </c>
      <c r="B1098" s="44" t="s">
        <v>1481</v>
      </c>
      <c r="C1098" s="44" t="s">
        <v>594</v>
      </c>
      <c r="D1098" s="44" t="n">
        <v>2101003</v>
      </c>
      <c r="E1098" s="44" t="s">
        <v>679</v>
      </c>
      <c r="F1098" s="44" t="s">
        <v>1482</v>
      </c>
      <c r="G1098" s="42" t="n">
        <v>6860000</v>
      </c>
      <c r="H1098" s="42"/>
      <c r="I1098" s="44" t="s">
        <v>1374</v>
      </c>
      <c r="J1098" s="11" t="n">
        <f aca="false">IF(D1098="","",N(G1098)-N(H1098))</f>
        <v>6860000</v>
      </c>
      <c r="K1098" s="34" t="str">
        <f aca="false">IF(D1098="","",IFERROR(INDEX(I_COA!$C$6:$C$265,MATCH(D1098,I_COA!$A$6:$A$265,0)),"AKUN BARU"))</f>
        <v>Neraca</v>
      </c>
      <c r="L1098" s="34" t="str">
        <f aca="false">IF(K1098="LabaRugi",INDEX(I_COA!$D$6:$D$265,MATCH(D1098,I_COA!$A$6:$A$265,0)),"")</f>
        <v/>
      </c>
      <c r="M1098" s="34" t="str">
        <f aca="false">IF(K1098="Neraca",INDEX(I_COA!$E$6:$E$265,MATCH(D1098,I_COA!$A$6:$A$265,0)),"")</f>
        <v>Other Payable - Third Parties</v>
      </c>
      <c r="N1098" s="34" t="str">
        <f aca="false">IF(D1098="","",IFERROR(INDEX(I_COA!$G$6:$G$265,MATCH(D1098,I_COA!$A$6:$A$265,0)),"N"))</f>
        <v>N</v>
      </c>
      <c r="O1098" s="11" t="n">
        <f aca="false">IF(N1098="N",ABS(J1098),"")</f>
        <v>6860000</v>
      </c>
      <c r="P1098" s="18" t="str">
        <f aca="false">IF(N1098="N",B1098&amp;"|"&amp;ROUND(O1098,0),"")</f>
        <v>B8526080064|6860000</v>
      </c>
      <c r="Q1098" s="18" t="str">
        <f aca="false">IF(N1098&lt;&gt;"Y","",IFERROR(INDEX($D$6:$D$4005,MATCH(B1098&amp;"|"&amp;ROUND(_xlfn.MAXIFS($O$6:$O$4005,$B$6:$B$4005,B1098,$N$6:$N$4005,"N"),0),$P$6:$P$4005,0)),"(tanpa lawan)"))</f>
        <v/>
      </c>
      <c r="R1098" s="44"/>
      <c r="S1098" s="9" t="str">
        <f aca="false">IF(N1098&lt;&gt;"Y","",IF(R1098&lt;&gt;"",R1098,IF(Q1098="(tanpa lawan)","Transfer antar rekening",IFERROR(INDEX(I_COA!$F$6:$F$265,MATCH(Q1098,I_COA!$A$6:$A$265,0)),"?"))))</f>
        <v/>
      </c>
    </row>
    <row r="1099" customFormat="false" ht="15" hidden="false" customHeight="false" outlineLevel="0" collapsed="false">
      <c r="A1099" s="37" t="n">
        <v>46252</v>
      </c>
      <c r="B1099" s="44" t="s">
        <v>1481</v>
      </c>
      <c r="C1099" s="44" t="s">
        <v>594</v>
      </c>
      <c r="D1099" s="44" t="n">
        <v>1102002</v>
      </c>
      <c r="E1099" s="44" t="s">
        <v>598</v>
      </c>
      <c r="F1099" s="44" t="s">
        <v>1482</v>
      </c>
      <c r="G1099" s="42"/>
      <c r="H1099" s="42" t="n">
        <v>6860000</v>
      </c>
      <c r="I1099" s="44" t="s">
        <v>1374</v>
      </c>
      <c r="J1099" s="11" t="n">
        <f aca="false">IF(D1099="","",N(G1099)-N(H1099))</f>
        <v>-6860000</v>
      </c>
      <c r="K1099" s="34" t="str">
        <f aca="false">IF(D1099="","",IFERROR(INDEX(I_COA!$C$6:$C$265,MATCH(D1099,I_COA!$A$6:$A$265,0)),"AKUN BARU"))</f>
        <v>Neraca</v>
      </c>
      <c r="L1099" s="34" t="str">
        <f aca="false">IF(K1099="LabaRugi",INDEX(I_COA!$D$6:$D$265,MATCH(D1099,I_COA!$A$6:$A$265,0)),"")</f>
        <v/>
      </c>
      <c r="M1099" s="34" t="str">
        <f aca="false">IF(K1099="Neraca",INDEX(I_COA!$E$6:$E$265,MATCH(D1099,I_COA!$A$6:$A$265,0)),"")</f>
        <v>Cash and cash equivalents</v>
      </c>
      <c r="N1099" s="34" t="str">
        <f aca="false">IF(D1099="","",IFERROR(INDEX(I_COA!$G$6:$G$265,MATCH(D1099,I_COA!$A$6:$A$265,0)),"N"))</f>
        <v>Y</v>
      </c>
      <c r="O1099" s="11" t="str">
        <f aca="false">IF(N1099="N",ABS(J1099),"")</f>
        <v/>
      </c>
      <c r="P1099" s="18" t="str">
        <f aca="false">IF(N1099="N",B1099&amp;"|"&amp;ROUND(O1099,0),"")</f>
        <v/>
      </c>
      <c r="Q1099" s="18" t="n">
        <f aca="false">IF(N1099&lt;&gt;"Y","",IFERROR(INDEX($D$6:$D$4005,MATCH(B1099&amp;"|"&amp;ROUND(_xlfn.MAXIFS($O$6:$O$4005,$B$6:$B$4005,B1099,$N$6:$N$4005,"N"),0),$P$6:$P$4005,0)),"(tanpa lawan)"))</f>
        <v>2101003</v>
      </c>
      <c r="R1099" s="44"/>
      <c r="S1099" s="9" t="str">
        <f aca="false">IF(N1099&lt;&gt;"Y","",IF(R1099&lt;&gt;"",R1099,IF(Q1099="(tanpa lawan)","Transfer antar rekening",IFERROR(INDEX(I_COA!$F$6:$F$265,MATCH(Q1099,I_COA!$A$6:$A$265,0)),"?"))))</f>
        <v>Bayar jasa (maklon, angkut, cold storage, sewa)</v>
      </c>
    </row>
    <row r="1100" customFormat="false" ht="15" hidden="false" customHeight="false" outlineLevel="0" collapsed="false">
      <c r="A1100" s="37" t="n">
        <v>46252</v>
      </c>
      <c r="B1100" s="44" t="s">
        <v>1483</v>
      </c>
      <c r="C1100" s="44" t="s">
        <v>580</v>
      </c>
      <c r="D1100" s="44" t="n">
        <v>7200003</v>
      </c>
      <c r="E1100" s="44" t="s">
        <v>581</v>
      </c>
      <c r="F1100" s="44" t="s">
        <v>1484</v>
      </c>
      <c r="G1100" s="42" t="n">
        <v>2500</v>
      </c>
      <c r="H1100" s="42"/>
      <c r="I1100" s="44"/>
      <c r="J1100" s="11" t="n">
        <f aca="false">IF(D1100="","",N(G1100)-N(H1100))</f>
        <v>2500</v>
      </c>
      <c r="K1100" s="34" t="str">
        <f aca="false">IF(D1100="","",IFERROR(INDEX(I_COA!$C$6:$C$265,MATCH(D1100,I_COA!$A$6:$A$265,0)),"AKUN BARU"))</f>
        <v>LabaRugi</v>
      </c>
      <c r="L1100" s="34" t="str">
        <f aca="false">IF(K1100="LabaRugi",INDEX(I_COA!$D$6:$D$265,MATCH(D1100,I_COA!$A$6:$A$265,0)),"")</f>
        <v>Other Expense</v>
      </c>
      <c r="M1100" s="34" t="str">
        <f aca="false">IF(K1100="Neraca",INDEX(I_COA!$E$6:$E$265,MATCH(D1100,I_COA!$A$6:$A$265,0)),"")</f>
        <v/>
      </c>
      <c r="N1100" s="34" t="str">
        <f aca="false">IF(D1100="","",IFERROR(INDEX(I_COA!$G$6:$G$265,MATCH(D1100,I_COA!$A$6:$A$265,0)),"N"))</f>
        <v>N</v>
      </c>
      <c r="O1100" s="11" t="n">
        <f aca="false">IF(N1100="N",ABS(J1100),"")</f>
        <v>2500</v>
      </c>
      <c r="P1100" s="18" t="str">
        <f aca="false">IF(N1100="N",B1100&amp;"|"&amp;ROUND(O1100,0),"")</f>
        <v>B8526080065|2500</v>
      </c>
      <c r="Q1100" s="18" t="str">
        <f aca="false">IF(N1100&lt;&gt;"Y","",IFERROR(INDEX($D$6:$D$4005,MATCH(B1100&amp;"|"&amp;ROUND(_xlfn.MAXIFS($O$6:$O$4005,$B$6:$B$4005,B1100,$N$6:$N$4005,"N"),0),$P$6:$P$4005,0)),"(tanpa lawan)"))</f>
        <v/>
      </c>
      <c r="R1100" s="44"/>
      <c r="S1100" s="9" t="str">
        <f aca="false">IF(N1100&lt;&gt;"Y","",IF(R1100&lt;&gt;"",R1100,IF(Q1100="(tanpa lawan)","Transfer antar rekening",IFERROR(INDEX(I_COA!$F$6:$F$265,MATCH(Q1100,I_COA!$A$6:$A$265,0)),"?"))))</f>
        <v/>
      </c>
    </row>
    <row r="1101" customFormat="false" ht="15" hidden="false" customHeight="false" outlineLevel="0" collapsed="false">
      <c r="A1101" s="37" t="n">
        <v>46252</v>
      </c>
      <c r="B1101" s="44" t="s">
        <v>1483</v>
      </c>
      <c r="C1101" s="44" t="s">
        <v>580</v>
      </c>
      <c r="D1101" s="44" t="n">
        <v>1102002</v>
      </c>
      <c r="E1101" s="44" t="s">
        <v>598</v>
      </c>
      <c r="F1101" s="44" t="s">
        <v>1484</v>
      </c>
      <c r="G1101" s="42"/>
      <c r="H1101" s="42" t="n">
        <v>2500</v>
      </c>
      <c r="I1101" s="44"/>
      <c r="J1101" s="11" t="n">
        <f aca="false">IF(D1101="","",N(G1101)-N(H1101))</f>
        <v>-2500</v>
      </c>
      <c r="K1101" s="34" t="str">
        <f aca="false">IF(D1101="","",IFERROR(INDEX(I_COA!$C$6:$C$265,MATCH(D1101,I_COA!$A$6:$A$265,0)),"AKUN BARU"))</f>
        <v>Neraca</v>
      </c>
      <c r="L1101" s="34" t="str">
        <f aca="false">IF(K1101="LabaRugi",INDEX(I_COA!$D$6:$D$265,MATCH(D1101,I_COA!$A$6:$A$265,0)),"")</f>
        <v/>
      </c>
      <c r="M1101" s="34" t="str">
        <f aca="false">IF(K1101="Neraca",INDEX(I_COA!$E$6:$E$265,MATCH(D1101,I_COA!$A$6:$A$265,0)),"")</f>
        <v>Cash and cash equivalents</v>
      </c>
      <c r="N1101" s="34" t="str">
        <f aca="false">IF(D1101="","",IFERROR(INDEX(I_COA!$G$6:$G$265,MATCH(D1101,I_COA!$A$6:$A$265,0)),"N"))</f>
        <v>Y</v>
      </c>
      <c r="O1101" s="11" t="str">
        <f aca="false">IF(N1101="N",ABS(J1101),"")</f>
        <v/>
      </c>
      <c r="P1101" s="18" t="str">
        <f aca="false">IF(N1101="N",B1101&amp;"|"&amp;ROUND(O1101,0),"")</f>
        <v/>
      </c>
      <c r="Q1101" s="18" t="n">
        <f aca="false">IF(N1101&lt;&gt;"Y","",IFERROR(INDEX($D$6:$D$4005,MATCH(B1101&amp;"|"&amp;ROUND(_xlfn.MAXIFS($O$6:$O$4005,$B$6:$B$4005,B1101,$N$6:$N$4005,"N"),0),$P$6:$P$4005,0)),"(tanpa lawan)"))</f>
        <v>7200003</v>
      </c>
      <c r="R1101" s="44"/>
      <c r="S1101" s="9" t="str">
        <f aca="false">IF(N1101&lt;&gt;"Y","",IF(R1101&lt;&gt;"",R1101,IF(Q1101="(tanpa lawan)","Transfer antar rekening",IFERROR(INDEX(I_COA!$F$6:$F$265,MATCH(Q1101,I_COA!$A$6:$A$265,0)),"?"))))</f>
        <v>Bunga &amp; biaya bank</v>
      </c>
    </row>
    <row r="1102" customFormat="false" ht="15" hidden="false" customHeight="false" outlineLevel="0" collapsed="false">
      <c r="A1102" s="37" t="n">
        <v>46252</v>
      </c>
      <c r="B1102" s="44" t="s">
        <v>1485</v>
      </c>
      <c r="C1102" s="44" t="s">
        <v>594</v>
      </c>
      <c r="D1102" s="44" t="n">
        <v>2101003</v>
      </c>
      <c r="E1102" s="44" t="s">
        <v>679</v>
      </c>
      <c r="F1102" s="44" t="s">
        <v>1486</v>
      </c>
      <c r="G1102" s="42" t="n">
        <v>5880000</v>
      </c>
      <c r="H1102" s="42"/>
      <c r="I1102" s="44" t="s">
        <v>1374</v>
      </c>
      <c r="J1102" s="11" t="n">
        <f aca="false">IF(D1102="","",N(G1102)-N(H1102))</f>
        <v>5880000</v>
      </c>
      <c r="K1102" s="34" t="str">
        <f aca="false">IF(D1102="","",IFERROR(INDEX(I_COA!$C$6:$C$265,MATCH(D1102,I_COA!$A$6:$A$265,0)),"AKUN BARU"))</f>
        <v>Neraca</v>
      </c>
      <c r="L1102" s="34" t="str">
        <f aca="false">IF(K1102="LabaRugi",INDEX(I_COA!$D$6:$D$265,MATCH(D1102,I_COA!$A$6:$A$265,0)),"")</f>
        <v/>
      </c>
      <c r="M1102" s="34" t="str">
        <f aca="false">IF(K1102="Neraca",INDEX(I_COA!$E$6:$E$265,MATCH(D1102,I_COA!$A$6:$A$265,0)),"")</f>
        <v>Other Payable - Third Parties</v>
      </c>
      <c r="N1102" s="34" t="str">
        <f aca="false">IF(D1102="","",IFERROR(INDEX(I_COA!$G$6:$G$265,MATCH(D1102,I_COA!$A$6:$A$265,0)),"N"))</f>
        <v>N</v>
      </c>
      <c r="O1102" s="11" t="n">
        <f aca="false">IF(N1102="N",ABS(J1102),"")</f>
        <v>5880000</v>
      </c>
      <c r="P1102" s="18" t="str">
        <f aca="false">IF(N1102="N",B1102&amp;"|"&amp;ROUND(O1102,0),"")</f>
        <v>B8526080066|5880000</v>
      </c>
      <c r="Q1102" s="18" t="str">
        <f aca="false">IF(N1102&lt;&gt;"Y","",IFERROR(INDEX($D$6:$D$4005,MATCH(B1102&amp;"|"&amp;ROUND(_xlfn.MAXIFS($O$6:$O$4005,$B$6:$B$4005,B1102,$N$6:$N$4005,"N"),0),$P$6:$P$4005,0)),"(tanpa lawan)"))</f>
        <v/>
      </c>
      <c r="R1102" s="44"/>
      <c r="S1102" s="9" t="str">
        <f aca="false">IF(N1102&lt;&gt;"Y","",IF(R1102&lt;&gt;"",R1102,IF(Q1102="(tanpa lawan)","Transfer antar rekening",IFERROR(INDEX(I_COA!$F$6:$F$265,MATCH(Q1102,I_COA!$A$6:$A$265,0)),"?"))))</f>
        <v/>
      </c>
    </row>
    <row r="1103" customFormat="false" ht="15" hidden="false" customHeight="false" outlineLevel="0" collapsed="false">
      <c r="A1103" s="37" t="n">
        <v>46252</v>
      </c>
      <c r="B1103" s="44" t="s">
        <v>1485</v>
      </c>
      <c r="C1103" s="44" t="s">
        <v>594</v>
      </c>
      <c r="D1103" s="44" t="n">
        <v>1102002</v>
      </c>
      <c r="E1103" s="44" t="s">
        <v>598</v>
      </c>
      <c r="F1103" s="44" t="s">
        <v>1486</v>
      </c>
      <c r="G1103" s="42"/>
      <c r="H1103" s="42" t="n">
        <v>5880000</v>
      </c>
      <c r="I1103" s="44" t="s">
        <v>1374</v>
      </c>
      <c r="J1103" s="11" t="n">
        <f aca="false">IF(D1103="","",N(G1103)-N(H1103))</f>
        <v>-5880000</v>
      </c>
      <c r="K1103" s="34" t="str">
        <f aca="false">IF(D1103="","",IFERROR(INDEX(I_COA!$C$6:$C$265,MATCH(D1103,I_COA!$A$6:$A$265,0)),"AKUN BARU"))</f>
        <v>Neraca</v>
      </c>
      <c r="L1103" s="34" t="str">
        <f aca="false">IF(K1103="LabaRugi",INDEX(I_COA!$D$6:$D$265,MATCH(D1103,I_COA!$A$6:$A$265,0)),"")</f>
        <v/>
      </c>
      <c r="M1103" s="34" t="str">
        <f aca="false">IF(K1103="Neraca",INDEX(I_COA!$E$6:$E$265,MATCH(D1103,I_COA!$A$6:$A$265,0)),"")</f>
        <v>Cash and cash equivalents</v>
      </c>
      <c r="N1103" s="34" t="str">
        <f aca="false">IF(D1103="","",IFERROR(INDEX(I_COA!$G$6:$G$265,MATCH(D1103,I_COA!$A$6:$A$265,0)),"N"))</f>
        <v>Y</v>
      </c>
      <c r="O1103" s="11" t="str">
        <f aca="false">IF(N1103="N",ABS(J1103),"")</f>
        <v/>
      </c>
      <c r="P1103" s="18" t="str">
        <f aca="false">IF(N1103="N",B1103&amp;"|"&amp;ROUND(O1103,0),"")</f>
        <v/>
      </c>
      <c r="Q1103" s="18" t="n">
        <f aca="false">IF(N1103&lt;&gt;"Y","",IFERROR(INDEX($D$6:$D$4005,MATCH(B1103&amp;"|"&amp;ROUND(_xlfn.MAXIFS($O$6:$O$4005,$B$6:$B$4005,B1103,$N$6:$N$4005,"N"),0),$P$6:$P$4005,0)),"(tanpa lawan)"))</f>
        <v>2101003</v>
      </c>
      <c r="R1103" s="44"/>
      <c r="S1103" s="9" t="str">
        <f aca="false">IF(N1103&lt;&gt;"Y","",IF(R1103&lt;&gt;"",R1103,IF(Q1103="(tanpa lawan)","Transfer antar rekening",IFERROR(INDEX(I_COA!$F$6:$F$265,MATCH(Q1103,I_COA!$A$6:$A$265,0)),"?"))))</f>
        <v>Bayar jasa (maklon, angkut, cold storage, sewa)</v>
      </c>
    </row>
    <row r="1104" customFormat="false" ht="15" hidden="false" customHeight="false" outlineLevel="0" collapsed="false">
      <c r="A1104" s="37" t="n">
        <v>46252</v>
      </c>
      <c r="B1104" s="44" t="s">
        <v>1487</v>
      </c>
      <c r="C1104" s="44" t="s">
        <v>580</v>
      </c>
      <c r="D1104" s="44" t="n">
        <v>7200003</v>
      </c>
      <c r="E1104" s="44" t="s">
        <v>581</v>
      </c>
      <c r="F1104" s="44" t="s">
        <v>905</v>
      </c>
      <c r="G1104" s="42" t="n">
        <v>2500</v>
      </c>
      <c r="H1104" s="42"/>
      <c r="I1104" s="44"/>
      <c r="J1104" s="11" t="n">
        <f aca="false">IF(D1104="","",N(G1104)-N(H1104))</f>
        <v>2500</v>
      </c>
      <c r="K1104" s="34" t="str">
        <f aca="false">IF(D1104="","",IFERROR(INDEX(I_COA!$C$6:$C$265,MATCH(D1104,I_COA!$A$6:$A$265,0)),"AKUN BARU"))</f>
        <v>LabaRugi</v>
      </c>
      <c r="L1104" s="34" t="str">
        <f aca="false">IF(K1104="LabaRugi",INDEX(I_COA!$D$6:$D$265,MATCH(D1104,I_COA!$A$6:$A$265,0)),"")</f>
        <v>Other Expense</v>
      </c>
      <c r="M1104" s="34" t="str">
        <f aca="false">IF(K1104="Neraca",INDEX(I_COA!$E$6:$E$265,MATCH(D1104,I_COA!$A$6:$A$265,0)),"")</f>
        <v/>
      </c>
      <c r="N1104" s="34" t="str">
        <f aca="false">IF(D1104="","",IFERROR(INDEX(I_COA!$G$6:$G$265,MATCH(D1104,I_COA!$A$6:$A$265,0)),"N"))</f>
        <v>N</v>
      </c>
      <c r="O1104" s="11" t="n">
        <f aca="false">IF(N1104="N",ABS(J1104),"")</f>
        <v>2500</v>
      </c>
      <c r="P1104" s="18" t="str">
        <f aca="false">IF(N1104="N",B1104&amp;"|"&amp;ROUND(O1104,0),"")</f>
        <v>B8526080067|2500</v>
      </c>
      <c r="Q1104" s="18" t="str">
        <f aca="false">IF(N1104&lt;&gt;"Y","",IFERROR(INDEX($D$6:$D$4005,MATCH(B1104&amp;"|"&amp;ROUND(_xlfn.MAXIFS($O$6:$O$4005,$B$6:$B$4005,B1104,$N$6:$N$4005,"N"),0),$P$6:$P$4005,0)),"(tanpa lawan)"))</f>
        <v/>
      </c>
      <c r="R1104" s="44"/>
      <c r="S1104" s="9" t="str">
        <f aca="false">IF(N1104&lt;&gt;"Y","",IF(R1104&lt;&gt;"",R1104,IF(Q1104="(tanpa lawan)","Transfer antar rekening",IFERROR(INDEX(I_COA!$F$6:$F$265,MATCH(Q1104,I_COA!$A$6:$A$265,0)),"?"))))</f>
        <v/>
      </c>
    </row>
    <row r="1105" customFormat="false" ht="15" hidden="false" customHeight="false" outlineLevel="0" collapsed="false">
      <c r="A1105" s="37" t="n">
        <v>46252</v>
      </c>
      <c r="B1105" s="44" t="s">
        <v>1487</v>
      </c>
      <c r="C1105" s="44" t="s">
        <v>580</v>
      </c>
      <c r="D1105" s="44" t="n">
        <v>1102002</v>
      </c>
      <c r="E1105" s="44" t="s">
        <v>598</v>
      </c>
      <c r="F1105" s="44" t="s">
        <v>1486</v>
      </c>
      <c r="G1105" s="42"/>
      <c r="H1105" s="42" t="n">
        <v>2500</v>
      </c>
      <c r="I1105" s="44"/>
      <c r="J1105" s="11" t="n">
        <f aca="false">IF(D1105="","",N(G1105)-N(H1105))</f>
        <v>-2500</v>
      </c>
      <c r="K1105" s="34" t="str">
        <f aca="false">IF(D1105="","",IFERROR(INDEX(I_COA!$C$6:$C$265,MATCH(D1105,I_COA!$A$6:$A$265,0)),"AKUN BARU"))</f>
        <v>Neraca</v>
      </c>
      <c r="L1105" s="34" t="str">
        <f aca="false">IF(K1105="LabaRugi",INDEX(I_COA!$D$6:$D$265,MATCH(D1105,I_COA!$A$6:$A$265,0)),"")</f>
        <v/>
      </c>
      <c r="M1105" s="34" t="str">
        <f aca="false">IF(K1105="Neraca",INDEX(I_COA!$E$6:$E$265,MATCH(D1105,I_COA!$A$6:$A$265,0)),"")</f>
        <v>Cash and cash equivalents</v>
      </c>
      <c r="N1105" s="34" t="str">
        <f aca="false">IF(D1105="","",IFERROR(INDEX(I_COA!$G$6:$G$265,MATCH(D1105,I_COA!$A$6:$A$265,0)),"N"))</f>
        <v>Y</v>
      </c>
      <c r="O1105" s="11" t="str">
        <f aca="false">IF(N1105="N",ABS(J1105),"")</f>
        <v/>
      </c>
      <c r="P1105" s="18" t="str">
        <f aca="false">IF(N1105="N",B1105&amp;"|"&amp;ROUND(O1105,0),"")</f>
        <v/>
      </c>
      <c r="Q1105" s="18" t="n">
        <f aca="false">IF(N1105&lt;&gt;"Y","",IFERROR(INDEX($D$6:$D$4005,MATCH(B1105&amp;"|"&amp;ROUND(_xlfn.MAXIFS($O$6:$O$4005,$B$6:$B$4005,B1105,$N$6:$N$4005,"N"),0),$P$6:$P$4005,0)),"(tanpa lawan)"))</f>
        <v>7200003</v>
      </c>
      <c r="R1105" s="44"/>
      <c r="S1105" s="9" t="str">
        <f aca="false">IF(N1105&lt;&gt;"Y","",IF(R1105&lt;&gt;"",R1105,IF(Q1105="(tanpa lawan)","Transfer antar rekening",IFERROR(INDEX(I_COA!$F$6:$F$265,MATCH(Q1105,I_COA!$A$6:$A$265,0)),"?"))))</f>
        <v>Bunga &amp; biaya bank</v>
      </c>
    </row>
    <row r="1106" customFormat="false" ht="15" hidden="false" customHeight="false" outlineLevel="0" collapsed="false">
      <c r="A1106" s="37" t="n">
        <v>46252</v>
      </c>
      <c r="B1106" s="44" t="s">
        <v>1488</v>
      </c>
      <c r="C1106" s="44" t="s">
        <v>594</v>
      </c>
      <c r="D1106" s="44" t="n">
        <v>2101003</v>
      </c>
      <c r="E1106" s="44" t="s">
        <v>679</v>
      </c>
      <c r="F1106" s="44" t="s">
        <v>1489</v>
      </c>
      <c r="G1106" s="42" t="n">
        <v>5292000</v>
      </c>
      <c r="H1106" s="42"/>
      <c r="I1106" s="44" t="s">
        <v>1374</v>
      </c>
      <c r="J1106" s="11" t="n">
        <f aca="false">IF(D1106="","",N(G1106)-N(H1106))</f>
        <v>5292000</v>
      </c>
      <c r="K1106" s="34" t="str">
        <f aca="false">IF(D1106="","",IFERROR(INDEX(I_COA!$C$6:$C$265,MATCH(D1106,I_COA!$A$6:$A$265,0)),"AKUN BARU"))</f>
        <v>Neraca</v>
      </c>
      <c r="L1106" s="34" t="str">
        <f aca="false">IF(K1106="LabaRugi",INDEX(I_COA!$D$6:$D$265,MATCH(D1106,I_COA!$A$6:$A$265,0)),"")</f>
        <v/>
      </c>
      <c r="M1106" s="34" t="str">
        <f aca="false">IF(K1106="Neraca",INDEX(I_COA!$E$6:$E$265,MATCH(D1106,I_COA!$A$6:$A$265,0)),"")</f>
        <v>Other Payable - Third Parties</v>
      </c>
      <c r="N1106" s="34" t="str">
        <f aca="false">IF(D1106="","",IFERROR(INDEX(I_COA!$G$6:$G$265,MATCH(D1106,I_COA!$A$6:$A$265,0)),"N"))</f>
        <v>N</v>
      </c>
      <c r="O1106" s="11" t="n">
        <f aca="false">IF(N1106="N",ABS(J1106),"")</f>
        <v>5292000</v>
      </c>
      <c r="P1106" s="18" t="str">
        <f aca="false">IF(N1106="N",B1106&amp;"|"&amp;ROUND(O1106,0),"")</f>
        <v>B8526080068|5292000</v>
      </c>
      <c r="Q1106" s="18" t="str">
        <f aca="false">IF(N1106&lt;&gt;"Y","",IFERROR(INDEX($D$6:$D$4005,MATCH(B1106&amp;"|"&amp;ROUND(_xlfn.MAXIFS($O$6:$O$4005,$B$6:$B$4005,B1106,$N$6:$N$4005,"N"),0),$P$6:$P$4005,0)),"(tanpa lawan)"))</f>
        <v/>
      </c>
      <c r="R1106" s="44"/>
      <c r="S1106" s="9" t="str">
        <f aca="false">IF(N1106&lt;&gt;"Y","",IF(R1106&lt;&gt;"",R1106,IF(Q1106="(tanpa lawan)","Transfer antar rekening",IFERROR(INDEX(I_COA!$F$6:$F$265,MATCH(Q1106,I_COA!$A$6:$A$265,0)),"?"))))</f>
        <v/>
      </c>
    </row>
    <row r="1107" customFormat="false" ht="15" hidden="false" customHeight="false" outlineLevel="0" collapsed="false">
      <c r="A1107" s="37" t="n">
        <v>46252</v>
      </c>
      <c r="B1107" s="44" t="s">
        <v>1488</v>
      </c>
      <c r="C1107" s="44" t="s">
        <v>594</v>
      </c>
      <c r="D1107" s="44" t="n">
        <v>1102002</v>
      </c>
      <c r="E1107" s="44" t="s">
        <v>598</v>
      </c>
      <c r="F1107" s="44" t="s">
        <v>1489</v>
      </c>
      <c r="G1107" s="42"/>
      <c r="H1107" s="42" t="n">
        <v>5292000</v>
      </c>
      <c r="I1107" s="44" t="s">
        <v>1374</v>
      </c>
      <c r="J1107" s="11" t="n">
        <f aca="false">IF(D1107="","",N(G1107)-N(H1107))</f>
        <v>-5292000</v>
      </c>
      <c r="K1107" s="34" t="str">
        <f aca="false">IF(D1107="","",IFERROR(INDEX(I_COA!$C$6:$C$265,MATCH(D1107,I_COA!$A$6:$A$265,0)),"AKUN BARU"))</f>
        <v>Neraca</v>
      </c>
      <c r="L1107" s="34" t="str">
        <f aca="false">IF(K1107="LabaRugi",INDEX(I_COA!$D$6:$D$265,MATCH(D1107,I_COA!$A$6:$A$265,0)),"")</f>
        <v/>
      </c>
      <c r="M1107" s="34" t="str">
        <f aca="false">IF(K1107="Neraca",INDEX(I_COA!$E$6:$E$265,MATCH(D1107,I_COA!$A$6:$A$265,0)),"")</f>
        <v>Cash and cash equivalents</v>
      </c>
      <c r="N1107" s="34" t="str">
        <f aca="false">IF(D1107="","",IFERROR(INDEX(I_COA!$G$6:$G$265,MATCH(D1107,I_COA!$A$6:$A$265,0)),"N"))</f>
        <v>Y</v>
      </c>
      <c r="O1107" s="11" t="str">
        <f aca="false">IF(N1107="N",ABS(J1107),"")</f>
        <v/>
      </c>
      <c r="P1107" s="18" t="str">
        <f aca="false">IF(N1107="N",B1107&amp;"|"&amp;ROUND(O1107,0),"")</f>
        <v/>
      </c>
      <c r="Q1107" s="18" t="n">
        <f aca="false">IF(N1107&lt;&gt;"Y","",IFERROR(INDEX($D$6:$D$4005,MATCH(B1107&amp;"|"&amp;ROUND(_xlfn.MAXIFS($O$6:$O$4005,$B$6:$B$4005,B1107,$N$6:$N$4005,"N"),0),$P$6:$P$4005,0)),"(tanpa lawan)"))</f>
        <v>2101003</v>
      </c>
      <c r="R1107" s="44"/>
      <c r="S1107" s="9" t="str">
        <f aca="false">IF(N1107&lt;&gt;"Y","",IF(R1107&lt;&gt;"",R1107,IF(Q1107="(tanpa lawan)","Transfer antar rekening",IFERROR(INDEX(I_COA!$F$6:$F$265,MATCH(Q1107,I_COA!$A$6:$A$265,0)),"?"))))</f>
        <v>Bayar jasa (maklon, angkut, cold storage, sewa)</v>
      </c>
    </row>
    <row r="1108" customFormat="false" ht="15" hidden="false" customHeight="false" outlineLevel="0" collapsed="false">
      <c r="A1108" s="37" t="n">
        <v>46252</v>
      </c>
      <c r="B1108" s="44" t="s">
        <v>1490</v>
      </c>
      <c r="C1108" s="44" t="s">
        <v>580</v>
      </c>
      <c r="D1108" s="44" t="n">
        <v>7200003</v>
      </c>
      <c r="E1108" s="44" t="s">
        <v>581</v>
      </c>
      <c r="F1108" s="44" t="s">
        <v>905</v>
      </c>
      <c r="G1108" s="42" t="n">
        <v>2500</v>
      </c>
      <c r="H1108" s="42"/>
      <c r="I1108" s="44"/>
      <c r="J1108" s="11" t="n">
        <f aca="false">IF(D1108="","",N(G1108)-N(H1108))</f>
        <v>2500</v>
      </c>
      <c r="K1108" s="34" t="str">
        <f aca="false">IF(D1108="","",IFERROR(INDEX(I_COA!$C$6:$C$265,MATCH(D1108,I_COA!$A$6:$A$265,0)),"AKUN BARU"))</f>
        <v>LabaRugi</v>
      </c>
      <c r="L1108" s="34" t="str">
        <f aca="false">IF(K1108="LabaRugi",INDEX(I_COA!$D$6:$D$265,MATCH(D1108,I_COA!$A$6:$A$265,0)),"")</f>
        <v>Other Expense</v>
      </c>
      <c r="M1108" s="34" t="str">
        <f aca="false">IF(K1108="Neraca",INDEX(I_COA!$E$6:$E$265,MATCH(D1108,I_COA!$A$6:$A$265,0)),"")</f>
        <v/>
      </c>
      <c r="N1108" s="34" t="str">
        <f aca="false">IF(D1108="","",IFERROR(INDEX(I_COA!$G$6:$G$265,MATCH(D1108,I_COA!$A$6:$A$265,0)),"N"))</f>
        <v>N</v>
      </c>
      <c r="O1108" s="11" t="n">
        <f aca="false">IF(N1108="N",ABS(J1108),"")</f>
        <v>2500</v>
      </c>
      <c r="P1108" s="18" t="str">
        <f aca="false">IF(N1108="N",B1108&amp;"|"&amp;ROUND(O1108,0),"")</f>
        <v>B8526080069|2500</v>
      </c>
      <c r="Q1108" s="18" t="str">
        <f aca="false">IF(N1108&lt;&gt;"Y","",IFERROR(INDEX($D$6:$D$4005,MATCH(B1108&amp;"|"&amp;ROUND(_xlfn.MAXIFS($O$6:$O$4005,$B$6:$B$4005,B1108,$N$6:$N$4005,"N"),0),$P$6:$P$4005,0)),"(tanpa lawan)"))</f>
        <v/>
      </c>
      <c r="R1108" s="44"/>
      <c r="S1108" s="9" t="str">
        <f aca="false">IF(N1108&lt;&gt;"Y","",IF(R1108&lt;&gt;"",R1108,IF(Q1108="(tanpa lawan)","Transfer antar rekening",IFERROR(INDEX(I_COA!$F$6:$F$265,MATCH(Q1108,I_COA!$A$6:$A$265,0)),"?"))))</f>
        <v/>
      </c>
    </row>
    <row r="1109" customFormat="false" ht="15" hidden="false" customHeight="false" outlineLevel="0" collapsed="false">
      <c r="A1109" s="37" t="n">
        <v>46252</v>
      </c>
      <c r="B1109" s="44" t="s">
        <v>1490</v>
      </c>
      <c r="C1109" s="44" t="s">
        <v>580</v>
      </c>
      <c r="D1109" s="44" t="n">
        <v>1102002</v>
      </c>
      <c r="E1109" s="44" t="s">
        <v>598</v>
      </c>
      <c r="F1109" s="44" t="s">
        <v>1489</v>
      </c>
      <c r="G1109" s="42"/>
      <c r="H1109" s="42" t="n">
        <v>2500</v>
      </c>
      <c r="I1109" s="44"/>
      <c r="J1109" s="11" t="n">
        <f aca="false">IF(D1109="","",N(G1109)-N(H1109))</f>
        <v>-2500</v>
      </c>
      <c r="K1109" s="34" t="str">
        <f aca="false">IF(D1109="","",IFERROR(INDEX(I_COA!$C$6:$C$265,MATCH(D1109,I_COA!$A$6:$A$265,0)),"AKUN BARU"))</f>
        <v>Neraca</v>
      </c>
      <c r="L1109" s="34" t="str">
        <f aca="false">IF(K1109="LabaRugi",INDEX(I_COA!$D$6:$D$265,MATCH(D1109,I_COA!$A$6:$A$265,0)),"")</f>
        <v/>
      </c>
      <c r="M1109" s="34" t="str">
        <f aca="false">IF(K1109="Neraca",INDEX(I_COA!$E$6:$E$265,MATCH(D1109,I_COA!$A$6:$A$265,0)),"")</f>
        <v>Cash and cash equivalents</v>
      </c>
      <c r="N1109" s="34" t="str">
        <f aca="false">IF(D1109="","",IFERROR(INDEX(I_COA!$G$6:$G$265,MATCH(D1109,I_COA!$A$6:$A$265,0)),"N"))</f>
        <v>Y</v>
      </c>
      <c r="O1109" s="11" t="str">
        <f aca="false">IF(N1109="N",ABS(J1109),"")</f>
        <v/>
      </c>
      <c r="P1109" s="18" t="str">
        <f aca="false">IF(N1109="N",B1109&amp;"|"&amp;ROUND(O1109,0),"")</f>
        <v/>
      </c>
      <c r="Q1109" s="18" t="n">
        <f aca="false">IF(N1109&lt;&gt;"Y","",IFERROR(INDEX($D$6:$D$4005,MATCH(B1109&amp;"|"&amp;ROUND(_xlfn.MAXIFS($O$6:$O$4005,$B$6:$B$4005,B1109,$N$6:$N$4005,"N"),0),$P$6:$P$4005,0)),"(tanpa lawan)"))</f>
        <v>7200003</v>
      </c>
      <c r="R1109" s="44"/>
      <c r="S1109" s="9" t="str">
        <f aca="false">IF(N1109&lt;&gt;"Y","",IF(R1109&lt;&gt;"",R1109,IF(Q1109="(tanpa lawan)","Transfer antar rekening",IFERROR(INDEX(I_COA!$F$6:$F$265,MATCH(Q1109,I_COA!$A$6:$A$265,0)),"?"))))</f>
        <v>Bunga &amp; biaya bank</v>
      </c>
    </row>
    <row r="1110" customFormat="false" ht="15" hidden="false" customHeight="false" outlineLevel="0" collapsed="false">
      <c r="A1110" s="37" t="n">
        <v>46252</v>
      </c>
      <c r="B1110" s="44" t="s">
        <v>1491</v>
      </c>
      <c r="C1110" s="44" t="s">
        <v>580</v>
      </c>
      <c r="D1110" s="44" t="n">
        <v>6200012</v>
      </c>
      <c r="E1110" s="44" t="s">
        <v>737</v>
      </c>
      <c r="F1110" s="44" t="s">
        <v>1492</v>
      </c>
      <c r="G1110" s="42" t="n">
        <v>30000</v>
      </c>
      <c r="H1110" s="42"/>
      <c r="I1110" s="44"/>
      <c r="J1110" s="11" t="n">
        <f aca="false">IF(D1110="","",N(G1110)-N(H1110))</f>
        <v>30000</v>
      </c>
      <c r="K1110" s="34" t="str">
        <f aca="false">IF(D1110="","",IFERROR(INDEX(I_COA!$C$6:$C$265,MATCH(D1110,I_COA!$A$6:$A$265,0)),"AKUN BARU"))</f>
        <v>LabaRugi</v>
      </c>
      <c r="L1110" s="34" t="str">
        <f aca="false">IF(K1110="LabaRugi",INDEX(I_COA!$D$6:$D$265,MATCH(D1110,I_COA!$A$6:$A$265,0)),"")</f>
        <v>Office Supplies &amp; Utilities</v>
      </c>
      <c r="M1110" s="34" t="str">
        <f aca="false">IF(K1110="Neraca",INDEX(I_COA!$E$6:$E$265,MATCH(D1110,I_COA!$A$6:$A$265,0)),"")</f>
        <v/>
      </c>
      <c r="N1110" s="34" t="str">
        <f aca="false">IF(D1110="","",IFERROR(INDEX(I_COA!$G$6:$G$265,MATCH(D1110,I_COA!$A$6:$A$265,0)),"N"))</f>
        <v>N</v>
      </c>
      <c r="O1110" s="11" t="n">
        <f aca="false">IF(N1110="N",ABS(J1110),"")</f>
        <v>30000</v>
      </c>
      <c r="P1110" s="18" t="str">
        <f aca="false">IF(N1110="N",B1110&amp;"|"&amp;ROUND(O1110,0),"")</f>
        <v>B8526080070|30000</v>
      </c>
      <c r="Q1110" s="18" t="str">
        <f aca="false">IF(N1110&lt;&gt;"Y","",IFERROR(INDEX($D$6:$D$4005,MATCH(B1110&amp;"|"&amp;ROUND(_xlfn.MAXIFS($O$6:$O$4005,$B$6:$B$4005,B1110,$N$6:$N$4005,"N"),0),$P$6:$P$4005,0)),"(tanpa lawan)"))</f>
        <v/>
      </c>
      <c r="R1110" s="44"/>
      <c r="S1110" s="9" t="str">
        <f aca="false">IF(N1110&lt;&gt;"Y","",IF(R1110&lt;&gt;"",R1110,IF(Q1110="(tanpa lawan)","Transfer antar rekening",IFERROR(INDEX(I_COA!$F$6:$F$265,MATCH(Q1110,I_COA!$A$6:$A$265,0)),"?"))))</f>
        <v/>
      </c>
    </row>
    <row r="1111" customFormat="false" ht="15" hidden="false" customHeight="false" outlineLevel="0" collapsed="false">
      <c r="A1111" s="37" t="n">
        <v>46252</v>
      </c>
      <c r="B1111" s="44" t="s">
        <v>1491</v>
      </c>
      <c r="C1111" s="44" t="s">
        <v>580</v>
      </c>
      <c r="D1111" s="44" t="n">
        <v>6200005</v>
      </c>
      <c r="E1111" s="44" t="s">
        <v>732</v>
      </c>
      <c r="F1111" s="48" t="s">
        <v>1493</v>
      </c>
      <c r="G1111" s="42" t="n">
        <v>1468983</v>
      </c>
      <c r="H1111" s="42"/>
      <c r="I1111" s="44"/>
      <c r="J1111" s="11" t="n">
        <f aca="false">IF(D1111="","",N(G1111)-N(H1111))</f>
        <v>1468983</v>
      </c>
      <c r="K1111" s="34" t="str">
        <f aca="false">IF(D1111="","",IFERROR(INDEX(I_COA!$C$6:$C$265,MATCH(D1111,I_COA!$A$6:$A$265,0)),"AKUN BARU"))</f>
        <v>LabaRugi</v>
      </c>
      <c r="L1111" s="34" t="str">
        <f aca="false">IF(K1111="LabaRugi",INDEX(I_COA!$D$6:$D$265,MATCH(D1111,I_COA!$A$6:$A$265,0)),"")</f>
        <v>Office Transportation expenses</v>
      </c>
      <c r="M1111" s="34" t="str">
        <f aca="false">IF(K1111="Neraca",INDEX(I_COA!$E$6:$E$265,MATCH(D1111,I_COA!$A$6:$A$265,0)),"")</f>
        <v/>
      </c>
      <c r="N1111" s="34" t="str">
        <f aca="false">IF(D1111="","",IFERROR(INDEX(I_COA!$G$6:$G$265,MATCH(D1111,I_COA!$A$6:$A$265,0)),"N"))</f>
        <v>N</v>
      </c>
      <c r="O1111" s="11" t="n">
        <f aca="false">IF(N1111="N",ABS(J1111),"")</f>
        <v>1468983</v>
      </c>
      <c r="P1111" s="18" t="str">
        <f aca="false">IF(N1111="N",B1111&amp;"|"&amp;ROUND(O1111,0),"")</f>
        <v>B8526080070|1468983</v>
      </c>
      <c r="Q1111" s="18" t="str">
        <f aca="false">IF(N1111&lt;&gt;"Y","",IFERROR(INDEX($D$6:$D$4005,MATCH(B1111&amp;"|"&amp;ROUND(_xlfn.MAXIFS($O$6:$O$4005,$B$6:$B$4005,B1111,$N$6:$N$4005,"N"),0),$P$6:$P$4005,0)),"(tanpa lawan)"))</f>
        <v/>
      </c>
      <c r="R1111" s="44"/>
      <c r="S1111" s="9" t="str">
        <f aca="false">IF(N1111&lt;&gt;"Y","",IF(R1111&lt;&gt;"",R1111,IF(Q1111="(tanpa lawan)","Transfer antar rekening",IFERROR(INDEX(I_COA!$F$6:$F$265,MATCH(Q1111,I_COA!$A$6:$A$265,0)),"?"))))</f>
        <v/>
      </c>
    </row>
    <row r="1112" customFormat="false" ht="15" hidden="false" customHeight="false" outlineLevel="0" collapsed="false">
      <c r="A1112" s="37" t="n">
        <v>46252</v>
      </c>
      <c r="B1112" s="44" t="s">
        <v>1491</v>
      </c>
      <c r="C1112" s="44" t="s">
        <v>580</v>
      </c>
      <c r="D1112" s="44" t="n">
        <v>6200005</v>
      </c>
      <c r="E1112" s="44" t="s">
        <v>732</v>
      </c>
      <c r="F1112" s="44" t="s">
        <v>734</v>
      </c>
      <c r="G1112" s="42" t="n">
        <v>56000</v>
      </c>
      <c r="H1112" s="42"/>
      <c r="I1112" s="44"/>
      <c r="J1112" s="11" t="n">
        <f aca="false">IF(D1112="","",N(G1112)-N(H1112))</f>
        <v>56000</v>
      </c>
      <c r="K1112" s="34" t="str">
        <f aca="false">IF(D1112="","",IFERROR(INDEX(I_COA!$C$6:$C$265,MATCH(D1112,I_COA!$A$6:$A$265,0)),"AKUN BARU"))</f>
        <v>LabaRugi</v>
      </c>
      <c r="L1112" s="34" t="str">
        <f aca="false">IF(K1112="LabaRugi",INDEX(I_COA!$D$6:$D$265,MATCH(D1112,I_COA!$A$6:$A$265,0)),"")</f>
        <v>Office Transportation expenses</v>
      </c>
      <c r="M1112" s="34" t="str">
        <f aca="false">IF(K1112="Neraca",INDEX(I_COA!$E$6:$E$265,MATCH(D1112,I_COA!$A$6:$A$265,0)),"")</f>
        <v/>
      </c>
      <c r="N1112" s="34" t="str">
        <f aca="false">IF(D1112="","",IFERROR(INDEX(I_COA!$G$6:$G$265,MATCH(D1112,I_COA!$A$6:$A$265,0)),"N"))</f>
        <v>N</v>
      </c>
      <c r="O1112" s="11" t="n">
        <f aca="false">IF(N1112="N",ABS(J1112),"")</f>
        <v>56000</v>
      </c>
      <c r="P1112" s="18" t="str">
        <f aca="false">IF(N1112="N",B1112&amp;"|"&amp;ROUND(O1112,0),"")</f>
        <v>B8526080070|56000</v>
      </c>
      <c r="Q1112" s="18" t="str">
        <f aca="false">IF(N1112&lt;&gt;"Y","",IFERROR(INDEX($D$6:$D$4005,MATCH(B1112&amp;"|"&amp;ROUND(_xlfn.MAXIFS($O$6:$O$4005,$B$6:$B$4005,B1112,$N$6:$N$4005,"N"),0),$P$6:$P$4005,0)),"(tanpa lawan)"))</f>
        <v/>
      </c>
      <c r="R1112" s="44"/>
      <c r="S1112" s="9" t="str">
        <f aca="false">IF(N1112&lt;&gt;"Y","",IF(R1112&lt;&gt;"",R1112,IF(Q1112="(tanpa lawan)","Transfer antar rekening",IFERROR(INDEX(I_COA!$F$6:$F$265,MATCH(Q1112,I_COA!$A$6:$A$265,0)),"?"))))</f>
        <v/>
      </c>
    </row>
    <row r="1113" customFormat="false" ht="15" hidden="false" customHeight="false" outlineLevel="0" collapsed="false">
      <c r="A1113" s="37" t="n">
        <v>46252</v>
      </c>
      <c r="B1113" s="44" t="s">
        <v>1491</v>
      </c>
      <c r="C1113" s="44" t="s">
        <v>580</v>
      </c>
      <c r="D1113" s="44" t="n">
        <v>6200012</v>
      </c>
      <c r="E1113" s="44" t="s">
        <v>737</v>
      </c>
      <c r="F1113" s="44" t="s">
        <v>738</v>
      </c>
      <c r="G1113" s="42" t="n">
        <v>1000000</v>
      </c>
      <c r="H1113" s="42"/>
      <c r="I1113" s="44"/>
      <c r="J1113" s="11" t="n">
        <f aca="false">IF(D1113="","",N(G1113)-N(H1113))</f>
        <v>1000000</v>
      </c>
      <c r="K1113" s="34" t="str">
        <f aca="false">IF(D1113="","",IFERROR(INDEX(I_COA!$C$6:$C$265,MATCH(D1113,I_COA!$A$6:$A$265,0)),"AKUN BARU"))</f>
        <v>LabaRugi</v>
      </c>
      <c r="L1113" s="34" t="str">
        <f aca="false">IF(K1113="LabaRugi",INDEX(I_COA!$D$6:$D$265,MATCH(D1113,I_COA!$A$6:$A$265,0)),"")</f>
        <v>Office Supplies &amp; Utilities</v>
      </c>
      <c r="M1113" s="34" t="str">
        <f aca="false">IF(K1113="Neraca",INDEX(I_COA!$E$6:$E$265,MATCH(D1113,I_COA!$A$6:$A$265,0)),"")</f>
        <v/>
      </c>
      <c r="N1113" s="34" t="str">
        <f aca="false">IF(D1113="","",IFERROR(INDEX(I_COA!$G$6:$G$265,MATCH(D1113,I_COA!$A$6:$A$265,0)),"N"))</f>
        <v>N</v>
      </c>
      <c r="O1113" s="11" t="n">
        <f aca="false">IF(N1113="N",ABS(J1113),"")</f>
        <v>1000000</v>
      </c>
      <c r="P1113" s="18" t="str">
        <f aca="false">IF(N1113="N",B1113&amp;"|"&amp;ROUND(O1113,0),"")</f>
        <v>B8526080070|1000000</v>
      </c>
      <c r="Q1113" s="18" t="str">
        <f aca="false">IF(N1113&lt;&gt;"Y","",IFERROR(INDEX($D$6:$D$4005,MATCH(B1113&amp;"|"&amp;ROUND(_xlfn.MAXIFS($O$6:$O$4005,$B$6:$B$4005,B1113,$N$6:$N$4005,"N"),0),$P$6:$P$4005,0)),"(tanpa lawan)"))</f>
        <v/>
      </c>
      <c r="R1113" s="44"/>
      <c r="S1113" s="9" t="str">
        <f aca="false">IF(N1113&lt;&gt;"Y","",IF(R1113&lt;&gt;"",R1113,IF(Q1113="(tanpa lawan)","Transfer antar rekening",IFERROR(INDEX(I_COA!$F$6:$F$265,MATCH(Q1113,I_COA!$A$6:$A$265,0)),"?"))))</f>
        <v/>
      </c>
    </row>
    <row r="1114" customFormat="false" ht="15" hidden="false" customHeight="false" outlineLevel="0" collapsed="false">
      <c r="A1114" s="37" t="n">
        <v>46252</v>
      </c>
      <c r="B1114" s="44" t="s">
        <v>1491</v>
      </c>
      <c r="C1114" s="44" t="s">
        <v>580</v>
      </c>
      <c r="D1114" s="44" t="n">
        <v>6200005</v>
      </c>
      <c r="E1114" s="44" t="s">
        <v>732</v>
      </c>
      <c r="F1114" s="44" t="s">
        <v>1151</v>
      </c>
      <c r="G1114" s="42" t="n">
        <v>1415611</v>
      </c>
      <c r="H1114" s="42"/>
      <c r="I1114" s="44"/>
      <c r="J1114" s="11" t="n">
        <f aca="false">IF(D1114="","",N(G1114)-N(H1114))</f>
        <v>1415611</v>
      </c>
      <c r="K1114" s="34" t="str">
        <f aca="false">IF(D1114="","",IFERROR(INDEX(I_COA!$C$6:$C$265,MATCH(D1114,I_COA!$A$6:$A$265,0)),"AKUN BARU"))</f>
        <v>LabaRugi</v>
      </c>
      <c r="L1114" s="34" t="str">
        <f aca="false">IF(K1114="LabaRugi",INDEX(I_COA!$D$6:$D$265,MATCH(D1114,I_COA!$A$6:$A$265,0)),"")</f>
        <v>Office Transportation expenses</v>
      </c>
      <c r="M1114" s="34" t="str">
        <f aca="false">IF(K1114="Neraca",INDEX(I_COA!$E$6:$E$265,MATCH(D1114,I_COA!$A$6:$A$265,0)),"")</f>
        <v/>
      </c>
      <c r="N1114" s="34" t="str">
        <f aca="false">IF(D1114="","",IFERROR(INDEX(I_COA!$G$6:$G$265,MATCH(D1114,I_COA!$A$6:$A$265,0)),"N"))</f>
        <v>N</v>
      </c>
      <c r="O1114" s="11" t="n">
        <f aca="false">IF(N1114="N",ABS(J1114),"")</f>
        <v>1415611</v>
      </c>
      <c r="P1114" s="18" t="str">
        <f aca="false">IF(N1114="N",B1114&amp;"|"&amp;ROUND(O1114,0),"")</f>
        <v>B8526080070|1415611</v>
      </c>
      <c r="Q1114" s="18" t="str">
        <f aca="false">IF(N1114&lt;&gt;"Y","",IFERROR(INDEX($D$6:$D$4005,MATCH(B1114&amp;"|"&amp;ROUND(_xlfn.MAXIFS($O$6:$O$4005,$B$6:$B$4005,B1114,$N$6:$N$4005,"N"),0),$P$6:$P$4005,0)),"(tanpa lawan)"))</f>
        <v/>
      </c>
      <c r="R1114" s="44"/>
      <c r="S1114" s="9" t="str">
        <f aca="false">IF(N1114&lt;&gt;"Y","",IF(R1114&lt;&gt;"",R1114,IF(Q1114="(tanpa lawan)","Transfer antar rekening",IFERROR(INDEX(I_COA!$F$6:$F$265,MATCH(Q1114,I_COA!$A$6:$A$265,0)),"?"))))</f>
        <v/>
      </c>
    </row>
    <row r="1115" customFormat="false" ht="15" hidden="false" customHeight="false" outlineLevel="0" collapsed="false">
      <c r="A1115" s="37" t="n">
        <v>46252</v>
      </c>
      <c r="B1115" s="44" t="s">
        <v>1491</v>
      </c>
      <c r="C1115" s="44" t="s">
        <v>580</v>
      </c>
      <c r="D1115" s="44" t="n">
        <v>1103120</v>
      </c>
      <c r="E1115" s="44" t="s">
        <v>640</v>
      </c>
      <c r="F1115" s="44" t="s">
        <v>1494</v>
      </c>
      <c r="G1115" s="42" t="n">
        <v>100000</v>
      </c>
      <c r="H1115" s="42"/>
      <c r="I1115" s="44" t="s">
        <v>660</v>
      </c>
      <c r="J1115" s="11" t="n">
        <f aca="false">IF(D1115="","",N(G1115)-N(H1115))</f>
        <v>100000</v>
      </c>
      <c r="K1115" s="34" t="str">
        <f aca="false">IF(D1115="","",IFERROR(INDEX(I_COA!$C$6:$C$265,MATCH(D1115,I_COA!$A$6:$A$265,0)),"AKUN BARU"))</f>
        <v>Neraca</v>
      </c>
      <c r="L1115" s="34" t="str">
        <f aca="false">IF(K1115="LabaRugi",INDEX(I_COA!$D$6:$D$265,MATCH(D1115,I_COA!$A$6:$A$265,0)),"")</f>
        <v/>
      </c>
      <c r="M1115" s="34" t="str">
        <f aca="false">IF(K1115="Neraca",INDEX(I_COA!$E$6:$E$265,MATCH(D1115,I_COA!$A$6:$A$265,0)),"")</f>
        <v>Advance Payment</v>
      </c>
      <c r="N1115" s="34" t="str">
        <f aca="false">IF(D1115="","",IFERROR(INDEX(I_COA!$G$6:$G$265,MATCH(D1115,I_COA!$A$6:$A$265,0)),"N"))</f>
        <v>N</v>
      </c>
      <c r="O1115" s="11" t="n">
        <f aca="false">IF(N1115="N",ABS(J1115),"")</f>
        <v>100000</v>
      </c>
      <c r="P1115" s="18" t="str">
        <f aca="false">IF(N1115="N",B1115&amp;"|"&amp;ROUND(O1115,0),"")</f>
        <v>B8526080070|100000</v>
      </c>
      <c r="Q1115" s="18" t="str">
        <f aca="false">IF(N1115&lt;&gt;"Y","",IFERROR(INDEX($D$6:$D$4005,MATCH(B1115&amp;"|"&amp;ROUND(_xlfn.MAXIFS($O$6:$O$4005,$B$6:$B$4005,B1115,$N$6:$N$4005,"N"),0),$P$6:$P$4005,0)),"(tanpa lawan)"))</f>
        <v/>
      </c>
      <c r="R1115" s="44"/>
      <c r="S1115" s="9" t="str">
        <f aca="false">IF(N1115&lt;&gt;"Y","",IF(R1115&lt;&gt;"",R1115,IF(Q1115="(tanpa lawan)","Transfer antar rekening",IFERROR(INDEX(I_COA!$F$6:$F$265,MATCH(Q1115,I_COA!$A$6:$A$265,0)),"?"))))</f>
        <v/>
      </c>
    </row>
    <row r="1116" customFormat="false" ht="15" hidden="false" customHeight="false" outlineLevel="0" collapsed="false">
      <c r="A1116" s="37" t="n">
        <v>46252</v>
      </c>
      <c r="B1116" s="44" t="s">
        <v>1491</v>
      </c>
      <c r="C1116" s="44" t="s">
        <v>580</v>
      </c>
      <c r="D1116" s="44" t="n">
        <v>6200005</v>
      </c>
      <c r="E1116" s="44" t="s">
        <v>732</v>
      </c>
      <c r="F1116" s="44" t="s">
        <v>1151</v>
      </c>
      <c r="G1116" s="42" t="n">
        <v>975000</v>
      </c>
      <c r="H1116" s="42"/>
      <c r="I1116" s="44"/>
      <c r="J1116" s="11" t="n">
        <f aca="false">IF(D1116="","",N(G1116)-N(H1116))</f>
        <v>975000</v>
      </c>
      <c r="K1116" s="34" t="str">
        <f aca="false">IF(D1116="","",IFERROR(INDEX(I_COA!$C$6:$C$265,MATCH(D1116,I_COA!$A$6:$A$265,0)),"AKUN BARU"))</f>
        <v>LabaRugi</v>
      </c>
      <c r="L1116" s="34" t="str">
        <f aca="false">IF(K1116="LabaRugi",INDEX(I_COA!$D$6:$D$265,MATCH(D1116,I_COA!$A$6:$A$265,0)),"")</f>
        <v>Office Transportation expenses</v>
      </c>
      <c r="M1116" s="34" t="str">
        <f aca="false">IF(K1116="Neraca",INDEX(I_COA!$E$6:$E$265,MATCH(D1116,I_COA!$A$6:$A$265,0)),"")</f>
        <v/>
      </c>
      <c r="N1116" s="34" t="str">
        <f aca="false">IF(D1116="","",IFERROR(INDEX(I_COA!$G$6:$G$265,MATCH(D1116,I_COA!$A$6:$A$265,0)),"N"))</f>
        <v>N</v>
      </c>
      <c r="O1116" s="11" t="n">
        <f aca="false">IF(N1116="N",ABS(J1116),"")</f>
        <v>975000</v>
      </c>
      <c r="P1116" s="18" t="str">
        <f aca="false">IF(N1116="N",B1116&amp;"|"&amp;ROUND(O1116,0),"")</f>
        <v>B8526080070|975000</v>
      </c>
      <c r="Q1116" s="18" t="str">
        <f aca="false">IF(N1116&lt;&gt;"Y","",IFERROR(INDEX($D$6:$D$4005,MATCH(B1116&amp;"|"&amp;ROUND(_xlfn.MAXIFS($O$6:$O$4005,$B$6:$B$4005,B1116,$N$6:$N$4005,"N"),0),$P$6:$P$4005,0)),"(tanpa lawan)"))</f>
        <v/>
      </c>
      <c r="R1116" s="44"/>
      <c r="S1116" s="9" t="str">
        <f aca="false">IF(N1116&lt;&gt;"Y","",IF(R1116&lt;&gt;"",R1116,IF(Q1116="(tanpa lawan)","Transfer antar rekening",IFERROR(INDEX(I_COA!$F$6:$F$265,MATCH(Q1116,I_COA!$A$6:$A$265,0)),"?"))))</f>
        <v/>
      </c>
    </row>
    <row r="1117" customFormat="false" ht="15" hidden="false" customHeight="false" outlineLevel="0" collapsed="false">
      <c r="A1117" s="37" t="n">
        <v>46252</v>
      </c>
      <c r="B1117" s="44" t="s">
        <v>1491</v>
      </c>
      <c r="C1117" s="44" t="s">
        <v>580</v>
      </c>
      <c r="D1117" s="44" t="n">
        <v>6200005</v>
      </c>
      <c r="E1117" s="44" t="s">
        <v>732</v>
      </c>
      <c r="F1117" s="44" t="s">
        <v>1151</v>
      </c>
      <c r="G1117" s="42" t="n">
        <v>737722</v>
      </c>
      <c r="H1117" s="42"/>
      <c r="I1117" s="44"/>
      <c r="J1117" s="11" t="n">
        <f aca="false">IF(D1117="","",N(G1117)-N(H1117))</f>
        <v>737722</v>
      </c>
      <c r="K1117" s="34" t="str">
        <f aca="false">IF(D1117="","",IFERROR(INDEX(I_COA!$C$6:$C$265,MATCH(D1117,I_COA!$A$6:$A$265,0)),"AKUN BARU"))</f>
        <v>LabaRugi</v>
      </c>
      <c r="L1117" s="34" t="str">
        <f aca="false">IF(K1117="LabaRugi",INDEX(I_COA!$D$6:$D$265,MATCH(D1117,I_COA!$A$6:$A$265,0)),"")</f>
        <v>Office Transportation expenses</v>
      </c>
      <c r="M1117" s="34" t="str">
        <f aca="false">IF(K1117="Neraca",INDEX(I_COA!$E$6:$E$265,MATCH(D1117,I_COA!$A$6:$A$265,0)),"")</f>
        <v/>
      </c>
      <c r="N1117" s="34" t="str">
        <f aca="false">IF(D1117="","",IFERROR(INDEX(I_COA!$G$6:$G$265,MATCH(D1117,I_COA!$A$6:$A$265,0)),"N"))</f>
        <v>N</v>
      </c>
      <c r="O1117" s="11" t="n">
        <f aca="false">IF(N1117="N",ABS(J1117),"")</f>
        <v>737722</v>
      </c>
      <c r="P1117" s="18" t="str">
        <f aca="false">IF(N1117="N",B1117&amp;"|"&amp;ROUND(O1117,0),"")</f>
        <v>B8526080070|737722</v>
      </c>
      <c r="Q1117" s="18" t="str">
        <f aca="false">IF(N1117&lt;&gt;"Y","",IFERROR(INDEX($D$6:$D$4005,MATCH(B1117&amp;"|"&amp;ROUND(_xlfn.MAXIFS($O$6:$O$4005,$B$6:$B$4005,B1117,$N$6:$N$4005,"N"),0),$P$6:$P$4005,0)),"(tanpa lawan)"))</f>
        <v/>
      </c>
      <c r="R1117" s="44"/>
      <c r="S1117" s="9" t="str">
        <f aca="false">IF(N1117&lt;&gt;"Y","",IF(R1117&lt;&gt;"",R1117,IF(Q1117="(tanpa lawan)","Transfer antar rekening",IFERROR(INDEX(I_COA!$F$6:$F$265,MATCH(Q1117,I_COA!$A$6:$A$265,0)),"?"))))</f>
        <v/>
      </c>
    </row>
    <row r="1118" customFormat="false" ht="15" hidden="false" customHeight="false" outlineLevel="0" collapsed="false">
      <c r="A1118" s="37" t="n">
        <v>46252</v>
      </c>
      <c r="B1118" s="44" t="s">
        <v>1491</v>
      </c>
      <c r="C1118" s="44" t="s">
        <v>580</v>
      </c>
      <c r="D1118" s="44" t="n">
        <v>6200005</v>
      </c>
      <c r="E1118" s="44" t="s">
        <v>732</v>
      </c>
      <c r="F1118" s="44" t="s">
        <v>734</v>
      </c>
      <c r="G1118" s="42" t="n">
        <v>205000</v>
      </c>
      <c r="H1118" s="42"/>
      <c r="I1118" s="44"/>
      <c r="J1118" s="11" t="n">
        <f aca="false">IF(D1118="","",N(G1118)-N(H1118))</f>
        <v>205000</v>
      </c>
      <c r="K1118" s="34" t="str">
        <f aca="false">IF(D1118="","",IFERROR(INDEX(I_COA!$C$6:$C$265,MATCH(D1118,I_COA!$A$6:$A$265,0)),"AKUN BARU"))</f>
        <v>LabaRugi</v>
      </c>
      <c r="L1118" s="34" t="str">
        <f aca="false">IF(K1118="LabaRugi",INDEX(I_COA!$D$6:$D$265,MATCH(D1118,I_COA!$A$6:$A$265,0)),"")</f>
        <v>Office Transportation expenses</v>
      </c>
      <c r="M1118" s="34" t="str">
        <f aca="false">IF(K1118="Neraca",INDEX(I_COA!$E$6:$E$265,MATCH(D1118,I_COA!$A$6:$A$265,0)),"")</f>
        <v/>
      </c>
      <c r="N1118" s="34" t="str">
        <f aca="false">IF(D1118="","",IFERROR(INDEX(I_COA!$G$6:$G$265,MATCH(D1118,I_COA!$A$6:$A$265,0)),"N"))</f>
        <v>N</v>
      </c>
      <c r="O1118" s="11" t="n">
        <f aca="false">IF(N1118="N",ABS(J1118),"")</f>
        <v>205000</v>
      </c>
      <c r="P1118" s="18" t="str">
        <f aca="false">IF(N1118="N",B1118&amp;"|"&amp;ROUND(O1118,0),"")</f>
        <v>B8526080070|205000</v>
      </c>
      <c r="Q1118" s="18" t="str">
        <f aca="false">IF(N1118&lt;&gt;"Y","",IFERROR(INDEX($D$6:$D$4005,MATCH(B1118&amp;"|"&amp;ROUND(_xlfn.MAXIFS($O$6:$O$4005,$B$6:$B$4005,B1118,$N$6:$N$4005,"N"),0),$P$6:$P$4005,0)),"(tanpa lawan)"))</f>
        <v/>
      </c>
      <c r="R1118" s="44"/>
      <c r="S1118" s="9" t="str">
        <f aca="false">IF(N1118&lt;&gt;"Y","",IF(R1118&lt;&gt;"",R1118,IF(Q1118="(tanpa lawan)","Transfer antar rekening",IFERROR(INDEX(I_COA!$F$6:$F$265,MATCH(Q1118,I_COA!$A$6:$A$265,0)),"?"))))</f>
        <v/>
      </c>
    </row>
    <row r="1119" customFormat="false" ht="15" hidden="false" customHeight="false" outlineLevel="0" collapsed="false">
      <c r="A1119" s="37" t="n">
        <v>46252</v>
      </c>
      <c r="B1119" s="44" t="s">
        <v>1491</v>
      </c>
      <c r="C1119" s="44" t="s">
        <v>580</v>
      </c>
      <c r="D1119" s="44" t="n">
        <v>6200011</v>
      </c>
      <c r="E1119" s="44" t="s">
        <v>935</v>
      </c>
      <c r="F1119" s="44" t="s">
        <v>1495</v>
      </c>
      <c r="G1119" s="42" t="n">
        <v>42000</v>
      </c>
      <c r="H1119" s="42"/>
      <c r="I1119" s="44"/>
      <c r="J1119" s="11" t="n">
        <f aca="false">IF(D1119="","",N(G1119)-N(H1119))</f>
        <v>42000</v>
      </c>
      <c r="K1119" s="34" t="str">
        <f aca="false">IF(D1119="","",IFERROR(INDEX(I_COA!$C$6:$C$265,MATCH(D1119,I_COA!$A$6:$A$265,0)),"AKUN BARU"))</f>
        <v>LabaRugi</v>
      </c>
      <c r="L1119" s="34" t="str">
        <f aca="false">IF(K1119="LabaRugi",INDEX(I_COA!$D$6:$D$265,MATCH(D1119,I_COA!$A$6:$A$265,0)),"")</f>
        <v>Office Supplies &amp; Utilities</v>
      </c>
      <c r="M1119" s="34" t="str">
        <f aca="false">IF(K1119="Neraca",INDEX(I_COA!$E$6:$E$265,MATCH(D1119,I_COA!$A$6:$A$265,0)),"")</f>
        <v/>
      </c>
      <c r="N1119" s="34" t="str">
        <f aca="false">IF(D1119="","",IFERROR(INDEX(I_COA!$G$6:$G$265,MATCH(D1119,I_COA!$A$6:$A$265,0)),"N"))</f>
        <v>N</v>
      </c>
      <c r="O1119" s="11" t="n">
        <f aca="false">IF(N1119="N",ABS(J1119),"")</f>
        <v>42000</v>
      </c>
      <c r="P1119" s="18" t="str">
        <f aca="false">IF(N1119="N",B1119&amp;"|"&amp;ROUND(O1119,0),"")</f>
        <v>B8526080070|42000</v>
      </c>
      <c r="Q1119" s="18" t="str">
        <f aca="false">IF(N1119&lt;&gt;"Y","",IFERROR(INDEX($D$6:$D$4005,MATCH(B1119&amp;"|"&amp;ROUND(_xlfn.MAXIFS($O$6:$O$4005,$B$6:$B$4005,B1119,$N$6:$N$4005,"N"),0),$P$6:$P$4005,0)),"(tanpa lawan)"))</f>
        <v/>
      </c>
      <c r="R1119" s="44"/>
      <c r="S1119" s="9" t="str">
        <f aca="false">IF(N1119&lt;&gt;"Y","",IF(R1119&lt;&gt;"",R1119,IF(Q1119="(tanpa lawan)","Transfer antar rekening",IFERROR(INDEX(I_COA!$F$6:$F$265,MATCH(Q1119,I_COA!$A$6:$A$265,0)),"?"))))</f>
        <v/>
      </c>
    </row>
    <row r="1120" customFormat="false" ht="15" hidden="false" customHeight="false" outlineLevel="0" collapsed="false">
      <c r="A1120" s="37" t="n">
        <v>46252</v>
      </c>
      <c r="B1120" s="44" t="s">
        <v>1491</v>
      </c>
      <c r="C1120" s="44" t="s">
        <v>580</v>
      </c>
      <c r="D1120" s="44" t="n">
        <v>6200004</v>
      </c>
      <c r="E1120" s="44" t="s">
        <v>1496</v>
      </c>
      <c r="F1120" s="44" t="s">
        <v>1497</v>
      </c>
      <c r="G1120" s="42" t="n">
        <v>160800</v>
      </c>
      <c r="H1120" s="42"/>
      <c r="I1120" s="44"/>
      <c r="J1120" s="11" t="n">
        <f aca="false">IF(D1120="","",N(G1120)-N(H1120))</f>
        <v>160800</v>
      </c>
      <c r="K1120" s="34" t="str">
        <f aca="false">IF(D1120="","",IFERROR(INDEX(I_COA!$C$6:$C$265,MATCH(D1120,I_COA!$A$6:$A$265,0)),"AKUN BARU"))</f>
        <v>LabaRugi</v>
      </c>
      <c r="L1120" s="34" t="str">
        <f aca="false">IF(K1120="LabaRugi",INDEX(I_COA!$D$6:$D$265,MATCH(D1120,I_COA!$A$6:$A$265,0)),"")</f>
        <v>Office Transportation expenses</v>
      </c>
      <c r="M1120" s="34" t="str">
        <f aca="false">IF(K1120="Neraca",INDEX(I_COA!$E$6:$E$265,MATCH(D1120,I_COA!$A$6:$A$265,0)),"")</f>
        <v/>
      </c>
      <c r="N1120" s="34" t="str">
        <f aca="false">IF(D1120="","",IFERROR(INDEX(I_COA!$G$6:$G$265,MATCH(D1120,I_COA!$A$6:$A$265,0)),"N"))</f>
        <v>N</v>
      </c>
      <c r="O1120" s="11" t="n">
        <f aca="false">IF(N1120="N",ABS(J1120),"")</f>
        <v>160800</v>
      </c>
      <c r="P1120" s="18" t="str">
        <f aca="false">IF(N1120="N",B1120&amp;"|"&amp;ROUND(O1120,0),"")</f>
        <v>B8526080070|160800</v>
      </c>
      <c r="Q1120" s="18" t="str">
        <f aca="false">IF(N1120&lt;&gt;"Y","",IFERROR(INDEX($D$6:$D$4005,MATCH(B1120&amp;"|"&amp;ROUND(_xlfn.MAXIFS($O$6:$O$4005,$B$6:$B$4005,B1120,$N$6:$N$4005,"N"),0),$P$6:$P$4005,0)),"(tanpa lawan)"))</f>
        <v/>
      </c>
      <c r="R1120" s="44"/>
      <c r="S1120" s="9" t="str">
        <f aca="false">IF(N1120&lt;&gt;"Y","",IF(R1120&lt;&gt;"",R1120,IF(Q1120="(tanpa lawan)","Transfer antar rekening",IFERROR(INDEX(I_COA!$F$6:$F$265,MATCH(Q1120,I_COA!$A$6:$A$265,0)),"?"))))</f>
        <v/>
      </c>
    </row>
    <row r="1121" customFormat="false" ht="15" hidden="false" customHeight="false" outlineLevel="0" collapsed="false">
      <c r="A1121" s="37" t="n">
        <v>46252</v>
      </c>
      <c r="B1121" s="44" t="s">
        <v>1491</v>
      </c>
      <c r="C1121" s="44" t="s">
        <v>580</v>
      </c>
      <c r="D1121" s="44" t="n">
        <v>1103120</v>
      </c>
      <c r="E1121" s="44" t="s">
        <v>640</v>
      </c>
      <c r="F1121" s="44" t="s">
        <v>1498</v>
      </c>
      <c r="G1121" s="42" t="n">
        <v>2800000</v>
      </c>
      <c r="H1121" s="42"/>
      <c r="I1121" s="44" t="s">
        <v>660</v>
      </c>
      <c r="J1121" s="11" t="n">
        <f aca="false">IF(D1121="","",N(G1121)-N(H1121))</f>
        <v>2800000</v>
      </c>
      <c r="K1121" s="34" t="str">
        <f aca="false">IF(D1121="","",IFERROR(INDEX(I_COA!$C$6:$C$265,MATCH(D1121,I_COA!$A$6:$A$265,0)),"AKUN BARU"))</f>
        <v>Neraca</v>
      </c>
      <c r="L1121" s="34" t="str">
        <f aca="false">IF(K1121="LabaRugi",INDEX(I_COA!$D$6:$D$265,MATCH(D1121,I_COA!$A$6:$A$265,0)),"")</f>
        <v/>
      </c>
      <c r="M1121" s="34" t="str">
        <f aca="false">IF(K1121="Neraca",INDEX(I_COA!$E$6:$E$265,MATCH(D1121,I_COA!$A$6:$A$265,0)),"")</f>
        <v>Advance Payment</v>
      </c>
      <c r="N1121" s="34" t="str">
        <f aca="false">IF(D1121="","",IFERROR(INDEX(I_COA!$G$6:$G$265,MATCH(D1121,I_COA!$A$6:$A$265,0)),"N"))</f>
        <v>N</v>
      </c>
      <c r="O1121" s="11" t="n">
        <f aca="false">IF(N1121="N",ABS(J1121),"")</f>
        <v>2800000</v>
      </c>
      <c r="P1121" s="18" t="str">
        <f aca="false">IF(N1121="N",B1121&amp;"|"&amp;ROUND(O1121,0),"")</f>
        <v>B8526080070|2800000</v>
      </c>
      <c r="Q1121" s="18" t="str">
        <f aca="false">IF(N1121&lt;&gt;"Y","",IFERROR(INDEX($D$6:$D$4005,MATCH(B1121&amp;"|"&amp;ROUND(_xlfn.MAXIFS($O$6:$O$4005,$B$6:$B$4005,B1121,$N$6:$N$4005,"N"),0),$P$6:$P$4005,0)),"(tanpa lawan)"))</f>
        <v/>
      </c>
      <c r="R1121" s="44"/>
      <c r="S1121" s="9" t="str">
        <f aca="false">IF(N1121&lt;&gt;"Y","",IF(R1121&lt;&gt;"",R1121,IF(Q1121="(tanpa lawan)","Transfer antar rekening",IFERROR(INDEX(I_COA!$F$6:$F$265,MATCH(Q1121,I_COA!$A$6:$A$265,0)),"?"))))</f>
        <v/>
      </c>
    </row>
    <row r="1122" customFormat="false" ht="15" hidden="false" customHeight="false" outlineLevel="0" collapsed="false">
      <c r="A1122" s="37" t="n">
        <v>46252</v>
      </c>
      <c r="B1122" s="44" t="s">
        <v>1491</v>
      </c>
      <c r="C1122" s="44" t="s">
        <v>580</v>
      </c>
      <c r="D1122" s="44" t="n">
        <v>1103120</v>
      </c>
      <c r="E1122" s="44" t="s">
        <v>640</v>
      </c>
      <c r="F1122" s="44" t="s">
        <v>1499</v>
      </c>
      <c r="G1122" s="42" t="n">
        <v>350000</v>
      </c>
      <c r="H1122" s="42"/>
      <c r="I1122" s="44" t="s">
        <v>660</v>
      </c>
      <c r="J1122" s="11" t="n">
        <f aca="false">IF(D1122="","",N(G1122)-N(H1122))</f>
        <v>350000</v>
      </c>
      <c r="K1122" s="34" t="str">
        <f aca="false">IF(D1122="","",IFERROR(INDEX(I_COA!$C$6:$C$265,MATCH(D1122,I_COA!$A$6:$A$265,0)),"AKUN BARU"))</f>
        <v>Neraca</v>
      </c>
      <c r="L1122" s="34" t="str">
        <f aca="false">IF(K1122="LabaRugi",INDEX(I_COA!$D$6:$D$265,MATCH(D1122,I_COA!$A$6:$A$265,0)),"")</f>
        <v/>
      </c>
      <c r="M1122" s="34" t="str">
        <f aca="false">IF(K1122="Neraca",INDEX(I_COA!$E$6:$E$265,MATCH(D1122,I_COA!$A$6:$A$265,0)),"")</f>
        <v>Advance Payment</v>
      </c>
      <c r="N1122" s="34" t="str">
        <f aca="false">IF(D1122="","",IFERROR(INDEX(I_COA!$G$6:$G$265,MATCH(D1122,I_COA!$A$6:$A$265,0)),"N"))</f>
        <v>N</v>
      </c>
      <c r="O1122" s="11" t="n">
        <f aca="false">IF(N1122="N",ABS(J1122),"")</f>
        <v>350000</v>
      </c>
      <c r="P1122" s="18" t="str">
        <f aca="false">IF(N1122="N",B1122&amp;"|"&amp;ROUND(O1122,0),"")</f>
        <v>B8526080070|350000</v>
      </c>
      <c r="Q1122" s="18" t="str">
        <f aca="false">IF(N1122&lt;&gt;"Y","",IFERROR(INDEX($D$6:$D$4005,MATCH(B1122&amp;"|"&amp;ROUND(_xlfn.MAXIFS($O$6:$O$4005,$B$6:$B$4005,B1122,$N$6:$N$4005,"N"),0),$P$6:$P$4005,0)),"(tanpa lawan)"))</f>
        <v/>
      </c>
      <c r="R1122" s="44"/>
      <c r="S1122" s="9" t="str">
        <f aca="false">IF(N1122&lt;&gt;"Y","",IF(R1122&lt;&gt;"",R1122,IF(Q1122="(tanpa lawan)","Transfer antar rekening",IFERROR(INDEX(I_COA!$F$6:$F$265,MATCH(Q1122,I_COA!$A$6:$A$265,0)),"?"))))</f>
        <v/>
      </c>
    </row>
    <row r="1123" customFormat="false" ht="15" hidden="false" customHeight="false" outlineLevel="0" collapsed="false">
      <c r="A1123" s="37" t="n">
        <v>46252</v>
      </c>
      <c r="B1123" s="44" t="s">
        <v>1491</v>
      </c>
      <c r="C1123" s="44" t="s">
        <v>580</v>
      </c>
      <c r="D1123" s="44" t="n">
        <v>1103120</v>
      </c>
      <c r="E1123" s="44" t="s">
        <v>640</v>
      </c>
      <c r="F1123" s="44" t="s">
        <v>1500</v>
      </c>
      <c r="G1123" s="42" t="n">
        <v>250000</v>
      </c>
      <c r="H1123" s="42"/>
      <c r="I1123" s="44" t="s">
        <v>660</v>
      </c>
      <c r="J1123" s="11" t="n">
        <f aca="false">IF(D1123="","",N(G1123)-N(H1123))</f>
        <v>250000</v>
      </c>
      <c r="K1123" s="34" t="str">
        <f aca="false">IF(D1123="","",IFERROR(INDEX(I_COA!$C$6:$C$265,MATCH(D1123,I_COA!$A$6:$A$265,0)),"AKUN BARU"))</f>
        <v>Neraca</v>
      </c>
      <c r="L1123" s="34" t="str">
        <f aca="false">IF(K1123="LabaRugi",INDEX(I_COA!$D$6:$D$265,MATCH(D1123,I_COA!$A$6:$A$265,0)),"")</f>
        <v/>
      </c>
      <c r="M1123" s="34" t="str">
        <f aca="false">IF(K1123="Neraca",INDEX(I_COA!$E$6:$E$265,MATCH(D1123,I_COA!$A$6:$A$265,0)),"")</f>
        <v>Advance Payment</v>
      </c>
      <c r="N1123" s="34" t="str">
        <f aca="false">IF(D1123="","",IFERROR(INDEX(I_COA!$G$6:$G$265,MATCH(D1123,I_COA!$A$6:$A$265,0)),"N"))</f>
        <v>N</v>
      </c>
      <c r="O1123" s="11" t="n">
        <f aca="false">IF(N1123="N",ABS(J1123),"")</f>
        <v>250000</v>
      </c>
      <c r="P1123" s="18" t="str">
        <f aca="false">IF(N1123="N",B1123&amp;"|"&amp;ROUND(O1123,0),"")</f>
        <v>B8526080070|250000</v>
      </c>
      <c r="Q1123" s="18" t="str">
        <f aca="false">IF(N1123&lt;&gt;"Y","",IFERROR(INDEX($D$6:$D$4005,MATCH(B1123&amp;"|"&amp;ROUND(_xlfn.MAXIFS($O$6:$O$4005,$B$6:$B$4005,B1123,$N$6:$N$4005,"N"),0),$P$6:$P$4005,0)),"(tanpa lawan)"))</f>
        <v/>
      </c>
      <c r="R1123" s="44"/>
      <c r="S1123" s="9" t="str">
        <f aca="false">IF(N1123&lt;&gt;"Y","",IF(R1123&lt;&gt;"",R1123,IF(Q1123="(tanpa lawan)","Transfer antar rekening",IFERROR(INDEX(I_COA!$F$6:$F$265,MATCH(Q1123,I_COA!$A$6:$A$265,0)),"?"))))</f>
        <v/>
      </c>
    </row>
    <row r="1124" customFormat="false" ht="15" hidden="false" customHeight="false" outlineLevel="0" collapsed="false">
      <c r="A1124" s="37" t="n">
        <v>46252</v>
      </c>
      <c r="B1124" s="44" t="s">
        <v>1491</v>
      </c>
      <c r="C1124" s="44" t="s">
        <v>580</v>
      </c>
      <c r="D1124" s="44" t="n">
        <v>6100006</v>
      </c>
      <c r="E1124" s="44" t="s">
        <v>717</v>
      </c>
      <c r="F1124" s="44" t="s">
        <v>1501</v>
      </c>
      <c r="G1124" s="42" t="n">
        <v>529703</v>
      </c>
      <c r="H1124" s="42"/>
      <c r="I1124" s="44"/>
      <c r="J1124" s="11" t="n">
        <f aca="false">IF(D1124="","",N(G1124)-N(H1124))</f>
        <v>529703</v>
      </c>
      <c r="K1124" s="34" t="str">
        <f aca="false">IF(D1124="","",IFERROR(INDEX(I_COA!$C$6:$C$265,MATCH(D1124,I_COA!$A$6:$A$265,0)),"AKUN BARU"))</f>
        <v>LabaRugi</v>
      </c>
      <c r="L1124" s="34" t="str">
        <f aca="false">IF(K1124="LabaRugi",INDEX(I_COA!$D$6:$D$265,MATCH(D1124,I_COA!$A$6:$A$265,0)),"")</f>
        <v>Delivery Expenses</v>
      </c>
      <c r="M1124" s="34" t="str">
        <f aca="false">IF(K1124="Neraca",INDEX(I_COA!$E$6:$E$265,MATCH(D1124,I_COA!$A$6:$A$265,0)),"")</f>
        <v/>
      </c>
      <c r="N1124" s="34" t="str">
        <f aca="false">IF(D1124="","",IFERROR(INDEX(I_COA!$G$6:$G$265,MATCH(D1124,I_COA!$A$6:$A$265,0)),"N"))</f>
        <v>N</v>
      </c>
      <c r="O1124" s="11" t="n">
        <f aca="false">IF(N1124="N",ABS(J1124),"")</f>
        <v>529703</v>
      </c>
      <c r="P1124" s="18" t="str">
        <f aca="false">IF(N1124="N",B1124&amp;"|"&amp;ROUND(O1124,0),"")</f>
        <v>B8526080070|529703</v>
      </c>
      <c r="Q1124" s="18" t="str">
        <f aca="false">IF(N1124&lt;&gt;"Y","",IFERROR(INDEX($D$6:$D$4005,MATCH(B1124&amp;"|"&amp;ROUND(_xlfn.MAXIFS($O$6:$O$4005,$B$6:$B$4005,B1124,$N$6:$N$4005,"N"),0),$P$6:$P$4005,0)),"(tanpa lawan)"))</f>
        <v/>
      </c>
      <c r="R1124" s="44"/>
      <c r="S1124" s="9" t="str">
        <f aca="false">IF(N1124&lt;&gt;"Y","",IF(R1124&lt;&gt;"",R1124,IF(Q1124="(tanpa lawan)","Transfer antar rekening",IFERROR(INDEX(I_COA!$F$6:$F$265,MATCH(Q1124,I_COA!$A$6:$A$265,0)),"?"))))</f>
        <v/>
      </c>
    </row>
    <row r="1125" customFormat="false" ht="15" hidden="false" customHeight="false" outlineLevel="0" collapsed="false">
      <c r="A1125" s="37" t="n">
        <v>46252</v>
      </c>
      <c r="B1125" s="44" t="s">
        <v>1491</v>
      </c>
      <c r="C1125" s="44" t="s">
        <v>580</v>
      </c>
      <c r="D1125" s="44" t="n">
        <v>1103120</v>
      </c>
      <c r="E1125" s="44" t="s">
        <v>640</v>
      </c>
      <c r="F1125" s="44" t="s">
        <v>1502</v>
      </c>
      <c r="G1125" s="42" t="n">
        <v>120297</v>
      </c>
      <c r="H1125" s="42"/>
      <c r="I1125" s="44" t="s">
        <v>660</v>
      </c>
      <c r="J1125" s="11" t="n">
        <f aca="false">IF(D1125="","",N(G1125)-N(H1125))</f>
        <v>120297</v>
      </c>
      <c r="K1125" s="34" t="str">
        <f aca="false">IF(D1125="","",IFERROR(INDEX(I_COA!$C$6:$C$265,MATCH(D1125,I_COA!$A$6:$A$265,0)),"AKUN BARU"))</f>
        <v>Neraca</v>
      </c>
      <c r="L1125" s="34" t="str">
        <f aca="false">IF(K1125="LabaRugi",INDEX(I_COA!$D$6:$D$265,MATCH(D1125,I_COA!$A$6:$A$265,0)),"")</f>
        <v/>
      </c>
      <c r="M1125" s="34" t="str">
        <f aca="false">IF(K1125="Neraca",INDEX(I_COA!$E$6:$E$265,MATCH(D1125,I_COA!$A$6:$A$265,0)),"")</f>
        <v>Advance Payment</v>
      </c>
      <c r="N1125" s="34" t="str">
        <f aca="false">IF(D1125="","",IFERROR(INDEX(I_COA!$G$6:$G$265,MATCH(D1125,I_COA!$A$6:$A$265,0)),"N"))</f>
        <v>N</v>
      </c>
      <c r="O1125" s="11" t="n">
        <f aca="false">IF(N1125="N",ABS(J1125),"")</f>
        <v>120297</v>
      </c>
      <c r="P1125" s="18" t="str">
        <f aca="false">IF(N1125="N",B1125&amp;"|"&amp;ROUND(O1125,0),"")</f>
        <v>B8526080070|120297</v>
      </c>
      <c r="Q1125" s="18" t="str">
        <f aca="false">IF(N1125&lt;&gt;"Y","",IFERROR(INDEX($D$6:$D$4005,MATCH(B1125&amp;"|"&amp;ROUND(_xlfn.MAXIFS($O$6:$O$4005,$B$6:$B$4005,B1125,$N$6:$N$4005,"N"),0),$P$6:$P$4005,0)),"(tanpa lawan)"))</f>
        <v/>
      </c>
      <c r="R1125" s="44"/>
      <c r="S1125" s="9" t="str">
        <f aca="false">IF(N1125&lt;&gt;"Y","",IF(R1125&lt;&gt;"",R1125,IF(Q1125="(tanpa lawan)","Transfer antar rekening",IFERROR(INDEX(I_COA!$F$6:$F$265,MATCH(Q1125,I_COA!$A$6:$A$265,0)),"?"))))</f>
        <v/>
      </c>
    </row>
    <row r="1126" customFormat="false" ht="15" hidden="false" customHeight="false" outlineLevel="0" collapsed="false">
      <c r="A1126" s="37" t="n">
        <v>46252</v>
      </c>
      <c r="B1126" s="44" t="s">
        <v>1491</v>
      </c>
      <c r="C1126" s="44" t="s">
        <v>580</v>
      </c>
      <c r="D1126" s="44" t="n">
        <v>1103120</v>
      </c>
      <c r="E1126" s="44" t="s">
        <v>640</v>
      </c>
      <c r="F1126" s="44" t="s">
        <v>1503</v>
      </c>
      <c r="G1126" s="42" t="n">
        <v>500000</v>
      </c>
      <c r="H1126" s="42"/>
      <c r="I1126" s="44" t="s">
        <v>660</v>
      </c>
      <c r="J1126" s="11" t="n">
        <f aca="false">IF(D1126="","",N(G1126)-N(H1126))</f>
        <v>500000</v>
      </c>
      <c r="K1126" s="34" t="str">
        <f aca="false">IF(D1126="","",IFERROR(INDEX(I_COA!$C$6:$C$265,MATCH(D1126,I_COA!$A$6:$A$265,0)),"AKUN BARU"))</f>
        <v>Neraca</v>
      </c>
      <c r="L1126" s="34" t="str">
        <f aca="false">IF(K1126="LabaRugi",INDEX(I_COA!$D$6:$D$265,MATCH(D1126,I_COA!$A$6:$A$265,0)),"")</f>
        <v/>
      </c>
      <c r="M1126" s="34" t="str">
        <f aca="false">IF(K1126="Neraca",INDEX(I_COA!$E$6:$E$265,MATCH(D1126,I_COA!$A$6:$A$265,0)),"")</f>
        <v>Advance Payment</v>
      </c>
      <c r="N1126" s="34" t="str">
        <f aca="false">IF(D1126="","",IFERROR(INDEX(I_COA!$G$6:$G$265,MATCH(D1126,I_COA!$A$6:$A$265,0)),"N"))</f>
        <v>N</v>
      </c>
      <c r="O1126" s="11" t="n">
        <f aca="false">IF(N1126="N",ABS(J1126),"")</f>
        <v>500000</v>
      </c>
      <c r="P1126" s="18" t="str">
        <f aca="false">IF(N1126="N",B1126&amp;"|"&amp;ROUND(O1126,0),"")</f>
        <v>B8526080070|500000</v>
      </c>
      <c r="Q1126" s="18" t="str">
        <f aca="false">IF(N1126&lt;&gt;"Y","",IFERROR(INDEX($D$6:$D$4005,MATCH(B1126&amp;"|"&amp;ROUND(_xlfn.MAXIFS($O$6:$O$4005,$B$6:$B$4005,B1126,$N$6:$N$4005,"N"),0),$P$6:$P$4005,0)),"(tanpa lawan)"))</f>
        <v/>
      </c>
      <c r="R1126" s="44"/>
      <c r="S1126" s="9" t="str">
        <f aca="false">IF(N1126&lt;&gt;"Y","",IF(R1126&lt;&gt;"",R1126,IF(Q1126="(tanpa lawan)","Transfer antar rekening",IFERROR(INDEX(I_COA!$F$6:$F$265,MATCH(Q1126,I_COA!$A$6:$A$265,0)),"?"))))</f>
        <v/>
      </c>
    </row>
    <row r="1127" customFormat="false" ht="15" hidden="false" customHeight="false" outlineLevel="0" collapsed="false">
      <c r="A1127" s="37" t="n">
        <v>46252</v>
      </c>
      <c r="B1127" s="44" t="s">
        <v>1491</v>
      </c>
      <c r="C1127" s="44" t="s">
        <v>580</v>
      </c>
      <c r="D1127" s="44" t="n">
        <v>6200004</v>
      </c>
      <c r="E1127" s="44" t="s">
        <v>1496</v>
      </c>
      <c r="F1127" s="44" t="s">
        <v>1497</v>
      </c>
      <c r="G1127" s="42" t="n">
        <v>197600</v>
      </c>
      <c r="H1127" s="42"/>
      <c r="I1127" s="44"/>
      <c r="J1127" s="11" t="n">
        <f aca="false">IF(D1127="","",N(G1127)-N(H1127))</f>
        <v>197600</v>
      </c>
      <c r="K1127" s="34" t="str">
        <f aca="false">IF(D1127="","",IFERROR(INDEX(I_COA!$C$6:$C$265,MATCH(D1127,I_COA!$A$6:$A$265,0)),"AKUN BARU"))</f>
        <v>LabaRugi</v>
      </c>
      <c r="L1127" s="34" t="str">
        <f aca="false">IF(K1127="LabaRugi",INDEX(I_COA!$D$6:$D$265,MATCH(D1127,I_COA!$A$6:$A$265,0)),"")</f>
        <v>Office Transportation expenses</v>
      </c>
      <c r="M1127" s="34" t="str">
        <f aca="false">IF(K1127="Neraca",INDEX(I_COA!$E$6:$E$265,MATCH(D1127,I_COA!$A$6:$A$265,0)),"")</f>
        <v/>
      </c>
      <c r="N1127" s="34" t="str">
        <f aca="false">IF(D1127="","",IFERROR(INDEX(I_COA!$G$6:$G$265,MATCH(D1127,I_COA!$A$6:$A$265,0)),"N"))</f>
        <v>N</v>
      </c>
      <c r="O1127" s="11" t="n">
        <f aca="false">IF(N1127="N",ABS(J1127),"")</f>
        <v>197600</v>
      </c>
      <c r="P1127" s="18" t="str">
        <f aca="false">IF(N1127="N",B1127&amp;"|"&amp;ROUND(O1127,0),"")</f>
        <v>B8526080070|197600</v>
      </c>
      <c r="Q1127" s="18" t="str">
        <f aca="false">IF(N1127&lt;&gt;"Y","",IFERROR(INDEX($D$6:$D$4005,MATCH(B1127&amp;"|"&amp;ROUND(_xlfn.MAXIFS($O$6:$O$4005,$B$6:$B$4005,B1127,$N$6:$N$4005,"N"),0),$P$6:$P$4005,0)),"(tanpa lawan)"))</f>
        <v/>
      </c>
      <c r="R1127" s="44"/>
      <c r="S1127" s="9" t="str">
        <f aca="false">IF(N1127&lt;&gt;"Y","",IF(R1127&lt;&gt;"",R1127,IF(Q1127="(tanpa lawan)","Transfer antar rekening",IFERROR(INDEX(I_COA!$F$6:$F$265,MATCH(Q1127,I_COA!$A$6:$A$265,0)),"?"))))</f>
        <v/>
      </c>
    </row>
    <row r="1128" customFormat="false" ht="15" hidden="false" customHeight="false" outlineLevel="0" collapsed="false">
      <c r="A1128" s="37" t="n">
        <v>46252</v>
      </c>
      <c r="B1128" s="44" t="s">
        <v>1491</v>
      </c>
      <c r="C1128" s="44" t="s">
        <v>580</v>
      </c>
      <c r="D1128" s="44" t="n">
        <v>1102002</v>
      </c>
      <c r="E1128" s="44" t="s">
        <v>598</v>
      </c>
      <c r="F1128" s="44" t="s">
        <v>1504</v>
      </c>
      <c r="G1128" s="42"/>
      <c r="H1128" s="42" t="n">
        <v>10938716</v>
      </c>
      <c r="I1128" s="44"/>
      <c r="J1128" s="11" t="n">
        <f aca="false">IF(D1128="","",N(G1128)-N(H1128))</f>
        <v>-10938716</v>
      </c>
      <c r="K1128" s="34" t="str">
        <f aca="false">IF(D1128="","",IFERROR(INDEX(I_COA!$C$6:$C$265,MATCH(D1128,I_COA!$A$6:$A$265,0)),"AKUN BARU"))</f>
        <v>Neraca</v>
      </c>
      <c r="L1128" s="34" t="str">
        <f aca="false">IF(K1128="LabaRugi",INDEX(I_COA!$D$6:$D$265,MATCH(D1128,I_COA!$A$6:$A$265,0)),"")</f>
        <v/>
      </c>
      <c r="M1128" s="34" t="str">
        <f aca="false">IF(K1128="Neraca",INDEX(I_COA!$E$6:$E$265,MATCH(D1128,I_COA!$A$6:$A$265,0)),"")</f>
        <v>Cash and cash equivalents</v>
      </c>
      <c r="N1128" s="34" t="str">
        <f aca="false">IF(D1128="","",IFERROR(INDEX(I_COA!$G$6:$G$265,MATCH(D1128,I_COA!$A$6:$A$265,0)),"N"))</f>
        <v>Y</v>
      </c>
      <c r="O1128" s="11" t="str">
        <f aca="false">IF(N1128="N",ABS(J1128),"")</f>
        <v/>
      </c>
      <c r="P1128" s="18" t="str">
        <f aca="false">IF(N1128="N",B1128&amp;"|"&amp;ROUND(O1128,0),"")</f>
        <v/>
      </c>
      <c r="Q1128" s="18" t="n">
        <f aca="false">IF(N1128&lt;&gt;"Y","",IFERROR(INDEX($D$6:$D$4005,MATCH(B1128&amp;"|"&amp;ROUND(_xlfn.MAXIFS($O$6:$O$4005,$B$6:$B$4005,B1128,$N$6:$N$4005,"N"),0),$P$6:$P$4005,0)),"(tanpa lawan)"))</f>
        <v>1103120</v>
      </c>
      <c r="R1128" s="44"/>
      <c r="S1128" s="9" t="str">
        <f aca="false">IF(N1128&lt;&gt;"Y","",IF(R1128&lt;&gt;"",R1128,IF(Q1128="(tanpa lawan)","Transfer antar rekening",IFERROR(INDEX(I_COA!$F$6:$F$265,MATCH(Q1128,I_COA!$A$6:$A$265,0)),"?"))))</f>
        <v>Bayar biaya operasional lain</v>
      </c>
    </row>
    <row r="1129" customFormat="false" ht="15" hidden="false" customHeight="false" outlineLevel="0" collapsed="false">
      <c r="A1129" s="37" t="n">
        <v>46252</v>
      </c>
      <c r="B1129" s="44" t="s">
        <v>1505</v>
      </c>
      <c r="C1129" s="44" t="s">
        <v>690</v>
      </c>
      <c r="D1129" s="44" t="n">
        <v>1104005</v>
      </c>
      <c r="E1129" s="44" t="s">
        <v>1506</v>
      </c>
      <c r="F1129" s="44" t="s">
        <v>1507</v>
      </c>
      <c r="G1129" s="42" t="n">
        <v>13800000</v>
      </c>
      <c r="H1129" s="42"/>
      <c r="I1129" s="44" t="s">
        <v>1508</v>
      </c>
      <c r="J1129" s="11" t="n">
        <f aca="false">IF(D1129="","",N(G1129)-N(H1129))</f>
        <v>13800000</v>
      </c>
      <c r="K1129" s="34" t="str">
        <f aca="false">IF(D1129="","",IFERROR(INDEX(I_COA!$C$6:$C$265,MATCH(D1129,I_COA!$A$6:$A$265,0)),"AKUN BARU"))</f>
        <v>Neraca</v>
      </c>
      <c r="L1129" s="34" t="str">
        <f aca="false">IF(K1129="LabaRugi",INDEX(I_COA!$D$6:$D$265,MATCH(D1129,I_COA!$A$6:$A$265,0)),"")</f>
        <v/>
      </c>
      <c r="M1129" s="34" t="str">
        <f aca="false">IF(K1129="Neraca",INDEX(I_COA!$E$6:$E$265,MATCH(D1129,I_COA!$A$6:$A$265,0)),"")</f>
        <v>Inventory - Product</v>
      </c>
      <c r="N1129" s="34" t="str">
        <f aca="false">IF(D1129="","",IFERROR(INDEX(I_COA!$G$6:$G$265,MATCH(D1129,I_COA!$A$6:$A$265,0)),"N"))</f>
        <v>N</v>
      </c>
      <c r="O1129" s="11" t="n">
        <f aca="false">IF(N1129="N",ABS(J1129),"")</f>
        <v>13800000</v>
      </c>
      <c r="P1129" s="18" t="str">
        <f aca="false">IF(N1129="N",B1129&amp;"|"&amp;ROUND(O1129,0),"")</f>
        <v>GR26080013|13800000</v>
      </c>
      <c r="Q1129" s="18" t="str">
        <f aca="false">IF(N1129&lt;&gt;"Y","",IFERROR(INDEX($D$6:$D$4005,MATCH(B1129&amp;"|"&amp;ROUND(_xlfn.MAXIFS($O$6:$O$4005,$B$6:$B$4005,B1129,$N$6:$N$4005,"N"),0),$P$6:$P$4005,0)),"(tanpa lawan)"))</f>
        <v/>
      </c>
      <c r="R1129" s="44"/>
      <c r="S1129" s="9" t="str">
        <f aca="false">IF(N1129&lt;&gt;"Y","",IF(R1129&lt;&gt;"",R1129,IF(Q1129="(tanpa lawan)","Transfer antar rekening",IFERROR(INDEX(I_COA!$F$6:$F$265,MATCH(Q1129,I_COA!$A$6:$A$265,0)),"?"))))</f>
        <v/>
      </c>
    </row>
    <row r="1130" customFormat="false" ht="15" hidden="false" customHeight="false" outlineLevel="0" collapsed="false">
      <c r="A1130" s="37" t="n">
        <v>46252</v>
      </c>
      <c r="B1130" s="44" t="s">
        <v>1505</v>
      </c>
      <c r="C1130" s="44" t="s">
        <v>690</v>
      </c>
      <c r="D1130" s="44" t="n">
        <v>2103011</v>
      </c>
      <c r="E1130" s="44" t="s">
        <v>693</v>
      </c>
      <c r="F1130" s="44" t="s">
        <v>1507</v>
      </c>
      <c r="G1130" s="42"/>
      <c r="H1130" s="42" t="n">
        <v>13800000</v>
      </c>
      <c r="I1130" s="44" t="s">
        <v>1508</v>
      </c>
      <c r="J1130" s="11" t="n">
        <f aca="false">IF(D1130="","",N(G1130)-N(H1130))</f>
        <v>-13800000</v>
      </c>
      <c r="K1130" s="34" t="str">
        <f aca="false">IF(D1130="","",IFERROR(INDEX(I_COA!$C$6:$C$265,MATCH(D1130,I_COA!$A$6:$A$265,0)),"AKUN BARU"))</f>
        <v>Neraca</v>
      </c>
      <c r="L1130" s="34" t="str">
        <f aca="false">IF(K1130="LabaRugi",INDEX(I_COA!$D$6:$D$265,MATCH(D1130,I_COA!$A$6:$A$265,0)),"")</f>
        <v/>
      </c>
      <c r="M1130" s="34" t="str">
        <f aca="false">IF(K1130="Neraca",INDEX(I_COA!$E$6:$E$265,MATCH(D1130,I_COA!$A$6:$A$265,0)),"")</f>
        <v>Accrued Expenses - Third Parties</v>
      </c>
      <c r="N1130" s="34" t="str">
        <f aca="false">IF(D1130="","",IFERROR(INDEX(I_COA!$G$6:$G$265,MATCH(D1130,I_COA!$A$6:$A$265,0)),"N"))</f>
        <v>N</v>
      </c>
      <c r="O1130" s="11" t="n">
        <f aca="false">IF(N1130="N",ABS(J1130),"")</f>
        <v>13800000</v>
      </c>
      <c r="P1130" s="18" t="str">
        <f aca="false">IF(N1130="N",B1130&amp;"|"&amp;ROUND(O1130,0),"")</f>
        <v>GR26080013|13800000</v>
      </c>
      <c r="Q1130" s="18" t="str">
        <f aca="false">IF(N1130&lt;&gt;"Y","",IFERROR(INDEX($D$6:$D$4005,MATCH(B1130&amp;"|"&amp;ROUND(_xlfn.MAXIFS($O$6:$O$4005,$B$6:$B$4005,B1130,$N$6:$N$4005,"N"),0),$P$6:$P$4005,0)),"(tanpa lawan)"))</f>
        <v/>
      </c>
      <c r="R1130" s="44"/>
      <c r="S1130" s="9" t="str">
        <f aca="false">IF(N1130&lt;&gt;"Y","",IF(R1130&lt;&gt;"",R1130,IF(Q1130="(tanpa lawan)","Transfer antar rekening",IFERROR(INDEX(I_COA!$F$6:$F$265,MATCH(Q1130,I_COA!$A$6:$A$265,0)),"?"))))</f>
        <v/>
      </c>
    </row>
    <row r="1131" customFormat="false" ht="15" hidden="false" customHeight="false" outlineLevel="0" collapsed="false">
      <c r="A1131" s="37" t="n">
        <v>46252</v>
      </c>
      <c r="B1131" s="44" t="s">
        <v>1509</v>
      </c>
      <c r="C1131" s="44" t="s">
        <v>600</v>
      </c>
      <c r="D1131" s="44" t="n">
        <v>1104002</v>
      </c>
      <c r="E1131" s="44" t="s">
        <v>601</v>
      </c>
      <c r="F1131" s="44" t="s">
        <v>1510</v>
      </c>
      <c r="G1131" s="42" t="n">
        <v>1726142.66</v>
      </c>
      <c r="H1131" s="42"/>
      <c r="I1131" s="44" t="s">
        <v>440</v>
      </c>
      <c r="J1131" s="11" t="n">
        <f aca="false">IF(D1131="","",N(G1131)-N(H1131))</f>
        <v>1726142.66</v>
      </c>
      <c r="K1131" s="34" t="str">
        <f aca="false">IF(D1131="","",IFERROR(INDEX(I_COA!$C$6:$C$265,MATCH(D1131,I_COA!$A$6:$A$265,0)),"AKUN BARU"))</f>
        <v>Neraca</v>
      </c>
      <c r="L1131" s="34" t="str">
        <f aca="false">IF(K1131="LabaRugi",INDEX(I_COA!$D$6:$D$265,MATCH(D1131,I_COA!$A$6:$A$265,0)),"")</f>
        <v/>
      </c>
      <c r="M1131" s="34" t="str">
        <f aca="false">IF(K1131="Neraca",INDEX(I_COA!$E$6:$E$265,MATCH(D1131,I_COA!$A$6:$A$265,0)),"")</f>
        <v>Inventory - Product</v>
      </c>
      <c r="N1131" s="34" t="str">
        <f aca="false">IF(D1131="","",IFERROR(INDEX(I_COA!$G$6:$G$265,MATCH(D1131,I_COA!$A$6:$A$265,0)),"N"))</f>
        <v>N</v>
      </c>
      <c r="O1131" s="11" t="n">
        <f aca="false">IF(N1131="N",ABS(J1131),"")</f>
        <v>1726142.66</v>
      </c>
      <c r="P1131" s="18" t="str">
        <f aca="false">IF(N1131="N",B1131&amp;"|"&amp;ROUND(O1131,0),"")</f>
        <v>KGR26.00277|1726143</v>
      </c>
      <c r="Q1131" s="18" t="str">
        <f aca="false">IF(N1131&lt;&gt;"Y","",IFERROR(INDEX($D$6:$D$4005,MATCH(B1131&amp;"|"&amp;ROUND(_xlfn.MAXIFS($O$6:$O$4005,$B$6:$B$4005,B1131,$N$6:$N$4005,"N"),0),$P$6:$P$4005,0)),"(tanpa lawan)"))</f>
        <v/>
      </c>
      <c r="R1131" s="44"/>
      <c r="S1131" s="9" t="str">
        <f aca="false">IF(N1131&lt;&gt;"Y","",IF(R1131&lt;&gt;"",R1131,IF(Q1131="(tanpa lawan)","Transfer antar rekening",IFERROR(INDEX(I_COA!$F$6:$F$265,MATCH(Q1131,I_COA!$A$6:$A$265,0)),"?"))))</f>
        <v/>
      </c>
    </row>
    <row r="1132" customFormat="false" ht="15" hidden="false" customHeight="false" outlineLevel="0" collapsed="false">
      <c r="A1132" s="37" t="n">
        <v>46252</v>
      </c>
      <c r="B1132" s="44" t="s">
        <v>1509</v>
      </c>
      <c r="C1132" s="44" t="s">
        <v>600</v>
      </c>
      <c r="D1132" s="44" t="n">
        <v>1104003</v>
      </c>
      <c r="E1132" s="44" t="s">
        <v>613</v>
      </c>
      <c r="F1132" s="44" t="s">
        <v>1510</v>
      </c>
      <c r="G1132" s="42"/>
      <c r="H1132" s="42" t="n">
        <v>1726142.66</v>
      </c>
      <c r="I1132" s="44" t="s">
        <v>440</v>
      </c>
      <c r="J1132" s="11" t="n">
        <f aca="false">IF(D1132="","",N(G1132)-N(H1132))</f>
        <v>-1726142.66</v>
      </c>
      <c r="K1132" s="34" t="str">
        <f aca="false">IF(D1132="","",IFERROR(INDEX(I_COA!$C$6:$C$265,MATCH(D1132,I_COA!$A$6:$A$265,0)),"AKUN BARU"))</f>
        <v>Neraca</v>
      </c>
      <c r="L1132" s="34" t="str">
        <f aca="false">IF(K1132="LabaRugi",INDEX(I_COA!$D$6:$D$265,MATCH(D1132,I_COA!$A$6:$A$265,0)),"")</f>
        <v/>
      </c>
      <c r="M1132" s="34" t="str">
        <f aca="false">IF(K1132="Neraca",INDEX(I_COA!$E$6:$E$265,MATCH(D1132,I_COA!$A$6:$A$265,0)),"")</f>
        <v>Inventory - Product</v>
      </c>
      <c r="N1132" s="34" t="str">
        <f aca="false">IF(D1132="","",IFERROR(INDEX(I_COA!$G$6:$G$265,MATCH(D1132,I_COA!$A$6:$A$265,0)),"N"))</f>
        <v>N</v>
      </c>
      <c r="O1132" s="11" t="n">
        <f aca="false">IF(N1132="N",ABS(J1132),"")</f>
        <v>1726142.66</v>
      </c>
      <c r="P1132" s="18" t="str">
        <f aca="false">IF(N1132="N",B1132&amp;"|"&amp;ROUND(O1132,0),"")</f>
        <v>KGR26.00277|1726143</v>
      </c>
      <c r="Q1132" s="18" t="str">
        <f aca="false">IF(N1132&lt;&gt;"Y","",IFERROR(INDEX($D$6:$D$4005,MATCH(B1132&amp;"|"&amp;ROUND(_xlfn.MAXIFS($O$6:$O$4005,$B$6:$B$4005,B1132,$N$6:$N$4005,"N"),0),$P$6:$P$4005,0)),"(tanpa lawan)"))</f>
        <v/>
      </c>
      <c r="R1132" s="44"/>
      <c r="S1132" s="9" t="str">
        <f aca="false">IF(N1132&lt;&gt;"Y","",IF(R1132&lt;&gt;"",R1132,IF(Q1132="(tanpa lawan)","Transfer antar rekening",IFERROR(INDEX(I_COA!$F$6:$F$265,MATCH(Q1132,I_COA!$A$6:$A$265,0)),"?"))))</f>
        <v/>
      </c>
    </row>
    <row r="1133" customFormat="false" ht="15" hidden="false" customHeight="false" outlineLevel="0" collapsed="false">
      <c r="A1133" s="37" t="n">
        <v>46252</v>
      </c>
      <c r="B1133" s="44" t="s">
        <v>1511</v>
      </c>
      <c r="C1133" s="44" t="s">
        <v>600</v>
      </c>
      <c r="D1133" s="44" t="n">
        <v>1104002</v>
      </c>
      <c r="E1133" s="44" t="s">
        <v>601</v>
      </c>
      <c r="F1133" s="44" t="s">
        <v>1512</v>
      </c>
      <c r="G1133" s="42" t="n">
        <v>3552793.69</v>
      </c>
      <c r="H1133" s="42"/>
      <c r="I1133" s="44" t="s">
        <v>440</v>
      </c>
      <c r="J1133" s="11" t="n">
        <f aca="false">IF(D1133="","",N(G1133)-N(H1133))</f>
        <v>3552793.69</v>
      </c>
      <c r="K1133" s="34" t="str">
        <f aca="false">IF(D1133="","",IFERROR(INDEX(I_COA!$C$6:$C$265,MATCH(D1133,I_COA!$A$6:$A$265,0)),"AKUN BARU"))</f>
        <v>Neraca</v>
      </c>
      <c r="L1133" s="34" t="str">
        <f aca="false">IF(K1133="LabaRugi",INDEX(I_COA!$D$6:$D$265,MATCH(D1133,I_COA!$A$6:$A$265,0)),"")</f>
        <v/>
      </c>
      <c r="M1133" s="34" t="str">
        <f aca="false">IF(K1133="Neraca",INDEX(I_COA!$E$6:$E$265,MATCH(D1133,I_COA!$A$6:$A$265,0)),"")</f>
        <v>Inventory - Product</v>
      </c>
      <c r="N1133" s="34" t="str">
        <f aca="false">IF(D1133="","",IFERROR(INDEX(I_COA!$G$6:$G$265,MATCH(D1133,I_COA!$A$6:$A$265,0)),"N"))</f>
        <v>N</v>
      </c>
      <c r="O1133" s="11" t="n">
        <f aca="false">IF(N1133="N",ABS(J1133),"")</f>
        <v>3552793.69</v>
      </c>
      <c r="P1133" s="18" t="str">
        <f aca="false">IF(N1133="N",B1133&amp;"|"&amp;ROUND(O1133,0),"")</f>
        <v>KGR26.00278|3552794</v>
      </c>
      <c r="Q1133" s="18" t="str">
        <f aca="false">IF(N1133&lt;&gt;"Y","",IFERROR(INDEX($D$6:$D$4005,MATCH(B1133&amp;"|"&amp;ROUND(_xlfn.MAXIFS($O$6:$O$4005,$B$6:$B$4005,B1133,$N$6:$N$4005,"N"),0),$P$6:$P$4005,0)),"(tanpa lawan)"))</f>
        <v/>
      </c>
      <c r="R1133" s="44"/>
      <c r="S1133" s="9" t="str">
        <f aca="false">IF(N1133&lt;&gt;"Y","",IF(R1133&lt;&gt;"",R1133,IF(Q1133="(tanpa lawan)","Transfer antar rekening",IFERROR(INDEX(I_COA!$F$6:$F$265,MATCH(Q1133,I_COA!$A$6:$A$265,0)),"?"))))</f>
        <v/>
      </c>
    </row>
    <row r="1134" customFormat="false" ht="15" hidden="false" customHeight="false" outlineLevel="0" collapsed="false">
      <c r="A1134" s="37" t="n">
        <v>46252</v>
      </c>
      <c r="B1134" s="44" t="s">
        <v>1511</v>
      </c>
      <c r="C1134" s="44" t="s">
        <v>600</v>
      </c>
      <c r="D1134" s="44" t="n">
        <v>1104004</v>
      </c>
      <c r="E1134" s="44" t="s">
        <v>917</v>
      </c>
      <c r="F1134" s="44" t="s">
        <v>1512</v>
      </c>
      <c r="G1134" s="42"/>
      <c r="H1134" s="42" t="n">
        <v>3552793.69</v>
      </c>
      <c r="I1134" s="44" t="s">
        <v>440</v>
      </c>
      <c r="J1134" s="11" t="n">
        <f aca="false">IF(D1134="","",N(G1134)-N(H1134))</f>
        <v>-3552793.69</v>
      </c>
      <c r="K1134" s="34" t="str">
        <f aca="false">IF(D1134="","",IFERROR(INDEX(I_COA!$C$6:$C$265,MATCH(D1134,I_COA!$A$6:$A$265,0)),"AKUN BARU"))</f>
        <v>Neraca</v>
      </c>
      <c r="L1134" s="34" t="str">
        <f aca="false">IF(K1134="LabaRugi",INDEX(I_COA!$D$6:$D$265,MATCH(D1134,I_COA!$A$6:$A$265,0)),"")</f>
        <v/>
      </c>
      <c r="M1134" s="34" t="str">
        <f aca="false">IF(K1134="Neraca",INDEX(I_COA!$E$6:$E$265,MATCH(D1134,I_COA!$A$6:$A$265,0)),"")</f>
        <v>Inventory - Product</v>
      </c>
      <c r="N1134" s="34" t="str">
        <f aca="false">IF(D1134="","",IFERROR(INDEX(I_COA!$G$6:$G$265,MATCH(D1134,I_COA!$A$6:$A$265,0)),"N"))</f>
        <v>N</v>
      </c>
      <c r="O1134" s="11" t="n">
        <f aca="false">IF(N1134="N",ABS(J1134),"")</f>
        <v>3552793.69</v>
      </c>
      <c r="P1134" s="18" t="str">
        <f aca="false">IF(N1134="N",B1134&amp;"|"&amp;ROUND(O1134,0),"")</f>
        <v>KGR26.00278|3552794</v>
      </c>
      <c r="Q1134" s="18" t="str">
        <f aca="false">IF(N1134&lt;&gt;"Y","",IFERROR(INDEX($D$6:$D$4005,MATCH(B1134&amp;"|"&amp;ROUND(_xlfn.MAXIFS($O$6:$O$4005,$B$6:$B$4005,B1134,$N$6:$N$4005,"N"),0),$P$6:$P$4005,0)),"(tanpa lawan)"))</f>
        <v/>
      </c>
      <c r="R1134" s="44"/>
      <c r="S1134" s="9" t="str">
        <f aca="false">IF(N1134&lt;&gt;"Y","",IF(R1134&lt;&gt;"",R1134,IF(Q1134="(tanpa lawan)","Transfer antar rekening",IFERROR(INDEX(I_COA!$F$6:$F$265,MATCH(Q1134,I_COA!$A$6:$A$265,0)),"?"))))</f>
        <v/>
      </c>
    </row>
    <row r="1135" customFormat="false" ht="15" hidden="false" customHeight="false" outlineLevel="0" collapsed="false">
      <c r="A1135" s="37" t="n">
        <v>46252</v>
      </c>
      <c r="B1135" s="44" t="s">
        <v>1513</v>
      </c>
      <c r="C1135" s="44" t="s">
        <v>600</v>
      </c>
      <c r="D1135" s="44" t="n">
        <v>1104002</v>
      </c>
      <c r="E1135" s="44" t="s">
        <v>601</v>
      </c>
      <c r="F1135" s="44" t="s">
        <v>1514</v>
      </c>
      <c r="G1135" s="42" t="n">
        <v>3993509.54</v>
      </c>
      <c r="H1135" s="42"/>
      <c r="I1135" s="44" t="s">
        <v>440</v>
      </c>
      <c r="J1135" s="11" t="n">
        <f aca="false">IF(D1135="","",N(G1135)-N(H1135))</f>
        <v>3993509.54</v>
      </c>
      <c r="K1135" s="34" t="str">
        <f aca="false">IF(D1135="","",IFERROR(INDEX(I_COA!$C$6:$C$265,MATCH(D1135,I_COA!$A$6:$A$265,0)),"AKUN BARU"))</f>
        <v>Neraca</v>
      </c>
      <c r="L1135" s="34" t="str">
        <f aca="false">IF(K1135="LabaRugi",INDEX(I_COA!$D$6:$D$265,MATCH(D1135,I_COA!$A$6:$A$265,0)),"")</f>
        <v/>
      </c>
      <c r="M1135" s="34" t="str">
        <f aca="false">IF(K1135="Neraca",INDEX(I_COA!$E$6:$E$265,MATCH(D1135,I_COA!$A$6:$A$265,0)),"")</f>
        <v>Inventory - Product</v>
      </c>
      <c r="N1135" s="34" t="str">
        <f aca="false">IF(D1135="","",IFERROR(INDEX(I_COA!$G$6:$G$265,MATCH(D1135,I_COA!$A$6:$A$265,0)),"N"))</f>
        <v>N</v>
      </c>
      <c r="O1135" s="11" t="n">
        <f aca="false">IF(N1135="N",ABS(J1135),"")</f>
        <v>3993509.54</v>
      </c>
      <c r="P1135" s="18" t="str">
        <f aca="false">IF(N1135="N",B1135&amp;"|"&amp;ROUND(O1135,0),"")</f>
        <v>KGR26.00279|3993510</v>
      </c>
      <c r="Q1135" s="18" t="str">
        <f aca="false">IF(N1135&lt;&gt;"Y","",IFERROR(INDEX($D$6:$D$4005,MATCH(B1135&amp;"|"&amp;ROUND(_xlfn.MAXIFS($O$6:$O$4005,$B$6:$B$4005,B1135,$N$6:$N$4005,"N"),0),$P$6:$P$4005,0)),"(tanpa lawan)"))</f>
        <v/>
      </c>
      <c r="R1135" s="44"/>
      <c r="S1135" s="9" t="str">
        <f aca="false">IF(N1135&lt;&gt;"Y","",IF(R1135&lt;&gt;"",R1135,IF(Q1135="(tanpa lawan)","Transfer antar rekening",IFERROR(INDEX(I_COA!$F$6:$F$265,MATCH(Q1135,I_COA!$A$6:$A$265,0)),"?"))))</f>
        <v/>
      </c>
    </row>
    <row r="1136" customFormat="false" ht="15" hidden="false" customHeight="false" outlineLevel="0" collapsed="false">
      <c r="A1136" s="37" t="n">
        <v>46252</v>
      </c>
      <c r="B1136" s="44" t="s">
        <v>1513</v>
      </c>
      <c r="C1136" s="44" t="s">
        <v>600</v>
      </c>
      <c r="D1136" s="44" t="n">
        <v>1104004</v>
      </c>
      <c r="E1136" s="44" t="s">
        <v>917</v>
      </c>
      <c r="F1136" s="44" t="s">
        <v>1514</v>
      </c>
      <c r="G1136" s="42"/>
      <c r="H1136" s="42" t="n">
        <v>3993509.54</v>
      </c>
      <c r="I1136" s="44" t="s">
        <v>440</v>
      </c>
      <c r="J1136" s="11" t="n">
        <f aca="false">IF(D1136="","",N(G1136)-N(H1136))</f>
        <v>-3993509.54</v>
      </c>
      <c r="K1136" s="34" t="str">
        <f aca="false">IF(D1136="","",IFERROR(INDEX(I_COA!$C$6:$C$265,MATCH(D1136,I_COA!$A$6:$A$265,0)),"AKUN BARU"))</f>
        <v>Neraca</v>
      </c>
      <c r="L1136" s="34" t="str">
        <f aca="false">IF(K1136="LabaRugi",INDEX(I_COA!$D$6:$D$265,MATCH(D1136,I_COA!$A$6:$A$265,0)),"")</f>
        <v/>
      </c>
      <c r="M1136" s="34" t="str">
        <f aca="false">IF(K1136="Neraca",INDEX(I_COA!$E$6:$E$265,MATCH(D1136,I_COA!$A$6:$A$265,0)),"")</f>
        <v>Inventory - Product</v>
      </c>
      <c r="N1136" s="34" t="str">
        <f aca="false">IF(D1136="","",IFERROR(INDEX(I_COA!$G$6:$G$265,MATCH(D1136,I_COA!$A$6:$A$265,0)),"N"))</f>
        <v>N</v>
      </c>
      <c r="O1136" s="11" t="n">
        <f aca="false">IF(N1136="N",ABS(J1136),"")</f>
        <v>3993509.54</v>
      </c>
      <c r="P1136" s="18" t="str">
        <f aca="false">IF(N1136="N",B1136&amp;"|"&amp;ROUND(O1136,0),"")</f>
        <v>KGR26.00279|3993510</v>
      </c>
      <c r="Q1136" s="18" t="str">
        <f aca="false">IF(N1136&lt;&gt;"Y","",IFERROR(INDEX($D$6:$D$4005,MATCH(B1136&amp;"|"&amp;ROUND(_xlfn.MAXIFS($O$6:$O$4005,$B$6:$B$4005,B1136,$N$6:$N$4005,"N"),0),$P$6:$P$4005,0)),"(tanpa lawan)"))</f>
        <v/>
      </c>
      <c r="R1136" s="44"/>
      <c r="S1136" s="9" t="str">
        <f aca="false">IF(N1136&lt;&gt;"Y","",IF(R1136&lt;&gt;"",R1136,IF(Q1136="(tanpa lawan)","Transfer antar rekening",IFERROR(INDEX(I_COA!$F$6:$F$265,MATCH(Q1136,I_COA!$A$6:$A$265,0)),"?"))))</f>
        <v/>
      </c>
    </row>
    <row r="1137" customFormat="false" ht="15" hidden="false" customHeight="false" outlineLevel="0" collapsed="false">
      <c r="A1137" s="37" t="n">
        <v>46252</v>
      </c>
      <c r="B1137" s="44" t="s">
        <v>1515</v>
      </c>
      <c r="C1137" s="44" t="s">
        <v>600</v>
      </c>
      <c r="D1137" s="44" t="n">
        <v>1104002</v>
      </c>
      <c r="E1137" s="44" t="s">
        <v>601</v>
      </c>
      <c r="F1137" s="44" t="s">
        <v>1516</v>
      </c>
      <c r="G1137" s="42" t="n">
        <v>3993410.56</v>
      </c>
      <c r="H1137" s="42"/>
      <c r="I1137" s="44" t="s">
        <v>440</v>
      </c>
      <c r="J1137" s="11" t="n">
        <f aca="false">IF(D1137="","",N(G1137)-N(H1137))</f>
        <v>3993410.56</v>
      </c>
      <c r="K1137" s="34" t="str">
        <f aca="false">IF(D1137="","",IFERROR(INDEX(I_COA!$C$6:$C$265,MATCH(D1137,I_COA!$A$6:$A$265,0)),"AKUN BARU"))</f>
        <v>Neraca</v>
      </c>
      <c r="L1137" s="34" t="str">
        <f aca="false">IF(K1137="LabaRugi",INDEX(I_COA!$D$6:$D$265,MATCH(D1137,I_COA!$A$6:$A$265,0)),"")</f>
        <v/>
      </c>
      <c r="M1137" s="34" t="str">
        <f aca="false">IF(K1137="Neraca",INDEX(I_COA!$E$6:$E$265,MATCH(D1137,I_COA!$A$6:$A$265,0)),"")</f>
        <v>Inventory - Product</v>
      </c>
      <c r="N1137" s="34" t="str">
        <f aca="false">IF(D1137="","",IFERROR(INDEX(I_COA!$G$6:$G$265,MATCH(D1137,I_COA!$A$6:$A$265,0)),"N"))</f>
        <v>N</v>
      </c>
      <c r="O1137" s="11" t="n">
        <f aca="false">IF(N1137="N",ABS(J1137),"")</f>
        <v>3993410.56</v>
      </c>
      <c r="P1137" s="18" t="str">
        <f aca="false">IF(N1137="N",B1137&amp;"|"&amp;ROUND(O1137,0),"")</f>
        <v>KGR26.00280|3993411</v>
      </c>
      <c r="Q1137" s="18" t="str">
        <f aca="false">IF(N1137&lt;&gt;"Y","",IFERROR(INDEX($D$6:$D$4005,MATCH(B1137&amp;"|"&amp;ROUND(_xlfn.MAXIFS($O$6:$O$4005,$B$6:$B$4005,B1137,$N$6:$N$4005,"N"),0),$P$6:$P$4005,0)),"(tanpa lawan)"))</f>
        <v/>
      </c>
      <c r="R1137" s="44"/>
      <c r="S1137" s="9" t="str">
        <f aca="false">IF(N1137&lt;&gt;"Y","",IF(R1137&lt;&gt;"",R1137,IF(Q1137="(tanpa lawan)","Transfer antar rekening",IFERROR(INDEX(I_COA!$F$6:$F$265,MATCH(Q1137,I_COA!$A$6:$A$265,0)),"?"))))</f>
        <v/>
      </c>
    </row>
    <row r="1138" customFormat="false" ht="15" hidden="false" customHeight="false" outlineLevel="0" collapsed="false">
      <c r="A1138" s="37" t="n">
        <v>46252</v>
      </c>
      <c r="B1138" s="44" t="s">
        <v>1515</v>
      </c>
      <c r="C1138" s="44" t="s">
        <v>600</v>
      </c>
      <c r="D1138" s="44" t="n">
        <v>1104004</v>
      </c>
      <c r="E1138" s="44" t="s">
        <v>917</v>
      </c>
      <c r="F1138" s="44" t="s">
        <v>1516</v>
      </c>
      <c r="G1138" s="42"/>
      <c r="H1138" s="42" t="n">
        <v>3993410.56</v>
      </c>
      <c r="I1138" s="44" t="s">
        <v>440</v>
      </c>
      <c r="J1138" s="11" t="n">
        <f aca="false">IF(D1138="","",N(G1138)-N(H1138))</f>
        <v>-3993410.56</v>
      </c>
      <c r="K1138" s="34" t="str">
        <f aca="false">IF(D1138="","",IFERROR(INDEX(I_COA!$C$6:$C$265,MATCH(D1138,I_COA!$A$6:$A$265,0)),"AKUN BARU"))</f>
        <v>Neraca</v>
      </c>
      <c r="L1138" s="34" t="str">
        <f aca="false">IF(K1138="LabaRugi",INDEX(I_COA!$D$6:$D$265,MATCH(D1138,I_COA!$A$6:$A$265,0)),"")</f>
        <v/>
      </c>
      <c r="M1138" s="34" t="str">
        <f aca="false">IF(K1138="Neraca",INDEX(I_COA!$E$6:$E$265,MATCH(D1138,I_COA!$A$6:$A$265,0)),"")</f>
        <v>Inventory - Product</v>
      </c>
      <c r="N1138" s="34" t="str">
        <f aca="false">IF(D1138="","",IFERROR(INDEX(I_COA!$G$6:$G$265,MATCH(D1138,I_COA!$A$6:$A$265,0)),"N"))</f>
        <v>N</v>
      </c>
      <c r="O1138" s="11" t="n">
        <f aca="false">IF(N1138="N",ABS(J1138),"")</f>
        <v>3993410.56</v>
      </c>
      <c r="P1138" s="18" t="str">
        <f aca="false">IF(N1138="N",B1138&amp;"|"&amp;ROUND(O1138,0),"")</f>
        <v>KGR26.00280|3993411</v>
      </c>
      <c r="Q1138" s="18" t="str">
        <f aca="false">IF(N1138&lt;&gt;"Y","",IFERROR(INDEX($D$6:$D$4005,MATCH(B1138&amp;"|"&amp;ROUND(_xlfn.MAXIFS($O$6:$O$4005,$B$6:$B$4005,B1138,$N$6:$N$4005,"N"),0),$P$6:$P$4005,0)),"(tanpa lawan)"))</f>
        <v/>
      </c>
      <c r="R1138" s="44"/>
      <c r="S1138" s="9" t="str">
        <f aca="false">IF(N1138&lt;&gt;"Y","",IF(R1138&lt;&gt;"",R1138,IF(Q1138="(tanpa lawan)","Transfer antar rekening",IFERROR(INDEX(I_COA!$F$6:$F$265,MATCH(Q1138,I_COA!$A$6:$A$265,0)),"?"))))</f>
        <v/>
      </c>
    </row>
    <row r="1139" customFormat="false" ht="15" hidden="false" customHeight="false" outlineLevel="0" collapsed="false">
      <c r="A1139" s="37" t="n">
        <v>46252</v>
      </c>
      <c r="B1139" s="44" t="s">
        <v>1517</v>
      </c>
      <c r="C1139" s="44" t="s">
        <v>600</v>
      </c>
      <c r="D1139" s="44" t="n">
        <v>1104002</v>
      </c>
      <c r="E1139" s="44" t="s">
        <v>601</v>
      </c>
      <c r="F1139" s="44" t="s">
        <v>1518</v>
      </c>
      <c r="G1139" s="42" t="n">
        <v>4141267.39</v>
      </c>
      <c r="H1139" s="42"/>
      <c r="I1139" s="44" t="s">
        <v>440</v>
      </c>
      <c r="J1139" s="11" t="n">
        <f aca="false">IF(D1139="","",N(G1139)-N(H1139))</f>
        <v>4141267.39</v>
      </c>
      <c r="K1139" s="34" t="str">
        <f aca="false">IF(D1139="","",IFERROR(INDEX(I_COA!$C$6:$C$265,MATCH(D1139,I_COA!$A$6:$A$265,0)),"AKUN BARU"))</f>
        <v>Neraca</v>
      </c>
      <c r="L1139" s="34" t="str">
        <f aca="false">IF(K1139="LabaRugi",INDEX(I_COA!$D$6:$D$265,MATCH(D1139,I_COA!$A$6:$A$265,0)),"")</f>
        <v/>
      </c>
      <c r="M1139" s="34" t="str">
        <f aca="false">IF(K1139="Neraca",INDEX(I_COA!$E$6:$E$265,MATCH(D1139,I_COA!$A$6:$A$265,0)),"")</f>
        <v>Inventory - Product</v>
      </c>
      <c r="N1139" s="34" t="str">
        <f aca="false">IF(D1139="","",IFERROR(INDEX(I_COA!$G$6:$G$265,MATCH(D1139,I_COA!$A$6:$A$265,0)),"N"))</f>
        <v>N</v>
      </c>
      <c r="O1139" s="11" t="n">
        <f aca="false">IF(N1139="N",ABS(J1139),"")</f>
        <v>4141267.39</v>
      </c>
      <c r="P1139" s="18" t="str">
        <f aca="false">IF(N1139="N",B1139&amp;"|"&amp;ROUND(O1139,0),"")</f>
        <v>KGR26.00281|4141267</v>
      </c>
      <c r="Q1139" s="18" t="str">
        <f aca="false">IF(N1139&lt;&gt;"Y","",IFERROR(INDEX($D$6:$D$4005,MATCH(B1139&amp;"|"&amp;ROUND(_xlfn.MAXIFS($O$6:$O$4005,$B$6:$B$4005,B1139,$N$6:$N$4005,"N"),0),$P$6:$P$4005,0)),"(tanpa lawan)"))</f>
        <v/>
      </c>
      <c r="R1139" s="44"/>
      <c r="S1139" s="9" t="str">
        <f aca="false">IF(N1139&lt;&gt;"Y","",IF(R1139&lt;&gt;"",R1139,IF(Q1139="(tanpa lawan)","Transfer antar rekening",IFERROR(INDEX(I_COA!$F$6:$F$265,MATCH(Q1139,I_COA!$A$6:$A$265,0)),"?"))))</f>
        <v/>
      </c>
    </row>
    <row r="1140" customFormat="false" ht="15" hidden="false" customHeight="false" outlineLevel="0" collapsed="false">
      <c r="A1140" s="37" t="n">
        <v>46252</v>
      </c>
      <c r="B1140" s="44" t="s">
        <v>1517</v>
      </c>
      <c r="C1140" s="44" t="s">
        <v>600</v>
      </c>
      <c r="D1140" s="44" t="n">
        <v>1104004</v>
      </c>
      <c r="E1140" s="44" t="s">
        <v>917</v>
      </c>
      <c r="F1140" s="44" t="s">
        <v>1518</v>
      </c>
      <c r="G1140" s="42"/>
      <c r="H1140" s="42" t="n">
        <v>4141267.39</v>
      </c>
      <c r="I1140" s="44" t="s">
        <v>440</v>
      </c>
      <c r="J1140" s="11" t="n">
        <f aca="false">IF(D1140="","",N(G1140)-N(H1140))</f>
        <v>-4141267.39</v>
      </c>
      <c r="K1140" s="34" t="str">
        <f aca="false">IF(D1140="","",IFERROR(INDEX(I_COA!$C$6:$C$265,MATCH(D1140,I_COA!$A$6:$A$265,0)),"AKUN BARU"))</f>
        <v>Neraca</v>
      </c>
      <c r="L1140" s="34" t="str">
        <f aca="false">IF(K1140="LabaRugi",INDEX(I_COA!$D$6:$D$265,MATCH(D1140,I_COA!$A$6:$A$265,0)),"")</f>
        <v/>
      </c>
      <c r="M1140" s="34" t="str">
        <f aca="false">IF(K1140="Neraca",INDEX(I_COA!$E$6:$E$265,MATCH(D1140,I_COA!$A$6:$A$265,0)),"")</f>
        <v>Inventory - Product</v>
      </c>
      <c r="N1140" s="34" t="str">
        <f aca="false">IF(D1140="","",IFERROR(INDEX(I_COA!$G$6:$G$265,MATCH(D1140,I_COA!$A$6:$A$265,0)),"N"))</f>
        <v>N</v>
      </c>
      <c r="O1140" s="11" t="n">
        <f aca="false">IF(N1140="N",ABS(J1140),"")</f>
        <v>4141267.39</v>
      </c>
      <c r="P1140" s="18" t="str">
        <f aca="false">IF(N1140="N",B1140&amp;"|"&amp;ROUND(O1140,0),"")</f>
        <v>KGR26.00281|4141267</v>
      </c>
      <c r="Q1140" s="18" t="str">
        <f aca="false">IF(N1140&lt;&gt;"Y","",IFERROR(INDEX($D$6:$D$4005,MATCH(B1140&amp;"|"&amp;ROUND(_xlfn.MAXIFS($O$6:$O$4005,$B$6:$B$4005,B1140,$N$6:$N$4005,"N"),0),$P$6:$P$4005,0)),"(tanpa lawan)"))</f>
        <v/>
      </c>
      <c r="R1140" s="44"/>
      <c r="S1140" s="9" t="str">
        <f aca="false">IF(N1140&lt;&gt;"Y","",IF(R1140&lt;&gt;"",R1140,IF(Q1140="(tanpa lawan)","Transfer antar rekening",IFERROR(INDEX(I_COA!$F$6:$F$265,MATCH(Q1140,I_COA!$A$6:$A$265,0)),"?"))))</f>
        <v/>
      </c>
    </row>
    <row r="1141" customFormat="false" ht="15" hidden="false" customHeight="false" outlineLevel="0" collapsed="false">
      <c r="A1141" s="37" t="n">
        <v>46252</v>
      </c>
      <c r="B1141" s="44" t="s">
        <v>1519</v>
      </c>
      <c r="C1141" s="44" t="s">
        <v>600</v>
      </c>
      <c r="D1141" s="44" t="n">
        <v>1104002</v>
      </c>
      <c r="E1141" s="44" t="s">
        <v>601</v>
      </c>
      <c r="F1141" s="44" t="s">
        <v>1520</v>
      </c>
      <c r="G1141" s="42" t="n">
        <v>641598.14</v>
      </c>
      <c r="H1141" s="42"/>
      <c r="I1141" s="44" t="s">
        <v>440</v>
      </c>
      <c r="J1141" s="11" t="n">
        <f aca="false">IF(D1141="","",N(G1141)-N(H1141))</f>
        <v>641598.14</v>
      </c>
      <c r="K1141" s="34" t="str">
        <f aca="false">IF(D1141="","",IFERROR(INDEX(I_COA!$C$6:$C$265,MATCH(D1141,I_COA!$A$6:$A$265,0)),"AKUN BARU"))</f>
        <v>Neraca</v>
      </c>
      <c r="L1141" s="34" t="str">
        <f aca="false">IF(K1141="LabaRugi",INDEX(I_COA!$D$6:$D$265,MATCH(D1141,I_COA!$A$6:$A$265,0)),"")</f>
        <v/>
      </c>
      <c r="M1141" s="34" t="str">
        <f aca="false">IF(K1141="Neraca",INDEX(I_COA!$E$6:$E$265,MATCH(D1141,I_COA!$A$6:$A$265,0)),"")</f>
        <v>Inventory - Product</v>
      </c>
      <c r="N1141" s="34" t="str">
        <f aca="false">IF(D1141="","",IFERROR(INDEX(I_COA!$G$6:$G$265,MATCH(D1141,I_COA!$A$6:$A$265,0)),"N"))</f>
        <v>N</v>
      </c>
      <c r="O1141" s="11" t="n">
        <f aca="false">IF(N1141="N",ABS(J1141),"")</f>
        <v>641598.14</v>
      </c>
      <c r="P1141" s="18" t="str">
        <f aca="false">IF(N1141="N",B1141&amp;"|"&amp;ROUND(O1141,0),"")</f>
        <v>KGR26.00282|641598</v>
      </c>
      <c r="Q1141" s="18" t="str">
        <f aca="false">IF(N1141&lt;&gt;"Y","",IFERROR(INDEX($D$6:$D$4005,MATCH(B1141&amp;"|"&amp;ROUND(_xlfn.MAXIFS($O$6:$O$4005,$B$6:$B$4005,B1141,$N$6:$N$4005,"N"),0),$P$6:$P$4005,0)),"(tanpa lawan)"))</f>
        <v/>
      </c>
      <c r="R1141" s="44"/>
      <c r="S1141" s="9" t="str">
        <f aca="false">IF(N1141&lt;&gt;"Y","",IF(R1141&lt;&gt;"",R1141,IF(Q1141="(tanpa lawan)","Transfer antar rekening",IFERROR(INDEX(I_COA!$F$6:$F$265,MATCH(Q1141,I_COA!$A$6:$A$265,0)),"?"))))</f>
        <v/>
      </c>
    </row>
    <row r="1142" customFormat="false" ht="15" hidden="false" customHeight="false" outlineLevel="0" collapsed="false">
      <c r="A1142" s="37" t="n">
        <v>46252</v>
      </c>
      <c r="B1142" s="44" t="s">
        <v>1519</v>
      </c>
      <c r="C1142" s="44" t="s">
        <v>600</v>
      </c>
      <c r="D1142" s="44" t="n">
        <v>1104003</v>
      </c>
      <c r="E1142" s="44" t="s">
        <v>613</v>
      </c>
      <c r="F1142" s="44" t="s">
        <v>1520</v>
      </c>
      <c r="G1142" s="42"/>
      <c r="H1142" s="42" t="n">
        <v>641598.14</v>
      </c>
      <c r="I1142" s="44" t="s">
        <v>440</v>
      </c>
      <c r="J1142" s="11" t="n">
        <f aca="false">IF(D1142="","",N(G1142)-N(H1142))</f>
        <v>-641598.14</v>
      </c>
      <c r="K1142" s="34" t="str">
        <f aca="false">IF(D1142="","",IFERROR(INDEX(I_COA!$C$6:$C$265,MATCH(D1142,I_COA!$A$6:$A$265,0)),"AKUN BARU"))</f>
        <v>Neraca</v>
      </c>
      <c r="L1142" s="34" t="str">
        <f aca="false">IF(K1142="LabaRugi",INDEX(I_COA!$D$6:$D$265,MATCH(D1142,I_COA!$A$6:$A$265,0)),"")</f>
        <v/>
      </c>
      <c r="M1142" s="34" t="str">
        <f aca="false">IF(K1142="Neraca",INDEX(I_COA!$E$6:$E$265,MATCH(D1142,I_COA!$A$6:$A$265,0)),"")</f>
        <v>Inventory - Product</v>
      </c>
      <c r="N1142" s="34" t="str">
        <f aca="false">IF(D1142="","",IFERROR(INDEX(I_COA!$G$6:$G$265,MATCH(D1142,I_COA!$A$6:$A$265,0)),"N"))</f>
        <v>N</v>
      </c>
      <c r="O1142" s="11" t="n">
        <f aca="false">IF(N1142="N",ABS(J1142),"")</f>
        <v>641598.14</v>
      </c>
      <c r="P1142" s="18" t="str">
        <f aca="false">IF(N1142="N",B1142&amp;"|"&amp;ROUND(O1142,0),"")</f>
        <v>KGR26.00282|641598</v>
      </c>
      <c r="Q1142" s="18" t="str">
        <f aca="false">IF(N1142&lt;&gt;"Y","",IFERROR(INDEX($D$6:$D$4005,MATCH(B1142&amp;"|"&amp;ROUND(_xlfn.MAXIFS($O$6:$O$4005,$B$6:$B$4005,B1142,$N$6:$N$4005,"N"),0),$P$6:$P$4005,0)),"(tanpa lawan)"))</f>
        <v/>
      </c>
      <c r="R1142" s="44"/>
      <c r="S1142" s="9" t="str">
        <f aca="false">IF(N1142&lt;&gt;"Y","",IF(R1142&lt;&gt;"",R1142,IF(Q1142="(tanpa lawan)","Transfer antar rekening",IFERROR(INDEX(I_COA!$F$6:$F$265,MATCH(Q1142,I_COA!$A$6:$A$265,0)),"?"))))</f>
        <v/>
      </c>
    </row>
    <row r="1143" customFormat="false" ht="15" hidden="false" customHeight="false" outlineLevel="0" collapsed="false">
      <c r="A1143" s="37" t="n">
        <v>46252</v>
      </c>
      <c r="B1143" s="44" t="s">
        <v>1521</v>
      </c>
      <c r="C1143" s="44" t="s">
        <v>600</v>
      </c>
      <c r="D1143" s="44" t="n">
        <v>1104002</v>
      </c>
      <c r="E1143" s="44" t="s">
        <v>601</v>
      </c>
      <c r="F1143" s="44" t="s">
        <v>1522</v>
      </c>
      <c r="G1143" s="42" t="n">
        <v>703374.44</v>
      </c>
      <c r="H1143" s="42"/>
      <c r="I1143" s="44" t="s">
        <v>440</v>
      </c>
      <c r="J1143" s="11" t="n">
        <f aca="false">IF(D1143="","",N(G1143)-N(H1143))</f>
        <v>703374.44</v>
      </c>
      <c r="K1143" s="34" t="str">
        <f aca="false">IF(D1143="","",IFERROR(INDEX(I_COA!$C$6:$C$265,MATCH(D1143,I_COA!$A$6:$A$265,0)),"AKUN BARU"))</f>
        <v>Neraca</v>
      </c>
      <c r="L1143" s="34" t="str">
        <f aca="false">IF(K1143="LabaRugi",INDEX(I_COA!$D$6:$D$265,MATCH(D1143,I_COA!$A$6:$A$265,0)),"")</f>
        <v/>
      </c>
      <c r="M1143" s="34" t="str">
        <f aca="false">IF(K1143="Neraca",INDEX(I_COA!$E$6:$E$265,MATCH(D1143,I_COA!$A$6:$A$265,0)),"")</f>
        <v>Inventory - Product</v>
      </c>
      <c r="N1143" s="34" t="str">
        <f aca="false">IF(D1143="","",IFERROR(INDEX(I_COA!$G$6:$G$265,MATCH(D1143,I_COA!$A$6:$A$265,0)),"N"))</f>
        <v>N</v>
      </c>
      <c r="O1143" s="11" t="n">
        <f aca="false">IF(N1143="N",ABS(J1143),"")</f>
        <v>703374.44</v>
      </c>
      <c r="P1143" s="18" t="str">
        <f aca="false">IF(N1143="N",B1143&amp;"|"&amp;ROUND(O1143,0),"")</f>
        <v>KGR26.00283|703374</v>
      </c>
      <c r="Q1143" s="18" t="str">
        <f aca="false">IF(N1143&lt;&gt;"Y","",IFERROR(INDEX($D$6:$D$4005,MATCH(B1143&amp;"|"&amp;ROUND(_xlfn.MAXIFS($O$6:$O$4005,$B$6:$B$4005,B1143,$N$6:$N$4005,"N"),0),$P$6:$P$4005,0)),"(tanpa lawan)"))</f>
        <v/>
      </c>
      <c r="R1143" s="44"/>
      <c r="S1143" s="9" t="str">
        <f aca="false">IF(N1143&lt;&gt;"Y","",IF(R1143&lt;&gt;"",R1143,IF(Q1143="(tanpa lawan)","Transfer antar rekening",IFERROR(INDEX(I_COA!$F$6:$F$265,MATCH(Q1143,I_COA!$A$6:$A$265,0)),"?"))))</f>
        <v/>
      </c>
    </row>
    <row r="1144" customFormat="false" ht="15" hidden="false" customHeight="false" outlineLevel="0" collapsed="false">
      <c r="A1144" s="37" t="n">
        <v>46252</v>
      </c>
      <c r="B1144" s="44" t="s">
        <v>1521</v>
      </c>
      <c r="C1144" s="44" t="s">
        <v>600</v>
      </c>
      <c r="D1144" s="44" t="n">
        <v>1104003</v>
      </c>
      <c r="E1144" s="44" t="s">
        <v>613</v>
      </c>
      <c r="F1144" s="44" t="s">
        <v>1522</v>
      </c>
      <c r="G1144" s="42"/>
      <c r="H1144" s="42" t="n">
        <v>703374.44</v>
      </c>
      <c r="I1144" s="44" t="s">
        <v>440</v>
      </c>
      <c r="J1144" s="11" t="n">
        <f aca="false">IF(D1144="","",N(G1144)-N(H1144))</f>
        <v>-703374.44</v>
      </c>
      <c r="K1144" s="34" t="str">
        <f aca="false">IF(D1144="","",IFERROR(INDEX(I_COA!$C$6:$C$265,MATCH(D1144,I_COA!$A$6:$A$265,0)),"AKUN BARU"))</f>
        <v>Neraca</v>
      </c>
      <c r="L1144" s="34" t="str">
        <f aca="false">IF(K1144="LabaRugi",INDEX(I_COA!$D$6:$D$265,MATCH(D1144,I_COA!$A$6:$A$265,0)),"")</f>
        <v/>
      </c>
      <c r="M1144" s="34" t="str">
        <f aca="false">IF(K1144="Neraca",INDEX(I_COA!$E$6:$E$265,MATCH(D1144,I_COA!$A$6:$A$265,0)),"")</f>
        <v>Inventory - Product</v>
      </c>
      <c r="N1144" s="34" t="str">
        <f aca="false">IF(D1144="","",IFERROR(INDEX(I_COA!$G$6:$G$265,MATCH(D1144,I_COA!$A$6:$A$265,0)),"N"))</f>
        <v>N</v>
      </c>
      <c r="O1144" s="11" t="n">
        <f aca="false">IF(N1144="N",ABS(J1144),"")</f>
        <v>703374.44</v>
      </c>
      <c r="P1144" s="18" t="str">
        <f aca="false">IF(N1144="N",B1144&amp;"|"&amp;ROUND(O1144,0),"")</f>
        <v>KGR26.00283|703374</v>
      </c>
      <c r="Q1144" s="18" t="str">
        <f aca="false">IF(N1144&lt;&gt;"Y","",IFERROR(INDEX($D$6:$D$4005,MATCH(B1144&amp;"|"&amp;ROUND(_xlfn.MAXIFS($O$6:$O$4005,$B$6:$B$4005,B1144,$N$6:$N$4005,"N"),0),$P$6:$P$4005,0)),"(tanpa lawan)"))</f>
        <v/>
      </c>
      <c r="R1144" s="44"/>
      <c r="S1144" s="9" t="str">
        <f aca="false">IF(N1144&lt;&gt;"Y","",IF(R1144&lt;&gt;"",R1144,IF(Q1144="(tanpa lawan)","Transfer antar rekening",IFERROR(INDEX(I_COA!$F$6:$F$265,MATCH(Q1144,I_COA!$A$6:$A$265,0)),"?"))))</f>
        <v/>
      </c>
    </row>
    <row r="1145" customFormat="false" ht="15" hidden="false" customHeight="false" outlineLevel="0" collapsed="false">
      <c r="A1145" s="37" t="n">
        <v>46252</v>
      </c>
      <c r="B1145" s="44" t="s">
        <v>1523</v>
      </c>
      <c r="C1145" s="44" t="s">
        <v>600</v>
      </c>
      <c r="D1145" s="44" t="n">
        <v>1104002</v>
      </c>
      <c r="E1145" s="44" t="s">
        <v>601</v>
      </c>
      <c r="F1145" s="44" t="s">
        <v>1524</v>
      </c>
      <c r="G1145" s="42" t="n">
        <v>14324267.78</v>
      </c>
      <c r="H1145" s="42"/>
      <c r="I1145" s="44" t="s">
        <v>465</v>
      </c>
      <c r="J1145" s="11" t="n">
        <f aca="false">IF(D1145="","",N(G1145)-N(H1145))</f>
        <v>14324267.78</v>
      </c>
      <c r="K1145" s="34" t="str">
        <f aca="false">IF(D1145="","",IFERROR(INDEX(I_COA!$C$6:$C$265,MATCH(D1145,I_COA!$A$6:$A$265,0)),"AKUN BARU"))</f>
        <v>Neraca</v>
      </c>
      <c r="L1145" s="34" t="str">
        <f aca="false">IF(K1145="LabaRugi",INDEX(I_COA!$D$6:$D$265,MATCH(D1145,I_COA!$A$6:$A$265,0)),"")</f>
        <v/>
      </c>
      <c r="M1145" s="34" t="str">
        <f aca="false">IF(K1145="Neraca",INDEX(I_COA!$E$6:$E$265,MATCH(D1145,I_COA!$A$6:$A$265,0)),"")</f>
        <v>Inventory - Product</v>
      </c>
      <c r="N1145" s="34" t="str">
        <f aca="false">IF(D1145="","",IFERROR(INDEX(I_COA!$G$6:$G$265,MATCH(D1145,I_COA!$A$6:$A$265,0)),"N"))</f>
        <v>N</v>
      </c>
      <c r="O1145" s="11" t="n">
        <f aca="false">IF(N1145="N",ABS(J1145),"")</f>
        <v>14324267.78</v>
      </c>
      <c r="P1145" s="18" t="str">
        <f aca="false">IF(N1145="N",B1145&amp;"|"&amp;ROUND(O1145,0),"")</f>
        <v>KGR26.00284|14324268</v>
      </c>
      <c r="Q1145" s="18" t="str">
        <f aca="false">IF(N1145&lt;&gt;"Y","",IFERROR(INDEX($D$6:$D$4005,MATCH(B1145&amp;"|"&amp;ROUND(_xlfn.MAXIFS($O$6:$O$4005,$B$6:$B$4005,B1145,$N$6:$N$4005,"N"),0),$P$6:$P$4005,0)),"(tanpa lawan)"))</f>
        <v/>
      </c>
      <c r="R1145" s="44"/>
      <c r="S1145" s="9" t="str">
        <f aca="false">IF(N1145&lt;&gt;"Y","",IF(R1145&lt;&gt;"",R1145,IF(Q1145="(tanpa lawan)","Transfer antar rekening",IFERROR(INDEX(I_COA!$F$6:$F$265,MATCH(Q1145,I_COA!$A$6:$A$265,0)),"?"))))</f>
        <v/>
      </c>
    </row>
    <row r="1146" customFormat="false" ht="15" hidden="false" customHeight="false" outlineLevel="0" collapsed="false">
      <c r="A1146" s="37" t="n">
        <v>46252</v>
      </c>
      <c r="B1146" s="44" t="s">
        <v>1523</v>
      </c>
      <c r="C1146" s="44" t="s">
        <v>600</v>
      </c>
      <c r="D1146" s="44" t="n">
        <v>1104006</v>
      </c>
      <c r="E1146" s="44" t="s">
        <v>212</v>
      </c>
      <c r="F1146" s="44" t="s">
        <v>1524</v>
      </c>
      <c r="G1146" s="42"/>
      <c r="H1146" s="42" t="n">
        <v>14324267.78</v>
      </c>
      <c r="I1146" s="44" t="s">
        <v>465</v>
      </c>
      <c r="J1146" s="11" t="n">
        <f aca="false">IF(D1146="","",N(G1146)-N(H1146))</f>
        <v>-14324267.78</v>
      </c>
      <c r="K1146" s="34" t="str">
        <f aca="false">IF(D1146="","",IFERROR(INDEX(I_COA!$C$6:$C$265,MATCH(D1146,I_COA!$A$6:$A$265,0)),"AKUN BARU"))</f>
        <v>Neraca</v>
      </c>
      <c r="L1146" s="34" t="str">
        <f aca="false">IF(K1146="LabaRugi",INDEX(I_COA!$D$6:$D$265,MATCH(D1146,I_COA!$A$6:$A$265,0)),"")</f>
        <v/>
      </c>
      <c r="M1146" s="34" t="str">
        <f aca="false">IF(K1146="Neraca",INDEX(I_COA!$E$6:$E$265,MATCH(D1146,I_COA!$A$6:$A$265,0)),"")</f>
        <v>Inventory - Trading</v>
      </c>
      <c r="N1146" s="34" t="str">
        <f aca="false">IF(D1146="","",IFERROR(INDEX(I_COA!$G$6:$G$265,MATCH(D1146,I_COA!$A$6:$A$265,0)),"N"))</f>
        <v>N</v>
      </c>
      <c r="O1146" s="11" t="n">
        <f aca="false">IF(N1146="N",ABS(J1146),"")</f>
        <v>14324267.78</v>
      </c>
      <c r="P1146" s="18" t="str">
        <f aca="false">IF(N1146="N",B1146&amp;"|"&amp;ROUND(O1146,0),"")</f>
        <v>KGR26.00284|14324268</v>
      </c>
      <c r="Q1146" s="18" t="str">
        <f aca="false">IF(N1146&lt;&gt;"Y","",IFERROR(INDEX($D$6:$D$4005,MATCH(B1146&amp;"|"&amp;ROUND(_xlfn.MAXIFS($O$6:$O$4005,$B$6:$B$4005,B1146,$N$6:$N$4005,"N"),0),$P$6:$P$4005,0)),"(tanpa lawan)"))</f>
        <v/>
      </c>
      <c r="R1146" s="44"/>
      <c r="S1146" s="9" t="str">
        <f aca="false">IF(N1146&lt;&gt;"Y","",IF(R1146&lt;&gt;"",R1146,IF(Q1146="(tanpa lawan)","Transfer antar rekening",IFERROR(INDEX(I_COA!$F$6:$F$265,MATCH(Q1146,I_COA!$A$6:$A$265,0)),"?"))))</f>
        <v/>
      </c>
    </row>
    <row r="1147" customFormat="false" ht="15" hidden="false" customHeight="false" outlineLevel="0" collapsed="false">
      <c r="A1147" s="37" t="n">
        <v>46252</v>
      </c>
      <c r="B1147" s="44" t="s">
        <v>1525</v>
      </c>
      <c r="C1147" s="44" t="s">
        <v>600</v>
      </c>
      <c r="D1147" s="44" t="n">
        <v>1104002</v>
      </c>
      <c r="E1147" s="44" t="s">
        <v>601</v>
      </c>
      <c r="F1147" s="44" t="s">
        <v>1526</v>
      </c>
      <c r="G1147" s="42" t="n">
        <v>68805321.93</v>
      </c>
      <c r="H1147" s="42"/>
      <c r="I1147" s="44" t="s">
        <v>432</v>
      </c>
      <c r="J1147" s="11" t="n">
        <f aca="false">IF(D1147="","",N(G1147)-N(H1147))</f>
        <v>68805321.93</v>
      </c>
      <c r="K1147" s="34" t="str">
        <f aca="false">IF(D1147="","",IFERROR(INDEX(I_COA!$C$6:$C$265,MATCH(D1147,I_COA!$A$6:$A$265,0)),"AKUN BARU"))</f>
        <v>Neraca</v>
      </c>
      <c r="L1147" s="34" t="str">
        <f aca="false">IF(K1147="LabaRugi",INDEX(I_COA!$D$6:$D$265,MATCH(D1147,I_COA!$A$6:$A$265,0)),"")</f>
        <v/>
      </c>
      <c r="M1147" s="34" t="str">
        <f aca="false">IF(K1147="Neraca",INDEX(I_COA!$E$6:$E$265,MATCH(D1147,I_COA!$A$6:$A$265,0)),"")</f>
        <v>Inventory - Product</v>
      </c>
      <c r="N1147" s="34" t="str">
        <f aca="false">IF(D1147="","",IFERROR(INDEX(I_COA!$G$6:$G$265,MATCH(D1147,I_COA!$A$6:$A$265,0)),"N"))</f>
        <v>N</v>
      </c>
      <c r="O1147" s="11" t="n">
        <f aca="false">IF(N1147="N",ABS(J1147),"")</f>
        <v>68805321.93</v>
      </c>
      <c r="P1147" s="18" t="str">
        <f aca="false">IF(N1147="N",B1147&amp;"|"&amp;ROUND(O1147,0),"")</f>
        <v>KGR26.00285|68805322</v>
      </c>
      <c r="Q1147" s="18" t="str">
        <f aca="false">IF(N1147&lt;&gt;"Y","",IFERROR(INDEX($D$6:$D$4005,MATCH(B1147&amp;"|"&amp;ROUND(_xlfn.MAXIFS($O$6:$O$4005,$B$6:$B$4005,B1147,$N$6:$N$4005,"N"),0),$P$6:$P$4005,0)),"(tanpa lawan)"))</f>
        <v/>
      </c>
      <c r="R1147" s="44"/>
      <c r="S1147" s="9" t="str">
        <f aca="false">IF(N1147&lt;&gt;"Y","",IF(R1147&lt;&gt;"",R1147,IF(Q1147="(tanpa lawan)","Transfer antar rekening",IFERROR(INDEX(I_COA!$F$6:$F$265,MATCH(Q1147,I_COA!$A$6:$A$265,0)),"?"))))</f>
        <v/>
      </c>
    </row>
    <row r="1148" customFormat="false" ht="15" hidden="false" customHeight="false" outlineLevel="0" collapsed="false">
      <c r="A1148" s="37" t="n">
        <v>46252</v>
      </c>
      <c r="B1148" s="44" t="s">
        <v>1525</v>
      </c>
      <c r="C1148" s="44" t="s">
        <v>600</v>
      </c>
      <c r="D1148" s="44" t="n">
        <v>1104003</v>
      </c>
      <c r="E1148" s="44" t="s">
        <v>613</v>
      </c>
      <c r="F1148" s="44" t="s">
        <v>1526</v>
      </c>
      <c r="G1148" s="42"/>
      <c r="H1148" s="42" t="n">
        <v>68805321.93</v>
      </c>
      <c r="I1148" s="44" t="s">
        <v>432</v>
      </c>
      <c r="J1148" s="11" t="n">
        <f aca="false">IF(D1148="","",N(G1148)-N(H1148))</f>
        <v>-68805321.93</v>
      </c>
      <c r="K1148" s="34" t="str">
        <f aca="false">IF(D1148="","",IFERROR(INDEX(I_COA!$C$6:$C$265,MATCH(D1148,I_COA!$A$6:$A$265,0)),"AKUN BARU"))</f>
        <v>Neraca</v>
      </c>
      <c r="L1148" s="34" t="str">
        <f aca="false">IF(K1148="LabaRugi",INDEX(I_COA!$D$6:$D$265,MATCH(D1148,I_COA!$A$6:$A$265,0)),"")</f>
        <v/>
      </c>
      <c r="M1148" s="34" t="str">
        <f aca="false">IF(K1148="Neraca",INDEX(I_COA!$E$6:$E$265,MATCH(D1148,I_COA!$A$6:$A$265,0)),"")</f>
        <v>Inventory - Product</v>
      </c>
      <c r="N1148" s="34" t="str">
        <f aca="false">IF(D1148="","",IFERROR(INDEX(I_COA!$G$6:$G$265,MATCH(D1148,I_COA!$A$6:$A$265,0)),"N"))</f>
        <v>N</v>
      </c>
      <c r="O1148" s="11" t="n">
        <f aca="false">IF(N1148="N",ABS(J1148),"")</f>
        <v>68805321.93</v>
      </c>
      <c r="P1148" s="18" t="str">
        <f aca="false">IF(N1148="N",B1148&amp;"|"&amp;ROUND(O1148,0),"")</f>
        <v>KGR26.00285|68805322</v>
      </c>
      <c r="Q1148" s="18" t="str">
        <f aca="false">IF(N1148&lt;&gt;"Y","",IFERROR(INDEX($D$6:$D$4005,MATCH(B1148&amp;"|"&amp;ROUND(_xlfn.MAXIFS($O$6:$O$4005,$B$6:$B$4005,B1148,$N$6:$N$4005,"N"),0),$P$6:$P$4005,0)),"(tanpa lawan)"))</f>
        <v/>
      </c>
      <c r="R1148" s="44"/>
      <c r="S1148" s="9" t="str">
        <f aca="false">IF(N1148&lt;&gt;"Y","",IF(R1148&lt;&gt;"",R1148,IF(Q1148="(tanpa lawan)","Transfer antar rekening",IFERROR(INDEX(I_COA!$F$6:$F$265,MATCH(Q1148,I_COA!$A$6:$A$265,0)),"?"))))</f>
        <v/>
      </c>
    </row>
    <row r="1149" customFormat="false" ht="15" hidden="false" customHeight="false" outlineLevel="0" collapsed="false">
      <c r="A1149" s="37" t="n">
        <v>46252</v>
      </c>
      <c r="B1149" s="44" t="s">
        <v>1527</v>
      </c>
      <c r="C1149" s="44" t="s">
        <v>600</v>
      </c>
      <c r="D1149" s="44" t="n">
        <v>1104002</v>
      </c>
      <c r="E1149" s="44" t="s">
        <v>601</v>
      </c>
      <c r="F1149" s="44" t="s">
        <v>1528</v>
      </c>
      <c r="G1149" s="42" t="n">
        <v>24188110.68</v>
      </c>
      <c r="H1149" s="42"/>
      <c r="I1149" s="44" t="s">
        <v>432</v>
      </c>
      <c r="J1149" s="11" t="n">
        <f aca="false">IF(D1149="","",N(G1149)-N(H1149))</f>
        <v>24188110.68</v>
      </c>
      <c r="K1149" s="34" t="str">
        <f aca="false">IF(D1149="","",IFERROR(INDEX(I_COA!$C$6:$C$265,MATCH(D1149,I_COA!$A$6:$A$265,0)),"AKUN BARU"))</f>
        <v>Neraca</v>
      </c>
      <c r="L1149" s="34" t="str">
        <f aca="false">IF(K1149="LabaRugi",INDEX(I_COA!$D$6:$D$265,MATCH(D1149,I_COA!$A$6:$A$265,0)),"")</f>
        <v/>
      </c>
      <c r="M1149" s="34" t="str">
        <f aca="false">IF(K1149="Neraca",INDEX(I_COA!$E$6:$E$265,MATCH(D1149,I_COA!$A$6:$A$265,0)),"")</f>
        <v>Inventory - Product</v>
      </c>
      <c r="N1149" s="34" t="str">
        <f aca="false">IF(D1149="","",IFERROR(INDEX(I_COA!$G$6:$G$265,MATCH(D1149,I_COA!$A$6:$A$265,0)),"N"))</f>
        <v>N</v>
      </c>
      <c r="O1149" s="11" t="n">
        <f aca="false">IF(N1149="N",ABS(J1149),"")</f>
        <v>24188110.68</v>
      </c>
      <c r="P1149" s="18" t="str">
        <f aca="false">IF(N1149="N",B1149&amp;"|"&amp;ROUND(O1149,0),"")</f>
        <v>KGR26.00286|24188111</v>
      </c>
      <c r="Q1149" s="18" t="str">
        <f aca="false">IF(N1149&lt;&gt;"Y","",IFERROR(INDEX($D$6:$D$4005,MATCH(B1149&amp;"|"&amp;ROUND(_xlfn.MAXIFS($O$6:$O$4005,$B$6:$B$4005,B1149,$N$6:$N$4005,"N"),0),$P$6:$P$4005,0)),"(tanpa lawan)"))</f>
        <v/>
      </c>
      <c r="R1149" s="44"/>
      <c r="S1149" s="9" t="str">
        <f aca="false">IF(N1149&lt;&gt;"Y","",IF(R1149&lt;&gt;"",R1149,IF(Q1149="(tanpa lawan)","Transfer antar rekening",IFERROR(INDEX(I_COA!$F$6:$F$265,MATCH(Q1149,I_COA!$A$6:$A$265,0)),"?"))))</f>
        <v/>
      </c>
    </row>
    <row r="1150" customFormat="false" ht="15" hidden="false" customHeight="false" outlineLevel="0" collapsed="false">
      <c r="A1150" s="37" t="n">
        <v>46252</v>
      </c>
      <c r="B1150" s="44" t="s">
        <v>1527</v>
      </c>
      <c r="C1150" s="44" t="s">
        <v>600</v>
      </c>
      <c r="D1150" s="44" t="n">
        <v>1104003</v>
      </c>
      <c r="E1150" s="44" t="s">
        <v>613</v>
      </c>
      <c r="F1150" s="44" t="s">
        <v>1528</v>
      </c>
      <c r="G1150" s="42"/>
      <c r="H1150" s="42" t="n">
        <v>24188110.68</v>
      </c>
      <c r="I1150" s="44" t="s">
        <v>432</v>
      </c>
      <c r="J1150" s="11" t="n">
        <f aca="false">IF(D1150="","",N(G1150)-N(H1150))</f>
        <v>-24188110.68</v>
      </c>
      <c r="K1150" s="34" t="str">
        <f aca="false">IF(D1150="","",IFERROR(INDEX(I_COA!$C$6:$C$265,MATCH(D1150,I_COA!$A$6:$A$265,0)),"AKUN BARU"))</f>
        <v>Neraca</v>
      </c>
      <c r="L1150" s="34" t="str">
        <f aca="false">IF(K1150="LabaRugi",INDEX(I_COA!$D$6:$D$265,MATCH(D1150,I_COA!$A$6:$A$265,0)),"")</f>
        <v/>
      </c>
      <c r="M1150" s="34" t="str">
        <f aca="false">IF(K1150="Neraca",INDEX(I_COA!$E$6:$E$265,MATCH(D1150,I_COA!$A$6:$A$265,0)),"")</f>
        <v>Inventory - Product</v>
      </c>
      <c r="N1150" s="34" t="str">
        <f aca="false">IF(D1150="","",IFERROR(INDEX(I_COA!$G$6:$G$265,MATCH(D1150,I_COA!$A$6:$A$265,0)),"N"))</f>
        <v>N</v>
      </c>
      <c r="O1150" s="11" t="n">
        <f aca="false">IF(N1150="N",ABS(J1150),"")</f>
        <v>24188110.68</v>
      </c>
      <c r="P1150" s="18" t="str">
        <f aca="false">IF(N1150="N",B1150&amp;"|"&amp;ROUND(O1150,0),"")</f>
        <v>KGR26.00286|24188111</v>
      </c>
      <c r="Q1150" s="18" t="str">
        <f aca="false">IF(N1150&lt;&gt;"Y","",IFERROR(INDEX($D$6:$D$4005,MATCH(B1150&amp;"|"&amp;ROUND(_xlfn.MAXIFS($O$6:$O$4005,$B$6:$B$4005,B1150,$N$6:$N$4005,"N"),0),$P$6:$P$4005,0)),"(tanpa lawan)"))</f>
        <v/>
      </c>
      <c r="R1150" s="44"/>
      <c r="S1150" s="9" t="str">
        <f aca="false">IF(N1150&lt;&gt;"Y","",IF(R1150&lt;&gt;"",R1150,IF(Q1150="(tanpa lawan)","Transfer antar rekening",IFERROR(INDEX(I_COA!$F$6:$F$265,MATCH(Q1150,I_COA!$A$6:$A$265,0)),"?"))))</f>
        <v/>
      </c>
    </row>
    <row r="1151" customFormat="false" ht="15" hidden="false" customHeight="false" outlineLevel="0" collapsed="false">
      <c r="A1151" s="37" t="n">
        <v>46252</v>
      </c>
      <c r="B1151" s="44" t="s">
        <v>1529</v>
      </c>
      <c r="C1151" s="44" t="s">
        <v>600</v>
      </c>
      <c r="D1151" s="44" t="n">
        <v>1104002</v>
      </c>
      <c r="E1151" s="44" t="s">
        <v>601</v>
      </c>
      <c r="F1151" s="44" t="s">
        <v>1530</v>
      </c>
      <c r="G1151" s="42" t="n">
        <v>53739141.01</v>
      </c>
      <c r="H1151" s="42"/>
      <c r="I1151" s="44" t="s">
        <v>451</v>
      </c>
      <c r="J1151" s="11" t="n">
        <f aca="false">IF(D1151="","",N(G1151)-N(H1151))</f>
        <v>53739141.01</v>
      </c>
      <c r="K1151" s="34" t="str">
        <f aca="false">IF(D1151="","",IFERROR(INDEX(I_COA!$C$6:$C$265,MATCH(D1151,I_COA!$A$6:$A$265,0)),"AKUN BARU"))</f>
        <v>Neraca</v>
      </c>
      <c r="L1151" s="34" t="str">
        <f aca="false">IF(K1151="LabaRugi",INDEX(I_COA!$D$6:$D$265,MATCH(D1151,I_COA!$A$6:$A$265,0)),"")</f>
        <v/>
      </c>
      <c r="M1151" s="34" t="str">
        <f aca="false">IF(K1151="Neraca",INDEX(I_COA!$E$6:$E$265,MATCH(D1151,I_COA!$A$6:$A$265,0)),"")</f>
        <v>Inventory - Product</v>
      </c>
      <c r="N1151" s="34" t="str">
        <f aca="false">IF(D1151="","",IFERROR(INDEX(I_COA!$G$6:$G$265,MATCH(D1151,I_COA!$A$6:$A$265,0)),"N"))</f>
        <v>N</v>
      </c>
      <c r="O1151" s="11" t="n">
        <f aca="false">IF(N1151="N",ABS(J1151),"")</f>
        <v>53739141.01</v>
      </c>
      <c r="P1151" s="18" t="str">
        <f aca="false">IF(N1151="N",B1151&amp;"|"&amp;ROUND(O1151,0),"")</f>
        <v>KGR26.00287|53739141</v>
      </c>
      <c r="Q1151" s="18" t="str">
        <f aca="false">IF(N1151&lt;&gt;"Y","",IFERROR(INDEX($D$6:$D$4005,MATCH(B1151&amp;"|"&amp;ROUND(_xlfn.MAXIFS($O$6:$O$4005,$B$6:$B$4005,B1151,$N$6:$N$4005,"N"),0),$P$6:$P$4005,0)),"(tanpa lawan)"))</f>
        <v/>
      </c>
      <c r="R1151" s="44"/>
      <c r="S1151" s="9" t="str">
        <f aca="false">IF(N1151&lt;&gt;"Y","",IF(R1151&lt;&gt;"",R1151,IF(Q1151="(tanpa lawan)","Transfer antar rekening",IFERROR(INDEX(I_COA!$F$6:$F$265,MATCH(Q1151,I_COA!$A$6:$A$265,0)),"?"))))</f>
        <v/>
      </c>
    </row>
    <row r="1152" customFormat="false" ht="15" hidden="false" customHeight="false" outlineLevel="0" collapsed="false">
      <c r="A1152" s="37" t="n">
        <v>46252</v>
      </c>
      <c r="B1152" s="44" t="s">
        <v>1529</v>
      </c>
      <c r="C1152" s="44" t="s">
        <v>600</v>
      </c>
      <c r="D1152" s="44" t="n">
        <v>1104006</v>
      </c>
      <c r="E1152" s="44" t="s">
        <v>212</v>
      </c>
      <c r="F1152" s="44" t="s">
        <v>1530</v>
      </c>
      <c r="G1152" s="42"/>
      <c r="H1152" s="42" t="n">
        <v>53739141.01</v>
      </c>
      <c r="I1152" s="44" t="s">
        <v>451</v>
      </c>
      <c r="J1152" s="11" t="n">
        <f aca="false">IF(D1152="","",N(G1152)-N(H1152))</f>
        <v>-53739141.01</v>
      </c>
      <c r="K1152" s="34" t="str">
        <f aca="false">IF(D1152="","",IFERROR(INDEX(I_COA!$C$6:$C$265,MATCH(D1152,I_COA!$A$6:$A$265,0)),"AKUN BARU"))</f>
        <v>Neraca</v>
      </c>
      <c r="L1152" s="34" t="str">
        <f aca="false">IF(K1152="LabaRugi",INDEX(I_COA!$D$6:$D$265,MATCH(D1152,I_COA!$A$6:$A$265,0)),"")</f>
        <v/>
      </c>
      <c r="M1152" s="34" t="str">
        <f aca="false">IF(K1152="Neraca",INDEX(I_COA!$E$6:$E$265,MATCH(D1152,I_COA!$A$6:$A$265,0)),"")</f>
        <v>Inventory - Trading</v>
      </c>
      <c r="N1152" s="34" t="str">
        <f aca="false">IF(D1152="","",IFERROR(INDEX(I_COA!$G$6:$G$265,MATCH(D1152,I_COA!$A$6:$A$265,0)),"N"))</f>
        <v>N</v>
      </c>
      <c r="O1152" s="11" t="n">
        <f aca="false">IF(N1152="N",ABS(J1152),"")</f>
        <v>53739141.01</v>
      </c>
      <c r="P1152" s="18" t="str">
        <f aca="false">IF(N1152="N",B1152&amp;"|"&amp;ROUND(O1152,0),"")</f>
        <v>KGR26.00287|53739141</v>
      </c>
      <c r="Q1152" s="18" t="str">
        <f aca="false">IF(N1152&lt;&gt;"Y","",IFERROR(INDEX($D$6:$D$4005,MATCH(B1152&amp;"|"&amp;ROUND(_xlfn.MAXIFS($O$6:$O$4005,$B$6:$B$4005,B1152,$N$6:$N$4005,"N"),0),$P$6:$P$4005,0)),"(tanpa lawan)"))</f>
        <v/>
      </c>
      <c r="R1152" s="44"/>
      <c r="S1152" s="9" t="str">
        <f aca="false">IF(N1152&lt;&gt;"Y","",IF(R1152&lt;&gt;"",R1152,IF(Q1152="(tanpa lawan)","Transfer antar rekening",IFERROR(INDEX(I_COA!$F$6:$F$265,MATCH(Q1152,I_COA!$A$6:$A$265,0)),"?"))))</f>
        <v/>
      </c>
    </row>
    <row r="1153" customFormat="false" ht="15" hidden="false" customHeight="false" outlineLevel="0" collapsed="false">
      <c r="A1153" s="37" t="n">
        <v>46252</v>
      </c>
      <c r="B1153" s="44" t="s">
        <v>1531</v>
      </c>
      <c r="C1153" s="44" t="s">
        <v>617</v>
      </c>
      <c r="D1153" s="44" t="n">
        <v>1103101</v>
      </c>
      <c r="E1153" s="44" t="s">
        <v>589</v>
      </c>
      <c r="F1153" s="44" t="s">
        <v>1532</v>
      </c>
      <c r="G1153" s="42" t="n">
        <v>1398100</v>
      </c>
      <c r="H1153" s="42"/>
      <c r="I1153" s="44" t="s">
        <v>440</v>
      </c>
      <c r="J1153" s="11" t="n">
        <f aca="false">IF(D1153="","",N(G1153)-N(H1153))</f>
        <v>1398100</v>
      </c>
      <c r="K1153" s="34" t="str">
        <f aca="false">IF(D1153="","",IFERROR(INDEX(I_COA!$C$6:$C$265,MATCH(D1153,I_COA!$A$6:$A$265,0)),"AKUN BARU"))</f>
        <v>Neraca</v>
      </c>
      <c r="L1153" s="34" t="str">
        <f aca="false">IF(K1153="LabaRugi",INDEX(I_COA!$D$6:$D$265,MATCH(D1153,I_COA!$A$6:$A$265,0)),"")</f>
        <v/>
      </c>
      <c r="M1153" s="34" t="str">
        <f aca="false">IF(K1153="Neraca",INDEX(I_COA!$E$6:$E$265,MATCH(D1153,I_COA!$A$6:$A$265,0)),"")</f>
        <v>Trade Receivables - Third Parties</v>
      </c>
      <c r="N1153" s="34" t="str">
        <f aca="false">IF(D1153="","",IFERROR(INDEX(I_COA!$G$6:$G$265,MATCH(D1153,I_COA!$A$6:$A$265,0)),"N"))</f>
        <v>N</v>
      </c>
      <c r="O1153" s="11" t="n">
        <f aca="false">IF(N1153="N",ABS(J1153),"")</f>
        <v>1398100</v>
      </c>
      <c r="P1153" s="18" t="str">
        <f aca="false">IF(N1153="N",B1153&amp;"|"&amp;ROUND(O1153,0),"")</f>
        <v>KGR26/0277|1398100</v>
      </c>
      <c r="Q1153" s="18" t="str">
        <f aca="false">IF(N1153&lt;&gt;"Y","",IFERROR(INDEX($D$6:$D$4005,MATCH(B1153&amp;"|"&amp;ROUND(_xlfn.MAXIFS($O$6:$O$4005,$B$6:$B$4005,B1153,$N$6:$N$4005,"N"),0),$P$6:$P$4005,0)),"(tanpa lawan)"))</f>
        <v/>
      </c>
      <c r="R1153" s="44"/>
      <c r="S1153" s="9" t="str">
        <f aca="false">IF(N1153&lt;&gt;"Y","",IF(R1153&lt;&gt;"",R1153,IF(Q1153="(tanpa lawan)","Transfer antar rekening",IFERROR(INDEX(I_COA!$F$6:$F$265,MATCH(Q1153,I_COA!$A$6:$A$265,0)),"?"))))</f>
        <v/>
      </c>
    </row>
    <row r="1154" customFormat="false" ht="15" hidden="false" customHeight="false" outlineLevel="0" collapsed="false">
      <c r="A1154" s="37" t="n">
        <v>46252</v>
      </c>
      <c r="B1154" s="44" t="s">
        <v>1531</v>
      </c>
      <c r="C1154" s="44" t="s">
        <v>617</v>
      </c>
      <c r="D1154" s="44" t="n">
        <v>4101006</v>
      </c>
      <c r="E1154" s="44" t="s">
        <v>626</v>
      </c>
      <c r="F1154" s="44" t="s">
        <v>1532</v>
      </c>
      <c r="G1154" s="42"/>
      <c r="H1154" s="42" t="n">
        <v>1398100</v>
      </c>
      <c r="I1154" s="44" t="s">
        <v>440</v>
      </c>
      <c r="J1154" s="11" t="n">
        <f aca="false">IF(D1154="","",N(G1154)-N(H1154))</f>
        <v>-1398100</v>
      </c>
      <c r="K1154" s="34" t="str">
        <f aca="false">IF(D1154="","",IFERROR(INDEX(I_COA!$C$6:$C$265,MATCH(D1154,I_COA!$A$6:$A$265,0)),"AKUN BARU"))</f>
        <v>LabaRugi</v>
      </c>
      <c r="L1154" s="34" t="str">
        <f aca="false">IF(K1154="LabaRugi",INDEX(I_COA!$D$6:$D$265,MATCH(D1154,I_COA!$A$6:$A$265,0)),"")</f>
        <v>Revenue - LB Main Product</v>
      </c>
      <c r="M1154" s="34" t="str">
        <f aca="false">IF(K1154="Neraca",INDEX(I_COA!$E$6:$E$265,MATCH(D1154,I_COA!$A$6:$A$265,0)),"")</f>
        <v/>
      </c>
      <c r="N1154" s="34" t="str">
        <f aca="false">IF(D1154="","",IFERROR(INDEX(I_COA!$G$6:$G$265,MATCH(D1154,I_COA!$A$6:$A$265,0)),"N"))</f>
        <v>N</v>
      </c>
      <c r="O1154" s="11" t="n">
        <f aca="false">IF(N1154="N",ABS(J1154),"")</f>
        <v>1398100</v>
      </c>
      <c r="P1154" s="18" t="str">
        <f aca="false">IF(N1154="N",B1154&amp;"|"&amp;ROUND(O1154,0),"")</f>
        <v>KGR26/0277|1398100</v>
      </c>
      <c r="Q1154" s="18" t="str">
        <f aca="false">IF(N1154&lt;&gt;"Y","",IFERROR(INDEX($D$6:$D$4005,MATCH(B1154&amp;"|"&amp;ROUND(_xlfn.MAXIFS($O$6:$O$4005,$B$6:$B$4005,B1154,$N$6:$N$4005,"N"),0),$P$6:$P$4005,0)),"(tanpa lawan)"))</f>
        <v/>
      </c>
      <c r="R1154" s="44"/>
      <c r="S1154" s="9" t="str">
        <f aca="false">IF(N1154&lt;&gt;"Y","",IF(R1154&lt;&gt;"",R1154,IF(Q1154="(tanpa lawan)","Transfer antar rekening",IFERROR(INDEX(I_COA!$F$6:$F$265,MATCH(Q1154,I_COA!$A$6:$A$265,0)),"?"))))</f>
        <v/>
      </c>
    </row>
    <row r="1155" customFormat="false" ht="15" hidden="false" customHeight="false" outlineLevel="0" collapsed="false">
      <c r="A1155" s="37" t="n">
        <v>46252</v>
      </c>
      <c r="B1155" s="44" t="s">
        <v>1531</v>
      </c>
      <c r="C1155" s="44" t="s">
        <v>617</v>
      </c>
      <c r="D1155" s="44" t="n">
        <v>5100004</v>
      </c>
      <c r="E1155" s="44" t="s">
        <v>627</v>
      </c>
      <c r="F1155" s="44" t="s">
        <v>1532</v>
      </c>
      <c r="G1155" s="42" t="n">
        <v>1726142.66</v>
      </c>
      <c r="H1155" s="42"/>
      <c r="I1155" s="44" t="s">
        <v>440</v>
      </c>
      <c r="J1155" s="11" t="n">
        <f aca="false">IF(D1155="","",N(G1155)-N(H1155))</f>
        <v>1726142.66</v>
      </c>
      <c r="K1155" s="34" t="str">
        <f aca="false">IF(D1155="","",IFERROR(INDEX(I_COA!$C$6:$C$265,MATCH(D1155,I_COA!$A$6:$A$265,0)),"AKUN BARU"))</f>
        <v>LabaRugi</v>
      </c>
      <c r="L1155" s="34" t="str">
        <f aca="false">IF(K1155="LabaRugi",INDEX(I_COA!$D$6:$D$265,MATCH(D1155,I_COA!$A$6:$A$265,0)),"")</f>
        <v>COGS - Live Bird</v>
      </c>
      <c r="M1155" s="34" t="str">
        <f aca="false">IF(K1155="Neraca",INDEX(I_COA!$E$6:$E$265,MATCH(D1155,I_COA!$A$6:$A$265,0)),"")</f>
        <v/>
      </c>
      <c r="N1155" s="34" t="str">
        <f aca="false">IF(D1155="","",IFERROR(INDEX(I_COA!$G$6:$G$265,MATCH(D1155,I_COA!$A$6:$A$265,0)),"N"))</f>
        <v>N</v>
      </c>
      <c r="O1155" s="11" t="n">
        <f aca="false">IF(N1155="N",ABS(J1155),"")</f>
        <v>1726142.66</v>
      </c>
      <c r="P1155" s="18" t="str">
        <f aca="false">IF(N1155="N",B1155&amp;"|"&amp;ROUND(O1155,0),"")</f>
        <v>KGR26/0277|1726143</v>
      </c>
      <c r="Q1155" s="18" t="str">
        <f aca="false">IF(N1155&lt;&gt;"Y","",IFERROR(INDEX($D$6:$D$4005,MATCH(B1155&amp;"|"&amp;ROUND(_xlfn.MAXIFS($O$6:$O$4005,$B$6:$B$4005,B1155,$N$6:$N$4005,"N"),0),$P$6:$P$4005,0)),"(tanpa lawan)"))</f>
        <v/>
      </c>
      <c r="R1155" s="44"/>
      <c r="S1155" s="9" t="str">
        <f aca="false">IF(N1155&lt;&gt;"Y","",IF(R1155&lt;&gt;"",R1155,IF(Q1155="(tanpa lawan)","Transfer antar rekening",IFERROR(INDEX(I_COA!$F$6:$F$265,MATCH(Q1155,I_COA!$A$6:$A$265,0)),"?"))))</f>
        <v/>
      </c>
    </row>
    <row r="1156" customFormat="false" ht="15" hidden="false" customHeight="false" outlineLevel="0" collapsed="false">
      <c r="A1156" s="37" t="n">
        <v>46252</v>
      </c>
      <c r="B1156" s="44" t="s">
        <v>1531</v>
      </c>
      <c r="C1156" s="44" t="s">
        <v>617</v>
      </c>
      <c r="D1156" s="44" t="n">
        <v>1104002</v>
      </c>
      <c r="E1156" s="44" t="s">
        <v>601</v>
      </c>
      <c r="F1156" s="44" t="s">
        <v>1532</v>
      </c>
      <c r="G1156" s="42"/>
      <c r="H1156" s="42" t="n">
        <v>1726142.66</v>
      </c>
      <c r="I1156" s="44" t="s">
        <v>440</v>
      </c>
      <c r="J1156" s="11" t="n">
        <f aca="false">IF(D1156="","",N(G1156)-N(H1156))</f>
        <v>-1726142.66</v>
      </c>
      <c r="K1156" s="34" t="str">
        <f aca="false">IF(D1156="","",IFERROR(INDEX(I_COA!$C$6:$C$265,MATCH(D1156,I_COA!$A$6:$A$265,0)),"AKUN BARU"))</f>
        <v>Neraca</v>
      </c>
      <c r="L1156" s="34" t="str">
        <f aca="false">IF(K1156="LabaRugi",INDEX(I_COA!$D$6:$D$265,MATCH(D1156,I_COA!$A$6:$A$265,0)),"")</f>
        <v/>
      </c>
      <c r="M1156" s="34" t="str">
        <f aca="false">IF(K1156="Neraca",INDEX(I_COA!$E$6:$E$265,MATCH(D1156,I_COA!$A$6:$A$265,0)),"")</f>
        <v>Inventory - Product</v>
      </c>
      <c r="N1156" s="34" t="str">
        <f aca="false">IF(D1156="","",IFERROR(INDEX(I_COA!$G$6:$G$265,MATCH(D1156,I_COA!$A$6:$A$265,0)),"N"))</f>
        <v>N</v>
      </c>
      <c r="O1156" s="11" t="n">
        <f aca="false">IF(N1156="N",ABS(J1156),"")</f>
        <v>1726142.66</v>
      </c>
      <c r="P1156" s="18" t="str">
        <f aca="false">IF(N1156="N",B1156&amp;"|"&amp;ROUND(O1156,0),"")</f>
        <v>KGR26/0277|1726143</v>
      </c>
      <c r="Q1156" s="18" t="str">
        <f aca="false">IF(N1156&lt;&gt;"Y","",IFERROR(INDEX($D$6:$D$4005,MATCH(B1156&amp;"|"&amp;ROUND(_xlfn.MAXIFS($O$6:$O$4005,$B$6:$B$4005,B1156,$N$6:$N$4005,"N"),0),$P$6:$P$4005,0)),"(tanpa lawan)"))</f>
        <v/>
      </c>
      <c r="R1156" s="44"/>
      <c r="S1156" s="9" t="str">
        <f aca="false">IF(N1156&lt;&gt;"Y","",IF(R1156&lt;&gt;"",R1156,IF(Q1156="(tanpa lawan)","Transfer antar rekening",IFERROR(INDEX(I_COA!$F$6:$F$265,MATCH(Q1156,I_COA!$A$6:$A$265,0)),"?"))))</f>
        <v/>
      </c>
    </row>
    <row r="1157" customFormat="false" ht="15" hidden="false" customHeight="false" outlineLevel="0" collapsed="false">
      <c r="A1157" s="37" t="n">
        <v>46252</v>
      </c>
      <c r="B1157" s="44" t="s">
        <v>1533</v>
      </c>
      <c r="C1157" s="44" t="s">
        <v>617</v>
      </c>
      <c r="D1157" s="44" t="n">
        <v>1103101</v>
      </c>
      <c r="E1157" s="44" t="s">
        <v>589</v>
      </c>
      <c r="F1157" s="44" t="s">
        <v>1534</v>
      </c>
      <c r="G1157" s="42" t="n">
        <v>1967450</v>
      </c>
      <c r="H1157" s="42"/>
      <c r="I1157" s="44" t="s">
        <v>440</v>
      </c>
      <c r="J1157" s="11" t="n">
        <f aca="false">IF(D1157="","",N(G1157)-N(H1157))</f>
        <v>1967450</v>
      </c>
      <c r="K1157" s="34" t="str">
        <f aca="false">IF(D1157="","",IFERROR(INDEX(I_COA!$C$6:$C$265,MATCH(D1157,I_COA!$A$6:$A$265,0)),"AKUN BARU"))</f>
        <v>Neraca</v>
      </c>
      <c r="L1157" s="34" t="str">
        <f aca="false">IF(K1157="LabaRugi",INDEX(I_COA!$D$6:$D$265,MATCH(D1157,I_COA!$A$6:$A$265,0)),"")</f>
        <v/>
      </c>
      <c r="M1157" s="34" t="str">
        <f aca="false">IF(K1157="Neraca",INDEX(I_COA!$E$6:$E$265,MATCH(D1157,I_COA!$A$6:$A$265,0)),"")</f>
        <v>Trade Receivables - Third Parties</v>
      </c>
      <c r="N1157" s="34" t="str">
        <f aca="false">IF(D1157="","",IFERROR(INDEX(I_COA!$G$6:$G$265,MATCH(D1157,I_COA!$A$6:$A$265,0)),"N"))</f>
        <v>N</v>
      </c>
      <c r="O1157" s="11" t="n">
        <f aca="false">IF(N1157="N",ABS(J1157),"")</f>
        <v>1967450</v>
      </c>
      <c r="P1157" s="18" t="str">
        <f aca="false">IF(N1157="N",B1157&amp;"|"&amp;ROUND(O1157,0),"")</f>
        <v>KGR26/0278|1967450</v>
      </c>
      <c r="Q1157" s="18" t="str">
        <f aca="false">IF(N1157&lt;&gt;"Y","",IFERROR(INDEX($D$6:$D$4005,MATCH(B1157&amp;"|"&amp;ROUND(_xlfn.MAXIFS($O$6:$O$4005,$B$6:$B$4005,B1157,$N$6:$N$4005,"N"),0),$P$6:$P$4005,0)),"(tanpa lawan)"))</f>
        <v/>
      </c>
      <c r="R1157" s="44"/>
      <c r="S1157" s="9" t="str">
        <f aca="false">IF(N1157&lt;&gt;"Y","",IF(R1157&lt;&gt;"",R1157,IF(Q1157="(tanpa lawan)","Transfer antar rekening",IFERROR(INDEX(I_COA!$F$6:$F$265,MATCH(Q1157,I_COA!$A$6:$A$265,0)),"?"))))</f>
        <v/>
      </c>
    </row>
    <row r="1158" customFormat="false" ht="15" hidden="false" customHeight="false" outlineLevel="0" collapsed="false">
      <c r="A1158" s="37" t="n">
        <v>46252</v>
      </c>
      <c r="B1158" s="44" t="s">
        <v>1533</v>
      </c>
      <c r="C1158" s="44" t="s">
        <v>617</v>
      </c>
      <c r="D1158" s="44" t="n">
        <v>4101007</v>
      </c>
      <c r="E1158" s="44" t="s">
        <v>985</v>
      </c>
      <c r="F1158" s="44" t="s">
        <v>1534</v>
      </c>
      <c r="G1158" s="42"/>
      <c r="H1158" s="42" t="n">
        <v>1967450</v>
      </c>
      <c r="I1158" s="44" t="s">
        <v>440</v>
      </c>
      <c r="J1158" s="11" t="n">
        <f aca="false">IF(D1158="","",N(G1158)-N(H1158))</f>
        <v>-1967450</v>
      </c>
      <c r="K1158" s="34" t="str">
        <f aca="false">IF(D1158="","",IFERROR(INDEX(I_COA!$C$6:$C$265,MATCH(D1158,I_COA!$A$6:$A$265,0)),"AKUN BARU"))</f>
        <v>LabaRugi</v>
      </c>
      <c r="L1158" s="34" t="str">
        <f aca="false">IF(K1158="LabaRugi",INDEX(I_COA!$D$6:$D$265,MATCH(D1158,I_COA!$A$6:$A$265,0)),"")</f>
        <v>Revenue - LB By Product</v>
      </c>
      <c r="M1158" s="34" t="str">
        <f aca="false">IF(K1158="Neraca",INDEX(I_COA!$E$6:$E$265,MATCH(D1158,I_COA!$A$6:$A$265,0)),"")</f>
        <v/>
      </c>
      <c r="N1158" s="34" t="str">
        <f aca="false">IF(D1158="","",IFERROR(INDEX(I_COA!$G$6:$G$265,MATCH(D1158,I_COA!$A$6:$A$265,0)),"N"))</f>
        <v>N</v>
      </c>
      <c r="O1158" s="11" t="n">
        <f aca="false">IF(N1158="N",ABS(J1158),"")</f>
        <v>1967450</v>
      </c>
      <c r="P1158" s="18" t="str">
        <f aca="false">IF(N1158="N",B1158&amp;"|"&amp;ROUND(O1158,0),"")</f>
        <v>KGR26/0278|1967450</v>
      </c>
      <c r="Q1158" s="18" t="str">
        <f aca="false">IF(N1158&lt;&gt;"Y","",IFERROR(INDEX($D$6:$D$4005,MATCH(B1158&amp;"|"&amp;ROUND(_xlfn.MAXIFS($O$6:$O$4005,$B$6:$B$4005,B1158,$N$6:$N$4005,"N"),0),$P$6:$P$4005,0)),"(tanpa lawan)"))</f>
        <v/>
      </c>
      <c r="R1158" s="44"/>
      <c r="S1158" s="9" t="str">
        <f aca="false">IF(N1158&lt;&gt;"Y","",IF(R1158&lt;&gt;"",R1158,IF(Q1158="(tanpa lawan)","Transfer antar rekening",IFERROR(INDEX(I_COA!$F$6:$F$265,MATCH(Q1158,I_COA!$A$6:$A$265,0)),"?"))))</f>
        <v/>
      </c>
    </row>
    <row r="1159" customFormat="false" ht="15" hidden="false" customHeight="false" outlineLevel="0" collapsed="false">
      <c r="A1159" s="37" t="n">
        <v>46252</v>
      </c>
      <c r="B1159" s="44" t="s">
        <v>1533</v>
      </c>
      <c r="C1159" s="44" t="s">
        <v>617</v>
      </c>
      <c r="D1159" s="44" t="n">
        <v>5100005</v>
      </c>
      <c r="E1159" s="44" t="s">
        <v>986</v>
      </c>
      <c r="F1159" s="44" t="s">
        <v>1534</v>
      </c>
      <c r="G1159" s="42" t="n">
        <v>3552793.69</v>
      </c>
      <c r="H1159" s="42"/>
      <c r="I1159" s="44" t="s">
        <v>440</v>
      </c>
      <c r="J1159" s="11" t="n">
        <f aca="false">IF(D1159="","",N(G1159)-N(H1159))</f>
        <v>3552793.69</v>
      </c>
      <c r="K1159" s="34" t="str">
        <f aca="false">IF(D1159="","",IFERROR(INDEX(I_COA!$C$6:$C$265,MATCH(D1159,I_COA!$A$6:$A$265,0)),"AKUN BARU"))</f>
        <v>LabaRugi</v>
      </c>
      <c r="L1159" s="34" t="str">
        <f aca="false">IF(K1159="LabaRugi",INDEX(I_COA!$D$6:$D$265,MATCH(D1159,I_COA!$A$6:$A$265,0)),"")</f>
        <v>COGS - Live Bird</v>
      </c>
      <c r="M1159" s="34" t="str">
        <f aca="false">IF(K1159="Neraca",INDEX(I_COA!$E$6:$E$265,MATCH(D1159,I_COA!$A$6:$A$265,0)),"")</f>
        <v/>
      </c>
      <c r="N1159" s="34" t="str">
        <f aca="false">IF(D1159="","",IFERROR(INDEX(I_COA!$G$6:$G$265,MATCH(D1159,I_COA!$A$6:$A$265,0)),"N"))</f>
        <v>N</v>
      </c>
      <c r="O1159" s="11" t="n">
        <f aca="false">IF(N1159="N",ABS(J1159),"")</f>
        <v>3552793.69</v>
      </c>
      <c r="P1159" s="18" t="str">
        <f aca="false">IF(N1159="N",B1159&amp;"|"&amp;ROUND(O1159,0),"")</f>
        <v>KGR26/0278|3552794</v>
      </c>
      <c r="Q1159" s="18" t="str">
        <f aca="false">IF(N1159&lt;&gt;"Y","",IFERROR(INDEX($D$6:$D$4005,MATCH(B1159&amp;"|"&amp;ROUND(_xlfn.MAXIFS($O$6:$O$4005,$B$6:$B$4005,B1159,$N$6:$N$4005,"N"),0),$P$6:$P$4005,0)),"(tanpa lawan)"))</f>
        <v/>
      </c>
      <c r="R1159" s="44"/>
      <c r="S1159" s="9" t="str">
        <f aca="false">IF(N1159&lt;&gt;"Y","",IF(R1159&lt;&gt;"",R1159,IF(Q1159="(tanpa lawan)","Transfer antar rekening",IFERROR(INDEX(I_COA!$F$6:$F$265,MATCH(Q1159,I_COA!$A$6:$A$265,0)),"?"))))</f>
        <v/>
      </c>
    </row>
    <row r="1160" customFormat="false" ht="15" hidden="false" customHeight="false" outlineLevel="0" collapsed="false">
      <c r="A1160" s="37" t="n">
        <v>46252</v>
      </c>
      <c r="B1160" s="44" t="s">
        <v>1533</v>
      </c>
      <c r="C1160" s="44" t="s">
        <v>617</v>
      </c>
      <c r="D1160" s="44" t="n">
        <v>1104002</v>
      </c>
      <c r="E1160" s="44" t="s">
        <v>601</v>
      </c>
      <c r="F1160" s="44" t="s">
        <v>1534</v>
      </c>
      <c r="G1160" s="42"/>
      <c r="H1160" s="42" t="n">
        <v>3552793.69</v>
      </c>
      <c r="I1160" s="44" t="s">
        <v>440</v>
      </c>
      <c r="J1160" s="11" t="n">
        <f aca="false">IF(D1160="","",N(G1160)-N(H1160))</f>
        <v>-3552793.69</v>
      </c>
      <c r="K1160" s="34" t="str">
        <f aca="false">IF(D1160="","",IFERROR(INDEX(I_COA!$C$6:$C$265,MATCH(D1160,I_COA!$A$6:$A$265,0)),"AKUN BARU"))</f>
        <v>Neraca</v>
      </c>
      <c r="L1160" s="34" t="str">
        <f aca="false">IF(K1160="LabaRugi",INDEX(I_COA!$D$6:$D$265,MATCH(D1160,I_COA!$A$6:$A$265,0)),"")</f>
        <v/>
      </c>
      <c r="M1160" s="34" t="str">
        <f aca="false">IF(K1160="Neraca",INDEX(I_COA!$E$6:$E$265,MATCH(D1160,I_COA!$A$6:$A$265,0)),"")</f>
        <v>Inventory - Product</v>
      </c>
      <c r="N1160" s="34" t="str">
        <f aca="false">IF(D1160="","",IFERROR(INDEX(I_COA!$G$6:$G$265,MATCH(D1160,I_COA!$A$6:$A$265,0)),"N"))</f>
        <v>N</v>
      </c>
      <c r="O1160" s="11" t="n">
        <f aca="false">IF(N1160="N",ABS(J1160),"")</f>
        <v>3552793.69</v>
      </c>
      <c r="P1160" s="18" t="str">
        <f aca="false">IF(N1160="N",B1160&amp;"|"&amp;ROUND(O1160,0),"")</f>
        <v>KGR26/0278|3552794</v>
      </c>
      <c r="Q1160" s="18" t="str">
        <f aca="false">IF(N1160&lt;&gt;"Y","",IFERROR(INDEX($D$6:$D$4005,MATCH(B1160&amp;"|"&amp;ROUND(_xlfn.MAXIFS($O$6:$O$4005,$B$6:$B$4005,B1160,$N$6:$N$4005,"N"),0),$P$6:$P$4005,0)),"(tanpa lawan)"))</f>
        <v/>
      </c>
      <c r="R1160" s="44"/>
      <c r="S1160" s="9" t="str">
        <f aca="false">IF(N1160&lt;&gt;"Y","",IF(R1160&lt;&gt;"",R1160,IF(Q1160="(tanpa lawan)","Transfer antar rekening",IFERROR(INDEX(I_COA!$F$6:$F$265,MATCH(Q1160,I_COA!$A$6:$A$265,0)),"?"))))</f>
        <v/>
      </c>
    </row>
    <row r="1161" customFormat="false" ht="15" hidden="false" customHeight="false" outlineLevel="0" collapsed="false">
      <c r="A1161" s="37" t="n">
        <v>46252</v>
      </c>
      <c r="B1161" s="44" t="s">
        <v>1535</v>
      </c>
      <c r="C1161" s="44" t="s">
        <v>617</v>
      </c>
      <c r="D1161" s="44" t="n">
        <v>1103101</v>
      </c>
      <c r="E1161" s="44" t="s">
        <v>589</v>
      </c>
      <c r="F1161" s="44" t="s">
        <v>1536</v>
      </c>
      <c r="G1161" s="42" t="n">
        <v>2348650</v>
      </c>
      <c r="H1161" s="42"/>
      <c r="I1161" s="44" t="s">
        <v>440</v>
      </c>
      <c r="J1161" s="11" t="n">
        <f aca="false">IF(D1161="","",N(G1161)-N(H1161))</f>
        <v>2348650</v>
      </c>
      <c r="K1161" s="34" t="str">
        <f aca="false">IF(D1161="","",IFERROR(INDEX(I_COA!$C$6:$C$265,MATCH(D1161,I_COA!$A$6:$A$265,0)),"AKUN BARU"))</f>
        <v>Neraca</v>
      </c>
      <c r="L1161" s="34" t="str">
        <f aca="false">IF(K1161="LabaRugi",INDEX(I_COA!$D$6:$D$265,MATCH(D1161,I_COA!$A$6:$A$265,0)),"")</f>
        <v/>
      </c>
      <c r="M1161" s="34" t="str">
        <f aca="false">IF(K1161="Neraca",INDEX(I_COA!$E$6:$E$265,MATCH(D1161,I_COA!$A$6:$A$265,0)),"")</f>
        <v>Trade Receivables - Third Parties</v>
      </c>
      <c r="N1161" s="34" t="str">
        <f aca="false">IF(D1161="","",IFERROR(INDEX(I_COA!$G$6:$G$265,MATCH(D1161,I_COA!$A$6:$A$265,0)),"N"))</f>
        <v>N</v>
      </c>
      <c r="O1161" s="11" t="n">
        <f aca="false">IF(N1161="N",ABS(J1161),"")</f>
        <v>2348650</v>
      </c>
      <c r="P1161" s="18" t="str">
        <f aca="false">IF(N1161="N",B1161&amp;"|"&amp;ROUND(O1161,0),"")</f>
        <v>KGR26/0279|2348650</v>
      </c>
      <c r="Q1161" s="18" t="str">
        <f aca="false">IF(N1161&lt;&gt;"Y","",IFERROR(INDEX($D$6:$D$4005,MATCH(B1161&amp;"|"&amp;ROUND(_xlfn.MAXIFS($O$6:$O$4005,$B$6:$B$4005,B1161,$N$6:$N$4005,"N"),0),$P$6:$P$4005,0)),"(tanpa lawan)"))</f>
        <v/>
      </c>
      <c r="R1161" s="44"/>
      <c r="S1161" s="9" t="str">
        <f aca="false">IF(N1161&lt;&gt;"Y","",IF(R1161&lt;&gt;"",R1161,IF(Q1161="(tanpa lawan)","Transfer antar rekening",IFERROR(INDEX(I_COA!$F$6:$F$265,MATCH(Q1161,I_COA!$A$6:$A$265,0)),"?"))))</f>
        <v/>
      </c>
    </row>
    <row r="1162" customFormat="false" ht="15" hidden="false" customHeight="false" outlineLevel="0" collapsed="false">
      <c r="A1162" s="37" t="n">
        <v>46252</v>
      </c>
      <c r="B1162" s="44" t="s">
        <v>1535</v>
      </c>
      <c r="C1162" s="44" t="s">
        <v>617</v>
      </c>
      <c r="D1162" s="44" t="n">
        <v>4101007</v>
      </c>
      <c r="E1162" s="44" t="s">
        <v>985</v>
      </c>
      <c r="F1162" s="44" t="s">
        <v>1536</v>
      </c>
      <c r="G1162" s="42"/>
      <c r="H1162" s="42" t="n">
        <v>2348650</v>
      </c>
      <c r="I1162" s="44" t="s">
        <v>440</v>
      </c>
      <c r="J1162" s="11" t="n">
        <f aca="false">IF(D1162="","",N(G1162)-N(H1162))</f>
        <v>-2348650</v>
      </c>
      <c r="K1162" s="34" t="str">
        <f aca="false">IF(D1162="","",IFERROR(INDEX(I_COA!$C$6:$C$265,MATCH(D1162,I_COA!$A$6:$A$265,0)),"AKUN BARU"))</f>
        <v>LabaRugi</v>
      </c>
      <c r="L1162" s="34" t="str">
        <f aca="false">IF(K1162="LabaRugi",INDEX(I_COA!$D$6:$D$265,MATCH(D1162,I_COA!$A$6:$A$265,0)),"")</f>
        <v>Revenue - LB By Product</v>
      </c>
      <c r="M1162" s="34" t="str">
        <f aca="false">IF(K1162="Neraca",INDEX(I_COA!$E$6:$E$265,MATCH(D1162,I_COA!$A$6:$A$265,0)),"")</f>
        <v/>
      </c>
      <c r="N1162" s="34" t="str">
        <f aca="false">IF(D1162="","",IFERROR(INDEX(I_COA!$G$6:$G$265,MATCH(D1162,I_COA!$A$6:$A$265,0)),"N"))</f>
        <v>N</v>
      </c>
      <c r="O1162" s="11" t="n">
        <f aca="false">IF(N1162="N",ABS(J1162),"")</f>
        <v>2348650</v>
      </c>
      <c r="P1162" s="18" t="str">
        <f aca="false">IF(N1162="N",B1162&amp;"|"&amp;ROUND(O1162,0),"")</f>
        <v>KGR26/0279|2348650</v>
      </c>
      <c r="Q1162" s="18" t="str">
        <f aca="false">IF(N1162&lt;&gt;"Y","",IFERROR(INDEX($D$6:$D$4005,MATCH(B1162&amp;"|"&amp;ROUND(_xlfn.MAXIFS($O$6:$O$4005,$B$6:$B$4005,B1162,$N$6:$N$4005,"N"),0),$P$6:$P$4005,0)),"(tanpa lawan)"))</f>
        <v/>
      </c>
      <c r="R1162" s="44"/>
      <c r="S1162" s="9" t="str">
        <f aca="false">IF(N1162&lt;&gt;"Y","",IF(R1162&lt;&gt;"",R1162,IF(Q1162="(tanpa lawan)","Transfer antar rekening",IFERROR(INDEX(I_COA!$F$6:$F$265,MATCH(Q1162,I_COA!$A$6:$A$265,0)),"?"))))</f>
        <v/>
      </c>
    </row>
    <row r="1163" customFormat="false" ht="15" hidden="false" customHeight="false" outlineLevel="0" collapsed="false">
      <c r="A1163" s="37" t="n">
        <v>46252</v>
      </c>
      <c r="B1163" s="44" t="s">
        <v>1535</v>
      </c>
      <c r="C1163" s="44" t="s">
        <v>617</v>
      </c>
      <c r="D1163" s="44" t="n">
        <v>5100005</v>
      </c>
      <c r="E1163" s="44" t="s">
        <v>986</v>
      </c>
      <c r="F1163" s="44" t="s">
        <v>1536</v>
      </c>
      <c r="G1163" s="42" t="n">
        <v>3993509.54</v>
      </c>
      <c r="H1163" s="42"/>
      <c r="I1163" s="44" t="s">
        <v>440</v>
      </c>
      <c r="J1163" s="11" t="n">
        <f aca="false">IF(D1163="","",N(G1163)-N(H1163))</f>
        <v>3993509.54</v>
      </c>
      <c r="K1163" s="34" t="str">
        <f aca="false">IF(D1163="","",IFERROR(INDEX(I_COA!$C$6:$C$265,MATCH(D1163,I_COA!$A$6:$A$265,0)),"AKUN BARU"))</f>
        <v>LabaRugi</v>
      </c>
      <c r="L1163" s="34" t="str">
        <f aca="false">IF(K1163="LabaRugi",INDEX(I_COA!$D$6:$D$265,MATCH(D1163,I_COA!$A$6:$A$265,0)),"")</f>
        <v>COGS - Live Bird</v>
      </c>
      <c r="M1163" s="34" t="str">
        <f aca="false">IF(K1163="Neraca",INDEX(I_COA!$E$6:$E$265,MATCH(D1163,I_COA!$A$6:$A$265,0)),"")</f>
        <v/>
      </c>
      <c r="N1163" s="34" t="str">
        <f aca="false">IF(D1163="","",IFERROR(INDEX(I_COA!$G$6:$G$265,MATCH(D1163,I_COA!$A$6:$A$265,0)),"N"))</f>
        <v>N</v>
      </c>
      <c r="O1163" s="11" t="n">
        <f aca="false">IF(N1163="N",ABS(J1163),"")</f>
        <v>3993509.54</v>
      </c>
      <c r="P1163" s="18" t="str">
        <f aca="false">IF(N1163="N",B1163&amp;"|"&amp;ROUND(O1163,0),"")</f>
        <v>KGR26/0279|3993510</v>
      </c>
      <c r="Q1163" s="18" t="str">
        <f aca="false">IF(N1163&lt;&gt;"Y","",IFERROR(INDEX($D$6:$D$4005,MATCH(B1163&amp;"|"&amp;ROUND(_xlfn.MAXIFS($O$6:$O$4005,$B$6:$B$4005,B1163,$N$6:$N$4005,"N"),0),$P$6:$P$4005,0)),"(tanpa lawan)"))</f>
        <v/>
      </c>
      <c r="R1163" s="44"/>
      <c r="S1163" s="9" t="str">
        <f aca="false">IF(N1163&lt;&gt;"Y","",IF(R1163&lt;&gt;"",R1163,IF(Q1163="(tanpa lawan)","Transfer antar rekening",IFERROR(INDEX(I_COA!$F$6:$F$265,MATCH(Q1163,I_COA!$A$6:$A$265,0)),"?"))))</f>
        <v/>
      </c>
    </row>
    <row r="1164" customFormat="false" ht="15" hidden="false" customHeight="false" outlineLevel="0" collapsed="false">
      <c r="A1164" s="37" t="n">
        <v>46252</v>
      </c>
      <c r="B1164" s="44" t="s">
        <v>1535</v>
      </c>
      <c r="C1164" s="44" t="s">
        <v>617</v>
      </c>
      <c r="D1164" s="44" t="n">
        <v>1104002</v>
      </c>
      <c r="E1164" s="44" t="s">
        <v>601</v>
      </c>
      <c r="F1164" s="44" t="s">
        <v>1536</v>
      </c>
      <c r="G1164" s="42"/>
      <c r="H1164" s="42" t="n">
        <v>3993509.54</v>
      </c>
      <c r="I1164" s="44" t="s">
        <v>440</v>
      </c>
      <c r="J1164" s="11" t="n">
        <f aca="false">IF(D1164="","",N(G1164)-N(H1164))</f>
        <v>-3993509.54</v>
      </c>
      <c r="K1164" s="34" t="str">
        <f aca="false">IF(D1164="","",IFERROR(INDEX(I_COA!$C$6:$C$265,MATCH(D1164,I_COA!$A$6:$A$265,0)),"AKUN BARU"))</f>
        <v>Neraca</v>
      </c>
      <c r="L1164" s="34" t="str">
        <f aca="false">IF(K1164="LabaRugi",INDEX(I_COA!$D$6:$D$265,MATCH(D1164,I_COA!$A$6:$A$265,0)),"")</f>
        <v/>
      </c>
      <c r="M1164" s="34" t="str">
        <f aca="false">IF(K1164="Neraca",INDEX(I_COA!$E$6:$E$265,MATCH(D1164,I_COA!$A$6:$A$265,0)),"")</f>
        <v>Inventory - Product</v>
      </c>
      <c r="N1164" s="34" t="str">
        <f aca="false">IF(D1164="","",IFERROR(INDEX(I_COA!$G$6:$G$265,MATCH(D1164,I_COA!$A$6:$A$265,0)),"N"))</f>
        <v>N</v>
      </c>
      <c r="O1164" s="11" t="n">
        <f aca="false">IF(N1164="N",ABS(J1164),"")</f>
        <v>3993509.54</v>
      </c>
      <c r="P1164" s="18" t="str">
        <f aca="false">IF(N1164="N",B1164&amp;"|"&amp;ROUND(O1164,0),"")</f>
        <v>KGR26/0279|3993510</v>
      </c>
      <c r="Q1164" s="18" t="str">
        <f aca="false">IF(N1164&lt;&gt;"Y","",IFERROR(INDEX($D$6:$D$4005,MATCH(B1164&amp;"|"&amp;ROUND(_xlfn.MAXIFS($O$6:$O$4005,$B$6:$B$4005,B1164,$N$6:$N$4005,"N"),0),$P$6:$P$4005,0)),"(tanpa lawan)"))</f>
        <v/>
      </c>
      <c r="R1164" s="44"/>
      <c r="S1164" s="9" t="str">
        <f aca="false">IF(N1164&lt;&gt;"Y","",IF(R1164&lt;&gt;"",R1164,IF(Q1164="(tanpa lawan)","Transfer antar rekening",IFERROR(INDEX(I_COA!$F$6:$F$265,MATCH(Q1164,I_COA!$A$6:$A$265,0)),"?"))))</f>
        <v/>
      </c>
    </row>
    <row r="1165" customFormat="false" ht="15" hidden="false" customHeight="false" outlineLevel="0" collapsed="false">
      <c r="A1165" s="37" t="n">
        <v>46252</v>
      </c>
      <c r="B1165" s="44" t="s">
        <v>1537</v>
      </c>
      <c r="C1165" s="44" t="s">
        <v>617</v>
      </c>
      <c r="D1165" s="44" t="n">
        <v>1103101</v>
      </c>
      <c r="E1165" s="44" t="s">
        <v>589</v>
      </c>
      <c r="F1165" s="44" t="s">
        <v>1538</v>
      </c>
      <c r="G1165" s="42" t="n">
        <v>2266450</v>
      </c>
      <c r="H1165" s="42"/>
      <c r="I1165" s="44" t="s">
        <v>440</v>
      </c>
      <c r="J1165" s="11" t="n">
        <f aca="false">IF(D1165="","",N(G1165)-N(H1165))</f>
        <v>2266450</v>
      </c>
      <c r="K1165" s="34" t="str">
        <f aca="false">IF(D1165="","",IFERROR(INDEX(I_COA!$C$6:$C$265,MATCH(D1165,I_COA!$A$6:$A$265,0)),"AKUN BARU"))</f>
        <v>Neraca</v>
      </c>
      <c r="L1165" s="34" t="str">
        <f aca="false">IF(K1165="LabaRugi",INDEX(I_COA!$D$6:$D$265,MATCH(D1165,I_COA!$A$6:$A$265,0)),"")</f>
        <v/>
      </c>
      <c r="M1165" s="34" t="str">
        <f aca="false">IF(K1165="Neraca",INDEX(I_COA!$E$6:$E$265,MATCH(D1165,I_COA!$A$6:$A$265,0)),"")</f>
        <v>Trade Receivables - Third Parties</v>
      </c>
      <c r="N1165" s="34" t="str">
        <f aca="false">IF(D1165="","",IFERROR(INDEX(I_COA!$G$6:$G$265,MATCH(D1165,I_COA!$A$6:$A$265,0)),"N"))</f>
        <v>N</v>
      </c>
      <c r="O1165" s="11" t="n">
        <f aca="false">IF(N1165="N",ABS(J1165),"")</f>
        <v>2266450</v>
      </c>
      <c r="P1165" s="18" t="str">
        <f aca="false">IF(N1165="N",B1165&amp;"|"&amp;ROUND(O1165,0),"")</f>
        <v>KGR26/0280|2266450</v>
      </c>
      <c r="Q1165" s="18" t="str">
        <f aca="false">IF(N1165&lt;&gt;"Y","",IFERROR(INDEX($D$6:$D$4005,MATCH(B1165&amp;"|"&amp;ROUND(_xlfn.MAXIFS($O$6:$O$4005,$B$6:$B$4005,B1165,$N$6:$N$4005,"N"),0),$P$6:$P$4005,0)),"(tanpa lawan)"))</f>
        <v/>
      </c>
      <c r="R1165" s="44"/>
      <c r="S1165" s="9" t="str">
        <f aca="false">IF(N1165&lt;&gt;"Y","",IF(R1165&lt;&gt;"",R1165,IF(Q1165="(tanpa lawan)","Transfer antar rekening",IFERROR(INDEX(I_COA!$F$6:$F$265,MATCH(Q1165,I_COA!$A$6:$A$265,0)),"?"))))</f>
        <v/>
      </c>
    </row>
    <row r="1166" customFormat="false" ht="15" hidden="false" customHeight="false" outlineLevel="0" collapsed="false">
      <c r="A1166" s="37" t="n">
        <v>46252</v>
      </c>
      <c r="B1166" s="44" t="s">
        <v>1537</v>
      </c>
      <c r="C1166" s="44" t="s">
        <v>617</v>
      </c>
      <c r="D1166" s="44" t="n">
        <v>4101007</v>
      </c>
      <c r="E1166" s="44" t="s">
        <v>985</v>
      </c>
      <c r="F1166" s="44" t="s">
        <v>1538</v>
      </c>
      <c r="G1166" s="42"/>
      <c r="H1166" s="42" t="n">
        <v>2266450</v>
      </c>
      <c r="I1166" s="44" t="s">
        <v>440</v>
      </c>
      <c r="J1166" s="11" t="n">
        <f aca="false">IF(D1166="","",N(G1166)-N(H1166))</f>
        <v>-2266450</v>
      </c>
      <c r="K1166" s="34" t="str">
        <f aca="false">IF(D1166="","",IFERROR(INDEX(I_COA!$C$6:$C$265,MATCH(D1166,I_COA!$A$6:$A$265,0)),"AKUN BARU"))</f>
        <v>LabaRugi</v>
      </c>
      <c r="L1166" s="34" t="str">
        <f aca="false">IF(K1166="LabaRugi",INDEX(I_COA!$D$6:$D$265,MATCH(D1166,I_COA!$A$6:$A$265,0)),"")</f>
        <v>Revenue - LB By Product</v>
      </c>
      <c r="M1166" s="34" t="str">
        <f aca="false">IF(K1166="Neraca",INDEX(I_COA!$E$6:$E$265,MATCH(D1166,I_COA!$A$6:$A$265,0)),"")</f>
        <v/>
      </c>
      <c r="N1166" s="34" t="str">
        <f aca="false">IF(D1166="","",IFERROR(INDEX(I_COA!$G$6:$G$265,MATCH(D1166,I_COA!$A$6:$A$265,0)),"N"))</f>
        <v>N</v>
      </c>
      <c r="O1166" s="11" t="n">
        <f aca="false">IF(N1166="N",ABS(J1166),"")</f>
        <v>2266450</v>
      </c>
      <c r="P1166" s="18" t="str">
        <f aca="false">IF(N1166="N",B1166&amp;"|"&amp;ROUND(O1166,0),"")</f>
        <v>KGR26/0280|2266450</v>
      </c>
      <c r="Q1166" s="18" t="str">
        <f aca="false">IF(N1166&lt;&gt;"Y","",IFERROR(INDEX($D$6:$D$4005,MATCH(B1166&amp;"|"&amp;ROUND(_xlfn.MAXIFS($O$6:$O$4005,$B$6:$B$4005,B1166,$N$6:$N$4005,"N"),0),$P$6:$P$4005,0)),"(tanpa lawan)"))</f>
        <v/>
      </c>
      <c r="R1166" s="44"/>
      <c r="S1166" s="9" t="str">
        <f aca="false">IF(N1166&lt;&gt;"Y","",IF(R1166&lt;&gt;"",R1166,IF(Q1166="(tanpa lawan)","Transfer antar rekening",IFERROR(INDEX(I_COA!$F$6:$F$265,MATCH(Q1166,I_COA!$A$6:$A$265,0)),"?"))))</f>
        <v/>
      </c>
    </row>
    <row r="1167" customFormat="false" ht="15" hidden="false" customHeight="false" outlineLevel="0" collapsed="false">
      <c r="A1167" s="37" t="n">
        <v>46252</v>
      </c>
      <c r="B1167" s="44" t="s">
        <v>1537</v>
      </c>
      <c r="C1167" s="44" t="s">
        <v>617</v>
      </c>
      <c r="D1167" s="44" t="n">
        <v>5100005</v>
      </c>
      <c r="E1167" s="44" t="s">
        <v>986</v>
      </c>
      <c r="F1167" s="44" t="s">
        <v>1538</v>
      </c>
      <c r="G1167" s="42" t="n">
        <v>3993410.56</v>
      </c>
      <c r="H1167" s="42"/>
      <c r="I1167" s="44" t="s">
        <v>440</v>
      </c>
      <c r="J1167" s="11" t="n">
        <f aca="false">IF(D1167="","",N(G1167)-N(H1167))</f>
        <v>3993410.56</v>
      </c>
      <c r="K1167" s="34" t="str">
        <f aca="false">IF(D1167="","",IFERROR(INDEX(I_COA!$C$6:$C$265,MATCH(D1167,I_COA!$A$6:$A$265,0)),"AKUN BARU"))</f>
        <v>LabaRugi</v>
      </c>
      <c r="L1167" s="34" t="str">
        <f aca="false">IF(K1167="LabaRugi",INDEX(I_COA!$D$6:$D$265,MATCH(D1167,I_COA!$A$6:$A$265,0)),"")</f>
        <v>COGS - Live Bird</v>
      </c>
      <c r="M1167" s="34" t="str">
        <f aca="false">IF(K1167="Neraca",INDEX(I_COA!$E$6:$E$265,MATCH(D1167,I_COA!$A$6:$A$265,0)),"")</f>
        <v/>
      </c>
      <c r="N1167" s="34" t="str">
        <f aca="false">IF(D1167="","",IFERROR(INDEX(I_COA!$G$6:$G$265,MATCH(D1167,I_COA!$A$6:$A$265,0)),"N"))</f>
        <v>N</v>
      </c>
      <c r="O1167" s="11" t="n">
        <f aca="false">IF(N1167="N",ABS(J1167),"")</f>
        <v>3993410.56</v>
      </c>
      <c r="P1167" s="18" t="str">
        <f aca="false">IF(N1167="N",B1167&amp;"|"&amp;ROUND(O1167,0),"")</f>
        <v>KGR26/0280|3993411</v>
      </c>
      <c r="Q1167" s="18" t="str">
        <f aca="false">IF(N1167&lt;&gt;"Y","",IFERROR(INDEX($D$6:$D$4005,MATCH(B1167&amp;"|"&amp;ROUND(_xlfn.MAXIFS($O$6:$O$4005,$B$6:$B$4005,B1167,$N$6:$N$4005,"N"),0),$P$6:$P$4005,0)),"(tanpa lawan)"))</f>
        <v/>
      </c>
      <c r="R1167" s="44"/>
      <c r="S1167" s="9" t="str">
        <f aca="false">IF(N1167&lt;&gt;"Y","",IF(R1167&lt;&gt;"",R1167,IF(Q1167="(tanpa lawan)","Transfer antar rekening",IFERROR(INDEX(I_COA!$F$6:$F$265,MATCH(Q1167,I_COA!$A$6:$A$265,0)),"?"))))</f>
        <v/>
      </c>
    </row>
    <row r="1168" customFormat="false" ht="15" hidden="false" customHeight="false" outlineLevel="0" collapsed="false">
      <c r="A1168" s="37" t="n">
        <v>46252</v>
      </c>
      <c r="B1168" s="44" t="s">
        <v>1537</v>
      </c>
      <c r="C1168" s="44" t="s">
        <v>617</v>
      </c>
      <c r="D1168" s="44" t="n">
        <v>1104002</v>
      </c>
      <c r="E1168" s="44" t="s">
        <v>601</v>
      </c>
      <c r="F1168" s="44" t="s">
        <v>1538</v>
      </c>
      <c r="G1168" s="42"/>
      <c r="H1168" s="42" t="n">
        <v>3993410.56</v>
      </c>
      <c r="I1168" s="44" t="s">
        <v>440</v>
      </c>
      <c r="J1168" s="11" t="n">
        <f aca="false">IF(D1168="","",N(G1168)-N(H1168))</f>
        <v>-3993410.56</v>
      </c>
      <c r="K1168" s="34" t="str">
        <f aca="false">IF(D1168="","",IFERROR(INDEX(I_COA!$C$6:$C$265,MATCH(D1168,I_COA!$A$6:$A$265,0)),"AKUN BARU"))</f>
        <v>Neraca</v>
      </c>
      <c r="L1168" s="34" t="str">
        <f aca="false">IF(K1168="LabaRugi",INDEX(I_COA!$D$6:$D$265,MATCH(D1168,I_COA!$A$6:$A$265,0)),"")</f>
        <v/>
      </c>
      <c r="M1168" s="34" t="str">
        <f aca="false">IF(K1168="Neraca",INDEX(I_COA!$E$6:$E$265,MATCH(D1168,I_COA!$A$6:$A$265,0)),"")</f>
        <v>Inventory - Product</v>
      </c>
      <c r="N1168" s="34" t="str">
        <f aca="false">IF(D1168="","",IFERROR(INDEX(I_COA!$G$6:$G$265,MATCH(D1168,I_COA!$A$6:$A$265,0)),"N"))</f>
        <v>N</v>
      </c>
      <c r="O1168" s="11" t="n">
        <f aca="false">IF(N1168="N",ABS(J1168),"")</f>
        <v>3993410.56</v>
      </c>
      <c r="P1168" s="18" t="str">
        <f aca="false">IF(N1168="N",B1168&amp;"|"&amp;ROUND(O1168,0),"")</f>
        <v>KGR26/0280|3993411</v>
      </c>
      <c r="Q1168" s="18" t="str">
        <f aca="false">IF(N1168&lt;&gt;"Y","",IFERROR(INDEX($D$6:$D$4005,MATCH(B1168&amp;"|"&amp;ROUND(_xlfn.MAXIFS($O$6:$O$4005,$B$6:$B$4005,B1168,$N$6:$N$4005,"N"),0),$P$6:$P$4005,0)),"(tanpa lawan)"))</f>
        <v/>
      </c>
      <c r="R1168" s="44"/>
      <c r="S1168" s="9" t="str">
        <f aca="false">IF(N1168&lt;&gt;"Y","",IF(R1168&lt;&gt;"",R1168,IF(Q1168="(tanpa lawan)","Transfer antar rekening",IFERROR(INDEX(I_COA!$F$6:$F$265,MATCH(Q1168,I_COA!$A$6:$A$265,0)),"?"))))</f>
        <v/>
      </c>
    </row>
    <row r="1169" customFormat="false" ht="15" hidden="false" customHeight="false" outlineLevel="0" collapsed="false">
      <c r="A1169" s="37" t="n">
        <v>46252</v>
      </c>
      <c r="B1169" s="44" t="s">
        <v>1539</v>
      </c>
      <c r="C1169" s="44" t="s">
        <v>617</v>
      </c>
      <c r="D1169" s="44" t="n">
        <v>1103101</v>
      </c>
      <c r="E1169" s="44" t="s">
        <v>589</v>
      </c>
      <c r="F1169" s="44" t="s">
        <v>1540</v>
      </c>
      <c r="G1169" s="42" t="n">
        <v>2380250</v>
      </c>
      <c r="H1169" s="42"/>
      <c r="I1169" s="44" t="s">
        <v>440</v>
      </c>
      <c r="J1169" s="11" t="n">
        <f aca="false">IF(D1169="","",N(G1169)-N(H1169))</f>
        <v>2380250</v>
      </c>
      <c r="K1169" s="34" t="str">
        <f aca="false">IF(D1169="","",IFERROR(INDEX(I_COA!$C$6:$C$265,MATCH(D1169,I_COA!$A$6:$A$265,0)),"AKUN BARU"))</f>
        <v>Neraca</v>
      </c>
      <c r="L1169" s="34" t="str">
        <f aca="false">IF(K1169="LabaRugi",INDEX(I_COA!$D$6:$D$265,MATCH(D1169,I_COA!$A$6:$A$265,0)),"")</f>
        <v/>
      </c>
      <c r="M1169" s="34" t="str">
        <f aca="false">IF(K1169="Neraca",INDEX(I_COA!$E$6:$E$265,MATCH(D1169,I_COA!$A$6:$A$265,0)),"")</f>
        <v>Trade Receivables - Third Parties</v>
      </c>
      <c r="N1169" s="34" t="str">
        <f aca="false">IF(D1169="","",IFERROR(INDEX(I_COA!$G$6:$G$265,MATCH(D1169,I_COA!$A$6:$A$265,0)),"N"))</f>
        <v>N</v>
      </c>
      <c r="O1169" s="11" t="n">
        <f aca="false">IF(N1169="N",ABS(J1169),"")</f>
        <v>2380250</v>
      </c>
      <c r="P1169" s="18" t="str">
        <f aca="false">IF(N1169="N",B1169&amp;"|"&amp;ROUND(O1169,0),"")</f>
        <v>KGR26/0281|2380250</v>
      </c>
      <c r="Q1169" s="18" t="str">
        <f aca="false">IF(N1169&lt;&gt;"Y","",IFERROR(INDEX($D$6:$D$4005,MATCH(B1169&amp;"|"&amp;ROUND(_xlfn.MAXIFS($O$6:$O$4005,$B$6:$B$4005,B1169,$N$6:$N$4005,"N"),0),$P$6:$P$4005,0)),"(tanpa lawan)"))</f>
        <v/>
      </c>
      <c r="R1169" s="44"/>
      <c r="S1169" s="9" t="str">
        <f aca="false">IF(N1169&lt;&gt;"Y","",IF(R1169&lt;&gt;"",R1169,IF(Q1169="(tanpa lawan)","Transfer antar rekening",IFERROR(INDEX(I_COA!$F$6:$F$265,MATCH(Q1169,I_COA!$A$6:$A$265,0)),"?"))))</f>
        <v/>
      </c>
    </row>
    <row r="1170" customFormat="false" ht="15" hidden="false" customHeight="false" outlineLevel="0" collapsed="false">
      <c r="A1170" s="37" t="n">
        <v>46252</v>
      </c>
      <c r="B1170" s="44" t="s">
        <v>1539</v>
      </c>
      <c r="C1170" s="44" t="s">
        <v>617</v>
      </c>
      <c r="D1170" s="44" t="n">
        <v>4101007</v>
      </c>
      <c r="E1170" s="44" t="s">
        <v>985</v>
      </c>
      <c r="F1170" s="44" t="s">
        <v>1540</v>
      </c>
      <c r="G1170" s="42"/>
      <c r="H1170" s="42" t="n">
        <v>2380250</v>
      </c>
      <c r="I1170" s="44" t="s">
        <v>440</v>
      </c>
      <c r="J1170" s="11" t="n">
        <f aca="false">IF(D1170="","",N(G1170)-N(H1170))</f>
        <v>-2380250</v>
      </c>
      <c r="K1170" s="34" t="str">
        <f aca="false">IF(D1170="","",IFERROR(INDEX(I_COA!$C$6:$C$265,MATCH(D1170,I_COA!$A$6:$A$265,0)),"AKUN BARU"))</f>
        <v>LabaRugi</v>
      </c>
      <c r="L1170" s="34" t="str">
        <f aca="false">IF(K1170="LabaRugi",INDEX(I_COA!$D$6:$D$265,MATCH(D1170,I_COA!$A$6:$A$265,0)),"")</f>
        <v>Revenue - LB By Product</v>
      </c>
      <c r="M1170" s="34" t="str">
        <f aca="false">IF(K1170="Neraca",INDEX(I_COA!$E$6:$E$265,MATCH(D1170,I_COA!$A$6:$A$265,0)),"")</f>
        <v/>
      </c>
      <c r="N1170" s="34" t="str">
        <f aca="false">IF(D1170="","",IFERROR(INDEX(I_COA!$G$6:$G$265,MATCH(D1170,I_COA!$A$6:$A$265,0)),"N"))</f>
        <v>N</v>
      </c>
      <c r="O1170" s="11" t="n">
        <f aca="false">IF(N1170="N",ABS(J1170),"")</f>
        <v>2380250</v>
      </c>
      <c r="P1170" s="18" t="str">
        <f aca="false">IF(N1170="N",B1170&amp;"|"&amp;ROUND(O1170,0),"")</f>
        <v>KGR26/0281|2380250</v>
      </c>
      <c r="Q1170" s="18" t="str">
        <f aca="false">IF(N1170&lt;&gt;"Y","",IFERROR(INDEX($D$6:$D$4005,MATCH(B1170&amp;"|"&amp;ROUND(_xlfn.MAXIFS($O$6:$O$4005,$B$6:$B$4005,B1170,$N$6:$N$4005,"N"),0),$P$6:$P$4005,0)),"(tanpa lawan)"))</f>
        <v/>
      </c>
      <c r="R1170" s="44"/>
      <c r="S1170" s="9" t="str">
        <f aca="false">IF(N1170&lt;&gt;"Y","",IF(R1170&lt;&gt;"",R1170,IF(Q1170="(tanpa lawan)","Transfer antar rekening",IFERROR(INDEX(I_COA!$F$6:$F$265,MATCH(Q1170,I_COA!$A$6:$A$265,0)),"?"))))</f>
        <v/>
      </c>
    </row>
    <row r="1171" customFormat="false" ht="15" hidden="false" customHeight="false" outlineLevel="0" collapsed="false">
      <c r="A1171" s="37" t="n">
        <v>46252</v>
      </c>
      <c r="B1171" s="44" t="s">
        <v>1539</v>
      </c>
      <c r="C1171" s="44" t="s">
        <v>617</v>
      </c>
      <c r="D1171" s="44" t="n">
        <v>5100005</v>
      </c>
      <c r="E1171" s="44" t="s">
        <v>986</v>
      </c>
      <c r="F1171" s="44" t="s">
        <v>1540</v>
      </c>
      <c r="G1171" s="42" t="n">
        <v>4141267.39</v>
      </c>
      <c r="H1171" s="42"/>
      <c r="I1171" s="44" t="s">
        <v>440</v>
      </c>
      <c r="J1171" s="11" t="n">
        <f aca="false">IF(D1171="","",N(G1171)-N(H1171))</f>
        <v>4141267.39</v>
      </c>
      <c r="K1171" s="34" t="str">
        <f aca="false">IF(D1171="","",IFERROR(INDEX(I_COA!$C$6:$C$265,MATCH(D1171,I_COA!$A$6:$A$265,0)),"AKUN BARU"))</f>
        <v>LabaRugi</v>
      </c>
      <c r="L1171" s="34" t="str">
        <f aca="false">IF(K1171="LabaRugi",INDEX(I_COA!$D$6:$D$265,MATCH(D1171,I_COA!$A$6:$A$265,0)),"")</f>
        <v>COGS - Live Bird</v>
      </c>
      <c r="M1171" s="34" t="str">
        <f aca="false">IF(K1171="Neraca",INDEX(I_COA!$E$6:$E$265,MATCH(D1171,I_COA!$A$6:$A$265,0)),"")</f>
        <v/>
      </c>
      <c r="N1171" s="34" t="str">
        <f aca="false">IF(D1171="","",IFERROR(INDEX(I_COA!$G$6:$G$265,MATCH(D1171,I_COA!$A$6:$A$265,0)),"N"))</f>
        <v>N</v>
      </c>
      <c r="O1171" s="11" t="n">
        <f aca="false">IF(N1171="N",ABS(J1171),"")</f>
        <v>4141267.39</v>
      </c>
      <c r="P1171" s="18" t="str">
        <f aca="false">IF(N1171="N",B1171&amp;"|"&amp;ROUND(O1171,0),"")</f>
        <v>KGR26/0281|4141267</v>
      </c>
      <c r="Q1171" s="18" t="str">
        <f aca="false">IF(N1171&lt;&gt;"Y","",IFERROR(INDEX($D$6:$D$4005,MATCH(B1171&amp;"|"&amp;ROUND(_xlfn.MAXIFS($O$6:$O$4005,$B$6:$B$4005,B1171,$N$6:$N$4005,"N"),0),$P$6:$P$4005,0)),"(tanpa lawan)"))</f>
        <v/>
      </c>
      <c r="R1171" s="44"/>
      <c r="S1171" s="9" t="str">
        <f aca="false">IF(N1171&lt;&gt;"Y","",IF(R1171&lt;&gt;"",R1171,IF(Q1171="(tanpa lawan)","Transfer antar rekening",IFERROR(INDEX(I_COA!$F$6:$F$265,MATCH(Q1171,I_COA!$A$6:$A$265,0)),"?"))))</f>
        <v/>
      </c>
    </row>
    <row r="1172" customFormat="false" ht="15" hidden="false" customHeight="false" outlineLevel="0" collapsed="false">
      <c r="A1172" s="37" t="n">
        <v>46252</v>
      </c>
      <c r="B1172" s="44" t="s">
        <v>1539</v>
      </c>
      <c r="C1172" s="44" t="s">
        <v>617</v>
      </c>
      <c r="D1172" s="44" t="n">
        <v>1104002</v>
      </c>
      <c r="E1172" s="44" t="s">
        <v>601</v>
      </c>
      <c r="F1172" s="44" t="s">
        <v>1540</v>
      </c>
      <c r="G1172" s="42"/>
      <c r="H1172" s="42" t="n">
        <v>4141267.39</v>
      </c>
      <c r="I1172" s="44" t="s">
        <v>440</v>
      </c>
      <c r="J1172" s="11" t="n">
        <f aca="false">IF(D1172="","",N(G1172)-N(H1172))</f>
        <v>-4141267.39</v>
      </c>
      <c r="K1172" s="34" t="str">
        <f aca="false">IF(D1172="","",IFERROR(INDEX(I_COA!$C$6:$C$265,MATCH(D1172,I_COA!$A$6:$A$265,0)),"AKUN BARU"))</f>
        <v>Neraca</v>
      </c>
      <c r="L1172" s="34" t="str">
        <f aca="false">IF(K1172="LabaRugi",INDEX(I_COA!$D$6:$D$265,MATCH(D1172,I_COA!$A$6:$A$265,0)),"")</f>
        <v/>
      </c>
      <c r="M1172" s="34" t="str">
        <f aca="false">IF(K1172="Neraca",INDEX(I_COA!$E$6:$E$265,MATCH(D1172,I_COA!$A$6:$A$265,0)),"")</f>
        <v>Inventory - Product</v>
      </c>
      <c r="N1172" s="34" t="str">
        <f aca="false">IF(D1172="","",IFERROR(INDEX(I_COA!$G$6:$G$265,MATCH(D1172,I_COA!$A$6:$A$265,0)),"N"))</f>
        <v>N</v>
      </c>
      <c r="O1172" s="11" t="n">
        <f aca="false">IF(N1172="N",ABS(J1172),"")</f>
        <v>4141267.39</v>
      </c>
      <c r="P1172" s="18" t="str">
        <f aca="false">IF(N1172="N",B1172&amp;"|"&amp;ROUND(O1172,0),"")</f>
        <v>KGR26/0281|4141267</v>
      </c>
      <c r="Q1172" s="18" t="str">
        <f aca="false">IF(N1172&lt;&gt;"Y","",IFERROR(INDEX($D$6:$D$4005,MATCH(B1172&amp;"|"&amp;ROUND(_xlfn.MAXIFS($O$6:$O$4005,$B$6:$B$4005,B1172,$N$6:$N$4005,"N"),0),$P$6:$P$4005,0)),"(tanpa lawan)"))</f>
        <v/>
      </c>
      <c r="R1172" s="44"/>
      <c r="S1172" s="9" t="str">
        <f aca="false">IF(N1172&lt;&gt;"Y","",IF(R1172&lt;&gt;"",R1172,IF(Q1172="(tanpa lawan)","Transfer antar rekening",IFERROR(INDEX(I_COA!$F$6:$F$265,MATCH(Q1172,I_COA!$A$6:$A$265,0)),"?"))))</f>
        <v/>
      </c>
    </row>
    <row r="1173" customFormat="false" ht="15" hidden="false" customHeight="false" outlineLevel="0" collapsed="false">
      <c r="A1173" s="37" t="n">
        <v>46252</v>
      </c>
      <c r="B1173" s="44" t="s">
        <v>1541</v>
      </c>
      <c r="C1173" s="44" t="s">
        <v>617</v>
      </c>
      <c r="D1173" s="44" t="n">
        <v>1103101</v>
      </c>
      <c r="E1173" s="44" t="s">
        <v>589</v>
      </c>
      <c r="F1173" s="44" t="s">
        <v>1542</v>
      </c>
      <c r="G1173" s="42" t="n">
        <v>633600</v>
      </c>
      <c r="H1173" s="42"/>
      <c r="I1173" s="44" t="s">
        <v>440</v>
      </c>
      <c r="J1173" s="11" t="n">
        <f aca="false">IF(D1173="","",N(G1173)-N(H1173))</f>
        <v>633600</v>
      </c>
      <c r="K1173" s="34" t="str">
        <f aca="false">IF(D1173="","",IFERROR(INDEX(I_COA!$C$6:$C$265,MATCH(D1173,I_COA!$A$6:$A$265,0)),"AKUN BARU"))</f>
        <v>Neraca</v>
      </c>
      <c r="L1173" s="34" t="str">
        <f aca="false">IF(K1173="LabaRugi",INDEX(I_COA!$D$6:$D$265,MATCH(D1173,I_COA!$A$6:$A$265,0)),"")</f>
        <v/>
      </c>
      <c r="M1173" s="34" t="str">
        <f aca="false">IF(K1173="Neraca",INDEX(I_COA!$E$6:$E$265,MATCH(D1173,I_COA!$A$6:$A$265,0)),"")</f>
        <v>Trade Receivables - Third Parties</v>
      </c>
      <c r="N1173" s="34" t="str">
        <f aca="false">IF(D1173="","",IFERROR(INDEX(I_COA!$G$6:$G$265,MATCH(D1173,I_COA!$A$6:$A$265,0)),"N"))</f>
        <v>N</v>
      </c>
      <c r="O1173" s="11" t="n">
        <f aca="false">IF(N1173="N",ABS(J1173),"")</f>
        <v>633600</v>
      </c>
      <c r="P1173" s="18" t="str">
        <f aca="false">IF(N1173="N",B1173&amp;"|"&amp;ROUND(O1173,0),"")</f>
        <v>KGR26/0282|633600</v>
      </c>
      <c r="Q1173" s="18" t="str">
        <f aca="false">IF(N1173&lt;&gt;"Y","",IFERROR(INDEX($D$6:$D$4005,MATCH(B1173&amp;"|"&amp;ROUND(_xlfn.MAXIFS($O$6:$O$4005,$B$6:$B$4005,B1173,$N$6:$N$4005,"N"),0),$P$6:$P$4005,0)),"(tanpa lawan)"))</f>
        <v/>
      </c>
      <c r="R1173" s="44"/>
      <c r="S1173" s="9" t="str">
        <f aca="false">IF(N1173&lt;&gt;"Y","",IF(R1173&lt;&gt;"",R1173,IF(Q1173="(tanpa lawan)","Transfer antar rekening",IFERROR(INDEX(I_COA!$F$6:$F$265,MATCH(Q1173,I_COA!$A$6:$A$265,0)),"?"))))</f>
        <v/>
      </c>
    </row>
    <row r="1174" customFormat="false" ht="15" hidden="false" customHeight="false" outlineLevel="0" collapsed="false">
      <c r="A1174" s="37" t="n">
        <v>46252</v>
      </c>
      <c r="B1174" s="44" t="s">
        <v>1541</v>
      </c>
      <c r="C1174" s="44" t="s">
        <v>617</v>
      </c>
      <c r="D1174" s="44" t="n">
        <v>4101006</v>
      </c>
      <c r="E1174" s="44" t="s">
        <v>626</v>
      </c>
      <c r="F1174" s="44" t="s">
        <v>1542</v>
      </c>
      <c r="G1174" s="42"/>
      <c r="H1174" s="42" t="n">
        <v>633600</v>
      </c>
      <c r="I1174" s="44" t="s">
        <v>440</v>
      </c>
      <c r="J1174" s="11" t="n">
        <f aca="false">IF(D1174="","",N(G1174)-N(H1174))</f>
        <v>-633600</v>
      </c>
      <c r="K1174" s="34" t="str">
        <f aca="false">IF(D1174="","",IFERROR(INDEX(I_COA!$C$6:$C$265,MATCH(D1174,I_COA!$A$6:$A$265,0)),"AKUN BARU"))</f>
        <v>LabaRugi</v>
      </c>
      <c r="L1174" s="34" t="str">
        <f aca="false">IF(K1174="LabaRugi",INDEX(I_COA!$D$6:$D$265,MATCH(D1174,I_COA!$A$6:$A$265,0)),"")</f>
        <v>Revenue - LB Main Product</v>
      </c>
      <c r="M1174" s="34" t="str">
        <f aca="false">IF(K1174="Neraca",INDEX(I_COA!$E$6:$E$265,MATCH(D1174,I_COA!$A$6:$A$265,0)),"")</f>
        <v/>
      </c>
      <c r="N1174" s="34" t="str">
        <f aca="false">IF(D1174="","",IFERROR(INDEX(I_COA!$G$6:$G$265,MATCH(D1174,I_COA!$A$6:$A$265,0)),"N"))</f>
        <v>N</v>
      </c>
      <c r="O1174" s="11" t="n">
        <f aca="false">IF(N1174="N",ABS(J1174),"")</f>
        <v>633600</v>
      </c>
      <c r="P1174" s="18" t="str">
        <f aca="false">IF(N1174="N",B1174&amp;"|"&amp;ROUND(O1174,0),"")</f>
        <v>KGR26/0282|633600</v>
      </c>
      <c r="Q1174" s="18" t="str">
        <f aca="false">IF(N1174&lt;&gt;"Y","",IFERROR(INDEX($D$6:$D$4005,MATCH(B1174&amp;"|"&amp;ROUND(_xlfn.MAXIFS($O$6:$O$4005,$B$6:$B$4005,B1174,$N$6:$N$4005,"N"),0),$P$6:$P$4005,0)),"(tanpa lawan)"))</f>
        <v/>
      </c>
      <c r="R1174" s="44"/>
      <c r="S1174" s="9" t="str">
        <f aca="false">IF(N1174&lt;&gt;"Y","",IF(R1174&lt;&gt;"",R1174,IF(Q1174="(tanpa lawan)","Transfer antar rekening",IFERROR(INDEX(I_COA!$F$6:$F$265,MATCH(Q1174,I_COA!$A$6:$A$265,0)),"?"))))</f>
        <v/>
      </c>
    </row>
    <row r="1175" customFormat="false" ht="15" hidden="false" customHeight="false" outlineLevel="0" collapsed="false">
      <c r="A1175" s="37" t="n">
        <v>46252</v>
      </c>
      <c r="B1175" s="44" t="s">
        <v>1541</v>
      </c>
      <c r="C1175" s="44" t="s">
        <v>617</v>
      </c>
      <c r="D1175" s="44" t="n">
        <v>5100004</v>
      </c>
      <c r="E1175" s="44" t="s">
        <v>627</v>
      </c>
      <c r="F1175" s="44" t="s">
        <v>1542</v>
      </c>
      <c r="G1175" s="42" t="n">
        <v>641598.14</v>
      </c>
      <c r="H1175" s="42"/>
      <c r="I1175" s="44" t="s">
        <v>440</v>
      </c>
      <c r="J1175" s="11" t="n">
        <f aca="false">IF(D1175="","",N(G1175)-N(H1175))</f>
        <v>641598.14</v>
      </c>
      <c r="K1175" s="34" t="str">
        <f aca="false">IF(D1175="","",IFERROR(INDEX(I_COA!$C$6:$C$265,MATCH(D1175,I_COA!$A$6:$A$265,0)),"AKUN BARU"))</f>
        <v>LabaRugi</v>
      </c>
      <c r="L1175" s="34" t="str">
        <f aca="false">IF(K1175="LabaRugi",INDEX(I_COA!$D$6:$D$265,MATCH(D1175,I_COA!$A$6:$A$265,0)),"")</f>
        <v>COGS - Live Bird</v>
      </c>
      <c r="M1175" s="34" t="str">
        <f aca="false">IF(K1175="Neraca",INDEX(I_COA!$E$6:$E$265,MATCH(D1175,I_COA!$A$6:$A$265,0)),"")</f>
        <v/>
      </c>
      <c r="N1175" s="34" t="str">
        <f aca="false">IF(D1175="","",IFERROR(INDEX(I_COA!$G$6:$G$265,MATCH(D1175,I_COA!$A$6:$A$265,0)),"N"))</f>
        <v>N</v>
      </c>
      <c r="O1175" s="11" t="n">
        <f aca="false">IF(N1175="N",ABS(J1175),"")</f>
        <v>641598.14</v>
      </c>
      <c r="P1175" s="18" t="str">
        <f aca="false">IF(N1175="N",B1175&amp;"|"&amp;ROUND(O1175,0),"")</f>
        <v>KGR26/0282|641598</v>
      </c>
      <c r="Q1175" s="18" t="str">
        <f aca="false">IF(N1175&lt;&gt;"Y","",IFERROR(INDEX($D$6:$D$4005,MATCH(B1175&amp;"|"&amp;ROUND(_xlfn.MAXIFS($O$6:$O$4005,$B$6:$B$4005,B1175,$N$6:$N$4005,"N"),0),$P$6:$P$4005,0)),"(tanpa lawan)"))</f>
        <v/>
      </c>
      <c r="R1175" s="44"/>
      <c r="S1175" s="9" t="str">
        <f aca="false">IF(N1175&lt;&gt;"Y","",IF(R1175&lt;&gt;"",R1175,IF(Q1175="(tanpa lawan)","Transfer antar rekening",IFERROR(INDEX(I_COA!$F$6:$F$265,MATCH(Q1175,I_COA!$A$6:$A$265,0)),"?"))))</f>
        <v/>
      </c>
    </row>
    <row r="1176" customFormat="false" ht="15" hidden="false" customHeight="false" outlineLevel="0" collapsed="false">
      <c r="A1176" s="37" t="n">
        <v>46252</v>
      </c>
      <c r="B1176" s="44" t="s">
        <v>1541</v>
      </c>
      <c r="C1176" s="44" t="s">
        <v>617</v>
      </c>
      <c r="D1176" s="44" t="n">
        <v>1104002</v>
      </c>
      <c r="E1176" s="44" t="s">
        <v>601</v>
      </c>
      <c r="F1176" s="44" t="s">
        <v>1542</v>
      </c>
      <c r="G1176" s="42"/>
      <c r="H1176" s="42" t="n">
        <v>641598.14</v>
      </c>
      <c r="I1176" s="44" t="s">
        <v>440</v>
      </c>
      <c r="J1176" s="11" t="n">
        <f aca="false">IF(D1176="","",N(G1176)-N(H1176))</f>
        <v>-641598.14</v>
      </c>
      <c r="K1176" s="34" t="str">
        <f aca="false">IF(D1176="","",IFERROR(INDEX(I_COA!$C$6:$C$265,MATCH(D1176,I_COA!$A$6:$A$265,0)),"AKUN BARU"))</f>
        <v>Neraca</v>
      </c>
      <c r="L1176" s="34" t="str">
        <f aca="false">IF(K1176="LabaRugi",INDEX(I_COA!$D$6:$D$265,MATCH(D1176,I_COA!$A$6:$A$265,0)),"")</f>
        <v/>
      </c>
      <c r="M1176" s="34" t="str">
        <f aca="false">IF(K1176="Neraca",INDEX(I_COA!$E$6:$E$265,MATCH(D1176,I_COA!$A$6:$A$265,0)),"")</f>
        <v>Inventory - Product</v>
      </c>
      <c r="N1176" s="34" t="str">
        <f aca="false">IF(D1176="","",IFERROR(INDEX(I_COA!$G$6:$G$265,MATCH(D1176,I_COA!$A$6:$A$265,0)),"N"))</f>
        <v>N</v>
      </c>
      <c r="O1176" s="11" t="n">
        <f aca="false">IF(N1176="N",ABS(J1176),"")</f>
        <v>641598.14</v>
      </c>
      <c r="P1176" s="18" t="str">
        <f aca="false">IF(N1176="N",B1176&amp;"|"&amp;ROUND(O1176,0),"")</f>
        <v>KGR26/0282|641598</v>
      </c>
      <c r="Q1176" s="18" t="str">
        <f aca="false">IF(N1176&lt;&gt;"Y","",IFERROR(INDEX($D$6:$D$4005,MATCH(B1176&amp;"|"&amp;ROUND(_xlfn.MAXIFS($O$6:$O$4005,$B$6:$B$4005,B1176,$N$6:$N$4005,"N"),0),$P$6:$P$4005,0)),"(tanpa lawan)"))</f>
        <v/>
      </c>
      <c r="R1176" s="44"/>
      <c r="S1176" s="9" t="str">
        <f aca="false">IF(N1176&lt;&gt;"Y","",IF(R1176&lt;&gt;"",R1176,IF(Q1176="(tanpa lawan)","Transfer antar rekening",IFERROR(INDEX(I_COA!$F$6:$F$265,MATCH(Q1176,I_COA!$A$6:$A$265,0)),"?"))))</f>
        <v/>
      </c>
    </row>
    <row r="1177" customFormat="false" ht="15" hidden="false" customHeight="false" outlineLevel="0" collapsed="false">
      <c r="A1177" s="37" t="n">
        <v>46252</v>
      </c>
      <c r="B1177" s="44" t="s">
        <v>1543</v>
      </c>
      <c r="C1177" s="44" t="s">
        <v>617</v>
      </c>
      <c r="D1177" s="44" t="n">
        <v>1103101</v>
      </c>
      <c r="E1177" s="44" t="s">
        <v>589</v>
      </c>
      <c r="F1177" s="44" t="s">
        <v>1544</v>
      </c>
      <c r="G1177" s="42" t="n">
        <v>688200</v>
      </c>
      <c r="H1177" s="42"/>
      <c r="I1177" s="44" t="s">
        <v>440</v>
      </c>
      <c r="J1177" s="11" t="n">
        <f aca="false">IF(D1177="","",N(G1177)-N(H1177))</f>
        <v>688200</v>
      </c>
      <c r="K1177" s="34" t="str">
        <f aca="false">IF(D1177="","",IFERROR(INDEX(I_COA!$C$6:$C$265,MATCH(D1177,I_COA!$A$6:$A$265,0)),"AKUN BARU"))</f>
        <v>Neraca</v>
      </c>
      <c r="L1177" s="34" t="str">
        <f aca="false">IF(K1177="LabaRugi",INDEX(I_COA!$D$6:$D$265,MATCH(D1177,I_COA!$A$6:$A$265,0)),"")</f>
        <v/>
      </c>
      <c r="M1177" s="34" t="str">
        <f aca="false">IF(K1177="Neraca",INDEX(I_COA!$E$6:$E$265,MATCH(D1177,I_COA!$A$6:$A$265,0)),"")</f>
        <v>Trade Receivables - Third Parties</v>
      </c>
      <c r="N1177" s="34" t="str">
        <f aca="false">IF(D1177="","",IFERROR(INDEX(I_COA!$G$6:$G$265,MATCH(D1177,I_COA!$A$6:$A$265,0)),"N"))</f>
        <v>N</v>
      </c>
      <c r="O1177" s="11" t="n">
        <f aca="false">IF(N1177="N",ABS(J1177),"")</f>
        <v>688200</v>
      </c>
      <c r="P1177" s="18" t="str">
        <f aca="false">IF(N1177="N",B1177&amp;"|"&amp;ROUND(O1177,0),"")</f>
        <v>KGR26/0283|688200</v>
      </c>
      <c r="Q1177" s="18" t="str">
        <f aca="false">IF(N1177&lt;&gt;"Y","",IFERROR(INDEX($D$6:$D$4005,MATCH(B1177&amp;"|"&amp;ROUND(_xlfn.MAXIFS($O$6:$O$4005,$B$6:$B$4005,B1177,$N$6:$N$4005,"N"),0),$P$6:$P$4005,0)),"(tanpa lawan)"))</f>
        <v/>
      </c>
      <c r="R1177" s="44"/>
      <c r="S1177" s="9" t="str">
        <f aca="false">IF(N1177&lt;&gt;"Y","",IF(R1177&lt;&gt;"",R1177,IF(Q1177="(tanpa lawan)","Transfer antar rekening",IFERROR(INDEX(I_COA!$F$6:$F$265,MATCH(Q1177,I_COA!$A$6:$A$265,0)),"?"))))</f>
        <v/>
      </c>
    </row>
    <row r="1178" customFormat="false" ht="15" hidden="false" customHeight="false" outlineLevel="0" collapsed="false">
      <c r="A1178" s="37" t="n">
        <v>46252</v>
      </c>
      <c r="B1178" s="44" t="s">
        <v>1543</v>
      </c>
      <c r="C1178" s="44" t="s">
        <v>617</v>
      </c>
      <c r="D1178" s="44" t="n">
        <v>4101006</v>
      </c>
      <c r="E1178" s="44" t="s">
        <v>626</v>
      </c>
      <c r="F1178" s="44" t="s">
        <v>1544</v>
      </c>
      <c r="G1178" s="42"/>
      <c r="H1178" s="42" t="n">
        <v>688200</v>
      </c>
      <c r="I1178" s="44" t="s">
        <v>440</v>
      </c>
      <c r="J1178" s="11" t="n">
        <f aca="false">IF(D1178="","",N(G1178)-N(H1178))</f>
        <v>-688200</v>
      </c>
      <c r="K1178" s="34" t="str">
        <f aca="false">IF(D1178="","",IFERROR(INDEX(I_COA!$C$6:$C$265,MATCH(D1178,I_COA!$A$6:$A$265,0)),"AKUN BARU"))</f>
        <v>LabaRugi</v>
      </c>
      <c r="L1178" s="34" t="str">
        <f aca="false">IF(K1178="LabaRugi",INDEX(I_COA!$D$6:$D$265,MATCH(D1178,I_COA!$A$6:$A$265,0)),"")</f>
        <v>Revenue - LB Main Product</v>
      </c>
      <c r="M1178" s="34" t="str">
        <f aca="false">IF(K1178="Neraca",INDEX(I_COA!$E$6:$E$265,MATCH(D1178,I_COA!$A$6:$A$265,0)),"")</f>
        <v/>
      </c>
      <c r="N1178" s="34" t="str">
        <f aca="false">IF(D1178="","",IFERROR(INDEX(I_COA!$G$6:$G$265,MATCH(D1178,I_COA!$A$6:$A$265,0)),"N"))</f>
        <v>N</v>
      </c>
      <c r="O1178" s="11" t="n">
        <f aca="false">IF(N1178="N",ABS(J1178),"")</f>
        <v>688200</v>
      </c>
      <c r="P1178" s="18" t="str">
        <f aca="false">IF(N1178="N",B1178&amp;"|"&amp;ROUND(O1178,0),"")</f>
        <v>KGR26/0283|688200</v>
      </c>
      <c r="Q1178" s="18" t="str">
        <f aca="false">IF(N1178&lt;&gt;"Y","",IFERROR(INDEX($D$6:$D$4005,MATCH(B1178&amp;"|"&amp;ROUND(_xlfn.MAXIFS($O$6:$O$4005,$B$6:$B$4005,B1178,$N$6:$N$4005,"N"),0),$P$6:$P$4005,0)),"(tanpa lawan)"))</f>
        <v/>
      </c>
      <c r="R1178" s="44"/>
      <c r="S1178" s="9" t="str">
        <f aca="false">IF(N1178&lt;&gt;"Y","",IF(R1178&lt;&gt;"",R1178,IF(Q1178="(tanpa lawan)","Transfer antar rekening",IFERROR(INDEX(I_COA!$F$6:$F$265,MATCH(Q1178,I_COA!$A$6:$A$265,0)),"?"))))</f>
        <v/>
      </c>
    </row>
    <row r="1179" customFormat="false" ht="15" hidden="false" customHeight="false" outlineLevel="0" collapsed="false">
      <c r="A1179" s="37" t="n">
        <v>46252</v>
      </c>
      <c r="B1179" s="44" t="s">
        <v>1543</v>
      </c>
      <c r="C1179" s="44" t="s">
        <v>617</v>
      </c>
      <c r="D1179" s="44" t="n">
        <v>5100004</v>
      </c>
      <c r="E1179" s="44" t="s">
        <v>627</v>
      </c>
      <c r="F1179" s="44" t="s">
        <v>1544</v>
      </c>
      <c r="G1179" s="42" t="n">
        <v>703374.44</v>
      </c>
      <c r="H1179" s="42"/>
      <c r="I1179" s="44" t="s">
        <v>440</v>
      </c>
      <c r="J1179" s="11" t="n">
        <f aca="false">IF(D1179="","",N(G1179)-N(H1179))</f>
        <v>703374.44</v>
      </c>
      <c r="K1179" s="34" t="str">
        <f aca="false">IF(D1179="","",IFERROR(INDEX(I_COA!$C$6:$C$265,MATCH(D1179,I_COA!$A$6:$A$265,0)),"AKUN BARU"))</f>
        <v>LabaRugi</v>
      </c>
      <c r="L1179" s="34" t="str">
        <f aca="false">IF(K1179="LabaRugi",INDEX(I_COA!$D$6:$D$265,MATCH(D1179,I_COA!$A$6:$A$265,0)),"")</f>
        <v>COGS - Live Bird</v>
      </c>
      <c r="M1179" s="34" t="str">
        <f aca="false">IF(K1179="Neraca",INDEX(I_COA!$E$6:$E$265,MATCH(D1179,I_COA!$A$6:$A$265,0)),"")</f>
        <v/>
      </c>
      <c r="N1179" s="34" t="str">
        <f aca="false">IF(D1179="","",IFERROR(INDEX(I_COA!$G$6:$G$265,MATCH(D1179,I_COA!$A$6:$A$265,0)),"N"))</f>
        <v>N</v>
      </c>
      <c r="O1179" s="11" t="n">
        <f aca="false">IF(N1179="N",ABS(J1179),"")</f>
        <v>703374.44</v>
      </c>
      <c r="P1179" s="18" t="str">
        <f aca="false">IF(N1179="N",B1179&amp;"|"&amp;ROUND(O1179,0),"")</f>
        <v>KGR26/0283|703374</v>
      </c>
      <c r="Q1179" s="18" t="str">
        <f aca="false">IF(N1179&lt;&gt;"Y","",IFERROR(INDEX($D$6:$D$4005,MATCH(B1179&amp;"|"&amp;ROUND(_xlfn.MAXIFS($O$6:$O$4005,$B$6:$B$4005,B1179,$N$6:$N$4005,"N"),0),$P$6:$P$4005,0)),"(tanpa lawan)"))</f>
        <v/>
      </c>
      <c r="R1179" s="44"/>
      <c r="S1179" s="9" t="str">
        <f aca="false">IF(N1179&lt;&gt;"Y","",IF(R1179&lt;&gt;"",R1179,IF(Q1179="(tanpa lawan)","Transfer antar rekening",IFERROR(INDEX(I_COA!$F$6:$F$265,MATCH(Q1179,I_COA!$A$6:$A$265,0)),"?"))))</f>
        <v/>
      </c>
    </row>
    <row r="1180" customFormat="false" ht="15" hidden="false" customHeight="false" outlineLevel="0" collapsed="false">
      <c r="A1180" s="37" t="n">
        <v>46252</v>
      </c>
      <c r="B1180" s="44" t="s">
        <v>1543</v>
      </c>
      <c r="C1180" s="44" t="s">
        <v>617</v>
      </c>
      <c r="D1180" s="44" t="n">
        <v>1104002</v>
      </c>
      <c r="E1180" s="44" t="s">
        <v>601</v>
      </c>
      <c r="F1180" s="44" t="s">
        <v>1544</v>
      </c>
      <c r="G1180" s="42"/>
      <c r="H1180" s="42" t="n">
        <v>703374.44</v>
      </c>
      <c r="I1180" s="44" t="s">
        <v>440</v>
      </c>
      <c r="J1180" s="11" t="n">
        <f aca="false">IF(D1180="","",N(G1180)-N(H1180))</f>
        <v>-703374.44</v>
      </c>
      <c r="K1180" s="34" t="str">
        <f aca="false">IF(D1180="","",IFERROR(INDEX(I_COA!$C$6:$C$265,MATCH(D1180,I_COA!$A$6:$A$265,0)),"AKUN BARU"))</f>
        <v>Neraca</v>
      </c>
      <c r="L1180" s="34" t="str">
        <f aca="false">IF(K1180="LabaRugi",INDEX(I_COA!$D$6:$D$265,MATCH(D1180,I_COA!$A$6:$A$265,0)),"")</f>
        <v/>
      </c>
      <c r="M1180" s="34" t="str">
        <f aca="false">IF(K1180="Neraca",INDEX(I_COA!$E$6:$E$265,MATCH(D1180,I_COA!$A$6:$A$265,0)),"")</f>
        <v>Inventory - Product</v>
      </c>
      <c r="N1180" s="34" t="str">
        <f aca="false">IF(D1180="","",IFERROR(INDEX(I_COA!$G$6:$G$265,MATCH(D1180,I_COA!$A$6:$A$265,0)),"N"))</f>
        <v>N</v>
      </c>
      <c r="O1180" s="11" t="n">
        <f aca="false">IF(N1180="N",ABS(J1180),"")</f>
        <v>703374.44</v>
      </c>
      <c r="P1180" s="18" t="str">
        <f aca="false">IF(N1180="N",B1180&amp;"|"&amp;ROUND(O1180,0),"")</f>
        <v>KGR26/0283|703374</v>
      </c>
      <c r="Q1180" s="18" t="str">
        <f aca="false">IF(N1180&lt;&gt;"Y","",IFERROR(INDEX($D$6:$D$4005,MATCH(B1180&amp;"|"&amp;ROUND(_xlfn.MAXIFS($O$6:$O$4005,$B$6:$B$4005,B1180,$N$6:$N$4005,"N"),0),$P$6:$P$4005,0)),"(tanpa lawan)"))</f>
        <v/>
      </c>
      <c r="R1180" s="44"/>
      <c r="S1180" s="9" t="str">
        <f aca="false">IF(N1180&lt;&gt;"Y","",IF(R1180&lt;&gt;"",R1180,IF(Q1180="(tanpa lawan)","Transfer antar rekening",IFERROR(INDEX(I_COA!$F$6:$F$265,MATCH(Q1180,I_COA!$A$6:$A$265,0)),"?"))))</f>
        <v/>
      </c>
    </row>
    <row r="1181" customFormat="false" ht="15" hidden="false" customHeight="false" outlineLevel="0" collapsed="false">
      <c r="A1181" s="37" t="n">
        <v>46252</v>
      </c>
      <c r="B1181" s="44" t="s">
        <v>1545</v>
      </c>
      <c r="C1181" s="44" t="s">
        <v>617</v>
      </c>
      <c r="D1181" s="44" t="n">
        <v>1103101</v>
      </c>
      <c r="E1181" s="44" t="s">
        <v>589</v>
      </c>
      <c r="F1181" s="44" t="s">
        <v>1546</v>
      </c>
      <c r="G1181" s="42" t="n">
        <v>15462300</v>
      </c>
      <c r="H1181" s="42"/>
      <c r="I1181" s="44" t="s">
        <v>465</v>
      </c>
      <c r="J1181" s="11" t="n">
        <f aca="false">IF(D1181="","",N(G1181)-N(H1181))</f>
        <v>15462300</v>
      </c>
      <c r="K1181" s="34" t="str">
        <f aca="false">IF(D1181="","",IFERROR(INDEX(I_COA!$C$6:$C$265,MATCH(D1181,I_COA!$A$6:$A$265,0)),"AKUN BARU"))</f>
        <v>Neraca</v>
      </c>
      <c r="L1181" s="34" t="str">
        <f aca="false">IF(K1181="LabaRugi",INDEX(I_COA!$D$6:$D$265,MATCH(D1181,I_COA!$A$6:$A$265,0)),"")</f>
        <v/>
      </c>
      <c r="M1181" s="34" t="str">
        <f aca="false">IF(K1181="Neraca",INDEX(I_COA!$E$6:$E$265,MATCH(D1181,I_COA!$A$6:$A$265,0)),"")</f>
        <v>Trade Receivables - Third Parties</v>
      </c>
      <c r="N1181" s="34" t="str">
        <f aca="false">IF(D1181="","",IFERROR(INDEX(I_COA!$G$6:$G$265,MATCH(D1181,I_COA!$A$6:$A$265,0)),"N"))</f>
        <v>N</v>
      </c>
      <c r="O1181" s="11" t="n">
        <f aca="false">IF(N1181="N",ABS(J1181),"")</f>
        <v>15462300</v>
      </c>
      <c r="P1181" s="18" t="str">
        <f aca="false">IF(N1181="N",B1181&amp;"|"&amp;ROUND(O1181,0),"")</f>
        <v>KGR26/0284|15462300</v>
      </c>
      <c r="Q1181" s="18" t="str">
        <f aca="false">IF(N1181&lt;&gt;"Y","",IFERROR(INDEX($D$6:$D$4005,MATCH(B1181&amp;"|"&amp;ROUND(_xlfn.MAXIFS($O$6:$O$4005,$B$6:$B$4005,B1181,$N$6:$N$4005,"N"),0),$P$6:$P$4005,0)),"(tanpa lawan)"))</f>
        <v/>
      </c>
      <c r="R1181" s="44"/>
      <c r="S1181" s="9" t="str">
        <f aca="false">IF(N1181&lt;&gt;"Y","",IF(R1181&lt;&gt;"",R1181,IF(Q1181="(tanpa lawan)","Transfer antar rekening",IFERROR(INDEX(I_COA!$F$6:$F$265,MATCH(Q1181,I_COA!$A$6:$A$265,0)),"?"))))</f>
        <v/>
      </c>
    </row>
    <row r="1182" customFormat="false" ht="15" hidden="false" customHeight="false" outlineLevel="0" collapsed="false">
      <c r="A1182" s="37" t="n">
        <v>46252</v>
      </c>
      <c r="B1182" s="44" t="s">
        <v>1545</v>
      </c>
      <c r="C1182" s="44" t="s">
        <v>617</v>
      </c>
      <c r="D1182" s="44" t="n">
        <v>4101012</v>
      </c>
      <c r="E1182" s="44" t="s">
        <v>619</v>
      </c>
      <c r="F1182" s="44" t="s">
        <v>1546</v>
      </c>
      <c r="G1182" s="42"/>
      <c r="H1182" s="42" t="n">
        <v>15462300</v>
      </c>
      <c r="I1182" s="44" t="s">
        <v>465</v>
      </c>
      <c r="J1182" s="11" t="n">
        <f aca="false">IF(D1182="","",N(G1182)-N(H1182))</f>
        <v>-15462300</v>
      </c>
      <c r="K1182" s="34" t="str">
        <f aca="false">IF(D1182="","",IFERROR(INDEX(I_COA!$C$6:$C$265,MATCH(D1182,I_COA!$A$6:$A$265,0)),"AKUN BARU"))</f>
        <v>LabaRugi</v>
      </c>
      <c r="L1182" s="34" t="str">
        <f aca="false">IF(K1182="LabaRugi",INDEX(I_COA!$D$6:$D$265,MATCH(D1182,I_COA!$A$6:$A$265,0)),"")</f>
        <v>Revenue - Trading</v>
      </c>
      <c r="M1182" s="34" t="str">
        <f aca="false">IF(K1182="Neraca",INDEX(I_COA!$E$6:$E$265,MATCH(D1182,I_COA!$A$6:$A$265,0)),"")</f>
        <v/>
      </c>
      <c r="N1182" s="34" t="str">
        <f aca="false">IF(D1182="","",IFERROR(INDEX(I_COA!$G$6:$G$265,MATCH(D1182,I_COA!$A$6:$A$265,0)),"N"))</f>
        <v>N</v>
      </c>
      <c r="O1182" s="11" t="n">
        <f aca="false">IF(N1182="N",ABS(J1182),"")</f>
        <v>15462300</v>
      </c>
      <c r="P1182" s="18" t="str">
        <f aca="false">IF(N1182="N",B1182&amp;"|"&amp;ROUND(O1182,0),"")</f>
        <v>KGR26/0284|15462300</v>
      </c>
      <c r="Q1182" s="18" t="str">
        <f aca="false">IF(N1182&lt;&gt;"Y","",IFERROR(INDEX($D$6:$D$4005,MATCH(B1182&amp;"|"&amp;ROUND(_xlfn.MAXIFS($O$6:$O$4005,$B$6:$B$4005,B1182,$N$6:$N$4005,"N"),0),$P$6:$P$4005,0)),"(tanpa lawan)"))</f>
        <v/>
      </c>
      <c r="R1182" s="44"/>
      <c r="S1182" s="9" t="str">
        <f aca="false">IF(N1182&lt;&gt;"Y","",IF(R1182&lt;&gt;"",R1182,IF(Q1182="(tanpa lawan)","Transfer antar rekening",IFERROR(INDEX(I_COA!$F$6:$F$265,MATCH(Q1182,I_COA!$A$6:$A$265,0)),"?"))))</f>
        <v/>
      </c>
    </row>
    <row r="1183" customFormat="false" ht="15" hidden="false" customHeight="false" outlineLevel="0" collapsed="false">
      <c r="A1183" s="37" t="n">
        <v>46252</v>
      </c>
      <c r="B1183" s="44" t="s">
        <v>1545</v>
      </c>
      <c r="C1183" s="44" t="s">
        <v>617</v>
      </c>
      <c r="D1183" s="44" t="n">
        <v>5100011</v>
      </c>
      <c r="E1183" s="44" t="s">
        <v>166</v>
      </c>
      <c r="F1183" s="44" t="s">
        <v>1546</v>
      </c>
      <c r="G1183" s="42" t="n">
        <v>14324267.78</v>
      </c>
      <c r="H1183" s="42"/>
      <c r="I1183" s="44" t="s">
        <v>465</v>
      </c>
      <c r="J1183" s="11" t="n">
        <f aca="false">IF(D1183="","",N(G1183)-N(H1183))</f>
        <v>14324267.78</v>
      </c>
      <c r="K1183" s="34" t="str">
        <f aca="false">IF(D1183="","",IFERROR(INDEX(I_COA!$C$6:$C$265,MATCH(D1183,I_COA!$A$6:$A$265,0)),"AKUN BARU"))</f>
        <v>LabaRugi</v>
      </c>
      <c r="L1183" s="34" t="str">
        <f aca="false">IF(K1183="LabaRugi",INDEX(I_COA!$D$6:$D$265,MATCH(D1183,I_COA!$A$6:$A$265,0)),"")</f>
        <v>COGS - Trading</v>
      </c>
      <c r="M1183" s="34" t="str">
        <f aca="false">IF(K1183="Neraca",INDEX(I_COA!$E$6:$E$265,MATCH(D1183,I_COA!$A$6:$A$265,0)),"")</f>
        <v/>
      </c>
      <c r="N1183" s="34" t="str">
        <f aca="false">IF(D1183="","",IFERROR(INDEX(I_COA!$G$6:$G$265,MATCH(D1183,I_COA!$A$6:$A$265,0)),"N"))</f>
        <v>N</v>
      </c>
      <c r="O1183" s="11" t="n">
        <f aca="false">IF(N1183="N",ABS(J1183),"")</f>
        <v>14324267.78</v>
      </c>
      <c r="P1183" s="18" t="str">
        <f aca="false">IF(N1183="N",B1183&amp;"|"&amp;ROUND(O1183,0),"")</f>
        <v>KGR26/0284|14324268</v>
      </c>
      <c r="Q1183" s="18" t="str">
        <f aca="false">IF(N1183&lt;&gt;"Y","",IFERROR(INDEX($D$6:$D$4005,MATCH(B1183&amp;"|"&amp;ROUND(_xlfn.MAXIFS($O$6:$O$4005,$B$6:$B$4005,B1183,$N$6:$N$4005,"N"),0),$P$6:$P$4005,0)),"(tanpa lawan)"))</f>
        <v/>
      </c>
      <c r="R1183" s="44"/>
      <c r="S1183" s="9" t="str">
        <f aca="false">IF(N1183&lt;&gt;"Y","",IF(R1183&lt;&gt;"",R1183,IF(Q1183="(tanpa lawan)","Transfer antar rekening",IFERROR(INDEX(I_COA!$F$6:$F$265,MATCH(Q1183,I_COA!$A$6:$A$265,0)),"?"))))</f>
        <v/>
      </c>
    </row>
    <row r="1184" customFormat="false" ht="15" hidden="false" customHeight="false" outlineLevel="0" collapsed="false">
      <c r="A1184" s="37" t="n">
        <v>46252</v>
      </c>
      <c r="B1184" s="44" t="s">
        <v>1545</v>
      </c>
      <c r="C1184" s="44" t="s">
        <v>617</v>
      </c>
      <c r="D1184" s="44" t="n">
        <v>1104002</v>
      </c>
      <c r="E1184" s="44" t="s">
        <v>601</v>
      </c>
      <c r="F1184" s="44" t="s">
        <v>1546</v>
      </c>
      <c r="G1184" s="42"/>
      <c r="H1184" s="42" t="n">
        <v>14324267.78</v>
      </c>
      <c r="I1184" s="44" t="s">
        <v>465</v>
      </c>
      <c r="J1184" s="11" t="n">
        <f aca="false">IF(D1184="","",N(G1184)-N(H1184))</f>
        <v>-14324267.78</v>
      </c>
      <c r="K1184" s="34" t="str">
        <f aca="false">IF(D1184="","",IFERROR(INDEX(I_COA!$C$6:$C$265,MATCH(D1184,I_COA!$A$6:$A$265,0)),"AKUN BARU"))</f>
        <v>Neraca</v>
      </c>
      <c r="L1184" s="34" t="str">
        <f aca="false">IF(K1184="LabaRugi",INDEX(I_COA!$D$6:$D$265,MATCH(D1184,I_COA!$A$6:$A$265,0)),"")</f>
        <v/>
      </c>
      <c r="M1184" s="34" t="str">
        <f aca="false">IF(K1184="Neraca",INDEX(I_COA!$E$6:$E$265,MATCH(D1184,I_COA!$A$6:$A$265,0)),"")</f>
        <v>Inventory - Product</v>
      </c>
      <c r="N1184" s="34" t="str">
        <f aca="false">IF(D1184="","",IFERROR(INDEX(I_COA!$G$6:$G$265,MATCH(D1184,I_COA!$A$6:$A$265,0)),"N"))</f>
        <v>N</v>
      </c>
      <c r="O1184" s="11" t="n">
        <f aca="false">IF(N1184="N",ABS(J1184),"")</f>
        <v>14324267.78</v>
      </c>
      <c r="P1184" s="18" t="str">
        <f aca="false">IF(N1184="N",B1184&amp;"|"&amp;ROUND(O1184,0),"")</f>
        <v>KGR26/0284|14324268</v>
      </c>
      <c r="Q1184" s="18" t="str">
        <f aca="false">IF(N1184&lt;&gt;"Y","",IFERROR(INDEX($D$6:$D$4005,MATCH(B1184&amp;"|"&amp;ROUND(_xlfn.MAXIFS($O$6:$O$4005,$B$6:$B$4005,B1184,$N$6:$N$4005,"N"),0),$P$6:$P$4005,0)),"(tanpa lawan)"))</f>
        <v/>
      </c>
      <c r="R1184" s="44"/>
      <c r="S1184" s="9" t="str">
        <f aca="false">IF(N1184&lt;&gt;"Y","",IF(R1184&lt;&gt;"",R1184,IF(Q1184="(tanpa lawan)","Transfer antar rekening",IFERROR(INDEX(I_COA!$F$6:$F$265,MATCH(Q1184,I_COA!$A$6:$A$265,0)),"?"))))</f>
        <v/>
      </c>
    </row>
    <row r="1185" customFormat="false" ht="15" hidden="false" customHeight="false" outlineLevel="0" collapsed="false">
      <c r="A1185" s="37" t="n">
        <v>46252</v>
      </c>
      <c r="B1185" s="44" t="s">
        <v>1547</v>
      </c>
      <c r="C1185" s="44" t="s">
        <v>617</v>
      </c>
      <c r="D1185" s="44" t="n">
        <v>1103101</v>
      </c>
      <c r="E1185" s="44" t="s">
        <v>589</v>
      </c>
      <c r="F1185" s="44" t="s">
        <v>1548</v>
      </c>
      <c r="G1185" s="42" t="n">
        <v>77301000</v>
      </c>
      <c r="H1185" s="42"/>
      <c r="I1185" s="44" t="s">
        <v>432</v>
      </c>
      <c r="J1185" s="11" t="n">
        <f aca="false">IF(D1185="","",N(G1185)-N(H1185))</f>
        <v>77301000</v>
      </c>
      <c r="K1185" s="34" t="str">
        <f aca="false">IF(D1185="","",IFERROR(INDEX(I_COA!$C$6:$C$265,MATCH(D1185,I_COA!$A$6:$A$265,0)),"AKUN BARU"))</f>
        <v>Neraca</v>
      </c>
      <c r="L1185" s="34" t="str">
        <f aca="false">IF(K1185="LabaRugi",INDEX(I_COA!$D$6:$D$265,MATCH(D1185,I_COA!$A$6:$A$265,0)),"")</f>
        <v/>
      </c>
      <c r="M1185" s="34" t="str">
        <f aca="false">IF(K1185="Neraca",INDEX(I_COA!$E$6:$E$265,MATCH(D1185,I_COA!$A$6:$A$265,0)),"")</f>
        <v>Trade Receivables - Third Parties</v>
      </c>
      <c r="N1185" s="34" t="str">
        <f aca="false">IF(D1185="","",IFERROR(INDEX(I_COA!$G$6:$G$265,MATCH(D1185,I_COA!$A$6:$A$265,0)),"N"))</f>
        <v>N</v>
      </c>
      <c r="O1185" s="11" t="n">
        <f aca="false">IF(N1185="N",ABS(J1185),"")</f>
        <v>77301000</v>
      </c>
      <c r="P1185" s="18" t="str">
        <f aca="false">IF(N1185="N",B1185&amp;"|"&amp;ROUND(O1185,0),"")</f>
        <v>KGR26/0285|77301000</v>
      </c>
      <c r="Q1185" s="18" t="str">
        <f aca="false">IF(N1185&lt;&gt;"Y","",IFERROR(INDEX($D$6:$D$4005,MATCH(B1185&amp;"|"&amp;ROUND(_xlfn.MAXIFS($O$6:$O$4005,$B$6:$B$4005,B1185,$N$6:$N$4005,"N"),0),$P$6:$P$4005,0)),"(tanpa lawan)"))</f>
        <v/>
      </c>
      <c r="R1185" s="44"/>
      <c r="S1185" s="9" t="str">
        <f aca="false">IF(N1185&lt;&gt;"Y","",IF(R1185&lt;&gt;"",R1185,IF(Q1185="(tanpa lawan)","Transfer antar rekening",IFERROR(INDEX(I_COA!$F$6:$F$265,MATCH(Q1185,I_COA!$A$6:$A$265,0)),"?"))))</f>
        <v/>
      </c>
    </row>
    <row r="1186" customFormat="false" ht="15" hidden="false" customHeight="false" outlineLevel="0" collapsed="false">
      <c r="A1186" s="37" t="n">
        <v>46252</v>
      </c>
      <c r="B1186" s="44" t="s">
        <v>1547</v>
      </c>
      <c r="C1186" s="44" t="s">
        <v>617</v>
      </c>
      <c r="D1186" s="44" t="n">
        <v>4101006</v>
      </c>
      <c r="E1186" s="44" t="s">
        <v>626</v>
      </c>
      <c r="F1186" s="44" t="s">
        <v>1548</v>
      </c>
      <c r="G1186" s="42"/>
      <c r="H1186" s="42" t="n">
        <v>77301000</v>
      </c>
      <c r="I1186" s="44" t="s">
        <v>432</v>
      </c>
      <c r="J1186" s="11" t="n">
        <f aca="false">IF(D1186="","",N(G1186)-N(H1186))</f>
        <v>-77301000</v>
      </c>
      <c r="K1186" s="34" t="str">
        <f aca="false">IF(D1186="","",IFERROR(INDEX(I_COA!$C$6:$C$265,MATCH(D1186,I_COA!$A$6:$A$265,0)),"AKUN BARU"))</f>
        <v>LabaRugi</v>
      </c>
      <c r="L1186" s="34" t="str">
        <f aca="false">IF(K1186="LabaRugi",INDEX(I_COA!$D$6:$D$265,MATCH(D1186,I_COA!$A$6:$A$265,0)),"")</f>
        <v>Revenue - LB Main Product</v>
      </c>
      <c r="M1186" s="34" t="str">
        <f aca="false">IF(K1186="Neraca",INDEX(I_COA!$E$6:$E$265,MATCH(D1186,I_COA!$A$6:$A$265,0)),"")</f>
        <v/>
      </c>
      <c r="N1186" s="34" t="str">
        <f aca="false">IF(D1186="","",IFERROR(INDEX(I_COA!$G$6:$G$265,MATCH(D1186,I_COA!$A$6:$A$265,0)),"N"))</f>
        <v>N</v>
      </c>
      <c r="O1186" s="11" t="n">
        <f aca="false">IF(N1186="N",ABS(J1186),"")</f>
        <v>77301000</v>
      </c>
      <c r="P1186" s="18" t="str">
        <f aca="false">IF(N1186="N",B1186&amp;"|"&amp;ROUND(O1186,0),"")</f>
        <v>KGR26/0285|77301000</v>
      </c>
      <c r="Q1186" s="18" t="str">
        <f aca="false">IF(N1186&lt;&gt;"Y","",IFERROR(INDEX($D$6:$D$4005,MATCH(B1186&amp;"|"&amp;ROUND(_xlfn.MAXIFS($O$6:$O$4005,$B$6:$B$4005,B1186,$N$6:$N$4005,"N"),0),$P$6:$P$4005,0)),"(tanpa lawan)"))</f>
        <v/>
      </c>
      <c r="R1186" s="44"/>
      <c r="S1186" s="9" t="str">
        <f aca="false">IF(N1186&lt;&gt;"Y","",IF(R1186&lt;&gt;"",R1186,IF(Q1186="(tanpa lawan)","Transfer antar rekening",IFERROR(INDEX(I_COA!$F$6:$F$265,MATCH(Q1186,I_COA!$A$6:$A$265,0)),"?"))))</f>
        <v/>
      </c>
    </row>
    <row r="1187" customFormat="false" ht="15" hidden="false" customHeight="false" outlineLevel="0" collapsed="false">
      <c r="A1187" s="37" t="n">
        <v>46252</v>
      </c>
      <c r="B1187" s="44" t="s">
        <v>1547</v>
      </c>
      <c r="C1187" s="44" t="s">
        <v>617</v>
      </c>
      <c r="D1187" s="44" t="n">
        <v>5100004</v>
      </c>
      <c r="E1187" s="44" t="s">
        <v>627</v>
      </c>
      <c r="F1187" s="44" t="s">
        <v>1548</v>
      </c>
      <c r="G1187" s="42" t="n">
        <v>68805321.93</v>
      </c>
      <c r="H1187" s="42"/>
      <c r="I1187" s="44" t="s">
        <v>432</v>
      </c>
      <c r="J1187" s="11" t="n">
        <f aca="false">IF(D1187="","",N(G1187)-N(H1187))</f>
        <v>68805321.93</v>
      </c>
      <c r="K1187" s="34" t="str">
        <f aca="false">IF(D1187="","",IFERROR(INDEX(I_COA!$C$6:$C$265,MATCH(D1187,I_COA!$A$6:$A$265,0)),"AKUN BARU"))</f>
        <v>LabaRugi</v>
      </c>
      <c r="L1187" s="34" t="str">
        <f aca="false">IF(K1187="LabaRugi",INDEX(I_COA!$D$6:$D$265,MATCH(D1187,I_COA!$A$6:$A$265,0)),"")</f>
        <v>COGS - Live Bird</v>
      </c>
      <c r="M1187" s="34" t="str">
        <f aca="false">IF(K1187="Neraca",INDEX(I_COA!$E$6:$E$265,MATCH(D1187,I_COA!$A$6:$A$265,0)),"")</f>
        <v/>
      </c>
      <c r="N1187" s="34" t="str">
        <f aca="false">IF(D1187="","",IFERROR(INDEX(I_COA!$G$6:$G$265,MATCH(D1187,I_COA!$A$6:$A$265,0)),"N"))</f>
        <v>N</v>
      </c>
      <c r="O1187" s="11" t="n">
        <f aca="false">IF(N1187="N",ABS(J1187),"")</f>
        <v>68805321.93</v>
      </c>
      <c r="P1187" s="18" t="str">
        <f aca="false">IF(N1187="N",B1187&amp;"|"&amp;ROUND(O1187,0),"")</f>
        <v>KGR26/0285|68805322</v>
      </c>
      <c r="Q1187" s="18" t="str">
        <f aca="false">IF(N1187&lt;&gt;"Y","",IFERROR(INDEX($D$6:$D$4005,MATCH(B1187&amp;"|"&amp;ROUND(_xlfn.MAXIFS($O$6:$O$4005,$B$6:$B$4005,B1187,$N$6:$N$4005,"N"),0),$P$6:$P$4005,0)),"(tanpa lawan)"))</f>
        <v/>
      </c>
      <c r="R1187" s="44"/>
      <c r="S1187" s="9" t="str">
        <f aca="false">IF(N1187&lt;&gt;"Y","",IF(R1187&lt;&gt;"",R1187,IF(Q1187="(tanpa lawan)","Transfer antar rekening",IFERROR(INDEX(I_COA!$F$6:$F$265,MATCH(Q1187,I_COA!$A$6:$A$265,0)),"?"))))</f>
        <v/>
      </c>
    </row>
    <row r="1188" customFormat="false" ht="15" hidden="false" customHeight="false" outlineLevel="0" collapsed="false">
      <c r="A1188" s="37" t="n">
        <v>46252</v>
      </c>
      <c r="B1188" s="44" t="s">
        <v>1547</v>
      </c>
      <c r="C1188" s="44" t="s">
        <v>617</v>
      </c>
      <c r="D1188" s="44" t="n">
        <v>1104002</v>
      </c>
      <c r="E1188" s="44" t="s">
        <v>601</v>
      </c>
      <c r="F1188" s="44" t="s">
        <v>1548</v>
      </c>
      <c r="G1188" s="42"/>
      <c r="H1188" s="42" t="n">
        <v>68805321.93</v>
      </c>
      <c r="I1188" s="44" t="s">
        <v>432</v>
      </c>
      <c r="J1188" s="11" t="n">
        <f aca="false">IF(D1188="","",N(G1188)-N(H1188))</f>
        <v>-68805321.93</v>
      </c>
      <c r="K1188" s="34" t="str">
        <f aca="false">IF(D1188="","",IFERROR(INDEX(I_COA!$C$6:$C$265,MATCH(D1188,I_COA!$A$6:$A$265,0)),"AKUN BARU"))</f>
        <v>Neraca</v>
      </c>
      <c r="L1188" s="34" t="str">
        <f aca="false">IF(K1188="LabaRugi",INDEX(I_COA!$D$6:$D$265,MATCH(D1188,I_COA!$A$6:$A$265,0)),"")</f>
        <v/>
      </c>
      <c r="M1188" s="34" t="str">
        <f aca="false">IF(K1188="Neraca",INDEX(I_COA!$E$6:$E$265,MATCH(D1188,I_COA!$A$6:$A$265,0)),"")</f>
        <v>Inventory - Product</v>
      </c>
      <c r="N1188" s="34" t="str">
        <f aca="false">IF(D1188="","",IFERROR(INDEX(I_COA!$G$6:$G$265,MATCH(D1188,I_COA!$A$6:$A$265,0)),"N"))</f>
        <v>N</v>
      </c>
      <c r="O1188" s="11" t="n">
        <f aca="false">IF(N1188="N",ABS(J1188),"")</f>
        <v>68805321.93</v>
      </c>
      <c r="P1188" s="18" t="str">
        <f aca="false">IF(N1188="N",B1188&amp;"|"&amp;ROUND(O1188,0),"")</f>
        <v>KGR26/0285|68805322</v>
      </c>
      <c r="Q1188" s="18" t="str">
        <f aca="false">IF(N1188&lt;&gt;"Y","",IFERROR(INDEX($D$6:$D$4005,MATCH(B1188&amp;"|"&amp;ROUND(_xlfn.MAXIFS($O$6:$O$4005,$B$6:$B$4005,B1188,$N$6:$N$4005,"N"),0),$P$6:$P$4005,0)),"(tanpa lawan)"))</f>
        <v/>
      </c>
      <c r="R1188" s="44"/>
      <c r="S1188" s="9" t="str">
        <f aca="false">IF(N1188&lt;&gt;"Y","",IF(R1188&lt;&gt;"",R1188,IF(Q1188="(tanpa lawan)","Transfer antar rekening",IFERROR(INDEX(I_COA!$F$6:$F$265,MATCH(Q1188,I_COA!$A$6:$A$265,0)),"?"))))</f>
        <v/>
      </c>
    </row>
    <row r="1189" customFormat="false" ht="15" hidden="false" customHeight="false" outlineLevel="0" collapsed="false">
      <c r="A1189" s="37" t="n">
        <v>46252</v>
      </c>
      <c r="B1189" s="44" t="s">
        <v>1549</v>
      </c>
      <c r="C1189" s="44" t="s">
        <v>617</v>
      </c>
      <c r="D1189" s="44" t="n">
        <v>1103101</v>
      </c>
      <c r="E1189" s="44" t="s">
        <v>589</v>
      </c>
      <c r="F1189" s="44" t="s">
        <v>1550</v>
      </c>
      <c r="G1189" s="42" t="n">
        <v>28005000</v>
      </c>
      <c r="H1189" s="42"/>
      <c r="I1189" s="44" t="s">
        <v>432</v>
      </c>
      <c r="J1189" s="11" t="n">
        <f aca="false">IF(D1189="","",N(G1189)-N(H1189))</f>
        <v>28005000</v>
      </c>
      <c r="K1189" s="34" t="str">
        <f aca="false">IF(D1189="","",IFERROR(INDEX(I_COA!$C$6:$C$265,MATCH(D1189,I_COA!$A$6:$A$265,0)),"AKUN BARU"))</f>
        <v>Neraca</v>
      </c>
      <c r="L1189" s="34" t="str">
        <f aca="false">IF(K1189="LabaRugi",INDEX(I_COA!$D$6:$D$265,MATCH(D1189,I_COA!$A$6:$A$265,0)),"")</f>
        <v/>
      </c>
      <c r="M1189" s="34" t="str">
        <f aca="false">IF(K1189="Neraca",INDEX(I_COA!$E$6:$E$265,MATCH(D1189,I_COA!$A$6:$A$265,0)),"")</f>
        <v>Trade Receivables - Third Parties</v>
      </c>
      <c r="N1189" s="34" t="str">
        <f aca="false">IF(D1189="","",IFERROR(INDEX(I_COA!$G$6:$G$265,MATCH(D1189,I_COA!$A$6:$A$265,0)),"N"))</f>
        <v>N</v>
      </c>
      <c r="O1189" s="11" t="n">
        <f aca="false">IF(N1189="N",ABS(J1189),"")</f>
        <v>28005000</v>
      </c>
      <c r="P1189" s="18" t="str">
        <f aca="false">IF(N1189="N",B1189&amp;"|"&amp;ROUND(O1189,0),"")</f>
        <v>KGR26/0286|28005000</v>
      </c>
      <c r="Q1189" s="18" t="str">
        <f aca="false">IF(N1189&lt;&gt;"Y","",IFERROR(INDEX($D$6:$D$4005,MATCH(B1189&amp;"|"&amp;ROUND(_xlfn.MAXIFS($O$6:$O$4005,$B$6:$B$4005,B1189,$N$6:$N$4005,"N"),0),$P$6:$P$4005,0)),"(tanpa lawan)"))</f>
        <v/>
      </c>
      <c r="R1189" s="44"/>
      <c r="S1189" s="9" t="str">
        <f aca="false">IF(N1189&lt;&gt;"Y","",IF(R1189&lt;&gt;"",R1189,IF(Q1189="(tanpa lawan)","Transfer antar rekening",IFERROR(INDEX(I_COA!$F$6:$F$265,MATCH(Q1189,I_COA!$A$6:$A$265,0)),"?"))))</f>
        <v/>
      </c>
    </row>
    <row r="1190" customFormat="false" ht="15" hidden="false" customHeight="false" outlineLevel="0" collapsed="false">
      <c r="A1190" s="37" t="n">
        <v>46252</v>
      </c>
      <c r="B1190" s="44" t="s">
        <v>1549</v>
      </c>
      <c r="C1190" s="44" t="s">
        <v>617</v>
      </c>
      <c r="D1190" s="44" t="n">
        <v>4101006</v>
      </c>
      <c r="E1190" s="44" t="s">
        <v>626</v>
      </c>
      <c r="F1190" s="44" t="s">
        <v>1550</v>
      </c>
      <c r="G1190" s="42"/>
      <c r="H1190" s="42" t="n">
        <v>28005000</v>
      </c>
      <c r="I1190" s="44" t="s">
        <v>432</v>
      </c>
      <c r="J1190" s="11" t="n">
        <f aca="false">IF(D1190="","",N(G1190)-N(H1190))</f>
        <v>-28005000</v>
      </c>
      <c r="K1190" s="34" t="str">
        <f aca="false">IF(D1190="","",IFERROR(INDEX(I_COA!$C$6:$C$265,MATCH(D1190,I_COA!$A$6:$A$265,0)),"AKUN BARU"))</f>
        <v>LabaRugi</v>
      </c>
      <c r="L1190" s="34" t="str">
        <f aca="false">IF(K1190="LabaRugi",INDEX(I_COA!$D$6:$D$265,MATCH(D1190,I_COA!$A$6:$A$265,0)),"")</f>
        <v>Revenue - LB Main Product</v>
      </c>
      <c r="M1190" s="34" t="str">
        <f aca="false">IF(K1190="Neraca",INDEX(I_COA!$E$6:$E$265,MATCH(D1190,I_COA!$A$6:$A$265,0)),"")</f>
        <v/>
      </c>
      <c r="N1190" s="34" t="str">
        <f aca="false">IF(D1190="","",IFERROR(INDEX(I_COA!$G$6:$G$265,MATCH(D1190,I_COA!$A$6:$A$265,0)),"N"))</f>
        <v>N</v>
      </c>
      <c r="O1190" s="11" t="n">
        <f aca="false">IF(N1190="N",ABS(J1190),"")</f>
        <v>28005000</v>
      </c>
      <c r="P1190" s="18" t="str">
        <f aca="false">IF(N1190="N",B1190&amp;"|"&amp;ROUND(O1190,0),"")</f>
        <v>KGR26/0286|28005000</v>
      </c>
      <c r="Q1190" s="18" t="str">
        <f aca="false">IF(N1190&lt;&gt;"Y","",IFERROR(INDEX($D$6:$D$4005,MATCH(B1190&amp;"|"&amp;ROUND(_xlfn.MAXIFS($O$6:$O$4005,$B$6:$B$4005,B1190,$N$6:$N$4005,"N"),0),$P$6:$P$4005,0)),"(tanpa lawan)"))</f>
        <v/>
      </c>
      <c r="R1190" s="44"/>
      <c r="S1190" s="9" t="str">
        <f aca="false">IF(N1190&lt;&gt;"Y","",IF(R1190&lt;&gt;"",R1190,IF(Q1190="(tanpa lawan)","Transfer antar rekening",IFERROR(INDEX(I_COA!$F$6:$F$265,MATCH(Q1190,I_COA!$A$6:$A$265,0)),"?"))))</f>
        <v/>
      </c>
    </row>
    <row r="1191" customFormat="false" ht="15" hidden="false" customHeight="false" outlineLevel="0" collapsed="false">
      <c r="A1191" s="37" t="n">
        <v>46252</v>
      </c>
      <c r="B1191" s="44" t="s">
        <v>1549</v>
      </c>
      <c r="C1191" s="44" t="s">
        <v>617</v>
      </c>
      <c r="D1191" s="44" t="n">
        <v>5100004</v>
      </c>
      <c r="E1191" s="44" t="s">
        <v>627</v>
      </c>
      <c r="F1191" s="44" t="s">
        <v>1550</v>
      </c>
      <c r="G1191" s="42" t="n">
        <v>24188110.68</v>
      </c>
      <c r="H1191" s="42"/>
      <c r="I1191" s="44" t="s">
        <v>432</v>
      </c>
      <c r="J1191" s="11" t="n">
        <f aca="false">IF(D1191="","",N(G1191)-N(H1191))</f>
        <v>24188110.68</v>
      </c>
      <c r="K1191" s="34" t="str">
        <f aca="false">IF(D1191="","",IFERROR(INDEX(I_COA!$C$6:$C$265,MATCH(D1191,I_COA!$A$6:$A$265,0)),"AKUN BARU"))</f>
        <v>LabaRugi</v>
      </c>
      <c r="L1191" s="34" t="str">
        <f aca="false">IF(K1191="LabaRugi",INDEX(I_COA!$D$6:$D$265,MATCH(D1191,I_COA!$A$6:$A$265,0)),"")</f>
        <v>COGS - Live Bird</v>
      </c>
      <c r="M1191" s="34" t="str">
        <f aca="false">IF(K1191="Neraca",INDEX(I_COA!$E$6:$E$265,MATCH(D1191,I_COA!$A$6:$A$265,0)),"")</f>
        <v/>
      </c>
      <c r="N1191" s="34" t="str">
        <f aca="false">IF(D1191="","",IFERROR(INDEX(I_COA!$G$6:$G$265,MATCH(D1191,I_COA!$A$6:$A$265,0)),"N"))</f>
        <v>N</v>
      </c>
      <c r="O1191" s="11" t="n">
        <f aca="false">IF(N1191="N",ABS(J1191),"")</f>
        <v>24188110.68</v>
      </c>
      <c r="P1191" s="18" t="str">
        <f aca="false">IF(N1191="N",B1191&amp;"|"&amp;ROUND(O1191,0),"")</f>
        <v>KGR26/0286|24188111</v>
      </c>
      <c r="Q1191" s="18" t="str">
        <f aca="false">IF(N1191&lt;&gt;"Y","",IFERROR(INDEX($D$6:$D$4005,MATCH(B1191&amp;"|"&amp;ROUND(_xlfn.MAXIFS($O$6:$O$4005,$B$6:$B$4005,B1191,$N$6:$N$4005,"N"),0),$P$6:$P$4005,0)),"(tanpa lawan)"))</f>
        <v/>
      </c>
      <c r="R1191" s="44"/>
      <c r="S1191" s="9" t="str">
        <f aca="false">IF(N1191&lt;&gt;"Y","",IF(R1191&lt;&gt;"",R1191,IF(Q1191="(tanpa lawan)","Transfer antar rekening",IFERROR(INDEX(I_COA!$F$6:$F$265,MATCH(Q1191,I_COA!$A$6:$A$265,0)),"?"))))</f>
        <v/>
      </c>
    </row>
    <row r="1192" customFormat="false" ht="15" hidden="false" customHeight="false" outlineLevel="0" collapsed="false">
      <c r="A1192" s="37" t="n">
        <v>46252</v>
      </c>
      <c r="B1192" s="44" t="s">
        <v>1549</v>
      </c>
      <c r="C1192" s="44" t="s">
        <v>617</v>
      </c>
      <c r="D1192" s="44" t="n">
        <v>1104002</v>
      </c>
      <c r="E1192" s="44" t="s">
        <v>601</v>
      </c>
      <c r="F1192" s="44" t="s">
        <v>1550</v>
      </c>
      <c r="G1192" s="42"/>
      <c r="H1192" s="42" t="n">
        <v>24188110.68</v>
      </c>
      <c r="I1192" s="44" t="s">
        <v>432</v>
      </c>
      <c r="J1192" s="11" t="n">
        <f aca="false">IF(D1192="","",N(G1192)-N(H1192))</f>
        <v>-24188110.68</v>
      </c>
      <c r="K1192" s="34" t="str">
        <f aca="false">IF(D1192="","",IFERROR(INDEX(I_COA!$C$6:$C$265,MATCH(D1192,I_COA!$A$6:$A$265,0)),"AKUN BARU"))</f>
        <v>Neraca</v>
      </c>
      <c r="L1192" s="34" t="str">
        <f aca="false">IF(K1192="LabaRugi",INDEX(I_COA!$D$6:$D$265,MATCH(D1192,I_COA!$A$6:$A$265,0)),"")</f>
        <v/>
      </c>
      <c r="M1192" s="34" t="str">
        <f aca="false">IF(K1192="Neraca",INDEX(I_COA!$E$6:$E$265,MATCH(D1192,I_COA!$A$6:$A$265,0)),"")</f>
        <v>Inventory - Product</v>
      </c>
      <c r="N1192" s="34" t="str">
        <f aca="false">IF(D1192="","",IFERROR(INDEX(I_COA!$G$6:$G$265,MATCH(D1192,I_COA!$A$6:$A$265,0)),"N"))</f>
        <v>N</v>
      </c>
      <c r="O1192" s="11" t="n">
        <f aca="false">IF(N1192="N",ABS(J1192),"")</f>
        <v>24188110.68</v>
      </c>
      <c r="P1192" s="18" t="str">
        <f aca="false">IF(N1192="N",B1192&amp;"|"&amp;ROUND(O1192,0),"")</f>
        <v>KGR26/0286|24188111</v>
      </c>
      <c r="Q1192" s="18" t="str">
        <f aca="false">IF(N1192&lt;&gt;"Y","",IFERROR(INDEX($D$6:$D$4005,MATCH(B1192&amp;"|"&amp;ROUND(_xlfn.MAXIFS($O$6:$O$4005,$B$6:$B$4005,B1192,$N$6:$N$4005,"N"),0),$P$6:$P$4005,0)),"(tanpa lawan)"))</f>
        <v/>
      </c>
      <c r="R1192" s="44"/>
      <c r="S1192" s="9" t="str">
        <f aca="false">IF(N1192&lt;&gt;"Y","",IF(R1192&lt;&gt;"",R1192,IF(Q1192="(tanpa lawan)","Transfer antar rekening",IFERROR(INDEX(I_COA!$F$6:$F$265,MATCH(Q1192,I_COA!$A$6:$A$265,0)),"?"))))</f>
        <v/>
      </c>
    </row>
    <row r="1193" customFormat="false" ht="15" hidden="false" customHeight="false" outlineLevel="0" collapsed="false">
      <c r="A1193" s="37" t="n">
        <v>46252</v>
      </c>
      <c r="B1193" s="44" t="s">
        <v>1551</v>
      </c>
      <c r="C1193" s="44" t="s">
        <v>617</v>
      </c>
      <c r="D1193" s="44" t="n">
        <v>1103101</v>
      </c>
      <c r="E1193" s="44" t="s">
        <v>589</v>
      </c>
      <c r="F1193" s="44" t="s">
        <v>1552</v>
      </c>
      <c r="G1193" s="42" t="n">
        <v>70551000</v>
      </c>
      <c r="H1193" s="42"/>
      <c r="I1193" s="44" t="s">
        <v>451</v>
      </c>
      <c r="J1193" s="11" t="n">
        <f aca="false">IF(D1193="","",N(G1193)-N(H1193))</f>
        <v>70551000</v>
      </c>
      <c r="K1193" s="34" t="str">
        <f aca="false">IF(D1193="","",IFERROR(INDEX(I_COA!$C$6:$C$265,MATCH(D1193,I_COA!$A$6:$A$265,0)),"AKUN BARU"))</f>
        <v>Neraca</v>
      </c>
      <c r="L1193" s="34" t="str">
        <f aca="false">IF(K1193="LabaRugi",INDEX(I_COA!$D$6:$D$265,MATCH(D1193,I_COA!$A$6:$A$265,0)),"")</f>
        <v/>
      </c>
      <c r="M1193" s="34" t="str">
        <f aca="false">IF(K1193="Neraca",INDEX(I_COA!$E$6:$E$265,MATCH(D1193,I_COA!$A$6:$A$265,0)),"")</f>
        <v>Trade Receivables - Third Parties</v>
      </c>
      <c r="N1193" s="34" t="str">
        <f aca="false">IF(D1193="","",IFERROR(INDEX(I_COA!$G$6:$G$265,MATCH(D1193,I_COA!$A$6:$A$265,0)),"N"))</f>
        <v>N</v>
      </c>
      <c r="O1193" s="11" t="n">
        <f aca="false">IF(N1193="N",ABS(J1193),"")</f>
        <v>70551000</v>
      </c>
      <c r="P1193" s="18" t="str">
        <f aca="false">IF(N1193="N",B1193&amp;"|"&amp;ROUND(O1193,0),"")</f>
        <v>KGR26/0287|70551000</v>
      </c>
      <c r="Q1193" s="18" t="str">
        <f aca="false">IF(N1193&lt;&gt;"Y","",IFERROR(INDEX($D$6:$D$4005,MATCH(B1193&amp;"|"&amp;ROUND(_xlfn.MAXIFS($O$6:$O$4005,$B$6:$B$4005,B1193,$N$6:$N$4005,"N"),0),$P$6:$P$4005,0)),"(tanpa lawan)"))</f>
        <v/>
      </c>
      <c r="R1193" s="44"/>
      <c r="S1193" s="9" t="str">
        <f aca="false">IF(N1193&lt;&gt;"Y","",IF(R1193&lt;&gt;"",R1193,IF(Q1193="(tanpa lawan)","Transfer antar rekening",IFERROR(INDEX(I_COA!$F$6:$F$265,MATCH(Q1193,I_COA!$A$6:$A$265,0)),"?"))))</f>
        <v/>
      </c>
    </row>
    <row r="1194" customFormat="false" ht="15" hidden="false" customHeight="false" outlineLevel="0" collapsed="false">
      <c r="A1194" s="37" t="n">
        <v>46252</v>
      </c>
      <c r="B1194" s="44" t="s">
        <v>1551</v>
      </c>
      <c r="C1194" s="44" t="s">
        <v>617</v>
      </c>
      <c r="D1194" s="44" t="n">
        <v>4101012</v>
      </c>
      <c r="E1194" s="44" t="s">
        <v>619</v>
      </c>
      <c r="F1194" s="44" t="s">
        <v>1552</v>
      </c>
      <c r="G1194" s="42"/>
      <c r="H1194" s="42" t="n">
        <v>70551000</v>
      </c>
      <c r="I1194" s="44" t="s">
        <v>451</v>
      </c>
      <c r="J1194" s="11" t="n">
        <f aca="false">IF(D1194="","",N(G1194)-N(H1194))</f>
        <v>-70551000</v>
      </c>
      <c r="K1194" s="34" t="str">
        <f aca="false">IF(D1194="","",IFERROR(INDEX(I_COA!$C$6:$C$265,MATCH(D1194,I_COA!$A$6:$A$265,0)),"AKUN BARU"))</f>
        <v>LabaRugi</v>
      </c>
      <c r="L1194" s="34" t="str">
        <f aca="false">IF(K1194="LabaRugi",INDEX(I_COA!$D$6:$D$265,MATCH(D1194,I_COA!$A$6:$A$265,0)),"")</f>
        <v>Revenue - Trading</v>
      </c>
      <c r="M1194" s="34" t="str">
        <f aca="false">IF(K1194="Neraca",INDEX(I_COA!$E$6:$E$265,MATCH(D1194,I_COA!$A$6:$A$265,0)),"")</f>
        <v/>
      </c>
      <c r="N1194" s="34" t="str">
        <f aca="false">IF(D1194="","",IFERROR(INDEX(I_COA!$G$6:$G$265,MATCH(D1194,I_COA!$A$6:$A$265,0)),"N"))</f>
        <v>N</v>
      </c>
      <c r="O1194" s="11" t="n">
        <f aca="false">IF(N1194="N",ABS(J1194),"")</f>
        <v>70551000</v>
      </c>
      <c r="P1194" s="18" t="str">
        <f aca="false">IF(N1194="N",B1194&amp;"|"&amp;ROUND(O1194,0),"")</f>
        <v>KGR26/0287|70551000</v>
      </c>
      <c r="Q1194" s="18" t="str">
        <f aca="false">IF(N1194&lt;&gt;"Y","",IFERROR(INDEX($D$6:$D$4005,MATCH(B1194&amp;"|"&amp;ROUND(_xlfn.MAXIFS($O$6:$O$4005,$B$6:$B$4005,B1194,$N$6:$N$4005,"N"),0),$P$6:$P$4005,0)),"(tanpa lawan)"))</f>
        <v/>
      </c>
      <c r="R1194" s="44"/>
      <c r="S1194" s="9" t="str">
        <f aca="false">IF(N1194&lt;&gt;"Y","",IF(R1194&lt;&gt;"",R1194,IF(Q1194="(tanpa lawan)","Transfer antar rekening",IFERROR(INDEX(I_COA!$F$6:$F$265,MATCH(Q1194,I_COA!$A$6:$A$265,0)),"?"))))</f>
        <v/>
      </c>
    </row>
    <row r="1195" customFormat="false" ht="15" hidden="false" customHeight="false" outlineLevel="0" collapsed="false">
      <c r="A1195" s="37" t="n">
        <v>46252</v>
      </c>
      <c r="B1195" s="44" t="s">
        <v>1551</v>
      </c>
      <c r="C1195" s="44" t="s">
        <v>617</v>
      </c>
      <c r="D1195" s="44" t="n">
        <v>5100011</v>
      </c>
      <c r="E1195" s="44" t="s">
        <v>166</v>
      </c>
      <c r="F1195" s="44" t="s">
        <v>1552</v>
      </c>
      <c r="G1195" s="42" t="n">
        <v>53739141.01</v>
      </c>
      <c r="H1195" s="42"/>
      <c r="I1195" s="44" t="s">
        <v>451</v>
      </c>
      <c r="J1195" s="11" t="n">
        <f aca="false">IF(D1195="","",N(G1195)-N(H1195))</f>
        <v>53739141.01</v>
      </c>
      <c r="K1195" s="34" t="str">
        <f aca="false">IF(D1195="","",IFERROR(INDEX(I_COA!$C$6:$C$265,MATCH(D1195,I_COA!$A$6:$A$265,0)),"AKUN BARU"))</f>
        <v>LabaRugi</v>
      </c>
      <c r="L1195" s="34" t="str">
        <f aca="false">IF(K1195="LabaRugi",INDEX(I_COA!$D$6:$D$265,MATCH(D1195,I_COA!$A$6:$A$265,0)),"")</f>
        <v>COGS - Trading</v>
      </c>
      <c r="M1195" s="34" t="str">
        <f aca="false">IF(K1195="Neraca",INDEX(I_COA!$E$6:$E$265,MATCH(D1195,I_COA!$A$6:$A$265,0)),"")</f>
        <v/>
      </c>
      <c r="N1195" s="34" t="str">
        <f aca="false">IF(D1195="","",IFERROR(INDEX(I_COA!$G$6:$G$265,MATCH(D1195,I_COA!$A$6:$A$265,0)),"N"))</f>
        <v>N</v>
      </c>
      <c r="O1195" s="11" t="n">
        <f aca="false">IF(N1195="N",ABS(J1195),"")</f>
        <v>53739141.01</v>
      </c>
      <c r="P1195" s="18" t="str">
        <f aca="false">IF(N1195="N",B1195&amp;"|"&amp;ROUND(O1195,0),"")</f>
        <v>KGR26/0287|53739141</v>
      </c>
      <c r="Q1195" s="18" t="str">
        <f aca="false">IF(N1195&lt;&gt;"Y","",IFERROR(INDEX($D$6:$D$4005,MATCH(B1195&amp;"|"&amp;ROUND(_xlfn.MAXIFS($O$6:$O$4005,$B$6:$B$4005,B1195,$N$6:$N$4005,"N"),0),$P$6:$P$4005,0)),"(tanpa lawan)"))</f>
        <v/>
      </c>
      <c r="R1195" s="44"/>
      <c r="S1195" s="9" t="str">
        <f aca="false">IF(N1195&lt;&gt;"Y","",IF(R1195&lt;&gt;"",R1195,IF(Q1195="(tanpa lawan)","Transfer antar rekening",IFERROR(INDEX(I_COA!$F$6:$F$265,MATCH(Q1195,I_COA!$A$6:$A$265,0)),"?"))))</f>
        <v/>
      </c>
    </row>
    <row r="1196" customFormat="false" ht="15" hidden="false" customHeight="false" outlineLevel="0" collapsed="false">
      <c r="A1196" s="37" t="n">
        <v>46252</v>
      </c>
      <c r="B1196" s="44" t="s">
        <v>1551</v>
      </c>
      <c r="C1196" s="44" t="s">
        <v>617</v>
      </c>
      <c r="D1196" s="44" t="n">
        <v>1104002</v>
      </c>
      <c r="E1196" s="44" t="s">
        <v>601</v>
      </c>
      <c r="F1196" s="44" t="s">
        <v>1552</v>
      </c>
      <c r="G1196" s="42"/>
      <c r="H1196" s="42" t="n">
        <v>53739141.01</v>
      </c>
      <c r="I1196" s="44" t="s">
        <v>451</v>
      </c>
      <c r="J1196" s="11" t="n">
        <f aca="false">IF(D1196="","",N(G1196)-N(H1196))</f>
        <v>-53739141.01</v>
      </c>
      <c r="K1196" s="34" t="str">
        <f aca="false">IF(D1196="","",IFERROR(INDEX(I_COA!$C$6:$C$265,MATCH(D1196,I_COA!$A$6:$A$265,0)),"AKUN BARU"))</f>
        <v>Neraca</v>
      </c>
      <c r="L1196" s="34" t="str">
        <f aca="false">IF(K1196="LabaRugi",INDEX(I_COA!$D$6:$D$265,MATCH(D1196,I_COA!$A$6:$A$265,0)),"")</f>
        <v/>
      </c>
      <c r="M1196" s="34" t="str">
        <f aca="false">IF(K1196="Neraca",INDEX(I_COA!$E$6:$E$265,MATCH(D1196,I_COA!$A$6:$A$265,0)),"")</f>
        <v>Inventory - Product</v>
      </c>
      <c r="N1196" s="34" t="str">
        <f aca="false">IF(D1196="","",IFERROR(INDEX(I_COA!$G$6:$G$265,MATCH(D1196,I_COA!$A$6:$A$265,0)),"N"))</f>
        <v>N</v>
      </c>
      <c r="O1196" s="11" t="n">
        <f aca="false">IF(N1196="N",ABS(J1196),"")</f>
        <v>53739141.01</v>
      </c>
      <c r="P1196" s="18" t="str">
        <f aca="false">IF(N1196="N",B1196&amp;"|"&amp;ROUND(O1196,0),"")</f>
        <v>KGR26/0287|53739141</v>
      </c>
      <c r="Q1196" s="18" t="str">
        <f aca="false">IF(N1196&lt;&gt;"Y","",IFERROR(INDEX($D$6:$D$4005,MATCH(B1196&amp;"|"&amp;ROUND(_xlfn.MAXIFS($O$6:$O$4005,$B$6:$B$4005,B1196,$N$6:$N$4005,"N"),0),$P$6:$P$4005,0)),"(tanpa lawan)"))</f>
        <v/>
      </c>
      <c r="R1196" s="44"/>
      <c r="S1196" s="9" t="str">
        <f aca="false">IF(N1196&lt;&gt;"Y","",IF(R1196&lt;&gt;"",R1196,IF(Q1196="(tanpa lawan)","Transfer antar rekening",IFERROR(INDEX(I_COA!$F$6:$F$265,MATCH(Q1196,I_COA!$A$6:$A$265,0)),"?"))))</f>
        <v/>
      </c>
    </row>
    <row r="1197" customFormat="false" ht="15" hidden="false" customHeight="false" outlineLevel="0" collapsed="false">
      <c r="A1197" s="37" t="n">
        <v>46252</v>
      </c>
      <c r="B1197" s="44" t="s">
        <v>1553</v>
      </c>
      <c r="C1197" s="44" t="s">
        <v>580</v>
      </c>
      <c r="D1197" s="44" t="n">
        <v>5100013</v>
      </c>
      <c r="E1197" s="44" t="s">
        <v>631</v>
      </c>
      <c r="F1197" s="44" t="s">
        <v>1554</v>
      </c>
      <c r="G1197" s="42" t="n">
        <v>205128</v>
      </c>
      <c r="H1197" s="42"/>
      <c r="I1197" s="44"/>
      <c r="J1197" s="11" t="n">
        <f aca="false">IF(D1197="","",N(G1197)-N(H1197))</f>
        <v>205128</v>
      </c>
      <c r="K1197" s="34" t="str">
        <f aca="false">IF(D1197="","",IFERROR(INDEX(I_COA!$C$6:$C$265,MATCH(D1197,I_COA!$A$6:$A$265,0)),"AKUN BARU"))</f>
        <v>LabaRugi</v>
      </c>
      <c r="L1197" s="34" t="str">
        <f aca="false">IF(K1197="LabaRugi",INDEX(I_COA!$D$6:$D$265,MATCH(D1197,I_COA!$A$6:$A$265,0)),"")</f>
        <v>Storage Expenses</v>
      </c>
      <c r="M1197" s="34" t="str">
        <f aca="false">IF(K1197="Neraca",INDEX(I_COA!$E$6:$E$265,MATCH(D1197,I_COA!$A$6:$A$265,0)),"")</f>
        <v/>
      </c>
      <c r="N1197" s="34" t="str">
        <f aca="false">IF(D1197="","",IFERROR(INDEX(I_COA!$G$6:$G$265,MATCH(D1197,I_COA!$A$6:$A$265,0)),"N"))</f>
        <v>N</v>
      </c>
      <c r="O1197" s="11" t="n">
        <f aca="false">IF(N1197="N",ABS(J1197),"")</f>
        <v>205128</v>
      </c>
      <c r="P1197" s="18" t="str">
        <f aca="false">IF(N1197="N",B1197&amp;"|"&amp;ROUND(O1197,0),"")</f>
        <v>MJ26080005|205128</v>
      </c>
      <c r="Q1197" s="18" t="str">
        <f aca="false">IF(N1197&lt;&gt;"Y","",IFERROR(INDEX($D$6:$D$4005,MATCH(B1197&amp;"|"&amp;ROUND(_xlfn.MAXIFS($O$6:$O$4005,$B$6:$B$4005,B1197,$N$6:$N$4005,"N"),0),$P$6:$P$4005,0)),"(tanpa lawan)"))</f>
        <v/>
      </c>
      <c r="R1197" s="44"/>
      <c r="S1197" s="9" t="str">
        <f aca="false">IF(N1197&lt;&gt;"Y","",IF(R1197&lt;&gt;"",R1197,IF(Q1197="(tanpa lawan)","Transfer antar rekening",IFERROR(INDEX(I_COA!$F$6:$F$265,MATCH(Q1197,I_COA!$A$6:$A$265,0)),"?"))))</f>
        <v/>
      </c>
    </row>
    <row r="1198" customFormat="false" ht="15" hidden="false" customHeight="false" outlineLevel="0" collapsed="false">
      <c r="A1198" s="37" t="n">
        <v>46252</v>
      </c>
      <c r="B1198" s="44" t="s">
        <v>1553</v>
      </c>
      <c r="C1198" s="44" t="s">
        <v>580</v>
      </c>
      <c r="D1198" s="44" t="n">
        <v>2102002</v>
      </c>
      <c r="E1198" s="44" t="s">
        <v>633</v>
      </c>
      <c r="F1198" s="44" t="s">
        <v>1555</v>
      </c>
      <c r="G1198" s="42"/>
      <c r="H1198" s="42" t="n">
        <v>5128</v>
      </c>
      <c r="I1198" s="44"/>
      <c r="J1198" s="11" t="n">
        <f aca="false">IF(D1198="","",N(G1198)-N(H1198))</f>
        <v>-5128</v>
      </c>
      <c r="K1198" s="34" t="str">
        <f aca="false">IF(D1198="","",IFERROR(INDEX(I_COA!$C$6:$C$265,MATCH(D1198,I_COA!$A$6:$A$265,0)),"AKUN BARU"))</f>
        <v>Neraca</v>
      </c>
      <c r="L1198" s="34" t="str">
        <f aca="false">IF(K1198="LabaRugi",INDEX(I_COA!$D$6:$D$265,MATCH(D1198,I_COA!$A$6:$A$265,0)),"")</f>
        <v/>
      </c>
      <c r="M1198" s="34" t="str">
        <f aca="false">IF(K1198="Neraca",INDEX(I_COA!$E$6:$E$265,MATCH(D1198,I_COA!$A$6:$A$265,0)),"")</f>
        <v>Taxes Payable</v>
      </c>
      <c r="N1198" s="34" t="str">
        <f aca="false">IF(D1198="","",IFERROR(INDEX(I_COA!$G$6:$G$265,MATCH(D1198,I_COA!$A$6:$A$265,0)),"N"))</f>
        <v>N</v>
      </c>
      <c r="O1198" s="11" t="n">
        <f aca="false">IF(N1198="N",ABS(J1198),"")</f>
        <v>5128</v>
      </c>
      <c r="P1198" s="18" t="str">
        <f aca="false">IF(N1198="N",B1198&amp;"|"&amp;ROUND(O1198,0),"")</f>
        <v>MJ26080005|5128</v>
      </c>
      <c r="Q1198" s="18" t="str">
        <f aca="false">IF(N1198&lt;&gt;"Y","",IFERROR(INDEX($D$6:$D$4005,MATCH(B1198&amp;"|"&amp;ROUND(_xlfn.MAXIFS($O$6:$O$4005,$B$6:$B$4005,B1198,$N$6:$N$4005,"N"),0),$P$6:$P$4005,0)),"(tanpa lawan)"))</f>
        <v/>
      </c>
      <c r="R1198" s="44"/>
      <c r="S1198" s="9" t="str">
        <f aca="false">IF(N1198&lt;&gt;"Y","",IF(R1198&lt;&gt;"",R1198,IF(Q1198="(tanpa lawan)","Transfer antar rekening",IFERROR(INDEX(I_COA!$F$6:$F$265,MATCH(Q1198,I_COA!$A$6:$A$265,0)),"?"))))</f>
        <v/>
      </c>
    </row>
    <row r="1199" customFormat="false" ht="15" hidden="false" customHeight="false" outlineLevel="0" collapsed="false">
      <c r="A1199" s="37" t="n">
        <v>46252</v>
      </c>
      <c r="B1199" s="44" t="s">
        <v>1553</v>
      </c>
      <c r="C1199" s="44" t="s">
        <v>580</v>
      </c>
      <c r="D1199" s="44" t="n">
        <v>5100013</v>
      </c>
      <c r="E1199" s="44" t="s">
        <v>631</v>
      </c>
      <c r="F1199" s="44" t="s">
        <v>1556</v>
      </c>
      <c r="G1199" s="42" t="n">
        <v>102565</v>
      </c>
      <c r="H1199" s="42"/>
      <c r="I1199" s="44"/>
      <c r="J1199" s="11" t="n">
        <f aca="false">IF(D1199="","",N(G1199)-N(H1199))</f>
        <v>102565</v>
      </c>
      <c r="K1199" s="34" t="str">
        <f aca="false">IF(D1199="","",IFERROR(INDEX(I_COA!$C$6:$C$265,MATCH(D1199,I_COA!$A$6:$A$265,0)),"AKUN BARU"))</f>
        <v>LabaRugi</v>
      </c>
      <c r="L1199" s="34" t="str">
        <f aca="false">IF(K1199="LabaRugi",INDEX(I_COA!$D$6:$D$265,MATCH(D1199,I_COA!$A$6:$A$265,0)),"")</f>
        <v>Storage Expenses</v>
      </c>
      <c r="M1199" s="34" t="str">
        <f aca="false">IF(K1199="Neraca",INDEX(I_COA!$E$6:$E$265,MATCH(D1199,I_COA!$A$6:$A$265,0)),"")</f>
        <v/>
      </c>
      <c r="N1199" s="34" t="str">
        <f aca="false">IF(D1199="","",IFERROR(INDEX(I_COA!$G$6:$G$265,MATCH(D1199,I_COA!$A$6:$A$265,0)),"N"))</f>
        <v>N</v>
      </c>
      <c r="O1199" s="11" t="n">
        <f aca="false">IF(N1199="N",ABS(J1199),"")</f>
        <v>102565</v>
      </c>
      <c r="P1199" s="18" t="str">
        <f aca="false">IF(N1199="N",B1199&amp;"|"&amp;ROUND(O1199,0),"")</f>
        <v>MJ26080005|102565</v>
      </c>
      <c r="Q1199" s="18" t="str">
        <f aca="false">IF(N1199&lt;&gt;"Y","",IFERROR(INDEX($D$6:$D$4005,MATCH(B1199&amp;"|"&amp;ROUND(_xlfn.MAXIFS($O$6:$O$4005,$B$6:$B$4005,B1199,$N$6:$N$4005,"N"),0),$P$6:$P$4005,0)),"(tanpa lawan)"))</f>
        <v/>
      </c>
      <c r="R1199" s="44"/>
      <c r="S1199" s="9" t="str">
        <f aca="false">IF(N1199&lt;&gt;"Y","",IF(R1199&lt;&gt;"",R1199,IF(Q1199="(tanpa lawan)","Transfer antar rekening",IFERROR(INDEX(I_COA!$F$6:$F$265,MATCH(Q1199,I_COA!$A$6:$A$265,0)),"?"))))</f>
        <v/>
      </c>
    </row>
    <row r="1200" customFormat="false" ht="15" hidden="false" customHeight="false" outlineLevel="0" collapsed="false">
      <c r="A1200" s="37" t="n">
        <v>46252</v>
      </c>
      <c r="B1200" s="44" t="s">
        <v>1553</v>
      </c>
      <c r="C1200" s="44" t="s">
        <v>580</v>
      </c>
      <c r="D1200" s="44" t="n">
        <v>2102002</v>
      </c>
      <c r="E1200" s="44" t="s">
        <v>633</v>
      </c>
      <c r="F1200" s="44" t="s">
        <v>1557</v>
      </c>
      <c r="G1200" s="42"/>
      <c r="H1200" s="42" t="n">
        <v>2565</v>
      </c>
      <c r="I1200" s="44"/>
      <c r="J1200" s="11" t="n">
        <f aca="false">IF(D1200="","",N(G1200)-N(H1200))</f>
        <v>-2565</v>
      </c>
      <c r="K1200" s="34" t="str">
        <f aca="false">IF(D1200="","",IFERROR(INDEX(I_COA!$C$6:$C$265,MATCH(D1200,I_COA!$A$6:$A$265,0)),"AKUN BARU"))</f>
        <v>Neraca</v>
      </c>
      <c r="L1200" s="34" t="str">
        <f aca="false">IF(K1200="LabaRugi",INDEX(I_COA!$D$6:$D$265,MATCH(D1200,I_COA!$A$6:$A$265,0)),"")</f>
        <v/>
      </c>
      <c r="M1200" s="34" t="str">
        <f aca="false">IF(K1200="Neraca",INDEX(I_COA!$E$6:$E$265,MATCH(D1200,I_COA!$A$6:$A$265,0)),"")</f>
        <v>Taxes Payable</v>
      </c>
      <c r="N1200" s="34" t="str">
        <f aca="false">IF(D1200="","",IFERROR(INDEX(I_COA!$G$6:$G$265,MATCH(D1200,I_COA!$A$6:$A$265,0)),"N"))</f>
        <v>N</v>
      </c>
      <c r="O1200" s="11" t="n">
        <f aca="false">IF(N1200="N",ABS(J1200),"")</f>
        <v>2565</v>
      </c>
      <c r="P1200" s="18" t="str">
        <f aca="false">IF(N1200="N",B1200&amp;"|"&amp;ROUND(O1200,0),"")</f>
        <v>MJ26080005|2565</v>
      </c>
      <c r="Q1200" s="18" t="str">
        <f aca="false">IF(N1200&lt;&gt;"Y","",IFERROR(INDEX($D$6:$D$4005,MATCH(B1200&amp;"|"&amp;ROUND(_xlfn.MAXIFS($O$6:$O$4005,$B$6:$B$4005,B1200,$N$6:$N$4005,"N"),0),$P$6:$P$4005,0)),"(tanpa lawan)"))</f>
        <v/>
      </c>
      <c r="R1200" s="44"/>
      <c r="S1200" s="9" t="str">
        <f aca="false">IF(N1200&lt;&gt;"Y","",IF(R1200&lt;&gt;"",R1200,IF(Q1200="(tanpa lawan)","Transfer antar rekening",IFERROR(INDEX(I_COA!$F$6:$F$265,MATCH(Q1200,I_COA!$A$6:$A$265,0)),"?"))))</f>
        <v/>
      </c>
    </row>
    <row r="1201" customFormat="false" ht="15" hidden="false" customHeight="false" outlineLevel="0" collapsed="false">
      <c r="A1201" s="37" t="n">
        <v>46252</v>
      </c>
      <c r="B1201" s="44" t="s">
        <v>1553</v>
      </c>
      <c r="C1201" s="44" t="s">
        <v>580</v>
      </c>
      <c r="D1201" s="44" t="n">
        <v>6100006</v>
      </c>
      <c r="E1201" s="44" t="s">
        <v>717</v>
      </c>
      <c r="F1201" s="44" t="s">
        <v>1558</v>
      </c>
      <c r="G1201" s="42" t="n">
        <v>2857143</v>
      </c>
      <c r="H1201" s="42"/>
      <c r="I1201" s="44"/>
      <c r="J1201" s="11" t="n">
        <f aca="false">IF(D1201="","",N(G1201)-N(H1201))</f>
        <v>2857143</v>
      </c>
      <c r="K1201" s="34" t="str">
        <f aca="false">IF(D1201="","",IFERROR(INDEX(I_COA!$C$6:$C$265,MATCH(D1201,I_COA!$A$6:$A$265,0)),"AKUN BARU"))</f>
        <v>LabaRugi</v>
      </c>
      <c r="L1201" s="34" t="str">
        <f aca="false">IF(K1201="LabaRugi",INDEX(I_COA!$D$6:$D$265,MATCH(D1201,I_COA!$A$6:$A$265,0)),"")</f>
        <v>Delivery Expenses</v>
      </c>
      <c r="M1201" s="34" t="str">
        <f aca="false">IF(K1201="Neraca",INDEX(I_COA!$E$6:$E$265,MATCH(D1201,I_COA!$A$6:$A$265,0)),"")</f>
        <v/>
      </c>
      <c r="N1201" s="34" t="str">
        <f aca="false">IF(D1201="","",IFERROR(INDEX(I_COA!$G$6:$G$265,MATCH(D1201,I_COA!$A$6:$A$265,0)),"N"))</f>
        <v>N</v>
      </c>
      <c r="O1201" s="11" t="n">
        <f aca="false">IF(N1201="N",ABS(J1201),"")</f>
        <v>2857143</v>
      </c>
      <c r="P1201" s="18" t="str">
        <f aca="false">IF(N1201="N",B1201&amp;"|"&amp;ROUND(O1201,0),"")</f>
        <v>MJ26080005|2857143</v>
      </c>
      <c r="Q1201" s="18" t="str">
        <f aca="false">IF(N1201&lt;&gt;"Y","",IFERROR(INDEX($D$6:$D$4005,MATCH(B1201&amp;"|"&amp;ROUND(_xlfn.MAXIFS($O$6:$O$4005,$B$6:$B$4005,B1201,$N$6:$N$4005,"N"),0),$P$6:$P$4005,0)),"(tanpa lawan)"))</f>
        <v/>
      </c>
      <c r="R1201" s="44"/>
      <c r="S1201" s="9" t="str">
        <f aca="false">IF(N1201&lt;&gt;"Y","",IF(R1201&lt;&gt;"",R1201,IF(Q1201="(tanpa lawan)","Transfer antar rekening",IFERROR(INDEX(I_COA!$F$6:$F$265,MATCH(Q1201,I_COA!$A$6:$A$265,0)),"?"))))</f>
        <v/>
      </c>
    </row>
    <row r="1202" customFormat="false" ht="15" hidden="false" customHeight="false" outlineLevel="0" collapsed="false">
      <c r="A1202" s="37" t="n">
        <v>46252</v>
      </c>
      <c r="B1202" s="44" t="s">
        <v>1553</v>
      </c>
      <c r="C1202" s="44" t="s">
        <v>580</v>
      </c>
      <c r="D1202" s="44" t="n">
        <v>2102003</v>
      </c>
      <c r="E1202" s="44" t="s">
        <v>722</v>
      </c>
      <c r="F1202" s="44" t="s">
        <v>1559</v>
      </c>
      <c r="G1202" s="42"/>
      <c r="H1202" s="42" t="n">
        <v>57143</v>
      </c>
      <c r="I1202" s="44"/>
      <c r="J1202" s="11" t="n">
        <f aca="false">IF(D1202="","",N(G1202)-N(H1202))</f>
        <v>-57143</v>
      </c>
      <c r="K1202" s="34" t="str">
        <f aca="false">IF(D1202="","",IFERROR(INDEX(I_COA!$C$6:$C$265,MATCH(D1202,I_COA!$A$6:$A$265,0)),"AKUN BARU"))</f>
        <v>Neraca</v>
      </c>
      <c r="L1202" s="34" t="str">
        <f aca="false">IF(K1202="LabaRugi",INDEX(I_COA!$D$6:$D$265,MATCH(D1202,I_COA!$A$6:$A$265,0)),"")</f>
        <v/>
      </c>
      <c r="M1202" s="34" t="str">
        <f aca="false">IF(K1202="Neraca",INDEX(I_COA!$E$6:$E$265,MATCH(D1202,I_COA!$A$6:$A$265,0)),"")</f>
        <v>Taxes Payable</v>
      </c>
      <c r="N1202" s="34" t="str">
        <f aca="false">IF(D1202="","",IFERROR(INDEX(I_COA!$G$6:$G$265,MATCH(D1202,I_COA!$A$6:$A$265,0)),"N"))</f>
        <v>N</v>
      </c>
      <c r="O1202" s="11" t="n">
        <f aca="false">IF(N1202="N",ABS(J1202),"")</f>
        <v>57143</v>
      </c>
      <c r="P1202" s="18" t="str">
        <f aca="false">IF(N1202="N",B1202&amp;"|"&amp;ROUND(O1202,0),"")</f>
        <v>MJ26080005|57143</v>
      </c>
      <c r="Q1202" s="18" t="str">
        <f aca="false">IF(N1202&lt;&gt;"Y","",IFERROR(INDEX($D$6:$D$4005,MATCH(B1202&amp;"|"&amp;ROUND(_xlfn.MAXIFS($O$6:$O$4005,$B$6:$B$4005,B1202,$N$6:$N$4005,"N"),0),$P$6:$P$4005,0)),"(tanpa lawan)"))</f>
        <v/>
      </c>
      <c r="R1202" s="44"/>
      <c r="S1202" s="9" t="str">
        <f aca="false">IF(N1202&lt;&gt;"Y","",IF(R1202&lt;&gt;"",R1202,IF(Q1202="(tanpa lawan)","Transfer antar rekening",IFERROR(INDEX(I_COA!$F$6:$F$265,MATCH(Q1202,I_COA!$A$6:$A$265,0)),"?"))))</f>
        <v/>
      </c>
    </row>
    <row r="1203" customFormat="false" ht="15" hidden="false" customHeight="false" outlineLevel="0" collapsed="false">
      <c r="A1203" s="37" t="n">
        <v>46252</v>
      </c>
      <c r="B1203" s="44" t="s">
        <v>1553</v>
      </c>
      <c r="C1203" s="44" t="s">
        <v>580</v>
      </c>
      <c r="D1203" s="44" t="n">
        <v>5100013</v>
      </c>
      <c r="E1203" s="44" t="s">
        <v>631</v>
      </c>
      <c r="F1203" s="44" t="s">
        <v>1556</v>
      </c>
      <c r="G1203" s="42" t="n">
        <v>358975</v>
      </c>
      <c r="H1203" s="42"/>
      <c r="I1203" s="44"/>
      <c r="J1203" s="11" t="n">
        <f aca="false">IF(D1203="","",N(G1203)-N(H1203))</f>
        <v>358975</v>
      </c>
      <c r="K1203" s="34" t="str">
        <f aca="false">IF(D1203="","",IFERROR(INDEX(I_COA!$C$6:$C$265,MATCH(D1203,I_COA!$A$6:$A$265,0)),"AKUN BARU"))</f>
        <v>LabaRugi</v>
      </c>
      <c r="L1203" s="34" t="str">
        <f aca="false">IF(K1203="LabaRugi",INDEX(I_COA!$D$6:$D$265,MATCH(D1203,I_COA!$A$6:$A$265,0)),"")</f>
        <v>Storage Expenses</v>
      </c>
      <c r="M1203" s="34" t="str">
        <f aca="false">IF(K1203="Neraca",INDEX(I_COA!$E$6:$E$265,MATCH(D1203,I_COA!$A$6:$A$265,0)),"")</f>
        <v/>
      </c>
      <c r="N1203" s="34" t="str">
        <f aca="false">IF(D1203="","",IFERROR(INDEX(I_COA!$G$6:$G$265,MATCH(D1203,I_COA!$A$6:$A$265,0)),"N"))</f>
        <v>N</v>
      </c>
      <c r="O1203" s="11" t="n">
        <f aca="false">IF(N1203="N",ABS(J1203),"")</f>
        <v>358975</v>
      </c>
      <c r="P1203" s="18" t="str">
        <f aca="false">IF(N1203="N",B1203&amp;"|"&amp;ROUND(O1203,0),"")</f>
        <v>MJ26080005|358975</v>
      </c>
      <c r="Q1203" s="18" t="str">
        <f aca="false">IF(N1203&lt;&gt;"Y","",IFERROR(INDEX($D$6:$D$4005,MATCH(B1203&amp;"|"&amp;ROUND(_xlfn.MAXIFS($O$6:$O$4005,$B$6:$B$4005,B1203,$N$6:$N$4005,"N"),0),$P$6:$P$4005,0)),"(tanpa lawan)"))</f>
        <v/>
      </c>
      <c r="R1203" s="44"/>
      <c r="S1203" s="9" t="str">
        <f aca="false">IF(N1203&lt;&gt;"Y","",IF(R1203&lt;&gt;"",R1203,IF(Q1203="(tanpa lawan)","Transfer antar rekening",IFERROR(INDEX(I_COA!$F$6:$F$265,MATCH(Q1203,I_COA!$A$6:$A$265,0)),"?"))))</f>
        <v/>
      </c>
    </row>
    <row r="1204" customFormat="false" ht="15" hidden="false" customHeight="false" outlineLevel="0" collapsed="false">
      <c r="A1204" s="37" t="n">
        <v>46252</v>
      </c>
      <c r="B1204" s="44" t="s">
        <v>1553</v>
      </c>
      <c r="C1204" s="44" t="s">
        <v>580</v>
      </c>
      <c r="D1204" s="44" t="n">
        <v>2102002</v>
      </c>
      <c r="E1204" s="44" t="s">
        <v>633</v>
      </c>
      <c r="F1204" s="44" t="s">
        <v>1560</v>
      </c>
      <c r="G1204" s="42"/>
      <c r="H1204" s="42" t="n">
        <v>8975</v>
      </c>
      <c r="I1204" s="44"/>
      <c r="J1204" s="11" t="n">
        <f aca="false">IF(D1204="","",N(G1204)-N(H1204))</f>
        <v>-8975</v>
      </c>
      <c r="K1204" s="34" t="str">
        <f aca="false">IF(D1204="","",IFERROR(INDEX(I_COA!$C$6:$C$265,MATCH(D1204,I_COA!$A$6:$A$265,0)),"AKUN BARU"))</f>
        <v>Neraca</v>
      </c>
      <c r="L1204" s="34" t="str">
        <f aca="false">IF(K1204="LabaRugi",INDEX(I_COA!$D$6:$D$265,MATCH(D1204,I_COA!$A$6:$A$265,0)),"")</f>
        <v/>
      </c>
      <c r="M1204" s="34" t="str">
        <f aca="false">IF(K1204="Neraca",INDEX(I_COA!$E$6:$E$265,MATCH(D1204,I_COA!$A$6:$A$265,0)),"")</f>
        <v>Taxes Payable</v>
      </c>
      <c r="N1204" s="34" t="str">
        <f aca="false">IF(D1204="","",IFERROR(INDEX(I_COA!$G$6:$G$265,MATCH(D1204,I_COA!$A$6:$A$265,0)),"N"))</f>
        <v>N</v>
      </c>
      <c r="O1204" s="11" t="n">
        <f aca="false">IF(N1204="N",ABS(J1204),"")</f>
        <v>8975</v>
      </c>
      <c r="P1204" s="18" t="str">
        <f aca="false">IF(N1204="N",B1204&amp;"|"&amp;ROUND(O1204,0),"")</f>
        <v>MJ26080005|8975</v>
      </c>
      <c r="Q1204" s="18" t="str">
        <f aca="false">IF(N1204&lt;&gt;"Y","",IFERROR(INDEX($D$6:$D$4005,MATCH(B1204&amp;"|"&amp;ROUND(_xlfn.MAXIFS($O$6:$O$4005,$B$6:$B$4005,B1204,$N$6:$N$4005,"N"),0),$P$6:$P$4005,0)),"(tanpa lawan)"))</f>
        <v/>
      </c>
      <c r="R1204" s="44"/>
      <c r="S1204" s="9" t="str">
        <f aca="false">IF(N1204&lt;&gt;"Y","",IF(R1204&lt;&gt;"",R1204,IF(Q1204="(tanpa lawan)","Transfer antar rekening",IFERROR(INDEX(I_COA!$F$6:$F$265,MATCH(Q1204,I_COA!$A$6:$A$265,0)),"?"))))</f>
        <v/>
      </c>
    </row>
    <row r="1205" customFormat="false" ht="15" hidden="false" customHeight="false" outlineLevel="0" collapsed="false">
      <c r="A1205" s="37" t="n">
        <v>46252</v>
      </c>
      <c r="B1205" s="44" t="s">
        <v>1553</v>
      </c>
      <c r="C1205" s="44" t="s">
        <v>580</v>
      </c>
      <c r="D1205" s="44" t="n">
        <v>6200012</v>
      </c>
      <c r="E1205" s="44" t="s">
        <v>737</v>
      </c>
      <c r="F1205" s="44" t="s">
        <v>1561</v>
      </c>
      <c r="G1205" s="42" t="n">
        <v>256411</v>
      </c>
      <c r="H1205" s="42"/>
      <c r="I1205" s="44"/>
      <c r="J1205" s="11" t="n">
        <f aca="false">IF(D1205="","",N(G1205)-N(H1205))</f>
        <v>256411</v>
      </c>
      <c r="K1205" s="34" t="str">
        <f aca="false">IF(D1205="","",IFERROR(INDEX(I_COA!$C$6:$C$265,MATCH(D1205,I_COA!$A$6:$A$265,0)),"AKUN BARU"))</f>
        <v>LabaRugi</v>
      </c>
      <c r="L1205" s="34" t="str">
        <f aca="false">IF(K1205="LabaRugi",INDEX(I_COA!$D$6:$D$265,MATCH(D1205,I_COA!$A$6:$A$265,0)),"")</f>
        <v>Office Supplies &amp; Utilities</v>
      </c>
      <c r="M1205" s="34" t="str">
        <f aca="false">IF(K1205="Neraca",INDEX(I_COA!$E$6:$E$265,MATCH(D1205,I_COA!$A$6:$A$265,0)),"")</f>
        <v/>
      </c>
      <c r="N1205" s="34" t="str">
        <f aca="false">IF(D1205="","",IFERROR(INDEX(I_COA!$G$6:$G$265,MATCH(D1205,I_COA!$A$6:$A$265,0)),"N"))</f>
        <v>N</v>
      </c>
      <c r="O1205" s="11" t="n">
        <f aca="false">IF(N1205="N",ABS(J1205),"")</f>
        <v>256411</v>
      </c>
      <c r="P1205" s="18" t="str">
        <f aca="false">IF(N1205="N",B1205&amp;"|"&amp;ROUND(O1205,0),"")</f>
        <v>MJ26080005|256411</v>
      </c>
      <c r="Q1205" s="18" t="str">
        <f aca="false">IF(N1205&lt;&gt;"Y","",IFERROR(INDEX($D$6:$D$4005,MATCH(B1205&amp;"|"&amp;ROUND(_xlfn.MAXIFS($O$6:$O$4005,$B$6:$B$4005,B1205,$N$6:$N$4005,"N"),0),$P$6:$P$4005,0)),"(tanpa lawan)"))</f>
        <v/>
      </c>
      <c r="R1205" s="44"/>
      <c r="S1205" s="9" t="str">
        <f aca="false">IF(N1205&lt;&gt;"Y","",IF(R1205&lt;&gt;"",R1205,IF(Q1205="(tanpa lawan)","Transfer antar rekening",IFERROR(INDEX(I_COA!$F$6:$F$265,MATCH(Q1205,I_COA!$A$6:$A$265,0)),"?"))))</f>
        <v/>
      </c>
    </row>
    <row r="1206" customFormat="false" ht="15" hidden="false" customHeight="false" outlineLevel="0" collapsed="false">
      <c r="A1206" s="37" t="n">
        <v>46252</v>
      </c>
      <c r="B1206" s="44" t="s">
        <v>1553</v>
      </c>
      <c r="C1206" s="44" t="s">
        <v>580</v>
      </c>
      <c r="D1206" s="44" t="n">
        <v>2102002</v>
      </c>
      <c r="E1206" s="44" t="s">
        <v>633</v>
      </c>
      <c r="F1206" s="44" t="s">
        <v>1562</v>
      </c>
      <c r="G1206" s="42"/>
      <c r="H1206" s="42" t="n">
        <v>6411</v>
      </c>
      <c r="I1206" s="44"/>
      <c r="J1206" s="11" t="n">
        <f aca="false">IF(D1206="","",N(G1206)-N(H1206))</f>
        <v>-6411</v>
      </c>
      <c r="K1206" s="34" t="str">
        <f aca="false">IF(D1206="","",IFERROR(INDEX(I_COA!$C$6:$C$265,MATCH(D1206,I_COA!$A$6:$A$265,0)),"AKUN BARU"))</f>
        <v>Neraca</v>
      </c>
      <c r="L1206" s="34" t="str">
        <f aca="false">IF(K1206="LabaRugi",INDEX(I_COA!$D$6:$D$265,MATCH(D1206,I_COA!$A$6:$A$265,0)),"")</f>
        <v/>
      </c>
      <c r="M1206" s="34" t="str">
        <f aca="false">IF(K1206="Neraca",INDEX(I_COA!$E$6:$E$265,MATCH(D1206,I_COA!$A$6:$A$265,0)),"")</f>
        <v>Taxes Payable</v>
      </c>
      <c r="N1206" s="34" t="str">
        <f aca="false">IF(D1206="","",IFERROR(INDEX(I_COA!$G$6:$G$265,MATCH(D1206,I_COA!$A$6:$A$265,0)),"N"))</f>
        <v>N</v>
      </c>
      <c r="O1206" s="11" t="n">
        <f aca="false">IF(N1206="N",ABS(J1206),"")</f>
        <v>6411</v>
      </c>
      <c r="P1206" s="18" t="str">
        <f aca="false">IF(N1206="N",B1206&amp;"|"&amp;ROUND(O1206,0),"")</f>
        <v>MJ26080005|6411</v>
      </c>
      <c r="Q1206" s="18" t="str">
        <f aca="false">IF(N1206&lt;&gt;"Y","",IFERROR(INDEX($D$6:$D$4005,MATCH(B1206&amp;"|"&amp;ROUND(_xlfn.MAXIFS($O$6:$O$4005,$B$6:$B$4005,B1206,$N$6:$N$4005,"N"),0),$P$6:$P$4005,0)),"(tanpa lawan)"))</f>
        <v/>
      </c>
      <c r="R1206" s="44"/>
      <c r="S1206" s="9" t="str">
        <f aca="false">IF(N1206&lt;&gt;"Y","",IF(R1206&lt;&gt;"",R1206,IF(Q1206="(tanpa lawan)","Transfer antar rekening",IFERROR(INDEX(I_COA!$F$6:$F$265,MATCH(Q1206,I_COA!$A$6:$A$265,0)),"?"))))</f>
        <v/>
      </c>
    </row>
    <row r="1207" customFormat="false" ht="15" hidden="false" customHeight="false" outlineLevel="0" collapsed="false">
      <c r="A1207" s="37" t="n">
        <v>46252</v>
      </c>
      <c r="B1207" s="44" t="s">
        <v>1553</v>
      </c>
      <c r="C1207" s="44" t="s">
        <v>580</v>
      </c>
      <c r="D1207" s="44" t="n">
        <v>6200012</v>
      </c>
      <c r="E1207" s="44" t="s">
        <v>737</v>
      </c>
      <c r="F1207" s="44" t="s">
        <v>1563</v>
      </c>
      <c r="G1207" s="42" t="n">
        <v>123382</v>
      </c>
      <c r="H1207" s="42"/>
      <c r="I1207" s="44"/>
      <c r="J1207" s="11" t="n">
        <f aca="false">IF(D1207="","",N(G1207)-N(H1207))</f>
        <v>123382</v>
      </c>
      <c r="K1207" s="34" t="str">
        <f aca="false">IF(D1207="","",IFERROR(INDEX(I_COA!$C$6:$C$265,MATCH(D1207,I_COA!$A$6:$A$265,0)),"AKUN BARU"))</f>
        <v>LabaRugi</v>
      </c>
      <c r="L1207" s="34" t="str">
        <f aca="false">IF(K1207="LabaRugi",INDEX(I_COA!$D$6:$D$265,MATCH(D1207,I_COA!$A$6:$A$265,0)),"")</f>
        <v>Office Supplies &amp; Utilities</v>
      </c>
      <c r="M1207" s="34" t="str">
        <f aca="false">IF(K1207="Neraca",INDEX(I_COA!$E$6:$E$265,MATCH(D1207,I_COA!$A$6:$A$265,0)),"")</f>
        <v/>
      </c>
      <c r="N1207" s="34" t="str">
        <f aca="false">IF(D1207="","",IFERROR(INDEX(I_COA!$G$6:$G$265,MATCH(D1207,I_COA!$A$6:$A$265,0)),"N"))</f>
        <v>N</v>
      </c>
      <c r="O1207" s="11" t="n">
        <f aca="false">IF(N1207="N",ABS(J1207),"")</f>
        <v>123382</v>
      </c>
      <c r="P1207" s="18" t="str">
        <f aca="false">IF(N1207="N",B1207&amp;"|"&amp;ROUND(O1207,0),"")</f>
        <v>MJ26080005|123382</v>
      </c>
      <c r="Q1207" s="18" t="str">
        <f aca="false">IF(N1207&lt;&gt;"Y","",IFERROR(INDEX($D$6:$D$4005,MATCH(B1207&amp;"|"&amp;ROUND(_xlfn.MAXIFS($O$6:$O$4005,$B$6:$B$4005,B1207,$N$6:$N$4005,"N"),0),$P$6:$P$4005,0)),"(tanpa lawan)"))</f>
        <v/>
      </c>
      <c r="R1207" s="44"/>
      <c r="S1207" s="9" t="str">
        <f aca="false">IF(N1207&lt;&gt;"Y","",IF(R1207&lt;&gt;"",R1207,IF(Q1207="(tanpa lawan)","Transfer antar rekening",IFERROR(INDEX(I_COA!$F$6:$F$265,MATCH(Q1207,I_COA!$A$6:$A$265,0)),"?"))))</f>
        <v/>
      </c>
    </row>
    <row r="1208" customFormat="false" ht="15" hidden="false" customHeight="false" outlineLevel="0" collapsed="false">
      <c r="A1208" s="37" t="n">
        <v>46252</v>
      </c>
      <c r="B1208" s="44" t="s">
        <v>1553</v>
      </c>
      <c r="C1208" s="44" t="s">
        <v>580</v>
      </c>
      <c r="D1208" s="44" t="n">
        <v>2102002</v>
      </c>
      <c r="E1208" s="44" t="s">
        <v>633</v>
      </c>
      <c r="F1208" s="44" t="s">
        <v>1564</v>
      </c>
      <c r="G1208" s="42"/>
      <c r="H1208" s="42" t="n">
        <v>3084</v>
      </c>
      <c r="I1208" s="44"/>
      <c r="J1208" s="11" t="n">
        <f aca="false">IF(D1208="","",N(G1208)-N(H1208))</f>
        <v>-3084</v>
      </c>
      <c r="K1208" s="34" t="str">
        <f aca="false">IF(D1208="","",IFERROR(INDEX(I_COA!$C$6:$C$265,MATCH(D1208,I_COA!$A$6:$A$265,0)),"AKUN BARU"))</f>
        <v>Neraca</v>
      </c>
      <c r="L1208" s="34" t="str">
        <f aca="false">IF(K1208="LabaRugi",INDEX(I_COA!$D$6:$D$265,MATCH(D1208,I_COA!$A$6:$A$265,0)),"")</f>
        <v/>
      </c>
      <c r="M1208" s="34" t="str">
        <f aca="false">IF(K1208="Neraca",INDEX(I_COA!$E$6:$E$265,MATCH(D1208,I_COA!$A$6:$A$265,0)),"")</f>
        <v>Taxes Payable</v>
      </c>
      <c r="N1208" s="34" t="str">
        <f aca="false">IF(D1208="","",IFERROR(INDEX(I_COA!$G$6:$G$265,MATCH(D1208,I_COA!$A$6:$A$265,0)),"N"))</f>
        <v>N</v>
      </c>
      <c r="O1208" s="11" t="n">
        <f aca="false">IF(N1208="N",ABS(J1208),"")</f>
        <v>3084</v>
      </c>
      <c r="P1208" s="18" t="str">
        <f aca="false">IF(N1208="N",B1208&amp;"|"&amp;ROUND(O1208,0),"")</f>
        <v>MJ26080005|3084</v>
      </c>
      <c r="Q1208" s="18" t="str">
        <f aca="false">IF(N1208&lt;&gt;"Y","",IFERROR(INDEX($D$6:$D$4005,MATCH(B1208&amp;"|"&amp;ROUND(_xlfn.MAXIFS($O$6:$O$4005,$B$6:$B$4005,B1208,$N$6:$N$4005,"N"),0),$P$6:$P$4005,0)),"(tanpa lawan)"))</f>
        <v/>
      </c>
      <c r="R1208" s="44"/>
      <c r="S1208" s="9" t="str">
        <f aca="false">IF(N1208&lt;&gt;"Y","",IF(R1208&lt;&gt;"",R1208,IF(Q1208="(tanpa lawan)","Transfer antar rekening",IFERROR(INDEX(I_COA!$F$6:$F$265,MATCH(Q1208,I_COA!$A$6:$A$265,0)),"?"))))</f>
        <v/>
      </c>
    </row>
    <row r="1209" customFormat="false" ht="15" hidden="false" customHeight="false" outlineLevel="0" collapsed="false">
      <c r="A1209" s="37" t="n">
        <v>46252</v>
      </c>
      <c r="B1209" s="44" t="s">
        <v>1553</v>
      </c>
      <c r="C1209" s="44" t="s">
        <v>580</v>
      </c>
      <c r="D1209" s="44" t="n">
        <v>5100013</v>
      </c>
      <c r="E1209" s="44" t="s">
        <v>631</v>
      </c>
      <c r="F1209" s="44" t="s">
        <v>1565</v>
      </c>
      <c r="G1209" s="42" t="n">
        <v>512820</v>
      </c>
      <c r="H1209" s="42"/>
      <c r="I1209" s="44"/>
      <c r="J1209" s="11" t="n">
        <f aca="false">IF(D1209="","",N(G1209)-N(H1209))</f>
        <v>512820</v>
      </c>
      <c r="K1209" s="34" t="str">
        <f aca="false">IF(D1209="","",IFERROR(INDEX(I_COA!$C$6:$C$265,MATCH(D1209,I_COA!$A$6:$A$265,0)),"AKUN BARU"))</f>
        <v>LabaRugi</v>
      </c>
      <c r="L1209" s="34" t="str">
        <f aca="false">IF(K1209="LabaRugi",INDEX(I_COA!$D$6:$D$265,MATCH(D1209,I_COA!$A$6:$A$265,0)),"")</f>
        <v>Storage Expenses</v>
      </c>
      <c r="M1209" s="34" t="str">
        <f aca="false">IF(K1209="Neraca",INDEX(I_COA!$E$6:$E$265,MATCH(D1209,I_COA!$A$6:$A$265,0)),"")</f>
        <v/>
      </c>
      <c r="N1209" s="34" t="str">
        <f aca="false">IF(D1209="","",IFERROR(INDEX(I_COA!$G$6:$G$265,MATCH(D1209,I_COA!$A$6:$A$265,0)),"N"))</f>
        <v>N</v>
      </c>
      <c r="O1209" s="11" t="n">
        <f aca="false">IF(N1209="N",ABS(J1209),"")</f>
        <v>512820</v>
      </c>
      <c r="P1209" s="18" t="str">
        <f aca="false">IF(N1209="N",B1209&amp;"|"&amp;ROUND(O1209,0),"")</f>
        <v>MJ26080005|512820</v>
      </c>
      <c r="Q1209" s="18" t="str">
        <f aca="false">IF(N1209&lt;&gt;"Y","",IFERROR(INDEX($D$6:$D$4005,MATCH(B1209&amp;"|"&amp;ROUND(_xlfn.MAXIFS($O$6:$O$4005,$B$6:$B$4005,B1209,$N$6:$N$4005,"N"),0),$P$6:$P$4005,0)),"(tanpa lawan)"))</f>
        <v/>
      </c>
      <c r="R1209" s="44"/>
      <c r="S1209" s="9" t="str">
        <f aca="false">IF(N1209&lt;&gt;"Y","",IF(R1209&lt;&gt;"",R1209,IF(Q1209="(tanpa lawan)","Transfer antar rekening",IFERROR(INDEX(I_COA!$F$6:$F$265,MATCH(Q1209,I_COA!$A$6:$A$265,0)),"?"))))</f>
        <v/>
      </c>
    </row>
    <row r="1210" customFormat="false" ht="15" hidden="false" customHeight="false" outlineLevel="0" collapsed="false">
      <c r="A1210" s="37" t="n">
        <v>46252</v>
      </c>
      <c r="B1210" s="44" t="s">
        <v>1553</v>
      </c>
      <c r="C1210" s="44" t="s">
        <v>580</v>
      </c>
      <c r="D1210" s="44" t="n">
        <v>2102002</v>
      </c>
      <c r="E1210" s="44" t="s">
        <v>633</v>
      </c>
      <c r="F1210" s="44" t="s">
        <v>1566</v>
      </c>
      <c r="G1210" s="42"/>
      <c r="H1210" s="42" t="n">
        <v>12820</v>
      </c>
      <c r="I1210" s="44"/>
      <c r="J1210" s="11" t="n">
        <f aca="false">IF(D1210="","",N(G1210)-N(H1210))</f>
        <v>-12820</v>
      </c>
      <c r="K1210" s="34" t="str">
        <f aca="false">IF(D1210="","",IFERROR(INDEX(I_COA!$C$6:$C$265,MATCH(D1210,I_COA!$A$6:$A$265,0)),"AKUN BARU"))</f>
        <v>Neraca</v>
      </c>
      <c r="L1210" s="34" t="str">
        <f aca="false">IF(K1210="LabaRugi",INDEX(I_COA!$D$6:$D$265,MATCH(D1210,I_COA!$A$6:$A$265,0)),"")</f>
        <v/>
      </c>
      <c r="M1210" s="34" t="str">
        <f aca="false">IF(K1210="Neraca",INDEX(I_COA!$E$6:$E$265,MATCH(D1210,I_COA!$A$6:$A$265,0)),"")</f>
        <v>Taxes Payable</v>
      </c>
      <c r="N1210" s="34" t="str">
        <f aca="false">IF(D1210="","",IFERROR(INDEX(I_COA!$G$6:$G$265,MATCH(D1210,I_COA!$A$6:$A$265,0)),"N"))</f>
        <v>N</v>
      </c>
      <c r="O1210" s="11" t="n">
        <f aca="false">IF(N1210="N",ABS(J1210),"")</f>
        <v>12820</v>
      </c>
      <c r="P1210" s="18" t="str">
        <f aca="false">IF(N1210="N",B1210&amp;"|"&amp;ROUND(O1210,0),"")</f>
        <v>MJ26080005|12820</v>
      </c>
      <c r="Q1210" s="18" t="str">
        <f aca="false">IF(N1210&lt;&gt;"Y","",IFERROR(INDEX($D$6:$D$4005,MATCH(B1210&amp;"|"&amp;ROUND(_xlfn.MAXIFS($O$6:$O$4005,$B$6:$B$4005,B1210,$N$6:$N$4005,"N"),0),$P$6:$P$4005,0)),"(tanpa lawan)"))</f>
        <v/>
      </c>
      <c r="R1210" s="44"/>
      <c r="S1210" s="9" t="str">
        <f aca="false">IF(N1210&lt;&gt;"Y","",IF(R1210&lt;&gt;"",R1210,IF(Q1210="(tanpa lawan)","Transfer antar rekening",IFERROR(INDEX(I_COA!$F$6:$F$265,MATCH(Q1210,I_COA!$A$6:$A$265,0)),"?"))))</f>
        <v/>
      </c>
    </row>
    <row r="1211" customFormat="false" ht="15" hidden="false" customHeight="false" outlineLevel="0" collapsed="false">
      <c r="A1211" s="37" t="n">
        <v>46252</v>
      </c>
      <c r="B1211" s="44" t="s">
        <v>1553</v>
      </c>
      <c r="C1211" s="44" t="s">
        <v>580</v>
      </c>
      <c r="D1211" s="44" t="n">
        <v>1103120</v>
      </c>
      <c r="E1211" s="44" t="s">
        <v>640</v>
      </c>
      <c r="F1211" s="44" t="s">
        <v>1567</v>
      </c>
      <c r="G1211" s="42"/>
      <c r="H1211" s="42" t="n">
        <v>4320298</v>
      </c>
      <c r="I1211" s="44" t="s">
        <v>642</v>
      </c>
      <c r="J1211" s="11" t="n">
        <f aca="false">IF(D1211="","",N(G1211)-N(H1211))</f>
        <v>-4320298</v>
      </c>
      <c r="K1211" s="34" t="str">
        <f aca="false">IF(D1211="","",IFERROR(INDEX(I_COA!$C$6:$C$265,MATCH(D1211,I_COA!$A$6:$A$265,0)),"AKUN BARU"))</f>
        <v>Neraca</v>
      </c>
      <c r="L1211" s="34" t="str">
        <f aca="false">IF(K1211="LabaRugi",INDEX(I_COA!$D$6:$D$265,MATCH(D1211,I_COA!$A$6:$A$265,0)),"")</f>
        <v/>
      </c>
      <c r="M1211" s="34" t="str">
        <f aca="false">IF(K1211="Neraca",INDEX(I_COA!$E$6:$E$265,MATCH(D1211,I_COA!$A$6:$A$265,0)),"")</f>
        <v>Advance Payment</v>
      </c>
      <c r="N1211" s="34" t="str">
        <f aca="false">IF(D1211="","",IFERROR(INDEX(I_COA!$G$6:$G$265,MATCH(D1211,I_COA!$A$6:$A$265,0)),"N"))</f>
        <v>N</v>
      </c>
      <c r="O1211" s="11" t="n">
        <f aca="false">IF(N1211="N",ABS(J1211),"")</f>
        <v>4320298</v>
      </c>
      <c r="P1211" s="18" t="str">
        <f aca="false">IF(N1211="N",B1211&amp;"|"&amp;ROUND(O1211,0),"")</f>
        <v>MJ26080005|4320298</v>
      </c>
      <c r="Q1211" s="18" t="str">
        <f aca="false">IF(N1211&lt;&gt;"Y","",IFERROR(INDEX($D$6:$D$4005,MATCH(B1211&amp;"|"&amp;ROUND(_xlfn.MAXIFS($O$6:$O$4005,$B$6:$B$4005,B1211,$N$6:$N$4005,"N"),0),$P$6:$P$4005,0)),"(tanpa lawan)"))</f>
        <v/>
      </c>
      <c r="R1211" s="44"/>
      <c r="S1211" s="9" t="str">
        <f aca="false">IF(N1211&lt;&gt;"Y","",IF(R1211&lt;&gt;"",R1211,IF(Q1211="(tanpa lawan)","Transfer antar rekening",IFERROR(INDEX(I_COA!$F$6:$F$265,MATCH(Q1211,I_COA!$A$6:$A$265,0)),"?"))))</f>
        <v/>
      </c>
    </row>
    <row r="1212" customFormat="false" ht="15" hidden="false" customHeight="false" outlineLevel="0" collapsed="false">
      <c r="A1212" s="37" t="n">
        <v>46252</v>
      </c>
      <c r="B1212" s="44" t="s">
        <v>1568</v>
      </c>
      <c r="C1212" s="44" t="s">
        <v>707</v>
      </c>
      <c r="D1212" s="44" t="n">
        <v>5100007</v>
      </c>
      <c r="E1212" s="44" t="s">
        <v>708</v>
      </c>
      <c r="F1212" s="44" t="s">
        <v>1569</v>
      </c>
      <c r="G1212" s="42" t="n">
        <v>9000000</v>
      </c>
      <c r="H1212" s="42"/>
      <c r="I1212" s="44" t="s">
        <v>681</v>
      </c>
      <c r="J1212" s="11" t="n">
        <f aca="false">IF(D1212="","",N(G1212)-N(H1212))</f>
        <v>9000000</v>
      </c>
      <c r="K1212" s="34" t="str">
        <f aca="false">IF(D1212="","",IFERROR(INDEX(I_COA!$C$6:$C$265,MATCH(D1212,I_COA!$A$6:$A$265,0)),"AKUN BARU"))</f>
        <v>LabaRugi</v>
      </c>
      <c r="L1212" s="34" t="str">
        <f aca="false">IF(K1212="LabaRugi",INDEX(I_COA!$D$6:$D$265,MATCH(D1212,I_COA!$A$6:$A$265,0)),"")</f>
        <v>Other COGS - Expedition</v>
      </c>
      <c r="M1212" s="34" t="str">
        <f aca="false">IF(K1212="Neraca",INDEX(I_COA!$E$6:$E$265,MATCH(D1212,I_COA!$A$6:$A$265,0)),"")</f>
        <v/>
      </c>
      <c r="N1212" s="34" t="str">
        <f aca="false">IF(D1212="","",IFERROR(INDEX(I_COA!$G$6:$G$265,MATCH(D1212,I_COA!$A$6:$A$265,0)),"N"))</f>
        <v>N</v>
      </c>
      <c r="O1212" s="11" t="n">
        <f aca="false">IF(N1212="N",ABS(J1212),"")</f>
        <v>9000000</v>
      </c>
      <c r="P1212" s="18" t="str">
        <f aca="false">IF(N1212="N",B1212&amp;"|"&amp;ROUND(O1212,0),"")</f>
        <v>PI26080043|9000000</v>
      </c>
      <c r="Q1212" s="18" t="str">
        <f aca="false">IF(N1212&lt;&gt;"Y","",IFERROR(INDEX($D$6:$D$4005,MATCH(B1212&amp;"|"&amp;ROUND(_xlfn.MAXIFS($O$6:$O$4005,$B$6:$B$4005,B1212,$N$6:$N$4005,"N"),0),$P$6:$P$4005,0)),"(tanpa lawan)"))</f>
        <v/>
      </c>
      <c r="R1212" s="44"/>
      <c r="S1212" s="9" t="str">
        <f aca="false">IF(N1212&lt;&gt;"Y","",IF(R1212&lt;&gt;"",R1212,IF(Q1212="(tanpa lawan)","Transfer antar rekening",IFERROR(INDEX(I_COA!$F$6:$F$265,MATCH(Q1212,I_COA!$A$6:$A$265,0)),"?"))))</f>
        <v/>
      </c>
    </row>
    <row r="1213" customFormat="false" ht="15" hidden="false" customHeight="false" outlineLevel="0" collapsed="false">
      <c r="A1213" s="37" t="n">
        <v>46252</v>
      </c>
      <c r="B1213" s="44" t="s">
        <v>1568</v>
      </c>
      <c r="C1213" s="44" t="s">
        <v>707</v>
      </c>
      <c r="D1213" s="44" t="n">
        <v>2102002</v>
      </c>
      <c r="E1213" s="44" t="s">
        <v>633</v>
      </c>
      <c r="F1213" s="44" t="s">
        <v>1570</v>
      </c>
      <c r="G1213" s="42"/>
      <c r="H1213" s="42" t="n">
        <v>225000</v>
      </c>
      <c r="I1213" s="44" t="s">
        <v>681</v>
      </c>
      <c r="J1213" s="11" t="n">
        <f aca="false">IF(D1213="","",N(G1213)-N(H1213))</f>
        <v>-225000</v>
      </c>
      <c r="K1213" s="34" t="str">
        <f aca="false">IF(D1213="","",IFERROR(INDEX(I_COA!$C$6:$C$265,MATCH(D1213,I_COA!$A$6:$A$265,0)),"AKUN BARU"))</f>
        <v>Neraca</v>
      </c>
      <c r="L1213" s="34" t="str">
        <f aca="false">IF(K1213="LabaRugi",INDEX(I_COA!$D$6:$D$265,MATCH(D1213,I_COA!$A$6:$A$265,0)),"")</f>
        <v/>
      </c>
      <c r="M1213" s="34" t="str">
        <f aca="false">IF(K1213="Neraca",INDEX(I_COA!$E$6:$E$265,MATCH(D1213,I_COA!$A$6:$A$265,0)),"")</f>
        <v>Taxes Payable</v>
      </c>
      <c r="N1213" s="34" t="str">
        <f aca="false">IF(D1213="","",IFERROR(INDEX(I_COA!$G$6:$G$265,MATCH(D1213,I_COA!$A$6:$A$265,0)),"N"))</f>
        <v>N</v>
      </c>
      <c r="O1213" s="11" t="n">
        <f aca="false">IF(N1213="N",ABS(J1213),"")</f>
        <v>225000</v>
      </c>
      <c r="P1213" s="18" t="str">
        <f aca="false">IF(N1213="N",B1213&amp;"|"&amp;ROUND(O1213,0),"")</f>
        <v>PI26080043|225000</v>
      </c>
      <c r="Q1213" s="18" t="str">
        <f aca="false">IF(N1213&lt;&gt;"Y","",IFERROR(INDEX($D$6:$D$4005,MATCH(B1213&amp;"|"&amp;ROUND(_xlfn.MAXIFS($O$6:$O$4005,$B$6:$B$4005,B1213,$N$6:$N$4005,"N"),0),$P$6:$P$4005,0)),"(tanpa lawan)"))</f>
        <v/>
      </c>
      <c r="R1213" s="44"/>
      <c r="S1213" s="9" t="str">
        <f aca="false">IF(N1213&lt;&gt;"Y","",IF(R1213&lt;&gt;"",R1213,IF(Q1213="(tanpa lawan)","Transfer antar rekening",IFERROR(INDEX(I_COA!$F$6:$F$265,MATCH(Q1213,I_COA!$A$6:$A$265,0)),"?"))))</f>
        <v/>
      </c>
    </row>
    <row r="1214" customFormat="false" ht="15" hidden="false" customHeight="false" outlineLevel="0" collapsed="false">
      <c r="A1214" s="37" t="n">
        <v>46252</v>
      </c>
      <c r="B1214" s="44" t="s">
        <v>1568</v>
      </c>
      <c r="C1214" s="44" t="s">
        <v>707</v>
      </c>
      <c r="D1214" s="44" t="n">
        <v>2101003</v>
      </c>
      <c r="E1214" s="44" t="s">
        <v>679</v>
      </c>
      <c r="F1214" s="44" t="s">
        <v>1569</v>
      </c>
      <c r="G1214" s="42"/>
      <c r="H1214" s="42" t="n">
        <v>8775000</v>
      </c>
      <c r="I1214" s="44" t="s">
        <v>681</v>
      </c>
      <c r="J1214" s="11" t="n">
        <f aca="false">IF(D1214="","",N(G1214)-N(H1214))</f>
        <v>-8775000</v>
      </c>
      <c r="K1214" s="34" t="str">
        <f aca="false">IF(D1214="","",IFERROR(INDEX(I_COA!$C$6:$C$265,MATCH(D1214,I_COA!$A$6:$A$265,0)),"AKUN BARU"))</f>
        <v>Neraca</v>
      </c>
      <c r="L1214" s="34" t="str">
        <f aca="false">IF(K1214="LabaRugi",INDEX(I_COA!$D$6:$D$265,MATCH(D1214,I_COA!$A$6:$A$265,0)),"")</f>
        <v/>
      </c>
      <c r="M1214" s="34" t="str">
        <f aca="false">IF(K1214="Neraca",INDEX(I_COA!$E$6:$E$265,MATCH(D1214,I_COA!$A$6:$A$265,0)),"")</f>
        <v>Other Payable - Third Parties</v>
      </c>
      <c r="N1214" s="34" t="str">
        <f aca="false">IF(D1214="","",IFERROR(INDEX(I_COA!$G$6:$G$265,MATCH(D1214,I_COA!$A$6:$A$265,0)),"N"))</f>
        <v>N</v>
      </c>
      <c r="O1214" s="11" t="n">
        <f aca="false">IF(N1214="N",ABS(J1214),"")</f>
        <v>8775000</v>
      </c>
      <c r="P1214" s="18" t="str">
        <f aca="false">IF(N1214="N",B1214&amp;"|"&amp;ROUND(O1214,0),"")</f>
        <v>PI26080043|8775000</v>
      </c>
      <c r="Q1214" s="18" t="str">
        <f aca="false">IF(N1214&lt;&gt;"Y","",IFERROR(INDEX($D$6:$D$4005,MATCH(B1214&amp;"|"&amp;ROUND(_xlfn.MAXIFS($O$6:$O$4005,$B$6:$B$4005,B1214,$N$6:$N$4005,"N"),0),$P$6:$P$4005,0)),"(tanpa lawan)"))</f>
        <v/>
      </c>
      <c r="R1214" s="44"/>
      <c r="S1214" s="9" t="str">
        <f aca="false">IF(N1214&lt;&gt;"Y","",IF(R1214&lt;&gt;"",R1214,IF(Q1214="(tanpa lawan)","Transfer antar rekening",IFERROR(INDEX(I_COA!$F$6:$F$265,MATCH(Q1214,I_COA!$A$6:$A$265,0)),"?"))))</f>
        <v/>
      </c>
    </row>
    <row r="1215" customFormat="false" ht="15" hidden="false" customHeight="false" outlineLevel="0" collapsed="false">
      <c r="A1215" s="37" t="n">
        <v>46252</v>
      </c>
      <c r="B1215" s="44" t="s">
        <v>1454</v>
      </c>
      <c r="C1215" s="44" t="s">
        <v>707</v>
      </c>
      <c r="D1215" s="44" t="n">
        <v>5100007</v>
      </c>
      <c r="E1215" s="44" t="s">
        <v>708</v>
      </c>
      <c r="F1215" s="44" t="s">
        <v>1400</v>
      </c>
      <c r="G1215" s="42" t="n">
        <v>18000000</v>
      </c>
      <c r="H1215" s="42"/>
      <c r="I1215" s="44" t="s">
        <v>681</v>
      </c>
      <c r="J1215" s="11" t="n">
        <f aca="false">IF(D1215="","",N(G1215)-N(H1215))</f>
        <v>18000000</v>
      </c>
      <c r="K1215" s="34" t="str">
        <f aca="false">IF(D1215="","",IFERROR(INDEX(I_COA!$C$6:$C$265,MATCH(D1215,I_COA!$A$6:$A$265,0)),"AKUN BARU"))</f>
        <v>LabaRugi</v>
      </c>
      <c r="L1215" s="34" t="str">
        <f aca="false">IF(K1215="LabaRugi",INDEX(I_COA!$D$6:$D$265,MATCH(D1215,I_COA!$A$6:$A$265,0)),"")</f>
        <v>Other COGS - Expedition</v>
      </c>
      <c r="M1215" s="34" t="str">
        <f aca="false">IF(K1215="Neraca",INDEX(I_COA!$E$6:$E$265,MATCH(D1215,I_COA!$A$6:$A$265,0)),"")</f>
        <v/>
      </c>
      <c r="N1215" s="34" t="str">
        <f aca="false">IF(D1215="","",IFERROR(INDEX(I_COA!$G$6:$G$265,MATCH(D1215,I_COA!$A$6:$A$265,0)),"N"))</f>
        <v>N</v>
      </c>
      <c r="O1215" s="11" t="n">
        <f aca="false">IF(N1215="N",ABS(J1215),"")</f>
        <v>18000000</v>
      </c>
      <c r="P1215" s="18" t="str">
        <f aca="false">IF(N1215="N",B1215&amp;"|"&amp;ROUND(O1215,0),"")</f>
        <v>PI26080053|18000000</v>
      </c>
      <c r="Q1215" s="18" t="str">
        <f aca="false">IF(N1215&lt;&gt;"Y","",IFERROR(INDEX($D$6:$D$4005,MATCH(B1215&amp;"|"&amp;ROUND(_xlfn.MAXIFS($O$6:$O$4005,$B$6:$B$4005,B1215,$N$6:$N$4005,"N"),0),$P$6:$P$4005,0)),"(tanpa lawan)"))</f>
        <v/>
      </c>
      <c r="R1215" s="44"/>
      <c r="S1215" s="9" t="str">
        <f aca="false">IF(N1215&lt;&gt;"Y","",IF(R1215&lt;&gt;"",R1215,IF(Q1215="(tanpa lawan)","Transfer antar rekening",IFERROR(INDEX(I_COA!$F$6:$F$265,MATCH(Q1215,I_COA!$A$6:$A$265,0)),"?"))))</f>
        <v/>
      </c>
    </row>
    <row r="1216" customFormat="false" ht="15" hidden="false" customHeight="false" outlineLevel="0" collapsed="false">
      <c r="A1216" s="37" t="n">
        <v>46252</v>
      </c>
      <c r="B1216" s="44" t="s">
        <v>1454</v>
      </c>
      <c r="C1216" s="44" t="s">
        <v>707</v>
      </c>
      <c r="D1216" s="44" t="n">
        <v>2102002</v>
      </c>
      <c r="E1216" s="44" t="s">
        <v>633</v>
      </c>
      <c r="F1216" s="44" t="s">
        <v>1456</v>
      </c>
      <c r="G1216" s="42"/>
      <c r="H1216" s="42" t="n">
        <v>450000</v>
      </c>
      <c r="I1216" s="44" t="s">
        <v>681</v>
      </c>
      <c r="J1216" s="11" t="n">
        <f aca="false">IF(D1216="","",N(G1216)-N(H1216))</f>
        <v>-450000</v>
      </c>
      <c r="K1216" s="34" t="str">
        <f aca="false">IF(D1216="","",IFERROR(INDEX(I_COA!$C$6:$C$265,MATCH(D1216,I_COA!$A$6:$A$265,0)),"AKUN BARU"))</f>
        <v>Neraca</v>
      </c>
      <c r="L1216" s="34" t="str">
        <f aca="false">IF(K1216="LabaRugi",INDEX(I_COA!$D$6:$D$265,MATCH(D1216,I_COA!$A$6:$A$265,0)),"")</f>
        <v/>
      </c>
      <c r="M1216" s="34" t="str">
        <f aca="false">IF(K1216="Neraca",INDEX(I_COA!$E$6:$E$265,MATCH(D1216,I_COA!$A$6:$A$265,0)),"")</f>
        <v>Taxes Payable</v>
      </c>
      <c r="N1216" s="34" t="str">
        <f aca="false">IF(D1216="","",IFERROR(INDEX(I_COA!$G$6:$G$265,MATCH(D1216,I_COA!$A$6:$A$265,0)),"N"))</f>
        <v>N</v>
      </c>
      <c r="O1216" s="11" t="n">
        <f aca="false">IF(N1216="N",ABS(J1216),"")</f>
        <v>450000</v>
      </c>
      <c r="P1216" s="18" t="str">
        <f aca="false">IF(N1216="N",B1216&amp;"|"&amp;ROUND(O1216,0),"")</f>
        <v>PI26080053|450000</v>
      </c>
      <c r="Q1216" s="18" t="str">
        <f aca="false">IF(N1216&lt;&gt;"Y","",IFERROR(INDEX($D$6:$D$4005,MATCH(B1216&amp;"|"&amp;ROUND(_xlfn.MAXIFS($O$6:$O$4005,$B$6:$B$4005,B1216,$N$6:$N$4005,"N"),0),$P$6:$P$4005,0)),"(tanpa lawan)"))</f>
        <v/>
      </c>
      <c r="R1216" s="44"/>
      <c r="S1216" s="9" t="str">
        <f aca="false">IF(N1216&lt;&gt;"Y","",IF(R1216&lt;&gt;"",R1216,IF(Q1216="(tanpa lawan)","Transfer antar rekening",IFERROR(INDEX(I_COA!$F$6:$F$265,MATCH(Q1216,I_COA!$A$6:$A$265,0)),"?"))))</f>
        <v/>
      </c>
    </row>
    <row r="1217" customFormat="false" ht="15" hidden="false" customHeight="false" outlineLevel="0" collapsed="false">
      <c r="A1217" s="37" t="n">
        <v>46252</v>
      </c>
      <c r="B1217" s="44" t="s">
        <v>1454</v>
      </c>
      <c r="C1217" s="44" t="s">
        <v>707</v>
      </c>
      <c r="D1217" s="44" t="n">
        <v>2101003</v>
      </c>
      <c r="E1217" s="44" t="s">
        <v>679</v>
      </c>
      <c r="F1217" s="44" t="s">
        <v>1400</v>
      </c>
      <c r="G1217" s="42"/>
      <c r="H1217" s="42" t="n">
        <v>17550000</v>
      </c>
      <c r="I1217" s="44" t="s">
        <v>681</v>
      </c>
      <c r="J1217" s="11" t="n">
        <f aca="false">IF(D1217="","",N(G1217)-N(H1217))</f>
        <v>-17550000</v>
      </c>
      <c r="K1217" s="34" t="str">
        <f aca="false">IF(D1217="","",IFERROR(INDEX(I_COA!$C$6:$C$265,MATCH(D1217,I_COA!$A$6:$A$265,0)),"AKUN BARU"))</f>
        <v>Neraca</v>
      </c>
      <c r="L1217" s="34" t="str">
        <f aca="false">IF(K1217="LabaRugi",INDEX(I_COA!$D$6:$D$265,MATCH(D1217,I_COA!$A$6:$A$265,0)),"")</f>
        <v/>
      </c>
      <c r="M1217" s="34" t="str">
        <f aca="false">IF(K1217="Neraca",INDEX(I_COA!$E$6:$E$265,MATCH(D1217,I_COA!$A$6:$A$265,0)),"")</f>
        <v>Other Payable - Third Parties</v>
      </c>
      <c r="N1217" s="34" t="str">
        <f aca="false">IF(D1217="","",IFERROR(INDEX(I_COA!$G$6:$G$265,MATCH(D1217,I_COA!$A$6:$A$265,0)),"N"))</f>
        <v>N</v>
      </c>
      <c r="O1217" s="11" t="n">
        <f aca="false">IF(N1217="N",ABS(J1217),"")</f>
        <v>17550000</v>
      </c>
      <c r="P1217" s="18" t="str">
        <f aca="false">IF(N1217="N",B1217&amp;"|"&amp;ROUND(O1217,0),"")</f>
        <v>PI26080053|17550000</v>
      </c>
      <c r="Q1217" s="18" t="str">
        <f aca="false">IF(N1217&lt;&gt;"Y","",IFERROR(INDEX($D$6:$D$4005,MATCH(B1217&amp;"|"&amp;ROUND(_xlfn.MAXIFS($O$6:$O$4005,$B$6:$B$4005,B1217,$N$6:$N$4005,"N"),0),$P$6:$P$4005,0)),"(tanpa lawan)"))</f>
        <v/>
      </c>
      <c r="R1217" s="44"/>
      <c r="S1217" s="9" t="str">
        <f aca="false">IF(N1217&lt;&gt;"Y","",IF(R1217&lt;&gt;"",R1217,IF(Q1217="(tanpa lawan)","Transfer antar rekening",IFERROR(INDEX(I_COA!$F$6:$F$265,MATCH(Q1217,I_COA!$A$6:$A$265,0)),"?"))))</f>
        <v/>
      </c>
    </row>
    <row r="1218" customFormat="false" ht="15" hidden="false" customHeight="false" outlineLevel="0" collapsed="false">
      <c r="A1218" s="37" t="n">
        <v>46252</v>
      </c>
      <c r="B1218" s="44" t="s">
        <v>1571</v>
      </c>
      <c r="C1218" s="44" t="s">
        <v>707</v>
      </c>
      <c r="D1218" s="44" t="n">
        <v>5100007</v>
      </c>
      <c r="E1218" s="44" t="s">
        <v>708</v>
      </c>
      <c r="F1218" s="44" t="s">
        <v>1572</v>
      </c>
      <c r="G1218" s="42" t="n">
        <v>18000000</v>
      </c>
      <c r="H1218" s="42"/>
      <c r="I1218" s="44" t="s">
        <v>681</v>
      </c>
      <c r="J1218" s="11" t="n">
        <f aca="false">IF(D1218="","",N(G1218)-N(H1218))</f>
        <v>18000000</v>
      </c>
      <c r="K1218" s="34" t="str">
        <f aca="false">IF(D1218="","",IFERROR(INDEX(I_COA!$C$6:$C$265,MATCH(D1218,I_COA!$A$6:$A$265,0)),"AKUN BARU"))</f>
        <v>LabaRugi</v>
      </c>
      <c r="L1218" s="34" t="str">
        <f aca="false">IF(K1218="LabaRugi",INDEX(I_COA!$D$6:$D$265,MATCH(D1218,I_COA!$A$6:$A$265,0)),"")</f>
        <v>Other COGS - Expedition</v>
      </c>
      <c r="M1218" s="34" t="str">
        <f aca="false">IF(K1218="Neraca",INDEX(I_COA!$E$6:$E$265,MATCH(D1218,I_COA!$A$6:$A$265,0)),"")</f>
        <v/>
      </c>
      <c r="N1218" s="34" t="str">
        <f aca="false">IF(D1218="","",IFERROR(INDEX(I_COA!$G$6:$G$265,MATCH(D1218,I_COA!$A$6:$A$265,0)),"N"))</f>
        <v>N</v>
      </c>
      <c r="O1218" s="11" t="n">
        <f aca="false">IF(N1218="N",ABS(J1218),"")</f>
        <v>18000000</v>
      </c>
      <c r="P1218" s="18" t="str">
        <f aca="false">IF(N1218="N",B1218&amp;"|"&amp;ROUND(O1218,0),"")</f>
        <v>PI26080054|18000000</v>
      </c>
      <c r="Q1218" s="18" t="str">
        <f aca="false">IF(N1218&lt;&gt;"Y","",IFERROR(INDEX($D$6:$D$4005,MATCH(B1218&amp;"|"&amp;ROUND(_xlfn.MAXIFS($O$6:$O$4005,$B$6:$B$4005,B1218,$N$6:$N$4005,"N"),0),$P$6:$P$4005,0)),"(tanpa lawan)"))</f>
        <v/>
      </c>
      <c r="R1218" s="44"/>
      <c r="S1218" s="9" t="str">
        <f aca="false">IF(N1218&lt;&gt;"Y","",IF(R1218&lt;&gt;"",R1218,IF(Q1218="(tanpa lawan)","Transfer antar rekening",IFERROR(INDEX(I_COA!$F$6:$F$265,MATCH(Q1218,I_COA!$A$6:$A$265,0)),"?"))))</f>
        <v/>
      </c>
    </row>
    <row r="1219" customFormat="false" ht="15" hidden="false" customHeight="false" outlineLevel="0" collapsed="false">
      <c r="A1219" s="37" t="n">
        <v>46252</v>
      </c>
      <c r="B1219" s="44" t="s">
        <v>1571</v>
      </c>
      <c r="C1219" s="44" t="s">
        <v>707</v>
      </c>
      <c r="D1219" s="44" t="n">
        <v>5100007</v>
      </c>
      <c r="E1219" s="44" t="s">
        <v>708</v>
      </c>
      <c r="F1219" s="44" t="s">
        <v>1573</v>
      </c>
      <c r="G1219" s="42" t="n">
        <v>11000000</v>
      </c>
      <c r="H1219" s="42"/>
      <c r="I1219" s="44" t="s">
        <v>681</v>
      </c>
      <c r="J1219" s="11" t="n">
        <f aca="false">IF(D1219="","",N(G1219)-N(H1219))</f>
        <v>11000000</v>
      </c>
      <c r="K1219" s="34" t="str">
        <f aca="false">IF(D1219="","",IFERROR(INDEX(I_COA!$C$6:$C$265,MATCH(D1219,I_COA!$A$6:$A$265,0)),"AKUN BARU"))</f>
        <v>LabaRugi</v>
      </c>
      <c r="L1219" s="34" t="str">
        <f aca="false">IF(K1219="LabaRugi",INDEX(I_COA!$D$6:$D$265,MATCH(D1219,I_COA!$A$6:$A$265,0)),"")</f>
        <v>Other COGS - Expedition</v>
      </c>
      <c r="M1219" s="34" t="str">
        <f aca="false">IF(K1219="Neraca",INDEX(I_COA!$E$6:$E$265,MATCH(D1219,I_COA!$A$6:$A$265,0)),"")</f>
        <v/>
      </c>
      <c r="N1219" s="34" t="str">
        <f aca="false">IF(D1219="","",IFERROR(INDEX(I_COA!$G$6:$G$265,MATCH(D1219,I_COA!$A$6:$A$265,0)),"N"))</f>
        <v>N</v>
      </c>
      <c r="O1219" s="11" t="n">
        <f aca="false">IF(N1219="N",ABS(J1219),"")</f>
        <v>11000000</v>
      </c>
      <c r="P1219" s="18" t="str">
        <f aca="false">IF(N1219="N",B1219&amp;"|"&amp;ROUND(O1219,0),"")</f>
        <v>PI26080054|11000000</v>
      </c>
      <c r="Q1219" s="18" t="str">
        <f aca="false">IF(N1219&lt;&gt;"Y","",IFERROR(INDEX($D$6:$D$4005,MATCH(B1219&amp;"|"&amp;ROUND(_xlfn.MAXIFS($O$6:$O$4005,$B$6:$B$4005,B1219,$N$6:$N$4005,"N"),0),$P$6:$P$4005,0)),"(tanpa lawan)"))</f>
        <v/>
      </c>
      <c r="R1219" s="44"/>
      <c r="S1219" s="9" t="str">
        <f aca="false">IF(N1219&lt;&gt;"Y","",IF(R1219&lt;&gt;"",R1219,IF(Q1219="(tanpa lawan)","Transfer antar rekening",IFERROR(INDEX(I_COA!$F$6:$F$265,MATCH(Q1219,I_COA!$A$6:$A$265,0)),"?"))))</f>
        <v/>
      </c>
    </row>
    <row r="1220" customFormat="false" ht="15" hidden="false" customHeight="false" outlineLevel="0" collapsed="false">
      <c r="A1220" s="37" t="n">
        <v>46252</v>
      </c>
      <c r="B1220" s="44" t="s">
        <v>1571</v>
      </c>
      <c r="C1220" s="44" t="s">
        <v>707</v>
      </c>
      <c r="D1220" s="44" t="n">
        <v>2102002</v>
      </c>
      <c r="E1220" s="44" t="s">
        <v>633</v>
      </c>
      <c r="F1220" s="44" t="s">
        <v>1456</v>
      </c>
      <c r="G1220" s="42"/>
      <c r="H1220" s="42" t="n">
        <v>725000</v>
      </c>
      <c r="I1220" s="44" t="s">
        <v>681</v>
      </c>
      <c r="J1220" s="11" t="n">
        <f aca="false">IF(D1220="","",N(G1220)-N(H1220))</f>
        <v>-725000</v>
      </c>
      <c r="K1220" s="34" t="str">
        <f aca="false">IF(D1220="","",IFERROR(INDEX(I_COA!$C$6:$C$265,MATCH(D1220,I_COA!$A$6:$A$265,0)),"AKUN BARU"))</f>
        <v>Neraca</v>
      </c>
      <c r="L1220" s="34" t="str">
        <f aca="false">IF(K1220="LabaRugi",INDEX(I_COA!$D$6:$D$265,MATCH(D1220,I_COA!$A$6:$A$265,0)),"")</f>
        <v/>
      </c>
      <c r="M1220" s="34" t="str">
        <f aca="false">IF(K1220="Neraca",INDEX(I_COA!$E$6:$E$265,MATCH(D1220,I_COA!$A$6:$A$265,0)),"")</f>
        <v>Taxes Payable</v>
      </c>
      <c r="N1220" s="34" t="str">
        <f aca="false">IF(D1220="","",IFERROR(INDEX(I_COA!$G$6:$G$265,MATCH(D1220,I_COA!$A$6:$A$265,0)),"N"))</f>
        <v>N</v>
      </c>
      <c r="O1220" s="11" t="n">
        <f aca="false">IF(N1220="N",ABS(J1220),"")</f>
        <v>725000</v>
      </c>
      <c r="P1220" s="18" t="str">
        <f aca="false">IF(N1220="N",B1220&amp;"|"&amp;ROUND(O1220,0),"")</f>
        <v>PI26080054|725000</v>
      </c>
      <c r="Q1220" s="18" t="str">
        <f aca="false">IF(N1220&lt;&gt;"Y","",IFERROR(INDEX($D$6:$D$4005,MATCH(B1220&amp;"|"&amp;ROUND(_xlfn.MAXIFS($O$6:$O$4005,$B$6:$B$4005,B1220,$N$6:$N$4005,"N"),0),$P$6:$P$4005,0)),"(tanpa lawan)"))</f>
        <v/>
      </c>
      <c r="R1220" s="44"/>
      <c r="S1220" s="9" t="str">
        <f aca="false">IF(N1220&lt;&gt;"Y","",IF(R1220&lt;&gt;"",R1220,IF(Q1220="(tanpa lawan)","Transfer antar rekening",IFERROR(INDEX(I_COA!$F$6:$F$265,MATCH(Q1220,I_COA!$A$6:$A$265,0)),"?"))))</f>
        <v/>
      </c>
    </row>
    <row r="1221" customFormat="false" ht="15" hidden="false" customHeight="false" outlineLevel="0" collapsed="false">
      <c r="A1221" s="37" t="n">
        <v>46252</v>
      </c>
      <c r="B1221" s="44" t="s">
        <v>1571</v>
      </c>
      <c r="C1221" s="44" t="s">
        <v>707</v>
      </c>
      <c r="D1221" s="44" t="n">
        <v>2101003</v>
      </c>
      <c r="E1221" s="44" t="s">
        <v>679</v>
      </c>
      <c r="F1221" s="44" t="s">
        <v>1400</v>
      </c>
      <c r="G1221" s="42"/>
      <c r="H1221" s="42" t="n">
        <v>28275000</v>
      </c>
      <c r="I1221" s="44" t="s">
        <v>681</v>
      </c>
      <c r="J1221" s="11" t="n">
        <f aca="false">IF(D1221="","",N(G1221)-N(H1221))</f>
        <v>-28275000</v>
      </c>
      <c r="K1221" s="34" t="str">
        <f aca="false">IF(D1221="","",IFERROR(INDEX(I_COA!$C$6:$C$265,MATCH(D1221,I_COA!$A$6:$A$265,0)),"AKUN BARU"))</f>
        <v>Neraca</v>
      </c>
      <c r="L1221" s="34" t="str">
        <f aca="false">IF(K1221="LabaRugi",INDEX(I_COA!$D$6:$D$265,MATCH(D1221,I_COA!$A$6:$A$265,0)),"")</f>
        <v/>
      </c>
      <c r="M1221" s="34" t="str">
        <f aca="false">IF(K1221="Neraca",INDEX(I_COA!$E$6:$E$265,MATCH(D1221,I_COA!$A$6:$A$265,0)),"")</f>
        <v>Other Payable - Third Parties</v>
      </c>
      <c r="N1221" s="34" t="str">
        <f aca="false">IF(D1221="","",IFERROR(INDEX(I_COA!$G$6:$G$265,MATCH(D1221,I_COA!$A$6:$A$265,0)),"N"))</f>
        <v>N</v>
      </c>
      <c r="O1221" s="11" t="n">
        <f aca="false">IF(N1221="N",ABS(J1221),"")</f>
        <v>28275000</v>
      </c>
      <c r="P1221" s="18" t="str">
        <f aca="false">IF(N1221="N",B1221&amp;"|"&amp;ROUND(O1221,0),"")</f>
        <v>PI26080054|28275000</v>
      </c>
      <c r="Q1221" s="18" t="str">
        <f aca="false">IF(N1221&lt;&gt;"Y","",IFERROR(INDEX($D$6:$D$4005,MATCH(B1221&amp;"|"&amp;ROUND(_xlfn.MAXIFS($O$6:$O$4005,$B$6:$B$4005,B1221,$N$6:$N$4005,"N"),0),$P$6:$P$4005,0)),"(tanpa lawan)"))</f>
        <v/>
      </c>
      <c r="R1221" s="44"/>
      <c r="S1221" s="9" t="str">
        <f aca="false">IF(N1221&lt;&gt;"Y","",IF(R1221&lt;&gt;"",R1221,IF(Q1221="(tanpa lawan)","Transfer antar rekening",IFERROR(INDEX(I_COA!$F$6:$F$265,MATCH(Q1221,I_COA!$A$6:$A$265,0)),"?"))))</f>
        <v/>
      </c>
    </row>
    <row r="1222" customFormat="false" ht="15" hidden="false" customHeight="false" outlineLevel="0" collapsed="false">
      <c r="A1222" s="37" t="n">
        <v>46252</v>
      </c>
      <c r="B1222" s="44" t="s">
        <v>1574</v>
      </c>
      <c r="C1222" s="44" t="s">
        <v>707</v>
      </c>
      <c r="D1222" s="44" t="n">
        <v>6200014</v>
      </c>
      <c r="E1222" s="44" t="s">
        <v>1575</v>
      </c>
      <c r="F1222" s="44" t="s">
        <v>1576</v>
      </c>
      <c r="G1222" s="42" t="n">
        <v>2564102</v>
      </c>
      <c r="H1222" s="42"/>
      <c r="I1222" s="44" t="s">
        <v>1577</v>
      </c>
      <c r="J1222" s="11" t="n">
        <f aca="false">IF(D1222="","",N(G1222)-N(H1222))</f>
        <v>2564102</v>
      </c>
      <c r="K1222" s="34" t="str">
        <f aca="false">IF(D1222="","",IFERROR(INDEX(I_COA!$C$6:$C$265,MATCH(D1222,I_COA!$A$6:$A$265,0)),"AKUN BARU"))</f>
        <v>LabaRugi</v>
      </c>
      <c r="L1222" s="34" t="str">
        <f aca="false">IF(K1222="LabaRugi",INDEX(I_COA!$D$6:$D$265,MATCH(D1222,I_COA!$A$6:$A$265,0)),"")</f>
        <v>Professional Fee</v>
      </c>
      <c r="M1222" s="34" t="str">
        <f aca="false">IF(K1222="Neraca",INDEX(I_COA!$E$6:$E$265,MATCH(D1222,I_COA!$A$6:$A$265,0)),"")</f>
        <v/>
      </c>
      <c r="N1222" s="34" t="str">
        <f aca="false">IF(D1222="","",IFERROR(INDEX(I_COA!$G$6:$G$265,MATCH(D1222,I_COA!$A$6:$A$265,0)),"N"))</f>
        <v>N</v>
      </c>
      <c r="O1222" s="11" t="n">
        <f aca="false">IF(N1222="N",ABS(J1222),"")</f>
        <v>2564102</v>
      </c>
      <c r="P1222" s="18" t="str">
        <f aca="false">IF(N1222="N",B1222&amp;"|"&amp;ROUND(O1222,0),"")</f>
        <v>PI26080058|2564102</v>
      </c>
      <c r="Q1222" s="18" t="str">
        <f aca="false">IF(N1222&lt;&gt;"Y","",IFERROR(INDEX($D$6:$D$4005,MATCH(B1222&amp;"|"&amp;ROUND(_xlfn.MAXIFS($O$6:$O$4005,$B$6:$B$4005,B1222,$N$6:$N$4005,"N"),0),$P$6:$P$4005,0)),"(tanpa lawan)"))</f>
        <v/>
      </c>
      <c r="R1222" s="44"/>
      <c r="S1222" s="9" t="str">
        <f aca="false">IF(N1222&lt;&gt;"Y","",IF(R1222&lt;&gt;"",R1222,IF(Q1222="(tanpa lawan)","Transfer antar rekening",IFERROR(INDEX(I_COA!$F$6:$F$265,MATCH(Q1222,I_COA!$A$6:$A$265,0)),"?"))))</f>
        <v/>
      </c>
    </row>
    <row r="1223" customFormat="false" ht="15" hidden="false" customHeight="false" outlineLevel="0" collapsed="false">
      <c r="A1223" s="37" t="n">
        <v>46252</v>
      </c>
      <c r="B1223" s="44" t="s">
        <v>1574</v>
      </c>
      <c r="C1223" s="44" t="s">
        <v>707</v>
      </c>
      <c r="D1223" s="44" t="n">
        <v>2102002</v>
      </c>
      <c r="E1223" s="44" t="s">
        <v>633</v>
      </c>
      <c r="F1223" s="44" t="s">
        <v>1578</v>
      </c>
      <c r="G1223" s="42"/>
      <c r="H1223" s="42" t="n">
        <v>64102.55</v>
      </c>
      <c r="I1223" s="44" t="s">
        <v>1577</v>
      </c>
      <c r="J1223" s="11" t="n">
        <f aca="false">IF(D1223="","",N(G1223)-N(H1223))</f>
        <v>-64102.55</v>
      </c>
      <c r="K1223" s="34" t="str">
        <f aca="false">IF(D1223="","",IFERROR(INDEX(I_COA!$C$6:$C$265,MATCH(D1223,I_COA!$A$6:$A$265,0)),"AKUN BARU"))</f>
        <v>Neraca</v>
      </c>
      <c r="L1223" s="34" t="str">
        <f aca="false">IF(K1223="LabaRugi",INDEX(I_COA!$D$6:$D$265,MATCH(D1223,I_COA!$A$6:$A$265,0)),"")</f>
        <v/>
      </c>
      <c r="M1223" s="34" t="str">
        <f aca="false">IF(K1223="Neraca",INDEX(I_COA!$E$6:$E$265,MATCH(D1223,I_COA!$A$6:$A$265,0)),"")</f>
        <v>Taxes Payable</v>
      </c>
      <c r="N1223" s="34" t="str">
        <f aca="false">IF(D1223="","",IFERROR(INDEX(I_COA!$G$6:$G$265,MATCH(D1223,I_COA!$A$6:$A$265,0)),"N"))</f>
        <v>N</v>
      </c>
      <c r="O1223" s="11" t="n">
        <f aca="false">IF(N1223="N",ABS(J1223),"")</f>
        <v>64102.55</v>
      </c>
      <c r="P1223" s="18" t="str">
        <f aca="false">IF(N1223="N",B1223&amp;"|"&amp;ROUND(O1223,0),"")</f>
        <v>PI26080058|64103</v>
      </c>
      <c r="Q1223" s="18" t="str">
        <f aca="false">IF(N1223&lt;&gt;"Y","",IFERROR(INDEX($D$6:$D$4005,MATCH(B1223&amp;"|"&amp;ROUND(_xlfn.MAXIFS($O$6:$O$4005,$B$6:$B$4005,B1223,$N$6:$N$4005,"N"),0),$P$6:$P$4005,0)),"(tanpa lawan)"))</f>
        <v/>
      </c>
      <c r="R1223" s="44"/>
      <c r="S1223" s="9" t="str">
        <f aca="false">IF(N1223&lt;&gt;"Y","",IF(R1223&lt;&gt;"",R1223,IF(Q1223="(tanpa lawan)","Transfer antar rekening",IFERROR(INDEX(I_COA!$F$6:$F$265,MATCH(Q1223,I_COA!$A$6:$A$265,0)),"?"))))</f>
        <v/>
      </c>
    </row>
    <row r="1224" customFormat="false" ht="15" hidden="false" customHeight="false" outlineLevel="0" collapsed="false">
      <c r="A1224" s="37" t="n">
        <v>46252</v>
      </c>
      <c r="B1224" s="44" t="s">
        <v>1574</v>
      </c>
      <c r="C1224" s="44" t="s">
        <v>707</v>
      </c>
      <c r="D1224" s="44" t="n">
        <v>2101003</v>
      </c>
      <c r="E1224" s="44" t="s">
        <v>679</v>
      </c>
      <c r="F1224" s="44" t="s">
        <v>1576</v>
      </c>
      <c r="G1224" s="42"/>
      <c r="H1224" s="42" t="n">
        <v>2499999.45</v>
      </c>
      <c r="I1224" s="44" t="s">
        <v>1577</v>
      </c>
      <c r="J1224" s="11" t="n">
        <f aca="false">IF(D1224="","",N(G1224)-N(H1224))</f>
        <v>-2499999.45</v>
      </c>
      <c r="K1224" s="34" t="str">
        <f aca="false">IF(D1224="","",IFERROR(INDEX(I_COA!$C$6:$C$265,MATCH(D1224,I_COA!$A$6:$A$265,0)),"AKUN BARU"))</f>
        <v>Neraca</v>
      </c>
      <c r="L1224" s="34" t="str">
        <f aca="false">IF(K1224="LabaRugi",INDEX(I_COA!$D$6:$D$265,MATCH(D1224,I_COA!$A$6:$A$265,0)),"")</f>
        <v/>
      </c>
      <c r="M1224" s="34" t="str">
        <f aca="false">IF(K1224="Neraca",INDEX(I_COA!$E$6:$E$265,MATCH(D1224,I_COA!$A$6:$A$265,0)),"")</f>
        <v>Other Payable - Third Parties</v>
      </c>
      <c r="N1224" s="34" t="str">
        <f aca="false">IF(D1224="","",IFERROR(INDEX(I_COA!$G$6:$G$265,MATCH(D1224,I_COA!$A$6:$A$265,0)),"N"))</f>
        <v>N</v>
      </c>
      <c r="O1224" s="11" t="n">
        <f aca="false">IF(N1224="N",ABS(J1224),"")</f>
        <v>2499999.45</v>
      </c>
      <c r="P1224" s="18" t="str">
        <f aca="false">IF(N1224="N",B1224&amp;"|"&amp;ROUND(O1224,0),"")</f>
        <v>PI26080058|2499999</v>
      </c>
      <c r="Q1224" s="18" t="str">
        <f aca="false">IF(N1224&lt;&gt;"Y","",IFERROR(INDEX($D$6:$D$4005,MATCH(B1224&amp;"|"&amp;ROUND(_xlfn.MAXIFS($O$6:$O$4005,$B$6:$B$4005,B1224,$N$6:$N$4005,"N"),0),$P$6:$P$4005,0)),"(tanpa lawan)"))</f>
        <v/>
      </c>
      <c r="R1224" s="44"/>
      <c r="S1224" s="9" t="str">
        <f aca="false">IF(N1224&lt;&gt;"Y","",IF(R1224&lt;&gt;"",R1224,IF(Q1224="(tanpa lawan)","Transfer antar rekening",IFERROR(INDEX(I_COA!$F$6:$F$265,MATCH(Q1224,I_COA!$A$6:$A$265,0)),"?"))))</f>
        <v/>
      </c>
    </row>
    <row r="1225" customFormat="false" ht="15" hidden="false" customHeight="false" outlineLevel="0" collapsed="false">
      <c r="A1225" s="37" t="n">
        <v>46252</v>
      </c>
      <c r="B1225" s="44" t="s">
        <v>1579</v>
      </c>
      <c r="C1225" s="44" t="s">
        <v>707</v>
      </c>
      <c r="D1225" s="44" t="n">
        <v>2103011</v>
      </c>
      <c r="E1225" s="44" t="s">
        <v>693</v>
      </c>
      <c r="F1225" s="44" t="s">
        <v>1507</v>
      </c>
      <c r="G1225" s="42" t="n">
        <v>13800000</v>
      </c>
      <c r="H1225" s="42"/>
      <c r="I1225" s="44" t="s">
        <v>1508</v>
      </c>
      <c r="J1225" s="11" t="n">
        <f aca="false">IF(D1225="","",N(G1225)-N(H1225))</f>
        <v>13800000</v>
      </c>
      <c r="K1225" s="34" t="str">
        <f aca="false">IF(D1225="","",IFERROR(INDEX(I_COA!$C$6:$C$265,MATCH(D1225,I_COA!$A$6:$A$265,0)),"AKUN BARU"))</f>
        <v>Neraca</v>
      </c>
      <c r="L1225" s="34" t="str">
        <f aca="false">IF(K1225="LabaRugi",INDEX(I_COA!$D$6:$D$265,MATCH(D1225,I_COA!$A$6:$A$265,0)),"")</f>
        <v/>
      </c>
      <c r="M1225" s="34" t="str">
        <f aca="false">IF(K1225="Neraca",INDEX(I_COA!$E$6:$E$265,MATCH(D1225,I_COA!$A$6:$A$265,0)),"")</f>
        <v>Accrued Expenses - Third Parties</v>
      </c>
      <c r="N1225" s="34" t="str">
        <f aca="false">IF(D1225="","",IFERROR(INDEX(I_COA!$G$6:$G$265,MATCH(D1225,I_COA!$A$6:$A$265,0)),"N"))</f>
        <v>N</v>
      </c>
      <c r="O1225" s="11" t="n">
        <f aca="false">IF(N1225="N",ABS(J1225),"")</f>
        <v>13800000</v>
      </c>
      <c r="P1225" s="18" t="str">
        <f aca="false">IF(N1225="N",B1225&amp;"|"&amp;ROUND(O1225,0),"")</f>
        <v>PI26080076|13800000</v>
      </c>
      <c r="Q1225" s="18" t="str">
        <f aca="false">IF(N1225&lt;&gt;"Y","",IFERROR(INDEX($D$6:$D$4005,MATCH(B1225&amp;"|"&amp;ROUND(_xlfn.MAXIFS($O$6:$O$4005,$B$6:$B$4005,B1225,$N$6:$N$4005,"N"),0),$P$6:$P$4005,0)),"(tanpa lawan)"))</f>
        <v/>
      </c>
      <c r="R1225" s="44"/>
      <c r="S1225" s="9" t="str">
        <f aca="false">IF(N1225&lt;&gt;"Y","",IF(R1225&lt;&gt;"",R1225,IF(Q1225="(tanpa lawan)","Transfer antar rekening",IFERROR(INDEX(I_COA!$F$6:$F$265,MATCH(Q1225,I_COA!$A$6:$A$265,0)),"?"))))</f>
        <v/>
      </c>
    </row>
    <row r="1226" customFormat="false" ht="15" hidden="false" customHeight="false" outlineLevel="0" collapsed="false">
      <c r="A1226" s="37" t="n">
        <v>46252</v>
      </c>
      <c r="B1226" s="44" t="s">
        <v>1579</v>
      </c>
      <c r="C1226" s="44" t="s">
        <v>707</v>
      </c>
      <c r="D1226" s="44" t="n">
        <v>1106001</v>
      </c>
      <c r="E1226" s="44" t="s">
        <v>720</v>
      </c>
      <c r="F1226" s="44" t="s">
        <v>1507</v>
      </c>
      <c r="G1226" s="42" t="n">
        <v>1518000</v>
      </c>
      <c r="H1226" s="42"/>
      <c r="I1226" s="44" t="s">
        <v>1508</v>
      </c>
      <c r="J1226" s="11" t="n">
        <f aca="false">IF(D1226="","",N(G1226)-N(H1226))</f>
        <v>1518000</v>
      </c>
      <c r="K1226" s="34" t="str">
        <f aca="false">IF(D1226="","",IFERROR(INDEX(I_COA!$C$6:$C$265,MATCH(D1226,I_COA!$A$6:$A$265,0)),"AKUN BARU"))</f>
        <v>Neraca</v>
      </c>
      <c r="L1226" s="34" t="str">
        <f aca="false">IF(K1226="LabaRugi",INDEX(I_COA!$D$6:$D$265,MATCH(D1226,I_COA!$A$6:$A$265,0)),"")</f>
        <v/>
      </c>
      <c r="M1226" s="34" t="str">
        <f aca="false">IF(K1226="Neraca",INDEX(I_COA!$E$6:$E$265,MATCH(D1226,I_COA!$A$6:$A$265,0)),"")</f>
        <v>Prepaid Tax</v>
      </c>
      <c r="N1226" s="34" t="str">
        <f aca="false">IF(D1226="","",IFERROR(INDEX(I_COA!$G$6:$G$265,MATCH(D1226,I_COA!$A$6:$A$265,0)),"N"))</f>
        <v>N</v>
      </c>
      <c r="O1226" s="11" t="n">
        <f aca="false">IF(N1226="N",ABS(J1226),"")</f>
        <v>1518000</v>
      </c>
      <c r="P1226" s="18" t="str">
        <f aca="false">IF(N1226="N",B1226&amp;"|"&amp;ROUND(O1226,0),"")</f>
        <v>PI26080076|1518000</v>
      </c>
      <c r="Q1226" s="18" t="str">
        <f aca="false">IF(N1226&lt;&gt;"Y","",IFERROR(INDEX($D$6:$D$4005,MATCH(B1226&amp;"|"&amp;ROUND(_xlfn.MAXIFS($O$6:$O$4005,$B$6:$B$4005,B1226,$N$6:$N$4005,"N"),0),$P$6:$P$4005,0)),"(tanpa lawan)"))</f>
        <v/>
      </c>
      <c r="R1226" s="44"/>
      <c r="S1226" s="9" t="str">
        <f aca="false">IF(N1226&lt;&gt;"Y","",IF(R1226&lt;&gt;"",R1226,IF(Q1226="(tanpa lawan)","Transfer antar rekening",IFERROR(INDEX(I_COA!$F$6:$F$265,MATCH(Q1226,I_COA!$A$6:$A$265,0)),"?"))))</f>
        <v/>
      </c>
    </row>
    <row r="1227" customFormat="false" ht="15" hidden="false" customHeight="false" outlineLevel="0" collapsed="false">
      <c r="A1227" s="37" t="n">
        <v>46252</v>
      </c>
      <c r="B1227" s="44" t="s">
        <v>1579</v>
      </c>
      <c r="C1227" s="44" t="s">
        <v>707</v>
      </c>
      <c r="D1227" s="44" t="n">
        <v>2101003</v>
      </c>
      <c r="E1227" s="44" t="s">
        <v>679</v>
      </c>
      <c r="F1227" s="44" t="s">
        <v>1507</v>
      </c>
      <c r="G1227" s="42"/>
      <c r="H1227" s="42" t="n">
        <v>1518000</v>
      </c>
      <c r="I1227" s="44" t="s">
        <v>1508</v>
      </c>
      <c r="J1227" s="11" t="n">
        <f aca="false">IF(D1227="","",N(G1227)-N(H1227))</f>
        <v>-1518000</v>
      </c>
      <c r="K1227" s="34" t="str">
        <f aca="false">IF(D1227="","",IFERROR(INDEX(I_COA!$C$6:$C$265,MATCH(D1227,I_COA!$A$6:$A$265,0)),"AKUN BARU"))</f>
        <v>Neraca</v>
      </c>
      <c r="L1227" s="34" t="str">
        <f aca="false">IF(K1227="LabaRugi",INDEX(I_COA!$D$6:$D$265,MATCH(D1227,I_COA!$A$6:$A$265,0)),"")</f>
        <v/>
      </c>
      <c r="M1227" s="34" t="str">
        <f aca="false">IF(K1227="Neraca",INDEX(I_COA!$E$6:$E$265,MATCH(D1227,I_COA!$A$6:$A$265,0)),"")</f>
        <v>Other Payable - Third Parties</v>
      </c>
      <c r="N1227" s="34" t="str">
        <f aca="false">IF(D1227="","",IFERROR(INDEX(I_COA!$G$6:$G$265,MATCH(D1227,I_COA!$A$6:$A$265,0)),"N"))</f>
        <v>N</v>
      </c>
      <c r="O1227" s="11" t="n">
        <f aca="false">IF(N1227="N",ABS(J1227),"")</f>
        <v>1518000</v>
      </c>
      <c r="P1227" s="18" t="str">
        <f aca="false">IF(N1227="N",B1227&amp;"|"&amp;ROUND(O1227,0),"")</f>
        <v>PI26080076|1518000</v>
      </c>
      <c r="Q1227" s="18" t="str">
        <f aca="false">IF(N1227&lt;&gt;"Y","",IFERROR(INDEX($D$6:$D$4005,MATCH(B1227&amp;"|"&amp;ROUND(_xlfn.MAXIFS($O$6:$O$4005,$B$6:$B$4005,B1227,$N$6:$N$4005,"N"),0),$P$6:$P$4005,0)),"(tanpa lawan)"))</f>
        <v/>
      </c>
      <c r="R1227" s="44"/>
      <c r="S1227" s="9" t="str">
        <f aca="false">IF(N1227&lt;&gt;"Y","",IF(R1227&lt;&gt;"",R1227,IF(Q1227="(tanpa lawan)","Transfer antar rekening",IFERROR(INDEX(I_COA!$F$6:$F$265,MATCH(Q1227,I_COA!$A$6:$A$265,0)),"?"))))</f>
        <v/>
      </c>
    </row>
    <row r="1228" customFormat="false" ht="15" hidden="false" customHeight="false" outlineLevel="0" collapsed="false">
      <c r="A1228" s="37" t="n">
        <v>46252</v>
      </c>
      <c r="B1228" s="44" t="s">
        <v>1579</v>
      </c>
      <c r="C1228" s="44" t="s">
        <v>707</v>
      </c>
      <c r="D1228" s="44" t="n">
        <v>2101003</v>
      </c>
      <c r="E1228" s="44" t="s">
        <v>679</v>
      </c>
      <c r="F1228" s="44" t="s">
        <v>1507</v>
      </c>
      <c r="G1228" s="42"/>
      <c r="H1228" s="42" t="n">
        <v>13800000</v>
      </c>
      <c r="I1228" s="44" t="s">
        <v>1508</v>
      </c>
      <c r="J1228" s="11" t="n">
        <f aca="false">IF(D1228="","",N(G1228)-N(H1228))</f>
        <v>-13800000</v>
      </c>
      <c r="K1228" s="34" t="str">
        <f aca="false">IF(D1228="","",IFERROR(INDEX(I_COA!$C$6:$C$265,MATCH(D1228,I_COA!$A$6:$A$265,0)),"AKUN BARU"))</f>
        <v>Neraca</v>
      </c>
      <c r="L1228" s="34" t="str">
        <f aca="false">IF(K1228="LabaRugi",INDEX(I_COA!$D$6:$D$265,MATCH(D1228,I_COA!$A$6:$A$265,0)),"")</f>
        <v/>
      </c>
      <c r="M1228" s="34" t="str">
        <f aca="false">IF(K1228="Neraca",INDEX(I_COA!$E$6:$E$265,MATCH(D1228,I_COA!$A$6:$A$265,0)),"")</f>
        <v>Other Payable - Third Parties</v>
      </c>
      <c r="N1228" s="34" t="str">
        <f aca="false">IF(D1228="","",IFERROR(INDEX(I_COA!$G$6:$G$265,MATCH(D1228,I_COA!$A$6:$A$265,0)),"N"))</f>
        <v>N</v>
      </c>
      <c r="O1228" s="11" t="n">
        <f aca="false">IF(N1228="N",ABS(J1228),"")</f>
        <v>13800000</v>
      </c>
      <c r="P1228" s="18" t="str">
        <f aca="false">IF(N1228="N",B1228&amp;"|"&amp;ROUND(O1228,0),"")</f>
        <v>PI26080076|13800000</v>
      </c>
      <c r="Q1228" s="18" t="str">
        <f aca="false">IF(N1228&lt;&gt;"Y","",IFERROR(INDEX($D$6:$D$4005,MATCH(B1228&amp;"|"&amp;ROUND(_xlfn.MAXIFS($O$6:$O$4005,$B$6:$B$4005,B1228,$N$6:$N$4005,"N"),0),$P$6:$P$4005,0)),"(tanpa lawan)"))</f>
        <v/>
      </c>
      <c r="R1228" s="44"/>
      <c r="S1228" s="9" t="str">
        <f aca="false">IF(N1228&lt;&gt;"Y","",IF(R1228&lt;&gt;"",R1228,IF(Q1228="(tanpa lawan)","Transfer antar rekening",IFERROR(INDEX(I_COA!$F$6:$F$265,MATCH(Q1228,I_COA!$A$6:$A$265,0)),"?"))))</f>
        <v/>
      </c>
    </row>
    <row r="1229" customFormat="false" ht="15" hidden="false" customHeight="false" outlineLevel="0" collapsed="false">
      <c r="A1229" s="37" t="n">
        <v>46252</v>
      </c>
      <c r="B1229" s="44" t="s">
        <v>1580</v>
      </c>
      <c r="C1229" s="44" t="s">
        <v>707</v>
      </c>
      <c r="D1229" s="44" t="n">
        <v>5100012</v>
      </c>
      <c r="E1229" s="44" t="s">
        <v>1446</v>
      </c>
      <c r="F1229" s="44" t="s">
        <v>1581</v>
      </c>
      <c r="G1229" s="42" t="n">
        <v>33624666</v>
      </c>
      <c r="H1229" s="42"/>
      <c r="I1229" s="44" t="s">
        <v>1582</v>
      </c>
      <c r="J1229" s="11" t="n">
        <f aca="false">IF(D1229="","",N(G1229)-N(H1229))</f>
        <v>33624666</v>
      </c>
      <c r="K1229" s="34" t="str">
        <f aca="false">IF(D1229="","",IFERROR(INDEX(I_COA!$C$6:$C$265,MATCH(D1229,I_COA!$A$6:$A$265,0)),"AKUN BARU"))</f>
        <v>LabaRugi</v>
      </c>
      <c r="L1229" s="34" t="str">
        <f aca="false">IF(K1229="LabaRugi",INDEX(I_COA!$D$6:$D$265,MATCH(D1229,I_COA!$A$6:$A$265,0)),"")</f>
        <v>Storage Expenses</v>
      </c>
      <c r="M1229" s="34" t="str">
        <f aca="false">IF(K1229="Neraca",INDEX(I_COA!$E$6:$E$265,MATCH(D1229,I_COA!$A$6:$A$265,0)),"")</f>
        <v/>
      </c>
      <c r="N1229" s="34" t="str">
        <f aca="false">IF(D1229="","",IFERROR(INDEX(I_COA!$G$6:$G$265,MATCH(D1229,I_COA!$A$6:$A$265,0)),"N"))</f>
        <v>N</v>
      </c>
      <c r="O1229" s="11" t="n">
        <f aca="false">IF(N1229="N",ABS(J1229),"")</f>
        <v>33624666</v>
      </c>
      <c r="P1229" s="18" t="str">
        <f aca="false">IF(N1229="N",B1229&amp;"|"&amp;ROUND(O1229,0),"")</f>
        <v>PI26080094|33624666</v>
      </c>
      <c r="Q1229" s="18" t="str">
        <f aca="false">IF(N1229&lt;&gt;"Y","",IFERROR(INDEX($D$6:$D$4005,MATCH(B1229&amp;"|"&amp;ROUND(_xlfn.MAXIFS($O$6:$O$4005,$B$6:$B$4005,B1229,$N$6:$N$4005,"N"),0),$P$6:$P$4005,0)),"(tanpa lawan)"))</f>
        <v/>
      </c>
      <c r="R1229" s="44"/>
      <c r="S1229" s="9" t="str">
        <f aca="false">IF(N1229&lt;&gt;"Y","",IF(R1229&lt;&gt;"",R1229,IF(Q1229="(tanpa lawan)","Transfer antar rekening",IFERROR(INDEX(I_COA!$F$6:$F$265,MATCH(Q1229,I_COA!$A$6:$A$265,0)),"?"))))</f>
        <v/>
      </c>
    </row>
    <row r="1230" customFormat="false" ht="15" hidden="false" customHeight="false" outlineLevel="0" collapsed="false">
      <c r="A1230" s="37" t="n">
        <v>46252</v>
      </c>
      <c r="B1230" s="44" t="s">
        <v>1580</v>
      </c>
      <c r="C1230" s="44" t="s">
        <v>707</v>
      </c>
      <c r="D1230" s="44" t="n">
        <v>5100013</v>
      </c>
      <c r="E1230" s="44" t="s">
        <v>631</v>
      </c>
      <c r="F1230" s="44" t="s">
        <v>1583</v>
      </c>
      <c r="G1230" s="42" t="n">
        <v>2037039</v>
      </c>
      <c r="H1230" s="42"/>
      <c r="I1230" s="44" t="s">
        <v>1582</v>
      </c>
      <c r="J1230" s="11" t="n">
        <f aca="false">IF(D1230="","",N(G1230)-N(H1230))</f>
        <v>2037039</v>
      </c>
      <c r="K1230" s="34" t="str">
        <f aca="false">IF(D1230="","",IFERROR(INDEX(I_COA!$C$6:$C$265,MATCH(D1230,I_COA!$A$6:$A$265,0)),"AKUN BARU"))</f>
        <v>LabaRugi</v>
      </c>
      <c r="L1230" s="34" t="str">
        <f aca="false">IF(K1230="LabaRugi",INDEX(I_COA!$D$6:$D$265,MATCH(D1230,I_COA!$A$6:$A$265,0)),"")</f>
        <v>Storage Expenses</v>
      </c>
      <c r="M1230" s="34" t="str">
        <f aca="false">IF(K1230="Neraca",INDEX(I_COA!$E$6:$E$265,MATCH(D1230,I_COA!$A$6:$A$265,0)),"")</f>
        <v/>
      </c>
      <c r="N1230" s="34" t="str">
        <f aca="false">IF(D1230="","",IFERROR(INDEX(I_COA!$G$6:$G$265,MATCH(D1230,I_COA!$A$6:$A$265,0)),"N"))</f>
        <v>N</v>
      </c>
      <c r="O1230" s="11" t="n">
        <f aca="false">IF(N1230="N",ABS(J1230),"")</f>
        <v>2037039</v>
      </c>
      <c r="P1230" s="18" t="str">
        <f aca="false">IF(N1230="N",B1230&amp;"|"&amp;ROUND(O1230,0),"")</f>
        <v>PI26080094|2037039</v>
      </c>
      <c r="Q1230" s="18" t="str">
        <f aca="false">IF(N1230&lt;&gt;"Y","",IFERROR(INDEX($D$6:$D$4005,MATCH(B1230&amp;"|"&amp;ROUND(_xlfn.MAXIFS($O$6:$O$4005,$B$6:$B$4005,B1230,$N$6:$N$4005,"N"),0),$P$6:$P$4005,0)),"(tanpa lawan)"))</f>
        <v/>
      </c>
      <c r="R1230" s="44"/>
      <c r="S1230" s="9" t="str">
        <f aca="false">IF(N1230&lt;&gt;"Y","",IF(R1230&lt;&gt;"",R1230,IF(Q1230="(tanpa lawan)","Transfer antar rekening",IFERROR(INDEX(I_COA!$F$6:$F$265,MATCH(Q1230,I_COA!$A$6:$A$265,0)),"?"))))</f>
        <v/>
      </c>
    </row>
    <row r="1231" customFormat="false" ht="15" hidden="false" customHeight="false" outlineLevel="0" collapsed="false">
      <c r="A1231" s="37" t="n">
        <v>46252</v>
      </c>
      <c r="B1231" s="44" t="s">
        <v>1580</v>
      </c>
      <c r="C1231" s="44" t="s">
        <v>707</v>
      </c>
      <c r="D1231" s="44" t="n">
        <v>5100014</v>
      </c>
      <c r="E1231" s="44" t="s">
        <v>1437</v>
      </c>
      <c r="F1231" s="44" t="s">
        <v>1584</v>
      </c>
      <c r="G1231" s="42" t="n">
        <v>3030253</v>
      </c>
      <c r="H1231" s="42"/>
      <c r="I1231" s="44" t="s">
        <v>1582</v>
      </c>
      <c r="J1231" s="11" t="n">
        <f aca="false">IF(D1231="","",N(G1231)-N(H1231))</f>
        <v>3030253</v>
      </c>
      <c r="K1231" s="34" t="str">
        <f aca="false">IF(D1231="","",IFERROR(INDEX(I_COA!$C$6:$C$265,MATCH(D1231,I_COA!$A$6:$A$265,0)),"AKUN BARU"))</f>
        <v>LabaRugi</v>
      </c>
      <c r="L1231" s="34" t="str">
        <f aca="false">IF(K1231="LabaRugi",INDEX(I_COA!$D$6:$D$265,MATCH(D1231,I_COA!$A$6:$A$265,0)),"")</f>
        <v>Storage Expenses</v>
      </c>
      <c r="M1231" s="34" t="str">
        <f aca="false">IF(K1231="Neraca",INDEX(I_COA!$E$6:$E$265,MATCH(D1231,I_COA!$A$6:$A$265,0)),"")</f>
        <v/>
      </c>
      <c r="N1231" s="34" t="str">
        <f aca="false">IF(D1231="","",IFERROR(INDEX(I_COA!$G$6:$G$265,MATCH(D1231,I_COA!$A$6:$A$265,0)),"N"))</f>
        <v>N</v>
      </c>
      <c r="O1231" s="11" t="n">
        <f aca="false">IF(N1231="N",ABS(J1231),"")</f>
        <v>3030253</v>
      </c>
      <c r="P1231" s="18" t="str">
        <f aca="false">IF(N1231="N",B1231&amp;"|"&amp;ROUND(O1231,0),"")</f>
        <v>PI26080094|3030253</v>
      </c>
      <c r="Q1231" s="18" t="str">
        <f aca="false">IF(N1231&lt;&gt;"Y","",IFERROR(INDEX($D$6:$D$4005,MATCH(B1231&amp;"|"&amp;ROUND(_xlfn.MAXIFS($O$6:$O$4005,$B$6:$B$4005,B1231,$N$6:$N$4005,"N"),0),$P$6:$P$4005,0)),"(tanpa lawan)"))</f>
        <v/>
      </c>
      <c r="R1231" s="44"/>
      <c r="S1231" s="9" t="str">
        <f aca="false">IF(N1231&lt;&gt;"Y","",IF(R1231&lt;&gt;"",R1231,IF(Q1231="(tanpa lawan)","Transfer antar rekening",IFERROR(INDEX(I_COA!$F$6:$F$265,MATCH(Q1231,I_COA!$A$6:$A$265,0)),"?"))))</f>
        <v/>
      </c>
    </row>
    <row r="1232" customFormat="false" ht="15" hidden="false" customHeight="false" outlineLevel="0" collapsed="false">
      <c r="A1232" s="37" t="n">
        <v>46252</v>
      </c>
      <c r="B1232" s="44" t="s">
        <v>1580</v>
      </c>
      <c r="C1232" s="44" t="s">
        <v>707</v>
      </c>
      <c r="D1232" s="44" t="n">
        <v>1106001</v>
      </c>
      <c r="E1232" s="44" t="s">
        <v>720</v>
      </c>
      <c r="F1232" s="44" t="s">
        <v>721</v>
      </c>
      <c r="G1232" s="42" t="n">
        <v>4256115</v>
      </c>
      <c r="H1232" s="42"/>
      <c r="I1232" s="44" t="s">
        <v>1582</v>
      </c>
      <c r="J1232" s="11" t="n">
        <f aca="false">IF(D1232="","",N(G1232)-N(H1232))</f>
        <v>4256115</v>
      </c>
      <c r="K1232" s="34" t="str">
        <f aca="false">IF(D1232="","",IFERROR(INDEX(I_COA!$C$6:$C$265,MATCH(D1232,I_COA!$A$6:$A$265,0)),"AKUN BARU"))</f>
        <v>Neraca</v>
      </c>
      <c r="L1232" s="34" t="str">
        <f aca="false">IF(K1232="LabaRugi",INDEX(I_COA!$D$6:$D$265,MATCH(D1232,I_COA!$A$6:$A$265,0)),"")</f>
        <v/>
      </c>
      <c r="M1232" s="34" t="str">
        <f aca="false">IF(K1232="Neraca",INDEX(I_COA!$E$6:$E$265,MATCH(D1232,I_COA!$A$6:$A$265,0)),"")</f>
        <v>Prepaid Tax</v>
      </c>
      <c r="N1232" s="34" t="str">
        <f aca="false">IF(D1232="","",IFERROR(INDEX(I_COA!$G$6:$G$265,MATCH(D1232,I_COA!$A$6:$A$265,0)),"N"))</f>
        <v>N</v>
      </c>
      <c r="O1232" s="11" t="n">
        <f aca="false">IF(N1232="N",ABS(J1232),"")</f>
        <v>4256115</v>
      </c>
      <c r="P1232" s="18" t="str">
        <f aca="false">IF(N1232="N",B1232&amp;"|"&amp;ROUND(O1232,0),"")</f>
        <v>PI26080094|4256115</v>
      </c>
      <c r="Q1232" s="18" t="str">
        <f aca="false">IF(N1232&lt;&gt;"Y","",IFERROR(INDEX($D$6:$D$4005,MATCH(B1232&amp;"|"&amp;ROUND(_xlfn.MAXIFS($O$6:$O$4005,$B$6:$B$4005,B1232,$N$6:$N$4005,"N"),0),$P$6:$P$4005,0)),"(tanpa lawan)"))</f>
        <v/>
      </c>
      <c r="R1232" s="44"/>
      <c r="S1232" s="9" t="str">
        <f aca="false">IF(N1232&lt;&gt;"Y","",IF(R1232&lt;&gt;"",R1232,IF(Q1232="(tanpa lawan)","Transfer antar rekening",IFERROR(INDEX(I_COA!$F$6:$F$265,MATCH(Q1232,I_COA!$A$6:$A$265,0)),"?"))))</f>
        <v/>
      </c>
    </row>
    <row r="1233" customFormat="false" ht="15" hidden="false" customHeight="false" outlineLevel="0" collapsed="false">
      <c r="A1233" s="37" t="n">
        <v>46252</v>
      </c>
      <c r="B1233" s="44" t="s">
        <v>1580</v>
      </c>
      <c r="C1233" s="44" t="s">
        <v>707</v>
      </c>
      <c r="D1233" s="44" t="n">
        <v>2101003</v>
      </c>
      <c r="E1233" s="44" t="s">
        <v>679</v>
      </c>
      <c r="F1233" s="44" t="s">
        <v>1585</v>
      </c>
      <c r="G1233" s="42"/>
      <c r="H1233" s="42" t="n">
        <v>42948073</v>
      </c>
      <c r="I1233" s="44" t="s">
        <v>1582</v>
      </c>
      <c r="J1233" s="11" t="n">
        <f aca="false">IF(D1233="","",N(G1233)-N(H1233))</f>
        <v>-42948073</v>
      </c>
      <c r="K1233" s="34" t="str">
        <f aca="false">IF(D1233="","",IFERROR(INDEX(I_COA!$C$6:$C$265,MATCH(D1233,I_COA!$A$6:$A$265,0)),"AKUN BARU"))</f>
        <v>Neraca</v>
      </c>
      <c r="L1233" s="34" t="str">
        <f aca="false">IF(K1233="LabaRugi",INDEX(I_COA!$D$6:$D$265,MATCH(D1233,I_COA!$A$6:$A$265,0)),"")</f>
        <v/>
      </c>
      <c r="M1233" s="34" t="str">
        <f aca="false">IF(K1233="Neraca",INDEX(I_COA!$E$6:$E$265,MATCH(D1233,I_COA!$A$6:$A$265,0)),"")</f>
        <v>Other Payable - Third Parties</v>
      </c>
      <c r="N1233" s="34" t="str">
        <f aca="false">IF(D1233="","",IFERROR(INDEX(I_COA!$G$6:$G$265,MATCH(D1233,I_COA!$A$6:$A$265,0)),"N"))</f>
        <v>N</v>
      </c>
      <c r="O1233" s="11" t="n">
        <f aca="false">IF(N1233="N",ABS(J1233),"")</f>
        <v>42948073</v>
      </c>
      <c r="P1233" s="18" t="str">
        <f aca="false">IF(N1233="N",B1233&amp;"|"&amp;ROUND(O1233,0),"")</f>
        <v>PI26080094|42948073</v>
      </c>
      <c r="Q1233" s="18" t="str">
        <f aca="false">IF(N1233&lt;&gt;"Y","",IFERROR(INDEX($D$6:$D$4005,MATCH(B1233&amp;"|"&amp;ROUND(_xlfn.MAXIFS($O$6:$O$4005,$B$6:$B$4005,B1233,$N$6:$N$4005,"N"),0),$P$6:$P$4005,0)),"(tanpa lawan)"))</f>
        <v/>
      </c>
      <c r="R1233" s="44"/>
      <c r="S1233" s="9" t="str">
        <f aca="false">IF(N1233&lt;&gt;"Y","",IF(R1233&lt;&gt;"",R1233,IF(Q1233="(tanpa lawan)","Transfer antar rekening",IFERROR(INDEX(I_COA!$F$6:$F$265,MATCH(Q1233,I_COA!$A$6:$A$265,0)),"?"))))</f>
        <v/>
      </c>
    </row>
    <row r="1234" customFormat="false" ht="15" hidden="false" customHeight="false" outlineLevel="0" collapsed="false">
      <c r="A1234" s="37" t="n">
        <v>46252</v>
      </c>
      <c r="B1234" s="44" t="s">
        <v>1586</v>
      </c>
      <c r="C1234" s="44" t="s">
        <v>707</v>
      </c>
      <c r="D1234" s="44" t="n">
        <v>5100012</v>
      </c>
      <c r="E1234" s="44" t="s">
        <v>1446</v>
      </c>
      <c r="F1234" s="44" t="s">
        <v>1587</v>
      </c>
      <c r="G1234" s="42" t="n">
        <v>30590851</v>
      </c>
      <c r="H1234" s="42"/>
      <c r="I1234" s="44" t="s">
        <v>1582</v>
      </c>
      <c r="J1234" s="11" t="n">
        <f aca="false">IF(D1234="","",N(G1234)-N(H1234))</f>
        <v>30590851</v>
      </c>
      <c r="K1234" s="34" t="str">
        <f aca="false">IF(D1234="","",IFERROR(INDEX(I_COA!$C$6:$C$265,MATCH(D1234,I_COA!$A$6:$A$265,0)),"AKUN BARU"))</f>
        <v>LabaRugi</v>
      </c>
      <c r="L1234" s="34" t="str">
        <f aca="false">IF(K1234="LabaRugi",INDEX(I_COA!$D$6:$D$265,MATCH(D1234,I_COA!$A$6:$A$265,0)),"")</f>
        <v>Storage Expenses</v>
      </c>
      <c r="M1234" s="34" t="str">
        <f aca="false">IF(K1234="Neraca",INDEX(I_COA!$E$6:$E$265,MATCH(D1234,I_COA!$A$6:$A$265,0)),"")</f>
        <v/>
      </c>
      <c r="N1234" s="34" t="str">
        <f aca="false">IF(D1234="","",IFERROR(INDEX(I_COA!$G$6:$G$265,MATCH(D1234,I_COA!$A$6:$A$265,0)),"N"))</f>
        <v>N</v>
      </c>
      <c r="O1234" s="11" t="n">
        <f aca="false">IF(N1234="N",ABS(J1234),"")</f>
        <v>30590851</v>
      </c>
      <c r="P1234" s="18" t="str">
        <f aca="false">IF(N1234="N",B1234&amp;"|"&amp;ROUND(O1234,0),"")</f>
        <v>PI26080095|30590851</v>
      </c>
      <c r="Q1234" s="18" t="str">
        <f aca="false">IF(N1234&lt;&gt;"Y","",IFERROR(INDEX($D$6:$D$4005,MATCH(B1234&amp;"|"&amp;ROUND(_xlfn.MAXIFS($O$6:$O$4005,$B$6:$B$4005,B1234,$N$6:$N$4005,"N"),0),$P$6:$P$4005,0)),"(tanpa lawan)"))</f>
        <v/>
      </c>
      <c r="R1234" s="44"/>
      <c r="S1234" s="9" t="str">
        <f aca="false">IF(N1234&lt;&gt;"Y","",IF(R1234&lt;&gt;"",R1234,IF(Q1234="(tanpa lawan)","Transfer antar rekening",IFERROR(INDEX(I_COA!$F$6:$F$265,MATCH(Q1234,I_COA!$A$6:$A$265,0)),"?"))))</f>
        <v/>
      </c>
    </row>
    <row r="1235" customFormat="false" ht="15" hidden="false" customHeight="false" outlineLevel="0" collapsed="false">
      <c r="A1235" s="37" t="n">
        <v>46252</v>
      </c>
      <c r="B1235" s="44" t="s">
        <v>1586</v>
      </c>
      <c r="C1235" s="44" t="s">
        <v>707</v>
      </c>
      <c r="D1235" s="44" t="n">
        <v>5100013</v>
      </c>
      <c r="E1235" s="44" t="s">
        <v>631</v>
      </c>
      <c r="F1235" s="44" t="s">
        <v>1588</v>
      </c>
      <c r="G1235" s="42" t="n">
        <v>4829588</v>
      </c>
      <c r="H1235" s="42"/>
      <c r="I1235" s="44" t="s">
        <v>1582</v>
      </c>
      <c r="J1235" s="11" t="n">
        <f aca="false">IF(D1235="","",N(G1235)-N(H1235))</f>
        <v>4829588</v>
      </c>
      <c r="K1235" s="34" t="str">
        <f aca="false">IF(D1235="","",IFERROR(INDEX(I_COA!$C$6:$C$265,MATCH(D1235,I_COA!$A$6:$A$265,0)),"AKUN BARU"))</f>
        <v>LabaRugi</v>
      </c>
      <c r="L1235" s="34" t="str">
        <f aca="false">IF(K1235="LabaRugi",INDEX(I_COA!$D$6:$D$265,MATCH(D1235,I_COA!$A$6:$A$265,0)),"")</f>
        <v>Storage Expenses</v>
      </c>
      <c r="M1235" s="34" t="str">
        <f aca="false">IF(K1235="Neraca",INDEX(I_COA!$E$6:$E$265,MATCH(D1235,I_COA!$A$6:$A$265,0)),"")</f>
        <v/>
      </c>
      <c r="N1235" s="34" t="str">
        <f aca="false">IF(D1235="","",IFERROR(INDEX(I_COA!$G$6:$G$265,MATCH(D1235,I_COA!$A$6:$A$265,0)),"N"))</f>
        <v>N</v>
      </c>
      <c r="O1235" s="11" t="n">
        <f aca="false">IF(N1235="N",ABS(J1235),"")</f>
        <v>4829588</v>
      </c>
      <c r="P1235" s="18" t="str">
        <f aca="false">IF(N1235="N",B1235&amp;"|"&amp;ROUND(O1235,0),"")</f>
        <v>PI26080095|4829588</v>
      </c>
      <c r="Q1235" s="18" t="str">
        <f aca="false">IF(N1235&lt;&gt;"Y","",IFERROR(INDEX($D$6:$D$4005,MATCH(B1235&amp;"|"&amp;ROUND(_xlfn.MAXIFS($O$6:$O$4005,$B$6:$B$4005,B1235,$N$6:$N$4005,"N"),0),$P$6:$P$4005,0)),"(tanpa lawan)"))</f>
        <v/>
      </c>
      <c r="R1235" s="44"/>
      <c r="S1235" s="9" t="str">
        <f aca="false">IF(N1235&lt;&gt;"Y","",IF(R1235&lt;&gt;"",R1235,IF(Q1235="(tanpa lawan)","Transfer antar rekening",IFERROR(INDEX(I_COA!$F$6:$F$265,MATCH(Q1235,I_COA!$A$6:$A$265,0)),"?"))))</f>
        <v/>
      </c>
    </row>
    <row r="1236" customFormat="false" ht="15" hidden="false" customHeight="false" outlineLevel="0" collapsed="false">
      <c r="A1236" s="37" t="n">
        <v>46252</v>
      </c>
      <c r="B1236" s="44" t="s">
        <v>1586</v>
      </c>
      <c r="C1236" s="44" t="s">
        <v>707</v>
      </c>
      <c r="D1236" s="44" t="n">
        <v>5100014</v>
      </c>
      <c r="E1236" s="44" t="s">
        <v>1437</v>
      </c>
      <c r="F1236" s="44" t="s">
        <v>1589</v>
      </c>
      <c r="G1236" s="42" t="n">
        <v>5494927</v>
      </c>
      <c r="H1236" s="42"/>
      <c r="I1236" s="44" t="s">
        <v>1582</v>
      </c>
      <c r="J1236" s="11" t="n">
        <f aca="false">IF(D1236="","",N(G1236)-N(H1236))</f>
        <v>5494927</v>
      </c>
      <c r="K1236" s="34" t="str">
        <f aca="false">IF(D1236="","",IFERROR(INDEX(I_COA!$C$6:$C$265,MATCH(D1236,I_COA!$A$6:$A$265,0)),"AKUN BARU"))</f>
        <v>LabaRugi</v>
      </c>
      <c r="L1236" s="34" t="str">
        <f aca="false">IF(K1236="LabaRugi",INDEX(I_COA!$D$6:$D$265,MATCH(D1236,I_COA!$A$6:$A$265,0)),"")</f>
        <v>Storage Expenses</v>
      </c>
      <c r="M1236" s="34" t="str">
        <f aca="false">IF(K1236="Neraca",INDEX(I_COA!$E$6:$E$265,MATCH(D1236,I_COA!$A$6:$A$265,0)),"")</f>
        <v/>
      </c>
      <c r="N1236" s="34" t="str">
        <f aca="false">IF(D1236="","",IFERROR(INDEX(I_COA!$G$6:$G$265,MATCH(D1236,I_COA!$A$6:$A$265,0)),"N"))</f>
        <v>N</v>
      </c>
      <c r="O1236" s="11" t="n">
        <f aca="false">IF(N1236="N",ABS(J1236),"")</f>
        <v>5494927</v>
      </c>
      <c r="P1236" s="18" t="str">
        <f aca="false">IF(N1236="N",B1236&amp;"|"&amp;ROUND(O1236,0),"")</f>
        <v>PI26080095|5494927</v>
      </c>
      <c r="Q1236" s="18" t="str">
        <f aca="false">IF(N1236&lt;&gt;"Y","",IFERROR(INDEX($D$6:$D$4005,MATCH(B1236&amp;"|"&amp;ROUND(_xlfn.MAXIFS($O$6:$O$4005,$B$6:$B$4005,B1236,$N$6:$N$4005,"N"),0),$P$6:$P$4005,0)),"(tanpa lawan)"))</f>
        <v/>
      </c>
      <c r="R1236" s="44"/>
      <c r="S1236" s="9" t="str">
        <f aca="false">IF(N1236&lt;&gt;"Y","",IF(R1236&lt;&gt;"",R1236,IF(Q1236="(tanpa lawan)","Transfer antar rekening",IFERROR(INDEX(I_COA!$F$6:$F$265,MATCH(Q1236,I_COA!$A$6:$A$265,0)),"?"))))</f>
        <v/>
      </c>
    </row>
    <row r="1237" customFormat="false" ht="15" hidden="false" customHeight="false" outlineLevel="0" collapsed="false">
      <c r="A1237" s="37" t="n">
        <v>46252</v>
      </c>
      <c r="B1237" s="44" t="s">
        <v>1586</v>
      </c>
      <c r="C1237" s="44" t="s">
        <v>707</v>
      </c>
      <c r="D1237" s="44" t="n">
        <v>1106001</v>
      </c>
      <c r="E1237" s="44" t="s">
        <v>720</v>
      </c>
      <c r="F1237" s="44" t="s">
        <v>721</v>
      </c>
      <c r="G1237" s="42" t="n">
        <v>4500690</v>
      </c>
      <c r="H1237" s="42"/>
      <c r="I1237" s="44" t="s">
        <v>1582</v>
      </c>
      <c r="J1237" s="11" t="n">
        <f aca="false">IF(D1237="","",N(G1237)-N(H1237))</f>
        <v>4500690</v>
      </c>
      <c r="K1237" s="34" t="str">
        <f aca="false">IF(D1237="","",IFERROR(INDEX(I_COA!$C$6:$C$265,MATCH(D1237,I_COA!$A$6:$A$265,0)),"AKUN BARU"))</f>
        <v>Neraca</v>
      </c>
      <c r="L1237" s="34" t="str">
        <f aca="false">IF(K1237="LabaRugi",INDEX(I_COA!$D$6:$D$265,MATCH(D1237,I_COA!$A$6:$A$265,0)),"")</f>
        <v/>
      </c>
      <c r="M1237" s="34" t="str">
        <f aca="false">IF(K1237="Neraca",INDEX(I_COA!$E$6:$E$265,MATCH(D1237,I_COA!$A$6:$A$265,0)),"")</f>
        <v>Prepaid Tax</v>
      </c>
      <c r="N1237" s="34" t="str">
        <f aca="false">IF(D1237="","",IFERROR(INDEX(I_COA!$G$6:$G$265,MATCH(D1237,I_COA!$A$6:$A$265,0)),"N"))</f>
        <v>N</v>
      </c>
      <c r="O1237" s="11" t="n">
        <f aca="false">IF(N1237="N",ABS(J1237),"")</f>
        <v>4500690</v>
      </c>
      <c r="P1237" s="18" t="str">
        <f aca="false">IF(N1237="N",B1237&amp;"|"&amp;ROUND(O1237,0),"")</f>
        <v>PI26080095|4500690</v>
      </c>
      <c r="Q1237" s="18" t="str">
        <f aca="false">IF(N1237&lt;&gt;"Y","",IFERROR(INDEX($D$6:$D$4005,MATCH(B1237&amp;"|"&amp;ROUND(_xlfn.MAXIFS($O$6:$O$4005,$B$6:$B$4005,B1237,$N$6:$N$4005,"N"),0),$P$6:$P$4005,0)),"(tanpa lawan)"))</f>
        <v/>
      </c>
      <c r="R1237" s="44"/>
      <c r="S1237" s="9" t="str">
        <f aca="false">IF(N1237&lt;&gt;"Y","",IF(R1237&lt;&gt;"",R1237,IF(Q1237="(tanpa lawan)","Transfer antar rekening",IFERROR(INDEX(I_COA!$F$6:$F$265,MATCH(Q1237,I_COA!$A$6:$A$265,0)),"?"))))</f>
        <v/>
      </c>
    </row>
    <row r="1238" customFormat="false" ht="15" hidden="false" customHeight="false" outlineLevel="0" collapsed="false">
      <c r="A1238" s="37" t="n">
        <v>46252</v>
      </c>
      <c r="B1238" s="44" t="s">
        <v>1586</v>
      </c>
      <c r="C1238" s="44" t="s">
        <v>707</v>
      </c>
      <c r="D1238" s="44" t="n">
        <v>2101003</v>
      </c>
      <c r="E1238" s="44" t="s">
        <v>679</v>
      </c>
      <c r="F1238" s="44" t="s">
        <v>1590</v>
      </c>
      <c r="G1238" s="42"/>
      <c r="H1238" s="42" t="n">
        <v>45416056</v>
      </c>
      <c r="I1238" s="44" t="s">
        <v>1582</v>
      </c>
      <c r="J1238" s="11" t="n">
        <f aca="false">IF(D1238="","",N(G1238)-N(H1238))</f>
        <v>-45416056</v>
      </c>
      <c r="K1238" s="34" t="str">
        <f aca="false">IF(D1238="","",IFERROR(INDEX(I_COA!$C$6:$C$265,MATCH(D1238,I_COA!$A$6:$A$265,0)),"AKUN BARU"))</f>
        <v>Neraca</v>
      </c>
      <c r="L1238" s="34" t="str">
        <f aca="false">IF(K1238="LabaRugi",INDEX(I_COA!$D$6:$D$265,MATCH(D1238,I_COA!$A$6:$A$265,0)),"")</f>
        <v/>
      </c>
      <c r="M1238" s="34" t="str">
        <f aca="false">IF(K1238="Neraca",INDEX(I_COA!$E$6:$E$265,MATCH(D1238,I_COA!$A$6:$A$265,0)),"")</f>
        <v>Other Payable - Third Parties</v>
      </c>
      <c r="N1238" s="34" t="str">
        <f aca="false">IF(D1238="","",IFERROR(INDEX(I_COA!$G$6:$G$265,MATCH(D1238,I_COA!$A$6:$A$265,0)),"N"))</f>
        <v>N</v>
      </c>
      <c r="O1238" s="11" t="n">
        <f aca="false">IF(N1238="N",ABS(J1238),"")</f>
        <v>45416056</v>
      </c>
      <c r="P1238" s="18" t="str">
        <f aca="false">IF(N1238="N",B1238&amp;"|"&amp;ROUND(O1238,0),"")</f>
        <v>PI26080095|45416056</v>
      </c>
      <c r="Q1238" s="18" t="str">
        <f aca="false">IF(N1238&lt;&gt;"Y","",IFERROR(INDEX($D$6:$D$4005,MATCH(B1238&amp;"|"&amp;ROUND(_xlfn.MAXIFS($O$6:$O$4005,$B$6:$B$4005,B1238,$N$6:$N$4005,"N"),0),$P$6:$P$4005,0)),"(tanpa lawan)"))</f>
        <v/>
      </c>
      <c r="R1238" s="44"/>
      <c r="S1238" s="9" t="str">
        <f aca="false">IF(N1238&lt;&gt;"Y","",IF(R1238&lt;&gt;"",R1238,IF(Q1238="(tanpa lawan)","Transfer antar rekening",IFERROR(INDEX(I_COA!$F$6:$F$265,MATCH(Q1238,I_COA!$A$6:$A$265,0)),"?"))))</f>
        <v/>
      </c>
    </row>
    <row r="1239" customFormat="false" ht="15" hidden="false" customHeight="false" outlineLevel="0" collapsed="false">
      <c r="A1239" s="37" t="n">
        <v>46253</v>
      </c>
      <c r="B1239" s="44" t="s">
        <v>1591</v>
      </c>
      <c r="C1239" s="44" t="s">
        <v>585</v>
      </c>
      <c r="D1239" s="44" t="n">
        <v>1102001</v>
      </c>
      <c r="E1239" s="44" t="s">
        <v>586</v>
      </c>
      <c r="F1239" s="44" t="s">
        <v>1592</v>
      </c>
      <c r="G1239" s="42" t="n">
        <v>27987000</v>
      </c>
      <c r="H1239" s="42"/>
      <c r="I1239" s="44" t="s">
        <v>432</v>
      </c>
      <c r="J1239" s="11" t="n">
        <f aca="false">IF(D1239="","",N(G1239)-N(H1239))</f>
        <v>27987000</v>
      </c>
      <c r="K1239" s="34" t="str">
        <f aca="false">IF(D1239="","",IFERROR(INDEX(I_COA!$C$6:$C$265,MATCH(D1239,I_COA!$A$6:$A$265,0)),"AKUN BARU"))</f>
        <v>Neraca</v>
      </c>
      <c r="L1239" s="34" t="str">
        <f aca="false">IF(K1239="LabaRugi",INDEX(I_COA!$D$6:$D$265,MATCH(D1239,I_COA!$A$6:$A$265,0)),"")</f>
        <v/>
      </c>
      <c r="M1239" s="34" t="str">
        <f aca="false">IF(K1239="Neraca",INDEX(I_COA!$E$6:$E$265,MATCH(D1239,I_COA!$A$6:$A$265,0)),"")</f>
        <v>Cash and cash equivalents</v>
      </c>
      <c r="N1239" s="34" t="str">
        <f aca="false">IF(D1239="","",IFERROR(INDEX(I_COA!$G$6:$G$265,MATCH(D1239,I_COA!$A$6:$A$265,0)),"N"))</f>
        <v>Y</v>
      </c>
      <c r="O1239" s="11" t="str">
        <f aca="false">IF(N1239="N",ABS(J1239),"")</f>
        <v/>
      </c>
      <c r="P1239" s="18" t="str">
        <f aca="false">IF(N1239="N",B1239&amp;"|"&amp;ROUND(O1239,0),"")</f>
        <v/>
      </c>
      <c r="Q1239" s="18" t="n">
        <f aca="false">IF(N1239&lt;&gt;"Y","",IFERROR(INDEX($D$6:$D$4005,MATCH(B1239&amp;"|"&amp;ROUND(_xlfn.MAXIFS($O$6:$O$4005,$B$6:$B$4005,B1239,$N$6:$N$4005,"N"),0),$P$6:$P$4005,0)),"(tanpa lawan)"))</f>
        <v>1103101</v>
      </c>
      <c r="R1239" s="44"/>
      <c r="S1239" s="9" t="str">
        <f aca="false">IF(N1239&lt;&gt;"Y","",IF(R1239&lt;&gt;"",R1239,IF(Q1239="(tanpa lawan)","Transfer antar rekening",IFERROR(INDEX(I_COA!$F$6:$F$265,MATCH(Q1239,I_COA!$A$6:$A$265,0)),"?"))))</f>
        <v>Penerimaan dari pelanggan</v>
      </c>
    </row>
    <row r="1240" customFormat="false" ht="15" hidden="false" customHeight="false" outlineLevel="0" collapsed="false">
      <c r="A1240" s="37" t="n">
        <v>46253</v>
      </c>
      <c r="B1240" s="44" t="s">
        <v>1591</v>
      </c>
      <c r="C1240" s="44" t="s">
        <v>585</v>
      </c>
      <c r="D1240" s="44" t="n">
        <v>1103101</v>
      </c>
      <c r="E1240" s="44" t="s">
        <v>589</v>
      </c>
      <c r="F1240" s="44" t="s">
        <v>1592</v>
      </c>
      <c r="G1240" s="42"/>
      <c r="H1240" s="42" t="n">
        <v>27987000</v>
      </c>
      <c r="I1240" s="44" t="s">
        <v>432</v>
      </c>
      <c r="J1240" s="11" t="n">
        <f aca="false">IF(D1240="","",N(G1240)-N(H1240))</f>
        <v>-27987000</v>
      </c>
      <c r="K1240" s="34" t="str">
        <f aca="false">IF(D1240="","",IFERROR(INDEX(I_COA!$C$6:$C$265,MATCH(D1240,I_COA!$A$6:$A$265,0)),"AKUN BARU"))</f>
        <v>Neraca</v>
      </c>
      <c r="L1240" s="34" t="str">
        <f aca="false">IF(K1240="LabaRugi",INDEX(I_COA!$D$6:$D$265,MATCH(D1240,I_COA!$A$6:$A$265,0)),"")</f>
        <v/>
      </c>
      <c r="M1240" s="34" t="str">
        <f aca="false">IF(K1240="Neraca",INDEX(I_COA!$E$6:$E$265,MATCH(D1240,I_COA!$A$6:$A$265,0)),"")</f>
        <v>Trade Receivables - Third Parties</v>
      </c>
      <c r="N1240" s="34" t="str">
        <f aca="false">IF(D1240="","",IFERROR(INDEX(I_COA!$G$6:$G$265,MATCH(D1240,I_COA!$A$6:$A$265,0)),"N"))</f>
        <v>N</v>
      </c>
      <c r="O1240" s="11" t="n">
        <f aca="false">IF(N1240="N",ABS(J1240),"")</f>
        <v>27987000</v>
      </c>
      <c r="P1240" s="18" t="str">
        <f aca="false">IF(N1240="N",B1240&amp;"|"&amp;ROUND(O1240,0),"")</f>
        <v>B7626080079|27987000</v>
      </c>
      <c r="Q1240" s="18" t="str">
        <f aca="false">IF(N1240&lt;&gt;"Y","",IFERROR(INDEX($D$6:$D$4005,MATCH(B1240&amp;"|"&amp;ROUND(_xlfn.MAXIFS($O$6:$O$4005,$B$6:$B$4005,B1240,$N$6:$N$4005,"N"),0),$P$6:$P$4005,0)),"(tanpa lawan)"))</f>
        <v/>
      </c>
      <c r="R1240" s="44"/>
      <c r="S1240" s="9" t="str">
        <f aca="false">IF(N1240&lt;&gt;"Y","",IF(R1240&lt;&gt;"",R1240,IF(Q1240="(tanpa lawan)","Transfer antar rekening",IFERROR(INDEX(I_COA!$F$6:$F$265,MATCH(Q1240,I_COA!$A$6:$A$265,0)),"?"))))</f>
        <v/>
      </c>
    </row>
    <row r="1241" customFormat="false" ht="15" hidden="false" customHeight="false" outlineLevel="0" collapsed="false">
      <c r="A1241" s="37" t="n">
        <v>46253</v>
      </c>
      <c r="B1241" s="44" t="s">
        <v>1593</v>
      </c>
      <c r="C1241" s="44" t="s">
        <v>585</v>
      </c>
      <c r="D1241" s="44" t="n">
        <v>1102001</v>
      </c>
      <c r="E1241" s="44" t="s">
        <v>586</v>
      </c>
      <c r="F1241" s="44" t="s">
        <v>1594</v>
      </c>
      <c r="G1241" s="42" t="n">
        <v>62277000</v>
      </c>
      <c r="H1241" s="42"/>
      <c r="I1241" s="44" t="s">
        <v>432</v>
      </c>
      <c r="J1241" s="11" t="n">
        <f aca="false">IF(D1241="","",N(G1241)-N(H1241))</f>
        <v>62277000</v>
      </c>
      <c r="K1241" s="34" t="str">
        <f aca="false">IF(D1241="","",IFERROR(INDEX(I_COA!$C$6:$C$265,MATCH(D1241,I_COA!$A$6:$A$265,0)),"AKUN BARU"))</f>
        <v>Neraca</v>
      </c>
      <c r="L1241" s="34" t="str">
        <f aca="false">IF(K1241="LabaRugi",INDEX(I_COA!$D$6:$D$265,MATCH(D1241,I_COA!$A$6:$A$265,0)),"")</f>
        <v/>
      </c>
      <c r="M1241" s="34" t="str">
        <f aca="false">IF(K1241="Neraca",INDEX(I_COA!$E$6:$E$265,MATCH(D1241,I_COA!$A$6:$A$265,0)),"")</f>
        <v>Cash and cash equivalents</v>
      </c>
      <c r="N1241" s="34" t="str">
        <f aca="false">IF(D1241="","",IFERROR(INDEX(I_COA!$G$6:$G$265,MATCH(D1241,I_COA!$A$6:$A$265,0)),"N"))</f>
        <v>Y</v>
      </c>
      <c r="O1241" s="11" t="str">
        <f aca="false">IF(N1241="N",ABS(J1241),"")</f>
        <v/>
      </c>
      <c r="P1241" s="18" t="str">
        <f aca="false">IF(N1241="N",B1241&amp;"|"&amp;ROUND(O1241,0),"")</f>
        <v/>
      </c>
      <c r="Q1241" s="18" t="n">
        <f aca="false">IF(N1241&lt;&gt;"Y","",IFERROR(INDEX($D$6:$D$4005,MATCH(B1241&amp;"|"&amp;ROUND(_xlfn.MAXIFS($O$6:$O$4005,$B$6:$B$4005,B1241,$N$6:$N$4005,"N"),0),$P$6:$P$4005,0)),"(tanpa lawan)"))</f>
        <v>1103101</v>
      </c>
      <c r="R1241" s="44"/>
      <c r="S1241" s="9" t="str">
        <f aca="false">IF(N1241&lt;&gt;"Y","",IF(R1241&lt;&gt;"",R1241,IF(Q1241="(tanpa lawan)","Transfer antar rekening",IFERROR(INDEX(I_COA!$F$6:$F$265,MATCH(Q1241,I_COA!$A$6:$A$265,0)),"?"))))</f>
        <v>Penerimaan dari pelanggan</v>
      </c>
    </row>
    <row r="1242" customFormat="false" ht="15" hidden="false" customHeight="false" outlineLevel="0" collapsed="false">
      <c r="A1242" s="37" t="n">
        <v>46253</v>
      </c>
      <c r="B1242" s="44" t="s">
        <v>1593</v>
      </c>
      <c r="C1242" s="44" t="s">
        <v>585</v>
      </c>
      <c r="D1242" s="44" t="n">
        <v>1103101</v>
      </c>
      <c r="E1242" s="44" t="s">
        <v>589</v>
      </c>
      <c r="F1242" s="44" t="s">
        <v>1594</v>
      </c>
      <c r="G1242" s="42"/>
      <c r="H1242" s="42" t="n">
        <v>62277000</v>
      </c>
      <c r="I1242" s="44" t="s">
        <v>432</v>
      </c>
      <c r="J1242" s="11" t="n">
        <f aca="false">IF(D1242="","",N(G1242)-N(H1242))</f>
        <v>-62277000</v>
      </c>
      <c r="K1242" s="34" t="str">
        <f aca="false">IF(D1242="","",IFERROR(INDEX(I_COA!$C$6:$C$265,MATCH(D1242,I_COA!$A$6:$A$265,0)),"AKUN BARU"))</f>
        <v>Neraca</v>
      </c>
      <c r="L1242" s="34" t="str">
        <f aca="false">IF(K1242="LabaRugi",INDEX(I_COA!$D$6:$D$265,MATCH(D1242,I_COA!$A$6:$A$265,0)),"")</f>
        <v/>
      </c>
      <c r="M1242" s="34" t="str">
        <f aca="false">IF(K1242="Neraca",INDEX(I_COA!$E$6:$E$265,MATCH(D1242,I_COA!$A$6:$A$265,0)),"")</f>
        <v>Trade Receivables - Third Parties</v>
      </c>
      <c r="N1242" s="34" t="str">
        <f aca="false">IF(D1242="","",IFERROR(INDEX(I_COA!$G$6:$G$265,MATCH(D1242,I_COA!$A$6:$A$265,0)),"N"))</f>
        <v>N</v>
      </c>
      <c r="O1242" s="11" t="n">
        <f aca="false">IF(N1242="N",ABS(J1242),"")</f>
        <v>62277000</v>
      </c>
      <c r="P1242" s="18" t="str">
        <f aca="false">IF(N1242="N",B1242&amp;"|"&amp;ROUND(O1242,0),"")</f>
        <v>B7626080080|62277000</v>
      </c>
      <c r="Q1242" s="18" t="str">
        <f aca="false">IF(N1242&lt;&gt;"Y","",IFERROR(INDEX($D$6:$D$4005,MATCH(B1242&amp;"|"&amp;ROUND(_xlfn.MAXIFS($O$6:$O$4005,$B$6:$B$4005,B1242,$N$6:$N$4005,"N"),0),$P$6:$P$4005,0)),"(tanpa lawan)"))</f>
        <v/>
      </c>
      <c r="R1242" s="44"/>
      <c r="S1242" s="9" t="str">
        <f aca="false">IF(N1242&lt;&gt;"Y","",IF(R1242&lt;&gt;"",R1242,IF(Q1242="(tanpa lawan)","Transfer antar rekening",IFERROR(INDEX(I_COA!$F$6:$F$265,MATCH(Q1242,I_COA!$A$6:$A$265,0)),"?"))))</f>
        <v/>
      </c>
    </row>
    <row r="1243" customFormat="false" ht="15" hidden="false" customHeight="false" outlineLevel="0" collapsed="false">
      <c r="A1243" s="37" t="n">
        <v>46253</v>
      </c>
      <c r="B1243" s="44" t="s">
        <v>1595</v>
      </c>
      <c r="C1243" s="44" t="s">
        <v>585</v>
      </c>
      <c r="D1243" s="44" t="n">
        <v>1102001</v>
      </c>
      <c r="E1243" s="44" t="s">
        <v>586</v>
      </c>
      <c r="F1243" s="44" t="s">
        <v>1596</v>
      </c>
      <c r="G1243" s="42" t="n">
        <v>27000</v>
      </c>
      <c r="H1243" s="42"/>
      <c r="I1243" s="44" t="s">
        <v>432</v>
      </c>
      <c r="J1243" s="11" t="n">
        <f aca="false">IF(D1243="","",N(G1243)-N(H1243))</f>
        <v>27000</v>
      </c>
      <c r="K1243" s="34" t="str">
        <f aca="false">IF(D1243="","",IFERROR(INDEX(I_COA!$C$6:$C$265,MATCH(D1243,I_COA!$A$6:$A$265,0)),"AKUN BARU"))</f>
        <v>Neraca</v>
      </c>
      <c r="L1243" s="34" t="str">
        <f aca="false">IF(K1243="LabaRugi",INDEX(I_COA!$D$6:$D$265,MATCH(D1243,I_COA!$A$6:$A$265,0)),"")</f>
        <v/>
      </c>
      <c r="M1243" s="34" t="str">
        <f aca="false">IF(K1243="Neraca",INDEX(I_COA!$E$6:$E$265,MATCH(D1243,I_COA!$A$6:$A$265,0)),"")</f>
        <v>Cash and cash equivalents</v>
      </c>
      <c r="N1243" s="34" t="str">
        <f aca="false">IF(D1243="","",IFERROR(INDEX(I_COA!$G$6:$G$265,MATCH(D1243,I_COA!$A$6:$A$265,0)),"N"))</f>
        <v>Y</v>
      </c>
      <c r="O1243" s="11" t="str">
        <f aca="false">IF(N1243="N",ABS(J1243),"")</f>
        <v/>
      </c>
      <c r="P1243" s="18" t="str">
        <f aca="false">IF(N1243="N",B1243&amp;"|"&amp;ROUND(O1243,0),"")</f>
        <v/>
      </c>
      <c r="Q1243" s="18" t="n">
        <f aca="false">IF(N1243&lt;&gt;"Y","",IFERROR(INDEX($D$6:$D$4005,MATCH(B1243&amp;"|"&amp;ROUND(_xlfn.MAXIFS($O$6:$O$4005,$B$6:$B$4005,B1243,$N$6:$N$4005,"N"),0),$P$6:$P$4005,0)),"(tanpa lawan)"))</f>
        <v>1103101</v>
      </c>
      <c r="R1243" s="44"/>
      <c r="S1243" s="9" t="str">
        <f aca="false">IF(N1243&lt;&gt;"Y","",IF(R1243&lt;&gt;"",R1243,IF(Q1243="(tanpa lawan)","Transfer antar rekening",IFERROR(INDEX(I_COA!$F$6:$F$265,MATCH(Q1243,I_COA!$A$6:$A$265,0)),"?"))))</f>
        <v>Penerimaan dari pelanggan</v>
      </c>
    </row>
    <row r="1244" customFormat="false" ht="15" hidden="false" customHeight="false" outlineLevel="0" collapsed="false">
      <c r="A1244" s="37" t="n">
        <v>46253</v>
      </c>
      <c r="B1244" s="44" t="s">
        <v>1595</v>
      </c>
      <c r="C1244" s="44" t="s">
        <v>585</v>
      </c>
      <c r="D1244" s="44" t="n">
        <v>1103101</v>
      </c>
      <c r="E1244" s="44" t="s">
        <v>589</v>
      </c>
      <c r="F1244" s="44" t="s">
        <v>1596</v>
      </c>
      <c r="G1244" s="42"/>
      <c r="H1244" s="42" t="n">
        <v>18000</v>
      </c>
      <c r="I1244" s="44" t="s">
        <v>432</v>
      </c>
      <c r="J1244" s="11" t="n">
        <f aca="false">IF(D1244="","",N(G1244)-N(H1244))</f>
        <v>-18000</v>
      </c>
      <c r="K1244" s="34" t="str">
        <f aca="false">IF(D1244="","",IFERROR(INDEX(I_COA!$C$6:$C$265,MATCH(D1244,I_COA!$A$6:$A$265,0)),"AKUN BARU"))</f>
        <v>Neraca</v>
      </c>
      <c r="L1244" s="34" t="str">
        <f aca="false">IF(K1244="LabaRugi",INDEX(I_COA!$D$6:$D$265,MATCH(D1244,I_COA!$A$6:$A$265,0)),"")</f>
        <v/>
      </c>
      <c r="M1244" s="34" t="str">
        <f aca="false">IF(K1244="Neraca",INDEX(I_COA!$E$6:$E$265,MATCH(D1244,I_COA!$A$6:$A$265,0)),"")</f>
        <v>Trade Receivables - Third Parties</v>
      </c>
      <c r="N1244" s="34" t="str">
        <f aca="false">IF(D1244="","",IFERROR(INDEX(I_COA!$G$6:$G$265,MATCH(D1244,I_COA!$A$6:$A$265,0)),"N"))</f>
        <v>N</v>
      </c>
      <c r="O1244" s="11" t="n">
        <f aca="false">IF(N1244="N",ABS(J1244),"")</f>
        <v>18000</v>
      </c>
      <c r="P1244" s="18" t="str">
        <f aca="false">IF(N1244="N",B1244&amp;"|"&amp;ROUND(O1244,0),"")</f>
        <v>B7626080081|18000</v>
      </c>
      <c r="Q1244" s="18" t="str">
        <f aca="false">IF(N1244&lt;&gt;"Y","",IFERROR(INDEX($D$6:$D$4005,MATCH(B1244&amp;"|"&amp;ROUND(_xlfn.MAXIFS($O$6:$O$4005,$B$6:$B$4005,B1244,$N$6:$N$4005,"N"),0),$P$6:$P$4005,0)),"(tanpa lawan)"))</f>
        <v/>
      </c>
      <c r="R1244" s="44"/>
      <c r="S1244" s="9" t="str">
        <f aca="false">IF(N1244&lt;&gt;"Y","",IF(R1244&lt;&gt;"",R1244,IF(Q1244="(tanpa lawan)","Transfer antar rekening",IFERROR(INDEX(I_COA!$F$6:$F$265,MATCH(Q1244,I_COA!$A$6:$A$265,0)),"?"))))</f>
        <v/>
      </c>
    </row>
    <row r="1245" customFormat="false" ht="15" hidden="false" customHeight="false" outlineLevel="0" collapsed="false">
      <c r="A1245" s="37" t="n">
        <v>46253</v>
      </c>
      <c r="B1245" s="44" t="s">
        <v>1595</v>
      </c>
      <c r="C1245" s="44" t="s">
        <v>585</v>
      </c>
      <c r="D1245" s="44" t="n">
        <v>7100009</v>
      </c>
      <c r="E1245" s="44" t="s">
        <v>189</v>
      </c>
      <c r="F1245" s="44" t="s">
        <v>1596</v>
      </c>
      <c r="G1245" s="42"/>
      <c r="H1245" s="42" t="n">
        <v>3000</v>
      </c>
      <c r="I1245" s="44" t="s">
        <v>432</v>
      </c>
      <c r="J1245" s="11" t="n">
        <f aca="false">IF(D1245="","",N(G1245)-N(H1245))</f>
        <v>-3000</v>
      </c>
      <c r="K1245" s="34" t="str">
        <f aca="false">IF(D1245="","",IFERROR(INDEX(I_COA!$C$6:$C$265,MATCH(D1245,I_COA!$A$6:$A$265,0)),"AKUN BARU"))</f>
        <v>LabaRugi</v>
      </c>
      <c r="L1245" s="34" t="str">
        <f aca="false">IF(K1245="LabaRugi",INDEX(I_COA!$D$6:$D$265,MATCH(D1245,I_COA!$A$6:$A$265,0)),"")</f>
        <v>Other Income</v>
      </c>
      <c r="M1245" s="34" t="str">
        <f aca="false">IF(K1245="Neraca",INDEX(I_COA!$E$6:$E$265,MATCH(D1245,I_COA!$A$6:$A$265,0)),"")</f>
        <v/>
      </c>
      <c r="N1245" s="34" t="str">
        <f aca="false">IF(D1245="","",IFERROR(INDEX(I_COA!$G$6:$G$265,MATCH(D1245,I_COA!$A$6:$A$265,0)),"N"))</f>
        <v>N</v>
      </c>
      <c r="O1245" s="11" t="n">
        <f aca="false">IF(N1245="N",ABS(J1245),"")</f>
        <v>3000</v>
      </c>
      <c r="P1245" s="18" t="str">
        <f aca="false">IF(N1245="N",B1245&amp;"|"&amp;ROUND(O1245,0),"")</f>
        <v>B7626080081|3000</v>
      </c>
      <c r="Q1245" s="18" t="str">
        <f aca="false">IF(N1245&lt;&gt;"Y","",IFERROR(INDEX($D$6:$D$4005,MATCH(B1245&amp;"|"&amp;ROUND(_xlfn.MAXIFS($O$6:$O$4005,$B$6:$B$4005,B1245,$N$6:$N$4005,"N"),0),$P$6:$P$4005,0)),"(tanpa lawan)"))</f>
        <v/>
      </c>
      <c r="R1245" s="44"/>
      <c r="S1245" s="9" t="str">
        <f aca="false">IF(N1245&lt;&gt;"Y","",IF(R1245&lt;&gt;"",R1245,IF(Q1245="(tanpa lawan)","Transfer antar rekening",IFERROR(INDEX(I_COA!$F$6:$F$265,MATCH(Q1245,I_COA!$A$6:$A$265,0)),"?"))))</f>
        <v/>
      </c>
    </row>
    <row r="1246" customFormat="false" ht="15" hidden="false" customHeight="false" outlineLevel="0" collapsed="false">
      <c r="A1246" s="37" t="n">
        <v>46253</v>
      </c>
      <c r="B1246" s="44" t="s">
        <v>1595</v>
      </c>
      <c r="C1246" s="44" t="s">
        <v>585</v>
      </c>
      <c r="D1246" s="44" t="n">
        <v>1103101</v>
      </c>
      <c r="E1246" s="44" t="s">
        <v>589</v>
      </c>
      <c r="F1246" s="44" t="s">
        <v>1596</v>
      </c>
      <c r="G1246" s="42"/>
      <c r="H1246" s="42" t="n">
        <v>6000</v>
      </c>
      <c r="I1246" s="44" t="s">
        <v>432</v>
      </c>
      <c r="J1246" s="11" t="n">
        <f aca="false">IF(D1246="","",N(G1246)-N(H1246))</f>
        <v>-6000</v>
      </c>
      <c r="K1246" s="34" t="str">
        <f aca="false">IF(D1246="","",IFERROR(INDEX(I_COA!$C$6:$C$265,MATCH(D1246,I_COA!$A$6:$A$265,0)),"AKUN BARU"))</f>
        <v>Neraca</v>
      </c>
      <c r="L1246" s="34" t="str">
        <f aca="false">IF(K1246="LabaRugi",INDEX(I_COA!$D$6:$D$265,MATCH(D1246,I_COA!$A$6:$A$265,0)),"")</f>
        <v/>
      </c>
      <c r="M1246" s="34" t="str">
        <f aca="false">IF(K1246="Neraca",INDEX(I_COA!$E$6:$E$265,MATCH(D1246,I_COA!$A$6:$A$265,0)),"")</f>
        <v>Trade Receivables - Third Parties</v>
      </c>
      <c r="N1246" s="34" t="str">
        <f aca="false">IF(D1246="","",IFERROR(INDEX(I_COA!$G$6:$G$265,MATCH(D1246,I_COA!$A$6:$A$265,0)),"N"))</f>
        <v>N</v>
      </c>
      <c r="O1246" s="11" t="n">
        <f aca="false">IF(N1246="N",ABS(J1246),"")</f>
        <v>6000</v>
      </c>
      <c r="P1246" s="18" t="str">
        <f aca="false">IF(N1246="N",B1246&amp;"|"&amp;ROUND(O1246,0),"")</f>
        <v>B7626080081|6000</v>
      </c>
      <c r="Q1246" s="18" t="str">
        <f aca="false">IF(N1246&lt;&gt;"Y","",IFERROR(INDEX($D$6:$D$4005,MATCH(B1246&amp;"|"&amp;ROUND(_xlfn.MAXIFS($O$6:$O$4005,$B$6:$B$4005,B1246,$N$6:$N$4005,"N"),0),$P$6:$P$4005,0)),"(tanpa lawan)"))</f>
        <v/>
      </c>
      <c r="R1246" s="44"/>
      <c r="S1246" s="9" t="str">
        <f aca="false">IF(N1246&lt;&gt;"Y","",IF(R1246&lt;&gt;"",R1246,IF(Q1246="(tanpa lawan)","Transfer antar rekening",IFERROR(INDEX(I_COA!$F$6:$F$265,MATCH(Q1246,I_COA!$A$6:$A$265,0)),"?"))))</f>
        <v/>
      </c>
    </row>
    <row r="1247" customFormat="false" ht="15" hidden="false" customHeight="false" outlineLevel="0" collapsed="false">
      <c r="A1247" s="37" t="n">
        <v>46253</v>
      </c>
      <c r="B1247" s="44" t="s">
        <v>1597</v>
      </c>
      <c r="C1247" s="44" t="s">
        <v>585</v>
      </c>
      <c r="D1247" s="44" t="n">
        <v>1102001</v>
      </c>
      <c r="E1247" s="44" t="s">
        <v>586</v>
      </c>
      <c r="F1247" s="44" t="s">
        <v>1598</v>
      </c>
      <c r="G1247" s="42" t="n">
        <v>70551000</v>
      </c>
      <c r="H1247" s="42"/>
      <c r="I1247" s="44" t="s">
        <v>451</v>
      </c>
      <c r="J1247" s="11" t="n">
        <f aca="false">IF(D1247="","",N(G1247)-N(H1247))</f>
        <v>70551000</v>
      </c>
      <c r="K1247" s="34" t="str">
        <f aca="false">IF(D1247="","",IFERROR(INDEX(I_COA!$C$6:$C$265,MATCH(D1247,I_COA!$A$6:$A$265,0)),"AKUN BARU"))</f>
        <v>Neraca</v>
      </c>
      <c r="L1247" s="34" t="str">
        <f aca="false">IF(K1247="LabaRugi",INDEX(I_COA!$D$6:$D$265,MATCH(D1247,I_COA!$A$6:$A$265,0)),"")</f>
        <v/>
      </c>
      <c r="M1247" s="34" t="str">
        <f aca="false">IF(K1247="Neraca",INDEX(I_COA!$E$6:$E$265,MATCH(D1247,I_COA!$A$6:$A$265,0)),"")</f>
        <v>Cash and cash equivalents</v>
      </c>
      <c r="N1247" s="34" t="str">
        <f aca="false">IF(D1247="","",IFERROR(INDEX(I_COA!$G$6:$G$265,MATCH(D1247,I_COA!$A$6:$A$265,0)),"N"))</f>
        <v>Y</v>
      </c>
      <c r="O1247" s="11" t="str">
        <f aca="false">IF(N1247="N",ABS(J1247),"")</f>
        <v/>
      </c>
      <c r="P1247" s="18" t="str">
        <f aca="false">IF(N1247="N",B1247&amp;"|"&amp;ROUND(O1247,0),"")</f>
        <v/>
      </c>
      <c r="Q1247" s="18" t="n">
        <f aca="false">IF(N1247&lt;&gt;"Y","",IFERROR(INDEX($D$6:$D$4005,MATCH(B1247&amp;"|"&amp;ROUND(_xlfn.MAXIFS($O$6:$O$4005,$B$6:$B$4005,B1247,$N$6:$N$4005,"N"),0),$P$6:$P$4005,0)),"(tanpa lawan)"))</f>
        <v>1103101</v>
      </c>
      <c r="R1247" s="44"/>
      <c r="S1247" s="9" t="str">
        <f aca="false">IF(N1247&lt;&gt;"Y","",IF(R1247&lt;&gt;"",R1247,IF(Q1247="(tanpa lawan)","Transfer antar rekening",IFERROR(INDEX(I_COA!$F$6:$F$265,MATCH(Q1247,I_COA!$A$6:$A$265,0)),"?"))))</f>
        <v>Penerimaan dari pelanggan</v>
      </c>
    </row>
    <row r="1248" customFormat="false" ht="15" hidden="false" customHeight="false" outlineLevel="0" collapsed="false">
      <c r="A1248" s="37" t="n">
        <v>46253</v>
      </c>
      <c r="B1248" s="44" t="s">
        <v>1597</v>
      </c>
      <c r="C1248" s="44" t="s">
        <v>585</v>
      </c>
      <c r="D1248" s="44" t="n">
        <v>1103101</v>
      </c>
      <c r="E1248" s="44" t="s">
        <v>589</v>
      </c>
      <c r="F1248" s="44" t="s">
        <v>1598</v>
      </c>
      <c r="G1248" s="42"/>
      <c r="H1248" s="42" t="n">
        <v>70551000</v>
      </c>
      <c r="I1248" s="44" t="s">
        <v>451</v>
      </c>
      <c r="J1248" s="11" t="n">
        <f aca="false">IF(D1248="","",N(G1248)-N(H1248))</f>
        <v>-70551000</v>
      </c>
      <c r="K1248" s="34" t="str">
        <f aca="false">IF(D1248="","",IFERROR(INDEX(I_COA!$C$6:$C$265,MATCH(D1248,I_COA!$A$6:$A$265,0)),"AKUN BARU"))</f>
        <v>Neraca</v>
      </c>
      <c r="L1248" s="34" t="str">
        <f aca="false">IF(K1248="LabaRugi",INDEX(I_COA!$D$6:$D$265,MATCH(D1248,I_COA!$A$6:$A$265,0)),"")</f>
        <v/>
      </c>
      <c r="M1248" s="34" t="str">
        <f aca="false">IF(K1248="Neraca",INDEX(I_COA!$E$6:$E$265,MATCH(D1248,I_COA!$A$6:$A$265,0)),"")</f>
        <v>Trade Receivables - Third Parties</v>
      </c>
      <c r="N1248" s="34" t="str">
        <f aca="false">IF(D1248="","",IFERROR(INDEX(I_COA!$G$6:$G$265,MATCH(D1248,I_COA!$A$6:$A$265,0)),"N"))</f>
        <v>N</v>
      </c>
      <c r="O1248" s="11" t="n">
        <f aca="false">IF(N1248="N",ABS(J1248),"")</f>
        <v>70551000</v>
      </c>
      <c r="P1248" s="18" t="str">
        <f aca="false">IF(N1248="N",B1248&amp;"|"&amp;ROUND(O1248,0),"")</f>
        <v>B7626080082|70551000</v>
      </c>
      <c r="Q1248" s="18" t="str">
        <f aca="false">IF(N1248&lt;&gt;"Y","",IFERROR(INDEX($D$6:$D$4005,MATCH(B1248&amp;"|"&amp;ROUND(_xlfn.MAXIFS($O$6:$O$4005,$B$6:$B$4005,B1248,$N$6:$N$4005,"N"),0),$P$6:$P$4005,0)),"(tanpa lawan)"))</f>
        <v/>
      </c>
      <c r="R1248" s="44"/>
      <c r="S1248" s="9" t="str">
        <f aca="false">IF(N1248&lt;&gt;"Y","",IF(R1248&lt;&gt;"",R1248,IF(Q1248="(tanpa lawan)","Transfer antar rekening",IFERROR(INDEX(I_COA!$F$6:$F$265,MATCH(Q1248,I_COA!$A$6:$A$265,0)),"?"))))</f>
        <v/>
      </c>
    </row>
    <row r="1249" customFormat="false" ht="15" hidden="false" customHeight="false" outlineLevel="0" collapsed="false">
      <c r="A1249" s="37" t="n">
        <v>46253</v>
      </c>
      <c r="B1249" s="44" t="s">
        <v>1599</v>
      </c>
      <c r="C1249" s="44" t="s">
        <v>580</v>
      </c>
      <c r="D1249" s="44" t="n">
        <v>1102001</v>
      </c>
      <c r="E1249" s="44" t="s">
        <v>586</v>
      </c>
      <c r="F1249" s="44" t="s">
        <v>1475</v>
      </c>
      <c r="G1249" s="42" t="n">
        <v>7076350</v>
      </c>
      <c r="H1249" s="42"/>
      <c r="I1249" s="44"/>
      <c r="J1249" s="11" t="n">
        <f aca="false">IF(D1249="","",N(G1249)-N(H1249))</f>
        <v>7076350</v>
      </c>
      <c r="K1249" s="34" t="str">
        <f aca="false">IF(D1249="","",IFERROR(INDEX(I_COA!$C$6:$C$265,MATCH(D1249,I_COA!$A$6:$A$265,0)),"AKUN BARU"))</f>
        <v>Neraca</v>
      </c>
      <c r="L1249" s="34" t="str">
        <f aca="false">IF(K1249="LabaRugi",INDEX(I_COA!$D$6:$D$265,MATCH(D1249,I_COA!$A$6:$A$265,0)),"")</f>
        <v/>
      </c>
      <c r="M1249" s="34" t="str">
        <f aca="false">IF(K1249="Neraca",INDEX(I_COA!$E$6:$E$265,MATCH(D1249,I_COA!$A$6:$A$265,0)),"")</f>
        <v>Cash and cash equivalents</v>
      </c>
      <c r="N1249" s="34" t="str">
        <f aca="false">IF(D1249="","",IFERROR(INDEX(I_COA!$G$6:$G$265,MATCH(D1249,I_COA!$A$6:$A$265,0)),"N"))</f>
        <v>Y</v>
      </c>
      <c r="O1249" s="11" t="str">
        <f aca="false">IF(N1249="N",ABS(J1249),"")</f>
        <v/>
      </c>
      <c r="P1249" s="18" t="str">
        <f aca="false">IF(N1249="N",B1249&amp;"|"&amp;ROUND(O1249,0),"")</f>
        <v/>
      </c>
      <c r="Q1249" s="18" t="n">
        <f aca="false">IF(N1249&lt;&gt;"Y","",IFERROR(INDEX($D$6:$D$4005,MATCH(B1249&amp;"|"&amp;ROUND(_xlfn.MAXIFS($O$6:$O$4005,$B$6:$B$4005,B1249,$N$6:$N$4005,"N"),0),$P$6:$P$4005,0)),"(tanpa lawan)"))</f>
        <v>1103121</v>
      </c>
      <c r="R1249" s="44"/>
      <c r="S1249" s="9" t="str">
        <f aca="false">IF(N1249&lt;&gt;"Y","",IF(R1249&lt;&gt;"",R1249,IF(Q1249="(tanpa lawan)","Transfer antar rekening",IFERROR(INDEX(I_COA!$F$6:$F$265,MATCH(Q1249,I_COA!$A$6:$A$265,0)),"?"))))</f>
        <v>Bayar pemasok barang (live bird &amp; trading)</v>
      </c>
    </row>
    <row r="1250" customFormat="false" ht="15" hidden="false" customHeight="false" outlineLevel="0" collapsed="false">
      <c r="A1250" s="37" t="n">
        <v>46253</v>
      </c>
      <c r="B1250" s="44" t="s">
        <v>1599</v>
      </c>
      <c r="C1250" s="44" t="s">
        <v>580</v>
      </c>
      <c r="D1250" s="44" t="n">
        <v>1103121</v>
      </c>
      <c r="E1250" s="44" t="s">
        <v>685</v>
      </c>
      <c r="F1250" s="44" t="s">
        <v>1475</v>
      </c>
      <c r="G1250" s="42"/>
      <c r="H1250" s="42" t="n">
        <v>7076350</v>
      </c>
      <c r="I1250" s="44" t="s">
        <v>660</v>
      </c>
      <c r="J1250" s="11" t="n">
        <f aca="false">IF(D1250="","",N(G1250)-N(H1250))</f>
        <v>-7076350</v>
      </c>
      <c r="K1250" s="34" t="str">
        <f aca="false">IF(D1250="","",IFERROR(INDEX(I_COA!$C$6:$C$265,MATCH(D1250,I_COA!$A$6:$A$265,0)),"AKUN BARU"))</f>
        <v>Neraca</v>
      </c>
      <c r="L1250" s="34" t="str">
        <f aca="false">IF(K1250="LabaRugi",INDEX(I_COA!$D$6:$D$265,MATCH(D1250,I_COA!$A$6:$A$265,0)),"")</f>
        <v/>
      </c>
      <c r="M1250" s="34" t="str">
        <f aca="false">IF(K1250="Neraca",INDEX(I_COA!$E$6:$E$265,MATCH(D1250,I_COA!$A$6:$A$265,0)),"")</f>
        <v>Advance Payment</v>
      </c>
      <c r="N1250" s="34" t="str">
        <f aca="false">IF(D1250="","",IFERROR(INDEX(I_COA!$G$6:$G$265,MATCH(D1250,I_COA!$A$6:$A$265,0)),"N"))</f>
        <v>N</v>
      </c>
      <c r="O1250" s="11" t="n">
        <f aca="false">IF(N1250="N",ABS(J1250),"")</f>
        <v>7076350</v>
      </c>
      <c r="P1250" s="18" t="str">
        <f aca="false">IF(N1250="N",B1250&amp;"|"&amp;ROUND(O1250,0),"")</f>
        <v>B7626080083|7076350</v>
      </c>
      <c r="Q1250" s="18" t="str">
        <f aca="false">IF(N1250&lt;&gt;"Y","",IFERROR(INDEX($D$6:$D$4005,MATCH(B1250&amp;"|"&amp;ROUND(_xlfn.MAXIFS($O$6:$O$4005,$B$6:$B$4005,B1250,$N$6:$N$4005,"N"),0),$P$6:$P$4005,0)),"(tanpa lawan)"))</f>
        <v/>
      </c>
      <c r="R1250" s="44"/>
      <c r="S1250" s="9" t="str">
        <f aca="false">IF(N1250&lt;&gt;"Y","",IF(R1250&lt;&gt;"",R1250,IF(Q1250="(tanpa lawan)","Transfer antar rekening",IFERROR(INDEX(I_COA!$F$6:$F$265,MATCH(Q1250,I_COA!$A$6:$A$265,0)),"?"))))</f>
        <v/>
      </c>
    </row>
    <row r="1251" customFormat="false" ht="15" hidden="false" customHeight="false" outlineLevel="0" collapsed="false">
      <c r="A1251" s="37" t="n">
        <v>46253</v>
      </c>
      <c r="B1251" s="44" t="s">
        <v>1600</v>
      </c>
      <c r="C1251" s="44" t="s">
        <v>585</v>
      </c>
      <c r="D1251" s="44" t="n">
        <v>1102001</v>
      </c>
      <c r="E1251" s="44" t="s">
        <v>586</v>
      </c>
      <c r="F1251" s="44" t="s">
        <v>1601</v>
      </c>
      <c r="G1251" s="42" t="n">
        <v>1331000</v>
      </c>
      <c r="H1251" s="42"/>
      <c r="I1251" s="44" t="s">
        <v>1269</v>
      </c>
      <c r="J1251" s="11" t="n">
        <f aca="false">IF(D1251="","",N(G1251)-N(H1251))</f>
        <v>1331000</v>
      </c>
      <c r="K1251" s="34" t="str">
        <f aca="false">IF(D1251="","",IFERROR(INDEX(I_COA!$C$6:$C$265,MATCH(D1251,I_COA!$A$6:$A$265,0)),"AKUN BARU"))</f>
        <v>Neraca</v>
      </c>
      <c r="L1251" s="34" t="str">
        <f aca="false">IF(K1251="LabaRugi",INDEX(I_COA!$D$6:$D$265,MATCH(D1251,I_COA!$A$6:$A$265,0)),"")</f>
        <v/>
      </c>
      <c r="M1251" s="34" t="str">
        <f aca="false">IF(K1251="Neraca",INDEX(I_COA!$E$6:$E$265,MATCH(D1251,I_COA!$A$6:$A$265,0)),"")</f>
        <v>Cash and cash equivalents</v>
      </c>
      <c r="N1251" s="34" t="str">
        <f aca="false">IF(D1251="","",IFERROR(INDEX(I_COA!$G$6:$G$265,MATCH(D1251,I_COA!$A$6:$A$265,0)),"N"))</f>
        <v>Y</v>
      </c>
      <c r="O1251" s="11" t="str">
        <f aca="false">IF(N1251="N",ABS(J1251),"")</f>
        <v/>
      </c>
      <c r="P1251" s="18" t="str">
        <f aca="false">IF(N1251="N",B1251&amp;"|"&amp;ROUND(O1251,0),"")</f>
        <v/>
      </c>
      <c r="Q1251" s="18" t="n">
        <f aca="false">IF(N1251&lt;&gt;"Y","",IFERROR(INDEX($D$6:$D$4005,MATCH(B1251&amp;"|"&amp;ROUND(_xlfn.MAXIFS($O$6:$O$4005,$B$6:$B$4005,B1251,$N$6:$N$4005,"N"),0),$P$6:$P$4005,0)),"(tanpa lawan)"))</f>
        <v>1103101</v>
      </c>
      <c r="R1251" s="44"/>
      <c r="S1251" s="9" t="str">
        <f aca="false">IF(N1251&lt;&gt;"Y","",IF(R1251&lt;&gt;"",R1251,IF(Q1251="(tanpa lawan)","Transfer antar rekening",IFERROR(INDEX(I_COA!$F$6:$F$265,MATCH(Q1251,I_COA!$A$6:$A$265,0)),"?"))))</f>
        <v>Penerimaan dari pelanggan</v>
      </c>
    </row>
    <row r="1252" customFormat="false" ht="15" hidden="false" customHeight="false" outlineLevel="0" collapsed="false">
      <c r="A1252" s="37" t="n">
        <v>46253</v>
      </c>
      <c r="B1252" s="44" t="s">
        <v>1600</v>
      </c>
      <c r="C1252" s="44" t="s">
        <v>585</v>
      </c>
      <c r="D1252" s="44" t="n">
        <v>1103101</v>
      </c>
      <c r="E1252" s="44" t="s">
        <v>589</v>
      </c>
      <c r="F1252" s="44" t="s">
        <v>1601</v>
      </c>
      <c r="G1252" s="42"/>
      <c r="H1252" s="42" t="n">
        <v>1331000</v>
      </c>
      <c r="I1252" s="44" t="s">
        <v>1269</v>
      </c>
      <c r="J1252" s="11" t="n">
        <f aca="false">IF(D1252="","",N(G1252)-N(H1252))</f>
        <v>-1331000</v>
      </c>
      <c r="K1252" s="34" t="str">
        <f aca="false">IF(D1252="","",IFERROR(INDEX(I_COA!$C$6:$C$265,MATCH(D1252,I_COA!$A$6:$A$265,0)),"AKUN BARU"))</f>
        <v>Neraca</v>
      </c>
      <c r="L1252" s="34" t="str">
        <f aca="false">IF(K1252="LabaRugi",INDEX(I_COA!$D$6:$D$265,MATCH(D1252,I_COA!$A$6:$A$265,0)),"")</f>
        <v/>
      </c>
      <c r="M1252" s="34" t="str">
        <f aca="false">IF(K1252="Neraca",INDEX(I_COA!$E$6:$E$265,MATCH(D1252,I_COA!$A$6:$A$265,0)),"")</f>
        <v>Trade Receivables - Third Parties</v>
      </c>
      <c r="N1252" s="34" t="str">
        <f aca="false">IF(D1252="","",IFERROR(INDEX(I_COA!$G$6:$G$265,MATCH(D1252,I_COA!$A$6:$A$265,0)),"N"))</f>
        <v>N</v>
      </c>
      <c r="O1252" s="11" t="n">
        <f aca="false">IF(N1252="N",ABS(J1252),"")</f>
        <v>1331000</v>
      </c>
      <c r="P1252" s="18" t="str">
        <f aca="false">IF(N1252="N",B1252&amp;"|"&amp;ROUND(O1252,0),"")</f>
        <v>B7626080084|1331000</v>
      </c>
      <c r="Q1252" s="18" t="str">
        <f aca="false">IF(N1252&lt;&gt;"Y","",IFERROR(INDEX($D$6:$D$4005,MATCH(B1252&amp;"|"&amp;ROUND(_xlfn.MAXIFS($O$6:$O$4005,$B$6:$B$4005,B1252,$N$6:$N$4005,"N"),0),$P$6:$P$4005,0)),"(tanpa lawan)"))</f>
        <v/>
      </c>
      <c r="R1252" s="44"/>
      <c r="S1252" s="9" t="str">
        <f aca="false">IF(N1252&lt;&gt;"Y","",IF(R1252&lt;&gt;"",R1252,IF(Q1252="(tanpa lawan)","Transfer antar rekening",IFERROR(INDEX(I_COA!$F$6:$F$265,MATCH(Q1252,I_COA!$A$6:$A$265,0)),"?"))))</f>
        <v/>
      </c>
    </row>
    <row r="1253" customFormat="false" ht="15" hidden="false" customHeight="false" outlineLevel="0" collapsed="false">
      <c r="A1253" s="37" t="n">
        <v>46253</v>
      </c>
      <c r="B1253" s="44" t="s">
        <v>1602</v>
      </c>
      <c r="C1253" s="44" t="s">
        <v>585</v>
      </c>
      <c r="D1253" s="44" t="n">
        <v>1102001</v>
      </c>
      <c r="E1253" s="44" t="s">
        <v>586</v>
      </c>
      <c r="F1253" s="44" t="s">
        <v>1603</v>
      </c>
      <c r="G1253" s="42" t="n">
        <v>65929680</v>
      </c>
      <c r="H1253" s="42"/>
      <c r="I1253" s="44" t="s">
        <v>1604</v>
      </c>
      <c r="J1253" s="11" t="n">
        <f aca="false">IF(D1253="","",N(G1253)-N(H1253))</f>
        <v>65929680</v>
      </c>
      <c r="K1253" s="34" t="str">
        <f aca="false">IF(D1253="","",IFERROR(INDEX(I_COA!$C$6:$C$265,MATCH(D1253,I_COA!$A$6:$A$265,0)),"AKUN BARU"))</f>
        <v>Neraca</v>
      </c>
      <c r="L1253" s="34" t="str">
        <f aca="false">IF(K1253="LabaRugi",INDEX(I_COA!$D$6:$D$265,MATCH(D1253,I_COA!$A$6:$A$265,0)),"")</f>
        <v/>
      </c>
      <c r="M1253" s="34" t="str">
        <f aca="false">IF(K1253="Neraca",INDEX(I_COA!$E$6:$E$265,MATCH(D1253,I_COA!$A$6:$A$265,0)),"")</f>
        <v>Cash and cash equivalents</v>
      </c>
      <c r="N1253" s="34" t="str">
        <f aca="false">IF(D1253="","",IFERROR(INDEX(I_COA!$G$6:$G$265,MATCH(D1253,I_COA!$A$6:$A$265,0)),"N"))</f>
        <v>Y</v>
      </c>
      <c r="O1253" s="11" t="str">
        <f aca="false">IF(N1253="N",ABS(J1253),"")</f>
        <v/>
      </c>
      <c r="P1253" s="18" t="str">
        <f aca="false">IF(N1253="N",B1253&amp;"|"&amp;ROUND(O1253,0),"")</f>
        <v/>
      </c>
      <c r="Q1253" s="18" t="n">
        <f aca="false">IF(N1253&lt;&gt;"Y","",IFERROR(INDEX($D$6:$D$4005,MATCH(B1253&amp;"|"&amp;ROUND(_xlfn.MAXIFS($O$6:$O$4005,$B$6:$B$4005,B1253,$N$6:$N$4005,"N"),0),$P$6:$P$4005,0)),"(tanpa lawan)"))</f>
        <v>1103101</v>
      </c>
      <c r="R1253" s="44"/>
      <c r="S1253" s="9" t="str">
        <f aca="false">IF(N1253&lt;&gt;"Y","",IF(R1253&lt;&gt;"",R1253,IF(Q1253="(tanpa lawan)","Transfer antar rekening",IFERROR(INDEX(I_COA!$F$6:$F$265,MATCH(Q1253,I_COA!$A$6:$A$265,0)),"?"))))</f>
        <v>Penerimaan dari pelanggan</v>
      </c>
    </row>
    <row r="1254" customFormat="false" ht="15" hidden="false" customHeight="false" outlineLevel="0" collapsed="false">
      <c r="A1254" s="37" t="n">
        <v>46253</v>
      </c>
      <c r="B1254" s="44" t="s">
        <v>1602</v>
      </c>
      <c r="C1254" s="44" t="s">
        <v>585</v>
      </c>
      <c r="D1254" s="44" t="n">
        <v>1103101</v>
      </c>
      <c r="E1254" s="44" t="s">
        <v>589</v>
      </c>
      <c r="F1254" s="44" t="s">
        <v>1603</v>
      </c>
      <c r="G1254" s="42"/>
      <c r="H1254" s="42" t="n">
        <v>65929680</v>
      </c>
      <c r="I1254" s="44" t="s">
        <v>1604</v>
      </c>
      <c r="J1254" s="11" t="n">
        <f aca="false">IF(D1254="","",N(G1254)-N(H1254))</f>
        <v>-65929680</v>
      </c>
      <c r="K1254" s="34" t="str">
        <f aca="false">IF(D1254="","",IFERROR(INDEX(I_COA!$C$6:$C$265,MATCH(D1254,I_COA!$A$6:$A$265,0)),"AKUN BARU"))</f>
        <v>Neraca</v>
      </c>
      <c r="L1254" s="34" t="str">
        <f aca="false">IF(K1254="LabaRugi",INDEX(I_COA!$D$6:$D$265,MATCH(D1254,I_COA!$A$6:$A$265,0)),"")</f>
        <v/>
      </c>
      <c r="M1254" s="34" t="str">
        <f aca="false">IF(K1254="Neraca",INDEX(I_COA!$E$6:$E$265,MATCH(D1254,I_COA!$A$6:$A$265,0)),"")</f>
        <v>Trade Receivables - Third Parties</v>
      </c>
      <c r="N1254" s="34" t="str">
        <f aca="false">IF(D1254="","",IFERROR(INDEX(I_COA!$G$6:$G$265,MATCH(D1254,I_COA!$A$6:$A$265,0)),"N"))</f>
        <v>N</v>
      </c>
      <c r="O1254" s="11" t="n">
        <f aca="false">IF(N1254="N",ABS(J1254),"")</f>
        <v>65929680</v>
      </c>
      <c r="P1254" s="18" t="str">
        <f aca="false">IF(N1254="N",B1254&amp;"|"&amp;ROUND(O1254,0),"")</f>
        <v>B7626080085|65929680</v>
      </c>
      <c r="Q1254" s="18" t="str">
        <f aca="false">IF(N1254&lt;&gt;"Y","",IFERROR(INDEX($D$6:$D$4005,MATCH(B1254&amp;"|"&amp;ROUND(_xlfn.MAXIFS($O$6:$O$4005,$B$6:$B$4005,B1254,$N$6:$N$4005,"N"),0),$P$6:$P$4005,0)),"(tanpa lawan)"))</f>
        <v/>
      </c>
      <c r="R1254" s="44"/>
      <c r="S1254" s="9" t="str">
        <f aca="false">IF(N1254&lt;&gt;"Y","",IF(R1254&lt;&gt;"",R1254,IF(Q1254="(tanpa lawan)","Transfer antar rekening",IFERROR(INDEX(I_COA!$F$6:$F$265,MATCH(Q1254,I_COA!$A$6:$A$265,0)),"?"))))</f>
        <v/>
      </c>
    </row>
    <row r="1255" customFormat="false" ht="15" hidden="false" customHeight="false" outlineLevel="0" collapsed="false">
      <c r="A1255" s="37" t="n">
        <v>46253</v>
      </c>
      <c r="B1255" s="44" t="s">
        <v>1605</v>
      </c>
      <c r="C1255" s="44" t="s">
        <v>585</v>
      </c>
      <c r="D1255" s="44" t="n">
        <v>1102001</v>
      </c>
      <c r="E1255" s="44" t="s">
        <v>586</v>
      </c>
      <c r="F1255" s="44" t="s">
        <v>1606</v>
      </c>
      <c r="G1255" s="42" t="n">
        <v>92669800</v>
      </c>
      <c r="H1255" s="42"/>
      <c r="I1255" s="44" t="s">
        <v>432</v>
      </c>
      <c r="J1255" s="11" t="n">
        <f aca="false">IF(D1255="","",N(G1255)-N(H1255))</f>
        <v>92669800</v>
      </c>
      <c r="K1255" s="34" t="str">
        <f aca="false">IF(D1255="","",IFERROR(INDEX(I_COA!$C$6:$C$265,MATCH(D1255,I_COA!$A$6:$A$265,0)),"AKUN BARU"))</f>
        <v>Neraca</v>
      </c>
      <c r="L1255" s="34" t="str">
        <f aca="false">IF(K1255="LabaRugi",INDEX(I_COA!$D$6:$D$265,MATCH(D1255,I_COA!$A$6:$A$265,0)),"")</f>
        <v/>
      </c>
      <c r="M1255" s="34" t="str">
        <f aca="false">IF(K1255="Neraca",INDEX(I_COA!$E$6:$E$265,MATCH(D1255,I_COA!$A$6:$A$265,0)),"")</f>
        <v>Cash and cash equivalents</v>
      </c>
      <c r="N1255" s="34" t="str">
        <f aca="false">IF(D1255="","",IFERROR(INDEX(I_COA!$G$6:$G$265,MATCH(D1255,I_COA!$A$6:$A$265,0)),"N"))</f>
        <v>Y</v>
      </c>
      <c r="O1255" s="11" t="str">
        <f aca="false">IF(N1255="N",ABS(J1255),"")</f>
        <v/>
      </c>
      <c r="P1255" s="18" t="str">
        <f aca="false">IF(N1255="N",B1255&amp;"|"&amp;ROUND(O1255,0),"")</f>
        <v/>
      </c>
      <c r="Q1255" s="18" t="n">
        <f aca="false">IF(N1255&lt;&gt;"Y","",IFERROR(INDEX($D$6:$D$4005,MATCH(B1255&amp;"|"&amp;ROUND(_xlfn.MAXIFS($O$6:$O$4005,$B$6:$B$4005,B1255,$N$6:$N$4005,"N"),0),$P$6:$P$4005,0)),"(tanpa lawan)"))</f>
        <v>1103101</v>
      </c>
      <c r="R1255" s="44"/>
      <c r="S1255" s="9" t="str">
        <f aca="false">IF(N1255&lt;&gt;"Y","",IF(R1255&lt;&gt;"",R1255,IF(Q1255="(tanpa lawan)","Transfer antar rekening",IFERROR(INDEX(I_COA!$F$6:$F$265,MATCH(Q1255,I_COA!$A$6:$A$265,0)),"?"))))</f>
        <v>Penerimaan dari pelanggan</v>
      </c>
    </row>
    <row r="1256" customFormat="false" ht="15" hidden="false" customHeight="false" outlineLevel="0" collapsed="false">
      <c r="A1256" s="37" t="n">
        <v>46253</v>
      </c>
      <c r="B1256" s="44" t="s">
        <v>1605</v>
      </c>
      <c r="C1256" s="44" t="s">
        <v>585</v>
      </c>
      <c r="D1256" s="44" t="n">
        <v>1103101</v>
      </c>
      <c r="E1256" s="44" t="s">
        <v>589</v>
      </c>
      <c r="F1256" s="44" t="s">
        <v>1606</v>
      </c>
      <c r="G1256" s="42"/>
      <c r="H1256" s="42" t="n">
        <v>645000</v>
      </c>
      <c r="I1256" s="44" t="s">
        <v>432</v>
      </c>
      <c r="J1256" s="11" t="n">
        <f aca="false">IF(D1256="","",N(G1256)-N(H1256))</f>
        <v>-645000</v>
      </c>
      <c r="K1256" s="34" t="str">
        <f aca="false">IF(D1256="","",IFERROR(INDEX(I_COA!$C$6:$C$265,MATCH(D1256,I_COA!$A$6:$A$265,0)),"AKUN BARU"))</f>
        <v>Neraca</v>
      </c>
      <c r="L1256" s="34" t="str">
        <f aca="false">IF(K1256="LabaRugi",INDEX(I_COA!$D$6:$D$265,MATCH(D1256,I_COA!$A$6:$A$265,0)),"")</f>
        <v/>
      </c>
      <c r="M1256" s="34" t="str">
        <f aca="false">IF(K1256="Neraca",INDEX(I_COA!$E$6:$E$265,MATCH(D1256,I_COA!$A$6:$A$265,0)),"")</f>
        <v>Trade Receivables - Third Parties</v>
      </c>
      <c r="N1256" s="34" t="str">
        <f aca="false">IF(D1256="","",IFERROR(INDEX(I_COA!$G$6:$G$265,MATCH(D1256,I_COA!$A$6:$A$265,0)),"N"))</f>
        <v>N</v>
      </c>
      <c r="O1256" s="11" t="n">
        <f aca="false">IF(N1256="N",ABS(J1256),"")</f>
        <v>645000</v>
      </c>
      <c r="P1256" s="18" t="str">
        <f aca="false">IF(N1256="N",B1256&amp;"|"&amp;ROUND(O1256,0),"")</f>
        <v>B7626080086|645000</v>
      </c>
      <c r="Q1256" s="18" t="str">
        <f aca="false">IF(N1256&lt;&gt;"Y","",IFERROR(INDEX($D$6:$D$4005,MATCH(B1256&amp;"|"&amp;ROUND(_xlfn.MAXIFS($O$6:$O$4005,$B$6:$B$4005,B1256,$N$6:$N$4005,"N"),0),$P$6:$P$4005,0)),"(tanpa lawan)"))</f>
        <v/>
      </c>
      <c r="R1256" s="44"/>
      <c r="S1256" s="9" t="str">
        <f aca="false">IF(N1256&lt;&gt;"Y","",IF(R1256&lt;&gt;"",R1256,IF(Q1256="(tanpa lawan)","Transfer antar rekening",IFERROR(INDEX(I_COA!$F$6:$F$265,MATCH(Q1256,I_COA!$A$6:$A$265,0)),"?"))))</f>
        <v/>
      </c>
    </row>
    <row r="1257" customFormat="false" ht="15" hidden="false" customHeight="false" outlineLevel="0" collapsed="false">
      <c r="A1257" s="37" t="n">
        <v>46253</v>
      </c>
      <c r="B1257" s="44" t="s">
        <v>1605</v>
      </c>
      <c r="C1257" s="44" t="s">
        <v>585</v>
      </c>
      <c r="D1257" s="44" t="n">
        <v>1103101</v>
      </c>
      <c r="E1257" s="44" t="s">
        <v>589</v>
      </c>
      <c r="F1257" s="44" t="s">
        <v>1606</v>
      </c>
      <c r="G1257" s="42"/>
      <c r="H1257" s="42" t="n">
        <v>600980</v>
      </c>
      <c r="I1257" s="44" t="s">
        <v>432</v>
      </c>
      <c r="J1257" s="11" t="n">
        <f aca="false">IF(D1257="","",N(G1257)-N(H1257))</f>
        <v>-600980</v>
      </c>
      <c r="K1257" s="34" t="str">
        <f aca="false">IF(D1257="","",IFERROR(INDEX(I_COA!$C$6:$C$265,MATCH(D1257,I_COA!$A$6:$A$265,0)),"AKUN BARU"))</f>
        <v>Neraca</v>
      </c>
      <c r="L1257" s="34" t="str">
        <f aca="false">IF(K1257="LabaRugi",INDEX(I_COA!$D$6:$D$265,MATCH(D1257,I_COA!$A$6:$A$265,0)),"")</f>
        <v/>
      </c>
      <c r="M1257" s="34" t="str">
        <f aca="false">IF(K1257="Neraca",INDEX(I_COA!$E$6:$E$265,MATCH(D1257,I_COA!$A$6:$A$265,0)),"")</f>
        <v>Trade Receivables - Third Parties</v>
      </c>
      <c r="N1257" s="34" t="str">
        <f aca="false">IF(D1257="","",IFERROR(INDEX(I_COA!$G$6:$G$265,MATCH(D1257,I_COA!$A$6:$A$265,0)),"N"))</f>
        <v>N</v>
      </c>
      <c r="O1257" s="11" t="n">
        <f aca="false">IF(N1257="N",ABS(J1257),"")</f>
        <v>600980</v>
      </c>
      <c r="P1257" s="18" t="str">
        <f aca="false">IF(N1257="N",B1257&amp;"|"&amp;ROUND(O1257,0),"")</f>
        <v>B7626080086|600980</v>
      </c>
      <c r="Q1257" s="18" t="str">
        <f aca="false">IF(N1257&lt;&gt;"Y","",IFERROR(INDEX($D$6:$D$4005,MATCH(B1257&amp;"|"&amp;ROUND(_xlfn.MAXIFS($O$6:$O$4005,$B$6:$B$4005,B1257,$N$6:$N$4005,"N"),0),$P$6:$P$4005,0)),"(tanpa lawan)"))</f>
        <v/>
      </c>
      <c r="R1257" s="44"/>
      <c r="S1257" s="9" t="str">
        <f aca="false">IF(N1257&lt;&gt;"Y","",IF(R1257&lt;&gt;"",R1257,IF(Q1257="(tanpa lawan)","Transfer antar rekening",IFERROR(INDEX(I_COA!$F$6:$F$265,MATCH(Q1257,I_COA!$A$6:$A$265,0)),"?"))))</f>
        <v/>
      </c>
    </row>
    <row r="1258" customFormat="false" ht="15" hidden="false" customHeight="false" outlineLevel="0" collapsed="false">
      <c r="A1258" s="37" t="n">
        <v>46253</v>
      </c>
      <c r="B1258" s="44" t="s">
        <v>1605</v>
      </c>
      <c r="C1258" s="44" t="s">
        <v>585</v>
      </c>
      <c r="D1258" s="44" t="n">
        <v>1103101</v>
      </c>
      <c r="E1258" s="44" t="s">
        <v>589</v>
      </c>
      <c r="F1258" s="44" t="s">
        <v>1606</v>
      </c>
      <c r="G1258" s="42"/>
      <c r="H1258" s="42" t="n">
        <v>91404200</v>
      </c>
      <c r="I1258" s="44" t="s">
        <v>432</v>
      </c>
      <c r="J1258" s="11" t="n">
        <f aca="false">IF(D1258="","",N(G1258)-N(H1258))</f>
        <v>-91404200</v>
      </c>
      <c r="K1258" s="34" t="str">
        <f aca="false">IF(D1258="","",IFERROR(INDEX(I_COA!$C$6:$C$265,MATCH(D1258,I_COA!$A$6:$A$265,0)),"AKUN BARU"))</f>
        <v>Neraca</v>
      </c>
      <c r="L1258" s="34" t="str">
        <f aca="false">IF(K1258="LabaRugi",INDEX(I_COA!$D$6:$D$265,MATCH(D1258,I_COA!$A$6:$A$265,0)),"")</f>
        <v/>
      </c>
      <c r="M1258" s="34" t="str">
        <f aca="false">IF(K1258="Neraca",INDEX(I_COA!$E$6:$E$265,MATCH(D1258,I_COA!$A$6:$A$265,0)),"")</f>
        <v>Trade Receivables - Third Parties</v>
      </c>
      <c r="N1258" s="34" t="str">
        <f aca="false">IF(D1258="","",IFERROR(INDEX(I_COA!$G$6:$G$265,MATCH(D1258,I_COA!$A$6:$A$265,0)),"N"))</f>
        <v>N</v>
      </c>
      <c r="O1258" s="11" t="n">
        <f aca="false">IF(N1258="N",ABS(J1258),"")</f>
        <v>91404200</v>
      </c>
      <c r="P1258" s="18" t="str">
        <f aca="false">IF(N1258="N",B1258&amp;"|"&amp;ROUND(O1258,0),"")</f>
        <v>B7626080086|91404200</v>
      </c>
      <c r="Q1258" s="18" t="str">
        <f aca="false">IF(N1258&lt;&gt;"Y","",IFERROR(INDEX($D$6:$D$4005,MATCH(B1258&amp;"|"&amp;ROUND(_xlfn.MAXIFS($O$6:$O$4005,$B$6:$B$4005,B1258,$N$6:$N$4005,"N"),0),$P$6:$P$4005,0)),"(tanpa lawan)"))</f>
        <v/>
      </c>
      <c r="R1258" s="44"/>
      <c r="S1258" s="9" t="str">
        <f aca="false">IF(N1258&lt;&gt;"Y","",IF(R1258&lt;&gt;"",R1258,IF(Q1258="(tanpa lawan)","Transfer antar rekening",IFERROR(INDEX(I_COA!$F$6:$F$265,MATCH(Q1258,I_COA!$A$6:$A$265,0)),"?"))))</f>
        <v/>
      </c>
    </row>
    <row r="1259" customFormat="false" ht="15" hidden="false" customHeight="false" outlineLevel="0" collapsed="false">
      <c r="A1259" s="37" t="n">
        <v>46253</v>
      </c>
      <c r="B1259" s="44" t="s">
        <v>1605</v>
      </c>
      <c r="C1259" s="44" t="s">
        <v>585</v>
      </c>
      <c r="D1259" s="44" t="n">
        <v>7100009</v>
      </c>
      <c r="E1259" s="44" t="s">
        <v>189</v>
      </c>
      <c r="F1259" s="44" t="s">
        <v>1606</v>
      </c>
      <c r="G1259" s="42"/>
      <c r="H1259" s="42" t="n">
        <v>16060</v>
      </c>
      <c r="I1259" s="44" t="s">
        <v>432</v>
      </c>
      <c r="J1259" s="11" t="n">
        <f aca="false">IF(D1259="","",N(G1259)-N(H1259))</f>
        <v>-16060</v>
      </c>
      <c r="K1259" s="34" t="str">
        <f aca="false">IF(D1259="","",IFERROR(INDEX(I_COA!$C$6:$C$265,MATCH(D1259,I_COA!$A$6:$A$265,0)),"AKUN BARU"))</f>
        <v>LabaRugi</v>
      </c>
      <c r="L1259" s="34" t="str">
        <f aca="false">IF(K1259="LabaRugi",INDEX(I_COA!$D$6:$D$265,MATCH(D1259,I_COA!$A$6:$A$265,0)),"")</f>
        <v>Other Income</v>
      </c>
      <c r="M1259" s="34" t="str">
        <f aca="false">IF(K1259="Neraca",INDEX(I_COA!$E$6:$E$265,MATCH(D1259,I_COA!$A$6:$A$265,0)),"")</f>
        <v/>
      </c>
      <c r="N1259" s="34" t="str">
        <f aca="false">IF(D1259="","",IFERROR(INDEX(I_COA!$G$6:$G$265,MATCH(D1259,I_COA!$A$6:$A$265,0)),"N"))</f>
        <v>N</v>
      </c>
      <c r="O1259" s="11" t="n">
        <f aca="false">IF(N1259="N",ABS(J1259),"")</f>
        <v>16060</v>
      </c>
      <c r="P1259" s="18" t="str">
        <f aca="false">IF(N1259="N",B1259&amp;"|"&amp;ROUND(O1259,0),"")</f>
        <v>B7626080086|16060</v>
      </c>
      <c r="Q1259" s="18" t="str">
        <f aca="false">IF(N1259&lt;&gt;"Y","",IFERROR(INDEX($D$6:$D$4005,MATCH(B1259&amp;"|"&amp;ROUND(_xlfn.MAXIFS($O$6:$O$4005,$B$6:$B$4005,B1259,$N$6:$N$4005,"N"),0),$P$6:$P$4005,0)),"(tanpa lawan)"))</f>
        <v/>
      </c>
      <c r="R1259" s="44"/>
      <c r="S1259" s="9" t="str">
        <f aca="false">IF(N1259&lt;&gt;"Y","",IF(R1259&lt;&gt;"",R1259,IF(Q1259="(tanpa lawan)","Transfer antar rekening",IFERROR(INDEX(I_COA!$F$6:$F$265,MATCH(Q1259,I_COA!$A$6:$A$265,0)),"?"))))</f>
        <v/>
      </c>
    </row>
    <row r="1260" customFormat="false" ht="15" hidden="false" customHeight="false" outlineLevel="0" collapsed="false">
      <c r="A1260" s="37" t="n">
        <v>46253</v>
      </c>
      <c r="B1260" s="44" t="s">
        <v>1605</v>
      </c>
      <c r="C1260" s="44" t="s">
        <v>585</v>
      </c>
      <c r="D1260" s="44" t="n">
        <v>1103101</v>
      </c>
      <c r="E1260" s="44" t="s">
        <v>589</v>
      </c>
      <c r="F1260" s="44" t="s">
        <v>1606</v>
      </c>
      <c r="G1260" s="42"/>
      <c r="H1260" s="42" t="n">
        <v>2240</v>
      </c>
      <c r="I1260" s="44" t="s">
        <v>432</v>
      </c>
      <c r="J1260" s="11" t="n">
        <f aca="false">IF(D1260="","",N(G1260)-N(H1260))</f>
        <v>-2240</v>
      </c>
      <c r="K1260" s="34" t="str">
        <f aca="false">IF(D1260="","",IFERROR(INDEX(I_COA!$C$6:$C$265,MATCH(D1260,I_COA!$A$6:$A$265,0)),"AKUN BARU"))</f>
        <v>Neraca</v>
      </c>
      <c r="L1260" s="34" t="str">
        <f aca="false">IF(K1260="LabaRugi",INDEX(I_COA!$D$6:$D$265,MATCH(D1260,I_COA!$A$6:$A$265,0)),"")</f>
        <v/>
      </c>
      <c r="M1260" s="34" t="str">
        <f aca="false">IF(K1260="Neraca",INDEX(I_COA!$E$6:$E$265,MATCH(D1260,I_COA!$A$6:$A$265,0)),"")</f>
        <v>Trade Receivables - Third Parties</v>
      </c>
      <c r="N1260" s="34" t="str">
        <f aca="false">IF(D1260="","",IFERROR(INDEX(I_COA!$G$6:$G$265,MATCH(D1260,I_COA!$A$6:$A$265,0)),"N"))</f>
        <v>N</v>
      </c>
      <c r="O1260" s="11" t="n">
        <f aca="false">IF(N1260="N",ABS(J1260),"")</f>
        <v>2240</v>
      </c>
      <c r="P1260" s="18" t="str">
        <f aca="false">IF(N1260="N",B1260&amp;"|"&amp;ROUND(O1260,0),"")</f>
        <v>B7626080086|2240</v>
      </c>
      <c r="Q1260" s="18" t="str">
        <f aca="false">IF(N1260&lt;&gt;"Y","",IFERROR(INDEX($D$6:$D$4005,MATCH(B1260&amp;"|"&amp;ROUND(_xlfn.MAXIFS($O$6:$O$4005,$B$6:$B$4005,B1260,$N$6:$N$4005,"N"),0),$P$6:$P$4005,0)),"(tanpa lawan)"))</f>
        <v/>
      </c>
      <c r="R1260" s="44"/>
      <c r="S1260" s="9" t="str">
        <f aca="false">IF(N1260&lt;&gt;"Y","",IF(R1260&lt;&gt;"",R1260,IF(Q1260="(tanpa lawan)","Transfer antar rekening",IFERROR(INDEX(I_COA!$F$6:$F$265,MATCH(Q1260,I_COA!$A$6:$A$265,0)),"?"))))</f>
        <v/>
      </c>
    </row>
    <row r="1261" customFormat="false" ht="15" hidden="false" customHeight="false" outlineLevel="0" collapsed="false">
      <c r="A1261" s="37" t="n">
        <v>46253</v>
      </c>
      <c r="B1261" s="44" t="s">
        <v>1605</v>
      </c>
      <c r="C1261" s="44" t="s">
        <v>585</v>
      </c>
      <c r="D1261" s="44" t="n">
        <v>1103101</v>
      </c>
      <c r="E1261" s="44" t="s">
        <v>589</v>
      </c>
      <c r="F1261" s="44" t="s">
        <v>1606</v>
      </c>
      <c r="G1261" s="42"/>
      <c r="H1261" s="42" t="n">
        <v>1320</v>
      </c>
      <c r="I1261" s="44" t="s">
        <v>432</v>
      </c>
      <c r="J1261" s="11" t="n">
        <f aca="false">IF(D1261="","",N(G1261)-N(H1261))</f>
        <v>-1320</v>
      </c>
      <c r="K1261" s="34" t="str">
        <f aca="false">IF(D1261="","",IFERROR(INDEX(I_COA!$C$6:$C$265,MATCH(D1261,I_COA!$A$6:$A$265,0)),"AKUN BARU"))</f>
        <v>Neraca</v>
      </c>
      <c r="L1261" s="34" t="str">
        <f aca="false">IF(K1261="LabaRugi",INDEX(I_COA!$D$6:$D$265,MATCH(D1261,I_COA!$A$6:$A$265,0)),"")</f>
        <v/>
      </c>
      <c r="M1261" s="34" t="str">
        <f aca="false">IF(K1261="Neraca",INDEX(I_COA!$E$6:$E$265,MATCH(D1261,I_COA!$A$6:$A$265,0)),"")</f>
        <v>Trade Receivables - Third Parties</v>
      </c>
      <c r="N1261" s="34" t="str">
        <f aca="false">IF(D1261="","",IFERROR(INDEX(I_COA!$G$6:$G$265,MATCH(D1261,I_COA!$A$6:$A$265,0)),"N"))</f>
        <v>N</v>
      </c>
      <c r="O1261" s="11" t="n">
        <f aca="false">IF(N1261="N",ABS(J1261),"")</f>
        <v>1320</v>
      </c>
      <c r="P1261" s="18" t="str">
        <f aca="false">IF(N1261="N",B1261&amp;"|"&amp;ROUND(O1261,0),"")</f>
        <v>B7626080086|1320</v>
      </c>
      <c r="Q1261" s="18" t="str">
        <f aca="false">IF(N1261&lt;&gt;"Y","",IFERROR(INDEX($D$6:$D$4005,MATCH(B1261&amp;"|"&amp;ROUND(_xlfn.MAXIFS($O$6:$O$4005,$B$6:$B$4005,B1261,$N$6:$N$4005,"N"),0),$P$6:$P$4005,0)),"(tanpa lawan)"))</f>
        <v/>
      </c>
      <c r="R1261" s="44"/>
      <c r="S1261" s="9" t="str">
        <f aca="false">IF(N1261&lt;&gt;"Y","",IF(R1261&lt;&gt;"",R1261,IF(Q1261="(tanpa lawan)","Transfer antar rekening",IFERROR(INDEX(I_COA!$F$6:$F$265,MATCH(Q1261,I_COA!$A$6:$A$265,0)),"?"))))</f>
        <v/>
      </c>
    </row>
    <row r="1262" customFormat="false" ht="15" hidden="false" customHeight="false" outlineLevel="0" collapsed="false">
      <c r="A1262" s="37" t="n">
        <v>46253</v>
      </c>
      <c r="B1262" s="44" t="s">
        <v>1607</v>
      </c>
      <c r="C1262" s="44" t="s">
        <v>585</v>
      </c>
      <c r="D1262" s="44" t="n">
        <v>1102001</v>
      </c>
      <c r="E1262" s="44" t="s">
        <v>586</v>
      </c>
      <c r="F1262" s="44" t="s">
        <v>1606</v>
      </c>
      <c r="G1262" s="42" t="n">
        <v>92071700</v>
      </c>
      <c r="H1262" s="42"/>
      <c r="I1262" s="44" t="s">
        <v>432</v>
      </c>
      <c r="J1262" s="11" t="n">
        <f aca="false">IF(D1262="","",N(G1262)-N(H1262))</f>
        <v>92071700</v>
      </c>
      <c r="K1262" s="34" t="str">
        <f aca="false">IF(D1262="","",IFERROR(INDEX(I_COA!$C$6:$C$265,MATCH(D1262,I_COA!$A$6:$A$265,0)),"AKUN BARU"))</f>
        <v>Neraca</v>
      </c>
      <c r="L1262" s="34" t="str">
        <f aca="false">IF(K1262="LabaRugi",INDEX(I_COA!$D$6:$D$265,MATCH(D1262,I_COA!$A$6:$A$265,0)),"")</f>
        <v/>
      </c>
      <c r="M1262" s="34" t="str">
        <f aca="false">IF(K1262="Neraca",INDEX(I_COA!$E$6:$E$265,MATCH(D1262,I_COA!$A$6:$A$265,0)),"")</f>
        <v>Cash and cash equivalents</v>
      </c>
      <c r="N1262" s="34" t="str">
        <f aca="false">IF(D1262="","",IFERROR(INDEX(I_COA!$G$6:$G$265,MATCH(D1262,I_COA!$A$6:$A$265,0)),"N"))</f>
        <v>Y</v>
      </c>
      <c r="O1262" s="11" t="str">
        <f aca="false">IF(N1262="N",ABS(J1262),"")</f>
        <v/>
      </c>
      <c r="P1262" s="18" t="str">
        <f aca="false">IF(N1262="N",B1262&amp;"|"&amp;ROUND(O1262,0),"")</f>
        <v/>
      </c>
      <c r="Q1262" s="18" t="n">
        <f aca="false">IF(N1262&lt;&gt;"Y","",IFERROR(INDEX($D$6:$D$4005,MATCH(B1262&amp;"|"&amp;ROUND(_xlfn.MAXIFS($O$6:$O$4005,$B$6:$B$4005,B1262,$N$6:$N$4005,"N"),0),$P$6:$P$4005,0)),"(tanpa lawan)"))</f>
        <v>1103101</v>
      </c>
      <c r="R1262" s="44"/>
      <c r="S1262" s="9" t="str">
        <f aca="false">IF(N1262&lt;&gt;"Y","",IF(R1262&lt;&gt;"",R1262,IF(Q1262="(tanpa lawan)","Transfer antar rekening",IFERROR(INDEX(I_COA!$F$6:$F$265,MATCH(Q1262,I_COA!$A$6:$A$265,0)),"?"))))</f>
        <v>Penerimaan dari pelanggan</v>
      </c>
    </row>
    <row r="1263" customFormat="false" ht="15" hidden="false" customHeight="false" outlineLevel="0" collapsed="false">
      <c r="A1263" s="37" t="n">
        <v>46253</v>
      </c>
      <c r="B1263" s="44" t="s">
        <v>1607</v>
      </c>
      <c r="C1263" s="44" t="s">
        <v>585</v>
      </c>
      <c r="D1263" s="44" t="n">
        <v>1103101</v>
      </c>
      <c r="E1263" s="44" t="s">
        <v>589</v>
      </c>
      <c r="F1263" s="44" t="s">
        <v>1606</v>
      </c>
      <c r="G1263" s="42"/>
      <c r="H1263" s="42" t="n">
        <v>92071700</v>
      </c>
      <c r="I1263" s="44" t="s">
        <v>432</v>
      </c>
      <c r="J1263" s="11" t="n">
        <f aca="false">IF(D1263="","",N(G1263)-N(H1263))</f>
        <v>-92071700</v>
      </c>
      <c r="K1263" s="34" t="str">
        <f aca="false">IF(D1263="","",IFERROR(INDEX(I_COA!$C$6:$C$265,MATCH(D1263,I_COA!$A$6:$A$265,0)),"AKUN BARU"))</f>
        <v>Neraca</v>
      </c>
      <c r="L1263" s="34" t="str">
        <f aca="false">IF(K1263="LabaRugi",INDEX(I_COA!$D$6:$D$265,MATCH(D1263,I_COA!$A$6:$A$265,0)),"")</f>
        <v/>
      </c>
      <c r="M1263" s="34" t="str">
        <f aca="false">IF(K1263="Neraca",INDEX(I_COA!$E$6:$E$265,MATCH(D1263,I_COA!$A$6:$A$265,0)),"")</f>
        <v>Trade Receivables - Third Parties</v>
      </c>
      <c r="N1263" s="34" t="str">
        <f aca="false">IF(D1263="","",IFERROR(INDEX(I_COA!$G$6:$G$265,MATCH(D1263,I_COA!$A$6:$A$265,0)),"N"))</f>
        <v>N</v>
      </c>
      <c r="O1263" s="11" t="n">
        <f aca="false">IF(N1263="N",ABS(J1263),"")</f>
        <v>92071700</v>
      </c>
      <c r="P1263" s="18" t="str">
        <f aca="false">IF(N1263="N",B1263&amp;"|"&amp;ROUND(O1263,0),"")</f>
        <v>B7626080087|92071700</v>
      </c>
      <c r="Q1263" s="18" t="str">
        <f aca="false">IF(N1263&lt;&gt;"Y","",IFERROR(INDEX($D$6:$D$4005,MATCH(B1263&amp;"|"&amp;ROUND(_xlfn.MAXIFS($O$6:$O$4005,$B$6:$B$4005,B1263,$N$6:$N$4005,"N"),0),$P$6:$P$4005,0)),"(tanpa lawan)"))</f>
        <v/>
      </c>
      <c r="R1263" s="44"/>
      <c r="S1263" s="9" t="str">
        <f aca="false">IF(N1263&lt;&gt;"Y","",IF(R1263&lt;&gt;"",R1263,IF(Q1263="(tanpa lawan)","Transfer antar rekening",IFERROR(INDEX(I_COA!$F$6:$F$265,MATCH(Q1263,I_COA!$A$6:$A$265,0)),"?"))))</f>
        <v/>
      </c>
    </row>
    <row r="1264" customFormat="false" ht="15" hidden="false" customHeight="false" outlineLevel="0" collapsed="false">
      <c r="A1264" s="37" t="n">
        <v>46253</v>
      </c>
      <c r="B1264" s="44" t="s">
        <v>1608</v>
      </c>
      <c r="C1264" s="44" t="s">
        <v>585</v>
      </c>
      <c r="D1264" s="44" t="n">
        <v>1102001</v>
      </c>
      <c r="E1264" s="44" t="s">
        <v>586</v>
      </c>
      <c r="F1264" s="44" t="s">
        <v>1609</v>
      </c>
      <c r="G1264" s="42" t="n">
        <v>25545000</v>
      </c>
      <c r="H1264" s="42"/>
      <c r="I1264" s="44" t="s">
        <v>432</v>
      </c>
      <c r="J1264" s="11" t="n">
        <f aca="false">IF(D1264="","",N(G1264)-N(H1264))</f>
        <v>25545000</v>
      </c>
      <c r="K1264" s="34" t="str">
        <f aca="false">IF(D1264="","",IFERROR(INDEX(I_COA!$C$6:$C$265,MATCH(D1264,I_COA!$A$6:$A$265,0)),"AKUN BARU"))</f>
        <v>Neraca</v>
      </c>
      <c r="L1264" s="34" t="str">
        <f aca="false">IF(K1264="LabaRugi",INDEX(I_COA!$D$6:$D$265,MATCH(D1264,I_COA!$A$6:$A$265,0)),"")</f>
        <v/>
      </c>
      <c r="M1264" s="34" t="str">
        <f aca="false">IF(K1264="Neraca",INDEX(I_COA!$E$6:$E$265,MATCH(D1264,I_COA!$A$6:$A$265,0)),"")</f>
        <v>Cash and cash equivalents</v>
      </c>
      <c r="N1264" s="34" t="str">
        <f aca="false">IF(D1264="","",IFERROR(INDEX(I_COA!$G$6:$G$265,MATCH(D1264,I_COA!$A$6:$A$265,0)),"N"))</f>
        <v>Y</v>
      </c>
      <c r="O1264" s="11" t="str">
        <f aca="false">IF(N1264="N",ABS(J1264),"")</f>
        <v/>
      </c>
      <c r="P1264" s="18" t="str">
        <f aca="false">IF(N1264="N",B1264&amp;"|"&amp;ROUND(O1264,0),"")</f>
        <v/>
      </c>
      <c r="Q1264" s="18" t="n">
        <f aca="false">IF(N1264&lt;&gt;"Y","",IFERROR(INDEX($D$6:$D$4005,MATCH(B1264&amp;"|"&amp;ROUND(_xlfn.MAXIFS($O$6:$O$4005,$B$6:$B$4005,B1264,$N$6:$N$4005,"N"),0),$P$6:$P$4005,0)),"(tanpa lawan)"))</f>
        <v>1103101</v>
      </c>
      <c r="R1264" s="44"/>
      <c r="S1264" s="9" t="str">
        <f aca="false">IF(N1264&lt;&gt;"Y","",IF(R1264&lt;&gt;"",R1264,IF(Q1264="(tanpa lawan)","Transfer antar rekening",IFERROR(INDEX(I_COA!$F$6:$F$265,MATCH(Q1264,I_COA!$A$6:$A$265,0)),"?"))))</f>
        <v>Penerimaan dari pelanggan</v>
      </c>
    </row>
    <row r="1265" customFormat="false" ht="15" hidden="false" customHeight="false" outlineLevel="0" collapsed="false">
      <c r="A1265" s="37" t="n">
        <v>46253</v>
      </c>
      <c r="B1265" s="44" t="s">
        <v>1608</v>
      </c>
      <c r="C1265" s="44" t="s">
        <v>585</v>
      </c>
      <c r="D1265" s="44" t="n">
        <v>1103101</v>
      </c>
      <c r="E1265" s="44" t="s">
        <v>589</v>
      </c>
      <c r="F1265" s="44" t="s">
        <v>1609</v>
      </c>
      <c r="G1265" s="42"/>
      <c r="H1265" s="42" t="n">
        <v>25545000</v>
      </c>
      <c r="I1265" s="44" t="s">
        <v>432</v>
      </c>
      <c r="J1265" s="11" t="n">
        <f aca="false">IF(D1265="","",N(G1265)-N(H1265))</f>
        <v>-25545000</v>
      </c>
      <c r="K1265" s="34" t="str">
        <f aca="false">IF(D1265="","",IFERROR(INDEX(I_COA!$C$6:$C$265,MATCH(D1265,I_COA!$A$6:$A$265,0)),"AKUN BARU"))</f>
        <v>Neraca</v>
      </c>
      <c r="L1265" s="34" t="str">
        <f aca="false">IF(K1265="LabaRugi",INDEX(I_COA!$D$6:$D$265,MATCH(D1265,I_COA!$A$6:$A$265,0)),"")</f>
        <v/>
      </c>
      <c r="M1265" s="34" t="str">
        <f aca="false">IF(K1265="Neraca",INDEX(I_COA!$E$6:$E$265,MATCH(D1265,I_COA!$A$6:$A$265,0)),"")</f>
        <v>Trade Receivables - Third Parties</v>
      </c>
      <c r="N1265" s="34" t="str">
        <f aca="false">IF(D1265="","",IFERROR(INDEX(I_COA!$G$6:$G$265,MATCH(D1265,I_COA!$A$6:$A$265,0)),"N"))</f>
        <v>N</v>
      </c>
      <c r="O1265" s="11" t="n">
        <f aca="false">IF(N1265="N",ABS(J1265),"")</f>
        <v>25545000</v>
      </c>
      <c r="P1265" s="18" t="str">
        <f aca="false">IF(N1265="N",B1265&amp;"|"&amp;ROUND(O1265,0),"")</f>
        <v>B7626080088|25545000</v>
      </c>
      <c r="Q1265" s="18" t="str">
        <f aca="false">IF(N1265&lt;&gt;"Y","",IFERROR(INDEX($D$6:$D$4005,MATCH(B1265&amp;"|"&amp;ROUND(_xlfn.MAXIFS($O$6:$O$4005,$B$6:$B$4005,B1265,$N$6:$N$4005,"N"),0),$P$6:$P$4005,0)),"(tanpa lawan)"))</f>
        <v/>
      </c>
      <c r="R1265" s="44"/>
      <c r="S1265" s="9" t="str">
        <f aca="false">IF(N1265&lt;&gt;"Y","",IF(R1265&lt;&gt;"",R1265,IF(Q1265="(tanpa lawan)","Transfer antar rekening",IFERROR(INDEX(I_COA!$F$6:$F$265,MATCH(Q1265,I_COA!$A$6:$A$265,0)),"?"))))</f>
        <v/>
      </c>
    </row>
    <row r="1266" customFormat="false" ht="15" hidden="false" customHeight="false" outlineLevel="0" collapsed="false">
      <c r="A1266" s="37" t="n">
        <v>46253</v>
      </c>
      <c r="B1266" s="44" t="s">
        <v>1610</v>
      </c>
      <c r="C1266" s="44" t="s">
        <v>585</v>
      </c>
      <c r="D1266" s="44" t="n">
        <v>1102001</v>
      </c>
      <c r="E1266" s="44" t="s">
        <v>586</v>
      </c>
      <c r="F1266" s="44" t="s">
        <v>1611</v>
      </c>
      <c r="G1266" s="42" t="n">
        <v>21480000</v>
      </c>
      <c r="H1266" s="42"/>
      <c r="I1266" s="44" t="s">
        <v>432</v>
      </c>
      <c r="J1266" s="11" t="n">
        <f aca="false">IF(D1266="","",N(G1266)-N(H1266))</f>
        <v>21480000</v>
      </c>
      <c r="K1266" s="34" t="str">
        <f aca="false">IF(D1266="","",IFERROR(INDEX(I_COA!$C$6:$C$265,MATCH(D1266,I_COA!$A$6:$A$265,0)),"AKUN BARU"))</f>
        <v>Neraca</v>
      </c>
      <c r="L1266" s="34" t="str">
        <f aca="false">IF(K1266="LabaRugi",INDEX(I_COA!$D$6:$D$265,MATCH(D1266,I_COA!$A$6:$A$265,0)),"")</f>
        <v/>
      </c>
      <c r="M1266" s="34" t="str">
        <f aca="false">IF(K1266="Neraca",INDEX(I_COA!$E$6:$E$265,MATCH(D1266,I_COA!$A$6:$A$265,0)),"")</f>
        <v>Cash and cash equivalents</v>
      </c>
      <c r="N1266" s="34" t="str">
        <f aca="false">IF(D1266="","",IFERROR(INDEX(I_COA!$G$6:$G$265,MATCH(D1266,I_COA!$A$6:$A$265,0)),"N"))</f>
        <v>Y</v>
      </c>
      <c r="O1266" s="11" t="str">
        <f aca="false">IF(N1266="N",ABS(J1266),"")</f>
        <v/>
      </c>
      <c r="P1266" s="18" t="str">
        <f aca="false">IF(N1266="N",B1266&amp;"|"&amp;ROUND(O1266,0),"")</f>
        <v/>
      </c>
      <c r="Q1266" s="18" t="n">
        <f aca="false">IF(N1266&lt;&gt;"Y","",IFERROR(INDEX($D$6:$D$4005,MATCH(B1266&amp;"|"&amp;ROUND(_xlfn.MAXIFS($O$6:$O$4005,$B$6:$B$4005,B1266,$N$6:$N$4005,"N"),0),$P$6:$P$4005,0)),"(tanpa lawan)"))</f>
        <v>1103101</v>
      </c>
      <c r="R1266" s="44"/>
      <c r="S1266" s="9" t="str">
        <f aca="false">IF(N1266&lt;&gt;"Y","",IF(R1266&lt;&gt;"",R1266,IF(Q1266="(tanpa lawan)","Transfer antar rekening",IFERROR(INDEX(I_COA!$F$6:$F$265,MATCH(Q1266,I_COA!$A$6:$A$265,0)),"?"))))</f>
        <v>Penerimaan dari pelanggan</v>
      </c>
    </row>
    <row r="1267" customFormat="false" ht="15" hidden="false" customHeight="false" outlineLevel="0" collapsed="false">
      <c r="A1267" s="37" t="n">
        <v>46253</v>
      </c>
      <c r="B1267" s="44" t="s">
        <v>1610</v>
      </c>
      <c r="C1267" s="44" t="s">
        <v>585</v>
      </c>
      <c r="D1267" s="44" t="n">
        <v>1103101</v>
      </c>
      <c r="E1267" s="44" t="s">
        <v>589</v>
      </c>
      <c r="F1267" s="44" t="s">
        <v>1611</v>
      </c>
      <c r="G1267" s="42"/>
      <c r="H1267" s="42" t="n">
        <v>21480000</v>
      </c>
      <c r="I1267" s="44" t="s">
        <v>432</v>
      </c>
      <c r="J1267" s="11" t="n">
        <f aca="false">IF(D1267="","",N(G1267)-N(H1267))</f>
        <v>-21480000</v>
      </c>
      <c r="K1267" s="34" t="str">
        <f aca="false">IF(D1267="","",IFERROR(INDEX(I_COA!$C$6:$C$265,MATCH(D1267,I_COA!$A$6:$A$265,0)),"AKUN BARU"))</f>
        <v>Neraca</v>
      </c>
      <c r="L1267" s="34" t="str">
        <f aca="false">IF(K1267="LabaRugi",INDEX(I_COA!$D$6:$D$265,MATCH(D1267,I_COA!$A$6:$A$265,0)),"")</f>
        <v/>
      </c>
      <c r="M1267" s="34" t="str">
        <f aca="false">IF(K1267="Neraca",INDEX(I_COA!$E$6:$E$265,MATCH(D1267,I_COA!$A$6:$A$265,0)),"")</f>
        <v>Trade Receivables - Third Parties</v>
      </c>
      <c r="N1267" s="34" t="str">
        <f aca="false">IF(D1267="","",IFERROR(INDEX(I_COA!$G$6:$G$265,MATCH(D1267,I_COA!$A$6:$A$265,0)),"N"))</f>
        <v>N</v>
      </c>
      <c r="O1267" s="11" t="n">
        <f aca="false">IF(N1267="N",ABS(J1267),"")</f>
        <v>21480000</v>
      </c>
      <c r="P1267" s="18" t="str">
        <f aca="false">IF(N1267="N",B1267&amp;"|"&amp;ROUND(O1267,0),"")</f>
        <v>B7626080089|21480000</v>
      </c>
      <c r="Q1267" s="18" t="str">
        <f aca="false">IF(N1267&lt;&gt;"Y","",IFERROR(INDEX($D$6:$D$4005,MATCH(B1267&amp;"|"&amp;ROUND(_xlfn.MAXIFS($O$6:$O$4005,$B$6:$B$4005,B1267,$N$6:$N$4005,"N"),0),$P$6:$P$4005,0)),"(tanpa lawan)"))</f>
        <v/>
      </c>
      <c r="R1267" s="44"/>
      <c r="S1267" s="9" t="str">
        <f aca="false">IF(N1267&lt;&gt;"Y","",IF(R1267&lt;&gt;"",R1267,IF(Q1267="(tanpa lawan)","Transfer antar rekening",IFERROR(INDEX(I_COA!$F$6:$F$265,MATCH(Q1267,I_COA!$A$6:$A$265,0)),"?"))))</f>
        <v/>
      </c>
    </row>
    <row r="1268" customFormat="false" ht="15" hidden="false" customHeight="false" outlineLevel="0" collapsed="false">
      <c r="A1268" s="37" t="n">
        <v>46253</v>
      </c>
      <c r="B1268" s="44" t="s">
        <v>1612</v>
      </c>
      <c r="C1268" s="44" t="s">
        <v>580</v>
      </c>
      <c r="D1268" s="44" t="n">
        <v>1102008</v>
      </c>
      <c r="E1268" s="44" t="s">
        <v>781</v>
      </c>
      <c r="F1268" s="44" t="s">
        <v>870</v>
      </c>
      <c r="G1268" s="42" t="n">
        <v>300000000</v>
      </c>
      <c r="H1268" s="42"/>
      <c r="I1268" s="44"/>
      <c r="J1268" s="11" t="n">
        <f aca="false">IF(D1268="","",N(G1268)-N(H1268))</f>
        <v>300000000</v>
      </c>
      <c r="K1268" s="34" t="str">
        <f aca="false">IF(D1268="","",IFERROR(INDEX(I_COA!$C$6:$C$265,MATCH(D1268,I_COA!$A$6:$A$265,0)),"AKUN BARU"))</f>
        <v>Neraca</v>
      </c>
      <c r="L1268" s="34" t="str">
        <f aca="false">IF(K1268="LabaRugi",INDEX(I_COA!$D$6:$D$265,MATCH(D1268,I_COA!$A$6:$A$265,0)),"")</f>
        <v/>
      </c>
      <c r="M1268" s="34" t="str">
        <f aca="false">IF(K1268="Neraca",INDEX(I_COA!$E$6:$E$265,MATCH(D1268,I_COA!$A$6:$A$265,0)),"")</f>
        <v>Advance Payment</v>
      </c>
      <c r="N1268" s="34" t="str">
        <f aca="false">IF(D1268="","",IFERROR(INDEX(I_COA!$G$6:$G$265,MATCH(D1268,I_COA!$A$6:$A$265,0)),"N"))</f>
        <v>N</v>
      </c>
      <c r="O1268" s="11" t="n">
        <f aca="false">IF(N1268="N",ABS(J1268),"")</f>
        <v>300000000</v>
      </c>
      <c r="P1268" s="18" t="str">
        <f aca="false">IF(N1268="N",B1268&amp;"|"&amp;ROUND(O1268,0),"")</f>
        <v>B7726080010|300000000</v>
      </c>
      <c r="Q1268" s="18" t="str">
        <f aca="false">IF(N1268&lt;&gt;"Y","",IFERROR(INDEX($D$6:$D$4005,MATCH(B1268&amp;"|"&amp;ROUND(_xlfn.MAXIFS($O$6:$O$4005,$B$6:$B$4005,B1268,$N$6:$N$4005,"N"),0),$P$6:$P$4005,0)),"(tanpa lawan)"))</f>
        <v/>
      </c>
      <c r="R1268" s="44"/>
      <c r="S1268" s="9" t="str">
        <f aca="false">IF(N1268&lt;&gt;"Y","",IF(R1268&lt;&gt;"",R1268,IF(Q1268="(tanpa lawan)","Transfer antar rekening",IFERROR(INDEX(I_COA!$F$6:$F$265,MATCH(Q1268,I_COA!$A$6:$A$265,0)),"?"))))</f>
        <v/>
      </c>
    </row>
    <row r="1269" customFormat="false" ht="15" hidden="false" customHeight="false" outlineLevel="0" collapsed="false">
      <c r="A1269" s="37" t="n">
        <v>46253</v>
      </c>
      <c r="B1269" s="44" t="s">
        <v>1612</v>
      </c>
      <c r="C1269" s="44" t="s">
        <v>580</v>
      </c>
      <c r="D1269" s="44" t="n">
        <v>1102001</v>
      </c>
      <c r="E1269" s="44" t="s">
        <v>586</v>
      </c>
      <c r="F1269" s="44" t="s">
        <v>782</v>
      </c>
      <c r="G1269" s="42"/>
      <c r="H1269" s="42" t="n">
        <v>300000000</v>
      </c>
      <c r="I1269" s="44"/>
      <c r="J1269" s="11" t="n">
        <f aca="false">IF(D1269="","",N(G1269)-N(H1269))</f>
        <v>-300000000</v>
      </c>
      <c r="K1269" s="34" t="str">
        <f aca="false">IF(D1269="","",IFERROR(INDEX(I_COA!$C$6:$C$265,MATCH(D1269,I_COA!$A$6:$A$265,0)),"AKUN BARU"))</f>
        <v>Neraca</v>
      </c>
      <c r="L1269" s="34" t="str">
        <f aca="false">IF(K1269="LabaRugi",INDEX(I_COA!$D$6:$D$265,MATCH(D1269,I_COA!$A$6:$A$265,0)),"")</f>
        <v/>
      </c>
      <c r="M1269" s="34" t="str">
        <f aca="false">IF(K1269="Neraca",INDEX(I_COA!$E$6:$E$265,MATCH(D1269,I_COA!$A$6:$A$265,0)),"")</f>
        <v>Cash and cash equivalents</v>
      </c>
      <c r="N1269" s="34" t="str">
        <f aca="false">IF(D1269="","",IFERROR(INDEX(I_COA!$G$6:$G$265,MATCH(D1269,I_COA!$A$6:$A$265,0)),"N"))</f>
        <v>Y</v>
      </c>
      <c r="O1269" s="11" t="str">
        <f aca="false">IF(N1269="N",ABS(J1269),"")</f>
        <v/>
      </c>
      <c r="P1269" s="18" t="str">
        <f aca="false">IF(N1269="N",B1269&amp;"|"&amp;ROUND(O1269,0),"")</f>
        <v/>
      </c>
      <c r="Q1269" s="18" t="n">
        <f aca="false">IF(N1269&lt;&gt;"Y","",IFERROR(INDEX($D$6:$D$4005,MATCH(B1269&amp;"|"&amp;ROUND(_xlfn.MAXIFS($O$6:$O$4005,$B$6:$B$4005,B1269,$N$6:$N$4005,"N"),0),$P$6:$P$4005,0)),"(tanpa lawan)"))</f>
        <v>1102008</v>
      </c>
      <c r="R1269" s="44"/>
      <c r="S1269" s="9" t="str">
        <f aca="false">IF(N1269&lt;&gt;"Y","",IF(R1269&lt;&gt;"",R1269,IF(Q1269="(tanpa lawan)","Transfer antar rekening",IFERROR(INDEX(I_COA!$F$6:$F$265,MATCH(Q1269,I_COA!$A$6:$A$265,0)),"?"))))</f>
        <v>Transfer antar rekening</v>
      </c>
    </row>
    <row r="1270" customFormat="false" ht="15" hidden="false" customHeight="false" outlineLevel="0" collapsed="false">
      <c r="A1270" s="37" t="n">
        <v>46253</v>
      </c>
      <c r="B1270" s="44" t="s">
        <v>1613</v>
      </c>
      <c r="C1270" s="44" t="s">
        <v>580</v>
      </c>
      <c r="D1270" s="44" t="n">
        <v>1102002</v>
      </c>
      <c r="E1270" s="44" t="s">
        <v>598</v>
      </c>
      <c r="F1270" s="44" t="s">
        <v>784</v>
      </c>
      <c r="G1270" s="42" t="n">
        <v>300000000</v>
      </c>
      <c r="H1270" s="42"/>
      <c r="I1270" s="44"/>
      <c r="J1270" s="11" t="n">
        <f aca="false">IF(D1270="","",N(G1270)-N(H1270))</f>
        <v>300000000</v>
      </c>
      <c r="K1270" s="34" t="str">
        <f aca="false">IF(D1270="","",IFERROR(INDEX(I_COA!$C$6:$C$265,MATCH(D1270,I_COA!$A$6:$A$265,0)),"AKUN BARU"))</f>
        <v>Neraca</v>
      </c>
      <c r="L1270" s="34" t="str">
        <f aca="false">IF(K1270="LabaRugi",INDEX(I_COA!$D$6:$D$265,MATCH(D1270,I_COA!$A$6:$A$265,0)),"")</f>
        <v/>
      </c>
      <c r="M1270" s="34" t="str">
        <f aca="false">IF(K1270="Neraca",INDEX(I_COA!$E$6:$E$265,MATCH(D1270,I_COA!$A$6:$A$265,0)),"")</f>
        <v>Cash and cash equivalents</v>
      </c>
      <c r="N1270" s="34" t="str">
        <f aca="false">IF(D1270="","",IFERROR(INDEX(I_COA!$G$6:$G$265,MATCH(D1270,I_COA!$A$6:$A$265,0)),"N"))</f>
        <v>Y</v>
      </c>
      <c r="O1270" s="11" t="str">
        <f aca="false">IF(N1270="N",ABS(J1270),"")</f>
        <v/>
      </c>
      <c r="P1270" s="18" t="str">
        <f aca="false">IF(N1270="N",B1270&amp;"|"&amp;ROUND(O1270,0),"")</f>
        <v/>
      </c>
      <c r="Q1270" s="18" t="n">
        <f aca="false">IF(N1270&lt;&gt;"Y","",IFERROR(INDEX($D$6:$D$4005,MATCH(B1270&amp;"|"&amp;ROUND(_xlfn.MAXIFS($O$6:$O$4005,$B$6:$B$4005,B1270,$N$6:$N$4005,"N"),0),$P$6:$P$4005,0)),"(tanpa lawan)"))</f>
        <v>1102008</v>
      </c>
      <c r="R1270" s="44"/>
      <c r="S1270" s="9" t="str">
        <f aca="false">IF(N1270&lt;&gt;"Y","",IF(R1270&lt;&gt;"",R1270,IF(Q1270="(tanpa lawan)","Transfer antar rekening",IFERROR(INDEX(I_COA!$F$6:$F$265,MATCH(Q1270,I_COA!$A$6:$A$265,0)),"?"))))</f>
        <v>Transfer antar rekening</v>
      </c>
    </row>
    <row r="1271" customFormat="false" ht="15" hidden="false" customHeight="false" outlineLevel="0" collapsed="false">
      <c r="A1271" s="37" t="n">
        <v>46253</v>
      </c>
      <c r="B1271" s="44" t="s">
        <v>1613</v>
      </c>
      <c r="C1271" s="44" t="s">
        <v>580</v>
      </c>
      <c r="D1271" s="44" t="n">
        <v>1102008</v>
      </c>
      <c r="E1271" s="44" t="s">
        <v>781</v>
      </c>
      <c r="F1271" s="44" t="s">
        <v>784</v>
      </c>
      <c r="G1271" s="42"/>
      <c r="H1271" s="42" t="n">
        <v>300000000</v>
      </c>
      <c r="I1271" s="44"/>
      <c r="J1271" s="11" t="n">
        <f aca="false">IF(D1271="","",N(G1271)-N(H1271))</f>
        <v>-300000000</v>
      </c>
      <c r="K1271" s="34" t="str">
        <f aca="false">IF(D1271="","",IFERROR(INDEX(I_COA!$C$6:$C$265,MATCH(D1271,I_COA!$A$6:$A$265,0)),"AKUN BARU"))</f>
        <v>Neraca</v>
      </c>
      <c r="L1271" s="34" t="str">
        <f aca="false">IF(K1271="LabaRugi",INDEX(I_COA!$D$6:$D$265,MATCH(D1271,I_COA!$A$6:$A$265,0)),"")</f>
        <v/>
      </c>
      <c r="M1271" s="34" t="str">
        <f aca="false">IF(K1271="Neraca",INDEX(I_COA!$E$6:$E$265,MATCH(D1271,I_COA!$A$6:$A$265,0)),"")</f>
        <v>Advance Payment</v>
      </c>
      <c r="N1271" s="34" t="str">
        <f aca="false">IF(D1271="","",IFERROR(INDEX(I_COA!$G$6:$G$265,MATCH(D1271,I_COA!$A$6:$A$265,0)),"N"))</f>
        <v>N</v>
      </c>
      <c r="O1271" s="11" t="n">
        <f aca="false">IF(N1271="N",ABS(J1271),"")</f>
        <v>300000000</v>
      </c>
      <c r="P1271" s="18" t="str">
        <f aca="false">IF(N1271="N",B1271&amp;"|"&amp;ROUND(O1271,0),"")</f>
        <v>B8426080011|300000000</v>
      </c>
      <c r="Q1271" s="18" t="str">
        <f aca="false">IF(N1271&lt;&gt;"Y","",IFERROR(INDEX($D$6:$D$4005,MATCH(B1271&amp;"|"&amp;ROUND(_xlfn.MAXIFS($O$6:$O$4005,$B$6:$B$4005,B1271,$N$6:$N$4005,"N"),0),$P$6:$P$4005,0)),"(tanpa lawan)"))</f>
        <v/>
      </c>
      <c r="R1271" s="44"/>
      <c r="S1271" s="9" t="str">
        <f aca="false">IF(N1271&lt;&gt;"Y","",IF(R1271&lt;&gt;"",R1271,IF(Q1271="(tanpa lawan)","Transfer antar rekening",IFERROR(INDEX(I_COA!$F$6:$F$265,MATCH(Q1271,I_COA!$A$6:$A$265,0)),"?"))))</f>
        <v/>
      </c>
    </row>
    <row r="1272" customFormat="false" ht="15" hidden="false" customHeight="false" outlineLevel="0" collapsed="false">
      <c r="A1272" s="37" t="n">
        <v>46253</v>
      </c>
      <c r="B1272" s="44" t="s">
        <v>1614</v>
      </c>
      <c r="C1272" s="44" t="s">
        <v>594</v>
      </c>
      <c r="D1272" s="44" t="n">
        <v>2101003</v>
      </c>
      <c r="E1272" s="44" t="s">
        <v>679</v>
      </c>
      <c r="F1272" s="44" t="s">
        <v>1615</v>
      </c>
      <c r="G1272" s="42" t="n">
        <v>25308000</v>
      </c>
      <c r="H1272" s="42"/>
      <c r="I1272" s="44" t="s">
        <v>1384</v>
      </c>
      <c r="J1272" s="11" t="n">
        <f aca="false">IF(D1272="","",N(G1272)-N(H1272))</f>
        <v>25308000</v>
      </c>
      <c r="K1272" s="34" t="str">
        <f aca="false">IF(D1272="","",IFERROR(INDEX(I_COA!$C$6:$C$265,MATCH(D1272,I_COA!$A$6:$A$265,0)),"AKUN BARU"))</f>
        <v>Neraca</v>
      </c>
      <c r="L1272" s="34" t="str">
        <f aca="false">IF(K1272="LabaRugi",INDEX(I_COA!$D$6:$D$265,MATCH(D1272,I_COA!$A$6:$A$265,0)),"")</f>
        <v/>
      </c>
      <c r="M1272" s="34" t="str">
        <f aca="false">IF(K1272="Neraca",INDEX(I_COA!$E$6:$E$265,MATCH(D1272,I_COA!$A$6:$A$265,0)),"")</f>
        <v>Other Payable - Third Parties</v>
      </c>
      <c r="N1272" s="34" t="str">
        <f aca="false">IF(D1272="","",IFERROR(INDEX(I_COA!$G$6:$G$265,MATCH(D1272,I_COA!$A$6:$A$265,0)),"N"))</f>
        <v>N</v>
      </c>
      <c r="O1272" s="11" t="n">
        <f aca="false">IF(N1272="N",ABS(J1272),"")</f>
        <v>25308000</v>
      </c>
      <c r="P1272" s="18" t="str">
        <f aca="false">IF(N1272="N",B1272&amp;"|"&amp;ROUND(O1272,0),"")</f>
        <v>B8526080071|25308000</v>
      </c>
      <c r="Q1272" s="18" t="str">
        <f aca="false">IF(N1272&lt;&gt;"Y","",IFERROR(INDEX($D$6:$D$4005,MATCH(B1272&amp;"|"&amp;ROUND(_xlfn.MAXIFS($O$6:$O$4005,$B$6:$B$4005,B1272,$N$6:$N$4005,"N"),0),$P$6:$P$4005,0)),"(tanpa lawan)"))</f>
        <v/>
      </c>
      <c r="R1272" s="44"/>
      <c r="S1272" s="9" t="str">
        <f aca="false">IF(N1272&lt;&gt;"Y","",IF(R1272&lt;&gt;"",R1272,IF(Q1272="(tanpa lawan)","Transfer antar rekening",IFERROR(INDEX(I_COA!$F$6:$F$265,MATCH(Q1272,I_COA!$A$6:$A$265,0)),"?"))))</f>
        <v/>
      </c>
    </row>
    <row r="1273" customFormat="false" ht="15" hidden="false" customHeight="false" outlineLevel="0" collapsed="false">
      <c r="A1273" s="37" t="n">
        <v>46253</v>
      </c>
      <c r="B1273" s="44" t="s">
        <v>1614</v>
      </c>
      <c r="C1273" s="44" t="s">
        <v>594</v>
      </c>
      <c r="D1273" s="44" t="n">
        <v>6200023</v>
      </c>
      <c r="E1273" s="44" t="s">
        <v>688</v>
      </c>
      <c r="F1273" s="44" t="s">
        <v>1615</v>
      </c>
      <c r="G1273" s="42"/>
      <c r="H1273" s="42" t="n">
        <v>10000</v>
      </c>
      <c r="I1273" s="44" t="s">
        <v>1384</v>
      </c>
      <c r="J1273" s="11" t="n">
        <f aca="false">IF(D1273="","",N(G1273)-N(H1273))</f>
        <v>-10000</v>
      </c>
      <c r="K1273" s="34" t="str">
        <f aca="false">IF(D1273="","",IFERROR(INDEX(I_COA!$C$6:$C$265,MATCH(D1273,I_COA!$A$6:$A$265,0)),"AKUN BARU"))</f>
        <v>LabaRugi</v>
      </c>
      <c r="L1273" s="34" t="str">
        <f aca="false">IF(K1273="LabaRugi",INDEX(I_COA!$D$6:$D$265,MATCH(D1273,I_COA!$A$6:$A$265,0)),"")</f>
        <v>Tax expenses</v>
      </c>
      <c r="M1273" s="34" t="str">
        <f aca="false">IF(K1273="Neraca",INDEX(I_COA!$E$6:$E$265,MATCH(D1273,I_COA!$A$6:$A$265,0)),"")</f>
        <v/>
      </c>
      <c r="N1273" s="34" t="str">
        <f aca="false">IF(D1273="","",IFERROR(INDEX(I_COA!$G$6:$G$265,MATCH(D1273,I_COA!$A$6:$A$265,0)),"N"))</f>
        <v>N</v>
      </c>
      <c r="O1273" s="11" t="n">
        <f aca="false">IF(N1273="N",ABS(J1273),"")</f>
        <v>10000</v>
      </c>
      <c r="P1273" s="18" t="str">
        <f aca="false">IF(N1273="N",B1273&amp;"|"&amp;ROUND(O1273,0),"")</f>
        <v>B8526080071|10000</v>
      </c>
      <c r="Q1273" s="18" t="str">
        <f aca="false">IF(N1273&lt;&gt;"Y","",IFERROR(INDEX($D$6:$D$4005,MATCH(B1273&amp;"|"&amp;ROUND(_xlfn.MAXIFS($O$6:$O$4005,$B$6:$B$4005,B1273,$N$6:$N$4005,"N"),0),$P$6:$P$4005,0)),"(tanpa lawan)"))</f>
        <v/>
      </c>
      <c r="R1273" s="44"/>
      <c r="S1273" s="9" t="str">
        <f aca="false">IF(N1273&lt;&gt;"Y","",IF(R1273&lt;&gt;"",R1273,IF(Q1273="(tanpa lawan)","Transfer antar rekening",IFERROR(INDEX(I_COA!$F$6:$F$265,MATCH(Q1273,I_COA!$A$6:$A$265,0)),"?"))))</f>
        <v/>
      </c>
    </row>
    <row r="1274" customFormat="false" ht="15" hidden="false" customHeight="false" outlineLevel="0" collapsed="false">
      <c r="A1274" s="37" t="n">
        <v>46253</v>
      </c>
      <c r="B1274" s="44" t="s">
        <v>1614</v>
      </c>
      <c r="C1274" s="44" t="s">
        <v>594</v>
      </c>
      <c r="D1274" s="44" t="n">
        <v>1102002</v>
      </c>
      <c r="E1274" s="44" t="s">
        <v>598</v>
      </c>
      <c r="F1274" s="44" t="s">
        <v>1615</v>
      </c>
      <c r="G1274" s="42"/>
      <c r="H1274" s="42" t="n">
        <v>25298000</v>
      </c>
      <c r="I1274" s="44" t="s">
        <v>1384</v>
      </c>
      <c r="J1274" s="11" t="n">
        <f aca="false">IF(D1274="","",N(G1274)-N(H1274))</f>
        <v>-25298000</v>
      </c>
      <c r="K1274" s="34" t="str">
        <f aca="false">IF(D1274="","",IFERROR(INDEX(I_COA!$C$6:$C$265,MATCH(D1274,I_COA!$A$6:$A$265,0)),"AKUN BARU"))</f>
        <v>Neraca</v>
      </c>
      <c r="L1274" s="34" t="str">
        <f aca="false">IF(K1274="LabaRugi",INDEX(I_COA!$D$6:$D$265,MATCH(D1274,I_COA!$A$6:$A$265,0)),"")</f>
        <v/>
      </c>
      <c r="M1274" s="34" t="str">
        <f aca="false">IF(K1274="Neraca",INDEX(I_COA!$E$6:$E$265,MATCH(D1274,I_COA!$A$6:$A$265,0)),"")</f>
        <v>Cash and cash equivalents</v>
      </c>
      <c r="N1274" s="34" t="str">
        <f aca="false">IF(D1274="","",IFERROR(INDEX(I_COA!$G$6:$G$265,MATCH(D1274,I_COA!$A$6:$A$265,0)),"N"))</f>
        <v>Y</v>
      </c>
      <c r="O1274" s="11" t="str">
        <f aca="false">IF(N1274="N",ABS(J1274),"")</f>
        <v/>
      </c>
      <c r="P1274" s="18" t="str">
        <f aca="false">IF(N1274="N",B1274&amp;"|"&amp;ROUND(O1274,0),"")</f>
        <v/>
      </c>
      <c r="Q1274" s="18" t="n">
        <f aca="false">IF(N1274&lt;&gt;"Y","",IFERROR(INDEX($D$6:$D$4005,MATCH(B1274&amp;"|"&amp;ROUND(_xlfn.MAXIFS($O$6:$O$4005,$B$6:$B$4005,B1274,$N$6:$N$4005,"N"),0),$P$6:$P$4005,0)),"(tanpa lawan)"))</f>
        <v>2101003</v>
      </c>
      <c r="R1274" s="44"/>
      <c r="S1274" s="9" t="str">
        <f aca="false">IF(N1274&lt;&gt;"Y","",IF(R1274&lt;&gt;"",R1274,IF(Q1274="(tanpa lawan)","Transfer antar rekening",IFERROR(INDEX(I_COA!$F$6:$F$265,MATCH(Q1274,I_COA!$A$6:$A$265,0)),"?"))))</f>
        <v>Bayar jasa (maklon, angkut, cold storage, sewa)</v>
      </c>
    </row>
    <row r="1275" customFormat="false" ht="15" hidden="false" customHeight="false" outlineLevel="0" collapsed="false">
      <c r="A1275" s="37" t="n">
        <v>46253</v>
      </c>
      <c r="B1275" s="44" t="s">
        <v>1616</v>
      </c>
      <c r="C1275" s="44" t="s">
        <v>594</v>
      </c>
      <c r="D1275" s="44" t="n">
        <v>2101001</v>
      </c>
      <c r="E1275" s="44" t="s">
        <v>595</v>
      </c>
      <c r="F1275" s="44" t="s">
        <v>1617</v>
      </c>
      <c r="G1275" s="42" t="n">
        <v>110334470</v>
      </c>
      <c r="H1275" s="42"/>
      <c r="I1275" s="44" t="s">
        <v>597</v>
      </c>
      <c r="J1275" s="11" t="n">
        <f aca="false">IF(D1275="","",N(G1275)-N(H1275))</f>
        <v>110334470</v>
      </c>
      <c r="K1275" s="34" t="str">
        <f aca="false">IF(D1275="","",IFERROR(INDEX(I_COA!$C$6:$C$265,MATCH(D1275,I_COA!$A$6:$A$265,0)),"AKUN BARU"))</f>
        <v>Neraca</v>
      </c>
      <c r="L1275" s="34" t="str">
        <f aca="false">IF(K1275="LabaRugi",INDEX(I_COA!$D$6:$D$265,MATCH(D1275,I_COA!$A$6:$A$265,0)),"")</f>
        <v/>
      </c>
      <c r="M1275" s="34" t="str">
        <f aca="false">IF(K1275="Neraca",INDEX(I_COA!$E$6:$E$265,MATCH(D1275,I_COA!$A$6:$A$265,0)),"")</f>
        <v>Trade Payables - Third Parties</v>
      </c>
      <c r="N1275" s="34" t="str">
        <f aca="false">IF(D1275="","",IFERROR(INDEX(I_COA!$G$6:$G$265,MATCH(D1275,I_COA!$A$6:$A$265,0)),"N"))</f>
        <v>N</v>
      </c>
      <c r="O1275" s="11" t="n">
        <f aca="false">IF(N1275="N",ABS(J1275),"")</f>
        <v>110334470</v>
      </c>
      <c r="P1275" s="18" t="str">
        <f aca="false">IF(N1275="N",B1275&amp;"|"&amp;ROUND(O1275,0),"")</f>
        <v>B8526080072|110334470</v>
      </c>
      <c r="Q1275" s="18" t="str">
        <f aca="false">IF(N1275&lt;&gt;"Y","",IFERROR(INDEX($D$6:$D$4005,MATCH(B1275&amp;"|"&amp;ROUND(_xlfn.MAXIFS($O$6:$O$4005,$B$6:$B$4005,B1275,$N$6:$N$4005,"N"),0),$P$6:$P$4005,0)),"(tanpa lawan)"))</f>
        <v/>
      </c>
      <c r="R1275" s="44"/>
      <c r="S1275" s="9" t="str">
        <f aca="false">IF(N1275&lt;&gt;"Y","",IF(R1275&lt;&gt;"",R1275,IF(Q1275="(tanpa lawan)","Transfer antar rekening",IFERROR(INDEX(I_COA!$F$6:$F$265,MATCH(Q1275,I_COA!$A$6:$A$265,0)),"?"))))</f>
        <v/>
      </c>
    </row>
    <row r="1276" customFormat="false" ht="15" hidden="false" customHeight="false" outlineLevel="0" collapsed="false">
      <c r="A1276" s="37" t="n">
        <v>46253</v>
      </c>
      <c r="B1276" s="44" t="s">
        <v>1616</v>
      </c>
      <c r="C1276" s="44" t="s">
        <v>594</v>
      </c>
      <c r="D1276" s="44" t="n">
        <v>1102002</v>
      </c>
      <c r="E1276" s="44" t="s">
        <v>598</v>
      </c>
      <c r="F1276" s="44" t="s">
        <v>1617</v>
      </c>
      <c r="G1276" s="42"/>
      <c r="H1276" s="42" t="n">
        <v>110334470</v>
      </c>
      <c r="I1276" s="44" t="s">
        <v>597</v>
      </c>
      <c r="J1276" s="11" t="n">
        <f aca="false">IF(D1276="","",N(G1276)-N(H1276))</f>
        <v>-110334470</v>
      </c>
      <c r="K1276" s="34" t="str">
        <f aca="false">IF(D1276="","",IFERROR(INDEX(I_COA!$C$6:$C$265,MATCH(D1276,I_COA!$A$6:$A$265,0)),"AKUN BARU"))</f>
        <v>Neraca</v>
      </c>
      <c r="L1276" s="34" t="str">
        <f aca="false">IF(K1276="LabaRugi",INDEX(I_COA!$D$6:$D$265,MATCH(D1276,I_COA!$A$6:$A$265,0)),"")</f>
        <v/>
      </c>
      <c r="M1276" s="34" t="str">
        <f aca="false">IF(K1276="Neraca",INDEX(I_COA!$E$6:$E$265,MATCH(D1276,I_COA!$A$6:$A$265,0)),"")</f>
        <v>Cash and cash equivalents</v>
      </c>
      <c r="N1276" s="34" t="str">
        <f aca="false">IF(D1276="","",IFERROR(INDEX(I_COA!$G$6:$G$265,MATCH(D1276,I_COA!$A$6:$A$265,0)),"N"))</f>
        <v>Y</v>
      </c>
      <c r="O1276" s="11" t="str">
        <f aca="false">IF(N1276="N",ABS(J1276),"")</f>
        <v/>
      </c>
      <c r="P1276" s="18" t="str">
        <f aca="false">IF(N1276="N",B1276&amp;"|"&amp;ROUND(O1276,0),"")</f>
        <v/>
      </c>
      <c r="Q1276" s="18" t="n">
        <f aca="false">IF(N1276&lt;&gt;"Y","",IFERROR(INDEX($D$6:$D$4005,MATCH(B1276&amp;"|"&amp;ROUND(_xlfn.MAXIFS($O$6:$O$4005,$B$6:$B$4005,B1276,$N$6:$N$4005,"N"),0),$P$6:$P$4005,0)),"(tanpa lawan)"))</f>
        <v>2101001</v>
      </c>
      <c r="R1276" s="44"/>
      <c r="S1276" s="9" t="str">
        <f aca="false">IF(N1276&lt;&gt;"Y","",IF(R1276&lt;&gt;"",R1276,IF(Q1276="(tanpa lawan)","Transfer antar rekening",IFERROR(INDEX(I_COA!$F$6:$F$265,MATCH(Q1276,I_COA!$A$6:$A$265,0)),"?"))))</f>
        <v>Bayar pemasok barang (live bird &amp; trading)</v>
      </c>
    </row>
    <row r="1277" customFormat="false" ht="15" hidden="false" customHeight="false" outlineLevel="0" collapsed="false">
      <c r="A1277" s="37" t="n">
        <v>46253</v>
      </c>
      <c r="B1277" s="44" t="s">
        <v>1618</v>
      </c>
      <c r="C1277" s="44" t="s">
        <v>594</v>
      </c>
      <c r="D1277" s="44" t="n">
        <v>2101003</v>
      </c>
      <c r="E1277" s="44" t="s">
        <v>679</v>
      </c>
      <c r="F1277" s="44" t="s">
        <v>1619</v>
      </c>
      <c r="G1277" s="42" t="n">
        <v>15600000</v>
      </c>
      <c r="H1277" s="42"/>
      <c r="I1277" s="44" t="s">
        <v>681</v>
      </c>
      <c r="J1277" s="11" t="n">
        <f aca="false">IF(D1277="","",N(G1277)-N(H1277))</f>
        <v>15600000</v>
      </c>
      <c r="K1277" s="34" t="str">
        <f aca="false">IF(D1277="","",IFERROR(INDEX(I_COA!$C$6:$C$265,MATCH(D1277,I_COA!$A$6:$A$265,0)),"AKUN BARU"))</f>
        <v>Neraca</v>
      </c>
      <c r="L1277" s="34" t="str">
        <f aca="false">IF(K1277="LabaRugi",INDEX(I_COA!$D$6:$D$265,MATCH(D1277,I_COA!$A$6:$A$265,0)),"")</f>
        <v/>
      </c>
      <c r="M1277" s="34" t="str">
        <f aca="false">IF(K1277="Neraca",INDEX(I_COA!$E$6:$E$265,MATCH(D1277,I_COA!$A$6:$A$265,0)),"")</f>
        <v>Other Payable - Third Parties</v>
      </c>
      <c r="N1277" s="34" t="str">
        <f aca="false">IF(D1277="","",IFERROR(INDEX(I_COA!$G$6:$G$265,MATCH(D1277,I_COA!$A$6:$A$265,0)),"N"))</f>
        <v>N</v>
      </c>
      <c r="O1277" s="11" t="n">
        <f aca="false">IF(N1277="N",ABS(J1277),"")</f>
        <v>15600000</v>
      </c>
      <c r="P1277" s="18" t="str">
        <f aca="false">IF(N1277="N",B1277&amp;"|"&amp;ROUND(O1277,0),"")</f>
        <v>B8526080073|15600000</v>
      </c>
      <c r="Q1277" s="18" t="str">
        <f aca="false">IF(N1277&lt;&gt;"Y","",IFERROR(INDEX($D$6:$D$4005,MATCH(B1277&amp;"|"&amp;ROUND(_xlfn.MAXIFS($O$6:$O$4005,$B$6:$B$4005,B1277,$N$6:$N$4005,"N"),0),$P$6:$P$4005,0)),"(tanpa lawan)"))</f>
        <v/>
      </c>
      <c r="R1277" s="44"/>
      <c r="S1277" s="9" t="str">
        <f aca="false">IF(N1277&lt;&gt;"Y","",IF(R1277&lt;&gt;"",R1277,IF(Q1277="(tanpa lawan)","Transfer antar rekening",IFERROR(INDEX(I_COA!$F$6:$F$265,MATCH(Q1277,I_COA!$A$6:$A$265,0)),"?"))))</f>
        <v/>
      </c>
    </row>
    <row r="1278" customFormat="false" ht="15" hidden="false" customHeight="false" outlineLevel="0" collapsed="false">
      <c r="A1278" s="37" t="n">
        <v>46253</v>
      </c>
      <c r="B1278" s="44" t="s">
        <v>1618</v>
      </c>
      <c r="C1278" s="44" t="s">
        <v>594</v>
      </c>
      <c r="D1278" s="44" t="n">
        <v>6200023</v>
      </c>
      <c r="E1278" s="44" t="s">
        <v>688</v>
      </c>
      <c r="F1278" s="44" t="s">
        <v>1619</v>
      </c>
      <c r="G1278" s="42"/>
      <c r="H1278" s="42" t="n">
        <v>10000</v>
      </c>
      <c r="I1278" s="44" t="s">
        <v>681</v>
      </c>
      <c r="J1278" s="11" t="n">
        <f aca="false">IF(D1278="","",N(G1278)-N(H1278))</f>
        <v>-10000</v>
      </c>
      <c r="K1278" s="34" t="str">
        <f aca="false">IF(D1278="","",IFERROR(INDEX(I_COA!$C$6:$C$265,MATCH(D1278,I_COA!$A$6:$A$265,0)),"AKUN BARU"))</f>
        <v>LabaRugi</v>
      </c>
      <c r="L1278" s="34" t="str">
        <f aca="false">IF(K1278="LabaRugi",INDEX(I_COA!$D$6:$D$265,MATCH(D1278,I_COA!$A$6:$A$265,0)),"")</f>
        <v>Tax expenses</v>
      </c>
      <c r="M1278" s="34" t="str">
        <f aca="false">IF(K1278="Neraca",INDEX(I_COA!$E$6:$E$265,MATCH(D1278,I_COA!$A$6:$A$265,0)),"")</f>
        <v/>
      </c>
      <c r="N1278" s="34" t="str">
        <f aca="false">IF(D1278="","",IFERROR(INDEX(I_COA!$G$6:$G$265,MATCH(D1278,I_COA!$A$6:$A$265,0)),"N"))</f>
        <v>N</v>
      </c>
      <c r="O1278" s="11" t="n">
        <f aca="false">IF(N1278="N",ABS(J1278),"")</f>
        <v>10000</v>
      </c>
      <c r="P1278" s="18" t="str">
        <f aca="false">IF(N1278="N",B1278&amp;"|"&amp;ROUND(O1278,0),"")</f>
        <v>B8526080073|10000</v>
      </c>
      <c r="Q1278" s="18" t="str">
        <f aca="false">IF(N1278&lt;&gt;"Y","",IFERROR(INDEX($D$6:$D$4005,MATCH(B1278&amp;"|"&amp;ROUND(_xlfn.MAXIFS($O$6:$O$4005,$B$6:$B$4005,B1278,$N$6:$N$4005,"N"),0),$P$6:$P$4005,0)),"(tanpa lawan)"))</f>
        <v/>
      </c>
      <c r="R1278" s="44"/>
      <c r="S1278" s="9" t="str">
        <f aca="false">IF(N1278&lt;&gt;"Y","",IF(R1278&lt;&gt;"",R1278,IF(Q1278="(tanpa lawan)","Transfer antar rekening",IFERROR(INDEX(I_COA!$F$6:$F$265,MATCH(Q1278,I_COA!$A$6:$A$265,0)),"?"))))</f>
        <v/>
      </c>
    </row>
    <row r="1279" customFormat="false" ht="15" hidden="false" customHeight="false" outlineLevel="0" collapsed="false">
      <c r="A1279" s="37" t="n">
        <v>46253</v>
      </c>
      <c r="B1279" s="44" t="s">
        <v>1618</v>
      </c>
      <c r="C1279" s="44" t="s">
        <v>594</v>
      </c>
      <c r="D1279" s="44" t="n">
        <v>1102002</v>
      </c>
      <c r="E1279" s="44" t="s">
        <v>598</v>
      </c>
      <c r="F1279" s="44" t="s">
        <v>1619</v>
      </c>
      <c r="G1279" s="42"/>
      <c r="H1279" s="42" t="n">
        <v>15590000</v>
      </c>
      <c r="I1279" s="44" t="s">
        <v>681</v>
      </c>
      <c r="J1279" s="11" t="n">
        <f aca="false">IF(D1279="","",N(G1279)-N(H1279))</f>
        <v>-15590000</v>
      </c>
      <c r="K1279" s="34" t="str">
        <f aca="false">IF(D1279="","",IFERROR(INDEX(I_COA!$C$6:$C$265,MATCH(D1279,I_COA!$A$6:$A$265,0)),"AKUN BARU"))</f>
        <v>Neraca</v>
      </c>
      <c r="L1279" s="34" t="str">
        <f aca="false">IF(K1279="LabaRugi",INDEX(I_COA!$D$6:$D$265,MATCH(D1279,I_COA!$A$6:$A$265,0)),"")</f>
        <v/>
      </c>
      <c r="M1279" s="34" t="str">
        <f aca="false">IF(K1279="Neraca",INDEX(I_COA!$E$6:$E$265,MATCH(D1279,I_COA!$A$6:$A$265,0)),"")</f>
        <v>Cash and cash equivalents</v>
      </c>
      <c r="N1279" s="34" t="str">
        <f aca="false">IF(D1279="","",IFERROR(INDEX(I_COA!$G$6:$G$265,MATCH(D1279,I_COA!$A$6:$A$265,0)),"N"))</f>
        <v>Y</v>
      </c>
      <c r="O1279" s="11" t="str">
        <f aca="false">IF(N1279="N",ABS(J1279),"")</f>
        <v/>
      </c>
      <c r="P1279" s="18" t="str">
        <f aca="false">IF(N1279="N",B1279&amp;"|"&amp;ROUND(O1279,0),"")</f>
        <v/>
      </c>
      <c r="Q1279" s="18" t="n">
        <f aca="false">IF(N1279&lt;&gt;"Y","",IFERROR(INDEX($D$6:$D$4005,MATCH(B1279&amp;"|"&amp;ROUND(_xlfn.MAXIFS($O$6:$O$4005,$B$6:$B$4005,B1279,$N$6:$N$4005,"N"),0),$P$6:$P$4005,0)),"(tanpa lawan)"))</f>
        <v>2101003</v>
      </c>
      <c r="R1279" s="44"/>
      <c r="S1279" s="9" t="str">
        <f aca="false">IF(N1279&lt;&gt;"Y","",IF(R1279&lt;&gt;"",R1279,IF(Q1279="(tanpa lawan)","Transfer antar rekening",IFERROR(INDEX(I_COA!$F$6:$F$265,MATCH(Q1279,I_COA!$A$6:$A$265,0)),"?"))))</f>
        <v>Bayar jasa (maklon, angkut, cold storage, sewa)</v>
      </c>
    </row>
    <row r="1280" customFormat="false" ht="15" hidden="false" customHeight="false" outlineLevel="0" collapsed="false">
      <c r="A1280" s="37" t="n">
        <v>46253</v>
      </c>
      <c r="B1280" s="44" t="s">
        <v>1620</v>
      </c>
      <c r="C1280" s="44" t="s">
        <v>594</v>
      </c>
      <c r="D1280" s="44" t="n">
        <v>2101003</v>
      </c>
      <c r="E1280" s="44" t="s">
        <v>679</v>
      </c>
      <c r="F1280" s="44" t="s">
        <v>1621</v>
      </c>
      <c r="G1280" s="42" t="n">
        <v>8775000</v>
      </c>
      <c r="H1280" s="42"/>
      <c r="I1280" s="44" t="s">
        <v>681</v>
      </c>
      <c r="J1280" s="11" t="n">
        <f aca="false">IF(D1280="","",N(G1280)-N(H1280))</f>
        <v>8775000</v>
      </c>
      <c r="K1280" s="34" t="str">
        <f aca="false">IF(D1280="","",IFERROR(INDEX(I_COA!$C$6:$C$265,MATCH(D1280,I_COA!$A$6:$A$265,0)),"AKUN BARU"))</f>
        <v>Neraca</v>
      </c>
      <c r="L1280" s="34" t="str">
        <f aca="false">IF(K1280="LabaRugi",INDEX(I_COA!$D$6:$D$265,MATCH(D1280,I_COA!$A$6:$A$265,0)),"")</f>
        <v/>
      </c>
      <c r="M1280" s="34" t="str">
        <f aca="false">IF(K1280="Neraca",INDEX(I_COA!$E$6:$E$265,MATCH(D1280,I_COA!$A$6:$A$265,0)),"")</f>
        <v>Other Payable - Third Parties</v>
      </c>
      <c r="N1280" s="34" t="str">
        <f aca="false">IF(D1280="","",IFERROR(INDEX(I_COA!$G$6:$G$265,MATCH(D1280,I_COA!$A$6:$A$265,0)),"N"))</f>
        <v>N</v>
      </c>
      <c r="O1280" s="11" t="n">
        <f aca="false">IF(N1280="N",ABS(J1280),"")</f>
        <v>8775000</v>
      </c>
      <c r="P1280" s="18" t="str">
        <f aca="false">IF(N1280="N",B1280&amp;"|"&amp;ROUND(O1280,0),"")</f>
        <v>B8526080074|8775000</v>
      </c>
      <c r="Q1280" s="18" t="str">
        <f aca="false">IF(N1280&lt;&gt;"Y","",IFERROR(INDEX($D$6:$D$4005,MATCH(B1280&amp;"|"&amp;ROUND(_xlfn.MAXIFS($O$6:$O$4005,$B$6:$B$4005,B1280,$N$6:$N$4005,"N"),0),$P$6:$P$4005,0)),"(tanpa lawan)"))</f>
        <v/>
      </c>
      <c r="R1280" s="44"/>
      <c r="S1280" s="9" t="str">
        <f aca="false">IF(N1280&lt;&gt;"Y","",IF(R1280&lt;&gt;"",R1280,IF(Q1280="(tanpa lawan)","Transfer antar rekening",IFERROR(INDEX(I_COA!$F$6:$F$265,MATCH(Q1280,I_COA!$A$6:$A$265,0)),"?"))))</f>
        <v/>
      </c>
    </row>
    <row r="1281" customFormat="false" ht="15" hidden="false" customHeight="false" outlineLevel="0" collapsed="false">
      <c r="A1281" s="37" t="n">
        <v>46253</v>
      </c>
      <c r="B1281" s="44" t="s">
        <v>1620</v>
      </c>
      <c r="C1281" s="44" t="s">
        <v>594</v>
      </c>
      <c r="D1281" s="44" t="n">
        <v>6200023</v>
      </c>
      <c r="E1281" s="44" t="s">
        <v>688</v>
      </c>
      <c r="F1281" s="44" t="s">
        <v>1621</v>
      </c>
      <c r="G1281" s="42"/>
      <c r="H1281" s="42" t="n">
        <v>10000</v>
      </c>
      <c r="I1281" s="44" t="s">
        <v>681</v>
      </c>
      <c r="J1281" s="11" t="n">
        <f aca="false">IF(D1281="","",N(G1281)-N(H1281))</f>
        <v>-10000</v>
      </c>
      <c r="K1281" s="34" t="str">
        <f aca="false">IF(D1281="","",IFERROR(INDEX(I_COA!$C$6:$C$265,MATCH(D1281,I_COA!$A$6:$A$265,0)),"AKUN BARU"))</f>
        <v>LabaRugi</v>
      </c>
      <c r="L1281" s="34" t="str">
        <f aca="false">IF(K1281="LabaRugi",INDEX(I_COA!$D$6:$D$265,MATCH(D1281,I_COA!$A$6:$A$265,0)),"")</f>
        <v>Tax expenses</v>
      </c>
      <c r="M1281" s="34" t="str">
        <f aca="false">IF(K1281="Neraca",INDEX(I_COA!$E$6:$E$265,MATCH(D1281,I_COA!$A$6:$A$265,0)),"")</f>
        <v/>
      </c>
      <c r="N1281" s="34" t="str">
        <f aca="false">IF(D1281="","",IFERROR(INDEX(I_COA!$G$6:$G$265,MATCH(D1281,I_COA!$A$6:$A$265,0)),"N"))</f>
        <v>N</v>
      </c>
      <c r="O1281" s="11" t="n">
        <f aca="false">IF(N1281="N",ABS(J1281),"")</f>
        <v>10000</v>
      </c>
      <c r="P1281" s="18" t="str">
        <f aca="false">IF(N1281="N",B1281&amp;"|"&amp;ROUND(O1281,0),"")</f>
        <v>B8526080074|10000</v>
      </c>
      <c r="Q1281" s="18" t="str">
        <f aca="false">IF(N1281&lt;&gt;"Y","",IFERROR(INDEX($D$6:$D$4005,MATCH(B1281&amp;"|"&amp;ROUND(_xlfn.MAXIFS($O$6:$O$4005,$B$6:$B$4005,B1281,$N$6:$N$4005,"N"),0),$P$6:$P$4005,0)),"(tanpa lawan)"))</f>
        <v/>
      </c>
      <c r="R1281" s="44"/>
      <c r="S1281" s="9" t="str">
        <f aca="false">IF(N1281&lt;&gt;"Y","",IF(R1281&lt;&gt;"",R1281,IF(Q1281="(tanpa lawan)","Transfer antar rekening",IFERROR(INDEX(I_COA!$F$6:$F$265,MATCH(Q1281,I_COA!$A$6:$A$265,0)),"?"))))</f>
        <v/>
      </c>
    </row>
    <row r="1282" customFormat="false" ht="15" hidden="false" customHeight="false" outlineLevel="0" collapsed="false">
      <c r="A1282" s="37" t="n">
        <v>46253</v>
      </c>
      <c r="B1282" s="44" t="s">
        <v>1620</v>
      </c>
      <c r="C1282" s="44" t="s">
        <v>594</v>
      </c>
      <c r="D1282" s="44" t="n">
        <v>1102002</v>
      </c>
      <c r="E1282" s="44" t="s">
        <v>598</v>
      </c>
      <c r="F1282" s="44" t="s">
        <v>1621</v>
      </c>
      <c r="G1282" s="42"/>
      <c r="H1282" s="42" t="n">
        <v>8765000</v>
      </c>
      <c r="I1282" s="44" t="s">
        <v>681</v>
      </c>
      <c r="J1282" s="11" t="n">
        <f aca="false">IF(D1282="","",N(G1282)-N(H1282))</f>
        <v>-8765000</v>
      </c>
      <c r="K1282" s="34" t="str">
        <f aca="false">IF(D1282="","",IFERROR(INDEX(I_COA!$C$6:$C$265,MATCH(D1282,I_COA!$A$6:$A$265,0)),"AKUN BARU"))</f>
        <v>Neraca</v>
      </c>
      <c r="L1282" s="34" t="str">
        <f aca="false">IF(K1282="LabaRugi",INDEX(I_COA!$D$6:$D$265,MATCH(D1282,I_COA!$A$6:$A$265,0)),"")</f>
        <v/>
      </c>
      <c r="M1282" s="34" t="str">
        <f aca="false">IF(K1282="Neraca",INDEX(I_COA!$E$6:$E$265,MATCH(D1282,I_COA!$A$6:$A$265,0)),"")</f>
        <v>Cash and cash equivalents</v>
      </c>
      <c r="N1282" s="34" t="str">
        <f aca="false">IF(D1282="","",IFERROR(INDEX(I_COA!$G$6:$G$265,MATCH(D1282,I_COA!$A$6:$A$265,0)),"N"))</f>
        <v>Y</v>
      </c>
      <c r="O1282" s="11" t="str">
        <f aca="false">IF(N1282="N",ABS(J1282),"")</f>
        <v/>
      </c>
      <c r="P1282" s="18" t="str">
        <f aca="false">IF(N1282="N",B1282&amp;"|"&amp;ROUND(O1282,0),"")</f>
        <v/>
      </c>
      <c r="Q1282" s="18" t="n">
        <f aca="false">IF(N1282&lt;&gt;"Y","",IFERROR(INDEX($D$6:$D$4005,MATCH(B1282&amp;"|"&amp;ROUND(_xlfn.MAXIFS($O$6:$O$4005,$B$6:$B$4005,B1282,$N$6:$N$4005,"N"),0),$P$6:$P$4005,0)),"(tanpa lawan)"))</f>
        <v>2101003</v>
      </c>
      <c r="R1282" s="44"/>
      <c r="S1282" s="9" t="str">
        <f aca="false">IF(N1282&lt;&gt;"Y","",IF(R1282&lt;&gt;"",R1282,IF(Q1282="(tanpa lawan)","Transfer antar rekening",IFERROR(INDEX(I_COA!$F$6:$F$265,MATCH(Q1282,I_COA!$A$6:$A$265,0)),"?"))))</f>
        <v>Bayar jasa (maklon, angkut, cold storage, sewa)</v>
      </c>
    </row>
    <row r="1283" customFormat="false" ht="15" hidden="false" customHeight="false" outlineLevel="0" collapsed="false">
      <c r="A1283" s="37" t="n">
        <v>46253</v>
      </c>
      <c r="B1283" s="44" t="s">
        <v>1622</v>
      </c>
      <c r="C1283" s="44" t="s">
        <v>594</v>
      </c>
      <c r="D1283" s="44" t="n">
        <v>2101003</v>
      </c>
      <c r="E1283" s="44" t="s">
        <v>679</v>
      </c>
      <c r="F1283" s="44" t="s">
        <v>1623</v>
      </c>
      <c r="G1283" s="42" t="n">
        <v>15318000</v>
      </c>
      <c r="H1283" s="42"/>
      <c r="I1283" s="44" t="s">
        <v>1508</v>
      </c>
      <c r="J1283" s="11" t="n">
        <f aca="false">IF(D1283="","",N(G1283)-N(H1283))</f>
        <v>15318000</v>
      </c>
      <c r="K1283" s="34" t="str">
        <f aca="false">IF(D1283="","",IFERROR(INDEX(I_COA!$C$6:$C$265,MATCH(D1283,I_COA!$A$6:$A$265,0)),"AKUN BARU"))</f>
        <v>Neraca</v>
      </c>
      <c r="L1283" s="34" t="str">
        <f aca="false">IF(K1283="LabaRugi",INDEX(I_COA!$D$6:$D$265,MATCH(D1283,I_COA!$A$6:$A$265,0)),"")</f>
        <v/>
      </c>
      <c r="M1283" s="34" t="str">
        <f aca="false">IF(K1283="Neraca",INDEX(I_COA!$E$6:$E$265,MATCH(D1283,I_COA!$A$6:$A$265,0)),"")</f>
        <v>Other Payable - Third Parties</v>
      </c>
      <c r="N1283" s="34" t="str">
        <f aca="false">IF(D1283="","",IFERROR(INDEX(I_COA!$G$6:$G$265,MATCH(D1283,I_COA!$A$6:$A$265,0)),"N"))</f>
        <v>N</v>
      </c>
      <c r="O1283" s="11" t="n">
        <f aca="false">IF(N1283="N",ABS(J1283),"")</f>
        <v>15318000</v>
      </c>
      <c r="P1283" s="18" t="str">
        <f aca="false">IF(N1283="N",B1283&amp;"|"&amp;ROUND(O1283,0),"")</f>
        <v>B8526080075|15318000</v>
      </c>
      <c r="Q1283" s="18" t="str">
        <f aca="false">IF(N1283&lt;&gt;"Y","",IFERROR(INDEX($D$6:$D$4005,MATCH(B1283&amp;"|"&amp;ROUND(_xlfn.MAXIFS($O$6:$O$4005,$B$6:$B$4005,B1283,$N$6:$N$4005,"N"),0),$P$6:$P$4005,0)),"(tanpa lawan)"))</f>
        <v/>
      </c>
      <c r="R1283" s="44"/>
      <c r="S1283" s="9" t="str">
        <f aca="false">IF(N1283&lt;&gt;"Y","",IF(R1283&lt;&gt;"",R1283,IF(Q1283="(tanpa lawan)","Transfer antar rekening",IFERROR(INDEX(I_COA!$F$6:$F$265,MATCH(Q1283,I_COA!$A$6:$A$265,0)),"?"))))</f>
        <v/>
      </c>
    </row>
    <row r="1284" customFormat="false" ht="15" hidden="false" customHeight="false" outlineLevel="0" collapsed="false">
      <c r="A1284" s="37" t="n">
        <v>46253</v>
      </c>
      <c r="B1284" s="44" t="s">
        <v>1622</v>
      </c>
      <c r="C1284" s="44" t="s">
        <v>594</v>
      </c>
      <c r="D1284" s="44" t="n">
        <v>6200023</v>
      </c>
      <c r="E1284" s="44" t="s">
        <v>688</v>
      </c>
      <c r="F1284" s="44" t="s">
        <v>1623</v>
      </c>
      <c r="G1284" s="42"/>
      <c r="H1284" s="42" t="n">
        <v>10000</v>
      </c>
      <c r="I1284" s="44" t="s">
        <v>1508</v>
      </c>
      <c r="J1284" s="11" t="n">
        <f aca="false">IF(D1284="","",N(G1284)-N(H1284))</f>
        <v>-10000</v>
      </c>
      <c r="K1284" s="34" t="str">
        <f aca="false">IF(D1284="","",IFERROR(INDEX(I_COA!$C$6:$C$265,MATCH(D1284,I_COA!$A$6:$A$265,0)),"AKUN BARU"))</f>
        <v>LabaRugi</v>
      </c>
      <c r="L1284" s="34" t="str">
        <f aca="false">IF(K1284="LabaRugi",INDEX(I_COA!$D$6:$D$265,MATCH(D1284,I_COA!$A$6:$A$265,0)),"")</f>
        <v>Tax expenses</v>
      </c>
      <c r="M1284" s="34" t="str">
        <f aca="false">IF(K1284="Neraca",INDEX(I_COA!$E$6:$E$265,MATCH(D1284,I_COA!$A$6:$A$265,0)),"")</f>
        <v/>
      </c>
      <c r="N1284" s="34" t="str">
        <f aca="false">IF(D1284="","",IFERROR(INDEX(I_COA!$G$6:$G$265,MATCH(D1284,I_COA!$A$6:$A$265,0)),"N"))</f>
        <v>N</v>
      </c>
      <c r="O1284" s="11" t="n">
        <f aca="false">IF(N1284="N",ABS(J1284),"")</f>
        <v>10000</v>
      </c>
      <c r="P1284" s="18" t="str">
        <f aca="false">IF(N1284="N",B1284&amp;"|"&amp;ROUND(O1284,0),"")</f>
        <v>B8526080075|10000</v>
      </c>
      <c r="Q1284" s="18" t="str">
        <f aca="false">IF(N1284&lt;&gt;"Y","",IFERROR(INDEX($D$6:$D$4005,MATCH(B1284&amp;"|"&amp;ROUND(_xlfn.MAXIFS($O$6:$O$4005,$B$6:$B$4005,B1284,$N$6:$N$4005,"N"),0),$P$6:$P$4005,0)),"(tanpa lawan)"))</f>
        <v/>
      </c>
      <c r="R1284" s="44"/>
      <c r="S1284" s="9" t="str">
        <f aca="false">IF(N1284&lt;&gt;"Y","",IF(R1284&lt;&gt;"",R1284,IF(Q1284="(tanpa lawan)","Transfer antar rekening",IFERROR(INDEX(I_COA!$F$6:$F$265,MATCH(Q1284,I_COA!$A$6:$A$265,0)),"?"))))</f>
        <v/>
      </c>
    </row>
    <row r="1285" customFormat="false" ht="15" hidden="false" customHeight="false" outlineLevel="0" collapsed="false">
      <c r="A1285" s="37" t="n">
        <v>46253</v>
      </c>
      <c r="B1285" s="44" t="s">
        <v>1622</v>
      </c>
      <c r="C1285" s="44" t="s">
        <v>594</v>
      </c>
      <c r="D1285" s="44" t="n">
        <v>1102002</v>
      </c>
      <c r="E1285" s="44" t="s">
        <v>598</v>
      </c>
      <c r="F1285" s="44" t="s">
        <v>1623</v>
      </c>
      <c r="G1285" s="42"/>
      <c r="H1285" s="42" t="n">
        <v>15308000</v>
      </c>
      <c r="I1285" s="44" t="s">
        <v>1508</v>
      </c>
      <c r="J1285" s="11" t="n">
        <f aca="false">IF(D1285="","",N(G1285)-N(H1285))</f>
        <v>-15308000</v>
      </c>
      <c r="K1285" s="34" t="str">
        <f aca="false">IF(D1285="","",IFERROR(INDEX(I_COA!$C$6:$C$265,MATCH(D1285,I_COA!$A$6:$A$265,0)),"AKUN BARU"))</f>
        <v>Neraca</v>
      </c>
      <c r="L1285" s="34" t="str">
        <f aca="false">IF(K1285="LabaRugi",INDEX(I_COA!$D$6:$D$265,MATCH(D1285,I_COA!$A$6:$A$265,0)),"")</f>
        <v/>
      </c>
      <c r="M1285" s="34" t="str">
        <f aca="false">IF(K1285="Neraca",INDEX(I_COA!$E$6:$E$265,MATCH(D1285,I_COA!$A$6:$A$265,0)),"")</f>
        <v>Cash and cash equivalents</v>
      </c>
      <c r="N1285" s="34" t="str">
        <f aca="false">IF(D1285="","",IFERROR(INDEX(I_COA!$G$6:$G$265,MATCH(D1285,I_COA!$A$6:$A$265,0)),"N"))</f>
        <v>Y</v>
      </c>
      <c r="O1285" s="11" t="str">
        <f aca="false">IF(N1285="N",ABS(J1285),"")</f>
        <v/>
      </c>
      <c r="P1285" s="18" t="str">
        <f aca="false">IF(N1285="N",B1285&amp;"|"&amp;ROUND(O1285,0),"")</f>
        <v/>
      </c>
      <c r="Q1285" s="18" t="n">
        <f aca="false">IF(N1285&lt;&gt;"Y","",IFERROR(INDEX($D$6:$D$4005,MATCH(B1285&amp;"|"&amp;ROUND(_xlfn.MAXIFS($O$6:$O$4005,$B$6:$B$4005,B1285,$N$6:$N$4005,"N"),0),$P$6:$P$4005,0)),"(tanpa lawan)"))</f>
        <v>2101003</v>
      </c>
      <c r="R1285" s="44"/>
      <c r="S1285" s="9" t="str">
        <f aca="false">IF(N1285&lt;&gt;"Y","",IF(R1285&lt;&gt;"",R1285,IF(Q1285="(tanpa lawan)","Transfer antar rekening",IFERROR(INDEX(I_COA!$F$6:$F$265,MATCH(Q1285,I_COA!$A$6:$A$265,0)),"?"))))</f>
        <v>Bayar jasa (maklon, angkut, cold storage, sewa)</v>
      </c>
    </row>
    <row r="1286" customFormat="false" ht="15" hidden="false" customHeight="false" outlineLevel="0" collapsed="false">
      <c r="A1286" s="37" t="n">
        <v>46253</v>
      </c>
      <c r="B1286" s="44" t="s">
        <v>1624</v>
      </c>
      <c r="C1286" s="44" t="s">
        <v>594</v>
      </c>
      <c r="D1286" s="44" t="n">
        <v>2101003</v>
      </c>
      <c r="E1286" s="44" t="s">
        <v>679</v>
      </c>
      <c r="F1286" s="44" t="s">
        <v>1625</v>
      </c>
      <c r="G1286" s="42" t="n">
        <v>6686448.38</v>
      </c>
      <c r="H1286" s="42"/>
      <c r="I1286" s="44" t="s">
        <v>1031</v>
      </c>
      <c r="J1286" s="11" t="n">
        <f aca="false">IF(D1286="","",N(G1286)-N(H1286))</f>
        <v>6686448.38</v>
      </c>
      <c r="K1286" s="34" t="str">
        <f aca="false">IF(D1286="","",IFERROR(INDEX(I_COA!$C$6:$C$265,MATCH(D1286,I_COA!$A$6:$A$265,0)),"AKUN BARU"))</f>
        <v>Neraca</v>
      </c>
      <c r="L1286" s="34" t="str">
        <f aca="false">IF(K1286="LabaRugi",INDEX(I_COA!$D$6:$D$265,MATCH(D1286,I_COA!$A$6:$A$265,0)),"")</f>
        <v/>
      </c>
      <c r="M1286" s="34" t="str">
        <f aca="false">IF(K1286="Neraca",INDEX(I_COA!$E$6:$E$265,MATCH(D1286,I_COA!$A$6:$A$265,0)),"")</f>
        <v>Other Payable - Third Parties</v>
      </c>
      <c r="N1286" s="34" t="str">
        <f aca="false">IF(D1286="","",IFERROR(INDEX(I_COA!$G$6:$G$265,MATCH(D1286,I_COA!$A$6:$A$265,0)),"N"))</f>
        <v>N</v>
      </c>
      <c r="O1286" s="11" t="n">
        <f aca="false">IF(N1286="N",ABS(J1286),"")</f>
        <v>6686448.38</v>
      </c>
      <c r="P1286" s="18" t="str">
        <f aca="false">IF(N1286="N",B1286&amp;"|"&amp;ROUND(O1286,0),"")</f>
        <v>B8526080076|6686448</v>
      </c>
      <c r="Q1286" s="18" t="str">
        <f aca="false">IF(N1286&lt;&gt;"Y","",IFERROR(INDEX($D$6:$D$4005,MATCH(B1286&amp;"|"&amp;ROUND(_xlfn.MAXIFS($O$6:$O$4005,$B$6:$B$4005,B1286,$N$6:$N$4005,"N"),0),$P$6:$P$4005,0)),"(tanpa lawan)"))</f>
        <v/>
      </c>
      <c r="R1286" s="44"/>
      <c r="S1286" s="9" t="str">
        <f aca="false">IF(N1286&lt;&gt;"Y","",IF(R1286&lt;&gt;"",R1286,IF(Q1286="(tanpa lawan)","Transfer antar rekening",IFERROR(INDEX(I_COA!$F$6:$F$265,MATCH(Q1286,I_COA!$A$6:$A$265,0)),"?"))))</f>
        <v/>
      </c>
    </row>
    <row r="1287" customFormat="false" ht="15" hidden="false" customHeight="false" outlineLevel="0" collapsed="false">
      <c r="A1287" s="37" t="n">
        <v>46253</v>
      </c>
      <c r="B1287" s="44" t="s">
        <v>1624</v>
      </c>
      <c r="C1287" s="44" t="s">
        <v>594</v>
      </c>
      <c r="D1287" s="44" t="n">
        <v>7100009</v>
      </c>
      <c r="E1287" s="44" t="s">
        <v>189</v>
      </c>
      <c r="F1287" s="44" t="s">
        <v>1625</v>
      </c>
      <c r="G1287" s="42"/>
      <c r="H1287" s="42" t="n">
        <v>0.38</v>
      </c>
      <c r="I1287" s="44" t="s">
        <v>1031</v>
      </c>
      <c r="J1287" s="11" t="n">
        <f aca="false">IF(D1287="","",N(G1287)-N(H1287))</f>
        <v>-0.38</v>
      </c>
      <c r="K1287" s="34" t="str">
        <f aca="false">IF(D1287="","",IFERROR(INDEX(I_COA!$C$6:$C$265,MATCH(D1287,I_COA!$A$6:$A$265,0)),"AKUN BARU"))</f>
        <v>LabaRugi</v>
      </c>
      <c r="L1287" s="34" t="str">
        <f aca="false">IF(K1287="LabaRugi",INDEX(I_COA!$D$6:$D$265,MATCH(D1287,I_COA!$A$6:$A$265,0)),"")</f>
        <v>Other Income</v>
      </c>
      <c r="M1287" s="34" t="str">
        <f aca="false">IF(K1287="Neraca",INDEX(I_COA!$E$6:$E$265,MATCH(D1287,I_COA!$A$6:$A$265,0)),"")</f>
        <v/>
      </c>
      <c r="N1287" s="34" t="str">
        <f aca="false">IF(D1287="","",IFERROR(INDEX(I_COA!$G$6:$G$265,MATCH(D1287,I_COA!$A$6:$A$265,0)),"N"))</f>
        <v>N</v>
      </c>
      <c r="O1287" s="11" t="n">
        <f aca="false">IF(N1287="N",ABS(J1287),"")</f>
        <v>0.38</v>
      </c>
      <c r="P1287" s="18" t="str">
        <f aca="false">IF(N1287="N",B1287&amp;"|"&amp;ROUND(O1287,0),"")</f>
        <v>B8526080076|0</v>
      </c>
      <c r="Q1287" s="18" t="str">
        <f aca="false">IF(N1287&lt;&gt;"Y","",IFERROR(INDEX($D$6:$D$4005,MATCH(B1287&amp;"|"&amp;ROUND(_xlfn.MAXIFS($O$6:$O$4005,$B$6:$B$4005,B1287,$N$6:$N$4005,"N"),0),$P$6:$P$4005,0)),"(tanpa lawan)"))</f>
        <v/>
      </c>
      <c r="R1287" s="44"/>
      <c r="S1287" s="9" t="str">
        <f aca="false">IF(N1287&lt;&gt;"Y","",IF(R1287&lt;&gt;"",R1287,IF(Q1287="(tanpa lawan)","Transfer antar rekening",IFERROR(INDEX(I_COA!$F$6:$F$265,MATCH(Q1287,I_COA!$A$6:$A$265,0)),"?"))))</f>
        <v/>
      </c>
    </row>
    <row r="1288" customFormat="false" ht="15" hidden="false" customHeight="false" outlineLevel="0" collapsed="false">
      <c r="A1288" s="37" t="n">
        <v>46253</v>
      </c>
      <c r="B1288" s="44" t="s">
        <v>1624</v>
      </c>
      <c r="C1288" s="44" t="s">
        <v>594</v>
      </c>
      <c r="D1288" s="44" t="n">
        <v>1102002</v>
      </c>
      <c r="E1288" s="44" t="s">
        <v>598</v>
      </c>
      <c r="F1288" s="44" t="s">
        <v>1625</v>
      </c>
      <c r="G1288" s="42"/>
      <c r="H1288" s="42" t="n">
        <v>6686448</v>
      </c>
      <c r="I1288" s="44" t="s">
        <v>1031</v>
      </c>
      <c r="J1288" s="11" t="n">
        <f aca="false">IF(D1288="","",N(G1288)-N(H1288))</f>
        <v>-6686448</v>
      </c>
      <c r="K1288" s="34" t="str">
        <f aca="false">IF(D1288="","",IFERROR(INDEX(I_COA!$C$6:$C$265,MATCH(D1288,I_COA!$A$6:$A$265,0)),"AKUN BARU"))</f>
        <v>Neraca</v>
      </c>
      <c r="L1288" s="34" t="str">
        <f aca="false">IF(K1288="LabaRugi",INDEX(I_COA!$D$6:$D$265,MATCH(D1288,I_COA!$A$6:$A$265,0)),"")</f>
        <v/>
      </c>
      <c r="M1288" s="34" t="str">
        <f aca="false">IF(K1288="Neraca",INDEX(I_COA!$E$6:$E$265,MATCH(D1288,I_COA!$A$6:$A$265,0)),"")</f>
        <v>Cash and cash equivalents</v>
      </c>
      <c r="N1288" s="34" t="str">
        <f aca="false">IF(D1288="","",IFERROR(INDEX(I_COA!$G$6:$G$265,MATCH(D1288,I_COA!$A$6:$A$265,0)),"N"))</f>
        <v>Y</v>
      </c>
      <c r="O1288" s="11" t="str">
        <f aca="false">IF(N1288="N",ABS(J1288),"")</f>
        <v/>
      </c>
      <c r="P1288" s="18" t="str">
        <f aca="false">IF(N1288="N",B1288&amp;"|"&amp;ROUND(O1288,0),"")</f>
        <v/>
      </c>
      <c r="Q1288" s="18" t="n">
        <f aca="false">IF(N1288&lt;&gt;"Y","",IFERROR(INDEX($D$6:$D$4005,MATCH(B1288&amp;"|"&amp;ROUND(_xlfn.MAXIFS($O$6:$O$4005,$B$6:$B$4005,B1288,$N$6:$N$4005,"N"),0),$P$6:$P$4005,0)),"(tanpa lawan)"))</f>
        <v>2101003</v>
      </c>
      <c r="R1288" s="44"/>
      <c r="S1288" s="9" t="str">
        <f aca="false">IF(N1288&lt;&gt;"Y","",IF(R1288&lt;&gt;"",R1288,IF(Q1288="(tanpa lawan)","Transfer antar rekening",IFERROR(INDEX(I_COA!$F$6:$F$265,MATCH(Q1288,I_COA!$A$6:$A$265,0)),"?"))))</f>
        <v>Bayar jasa (maklon, angkut, cold storage, sewa)</v>
      </c>
    </row>
    <row r="1289" customFormat="false" ht="15" hidden="false" customHeight="false" outlineLevel="0" collapsed="false">
      <c r="A1289" s="37" t="n">
        <v>46253</v>
      </c>
      <c r="B1289" s="44" t="s">
        <v>1626</v>
      </c>
      <c r="C1289" s="44" t="s">
        <v>580</v>
      </c>
      <c r="D1289" s="44" t="n">
        <v>7200003</v>
      </c>
      <c r="E1289" s="44" t="s">
        <v>581</v>
      </c>
      <c r="F1289" s="44" t="s">
        <v>890</v>
      </c>
      <c r="G1289" s="42" t="n">
        <v>2500</v>
      </c>
      <c r="H1289" s="42"/>
      <c r="I1289" s="44"/>
      <c r="J1289" s="11" t="n">
        <f aca="false">IF(D1289="","",N(G1289)-N(H1289))</f>
        <v>2500</v>
      </c>
      <c r="K1289" s="34" t="str">
        <f aca="false">IF(D1289="","",IFERROR(INDEX(I_COA!$C$6:$C$265,MATCH(D1289,I_COA!$A$6:$A$265,0)),"AKUN BARU"))</f>
        <v>LabaRugi</v>
      </c>
      <c r="L1289" s="34" t="str">
        <f aca="false">IF(K1289="LabaRugi",INDEX(I_COA!$D$6:$D$265,MATCH(D1289,I_COA!$A$6:$A$265,0)),"")</f>
        <v>Other Expense</v>
      </c>
      <c r="M1289" s="34" t="str">
        <f aca="false">IF(K1289="Neraca",INDEX(I_COA!$E$6:$E$265,MATCH(D1289,I_COA!$A$6:$A$265,0)),"")</f>
        <v/>
      </c>
      <c r="N1289" s="34" t="str">
        <f aca="false">IF(D1289="","",IFERROR(INDEX(I_COA!$G$6:$G$265,MATCH(D1289,I_COA!$A$6:$A$265,0)),"N"))</f>
        <v>N</v>
      </c>
      <c r="O1289" s="11" t="n">
        <f aca="false">IF(N1289="N",ABS(J1289),"")</f>
        <v>2500</v>
      </c>
      <c r="P1289" s="18" t="str">
        <f aca="false">IF(N1289="N",B1289&amp;"|"&amp;ROUND(O1289,0),"")</f>
        <v>B8526080077|2500</v>
      </c>
      <c r="Q1289" s="18" t="str">
        <f aca="false">IF(N1289&lt;&gt;"Y","",IFERROR(INDEX($D$6:$D$4005,MATCH(B1289&amp;"|"&amp;ROUND(_xlfn.MAXIFS($O$6:$O$4005,$B$6:$B$4005,B1289,$N$6:$N$4005,"N"),0),$P$6:$P$4005,0)),"(tanpa lawan)"))</f>
        <v/>
      </c>
      <c r="R1289" s="44"/>
      <c r="S1289" s="9" t="str">
        <f aca="false">IF(N1289&lt;&gt;"Y","",IF(R1289&lt;&gt;"",R1289,IF(Q1289="(tanpa lawan)","Transfer antar rekening",IFERROR(INDEX(I_COA!$F$6:$F$265,MATCH(Q1289,I_COA!$A$6:$A$265,0)),"?"))))</f>
        <v/>
      </c>
    </row>
    <row r="1290" customFormat="false" ht="15" hidden="false" customHeight="false" outlineLevel="0" collapsed="false">
      <c r="A1290" s="37" t="n">
        <v>46253</v>
      </c>
      <c r="B1290" s="44" t="s">
        <v>1626</v>
      </c>
      <c r="C1290" s="44" t="s">
        <v>580</v>
      </c>
      <c r="D1290" s="44" t="n">
        <v>1102002</v>
      </c>
      <c r="E1290" s="44" t="s">
        <v>598</v>
      </c>
      <c r="F1290" s="44" t="s">
        <v>1625</v>
      </c>
      <c r="G1290" s="42"/>
      <c r="H1290" s="42" t="n">
        <v>2500</v>
      </c>
      <c r="I1290" s="44"/>
      <c r="J1290" s="11" t="n">
        <f aca="false">IF(D1290="","",N(G1290)-N(H1290))</f>
        <v>-2500</v>
      </c>
      <c r="K1290" s="34" t="str">
        <f aca="false">IF(D1290="","",IFERROR(INDEX(I_COA!$C$6:$C$265,MATCH(D1290,I_COA!$A$6:$A$265,0)),"AKUN BARU"))</f>
        <v>Neraca</v>
      </c>
      <c r="L1290" s="34" t="str">
        <f aca="false">IF(K1290="LabaRugi",INDEX(I_COA!$D$6:$D$265,MATCH(D1290,I_COA!$A$6:$A$265,0)),"")</f>
        <v/>
      </c>
      <c r="M1290" s="34" t="str">
        <f aca="false">IF(K1290="Neraca",INDEX(I_COA!$E$6:$E$265,MATCH(D1290,I_COA!$A$6:$A$265,0)),"")</f>
        <v>Cash and cash equivalents</v>
      </c>
      <c r="N1290" s="34" t="str">
        <f aca="false">IF(D1290="","",IFERROR(INDEX(I_COA!$G$6:$G$265,MATCH(D1290,I_COA!$A$6:$A$265,0)),"N"))</f>
        <v>Y</v>
      </c>
      <c r="O1290" s="11" t="str">
        <f aca="false">IF(N1290="N",ABS(J1290),"")</f>
        <v/>
      </c>
      <c r="P1290" s="18" t="str">
        <f aca="false">IF(N1290="N",B1290&amp;"|"&amp;ROUND(O1290,0),"")</f>
        <v/>
      </c>
      <c r="Q1290" s="18" t="n">
        <f aca="false">IF(N1290&lt;&gt;"Y","",IFERROR(INDEX($D$6:$D$4005,MATCH(B1290&amp;"|"&amp;ROUND(_xlfn.MAXIFS($O$6:$O$4005,$B$6:$B$4005,B1290,$N$6:$N$4005,"N"),0),$P$6:$P$4005,0)),"(tanpa lawan)"))</f>
        <v>7200003</v>
      </c>
      <c r="R1290" s="44"/>
      <c r="S1290" s="9" t="str">
        <f aca="false">IF(N1290&lt;&gt;"Y","",IF(R1290&lt;&gt;"",R1290,IF(Q1290="(tanpa lawan)","Transfer antar rekening",IFERROR(INDEX(I_COA!$F$6:$F$265,MATCH(Q1290,I_COA!$A$6:$A$265,0)),"?"))))</f>
        <v>Bunga &amp; biaya bank</v>
      </c>
    </row>
    <row r="1291" customFormat="false" ht="15" hidden="false" customHeight="false" outlineLevel="0" collapsed="false">
      <c r="A1291" s="37" t="n">
        <v>46253</v>
      </c>
      <c r="B1291" s="44" t="s">
        <v>1627</v>
      </c>
      <c r="C1291" s="44" t="s">
        <v>594</v>
      </c>
      <c r="D1291" s="44" t="n">
        <v>2101003</v>
      </c>
      <c r="E1291" s="44" t="s">
        <v>679</v>
      </c>
      <c r="F1291" s="44" t="s">
        <v>1628</v>
      </c>
      <c r="G1291" s="42" t="n">
        <v>2834000</v>
      </c>
      <c r="H1291" s="42"/>
      <c r="I1291" s="44" t="s">
        <v>719</v>
      </c>
      <c r="J1291" s="11" t="n">
        <f aca="false">IF(D1291="","",N(G1291)-N(H1291))</f>
        <v>2834000</v>
      </c>
      <c r="K1291" s="34" t="str">
        <f aca="false">IF(D1291="","",IFERROR(INDEX(I_COA!$C$6:$C$265,MATCH(D1291,I_COA!$A$6:$A$265,0)),"AKUN BARU"))</f>
        <v>Neraca</v>
      </c>
      <c r="L1291" s="34" t="str">
        <f aca="false">IF(K1291="LabaRugi",INDEX(I_COA!$D$6:$D$265,MATCH(D1291,I_COA!$A$6:$A$265,0)),"")</f>
        <v/>
      </c>
      <c r="M1291" s="34" t="str">
        <f aca="false">IF(K1291="Neraca",INDEX(I_COA!$E$6:$E$265,MATCH(D1291,I_COA!$A$6:$A$265,0)),"")</f>
        <v>Other Payable - Third Parties</v>
      </c>
      <c r="N1291" s="34" t="str">
        <f aca="false">IF(D1291="","",IFERROR(INDEX(I_COA!$G$6:$G$265,MATCH(D1291,I_COA!$A$6:$A$265,0)),"N"))</f>
        <v>N</v>
      </c>
      <c r="O1291" s="11" t="n">
        <f aca="false">IF(N1291="N",ABS(J1291),"")</f>
        <v>2834000</v>
      </c>
      <c r="P1291" s="18" t="str">
        <f aca="false">IF(N1291="N",B1291&amp;"|"&amp;ROUND(O1291,0),"")</f>
        <v>B8526080078|2834000</v>
      </c>
      <c r="Q1291" s="18" t="str">
        <f aca="false">IF(N1291&lt;&gt;"Y","",IFERROR(INDEX($D$6:$D$4005,MATCH(B1291&amp;"|"&amp;ROUND(_xlfn.MAXIFS($O$6:$O$4005,$B$6:$B$4005,B1291,$N$6:$N$4005,"N"),0),$P$6:$P$4005,0)),"(tanpa lawan)"))</f>
        <v/>
      </c>
      <c r="R1291" s="44"/>
      <c r="S1291" s="9" t="str">
        <f aca="false">IF(N1291&lt;&gt;"Y","",IF(R1291&lt;&gt;"",R1291,IF(Q1291="(tanpa lawan)","Transfer antar rekening",IFERROR(INDEX(I_COA!$F$6:$F$265,MATCH(Q1291,I_COA!$A$6:$A$265,0)),"?"))))</f>
        <v/>
      </c>
    </row>
    <row r="1292" customFormat="false" ht="15" hidden="false" customHeight="false" outlineLevel="0" collapsed="false">
      <c r="A1292" s="37" t="n">
        <v>46253</v>
      </c>
      <c r="B1292" s="44" t="s">
        <v>1627</v>
      </c>
      <c r="C1292" s="44" t="s">
        <v>594</v>
      </c>
      <c r="D1292" s="44" t="n">
        <v>1102002</v>
      </c>
      <c r="E1292" s="44" t="s">
        <v>598</v>
      </c>
      <c r="F1292" s="44" t="s">
        <v>1628</v>
      </c>
      <c r="G1292" s="42"/>
      <c r="H1292" s="42" t="n">
        <v>2834000</v>
      </c>
      <c r="I1292" s="44" t="s">
        <v>719</v>
      </c>
      <c r="J1292" s="11" t="n">
        <f aca="false">IF(D1292="","",N(G1292)-N(H1292))</f>
        <v>-2834000</v>
      </c>
      <c r="K1292" s="34" t="str">
        <f aca="false">IF(D1292="","",IFERROR(INDEX(I_COA!$C$6:$C$265,MATCH(D1292,I_COA!$A$6:$A$265,0)),"AKUN BARU"))</f>
        <v>Neraca</v>
      </c>
      <c r="L1292" s="34" t="str">
        <f aca="false">IF(K1292="LabaRugi",INDEX(I_COA!$D$6:$D$265,MATCH(D1292,I_COA!$A$6:$A$265,0)),"")</f>
        <v/>
      </c>
      <c r="M1292" s="34" t="str">
        <f aca="false">IF(K1292="Neraca",INDEX(I_COA!$E$6:$E$265,MATCH(D1292,I_COA!$A$6:$A$265,0)),"")</f>
        <v>Cash and cash equivalents</v>
      </c>
      <c r="N1292" s="34" t="str">
        <f aca="false">IF(D1292="","",IFERROR(INDEX(I_COA!$G$6:$G$265,MATCH(D1292,I_COA!$A$6:$A$265,0)),"N"))</f>
        <v>Y</v>
      </c>
      <c r="O1292" s="11" t="str">
        <f aca="false">IF(N1292="N",ABS(J1292),"")</f>
        <v/>
      </c>
      <c r="P1292" s="18" t="str">
        <f aca="false">IF(N1292="N",B1292&amp;"|"&amp;ROUND(O1292,0),"")</f>
        <v/>
      </c>
      <c r="Q1292" s="18" t="n">
        <f aca="false">IF(N1292&lt;&gt;"Y","",IFERROR(INDEX($D$6:$D$4005,MATCH(B1292&amp;"|"&amp;ROUND(_xlfn.MAXIFS($O$6:$O$4005,$B$6:$B$4005,B1292,$N$6:$N$4005,"N"),0),$P$6:$P$4005,0)),"(tanpa lawan)"))</f>
        <v>2101003</v>
      </c>
      <c r="R1292" s="44"/>
      <c r="S1292" s="9" t="str">
        <f aca="false">IF(N1292&lt;&gt;"Y","",IF(R1292&lt;&gt;"",R1292,IF(Q1292="(tanpa lawan)","Transfer antar rekening",IFERROR(INDEX(I_COA!$F$6:$F$265,MATCH(Q1292,I_COA!$A$6:$A$265,0)),"?"))))</f>
        <v>Bayar jasa (maklon, angkut, cold storage, sewa)</v>
      </c>
    </row>
    <row r="1293" customFormat="false" ht="15" hidden="false" customHeight="false" outlineLevel="0" collapsed="false">
      <c r="A1293" s="37" t="n">
        <v>46253</v>
      </c>
      <c r="B1293" s="44" t="s">
        <v>1629</v>
      </c>
      <c r="C1293" s="44" t="s">
        <v>594</v>
      </c>
      <c r="D1293" s="44" t="n">
        <v>2101003</v>
      </c>
      <c r="E1293" s="44" t="s">
        <v>679</v>
      </c>
      <c r="F1293" s="44" t="s">
        <v>1630</v>
      </c>
      <c r="G1293" s="42" t="n">
        <v>882000</v>
      </c>
      <c r="H1293" s="42"/>
      <c r="I1293" s="44" t="s">
        <v>900</v>
      </c>
      <c r="J1293" s="11" t="n">
        <f aca="false">IF(D1293="","",N(G1293)-N(H1293))</f>
        <v>882000</v>
      </c>
      <c r="K1293" s="34" t="str">
        <f aca="false">IF(D1293="","",IFERROR(INDEX(I_COA!$C$6:$C$265,MATCH(D1293,I_COA!$A$6:$A$265,0)),"AKUN BARU"))</f>
        <v>Neraca</v>
      </c>
      <c r="L1293" s="34" t="str">
        <f aca="false">IF(K1293="LabaRugi",INDEX(I_COA!$D$6:$D$265,MATCH(D1293,I_COA!$A$6:$A$265,0)),"")</f>
        <v/>
      </c>
      <c r="M1293" s="34" t="str">
        <f aca="false">IF(K1293="Neraca",INDEX(I_COA!$E$6:$E$265,MATCH(D1293,I_COA!$A$6:$A$265,0)),"")</f>
        <v>Other Payable - Third Parties</v>
      </c>
      <c r="N1293" s="34" t="str">
        <f aca="false">IF(D1293="","",IFERROR(INDEX(I_COA!$G$6:$G$265,MATCH(D1293,I_COA!$A$6:$A$265,0)),"N"))</f>
        <v>N</v>
      </c>
      <c r="O1293" s="11" t="n">
        <f aca="false">IF(N1293="N",ABS(J1293),"")</f>
        <v>882000</v>
      </c>
      <c r="P1293" s="18" t="str">
        <f aca="false">IF(N1293="N",B1293&amp;"|"&amp;ROUND(O1293,0),"")</f>
        <v>B8526080079|882000</v>
      </c>
      <c r="Q1293" s="18" t="str">
        <f aca="false">IF(N1293&lt;&gt;"Y","",IFERROR(INDEX($D$6:$D$4005,MATCH(B1293&amp;"|"&amp;ROUND(_xlfn.MAXIFS($O$6:$O$4005,$B$6:$B$4005,B1293,$N$6:$N$4005,"N"),0),$P$6:$P$4005,0)),"(tanpa lawan)"))</f>
        <v/>
      </c>
      <c r="R1293" s="44"/>
      <c r="S1293" s="9" t="str">
        <f aca="false">IF(N1293&lt;&gt;"Y","",IF(R1293&lt;&gt;"",R1293,IF(Q1293="(tanpa lawan)","Transfer antar rekening",IFERROR(INDEX(I_COA!$F$6:$F$265,MATCH(Q1293,I_COA!$A$6:$A$265,0)),"?"))))</f>
        <v/>
      </c>
    </row>
    <row r="1294" customFormat="false" ht="15" hidden="false" customHeight="false" outlineLevel="0" collapsed="false">
      <c r="A1294" s="37" t="n">
        <v>46253</v>
      </c>
      <c r="B1294" s="44" t="s">
        <v>1629</v>
      </c>
      <c r="C1294" s="44" t="s">
        <v>594</v>
      </c>
      <c r="D1294" s="44" t="n">
        <v>1102002</v>
      </c>
      <c r="E1294" s="44" t="s">
        <v>598</v>
      </c>
      <c r="F1294" s="44" t="s">
        <v>1630</v>
      </c>
      <c r="G1294" s="42"/>
      <c r="H1294" s="42" t="n">
        <v>882000</v>
      </c>
      <c r="I1294" s="44" t="s">
        <v>900</v>
      </c>
      <c r="J1294" s="11" t="n">
        <f aca="false">IF(D1294="","",N(G1294)-N(H1294))</f>
        <v>-882000</v>
      </c>
      <c r="K1294" s="34" t="str">
        <f aca="false">IF(D1294="","",IFERROR(INDEX(I_COA!$C$6:$C$265,MATCH(D1294,I_COA!$A$6:$A$265,0)),"AKUN BARU"))</f>
        <v>Neraca</v>
      </c>
      <c r="L1294" s="34" t="str">
        <f aca="false">IF(K1294="LabaRugi",INDEX(I_COA!$D$6:$D$265,MATCH(D1294,I_COA!$A$6:$A$265,0)),"")</f>
        <v/>
      </c>
      <c r="M1294" s="34" t="str">
        <f aca="false">IF(K1294="Neraca",INDEX(I_COA!$E$6:$E$265,MATCH(D1294,I_COA!$A$6:$A$265,0)),"")</f>
        <v>Cash and cash equivalents</v>
      </c>
      <c r="N1294" s="34" t="str">
        <f aca="false">IF(D1294="","",IFERROR(INDEX(I_COA!$G$6:$G$265,MATCH(D1294,I_COA!$A$6:$A$265,0)),"N"))</f>
        <v>Y</v>
      </c>
      <c r="O1294" s="11" t="str">
        <f aca="false">IF(N1294="N",ABS(J1294),"")</f>
        <v/>
      </c>
      <c r="P1294" s="18" t="str">
        <f aca="false">IF(N1294="N",B1294&amp;"|"&amp;ROUND(O1294,0),"")</f>
        <v/>
      </c>
      <c r="Q1294" s="18" t="n">
        <f aca="false">IF(N1294&lt;&gt;"Y","",IFERROR(INDEX($D$6:$D$4005,MATCH(B1294&amp;"|"&amp;ROUND(_xlfn.MAXIFS($O$6:$O$4005,$B$6:$B$4005,B1294,$N$6:$N$4005,"N"),0),$P$6:$P$4005,0)),"(tanpa lawan)"))</f>
        <v>2101003</v>
      </c>
      <c r="R1294" s="44"/>
      <c r="S1294" s="9" t="str">
        <f aca="false">IF(N1294&lt;&gt;"Y","",IF(R1294&lt;&gt;"",R1294,IF(Q1294="(tanpa lawan)","Transfer antar rekening",IFERROR(INDEX(I_COA!$F$6:$F$265,MATCH(Q1294,I_COA!$A$6:$A$265,0)),"?"))))</f>
        <v>Bayar jasa (maklon, angkut, cold storage, sewa)</v>
      </c>
    </row>
    <row r="1295" customFormat="false" ht="15" hidden="false" customHeight="false" outlineLevel="0" collapsed="false">
      <c r="A1295" s="37" t="n">
        <v>46253</v>
      </c>
      <c r="B1295" s="44" t="s">
        <v>1631</v>
      </c>
      <c r="C1295" s="44" t="s">
        <v>594</v>
      </c>
      <c r="D1295" s="44" t="n">
        <v>2101001</v>
      </c>
      <c r="E1295" s="44" t="s">
        <v>595</v>
      </c>
      <c r="F1295" s="44" t="s">
        <v>1632</v>
      </c>
      <c r="G1295" s="42" t="n">
        <v>205257760</v>
      </c>
      <c r="H1295" s="42"/>
      <c r="I1295" s="44" t="s">
        <v>597</v>
      </c>
      <c r="J1295" s="11" t="n">
        <f aca="false">IF(D1295="","",N(G1295)-N(H1295))</f>
        <v>205257760</v>
      </c>
      <c r="K1295" s="34" t="str">
        <f aca="false">IF(D1295="","",IFERROR(INDEX(I_COA!$C$6:$C$265,MATCH(D1295,I_COA!$A$6:$A$265,0)),"AKUN BARU"))</f>
        <v>Neraca</v>
      </c>
      <c r="L1295" s="34" t="str">
        <f aca="false">IF(K1295="LabaRugi",INDEX(I_COA!$D$6:$D$265,MATCH(D1295,I_COA!$A$6:$A$265,0)),"")</f>
        <v/>
      </c>
      <c r="M1295" s="34" t="str">
        <f aca="false">IF(K1295="Neraca",INDEX(I_COA!$E$6:$E$265,MATCH(D1295,I_COA!$A$6:$A$265,0)),"")</f>
        <v>Trade Payables - Third Parties</v>
      </c>
      <c r="N1295" s="34" t="str">
        <f aca="false">IF(D1295="","",IFERROR(INDEX(I_COA!$G$6:$G$265,MATCH(D1295,I_COA!$A$6:$A$265,0)),"N"))</f>
        <v>N</v>
      </c>
      <c r="O1295" s="11" t="n">
        <f aca="false">IF(N1295="N",ABS(J1295),"")</f>
        <v>205257760</v>
      </c>
      <c r="P1295" s="18" t="str">
        <f aca="false">IF(N1295="N",B1295&amp;"|"&amp;ROUND(O1295,0),"")</f>
        <v>B8526080080A|205257760</v>
      </c>
      <c r="Q1295" s="18" t="str">
        <f aca="false">IF(N1295&lt;&gt;"Y","",IFERROR(INDEX($D$6:$D$4005,MATCH(B1295&amp;"|"&amp;ROUND(_xlfn.MAXIFS($O$6:$O$4005,$B$6:$B$4005,B1295,$N$6:$N$4005,"N"),0),$P$6:$P$4005,0)),"(tanpa lawan)"))</f>
        <v/>
      </c>
      <c r="R1295" s="44"/>
      <c r="S1295" s="9" t="str">
        <f aca="false">IF(N1295&lt;&gt;"Y","",IF(R1295&lt;&gt;"",R1295,IF(Q1295="(tanpa lawan)","Transfer antar rekening",IFERROR(INDEX(I_COA!$F$6:$F$265,MATCH(Q1295,I_COA!$A$6:$A$265,0)),"?"))))</f>
        <v/>
      </c>
    </row>
    <row r="1296" customFormat="false" ht="15" hidden="false" customHeight="false" outlineLevel="0" collapsed="false">
      <c r="A1296" s="37" t="n">
        <v>46253</v>
      </c>
      <c r="B1296" s="44" t="s">
        <v>1631</v>
      </c>
      <c r="C1296" s="44" t="s">
        <v>594</v>
      </c>
      <c r="D1296" s="44" t="n">
        <v>6200023</v>
      </c>
      <c r="E1296" s="44" t="s">
        <v>688</v>
      </c>
      <c r="F1296" s="44" t="s">
        <v>1632</v>
      </c>
      <c r="G1296" s="42"/>
      <c r="H1296" s="42" t="n">
        <v>10000</v>
      </c>
      <c r="I1296" s="44" t="s">
        <v>597</v>
      </c>
      <c r="J1296" s="11" t="n">
        <f aca="false">IF(D1296="","",N(G1296)-N(H1296))</f>
        <v>-10000</v>
      </c>
      <c r="K1296" s="34" t="str">
        <f aca="false">IF(D1296="","",IFERROR(INDEX(I_COA!$C$6:$C$265,MATCH(D1296,I_COA!$A$6:$A$265,0)),"AKUN BARU"))</f>
        <v>LabaRugi</v>
      </c>
      <c r="L1296" s="34" t="str">
        <f aca="false">IF(K1296="LabaRugi",INDEX(I_COA!$D$6:$D$265,MATCH(D1296,I_COA!$A$6:$A$265,0)),"")</f>
        <v>Tax expenses</v>
      </c>
      <c r="M1296" s="34" t="str">
        <f aca="false">IF(K1296="Neraca",INDEX(I_COA!$E$6:$E$265,MATCH(D1296,I_COA!$A$6:$A$265,0)),"")</f>
        <v/>
      </c>
      <c r="N1296" s="34" t="str">
        <f aca="false">IF(D1296="","",IFERROR(INDEX(I_COA!$G$6:$G$265,MATCH(D1296,I_COA!$A$6:$A$265,0)),"N"))</f>
        <v>N</v>
      </c>
      <c r="O1296" s="11" t="n">
        <f aca="false">IF(N1296="N",ABS(J1296),"")</f>
        <v>10000</v>
      </c>
      <c r="P1296" s="18" t="str">
        <f aca="false">IF(N1296="N",B1296&amp;"|"&amp;ROUND(O1296,0),"")</f>
        <v>B8526080080A|10000</v>
      </c>
      <c r="Q1296" s="18" t="str">
        <f aca="false">IF(N1296&lt;&gt;"Y","",IFERROR(INDEX($D$6:$D$4005,MATCH(B1296&amp;"|"&amp;ROUND(_xlfn.MAXIFS($O$6:$O$4005,$B$6:$B$4005,B1296,$N$6:$N$4005,"N"),0),$P$6:$P$4005,0)),"(tanpa lawan)"))</f>
        <v/>
      </c>
      <c r="R1296" s="44"/>
      <c r="S1296" s="9" t="str">
        <f aca="false">IF(N1296&lt;&gt;"Y","",IF(R1296&lt;&gt;"",R1296,IF(Q1296="(tanpa lawan)","Transfer antar rekening",IFERROR(INDEX(I_COA!$F$6:$F$265,MATCH(Q1296,I_COA!$A$6:$A$265,0)),"?"))))</f>
        <v/>
      </c>
    </row>
    <row r="1297" customFormat="false" ht="15" hidden="false" customHeight="false" outlineLevel="0" collapsed="false">
      <c r="A1297" s="37" t="n">
        <v>46253</v>
      </c>
      <c r="B1297" s="44" t="s">
        <v>1631</v>
      </c>
      <c r="C1297" s="44" t="s">
        <v>594</v>
      </c>
      <c r="D1297" s="44" t="n">
        <v>1102002</v>
      </c>
      <c r="E1297" s="44" t="s">
        <v>598</v>
      </c>
      <c r="F1297" s="44" t="s">
        <v>1632</v>
      </c>
      <c r="G1297" s="42"/>
      <c r="H1297" s="42" t="n">
        <v>205247760</v>
      </c>
      <c r="I1297" s="44" t="s">
        <v>597</v>
      </c>
      <c r="J1297" s="11" t="n">
        <f aca="false">IF(D1297="","",N(G1297)-N(H1297))</f>
        <v>-205247760</v>
      </c>
      <c r="K1297" s="34" t="str">
        <f aca="false">IF(D1297="","",IFERROR(INDEX(I_COA!$C$6:$C$265,MATCH(D1297,I_COA!$A$6:$A$265,0)),"AKUN BARU"))</f>
        <v>Neraca</v>
      </c>
      <c r="L1297" s="34" t="str">
        <f aca="false">IF(K1297="LabaRugi",INDEX(I_COA!$D$6:$D$265,MATCH(D1297,I_COA!$A$6:$A$265,0)),"")</f>
        <v/>
      </c>
      <c r="M1297" s="34" t="str">
        <f aca="false">IF(K1297="Neraca",INDEX(I_COA!$E$6:$E$265,MATCH(D1297,I_COA!$A$6:$A$265,0)),"")</f>
        <v>Cash and cash equivalents</v>
      </c>
      <c r="N1297" s="34" t="str">
        <f aca="false">IF(D1297="","",IFERROR(INDEX(I_COA!$G$6:$G$265,MATCH(D1297,I_COA!$A$6:$A$265,0)),"N"))</f>
        <v>Y</v>
      </c>
      <c r="O1297" s="11" t="str">
        <f aca="false">IF(N1297="N",ABS(J1297),"")</f>
        <v/>
      </c>
      <c r="P1297" s="18" t="str">
        <f aca="false">IF(N1297="N",B1297&amp;"|"&amp;ROUND(O1297,0),"")</f>
        <v/>
      </c>
      <c r="Q1297" s="18" t="n">
        <f aca="false">IF(N1297&lt;&gt;"Y","",IFERROR(INDEX($D$6:$D$4005,MATCH(B1297&amp;"|"&amp;ROUND(_xlfn.MAXIFS($O$6:$O$4005,$B$6:$B$4005,B1297,$N$6:$N$4005,"N"),0),$P$6:$P$4005,0)),"(tanpa lawan)"))</f>
        <v>2101001</v>
      </c>
      <c r="R1297" s="44"/>
      <c r="S1297" s="9" t="str">
        <f aca="false">IF(N1297&lt;&gt;"Y","",IF(R1297&lt;&gt;"",R1297,IF(Q1297="(tanpa lawan)","Transfer antar rekening",IFERROR(INDEX(I_COA!$F$6:$F$265,MATCH(Q1297,I_COA!$A$6:$A$265,0)),"?"))))</f>
        <v>Bayar pemasok barang (live bird &amp; trading)</v>
      </c>
    </row>
    <row r="1298" customFormat="false" ht="15" hidden="false" customHeight="false" outlineLevel="0" collapsed="false">
      <c r="A1298" s="37" t="n">
        <v>46253</v>
      </c>
      <c r="B1298" s="44" t="s">
        <v>1633</v>
      </c>
      <c r="C1298" s="44" t="s">
        <v>580</v>
      </c>
      <c r="D1298" s="44" t="n">
        <v>1103121</v>
      </c>
      <c r="E1298" s="44" t="s">
        <v>685</v>
      </c>
      <c r="F1298" s="44" t="s">
        <v>1634</v>
      </c>
      <c r="G1298" s="42" t="n">
        <v>20652240</v>
      </c>
      <c r="H1298" s="42"/>
      <c r="I1298" s="44" t="s">
        <v>660</v>
      </c>
      <c r="J1298" s="11" t="n">
        <f aca="false">IF(D1298="","",N(G1298)-N(H1298))</f>
        <v>20652240</v>
      </c>
      <c r="K1298" s="34" t="str">
        <f aca="false">IF(D1298="","",IFERROR(INDEX(I_COA!$C$6:$C$265,MATCH(D1298,I_COA!$A$6:$A$265,0)),"AKUN BARU"))</f>
        <v>Neraca</v>
      </c>
      <c r="L1298" s="34" t="str">
        <f aca="false">IF(K1298="LabaRugi",INDEX(I_COA!$D$6:$D$265,MATCH(D1298,I_COA!$A$6:$A$265,0)),"")</f>
        <v/>
      </c>
      <c r="M1298" s="34" t="str">
        <f aca="false">IF(K1298="Neraca",INDEX(I_COA!$E$6:$E$265,MATCH(D1298,I_COA!$A$6:$A$265,0)),"")</f>
        <v>Advance Payment</v>
      </c>
      <c r="N1298" s="34" t="str">
        <f aca="false">IF(D1298="","",IFERROR(INDEX(I_COA!$G$6:$G$265,MATCH(D1298,I_COA!$A$6:$A$265,0)),"N"))</f>
        <v>N</v>
      </c>
      <c r="O1298" s="11" t="n">
        <f aca="false">IF(N1298="N",ABS(J1298),"")</f>
        <v>20652240</v>
      </c>
      <c r="P1298" s="18" t="str">
        <f aca="false">IF(N1298="N",B1298&amp;"|"&amp;ROUND(O1298,0),"")</f>
        <v>B8526080080B|20652240</v>
      </c>
      <c r="Q1298" s="18" t="str">
        <f aca="false">IF(N1298&lt;&gt;"Y","",IFERROR(INDEX($D$6:$D$4005,MATCH(B1298&amp;"|"&amp;ROUND(_xlfn.MAXIFS($O$6:$O$4005,$B$6:$B$4005,B1298,$N$6:$N$4005,"N"),0),$P$6:$P$4005,0)),"(tanpa lawan)"))</f>
        <v/>
      </c>
      <c r="R1298" s="44"/>
      <c r="S1298" s="9" t="str">
        <f aca="false">IF(N1298&lt;&gt;"Y","",IF(R1298&lt;&gt;"",R1298,IF(Q1298="(tanpa lawan)","Transfer antar rekening",IFERROR(INDEX(I_COA!$F$6:$F$265,MATCH(Q1298,I_COA!$A$6:$A$265,0)),"?"))))</f>
        <v/>
      </c>
    </row>
    <row r="1299" customFormat="false" ht="15" hidden="false" customHeight="false" outlineLevel="0" collapsed="false">
      <c r="A1299" s="37" t="n">
        <v>46253</v>
      </c>
      <c r="B1299" s="44" t="s">
        <v>1633</v>
      </c>
      <c r="C1299" s="44" t="s">
        <v>580</v>
      </c>
      <c r="D1299" s="44" t="n">
        <v>1102002</v>
      </c>
      <c r="E1299" s="44" t="s">
        <v>598</v>
      </c>
      <c r="F1299" s="44" t="s">
        <v>1635</v>
      </c>
      <c r="G1299" s="42"/>
      <c r="H1299" s="42" t="n">
        <v>20652240</v>
      </c>
      <c r="I1299" s="44"/>
      <c r="J1299" s="11" t="n">
        <f aca="false">IF(D1299="","",N(G1299)-N(H1299))</f>
        <v>-20652240</v>
      </c>
      <c r="K1299" s="34" t="str">
        <f aca="false">IF(D1299="","",IFERROR(INDEX(I_COA!$C$6:$C$265,MATCH(D1299,I_COA!$A$6:$A$265,0)),"AKUN BARU"))</f>
        <v>Neraca</v>
      </c>
      <c r="L1299" s="34" t="str">
        <f aca="false">IF(K1299="LabaRugi",INDEX(I_COA!$D$6:$D$265,MATCH(D1299,I_COA!$A$6:$A$265,0)),"")</f>
        <v/>
      </c>
      <c r="M1299" s="34" t="str">
        <f aca="false">IF(K1299="Neraca",INDEX(I_COA!$E$6:$E$265,MATCH(D1299,I_COA!$A$6:$A$265,0)),"")</f>
        <v>Cash and cash equivalents</v>
      </c>
      <c r="N1299" s="34" t="str">
        <f aca="false">IF(D1299="","",IFERROR(INDEX(I_COA!$G$6:$G$265,MATCH(D1299,I_COA!$A$6:$A$265,0)),"N"))</f>
        <v>Y</v>
      </c>
      <c r="O1299" s="11" t="str">
        <f aca="false">IF(N1299="N",ABS(J1299),"")</f>
        <v/>
      </c>
      <c r="P1299" s="18" t="str">
        <f aca="false">IF(N1299="N",B1299&amp;"|"&amp;ROUND(O1299,0),"")</f>
        <v/>
      </c>
      <c r="Q1299" s="18" t="n">
        <f aca="false">IF(N1299&lt;&gt;"Y","",IFERROR(INDEX($D$6:$D$4005,MATCH(B1299&amp;"|"&amp;ROUND(_xlfn.MAXIFS($O$6:$O$4005,$B$6:$B$4005,B1299,$N$6:$N$4005,"N"),0),$P$6:$P$4005,0)),"(tanpa lawan)"))</f>
        <v>1103121</v>
      </c>
      <c r="R1299" s="44"/>
      <c r="S1299" s="9" t="str">
        <f aca="false">IF(N1299&lt;&gt;"Y","",IF(R1299&lt;&gt;"",R1299,IF(Q1299="(tanpa lawan)","Transfer antar rekening",IFERROR(INDEX(I_COA!$F$6:$F$265,MATCH(Q1299,I_COA!$A$6:$A$265,0)),"?"))))</f>
        <v>Bayar pemasok barang (live bird &amp; trading)</v>
      </c>
    </row>
    <row r="1300" customFormat="false" ht="15" hidden="false" customHeight="false" outlineLevel="0" collapsed="false">
      <c r="A1300" s="37" t="n">
        <v>46253</v>
      </c>
      <c r="B1300" s="44" t="s">
        <v>1636</v>
      </c>
      <c r="C1300" s="44" t="s">
        <v>690</v>
      </c>
      <c r="D1300" s="44" t="n">
        <v>1104003</v>
      </c>
      <c r="E1300" s="44" t="s">
        <v>613</v>
      </c>
      <c r="F1300" s="44" t="s">
        <v>1637</v>
      </c>
      <c r="G1300" s="42" t="n">
        <v>433154660.34</v>
      </c>
      <c r="H1300" s="42"/>
      <c r="I1300" s="44" t="s">
        <v>597</v>
      </c>
      <c r="J1300" s="11" t="n">
        <f aca="false">IF(D1300="","",N(G1300)-N(H1300))</f>
        <v>433154660.34</v>
      </c>
      <c r="K1300" s="34" t="str">
        <f aca="false">IF(D1300="","",IFERROR(INDEX(I_COA!$C$6:$C$265,MATCH(D1300,I_COA!$A$6:$A$265,0)),"AKUN BARU"))</f>
        <v>Neraca</v>
      </c>
      <c r="L1300" s="34" t="str">
        <f aca="false">IF(K1300="LabaRugi",INDEX(I_COA!$D$6:$D$265,MATCH(D1300,I_COA!$A$6:$A$265,0)),"")</f>
        <v/>
      </c>
      <c r="M1300" s="34" t="str">
        <f aca="false">IF(K1300="Neraca",INDEX(I_COA!$E$6:$E$265,MATCH(D1300,I_COA!$A$6:$A$265,0)),"")</f>
        <v>Inventory - Product</v>
      </c>
      <c r="N1300" s="34" t="str">
        <f aca="false">IF(D1300="","",IFERROR(INDEX(I_COA!$G$6:$G$265,MATCH(D1300,I_COA!$A$6:$A$265,0)),"N"))</f>
        <v>N</v>
      </c>
      <c r="O1300" s="11" t="n">
        <f aca="false">IF(N1300="N",ABS(J1300),"")</f>
        <v>433154660.34</v>
      </c>
      <c r="P1300" s="18" t="str">
        <f aca="false">IF(N1300="N",B1300&amp;"|"&amp;ROUND(O1300,0),"")</f>
        <v>GR26080011|433154660</v>
      </c>
      <c r="Q1300" s="18" t="str">
        <f aca="false">IF(N1300&lt;&gt;"Y","",IFERROR(INDEX($D$6:$D$4005,MATCH(B1300&amp;"|"&amp;ROUND(_xlfn.MAXIFS($O$6:$O$4005,$B$6:$B$4005,B1300,$N$6:$N$4005,"N"),0),$P$6:$P$4005,0)),"(tanpa lawan)"))</f>
        <v/>
      </c>
      <c r="R1300" s="44"/>
      <c r="S1300" s="9" t="str">
        <f aca="false">IF(N1300&lt;&gt;"Y","",IF(R1300&lt;&gt;"",R1300,IF(Q1300="(tanpa lawan)","Transfer antar rekening",IFERROR(INDEX(I_COA!$F$6:$F$265,MATCH(Q1300,I_COA!$A$6:$A$265,0)),"?"))))</f>
        <v/>
      </c>
    </row>
    <row r="1301" customFormat="false" ht="15" hidden="false" customHeight="false" outlineLevel="0" collapsed="false">
      <c r="A1301" s="37" t="n">
        <v>46253</v>
      </c>
      <c r="B1301" s="44" t="s">
        <v>1636</v>
      </c>
      <c r="C1301" s="44" t="s">
        <v>690</v>
      </c>
      <c r="D1301" s="44" t="n">
        <v>2103011</v>
      </c>
      <c r="E1301" s="44" t="s">
        <v>693</v>
      </c>
      <c r="F1301" s="44" t="s">
        <v>1637</v>
      </c>
      <c r="G1301" s="42"/>
      <c r="H1301" s="42" t="n">
        <v>461981209.67</v>
      </c>
      <c r="I1301" s="44" t="s">
        <v>597</v>
      </c>
      <c r="J1301" s="11" t="n">
        <f aca="false">IF(D1301="","",N(G1301)-N(H1301))</f>
        <v>-461981209.67</v>
      </c>
      <c r="K1301" s="34" t="str">
        <f aca="false">IF(D1301="","",IFERROR(INDEX(I_COA!$C$6:$C$265,MATCH(D1301,I_COA!$A$6:$A$265,0)),"AKUN BARU"))</f>
        <v>Neraca</v>
      </c>
      <c r="L1301" s="34" t="str">
        <f aca="false">IF(K1301="LabaRugi",INDEX(I_COA!$D$6:$D$265,MATCH(D1301,I_COA!$A$6:$A$265,0)),"")</f>
        <v/>
      </c>
      <c r="M1301" s="34" t="str">
        <f aca="false">IF(K1301="Neraca",INDEX(I_COA!$E$6:$E$265,MATCH(D1301,I_COA!$A$6:$A$265,0)),"")</f>
        <v>Accrued Expenses - Third Parties</v>
      </c>
      <c r="N1301" s="34" t="str">
        <f aca="false">IF(D1301="","",IFERROR(INDEX(I_COA!$G$6:$G$265,MATCH(D1301,I_COA!$A$6:$A$265,0)),"N"))</f>
        <v>N</v>
      </c>
      <c r="O1301" s="11" t="n">
        <f aca="false">IF(N1301="N",ABS(J1301),"")</f>
        <v>461981209.67</v>
      </c>
      <c r="P1301" s="18" t="str">
        <f aca="false">IF(N1301="N",B1301&amp;"|"&amp;ROUND(O1301,0),"")</f>
        <v>GR26080011|461981210</v>
      </c>
      <c r="Q1301" s="18" t="str">
        <f aca="false">IF(N1301&lt;&gt;"Y","",IFERROR(INDEX($D$6:$D$4005,MATCH(B1301&amp;"|"&amp;ROUND(_xlfn.MAXIFS($O$6:$O$4005,$B$6:$B$4005,B1301,$N$6:$N$4005,"N"),0),$P$6:$P$4005,0)),"(tanpa lawan)"))</f>
        <v/>
      </c>
      <c r="R1301" s="44"/>
      <c r="S1301" s="9" t="str">
        <f aca="false">IF(N1301&lt;&gt;"Y","",IF(R1301&lt;&gt;"",R1301,IF(Q1301="(tanpa lawan)","Transfer antar rekening",IFERROR(INDEX(I_COA!$F$6:$F$265,MATCH(Q1301,I_COA!$A$6:$A$265,0)),"?"))))</f>
        <v/>
      </c>
    </row>
    <row r="1302" customFormat="false" ht="15" hidden="false" customHeight="false" outlineLevel="0" collapsed="false">
      <c r="A1302" s="37" t="n">
        <v>46253</v>
      </c>
      <c r="B1302" s="44" t="s">
        <v>1636</v>
      </c>
      <c r="C1302" s="44" t="s">
        <v>690</v>
      </c>
      <c r="D1302" s="44" t="n">
        <v>1104004</v>
      </c>
      <c r="E1302" s="44" t="s">
        <v>917</v>
      </c>
      <c r="F1302" s="44" t="s">
        <v>1637</v>
      </c>
      <c r="G1302" s="42" t="n">
        <v>28826549.33</v>
      </c>
      <c r="H1302" s="42"/>
      <c r="I1302" s="44" t="s">
        <v>597</v>
      </c>
      <c r="J1302" s="11" t="n">
        <f aca="false">IF(D1302="","",N(G1302)-N(H1302))</f>
        <v>28826549.33</v>
      </c>
      <c r="K1302" s="34" t="str">
        <f aca="false">IF(D1302="","",IFERROR(INDEX(I_COA!$C$6:$C$265,MATCH(D1302,I_COA!$A$6:$A$265,0)),"AKUN BARU"))</f>
        <v>Neraca</v>
      </c>
      <c r="L1302" s="34" t="str">
        <f aca="false">IF(K1302="LabaRugi",INDEX(I_COA!$D$6:$D$265,MATCH(D1302,I_COA!$A$6:$A$265,0)),"")</f>
        <v/>
      </c>
      <c r="M1302" s="34" t="str">
        <f aca="false">IF(K1302="Neraca",INDEX(I_COA!$E$6:$E$265,MATCH(D1302,I_COA!$A$6:$A$265,0)),"")</f>
        <v>Inventory - Product</v>
      </c>
      <c r="N1302" s="34" t="str">
        <f aca="false">IF(D1302="","",IFERROR(INDEX(I_COA!$G$6:$G$265,MATCH(D1302,I_COA!$A$6:$A$265,0)),"N"))</f>
        <v>N</v>
      </c>
      <c r="O1302" s="11" t="n">
        <f aca="false">IF(N1302="N",ABS(J1302),"")</f>
        <v>28826549.33</v>
      </c>
      <c r="P1302" s="18" t="str">
        <f aca="false">IF(N1302="N",B1302&amp;"|"&amp;ROUND(O1302,0),"")</f>
        <v>GR26080011|28826549</v>
      </c>
      <c r="Q1302" s="18" t="str">
        <f aca="false">IF(N1302&lt;&gt;"Y","",IFERROR(INDEX($D$6:$D$4005,MATCH(B1302&amp;"|"&amp;ROUND(_xlfn.MAXIFS($O$6:$O$4005,$B$6:$B$4005,B1302,$N$6:$N$4005,"N"),0),$P$6:$P$4005,0)),"(tanpa lawan)"))</f>
        <v/>
      </c>
      <c r="R1302" s="44"/>
      <c r="S1302" s="9" t="str">
        <f aca="false">IF(N1302&lt;&gt;"Y","",IF(R1302&lt;&gt;"",R1302,IF(Q1302="(tanpa lawan)","Transfer antar rekening",IFERROR(INDEX(I_COA!$F$6:$F$265,MATCH(Q1302,I_COA!$A$6:$A$265,0)),"?"))))</f>
        <v/>
      </c>
    </row>
    <row r="1303" customFormat="false" ht="15" hidden="false" customHeight="false" outlineLevel="0" collapsed="false">
      <c r="A1303" s="37" t="n">
        <v>46253</v>
      </c>
      <c r="B1303" s="44" t="s">
        <v>1638</v>
      </c>
      <c r="C1303" s="44" t="s">
        <v>600</v>
      </c>
      <c r="D1303" s="44" t="n">
        <v>1104002</v>
      </c>
      <c r="E1303" s="44" t="s">
        <v>601</v>
      </c>
      <c r="F1303" s="44" t="s">
        <v>1639</v>
      </c>
      <c r="G1303" s="42" t="n">
        <v>63953622.47</v>
      </c>
      <c r="H1303" s="42"/>
      <c r="I1303" s="44" t="s">
        <v>1604</v>
      </c>
      <c r="J1303" s="11" t="n">
        <f aca="false">IF(D1303="","",N(G1303)-N(H1303))</f>
        <v>63953622.47</v>
      </c>
      <c r="K1303" s="34" t="str">
        <f aca="false">IF(D1303="","",IFERROR(INDEX(I_COA!$C$6:$C$265,MATCH(D1303,I_COA!$A$6:$A$265,0)),"AKUN BARU"))</f>
        <v>Neraca</v>
      </c>
      <c r="L1303" s="34" t="str">
        <f aca="false">IF(K1303="LabaRugi",INDEX(I_COA!$D$6:$D$265,MATCH(D1303,I_COA!$A$6:$A$265,0)),"")</f>
        <v/>
      </c>
      <c r="M1303" s="34" t="str">
        <f aca="false">IF(K1303="Neraca",INDEX(I_COA!$E$6:$E$265,MATCH(D1303,I_COA!$A$6:$A$265,0)),"")</f>
        <v>Inventory - Product</v>
      </c>
      <c r="N1303" s="34" t="str">
        <f aca="false">IF(D1303="","",IFERROR(INDEX(I_COA!$G$6:$G$265,MATCH(D1303,I_COA!$A$6:$A$265,0)),"N"))</f>
        <v>N</v>
      </c>
      <c r="O1303" s="11" t="n">
        <f aca="false">IF(N1303="N",ABS(J1303),"")</f>
        <v>63953622.47</v>
      </c>
      <c r="P1303" s="18" t="str">
        <f aca="false">IF(N1303="N",B1303&amp;"|"&amp;ROUND(O1303,0),"")</f>
        <v>KGR26.00288|63953622</v>
      </c>
      <c r="Q1303" s="18" t="str">
        <f aca="false">IF(N1303&lt;&gt;"Y","",IFERROR(INDEX($D$6:$D$4005,MATCH(B1303&amp;"|"&amp;ROUND(_xlfn.MAXIFS($O$6:$O$4005,$B$6:$B$4005,B1303,$N$6:$N$4005,"N"),0),$P$6:$P$4005,0)),"(tanpa lawan)"))</f>
        <v/>
      </c>
      <c r="R1303" s="44"/>
      <c r="S1303" s="9" t="str">
        <f aca="false">IF(N1303&lt;&gt;"Y","",IF(R1303&lt;&gt;"",R1303,IF(Q1303="(tanpa lawan)","Transfer antar rekening",IFERROR(INDEX(I_COA!$F$6:$F$265,MATCH(Q1303,I_COA!$A$6:$A$265,0)),"?"))))</f>
        <v/>
      </c>
    </row>
    <row r="1304" customFormat="false" ht="15" hidden="false" customHeight="false" outlineLevel="0" collapsed="false">
      <c r="A1304" s="37" t="n">
        <v>46253</v>
      </c>
      <c r="B1304" s="44" t="s">
        <v>1638</v>
      </c>
      <c r="C1304" s="44" t="s">
        <v>600</v>
      </c>
      <c r="D1304" s="44" t="n">
        <v>1104006</v>
      </c>
      <c r="E1304" s="44" t="s">
        <v>212</v>
      </c>
      <c r="F1304" s="44" t="s">
        <v>1639</v>
      </c>
      <c r="G1304" s="42"/>
      <c r="H1304" s="42" t="n">
        <v>63953622.47</v>
      </c>
      <c r="I1304" s="44" t="s">
        <v>1604</v>
      </c>
      <c r="J1304" s="11" t="n">
        <f aca="false">IF(D1304="","",N(G1304)-N(H1304))</f>
        <v>-63953622.47</v>
      </c>
      <c r="K1304" s="34" t="str">
        <f aca="false">IF(D1304="","",IFERROR(INDEX(I_COA!$C$6:$C$265,MATCH(D1304,I_COA!$A$6:$A$265,0)),"AKUN BARU"))</f>
        <v>Neraca</v>
      </c>
      <c r="L1304" s="34" t="str">
        <f aca="false">IF(K1304="LabaRugi",INDEX(I_COA!$D$6:$D$265,MATCH(D1304,I_COA!$A$6:$A$265,0)),"")</f>
        <v/>
      </c>
      <c r="M1304" s="34" t="str">
        <f aca="false">IF(K1304="Neraca",INDEX(I_COA!$E$6:$E$265,MATCH(D1304,I_COA!$A$6:$A$265,0)),"")</f>
        <v>Inventory - Trading</v>
      </c>
      <c r="N1304" s="34" t="str">
        <f aca="false">IF(D1304="","",IFERROR(INDEX(I_COA!$G$6:$G$265,MATCH(D1304,I_COA!$A$6:$A$265,0)),"N"))</f>
        <v>N</v>
      </c>
      <c r="O1304" s="11" t="n">
        <f aca="false">IF(N1304="N",ABS(J1304),"")</f>
        <v>63953622.47</v>
      </c>
      <c r="P1304" s="18" t="str">
        <f aca="false">IF(N1304="N",B1304&amp;"|"&amp;ROUND(O1304,0),"")</f>
        <v>KGR26.00288|63953622</v>
      </c>
      <c r="Q1304" s="18" t="str">
        <f aca="false">IF(N1304&lt;&gt;"Y","",IFERROR(INDEX($D$6:$D$4005,MATCH(B1304&amp;"|"&amp;ROUND(_xlfn.MAXIFS($O$6:$O$4005,$B$6:$B$4005,B1304,$N$6:$N$4005,"N"),0),$P$6:$P$4005,0)),"(tanpa lawan)"))</f>
        <v/>
      </c>
      <c r="R1304" s="44"/>
      <c r="S1304" s="9" t="str">
        <f aca="false">IF(N1304&lt;&gt;"Y","",IF(R1304&lt;&gt;"",R1304,IF(Q1304="(tanpa lawan)","Transfer antar rekening",IFERROR(INDEX(I_COA!$F$6:$F$265,MATCH(Q1304,I_COA!$A$6:$A$265,0)),"?"))))</f>
        <v/>
      </c>
    </row>
    <row r="1305" customFormat="false" ht="15" hidden="false" customHeight="false" outlineLevel="0" collapsed="false">
      <c r="A1305" s="37" t="n">
        <v>46253</v>
      </c>
      <c r="B1305" s="44" t="s">
        <v>1640</v>
      </c>
      <c r="C1305" s="44" t="s">
        <v>600</v>
      </c>
      <c r="D1305" s="44" t="n">
        <v>1104002</v>
      </c>
      <c r="E1305" s="44" t="s">
        <v>601</v>
      </c>
      <c r="F1305" s="44" t="s">
        <v>1641</v>
      </c>
      <c r="G1305" s="42" t="n">
        <v>44452661.75</v>
      </c>
      <c r="H1305" s="42"/>
      <c r="I1305" s="44" t="s">
        <v>432</v>
      </c>
      <c r="J1305" s="11" t="n">
        <f aca="false">IF(D1305="","",N(G1305)-N(H1305))</f>
        <v>44452661.75</v>
      </c>
      <c r="K1305" s="34" t="str">
        <f aca="false">IF(D1305="","",IFERROR(INDEX(I_COA!$C$6:$C$265,MATCH(D1305,I_COA!$A$6:$A$265,0)),"AKUN BARU"))</f>
        <v>Neraca</v>
      </c>
      <c r="L1305" s="34" t="str">
        <f aca="false">IF(K1305="LabaRugi",INDEX(I_COA!$D$6:$D$265,MATCH(D1305,I_COA!$A$6:$A$265,0)),"")</f>
        <v/>
      </c>
      <c r="M1305" s="34" t="str">
        <f aca="false">IF(K1305="Neraca",INDEX(I_COA!$E$6:$E$265,MATCH(D1305,I_COA!$A$6:$A$265,0)),"")</f>
        <v>Inventory - Product</v>
      </c>
      <c r="N1305" s="34" t="str">
        <f aca="false">IF(D1305="","",IFERROR(INDEX(I_COA!$G$6:$G$265,MATCH(D1305,I_COA!$A$6:$A$265,0)),"N"))</f>
        <v>N</v>
      </c>
      <c r="O1305" s="11" t="n">
        <f aca="false">IF(N1305="N",ABS(J1305),"")</f>
        <v>44452661.75</v>
      </c>
      <c r="P1305" s="18" t="str">
        <f aca="false">IF(N1305="N",B1305&amp;"|"&amp;ROUND(O1305,0),"")</f>
        <v>KGR26.00289|44452662</v>
      </c>
      <c r="Q1305" s="18" t="str">
        <f aca="false">IF(N1305&lt;&gt;"Y","",IFERROR(INDEX($D$6:$D$4005,MATCH(B1305&amp;"|"&amp;ROUND(_xlfn.MAXIFS($O$6:$O$4005,$B$6:$B$4005,B1305,$N$6:$N$4005,"N"),0),$P$6:$P$4005,0)),"(tanpa lawan)"))</f>
        <v/>
      </c>
      <c r="R1305" s="44"/>
      <c r="S1305" s="9" t="str">
        <f aca="false">IF(N1305&lt;&gt;"Y","",IF(R1305&lt;&gt;"",R1305,IF(Q1305="(tanpa lawan)","Transfer antar rekening",IFERROR(INDEX(I_COA!$F$6:$F$265,MATCH(Q1305,I_COA!$A$6:$A$265,0)),"?"))))</f>
        <v/>
      </c>
    </row>
    <row r="1306" customFormat="false" ht="15" hidden="false" customHeight="false" outlineLevel="0" collapsed="false">
      <c r="A1306" s="37" t="n">
        <v>46253</v>
      </c>
      <c r="B1306" s="44" t="s">
        <v>1640</v>
      </c>
      <c r="C1306" s="44" t="s">
        <v>600</v>
      </c>
      <c r="D1306" s="44" t="n">
        <v>1104006</v>
      </c>
      <c r="E1306" s="44" t="s">
        <v>212</v>
      </c>
      <c r="F1306" s="44" t="s">
        <v>1641</v>
      </c>
      <c r="G1306" s="42"/>
      <c r="H1306" s="42" t="n">
        <v>44452661.75</v>
      </c>
      <c r="I1306" s="44" t="s">
        <v>432</v>
      </c>
      <c r="J1306" s="11" t="n">
        <f aca="false">IF(D1306="","",N(G1306)-N(H1306))</f>
        <v>-44452661.75</v>
      </c>
      <c r="K1306" s="34" t="str">
        <f aca="false">IF(D1306="","",IFERROR(INDEX(I_COA!$C$6:$C$265,MATCH(D1306,I_COA!$A$6:$A$265,0)),"AKUN BARU"))</f>
        <v>Neraca</v>
      </c>
      <c r="L1306" s="34" t="str">
        <f aca="false">IF(K1306="LabaRugi",INDEX(I_COA!$D$6:$D$265,MATCH(D1306,I_COA!$A$6:$A$265,0)),"")</f>
        <v/>
      </c>
      <c r="M1306" s="34" t="str">
        <f aca="false">IF(K1306="Neraca",INDEX(I_COA!$E$6:$E$265,MATCH(D1306,I_COA!$A$6:$A$265,0)),"")</f>
        <v>Inventory - Trading</v>
      </c>
      <c r="N1306" s="34" t="str">
        <f aca="false">IF(D1306="","",IFERROR(INDEX(I_COA!$G$6:$G$265,MATCH(D1306,I_COA!$A$6:$A$265,0)),"N"))</f>
        <v>N</v>
      </c>
      <c r="O1306" s="11" t="n">
        <f aca="false">IF(N1306="N",ABS(J1306),"")</f>
        <v>44452661.75</v>
      </c>
      <c r="P1306" s="18" t="str">
        <f aca="false">IF(N1306="N",B1306&amp;"|"&amp;ROUND(O1306,0),"")</f>
        <v>KGR26.00289|44452662</v>
      </c>
      <c r="Q1306" s="18" t="str">
        <f aca="false">IF(N1306&lt;&gt;"Y","",IFERROR(INDEX($D$6:$D$4005,MATCH(B1306&amp;"|"&amp;ROUND(_xlfn.MAXIFS($O$6:$O$4005,$B$6:$B$4005,B1306,$N$6:$N$4005,"N"),0),$P$6:$P$4005,0)),"(tanpa lawan)"))</f>
        <v/>
      </c>
      <c r="R1306" s="44"/>
      <c r="S1306" s="9" t="str">
        <f aca="false">IF(N1306&lt;&gt;"Y","",IF(R1306&lt;&gt;"",R1306,IF(Q1306="(tanpa lawan)","Transfer antar rekening",IFERROR(INDEX(I_COA!$F$6:$F$265,MATCH(Q1306,I_COA!$A$6:$A$265,0)),"?"))))</f>
        <v/>
      </c>
    </row>
    <row r="1307" customFormat="false" ht="15" hidden="false" customHeight="false" outlineLevel="0" collapsed="false">
      <c r="A1307" s="37" t="n">
        <v>46253</v>
      </c>
      <c r="B1307" s="44" t="s">
        <v>1642</v>
      </c>
      <c r="C1307" s="44" t="s">
        <v>600</v>
      </c>
      <c r="D1307" s="44" t="n">
        <v>1104002</v>
      </c>
      <c r="E1307" s="44" t="s">
        <v>601</v>
      </c>
      <c r="F1307" s="44" t="s">
        <v>1643</v>
      </c>
      <c r="G1307" s="42" t="n">
        <v>62128592.84</v>
      </c>
      <c r="H1307" s="42"/>
      <c r="I1307" s="44" t="s">
        <v>432</v>
      </c>
      <c r="J1307" s="11" t="n">
        <f aca="false">IF(D1307="","",N(G1307)-N(H1307))</f>
        <v>62128592.84</v>
      </c>
      <c r="K1307" s="34" t="str">
        <f aca="false">IF(D1307="","",IFERROR(INDEX(I_COA!$C$6:$C$265,MATCH(D1307,I_COA!$A$6:$A$265,0)),"AKUN BARU"))</f>
        <v>Neraca</v>
      </c>
      <c r="L1307" s="34" t="str">
        <f aca="false">IF(K1307="LabaRugi",INDEX(I_COA!$D$6:$D$265,MATCH(D1307,I_COA!$A$6:$A$265,0)),"")</f>
        <v/>
      </c>
      <c r="M1307" s="34" t="str">
        <f aca="false">IF(K1307="Neraca",INDEX(I_COA!$E$6:$E$265,MATCH(D1307,I_COA!$A$6:$A$265,0)),"")</f>
        <v>Inventory - Product</v>
      </c>
      <c r="N1307" s="34" t="str">
        <f aca="false">IF(D1307="","",IFERROR(INDEX(I_COA!$G$6:$G$265,MATCH(D1307,I_COA!$A$6:$A$265,0)),"N"))</f>
        <v>N</v>
      </c>
      <c r="O1307" s="11" t="n">
        <f aca="false">IF(N1307="N",ABS(J1307),"")</f>
        <v>62128592.84</v>
      </c>
      <c r="P1307" s="18" t="str">
        <f aca="false">IF(N1307="N",B1307&amp;"|"&amp;ROUND(O1307,0),"")</f>
        <v>KGR26.00290|62128593</v>
      </c>
      <c r="Q1307" s="18" t="str">
        <f aca="false">IF(N1307&lt;&gt;"Y","",IFERROR(INDEX($D$6:$D$4005,MATCH(B1307&amp;"|"&amp;ROUND(_xlfn.MAXIFS($O$6:$O$4005,$B$6:$B$4005,B1307,$N$6:$N$4005,"N"),0),$P$6:$P$4005,0)),"(tanpa lawan)"))</f>
        <v/>
      </c>
      <c r="R1307" s="44"/>
      <c r="S1307" s="9" t="str">
        <f aca="false">IF(N1307&lt;&gt;"Y","",IF(R1307&lt;&gt;"",R1307,IF(Q1307="(tanpa lawan)","Transfer antar rekening",IFERROR(INDEX(I_COA!$F$6:$F$265,MATCH(Q1307,I_COA!$A$6:$A$265,0)),"?"))))</f>
        <v/>
      </c>
    </row>
    <row r="1308" customFormat="false" ht="15" hidden="false" customHeight="false" outlineLevel="0" collapsed="false">
      <c r="A1308" s="37" t="n">
        <v>46253</v>
      </c>
      <c r="B1308" s="44" t="s">
        <v>1642</v>
      </c>
      <c r="C1308" s="44" t="s">
        <v>600</v>
      </c>
      <c r="D1308" s="44" t="n">
        <v>1104006</v>
      </c>
      <c r="E1308" s="44" t="s">
        <v>212</v>
      </c>
      <c r="F1308" s="44" t="s">
        <v>1643</v>
      </c>
      <c r="G1308" s="42"/>
      <c r="H1308" s="42" t="n">
        <v>52092707.67</v>
      </c>
      <c r="I1308" s="44" t="s">
        <v>432</v>
      </c>
      <c r="J1308" s="11" t="n">
        <f aca="false">IF(D1308="","",N(G1308)-N(H1308))</f>
        <v>-52092707.67</v>
      </c>
      <c r="K1308" s="34" t="str">
        <f aca="false">IF(D1308="","",IFERROR(INDEX(I_COA!$C$6:$C$265,MATCH(D1308,I_COA!$A$6:$A$265,0)),"AKUN BARU"))</f>
        <v>Neraca</v>
      </c>
      <c r="L1308" s="34" t="str">
        <f aca="false">IF(K1308="LabaRugi",INDEX(I_COA!$D$6:$D$265,MATCH(D1308,I_COA!$A$6:$A$265,0)),"")</f>
        <v/>
      </c>
      <c r="M1308" s="34" t="str">
        <f aca="false">IF(K1308="Neraca",INDEX(I_COA!$E$6:$E$265,MATCH(D1308,I_COA!$A$6:$A$265,0)),"")</f>
        <v>Inventory - Trading</v>
      </c>
      <c r="N1308" s="34" t="str">
        <f aca="false">IF(D1308="","",IFERROR(INDEX(I_COA!$G$6:$G$265,MATCH(D1308,I_COA!$A$6:$A$265,0)),"N"))</f>
        <v>N</v>
      </c>
      <c r="O1308" s="11" t="n">
        <f aca="false">IF(N1308="N",ABS(J1308),"")</f>
        <v>52092707.67</v>
      </c>
      <c r="P1308" s="18" t="str">
        <f aca="false">IF(N1308="N",B1308&amp;"|"&amp;ROUND(O1308,0),"")</f>
        <v>KGR26.00290|52092708</v>
      </c>
      <c r="Q1308" s="18" t="str">
        <f aca="false">IF(N1308&lt;&gt;"Y","",IFERROR(INDEX($D$6:$D$4005,MATCH(B1308&amp;"|"&amp;ROUND(_xlfn.MAXIFS($O$6:$O$4005,$B$6:$B$4005,B1308,$N$6:$N$4005,"N"),0),$P$6:$P$4005,0)),"(tanpa lawan)"))</f>
        <v/>
      </c>
      <c r="R1308" s="44"/>
      <c r="S1308" s="9" t="str">
        <f aca="false">IF(N1308&lt;&gt;"Y","",IF(R1308&lt;&gt;"",R1308,IF(Q1308="(tanpa lawan)","Transfer antar rekening",IFERROR(INDEX(I_COA!$F$6:$F$265,MATCH(Q1308,I_COA!$A$6:$A$265,0)),"?"))))</f>
        <v/>
      </c>
    </row>
    <row r="1309" customFormat="false" ht="15" hidden="false" customHeight="false" outlineLevel="0" collapsed="false">
      <c r="A1309" s="37" t="n">
        <v>46253</v>
      </c>
      <c r="B1309" s="44" t="s">
        <v>1642</v>
      </c>
      <c r="C1309" s="44" t="s">
        <v>600</v>
      </c>
      <c r="D1309" s="44" t="n">
        <v>1104003</v>
      </c>
      <c r="E1309" s="44" t="s">
        <v>613</v>
      </c>
      <c r="F1309" s="44" t="s">
        <v>1643</v>
      </c>
      <c r="G1309" s="42"/>
      <c r="H1309" s="42" t="n">
        <v>10035885.18</v>
      </c>
      <c r="I1309" s="44" t="s">
        <v>432</v>
      </c>
      <c r="J1309" s="11" t="n">
        <f aca="false">IF(D1309="","",N(G1309)-N(H1309))</f>
        <v>-10035885.18</v>
      </c>
      <c r="K1309" s="34" t="str">
        <f aca="false">IF(D1309="","",IFERROR(INDEX(I_COA!$C$6:$C$265,MATCH(D1309,I_COA!$A$6:$A$265,0)),"AKUN BARU"))</f>
        <v>Neraca</v>
      </c>
      <c r="L1309" s="34" t="str">
        <f aca="false">IF(K1309="LabaRugi",INDEX(I_COA!$D$6:$D$265,MATCH(D1309,I_COA!$A$6:$A$265,0)),"")</f>
        <v/>
      </c>
      <c r="M1309" s="34" t="str">
        <f aca="false">IF(K1309="Neraca",INDEX(I_COA!$E$6:$E$265,MATCH(D1309,I_COA!$A$6:$A$265,0)),"")</f>
        <v>Inventory - Product</v>
      </c>
      <c r="N1309" s="34" t="str">
        <f aca="false">IF(D1309="","",IFERROR(INDEX(I_COA!$G$6:$G$265,MATCH(D1309,I_COA!$A$6:$A$265,0)),"N"))</f>
        <v>N</v>
      </c>
      <c r="O1309" s="11" t="n">
        <f aca="false">IF(N1309="N",ABS(J1309),"")</f>
        <v>10035885.18</v>
      </c>
      <c r="P1309" s="18" t="str">
        <f aca="false">IF(N1309="N",B1309&amp;"|"&amp;ROUND(O1309,0),"")</f>
        <v>KGR26.00290|10035885</v>
      </c>
      <c r="Q1309" s="18" t="str">
        <f aca="false">IF(N1309&lt;&gt;"Y","",IFERROR(INDEX($D$6:$D$4005,MATCH(B1309&amp;"|"&amp;ROUND(_xlfn.MAXIFS($O$6:$O$4005,$B$6:$B$4005,B1309,$N$6:$N$4005,"N"),0),$P$6:$P$4005,0)),"(tanpa lawan)"))</f>
        <v/>
      </c>
      <c r="R1309" s="44"/>
      <c r="S1309" s="9" t="str">
        <f aca="false">IF(N1309&lt;&gt;"Y","",IF(R1309&lt;&gt;"",R1309,IF(Q1309="(tanpa lawan)","Transfer antar rekening",IFERROR(INDEX(I_COA!$F$6:$F$265,MATCH(Q1309,I_COA!$A$6:$A$265,0)),"?"))))</f>
        <v/>
      </c>
    </row>
    <row r="1310" customFormat="false" ht="15" hidden="false" customHeight="false" outlineLevel="0" collapsed="false">
      <c r="A1310" s="37" t="n">
        <v>46253</v>
      </c>
      <c r="B1310" s="44" t="s">
        <v>1644</v>
      </c>
      <c r="C1310" s="44" t="s">
        <v>600</v>
      </c>
      <c r="D1310" s="44" t="n">
        <v>1104002</v>
      </c>
      <c r="E1310" s="44" t="s">
        <v>601</v>
      </c>
      <c r="F1310" s="44" t="s">
        <v>1645</v>
      </c>
      <c r="G1310" s="42" t="n">
        <v>89353366</v>
      </c>
      <c r="H1310" s="42"/>
      <c r="I1310" s="44" t="s">
        <v>432</v>
      </c>
      <c r="J1310" s="11" t="n">
        <f aca="false">IF(D1310="","",N(G1310)-N(H1310))</f>
        <v>89353366</v>
      </c>
      <c r="K1310" s="34" t="str">
        <f aca="false">IF(D1310="","",IFERROR(INDEX(I_COA!$C$6:$C$265,MATCH(D1310,I_COA!$A$6:$A$265,0)),"AKUN BARU"))</f>
        <v>Neraca</v>
      </c>
      <c r="L1310" s="34" t="str">
        <f aca="false">IF(K1310="LabaRugi",INDEX(I_COA!$D$6:$D$265,MATCH(D1310,I_COA!$A$6:$A$265,0)),"")</f>
        <v/>
      </c>
      <c r="M1310" s="34" t="str">
        <f aca="false">IF(K1310="Neraca",INDEX(I_COA!$E$6:$E$265,MATCH(D1310,I_COA!$A$6:$A$265,0)),"")</f>
        <v>Inventory - Product</v>
      </c>
      <c r="N1310" s="34" t="str">
        <f aca="false">IF(D1310="","",IFERROR(INDEX(I_COA!$G$6:$G$265,MATCH(D1310,I_COA!$A$6:$A$265,0)),"N"))</f>
        <v>N</v>
      </c>
      <c r="O1310" s="11" t="n">
        <f aca="false">IF(N1310="N",ABS(J1310),"")</f>
        <v>89353366</v>
      </c>
      <c r="P1310" s="18" t="str">
        <f aca="false">IF(N1310="N",B1310&amp;"|"&amp;ROUND(O1310,0),"")</f>
        <v>KGR26.00291|89353366</v>
      </c>
      <c r="Q1310" s="18" t="str">
        <f aca="false">IF(N1310&lt;&gt;"Y","",IFERROR(INDEX($D$6:$D$4005,MATCH(B1310&amp;"|"&amp;ROUND(_xlfn.MAXIFS($O$6:$O$4005,$B$6:$B$4005,B1310,$N$6:$N$4005,"N"),0),$P$6:$P$4005,0)),"(tanpa lawan)"))</f>
        <v/>
      </c>
      <c r="R1310" s="44"/>
      <c r="S1310" s="9" t="str">
        <f aca="false">IF(N1310&lt;&gt;"Y","",IF(R1310&lt;&gt;"",R1310,IF(Q1310="(tanpa lawan)","Transfer antar rekening",IFERROR(INDEX(I_COA!$F$6:$F$265,MATCH(Q1310,I_COA!$A$6:$A$265,0)),"?"))))</f>
        <v/>
      </c>
    </row>
    <row r="1311" customFormat="false" ht="15" hidden="false" customHeight="false" outlineLevel="0" collapsed="false">
      <c r="A1311" s="37" t="n">
        <v>46253</v>
      </c>
      <c r="B1311" s="44" t="s">
        <v>1644</v>
      </c>
      <c r="C1311" s="44" t="s">
        <v>600</v>
      </c>
      <c r="D1311" s="44" t="n">
        <v>1104006</v>
      </c>
      <c r="E1311" s="44" t="s">
        <v>212</v>
      </c>
      <c r="F1311" s="44" t="s">
        <v>1645</v>
      </c>
      <c r="G1311" s="42"/>
      <c r="H1311" s="42" t="n">
        <v>60955013.59</v>
      </c>
      <c r="I1311" s="44" t="s">
        <v>432</v>
      </c>
      <c r="J1311" s="11" t="n">
        <f aca="false">IF(D1311="","",N(G1311)-N(H1311))</f>
        <v>-60955013.59</v>
      </c>
      <c r="K1311" s="34" t="str">
        <f aca="false">IF(D1311="","",IFERROR(INDEX(I_COA!$C$6:$C$265,MATCH(D1311,I_COA!$A$6:$A$265,0)),"AKUN BARU"))</f>
        <v>Neraca</v>
      </c>
      <c r="L1311" s="34" t="str">
        <f aca="false">IF(K1311="LabaRugi",INDEX(I_COA!$D$6:$D$265,MATCH(D1311,I_COA!$A$6:$A$265,0)),"")</f>
        <v/>
      </c>
      <c r="M1311" s="34" t="str">
        <f aca="false">IF(K1311="Neraca",INDEX(I_COA!$E$6:$E$265,MATCH(D1311,I_COA!$A$6:$A$265,0)),"")</f>
        <v>Inventory - Trading</v>
      </c>
      <c r="N1311" s="34" t="str">
        <f aca="false">IF(D1311="","",IFERROR(INDEX(I_COA!$G$6:$G$265,MATCH(D1311,I_COA!$A$6:$A$265,0)),"N"))</f>
        <v>N</v>
      </c>
      <c r="O1311" s="11" t="n">
        <f aca="false">IF(N1311="N",ABS(J1311),"")</f>
        <v>60955013.59</v>
      </c>
      <c r="P1311" s="18" t="str">
        <f aca="false">IF(N1311="N",B1311&amp;"|"&amp;ROUND(O1311,0),"")</f>
        <v>KGR26.00291|60955014</v>
      </c>
      <c r="Q1311" s="18" t="str">
        <f aca="false">IF(N1311&lt;&gt;"Y","",IFERROR(INDEX($D$6:$D$4005,MATCH(B1311&amp;"|"&amp;ROUND(_xlfn.MAXIFS($O$6:$O$4005,$B$6:$B$4005,B1311,$N$6:$N$4005,"N"),0),$P$6:$P$4005,0)),"(tanpa lawan)"))</f>
        <v/>
      </c>
      <c r="R1311" s="44"/>
      <c r="S1311" s="9" t="str">
        <f aca="false">IF(N1311&lt;&gt;"Y","",IF(R1311&lt;&gt;"",R1311,IF(Q1311="(tanpa lawan)","Transfer antar rekening",IFERROR(INDEX(I_COA!$F$6:$F$265,MATCH(Q1311,I_COA!$A$6:$A$265,0)),"?"))))</f>
        <v/>
      </c>
    </row>
    <row r="1312" customFormat="false" ht="15" hidden="false" customHeight="false" outlineLevel="0" collapsed="false">
      <c r="A1312" s="37" t="n">
        <v>46253</v>
      </c>
      <c r="B1312" s="44" t="s">
        <v>1644</v>
      </c>
      <c r="C1312" s="44" t="s">
        <v>600</v>
      </c>
      <c r="D1312" s="44" t="n">
        <v>1104003</v>
      </c>
      <c r="E1312" s="44" t="s">
        <v>613</v>
      </c>
      <c r="F1312" s="44" t="s">
        <v>1645</v>
      </c>
      <c r="G1312" s="42"/>
      <c r="H1312" s="42" t="n">
        <v>28398352.41</v>
      </c>
      <c r="I1312" s="44" t="s">
        <v>432</v>
      </c>
      <c r="J1312" s="11" t="n">
        <f aca="false">IF(D1312="","",N(G1312)-N(H1312))</f>
        <v>-28398352.41</v>
      </c>
      <c r="K1312" s="34" t="str">
        <f aca="false">IF(D1312="","",IFERROR(INDEX(I_COA!$C$6:$C$265,MATCH(D1312,I_COA!$A$6:$A$265,0)),"AKUN BARU"))</f>
        <v>Neraca</v>
      </c>
      <c r="L1312" s="34" t="str">
        <f aca="false">IF(K1312="LabaRugi",INDEX(I_COA!$D$6:$D$265,MATCH(D1312,I_COA!$A$6:$A$265,0)),"")</f>
        <v/>
      </c>
      <c r="M1312" s="34" t="str">
        <f aca="false">IF(K1312="Neraca",INDEX(I_COA!$E$6:$E$265,MATCH(D1312,I_COA!$A$6:$A$265,0)),"")</f>
        <v>Inventory - Product</v>
      </c>
      <c r="N1312" s="34" t="str">
        <f aca="false">IF(D1312="","",IFERROR(INDEX(I_COA!$G$6:$G$265,MATCH(D1312,I_COA!$A$6:$A$265,0)),"N"))</f>
        <v>N</v>
      </c>
      <c r="O1312" s="11" t="n">
        <f aca="false">IF(N1312="N",ABS(J1312),"")</f>
        <v>28398352.41</v>
      </c>
      <c r="P1312" s="18" t="str">
        <f aca="false">IF(N1312="N",B1312&amp;"|"&amp;ROUND(O1312,0),"")</f>
        <v>KGR26.00291|28398352</v>
      </c>
      <c r="Q1312" s="18" t="str">
        <f aca="false">IF(N1312&lt;&gt;"Y","",IFERROR(INDEX($D$6:$D$4005,MATCH(B1312&amp;"|"&amp;ROUND(_xlfn.MAXIFS($O$6:$O$4005,$B$6:$B$4005,B1312,$N$6:$N$4005,"N"),0),$P$6:$P$4005,0)),"(tanpa lawan)"))</f>
        <v/>
      </c>
      <c r="R1312" s="44"/>
      <c r="S1312" s="9" t="str">
        <f aca="false">IF(N1312&lt;&gt;"Y","",IF(R1312&lt;&gt;"",R1312,IF(Q1312="(tanpa lawan)","Transfer antar rekening",IFERROR(INDEX(I_COA!$F$6:$F$265,MATCH(Q1312,I_COA!$A$6:$A$265,0)),"?"))))</f>
        <v/>
      </c>
    </row>
    <row r="1313" customFormat="false" ht="15" hidden="false" customHeight="false" outlineLevel="0" collapsed="false">
      <c r="A1313" s="37" t="n">
        <v>46253</v>
      </c>
      <c r="B1313" s="44" t="s">
        <v>1646</v>
      </c>
      <c r="C1313" s="44" t="s">
        <v>600</v>
      </c>
      <c r="D1313" s="44" t="n">
        <v>1104002</v>
      </c>
      <c r="E1313" s="44" t="s">
        <v>601</v>
      </c>
      <c r="F1313" s="44" t="s">
        <v>1647</v>
      </c>
      <c r="G1313" s="42" t="n">
        <v>88126859.45</v>
      </c>
      <c r="H1313" s="42"/>
      <c r="I1313" s="44" t="s">
        <v>432</v>
      </c>
      <c r="J1313" s="11" t="n">
        <f aca="false">IF(D1313="","",N(G1313)-N(H1313))</f>
        <v>88126859.45</v>
      </c>
      <c r="K1313" s="34" t="str">
        <f aca="false">IF(D1313="","",IFERROR(INDEX(I_COA!$C$6:$C$265,MATCH(D1313,I_COA!$A$6:$A$265,0)),"AKUN BARU"))</f>
        <v>Neraca</v>
      </c>
      <c r="L1313" s="34" t="str">
        <f aca="false">IF(K1313="LabaRugi",INDEX(I_COA!$D$6:$D$265,MATCH(D1313,I_COA!$A$6:$A$265,0)),"")</f>
        <v/>
      </c>
      <c r="M1313" s="34" t="str">
        <f aca="false">IF(K1313="Neraca",INDEX(I_COA!$E$6:$E$265,MATCH(D1313,I_COA!$A$6:$A$265,0)),"")</f>
        <v>Inventory - Product</v>
      </c>
      <c r="N1313" s="34" t="str">
        <f aca="false">IF(D1313="","",IFERROR(INDEX(I_COA!$G$6:$G$265,MATCH(D1313,I_COA!$A$6:$A$265,0)),"N"))</f>
        <v>N</v>
      </c>
      <c r="O1313" s="11" t="n">
        <f aca="false">IF(N1313="N",ABS(J1313),"")</f>
        <v>88126859.45</v>
      </c>
      <c r="P1313" s="18" t="str">
        <f aca="false">IF(N1313="N",B1313&amp;"|"&amp;ROUND(O1313,0),"")</f>
        <v>KGR26.00292|88126859</v>
      </c>
      <c r="Q1313" s="18" t="str">
        <f aca="false">IF(N1313&lt;&gt;"Y","",IFERROR(INDEX($D$6:$D$4005,MATCH(B1313&amp;"|"&amp;ROUND(_xlfn.MAXIFS($O$6:$O$4005,$B$6:$B$4005,B1313,$N$6:$N$4005,"N"),0),$P$6:$P$4005,0)),"(tanpa lawan)"))</f>
        <v/>
      </c>
      <c r="R1313" s="44"/>
      <c r="S1313" s="9" t="str">
        <f aca="false">IF(N1313&lt;&gt;"Y","",IF(R1313&lt;&gt;"",R1313,IF(Q1313="(tanpa lawan)","Transfer antar rekening",IFERROR(INDEX(I_COA!$F$6:$F$265,MATCH(Q1313,I_COA!$A$6:$A$265,0)),"?"))))</f>
        <v/>
      </c>
    </row>
    <row r="1314" customFormat="false" ht="15" hidden="false" customHeight="false" outlineLevel="0" collapsed="false">
      <c r="A1314" s="37" t="n">
        <v>46253</v>
      </c>
      <c r="B1314" s="44" t="s">
        <v>1646</v>
      </c>
      <c r="C1314" s="44" t="s">
        <v>600</v>
      </c>
      <c r="D1314" s="44" t="n">
        <v>1104006</v>
      </c>
      <c r="E1314" s="44" t="s">
        <v>212</v>
      </c>
      <c r="F1314" s="44" t="s">
        <v>1647</v>
      </c>
      <c r="G1314" s="42"/>
      <c r="H1314" s="42" t="n">
        <v>59640363.57</v>
      </c>
      <c r="I1314" s="44" t="s">
        <v>432</v>
      </c>
      <c r="J1314" s="11" t="n">
        <f aca="false">IF(D1314="","",N(G1314)-N(H1314))</f>
        <v>-59640363.57</v>
      </c>
      <c r="K1314" s="34" t="str">
        <f aca="false">IF(D1314="","",IFERROR(INDEX(I_COA!$C$6:$C$265,MATCH(D1314,I_COA!$A$6:$A$265,0)),"AKUN BARU"))</f>
        <v>Neraca</v>
      </c>
      <c r="L1314" s="34" t="str">
        <f aca="false">IF(K1314="LabaRugi",INDEX(I_COA!$D$6:$D$265,MATCH(D1314,I_COA!$A$6:$A$265,0)),"")</f>
        <v/>
      </c>
      <c r="M1314" s="34" t="str">
        <f aca="false">IF(K1314="Neraca",INDEX(I_COA!$E$6:$E$265,MATCH(D1314,I_COA!$A$6:$A$265,0)),"")</f>
        <v>Inventory - Trading</v>
      </c>
      <c r="N1314" s="34" t="str">
        <f aca="false">IF(D1314="","",IFERROR(INDEX(I_COA!$G$6:$G$265,MATCH(D1314,I_COA!$A$6:$A$265,0)),"N"))</f>
        <v>N</v>
      </c>
      <c r="O1314" s="11" t="n">
        <f aca="false">IF(N1314="N",ABS(J1314),"")</f>
        <v>59640363.57</v>
      </c>
      <c r="P1314" s="18" t="str">
        <f aca="false">IF(N1314="N",B1314&amp;"|"&amp;ROUND(O1314,0),"")</f>
        <v>KGR26.00292|59640364</v>
      </c>
      <c r="Q1314" s="18" t="str">
        <f aca="false">IF(N1314&lt;&gt;"Y","",IFERROR(INDEX($D$6:$D$4005,MATCH(B1314&amp;"|"&amp;ROUND(_xlfn.MAXIFS($O$6:$O$4005,$B$6:$B$4005,B1314,$N$6:$N$4005,"N"),0),$P$6:$P$4005,0)),"(tanpa lawan)"))</f>
        <v/>
      </c>
      <c r="R1314" s="44"/>
      <c r="S1314" s="9" t="str">
        <f aca="false">IF(N1314&lt;&gt;"Y","",IF(R1314&lt;&gt;"",R1314,IF(Q1314="(tanpa lawan)","Transfer antar rekening",IFERROR(INDEX(I_COA!$F$6:$F$265,MATCH(Q1314,I_COA!$A$6:$A$265,0)),"?"))))</f>
        <v/>
      </c>
    </row>
    <row r="1315" customFormat="false" ht="15" hidden="false" customHeight="false" outlineLevel="0" collapsed="false">
      <c r="A1315" s="37" t="n">
        <v>46253</v>
      </c>
      <c r="B1315" s="44" t="s">
        <v>1646</v>
      </c>
      <c r="C1315" s="44" t="s">
        <v>600</v>
      </c>
      <c r="D1315" s="44" t="n">
        <v>1104003</v>
      </c>
      <c r="E1315" s="44" t="s">
        <v>613</v>
      </c>
      <c r="F1315" s="44" t="s">
        <v>1647</v>
      </c>
      <c r="G1315" s="42"/>
      <c r="H1315" s="42" t="n">
        <v>28486495.88</v>
      </c>
      <c r="I1315" s="44" t="s">
        <v>432</v>
      </c>
      <c r="J1315" s="11" t="n">
        <f aca="false">IF(D1315="","",N(G1315)-N(H1315))</f>
        <v>-28486495.88</v>
      </c>
      <c r="K1315" s="34" t="str">
        <f aca="false">IF(D1315="","",IFERROR(INDEX(I_COA!$C$6:$C$265,MATCH(D1315,I_COA!$A$6:$A$265,0)),"AKUN BARU"))</f>
        <v>Neraca</v>
      </c>
      <c r="L1315" s="34" t="str">
        <f aca="false">IF(K1315="LabaRugi",INDEX(I_COA!$D$6:$D$265,MATCH(D1315,I_COA!$A$6:$A$265,0)),"")</f>
        <v/>
      </c>
      <c r="M1315" s="34" t="str">
        <f aca="false">IF(K1315="Neraca",INDEX(I_COA!$E$6:$E$265,MATCH(D1315,I_COA!$A$6:$A$265,0)),"")</f>
        <v>Inventory - Product</v>
      </c>
      <c r="N1315" s="34" t="str">
        <f aca="false">IF(D1315="","",IFERROR(INDEX(I_COA!$G$6:$G$265,MATCH(D1315,I_COA!$A$6:$A$265,0)),"N"))</f>
        <v>N</v>
      </c>
      <c r="O1315" s="11" t="n">
        <f aca="false">IF(N1315="N",ABS(J1315),"")</f>
        <v>28486495.88</v>
      </c>
      <c r="P1315" s="18" t="str">
        <f aca="false">IF(N1315="N",B1315&amp;"|"&amp;ROUND(O1315,0),"")</f>
        <v>KGR26.00292|28486496</v>
      </c>
      <c r="Q1315" s="18" t="str">
        <f aca="false">IF(N1315&lt;&gt;"Y","",IFERROR(INDEX($D$6:$D$4005,MATCH(B1315&amp;"|"&amp;ROUND(_xlfn.MAXIFS($O$6:$O$4005,$B$6:$B$4005,B1315,$N$6:$N$4005,"N"),0),$P$6:$P$4005,0)),"(tanpa lawan)"))</f>
        <v/>
      </c>
      <c r="R1315" s="44"/>
      <c r="S1315" s="9" t="str">
        <f aca="false">IF(N1315&lt;&gt;"Y","",IF(R1315&lt;&gt;"",R1315,IF(Q1315="(tanpa lawan)","Transfer antar rekening",IFERROR(INDEX(I_COA!$F$6:$F$265,MATCH(Q1315,I_COA!$A$6:$A$265,0)),"?"))))</f>
        <v/>
      </c>
    </row>
    <row r="1316" customFormat="false" ht="15" hidden="false" customHeight="false" outlineLevel="0" collapsed="false">
      <c r="A1316" s="37" t="n">
        <v>46253</v>
      </c>
      <c r="B1316" s="44" t="s">
        <v>1648</v>
      </c>
      <c r="C1316" s="44" t="s">
        <v>600</v>
      </c>
      <c r="D1316" s="44" t="n">
        <v>1104002</v>
      </c>
      <c r="E1316" s="44" t="s">
        <v>601</v>
      </c>
      <c r="F1316" s="44" t="s">
        <v>1649</v>
      </c>
      <c r="G1316" s="42" t="n">
        <v>25564041.71</v>
      </c>
      <c r="H1316" s="42"/>
      <c r="I1316" s="44" t="s">
        <v>432</v>
      </c>
      <c r="J1316" s="11" t="n">
        <f aca="false">IF(D1316="","",N(G1316)-N(H1316))</f>
        <v>25564041.71</v>
      </c>
      <c r="K1316" s="34" t="str">
        <f aca="false">IF(D1316="","",IFERROR(INDEX(I_COA!$C$6:$C$265,MATCH(D1316,I_COA!$A$6:$A$265,0)),"AKUN BARU"))</f>
        <v>Neraca</v>
      </c>
      <c r="L1316" s="34" t="str">
        <f aca="false">IF(K1316="LabaRugi",INDEX(I_COA!$D$6:$D$265,MATCH(D1316,I_COA!$A$6:$A$265,0)),"")</f>
        <v/>
      </c>
      <c r="M1316" s="34" t="str">
        <f aca="false">IF(K1316="Neraca",INDEX(I_COA!$E$6:$E$265,MATCH(D1316,I_COA!$A$6:$A$265,0)),"")</f>
        <v>Inventory - Product</v>
      </c>
      <c r="N1316" s="34" t="str">
        <f aca="false">IF(D1316="","",IFERROR(INDEX(I_COA!$G$6:$G$265,MATCH(D1316,I_COA!$A$6:$A$265,0)),"N"))</f>
        <v>N</v>
      </c>
      <c r="O1316" s="11" t="n">
        <f aca="false">IF(N1316="N",ABS(J1316),"")</f>
        <v>25564041.71</v>
      </c>
      <c r="P1316" s="18" t="str">
        <f aca="false">IF(N1316="N",B1316&amp;"|"&amp;ROUND(O1316,0),"")</f>
        <v>KGR26.00293|25564042</v>
      </c>
      <c r="Q1316" s="18" t="str">
        <f aca="false">IF(N1316&lt;&gt;"Y","",IFERROR(INDEX($D$6:$D$4005,MATCH(B1316&amp;"|"&amp;ROUND(_xlfn.MAXIFS($O$6:$O$4005,$B$6:$B$4005,B1316,$N$6:$N$4005,"N"),0),$P$6:$P$4005,0)),"(tanpa lawan)"))</f>
        <v/>
      </c>
      <c r="R1316" s="44"/>
      <c r="S1316" s="9" t="str">
        <f aca="false">IF(N1316&lt;&gt;"Y","",IF(R1316&lt;&gt;"",R1316,IF(Q1316="(tanpa lawan)","Transfer antar rekening",IFERROR(INDEX(I_COA!$F$6:$F$265,MATCH(Q1316,I_COA!$A$6:$A$265,0)),"?"))))</f>
        <v/>
      </c>
    </row>
    <row r="1317" customFormat="false" ht="15" hidden="false" customHeight="false" outlineLevel="0" collapsed="false">
      <c r="A1317" s="37" t="n">
        <v>46253</v>
      </c>
      <c r="B1317" s="44" t="s">
        <v>1648</v>
      </c>
      <c r="C1317" s="44" t="s">
        <v>600</v>
      </c>
      <c r="D1317" s="44" t="n">
        <v>1104006</v>
      </c>
      <c r="E1317" s="44" t="s">
        <v>212</v>
      </c>
      <c r="F1317" s="44" t="s">
        <v>1649</v>
      </c>
      <c r="G1317" s="42"/>
      <c r="H1317" s="42" t="n">
        <v>25564041.71</v>
      </c>
      <c r="I1317" s="44" t="s">
        <v>432</v>
      </c>
      <c r="J1317" s="11" t="n">
        <f aca="false">IF(D1317="","",N(G1317)-N(H1317))</f>
        <v>-25564041.71</v>
      </c>
      <c r="K1317" s="34" t="str">
        <f aca="false">IF(D1317="","",IFERROR(INDEX(I_COA!$C$6:$C$265,MATCH(D1317,I_COA!$A$6:$A$265,0)),"AKUN BARU"))</f>
        <v>Neraca</v>
      </c>
      <c r="L1317" s="34" t="str">
        <f aca="false">IF(K1317="LabaRugi",INDEX(I_COA!$D$6:$D$265,MATCH(D1317,I_COA!$A$6:$A$265,0)),"")</f>
        <v/>
      </c>
      <c r="M1317" s="34" t="str">
        <f aca="false">IF(K1317="Neraca",INDEX(I_COA!$E$6:$E$265,MATCH(D1317,I_COA!$A$6:$A$265,0)),"")</f>
        <v>Inventory - Trading</v>
      </c>
      <c r="N1317" s="34" t="str">
        <f aca="false">IF(D1317="","",IFERROR(INDEX(I_COA!$G$6:$G$265,MATCH(D1317,I_COA!$A$6:$A$265,0)),"N"))</f>
        <v>N</v>
      </c>
      <c r="O1317" s="11" t="n">
        <f aca="false">IF(N1317="N",ABS(J1317),"")</f>
        <v>25564041.71</v>
      </c>
      <c r="P1317" s="18" t="str">
        <f aca="false">IF(N1317="N",B1317&amp;"|"&amp;ROUND(O1317,0),"")</f>
        <v>KGR26.00293|25564042</v>
      </c>
      <c r="Q1317" s="18" t="str">
        <f aca="false">IF(N1317&lt;&gt;"Y","",IFERROR(INDEX($D$6:$D$4005,MATCH(B1317&amp;"|"&amp;ROUND(_xlfn.MAXIFS($O$6:$O$4005,$B$6:$B$4005,B1317,$N$6:$N$4005,"N"),0),$P$6:$P$4005,0)),"(tanpa lawan)"))</f>
        <v/>
      </c>
      <c r="R1317" s="44"/>
      <c r="S1317" s="9" t="str">
        <f aca="false">IF(N1317&lt;&gt;"Y","",IF(R1317&lt;&gt;"",R1317,IF(Q1317="(tanpa lawan)","Transfer antar rekening",IFERROR(INDEX(I_COA!$F$6:$F$265,MATCH(Q1317,I_COA!$A$6:$A$265,0)),"?"))))</f>
        <v/>
      </c>
    </row>
    <row r="1318" customFormat="false" ht="15" hidden="false" customHeight="false" outlineLevel="0" collapsed="false">
      <c r="A1318" s="37" t="n">
        <v>46253</v>
      </c>
      <c r="B1318" s="44" t="s">
        <v>1650</v>
      </c>
      <c r="C1318" s="44" t="s">
        <v>600</v>
      </c>
      <c r="D1318" s="44" t="n">
        <v>1104002</v>
      </c>
      <c r="E1318" s="44" t="s">
        <v>601</v>
      </c>
      <c r="F1318" s="44" t="s">
        <v>1651</v>
      </c>
      <c r="G1318" s="42" t="n">
        <v>21496011.58</v>
      </c>
      <c r="H1318" s="42"/>
      <c r="I1318" s="44" t="s">
        <v>432</v>
      </c>
      <c r="J1318" s="11" t="n">
        <f aca="false">IF(D1318="","",N(G1318)-N(H1318))</f>
        <v>21496011.58</v>
      </c>
      <c r="K1318" s="34" t="str">
        <f aca="false">IF(D1318="","",IFERROR(INDEX(I_COA!$C$6:$C$265,MATCH(D1318,I_COA!$A$6:$A$265,0)),"AKUN BARU"))</f>
        <v>Neraca</v>
      </c>
      <c r="L1318" s="34" t="str">
        <f aca="false">IF(K1318="LabaRugi",INDEX(I_COA!$D$6:$D$265,MATCH(D1318,I_COA!$A$6:$A$265,0)),"")</f>
        <v/>
      </c>
      <c r="M1318" s="34" t="str">
        <f aca="false">IF(K1318="Neraca",INDEX(I_COA!$E$6:$E$265,MATCH(D1318,I_COA!$A$6:$A$265,0)),"")</f>
        <v>Inventory - Product</v>
      </c>
      <c r="N1318" s="34" t="str">
        <f aca="false">IF(D1318="","",IFERROR(INDEX(I_COA!$G$6:$G$265,MATCH(D1318,I_COA!$A$6:$A$265,0)),"N"))</f>
        <v>N</v>
      </c>
      <c r="O1318" s="11" t="n">
        <f aca="false">IF(N1318="N",ABS(J1318),"")</f>
        <v>21496011.58</v>
      </c>
      <c r="P1318" s="18" t="str">
        <f aca="false">IF(N1318="N",B1318&amp;"|"&amp;ROUND(O1318,0),"")</f>
        <v>KGR26.00294|21496012</v>
      </c>
      <c r="Q1318" s="18" t="str">
        <f aca="false">IF(N1318&lt;&gt;"Y","",IFERROR(INDEX($D$6:$D$4005,MATCH(B1318&amp;"|"&amp;ROUND(_xlfn.MAXIFS($O$6:$O$4005,$B$6:$B$4005,B1318,$N$6:$N$4005,"N"),0),$P$6:$P$4005,0)),"(tanpa lawan)"))</f>
        <v/>
      </c>
      <c r="R1318" s="44"/>
      <c r="S1318" s="9" t="str">
        <f aca="false">IF(N1318&lt;&gt;"Y","",IF(R1318&lt;&gt;"",R1318,IF(Q1318="(tanpa lawan)","Transfer antar rekening",IFERROR(INDEX(I_COA!$F$6:$F$265,MATCH(Q1318,I_COA!$A$6:$A$265,0)),"?"))))</f>
        <v/>
      </c>
    </row>
    <row r="1319" customFormat="false" ht="15" hidden="false" customHeight="false" outlineLevel="0" collapsed="false">
      <c r="A1319" s="37" t="n">
        <v>46253</v>
      </c>
      <c r="B1319" s="44" t="s">
        <v>1650</v>
      </c>
      <c r="C1319" s="44" t="s">
        <v>600</v>
      </c>
      <c r="D1319" s="44" t="n">
        <v>1104006</v>
      </c>
      <c r="E1319" s="44" t="s">
        <v>212</v>
      </c>
      <c r="F1319" s="44" t="s">
        <v>1651</v>
      </c>
      <c r="G1319" s="42"/>
      <c r="H1319" s="42" t="n">
        <v>21496011.58</v>
      </c>
      <c r="I1319" s="44" t="s">
        <v>432</v>
      </c>
      <c r="J1319" s="11" t="n">
        <f aca="false">IF(D1319="","",N(G1319)-N(H1319))</f>
        <v>-21496011.58</v>
      </c>
      <c r="K1319" s="34" t="str">
        <f aca="false">IF(D1319="","",IFERROR(INDEX(I_COA!$C$6:$C$265,MATCH(D1319,I_COA!$A$6:$A$265,0)),"AKUN BARU"))</f>
        <v>Neraca</v>
      </c>
      <c r="L1319" s="34" t="str">
        <f aca="false">IF(K1319="LabaRugi",INDEX(I_COA!$D$6:$D$265,MATCH(D1319,I_COA!$A$6:$A$265,0)),"")</f>
        <v/>
      </c>
      <c r="M1319" s="34" t="str">
        <f aca="false">IF(K1319="Neraca",INDEX(I_COA!$E$6:$E$265,MATCH(D1319,I_COA!$A$6:$A$265,0)),"")</f>
        <v>Inventory - Trading</v>
      </c>
      <c r="N1319" s="34" t="str">
        <f aca="false">IF(D1319="","",IFERROR(INDEX(I_COA!$G$6:$G$265,MATCH(D1319,I_COA!$A$6:$A$265,0)),"N"))</f>
        <v>N</v>
      </c>
      <c r="O1319" s="11" t="n">
        <f aca="false">IF(N1319="N",ABS(J1319),"")</f>
        <v>21496011.58</v>
      </c>
      <c r="P1319" s="18" t="str">
        <f aca="false">IF(N1319="N",B1319&amp;"|"&amp;ROUND(O1319,0),"")</f>
        <v>KGR26.00294|21496012</v>
      </c>
      <c r="Q1319" s="18" t="str">
        <f aca="false">IF(N1319&lt;&gt;"Y","",IFERROR(INDEX($D$6:$D$4005,MATCH(B1319&amp;"|"&amp;ROUND(_xlfn.MAXIFS($O$6:$O$4005,$B$6:$B$4005,B1319,$N$6:$N$4005,"N"),0),$P$6:$P$4005,0)),"(tanpa lawan)"))</f>
        <v/>
      </c>
      <c r="R1319" s="44"/>
      <c r="S1319" s="9" t="str">
        <f aca="false">IF(N1319&lt;&gt;"Y","",IF(R1319&lt;&gt;"",R1319,IF(Q1319="(tanpa lawan)","Transfer antar rekening",IFERROR(INDEX(I_COA!$F$6:$F$265,MATCH(Q1319,I_COA!$A$6:$A$265,0)),"?"))))</f>
        <v/>
      </c>
    </row>
    <row r="1320" customFormat="false" ht="15" hidden="false" customHeight="false" outlineLevel="0" collapsed="false">
      <c r="A1320" s="37" t="n">
        <v>46253</v>
      </c>
      <c r="B1320" s="44" t="s">
        <v>1652</v>
      </c>
      <c r="C1320" s="44" t="s">
        <v>617</v>
      </c>
      <c r="D1320" s="44" t="n">
        <v>1103101</v>
      </c>
      <c r="E1320" s="44" t="s">
        <v>589</v>
      </c>
      <c r="F1320" s="44" t="s">
        <v>1653</v>
      </c>
      <c r="G1320" s="42" t="n">
        <v>69034600</v>
      </c>
      <c r="H1320" s="42"/>
      <c r="I1320" s="44" t="s">
        <v>1604</v>
      </c>
      <c r="J1320" s="11" t="n">
        <f aca="false">IF(D1320="","",N(G1320)-N(H1320))</f>
        <v>69034600</v>
      </c>
      <c r="K1320" s="34" t="str">
        <f aca="false">IF(D1320="","",IFERROR(INDEX(I_COA!$C$6:$C$265,MATCH(D1320,I_COA!$A$6:$A$265,0)),"AKUN BARU"))</f>
        <v>Neraca</v>
      </c>
      <c r="L1320" s="34" t="str">
        <f aca="false">IF(K1320="LabaRugi",INDEX(I_COA!$D$6:$D$265,MATCH(D1320,I_COA!$A$6:$A$265,0)),"")</f>
        <v/>
      </c>
      <c r="M1320" s="34" t="str">
        <f aca="false">IF(K1320="Neraca",INDEX(I_COA!$E$6:$E$265,MATCH(D1320,I_COA!$A$6:$A$265,0)),"")</f>
        <v>Trade Receivables - Third Parties</v>
      </c>
      <c r="N1320" s="34" t="str">
        <f aca="false">IF(D1320="","",IFERROR(INDEX(I_COA!$G$6:$G$265,MATCH(D1320,I_COA!$A$6:$A$265,0)),"N"))</f>
        <v>N</v>
      </c>
      <c r="O1320" s="11" t="n">
        <f aca="false">IF(N1320="N",ABS(J1320),"")</f>
        <v>69034600</v>
      </c>
      <c r="P1320" s="18" t="str">
        <f aca="false">IF(N1320="N",B1320&amp;"|"&amp;ROUND(O1320,0),"")</f>
        <v>KGR26/0288|69034600</v>
      </c>
      <c r="Q1320" s="18" t="str">
        <f aca="false">IF(N1320&lt;&gt;"Y","",IFERROR(INDEX($D$6:$D$4005,MATCH(B1320&amp;"|"&amp;ROUND(_xlfn.MAXIFS($O$6:$O$4005,$B$6:$B$4005,B1320,$N$6:$N$4005,"N"),0),$P$6:$P$4005,0)),"(tanpa lawan)"))</f>
        <v/>
      </c>
      <c r="R1320" s="44"/>
      <c r="S1320" s="9" t="str">
        <f aca="false">IF(N1320&lt;&gt;"Y","",IF(R1320&lt;&gt;"",R1320,IF(Q1320="(tanpa lawan)","Transfer antar rekening",IFERROR(INDEX(I_COA!$F$6:$F$265,MATCH(Q1320,I_COA!$A$6:$A$265,0)),"?"))))</f>
        <v/>
      </c>
    </row>
    <row r="1321" customFormat="false" ht="15" hidden="false" customHeight="false" outlineLevel="0" collapsed="false">
      <c r="A1321" s="37" t="n">
        <v>46253</v>
      </c>
      <c r="B1321" s="44" t="s">
        <v>1652</v>
      </c>
      <c r="C1321" s="44" t="s">
        <v>617</v>
      </c>
      <c r="D1321" s="44" t="n">
        <v>4101012</v>
      </c>
      <c r="E1321" s="44" t="s">
        <v>619</v>
      </c>
      <c r="F1321" s="44" t="s">
        <v>1653</v>
      </c>
      <c r="G1321" s="42"/>
      <c r="H1321" s="42" t="n">
        <v>69034600</v>
      </c>
      <c r="I1321" s="44" t="s">
        <v>1604</v>
      </c>
      <c r="J1321" s="11" t="n">
        <f aca="false">IF(D1321="","",N(G1321)-N(H1321))</f>
        <v>-69034600</v>
      </c>
      <c r="K1321" s="34" t="str">
        <f aca="false">IF(D1321="","",IFERROR(INDEX(I_COA!$C$6:$C$265,MATCH(D1321,I_COA!$A$6:$A$265,0)),"AKUN BARU"))</f>
        <v>LabaRugi</v>
      </c>
      <c r="L1321" s="34" t="str">
        <f aca="false">IF(K1321="LabaRugi",INDEX(I_COA!$D$6:$D$265,MATCH(D1321,I_COA!$A$6:$A$265,0)),"")</f>
        <v>Revenue - Trading</v>
      </c>
      <c r="M1321" s="34" t="str">
        <f aca="false">IF(K1321="Neraca",INDEX(I_COA!$E$6:$E$265,MATCH(D1321,I_COA!$A$6:$A$265,0)),"")</f>
        <v/>
      </c>
      <c r="N1321" s="34" t="str">
        <f aca="false">IF(D1321="","",IFERROR(INDEX(I_COA!$G$6:$G$265,MATCH(D1321,I_COA!$A$6:$A$265,0)),"N"))</f>
        <v>N</v>
      </c>
      <c r="O1321" s="11" t="n">
        <f aca="false">IF(N1321="N",ABS(J1321),"")</f>
        <v>69034600</v>
      </c>
      <c r="P1321" s="18" t="str">
        <f aca="false">IF(N1321="N",B1321&amp;"|"&amp;ROUND(O1321,0),"")</f>
        <v>KGR26/0288|69034600</v>
      </c>
      <c r="Q1321" s="18" t="str">
        <f aca="false">IF(N1321&lt;&gt;"Y","",IFERROR(INDEX($D$6:$D$4005,MATCH(B1321&amp;"|"&amp;ROUND(_xlfn.MAXIFS($O$6:$O$4005,$B$6:$B$4005,B1321,$N$6:$N$4005,"N"),0),$P$6:$P$4005,0)),"(tanpa lawan)"))</f>
        <v/>
      </c>
      <c r="R1321" s="44"/>
      <c r="S1321" s="9" t="str">
        <f aca="false">IF(N1321&lt;&gt;"Y","",IF(R1321&lt;&gt;"",R1321,IF(Q1321="(tanpa lawan)","Transfer antar rekening",IFERROR(INDEX(I_COA!$F$6:$F$265,MATCH(Q1321,I_COA!$A$6:$A$265,0)),"?"))))</f>
        <v/>
      </c>
    </row>
    <row r="1322" customFormat="false" ht="15" hidden="false" customHeight="false" outlineLevel="0" collapsed="false">
      <c r="A1322" s="37" t="n">
        <v>46253</v>
      </c>
      <c r="B1322" s="44" t="s">
        <v>1652</v>
      </c>
      <c r="C1322" s="44" t="s">
        <v>617</v>
      </c>
      <c r="D1322" s="44" t="n">
        <v>5100011</v>
      </c>
      <c r="E1322" s="44" t="s">
        <v>166</v>
      </c>
      <c r="F1322" s="44" t="s">
        <v>1653</v>
      </c>
      <c r="G1322" s="42" t="n">
        <v>63953622.47</v>
      </c>
      <c r="H1322" s="42"/>
      <c r="I1322" s="44" t="s">
        <v>1604</v>
      </c>
      <c r="J1322" s="11" t="n">
        <f aca="false">IF(D1322="","",N(G1322)-N(H1322))</f>
        <v>63953622.47</v>
      </c>
      <c r="K1322" s="34" t="str">
        <f aca="false">IF(D1322="","",IFERROR(INDEX(I_COA!$C$6:$C$265,MATCH(D1322,I_COA!$A$6:$A$265,0)),"AKUN BARU"))</f>
        <v>LabaRugi</v>
      </c>
      <c r="L1322" s="34" t="str">
        <f aca="false">IF(K1322="LabaRugi",INDEX(I_COA!$D$6:$D$265,MATCH(D1322,I_COA!$A$6:$A$265,0)),"")</f>
        <v>COGS - Trading</v>
      </c>
      <c r="M1322" s="34" t="str">
        <f aca="false">IF(K1322="Neraca",INDEX(I_COA!$E$6:$E$265,MATCH(D1322,I_COA!$A$6:$A$265,0)),"")</f>
        <v/>
      </c>
      <c r="N1322" s="34" t="str">
        <f aca="false">IF(D1322="","",IFERROR(INDEX(I_COA!$G$6:$G$265,MATCH(D1322,I_COA!$A$6:$A$265,0)),"N"))</f>
        <v>N</v>
      </c>
      <c r="O1322" s="11" t="n">
        <f aca="false">IF(N1322="N",ABS(J1322),"")</f>
        <v>63953622.47</v>
      </c>
      <c r="P1322" s="18" t="str">
        <f aca="false">IF(N1322="N",B1322&amp;"|"&amp;ROUND(O1322,0),"")</f>
        <v>KGR26/0288|63953622</v>
      </c>
      <c r="Q1322" s="18" t="str">
        <f aca="false">IF(N1322&lt;&gt;"Y","",IFERROR(INDEX($D$6:$D$4005,MATCH(B1322&amp;"|"&amp;ROUND(_xlfn.MAXIFS($O$6:$O$4005,$B$6:$B$4005,B1322,$N$6:$N$4005,"N"),0),$P$6:$P$4005,0)),"(tanpa lawan)"))</f>
        <v/>
      </c>
      <c r="R1322" s="44"/>
      <c r="S1322" s="9" t="str">
        <f aca="false">IF(N1322&lt;&gt;"Y","",IF(R1322&lt;&gt;"",R1322,IF(Q1322="(tanpa lawan)","Transfer antar rekening",IFERROR(INDEX(I_COA!$F$6:$F$265,MATCH(Q1322,I_COA!$A$6:$A$265,0)),"?"))))</f>
        <v/>
      </c>
    </row>
    <row r="1323" customFormat="false" ht="15" hidden="false" customHeight="false" outlineLevel="0" collapsed="false">
      <c r="A1323" s="37" t="n">
        <v>46253</v>
      </c>
      <c r="B1323" s="44" t="s">
        <v>1652</v>
      </c>
      <c r="C1323" s="44" t="s">
        <v>617</v>
      </c>
      <c r="D1323" s="44" t="n">
        <v>1104002</v>
      </c>
      <c r="E1323" s="44" t="s">
        <v>601</v>
      </c>
      <c r="F1323" s="44" t="s">
        <v>1653</v>
      </c>
      <c r="G1323" s="42"/>
      <c r="H1323" s="42" t="n">
        <v>63953622.47</v>
      </c>
      <c r="I1323" s="44" t="s">
        <v>1604</v>
      </c>
      <c r="J1323" s="11" t="n">
        <f aca="false">IF(D1323="","",N(G1323)-N(H1323))</f>
        <v>-63953622.47</v>
      </c>
      <c r="K1323" s="34" t="str">
        <f aca="false">IF(D1323="","",IFERROR(INDEX(I_COA!$C$6:$C$265,MATCH(D1323,I_COA!$A$6:$A$265,0)),"AKUN BARU"))</f>
        <v>Neraca</v>
      </c>
      <c r="L1323" s="34" t="str">
        <f aca="false">IF(K1323="LabaRugi",INDEX(I_COA!$D$6:$D$265,MATCH(D1323,I_COA!$A$6:$A$265,0)),"")</f>
        <v/>
      </c>
      <c r="M1323" s="34" t="str">
        <f aca="false">IF(K1323="Neraca",INDEX(I_COA!$E$6:$E$265,MATCH(D1323,I_COA!$A$6:$A$265,0)),"")</f>
        <v>Inventory - Product</v>
      </c>
      <c r="N1323" s="34" t="str">
        <f aca="false">IF(D1323="","",IFERROR(INDEX(I_COA!$G$6:$G$265,MATCH(D1323,I_COA!$A$6:$A$265,0)),"N"))</f>
        <v>N</v>
      </c>
      <c r="O1323" s="11" t="n">
        <f aca="false">IF(N1323="N",ABS(J1323),"")</f>
        <v>63953622.47</v>
      </c>
      <c r="P1323" s="18" t="str">
        <f aca="false">IF(N1323="N",B1323&amp;"|"&amp;ROUND(O1323,0),"")</f>
        <v>KGR26/0288|63953622</v>
      </c>
      <c r="Q1323" s="18" t="str">
        <f aca="false">IF(N1323&lt;&gt;"Y","",IFERROR(INDEX($D$6:$D$4005,MATCH(B1323&amp;"|"&amp;ROUND(_xlfn.MAXIFS($O$6:$O$4005,$B$6:$B$4005,B1323,$N$6:$N$4005,"N"),0),$P$6:$P$4005,0)),"(tanpa lawan)"))</f>
        <v/>
      </c>
      <c r="R1323" s="44"/>
      <c r="S1323" s="9" t="str">
        <f aca="false">IF(N1323&lt;&gt;"Y","",IF(R1323&lt;&gt;"",R1323,IF(Q1323="(tanpa lawan)","Transfer antar rekening",IFERROR(INDEX(I_COA!$F$6:$F$265,MATCH(Q1323,I_COA!$A$6:$A$265,0)),"?"))))</f>
        <v/>
      </c>
    </row>
    <row r="1324" customFormat="false" ht="15" hidden="false" customHeight="false" outlineLevel="0" collapsed="false">
      <c r="A1324" s="37" t="n">
        <v>46253</v>
      </c>
      <c r="B1324" s="44" t="s">
        <v>1654</v>
      </c>
      <c r="C1324" s="44" t="s">
        <v>617</v>
      </c>
      <c r="D1324" s="44" t="n">
        <v>1103101</v>
      </c>
      <c r="E1324" s="44" t="s">
        <v>589</v>
      </c>
      <c r="F1324" s="44" t="s">
        <v>1655</v>
      </c>
      <c r="G1324" s="42" t="n">
        <v>43911000</v>
      </c>
      <c r="H1324" s="42"/>
      <c r="I1324" s="44" t="s">
        <v>432</v>
      </c>
      <c r="J1324" s="11" t="n">
        <f aca="false">IF(D1324="","",N(G1324)-N(H1324))</f>
        <v>43911000</v>
      </c>
      <c r="K1324" s="34" t="str">
        <f aca="false">IF(D1324="","",IFERROR(INDEX(I_COA!$C$6:$C$265,MATCH(D1324,I_COA!$A$6:$A$265,0)),"AKUN BARU"))</f>
        <v>Neraca</v>
      </c>
      <c r="L1324" s="34" t="str">
        <f aca="false">IF(K1324="LabaRugi",INDEX(I_COA!$D$6:$D$265,MATCH(D1324,I_COA!$A$6:$A$265,0)),"")</f>
        <v/>
      </c>
      <c r="M1324" s="34" t="str">
        <f aca="false">IF(K1324="Neraca",INDEX(I_COA!$E$6:$E$265,MATCH(D1324,I_COA!$A$6:$A$265,0)),"")</f>
        <v>Trade Receivables - Third Parties</v>
      </c>
      <c r="N1324" s="34" t="str">
        <f aca="false">IF(D1324="","",IFERROR(INDEX(I_COA!$G$6:$G$265,MATCH(D1324,I_COA!$A$6:$A$265,0)),"N"))</f>
        <v>N</v>
      </c>
      <c r="O1324" s="11" t="n">
        <f aca="false">IF(N1324="N",ABS(J1324),"")</f>
        <v>43911000</v>
      </c>
      <c r="P1324" s="18" t="str">
        <f aca="false">IF(N1324="N",B1324&amp;"|"&amp;ROUND(O1324,0),"")</f>
        <v>KGR26/0289|43911000</v>
      </c>
      <c r="Q1324" s="18" t="str">
        <f aca="false">IF(N1324&lt;&gt;"Y","",IFERROR(INDEX($D$6:$D$4005,MATCH(B1324&amp;"|"&amp;ROUND(_xlfn.MAXIFS($O$6:$O$4005,$B$6:$B$4005,B1324,$N$6:$N$4005,"N"),0),$P$6:$P$4005,0)),"(tanpa lawan)"))</f>
        <v/>
      </c>
      <c r="R1324" s="44"/>
      <c r="S1324" s="9" t="str">
        <f aca="false">IF(N1324&lt;&gt;"Y","",IF(R1324&lt;&gt;"",R1324,IF(Q1324="(tanpa lawan)","Transfer antar rekening",IFERROR(INDEX(I_COA!$F$6:$F$265,MATCH(Q1324,I_COA!$A$6:$A$265,0)),"?"))))</f>
        <v/>
      </c>
    </row>
    <row r="1325" customFormat="false" ht="15" hidden="false" customHeight="false" outlineLevel="0" collapsed="false">
      <c r="A1325" s="37" t="n">
        <v>46253</v>
      </c>
      <c r="B1325" s="44" t="s">
        <v>1654</v>
      </c>
      <c r="C1325" s="44" t="s">
        <v>617</v>
      </c>
      <c r="D1325" s="44" t="n">
        <v>4101012</v>
      </c>
      <c r="E1325" s="44" t="s">
        <v>619</v>
      </c>
      <c r="F1325" s="44" t="s">
        <v>1655</v>
      </c>
      <c r="G1325" s="42"/>
      <c r="H1325" s="42" t="n">
        <v>43911000</v>
      </c>
      <c r="I1325" s="44" t="s">
        <v>432</v>
      </c>
      <c r="J1325" s="11" t="n">
        <f aca="false">IF(D1325="","",N(G1325)-N(H1325))</f>
        <v>-43911000</v>
      </c>
      <c r="K1325" s="34" t="str">
        <f aca="false">IF(D1325="","",IFERROR(INDEX(I_COA!$C$6:$C$265,MATCH(D1325,I_COA!$A$6:$A$265,0)),"AKUN BARU"))</f>
        <v>LabaRugi</v>
      </c>
      <c r="L1325" s="34" t="str">
        <f aca="false">IF(K1325="LabaRugi",INDEX(I_COA!$D$6:$D$265,MATCH(D1325,I_COA!$A$6:$A$265,0)),"")</f>
        <v>Revenue - Trading</v>
      </c>
      <c r="M1325" s="34" t="str">
        <f aca="false">IF(K1325="Neraca",INDEX(I_COA!$E$6:$E$265,MATCH(D1325,I_COA!$A$6:$A$265,0)),"")</f>
        <v/>
      </c>
      <c r="N1325" s="34" t="str">
        <f aca="false">IF(D1325="","",IFERROR(INDEX(I_COA!$G$6:$G$265,MATCH(D1325,I_COA!$A$6:$A$265,0)),"N"))</f>
        <v>N</v>
      </c>
      <c r="O1325" s="11" t="n">
        <f aca="false">IF(N1325="N",ABS(J1325),"")</f>
        <v>43911000</v>
      </c>
      <c r="P1325" s="18" t="str">
        <f aca="false">IF(N1325="N",B1325&amp;"|"&amp;ROUND(O1325,0),"")</f>
        <v>KGR26/0289|43911000</v>
      </c>
      <c r="Q1325" s="18" t="str">
        <f aca="false">IF(N1325&lt;&gt;"Y","",IFERROR(INDEX($D$6:$D$4005,MATCH(B1325&amp;"|"&amp;ROUND(_xlfn.MAXIFS($O$6:$O$4005,$B$6:$B$4005,B1325,$N$6:$N$4005,"N"),0),$P$6:$P$4005,0)),"(tanpa lawan)"))</f>
        <v/>
      </c>
      <c r="R1325" s="44"/>
      <c r="S1325" s="9" t="str">
        <f aca="false">IF(N1325&lt;&gt;"Y","",IF(R1325&lt;&gt;"",R1325,IF(Q1325="(tanpa lawan)","Transfer antar rekening",IFERROR(INDEX(I_COA!$F$6:$F$265,MATCH(Q1325,I_COA!$A$6:$A$265,0)),"?"))))</f>
        <v/>
      </c>
    </row>
    <row r="1326" customFormat="false" ht="15" hidden="false" customHeight="false" outlineLevel="0" collapsed="false">
      <c r="A1326" s="37" t="n">
        <v>46253</v>
      </c>
      <c r="B1326" s="44" t="s">
        <v>1654</v>
      </c>
      <c r="C1326" s="44" t="s">
        <v>617</v>
      </c>
      <c r="D1326" s="44" t="n">
        <v>5100011</v>
      </c>
      <c r="E1326" s="44" t="s">
        <v>166</v>
      </c>
      <c r="F1326" s="44" t="s">
        <v>1655</v>
      </c>
      <c r="G1326" s="42" t="n">
        <v>44452661.75</v>
      </c>
      <c r="H1326" s="42"/>
      <c r="I1326" s="44" t="s">
        <v>432</v>
      </c>
      <c r="J1326" s="11" t="n">
        <f aca="false">IF(D1326="","",N(G1326)-N(H1326))</f>
        <v>44452661.75</v>
      </c>
      <c r="K1326" s="34" t="str">
        <f aca="false">IF(D1326="","",IFERROR(INDEX(I_COA!$C$6:$C$265,MATCH(D1326,I_COA!$A$6:$A$265,0)),"AKUN BARU"))</f>
        <v>LabaRugi</v>
      </c>
      <c r="L1326" s="34" t="str">
        <f aca="false">IF(K1326="LabaRugi",INDEX(I_COA!$D$6:$D$265,MATCH(D1326,I_COA!$A$6:$A$265,0)),"")</f>
        <v>COGS - Trading</v>
      </c>
      <c r="M1326" s="34" t="str">
        <f aca="false">IF(K1326="Neraca",INDEX(I_COA!$E$6:$E$265,MATCH(D1326,I_COA!$A$6:$A$265,0)),"")</f>
        <v/>
      </c>
      <c r="N1326" s="34" t="str">
        <f aca="false">IF(D1326="","",IFERROR(INDEX(I_COA!$G$6:$G$265,MATCH(D1326,I_COA!$A$6:$A$265,0)),"N"))</f>
        <v>N</v>
      </c>
      <c r="O1326" s="11" t="n">
        <f aca="false">IF(N1326="N",ABS(J1326),"")</f>
        <v>44452661.75</v>
      </c>
      <c r="P1326" s="18" t="str">
        <f aca="false">IF(N1326="N",B1326&amp;"|"&amp;ROUND(O1326,0),"")</f>
        <v>KGR26/0289|44452662</v>
      </c>
      <c r="Q1326" s="18" t="str">
        <f aca="false">IF(N1326&lt;&gt;"Y","",IFERROR(INDEX($D$6:$D$4005,MATCH(B1326&amp;"|"&amp;ROUND(_xlfn.MAXIFS($O$6:$O$4005,$B$6:$B$4005,B1326,$N$6:$N$4005,"N"),0),$P$6:$P$4005,0)),"(tanpa lawan)"))</f>
        <v/>
      </c>
      <c r="R1326" s="44"/>
      <c r="S1326" s="9" t="str">
        <f aca="false">IF(N1326&lt;&gt;"Y","",IF(R1326&lt;&gt;"",R1326,IF(Q1326="(tanpa lawan)","Transfer antar rekening",IFERROR(INDEX(I_COA!$F$6:$F$265,MATCH(Q1326,I_COA!$A$6:$A$265,0)),"?"))))</f>
        <v/>
      </c>
    </row>
    <row r="1327" customFormat="false" ht="15" hidden="false" customHeight="false" outlineLevel="0" collapsed="false">
      <c r="A1327" s="37" t="n">
        <v>46253</v>
      </c>
      <c r="B1327" s="44" t="s">
        <v>1654</v>
      </c>
      <c r="C1327" s="44" t="s">
        <v>617</v>
      </c>
      <c r="D1327" s="44" t="n">
        <v>1104002</v>
      </c>
      <c r="E1327" s="44" t="s">
        <v>601</v>
      </c>
      <c r="F1327" s="44" t="s">
        <v>1655</v>
      </c>
      <c r="G1327" s="42"/>
      <c r="H1327" s="42" t="n">
        <v>44452661.75</v>
      </c>
      <c r="I1327" s="44" t="s">
        <v>432</v>
      </c>
      <c r="J1327" s="11" t="n">
        <f aca="false">IF(D1327="","",N(G1327)-N(H1327))</f>
        <v>-44452661.75</v>
      </c>
      <c r="K1327" s="34" t="str">
        <f aca="false">IF(D1327="","",IFERROR(INDEX(I_COA!$C$6:$C$265,MATCH(D1327,I_COA!$A$6:$A$265,0)),"AKUN BARU"))</f>
        <v>Neraca</v>
      </c>
      <c r="L1327" s="34" t="str">
        <f aca="false">IF(K1327="LabaRugi",INDEX(I_COA!$D$6:$D$265,MATCH(D1327,I_COA!$A$6:$A$265,0)),"")</f>
        <v/>
      </c>
      <c r="M1327" s="34" t="str">
        <f aca="false">IF(K1327="Neraca",INDEX(I_COA!$E$6:$E$265,MATCH(D1327,I_COA!$A$6:$A$265,0)),"")</f>
        <v>Inventory - Product</v>
      </c>
      <c r="N1327" s="34" t="str">
        <f aca="false">IF(D1327="","",IFERROR(INDEX(I_COA!$G$6:$G$265,MATCH(D1327,I_COA!$A$6:$A$265,0)),"N"))</f>
        <v>N</v>
      </c>
      <c r="O1327" s="11" t="n">
        <f aca="false">IF(N1327="N",ABS(J1327),"")</f>
        <v>44452661.75</v>
      </c>
      <c r="P1327" s="18" t="str">
        <f aca="false">IF(N1327="N",B1327&amp;"|"&amp;ROUND(O1327,0),"")</f>
        <v>KGR26/0289|44452662</v>
      </c>
      <c r="Q1327" s="18" t="str">
        <f aca="false">IF(N1327&lt;&gt;"Y","",IFERROR(INDEX($D$6:$D$4005,MATCH(B1327&amp;"|"&amp;ROUND(_xlfn.MAXIFS($O$6:$O$4005,$B$6:$B$4005,B1327,$N$6:$N$4005,"N"),0),$P$6:$P$4005,0)),"(tanpa lawan)"))</f>
        <v/>
      </c>
      <c r="R1327" s="44"/>
      <c r="S1327" s="9" t="str">
        <f aca="false">IF(N1327&lt;&gt;"Y","",IF(R1327&lt;&gt;"",R1327,IF(Q1327="(tanpa lawan)","Transfer antar rekening",IFERROR(INDEX(I_COA!$F$6:$F$265,MATCH(Q1327,I_COA!$A$6:$A$265,0)),"?"))))</f>
        <v/>
      </c>
    </row>
    <row r="1328" customFormat="false" ht="15" hidden="false" customHeight="false" outlineLevel="0" collapsed="false">
      <c r="A1328" s="37" t="n">
        <v>46253</v>
      </c>
      <c r="B1328" s="44" t="s">
        <v>1656</v>
      </c>
      <c r="C1328" s="44" t="s">
        <v>617</v>
      </c>
      <c r="D1328" s="44" t="n">
        <v>1103101</v>
      </c>
      <c r="E1328" s="44" t="s">
        <v>589</v>
      </c>
      <c r="F1328" s="44" t="s">
        <v>1657</v>
      </c>
      <c r="G1328" s="42" t="n">
        <v>62277000</v>
      </c>
      <c r="H1328" s="42"/>
      <c r="I1328" s="44" t="s">
        <v>432</v>
      </c>
      <c r="J1328" s="11" t="n">
        <f aca="false">IF(D1328="","",N(G1328)-N(H1328))</f>
        <v>62277000</v>
      </c>
      <c r="K1328" s="34" t="str">
        <f aca="false">IF(D1328="","",IFERROR(INDEX(I_COA!$C$6:$C$265,MATCH(D1328,I_COA!$A$6:$A$265,0)),"AKUN BARU"))</f>
        <v>Neraca</v>
      </c>
      <c r="L1328" s="34" t="str">
        <f aca="false">IF(K1328="LabaRugi",INDEX(I_COA!$D$6:$D$265,MATCH(D1328,I_COA!$A$6:$A$265,0)),"")</f>
        <v/>
      </c>
      <c r="M1328" s="34" t="str">
        <f aca="false">IF(K1328="Neraca",INDEX(I_COA!$E$6:$E$265,MATCH(D1328,I_COA!$A$6:$A$265,0)),"")</f>
        <v>Trade Receivables - Third Parties</v>
      </c>
      <c r="N1328" s="34" t="str">
        <f aca="false">IF(D1328="","",IFERROR(INDEX(I_COA!$G$6:$G$265,MATCH(D1328,I_COA!$A$6:$A$265,0)),"N"))</f>
        <v>N</v>
      </c>
      <c r="O1328" s="11" t="n">
        <f aca="false">IF(N1328="N",ABS(J1328),"")</f>
        <v>62277000</v>
      </c>
      <c r="P1328" s="18" t="str">
        <f aca="false">IF(N1328="N",B1328&amp;"|"&amp;ROUND(O1328,0),"")</f>
        <v>KGR26/0290|62277000</v>
      </c>
      <c r="Q1328" s="18" t="str">
        <f aca="false">IF(N1328&lt;&gt;"Y","",IFERROR(INDEX($D$6:$D$4005,MATCH(B1328&amp;"|"&amp;ROUND(_xlfn.MAXIFS($O$6:$O$4005,$B$6:$B$4005,B1328,$N$6:$N$4005,"N"),0),$P$6:$P$4005,0)),"(tanpa lawan)"))</f>
        <v/>
      </c>
      <c r="R1328" s="44"/>
      <c r="S1328" s="9" t="str">
        <f aca="false">IF(N1328&lt;&gt;"Y","",IF(R1328&lt;&gt;"",R1328,IF(Q1328="(tanpa lawan)","Transfer antar rekening",IFERROR(INDEX(I_COA!$F$6:$F$265,MATCH(Q1328,I_COA!$A$6:$A$265,0)),"?"))))</f>
        <v/>
      </c>
    </row>
    <row r="1329" customFormat="false" ht="15" hidden="false" customHeight="false" outlineLevel="0" collapsed="false">
      <c r="A1329" s="37" t="n">
        <v>46253</v>
      </c>
      <c r="B1329" s="44" t="s">
        <v>1656</v>
      </c>
      <c r="C1329" s="44" t="s">
        <v>617</v>
      </c>
      <c r="D1329" s="44" t="n">
        <v>4101012</v>
      </c>
      <c r="E1329" s="44" t="s">
        <v>619</v>
      </c>
      <c r="F1329" s="44" t="s">
        <v>1657</v>
      </c>
      <c r="G1329" s="42"/>
      <c r="H1329" s="42" t="n">
        <v>51654000</v>
      </c>
      <c r="I1329" s="44" t="s">
        <v>432</v>
      </c>
      <c r="J1329" s="11" t="n">
        <f aca="false">IF(D1329="","",N(G1329)-N(H1329))</f>
        <v>-51654000</v>
      </c>
      <c r="K1329" s="34" t="str">
        <f aca="false">IF(D1329="","",IFERROR(INDEX(I_COA!$C$6:$C$265,MATCH(D1329,I_COA!$A$6:$A$265,0)),"AKUN BARU"))</f>
        <v>LabaRugi</v>
      </c>
      <c r="L1329" s="34" t="str">
        <f aca="false">IF(K1329="LabaRugi",INDEX(I_COA!$D$6:$D$265,MATCH(D1329,I_COA!$A$6:$A$265,0)),"")</f>
        <v>Revenue - Trading</v>
      </c>
      <c r="M1329" s="34" t="str">
        <f aca="false">IF(K1329="Neraca",INDEX(I_COA!$E$6:$E$265,MATCH(D1329,I_COA!$A$6:$A$265,0)),"")</f>
        <v/>
      </c>
      <c r="N1329" s="34" t="str">
        <f aca="false">IF(D1329="","",IFERROR(INDEX(I_COA!$G$6:$G$265,MATCH(D1329,I_COA!$A$6:$A$265,0)),"N"))</f>
        <v>N</v>
      </c>
      <c r="O1329" s="11" t="n">
        <f aca="false">IF(N1329="N",ABS(J1329),"")</f>
        <v>51654000</v>
      </c>
      <c r="P1329" s="18" t="str">
        <f aca="false">IF(N1329="N",B1329&amp;"|"&amp;ROUND(O1329,0),"")</f>
        <v>KGR26/0290|51654000</v>
      </c>
      <c r="Q1329" s="18" t="str">
        <f aca="false">IF(N1329&lt;&gt;"Y","",IFERROR(INDEX($D$6:$D$4005,MATCH(B1329&amp;"|"&amp;ROUND(_xlfn.MAXIFS($O$6:$O$4005,$B$6:$B$4005,B1329,$N$6:$N$4005,"N"),0),$P$6:$P$4005,0)),"(tanpa lawan)"))</f>
        <v/>
      </c>
      <c r="R1329" s="44"/>
      <c r="S1329" s="9" t="str">
        <f aca="false">IF(N1329&lt;&gt;"Y","",IF(R1329&lt;&gt;"",R1329,IF(Q1329="(tanpa lawan)","Transfer antar rekening",IFERROR(INDEX(I_COA!$F$6:$F$265,MATCH(Q1329,I_COA!$A$6:$A$265,0)),"?"))))</f>
        <v/>
      </c>
    </row>
    <row r="1330" customFormat="false" ht="15" hidden="false" customHeight="false" outlineLevel="0" collapsed="false">
      <c r="A1330" s="37" t="n">
        <v>46253</v>
      </c>
      <c r="B1330" s="44" t="s">
        <v>1656</v>
      </c>
      <c r="C1330" s="44" t="s">
        <v>617</v>
      </c>
      <c r="D1330" s="44" t="n">
        <v>5100011</v>
      </c>
      <c r="E1330" s="44" t="s">
        <v>166</v>
      </c>
      <c r="F1330" s="44" t="s">
        <v>1657</v>
      </c>
      <c r="G1330" s="42" t="n">
        <v>52092707.67</v>
      </c>
      <c r="H1330" s="42"/>
      <c r="I1330" s="44" t="s">
        <v>432</v>
      </c>
      <c r="J1330" s="11" t="n">
        <f aca="false">IF(D1330="","",N(G1330)-N(H1330))</f>
        <v>52092707.67</v>
      </c>
      <c r="K1330" s="34" t="str">
        <f aca="false">IF(D1330="","",IFERROR(INDEX(I_COA!$C$6:$C$265,MATCH(D1330,I_COA!$A$6:$A$265,0)),"AKUN BARU"))</f>
        <v>LabaRugi</v>
      </c>
      <c r="L1330" s="34" t="str">
        <f aca="false">IF(K1330="LabaRugi",INDEX(I_COA!$D$6:$D$265,MATCH(D1330,I_COA!$A$6:$A$265,0)),"")</f>
        <v>COGS - Trading</v>
      </c>
      <c r="M1330" s="34" t="str">
        <f aca="false">IF(K1330="Neraca",INDEX(I_COA!$E$6:$E$265,MATCH(D1330,I_COA!$A$6:$A$265,0)),"")</f>
        <v/>
      </c>
      <c r="N1330" s="34" t="str">
        <f aca="false">IF(D1330="","",IFERROR(INDEX(I_COA!$G$6:$G$265,MATCH(D1330,I_COA!$A$6:$A$265,0)),"N"))</f>
        <v>N</v>
      </c>
      <c r="O1330" s="11" t="n">
        <f aca="false">IF(N1330="N",ABS(J1330),"")</f>
        <v>52092707.67</v>
      </c>
      <c r="P1330" s="18" t="str">
        <f aca="false">IF(N1330="N",B1330&amp;"|"&amp;ROUND(O1330,0),"")</f>
        <v>KGR26/0290|52092708</v>
      </c>
      <c r="Q1330" s="18" t="str">
        <f aca="false">IF(N1330&lt;&gt;"Y","",IFERROR(INDEX($D$6:$D$4005,MATCH(B1330&amp;"|"&amp;ROUND(_xlfn.MAXIFS($O$6:$O$4005,$B$6:$B$4005,B1330,$N$6:$N$4005,"N"),0),$P$6:$P$4005,0)),"(tanpa lawan)"))</f>
        <v/>
      </c>
      <c r="R1330" s="44"/>
      <c r="S1330" s="9" t="str">
        <f aca="false">IF(N1330&lt;&gt;"Y","",IF(R1330&lt;&gt;"",R1330,IF(Q1330="(tanpa lawan)","Transfer antar rekening",IFERROR(INDEX(I_COA!$F$6:$F$265,MATCH(Q1330,I_COA!$A$6:$A$265,0)),"?"))))</f>
        <v/>
      </c>
    </row>
    <row r="1331" customFormat="false" ht="15" hidden="false" customHeight="false" outlineLevel="0" collapsed="false">
      <c r="A1331" s="37" t="n">
        <v>46253</v>
      </c>
      <c r="B1331" s="44" t="s">
        <v>1656</v>
      </c>
      <c r="C1331" s="44" t="s">
        <v>617</v>
      </c>
      <c r="D1331" s="44" t="n">
        <v>1104002</v>
      </c>
      <c r="E1331" s="44" t="s">
        <v>601</v>
      </c>
      <c r="F1331" s="44" t="s">
        <v>1657</v>
      </c>
      <c r="G1331" s="42"/>
      <c r="H1331" s="42" t="n">
        <v>62128592.84</v>
      </c>
      <c r="I1331" s="44" t="s">
        <v>432</v>
      </c>
      <c r="J1331" s="11" t="n">
        <f aca="false">IF(D1331="","",N(G1331)-N(H1331))</f>
        <v>-62128592.84</v>
      </c>
      <c r="K1331" s="34" t="str">
        <f aca="false">IF(D1331="","",IFERROR(INDEX(I_COA!$C$6:$C$265,MATCH(D1331,I_COA!$A$6:$A$265,0)),"AKUN BARU"))</f>
        <v>Neraca</v>
      </c>
      <c r="L1331" s="34" t="str">
        <f aca="false">IF(K1331="LabaRugi",INDEX(I_COA!$D$6:$D$265,MATCH(D1331,I_COA!$A$6:$A$265,0)),"")</f>
        <v/>
      </c>
      <c r="M1331" s="34" t="str">
        <f aca="false">IF(K1331="Neraca",INDEX(I_COA!$E$6:$E$265,MATCH(D1331,I_COA!$A$6:$A$265,0)),"")</f>
        <v>Inventory - Product</v>
      </c>
      <c r="N1331" s="34" t="str">
        <f aca="false">IF(D1331="","",IFERROR(INDEX(I_COA!$G$6:$G$265,MATCH(D1331,I_COA!$A$6:$A$265,0)),"N"))</f>
        <v>N</v>
      </c>
      <c r="O1331" s="11" t="n">
        <f aca="false">IF(N1331="N",ABS(J1331),"")</f>
        <v>62128592.84</v>
      </c>
      <c r="P1331" s="18" t="str">
        <f aca="false">IF(N1331="N",B1331&amp;"|"&amp;ROUND(O1331,0),"")</f>
        <v>KGR26/0290|62128593</v>
      </c>
      <c r="Q1331" s="18" t="str">
        <f aca="false">IF(N1331&lt;&gt;"Y","",IFERROR(INDEX($D$6:$D$4005,MATCH(B1331&amp;"|"&amp;ROUND(_xlfn.MAXIFS($O$6:$O$4005,$B$6:$B$4005,B1331,$N$6:$N$4005,"N"),0),$P$6:$P$4005,0)),"(tanpa lawan)"))</f>
        <v/>
      </c>
      <c r="R1331" s="44"/>
      <c r="S1331" s="9" t="str">
        <f aca="false">IF(N1331&lt;&gt;"Y","",IF(R1331&lt;&gt;"",R1331,IF(Q1331="(tanpa lawan)","Transfer antar rekening",IFERROR(INDEX(I_COA!$F$6:$F$265,MATCH(Q1331,I_COA!$A$6:$A$265,0)),"?"))))</f>
        <v/>
      </c>
    </row>
    <row r="1332" customFormat="false" ht="15" hidden="false" customHeight="false" outlineLevel="0" collapsed="false">
      <c r="A1332" s="37" t="n">
        <v>46253</v>
      </c>
      <c r="B1332" s="44" t="s">
        <v>1656</v>
      </c>
      <c r="C1332" s="44" t="s">
        <v>617</v>
      </c>
      <c r="D1332" s="44" t="n">
        <v>4101006</v>
      </c>
      <c r="E1332" s="44" t="s">
        <v>626</v>
      </c>
      <c r="F1332" s="44" t="s">
        <v>1657</v>
      </c>
      <c r="G1332" s="42"/>
      <c r="H1332" s="42" t="n">
        <v>10623000</v>
      </c>
      <c r="I1332" s="44" t="s">
        <v>432</v>
      </c>
      <c r="J1332" s="11" t="n">
        <f aca="false">IF(D1332="","",N(G1332)-N(H1332))</f>
        <v>-10623000</v>
      </c>
      <c r="K1332" s="34" t="str">
        <f aca="false">IF(D1332="","",IFERROR(INDEX(I_COA!$C$6:$C$265,MATCH(D1332,I_COA!$A$6:$A$265,0)),"AKUN BARU"))</f>
        <v>LabaRugi</v>
      </c>
      <c r="L1332" s="34" t="str">
        <f aca="false">IF(K1332="LabaRugi",INDEX(I_COA!$D$6:$D$265,MATCH(D1332,I_COA!$A$6:$A$265,0)),"")</f>
        <v>Revenue - LB Main Product</v>
      </c>
      <c r="M1332" s="34" t="str">
        <f aca="false">IF(K1332="Neraca",INDEX(I_COA!$E$6:$E$265,MATCH(D1332,I_COA!$A$6:$A$265,0)),"")</f>
        <v/>
      </c>
      <c r="N1332" s="34" t="str">
        <f aca="false">IF(D1332="","",IFERROR(INDEX(I_COA!$G$6:$G$265,MATCH(D1332,I_COA!$A$6:$A$265,0)),"N"))</f>
        <v>N</v>
      </c>
      <c r="O1332" s="11" t="n">
        <f aca="false">IF(N1332="N",ABS(J1332),"")</f>
        <v>10623000</v>
      </c>
      <c r="P1332" s="18" t="str">
        <f aca="false">IF(N1332="N",B1332&amp;"|"&amp;ROUND(O1332,0),"")</f>
        <v>KGR26/0290|10623000</v>
      </c>
      <c r="Q1332" s="18" t="str">
        <f aca="false">IF(N1332&lt;&gt;"Y","",IFERROR(INDEX($D$6:$D$4005,MATCH(B1332&amp;"|"&amp;ROUND(_xlfn.MAXIFS($O$6:$O$4005,$B$6:$B$4005,B1332,$N$6:$N$4005,"N"),0),$P$6:$P$4005,0)),"(tanpa lawan)"))</f>
        <v/>
      </c>
      <c r="R1332" s="44"/>
      <c r="S1332" s="9" t="str">
        <f aca="false">IF(N1332&lt;&gt;"Y","",IF(R1332&lt;&gt;"",R1332,IF(Q1332="(tanpa lawan)","Transfer antar rekening",IFERROR(INDEX(I_COA!$F$6:$F$265,MATCH(Q1332,I_COA!$A$6:$A$265,0)),"?"))))</f>
        <v/>
      </c>
    </row>
    <row r="1333" customFormat="false" ht="15" hidden="false" customHeight="false" outlineLevel="0" collapsed="false">
      <c r="A1333" s="37" t="n">
        <v>46253</v>
      </c>
      <c r="B1333" s="44" t="s">
        <v>1656</v>
      </c>
      <c r="C1333" s="44" t="s">
        <v>617</v>
      </c>
      <c r="D1333" s="44" t="n">
        <v>5100004</v>
      </c>
      <c r="E1333" s="44" t="s">
        <v>627</v>
      </c>
      <c r="F1333" s="44" t="s">
        <v>1657</v>
      </c>
      <c r="G1333" s="42" t="n">
        <v>10035885.18</v>
      </c>
      <c r="H1333" s="42"/>
      <c r="I1333" s="44" t="s">
        <v>432</v>
      </c>
      <c r="J1333" s="11" t="n">
        <f aca="false">IF(D1333="","",N(G1333)-N(H1333))</f>
        <v>10035885.18</v>
      </c>
      <c r="K1333" s="34" t="str">
        <f aca="false">IF(D1333="","",IFERROR(INDEX(I_COA!$C$6:$C$265,MATCH(D1333,I_COA!$A$6:$A$265,0)),"AKUN BARU"))</f>
        <v>LabaRugi</v>
      </c>
      <c r="L1333" s="34" t="str">
        <f aca="false">IF(K1333="LabaRugi",INDEX(I_COA!$D$6:$D$265,MATCH(D1333,I_COA!$A$6:$A$265,0)),"")</f>
        <v>COGS - Live Bird</v>
      </c>
      <c r="M1333" s="34" t="str">
        <f aca="false">IF(K1333="Neraca",INDEX(I_COA!$E$6:$E$265,MATCH(D1333,I_COA!$A$6:$A$265,0)),"")</f>
        <v/>
      </c>
      <c r="N1333" s="34" t="str">
        <f aca="false">IF(D1333="","",IFERROR(INDEX(I_COA!$G$6:$G$265,MATCH(D1333,I_COA!$A$6:$A$265,0)),"N"))</f>
        <v>N</v>
      </c>
      <c r="O1333" s="11" t="n">
        <f aca="false">IF(N1333="N",ABS(J1333),"")</f>
        <v>10035885.18</v>
      </c>
      <c r="P1333" s="18" t="str">
        <f aca="false">IF(N1333="N",B1333&amp;"|"&amp;ROUND(O1333,0),"")</f>
        <v>KGR26/0290|10035885</v>
      </c>
      <c r="Q1333" s="18" t="str">
        <f aca="false">IF(N1333&lt;&gt;"Y","",IFERROR(INDEX($D$6:$D$4005,MATCH(B1333&amp;"|"&amp;ROUND(_xlfn.MAXIFS($O$6:$O$4005,$B$6:$B$4005,B1333,$N$6:$N$4005,"N"),0),$P$6:$P$4005,0)),"(tanpa lawan)"))</f>
        <v/>
      </c>
      <c r="R1333" s="44"/>
      <c r="S1333" s="9" t="str">
        <f aca="false">IF(N1333&lt;&gt;"Y","",IF(R1333&lt;&gt;"",R1333,IF(Q1333="(tanpa lawan)","Transfer antar rekening",IFERROR(INDEX(I_COA!$F$6:$F$265,MATCH(Q1333,I_COA!$A$6:$A$265,0)),"?"))))</f>
        <v/>
      </c>
    </row>
    <row r="1334" customFormat="false" ht="15" hidden="false" customHeight="false" outlineLevel="0" collapsed="false">
      <c r="A1334" s="37" t="n">
        <v>46253</v>
      </c>
      <c r="B1334" s="44" t="s">
        <v>1658</v>
      </c>
      <c r="C1334" s="44" t="s">
        <v>617</v>
      </c>
      <c r="D1334" s="44" t="n">
        <v>1103101</v>
      </c>
      <c r="E1334" s="44" t="s">
        <v>589</v>
      </c>
      <c r="F1334" s="44" t="s">
        <v>1659</v>
      </c>
      <c r="G1334" s="42" t="n">
        <v>92672680</v>
      </c>
      <c r="H1334" s="42"/>
      <c r="I1334" s="44" t="s">
        <v>432</v>
      </c>
      <c r="J1334" s="11" t="n">
        <f aca="false">IF(D1334="","",N(G1334)-N(H1334))</f>
        <v>92672680</v>
      </c>
      <c r="K1334" s="34" t="str">
        <f aca="false">IF(D1334="","",IFERROR(INDEX(I_COA!$C$6:$C$265,MATCH(D1334,I_COA!$A$6:$A$265,0)),"AKUN BARU"))</f>
        <v>Neraca</v>
      </c>
      <c r="L1334" s="34" t="str">
        <f aca="false">IF(K1334="LabaRugi",INDEX(I_COA!$D$6:$D$265,MATCH(D1334,I_COA!$A$6:$A$265,0)),"")</f>
        <v/>
      </c>
      <c r="M1334" s="34" t="str">
        <f aca="false">IF(K1334="Neraca",INDEX(I_COA!$E$6:$E$265,MATCH(D1334,I_COA!$A$6:$A$265,0)),"")</f>
        <v>Trade Receivables - Third Parties</v>
      </c>
      <c r="N1334" s="34" t="str">
        <f aca="false">IF(D1334="","",IFERROR(INDEX(I_COA!$G$6:$G$265,MATCH(D1334,I_COA!$A$6:$A$265,0)),"N"))</f>
        <v>N</v>
      </c>
      <c r="O1334" s="11" t="n">
        <f aca="false">IF(N1334="N",ABS(J1334),"")</f>
        <v>92672680</v>
      </c>
      <c r="P1334" s="18" t="str">
        <f aca="false">IF(N1334="N",B1334&amp;"|"&amp;ROUND(O1334,0),"")</f>
        <v>KGR26/0291|92672680</v>
      </c>
      <c r="Q1334" s="18" t="str">
        <f aca="false">IF(N1334&lt;&gt;"Y","",IFERROR(INDEX($D$6:$D$4005,MATCH(B1334&amp;"|"&amp;ROUND(_xlfn.MAXIFS($O$6:$O$4005,$B$6:$B$4005,B1334,$N$6:$N$4005,"N"),0),$P$6:$P$4005,0)),"(tanpa lawan)"))</f>
        <v/>
      </c>
      <c r="R1334" s="44"/>
      <c r="S1334" s="9" t="str">
        <f aca="false">IF(N1334&lt;&gt;"Y","",IF(R1334&lt;&gt;"",R1334,IF(Q1334="(tanpa lawan)","Transfer antar rekening",IFERROR(INDEX(I_COA!$F$6:$F$265,MATCH(Q1334,I_COA!$A$6:$A$265,0)),"?"))))</f>
        <v/>
      </c>
    </row>
    <row r="1335" customFormat="false" ht="15" hidden="false" customHeight="false" outlineLevel="0" collapsed="false">
      <c r="A1335" s="37" t="n">
        <v>46253</v>
      </c>
      <c r="B1335" s="44" t="s">
        <v>1658</v>
      </c>
      <c r="C1335" s="44" t="s">
        <v>617</v>
      </c>
      <c r="D1335" s="44" t="n">
        <v>4101012</v>
      </c>
      <c r="E1335" s="44" t="s">
        <v>619</v>
      </c>
      <c r="F1335" s="44" t="s">
        <v>1659</v>
      </c>
      <c r="G1335" s="42"/>
      <c r="H1335" s="42" t="n">
        <v>60609000</v>
      </c>
      <c r="I1335" s="44" t="s">
        <v>432</v>
      </c>
      <c r="J1335" s="11" t="n">
        <f aca="false">IF(D1335="","",N(G1335)-N(H1335))</f>
        <v>-60609000</v>
      </c>
      <c r="K1335" s="34" t="str">
        <f aca="false">IF(D1335="","",IFERROR(INDEX(I_COA!$C$6:$C$265,MATCH(D1335,I_COA!$A$6:$A$265,0)),"AKUN BARU"))</f>
        <v>LabaRugi</v>
      </c>
      <c r="L1335" s="34" t="str">
        <f aca="false">IF(K1335="LabaRugi",INDEX(I_COA!$D$6:$D$265,MATCH(D1335,I_COA!$A$6:$A$265,0)),"")</f>
        <v>Revenue - Trading</v>
      </c>
      <c r="M1335" s="34" t="str">
        <f aca="false">IF(K1335="Neraca",INDEX(I_COA!$E$6:$E$265,MATCH(D1335,I_COA!$A$6:$A$265,0)),"")</f>
        <v/>
      </c>
      <c r="N1335" s="34" t="str">
        <f aca="false">IF(D1335="","",IFERROR(INDEX(I_COA!$G$6:$G$265,MATCH(D1335,I_COA!$A$6:$A$265,0)),"N"))</f>
        <v>N</v>
      </c>
      <c r="O1335" s="11" t="n">
        <f aca="false">IF(N1335="N",ABS(J1335),"")</f>
        <v>60609000</v>
      </c>
      <c r="P1335" s="18" t="str">
        <f aca="false">IF(N1335="N",B1335&amp;"|"&amp;ROUND(O1335,0),"")</f>
        <v>KGR26/0291|60609000</v>
      </c>
      <c r="Q1335" s="18" t="str">
        <f aca="false">IF(N1335&lt;&gt;"Y","",IFERROR(INDEX($D$6:$D$4005,MATCH(B1335&amp;"|"&amp;ROUND(_xlfn.MAXIFS($O$6:$O$4005,$B$6:$B$4005,B1335,$N$6:$N$4005,"N"),0),$P$6:$P$4005,0)),"(tanpa lawan)"))</f>
        <v/>
      </c>
      <c r="R1335" s="44"/>
      <c r="S1335" s="9" t="str">
        <f aca="false">IF(N1335&lt;&gt;"Y","",IF(R1335&lt;&gt;"",R1335,IF(Q1335="(tanpa lawan)","Transfer antar rekening",IFERROR(INDEX(I_COA!$F$6:$F$265,MATCH(Q1335,I_COA!$A$6:$A$265,0)),"?"))))</f>
        <v/>
      </c>
    </row>
    <row r="1336" customFormat="false" ht="15" hidden="false" customHeight="false" outlineLevel="0" collapsed="false">
      <c r="A1336" s="37" t="n">
        <v>46253</v>
      </c>
      <c r="B1336" s="44" t="s">
        <v>1658</v>
      </c>
      <c r="C1336" s="44" t="s">
        <v>617</v>
      </c>
      <c r="D1336" s="44" t="n">
        <v>5100011</v>
      </c>
      <c r="E1336" s="44" t="s">
        <v>166</v>
      </c>
      <c r="F1336" s="44" t="s">
        <v>1659</v>
      </c>
      <c r="G1336" s="42" t="n">
        <v>60955013.59</v>
      </c>
      <c r="H1336" s="42"/>
      <c r="I1336" s="44" t="s">
        <v>432</v>
      </c>
      <c r="J1336" s="11" t="n">
        <f aca="false">IF(D1336="","",N(G1336)-N(H1336))</f>
        <v>60955013.59</v>
      </c>
      <c r="K1336" s="34" t="str">
        <f aca="false">IF(D1336="","",IFERROR(INDEX(I_COA!$C$6:$C$265,MATCH(D1336,I_COA!$A$6:$A$265,0)),"AKUN BARU"))</f>
        <v>LabaRugi</v>
      </c>
      <c r="L1336" s="34" t="str">
        <f aca="false">IF(K1336="LabaRugi",INDEX(I_COA!$D$6:$D$265,MATCH(D1336,I_COA!$A$6:$A$265,0)),"")</f>
        <v>COGS - Trading</v>
      </c>
      <c r="M1336" s="34" t="str">
        <f aca="false">IF(K1336="Neraca",INDEX(I_COA!$E$6:$E$265,MATCH(D1336,I_COA!$A$6:$A$265,0)),"")</f>
        <v/>
      </c>
      <c r="N1336" s="34" t="str">
        <f aca="false">IF(D1336="","",IFERROR(INDEX(I_COA!$G$6:$G$265,MATCH(D1336,I_COA!$A$6:$A$265,0)),"N"))</f>
        <v>N</v>
      </c>
      <c r="O1336" s="11" t="n">
        <f aca="false">IF(N1336="N",ABS(J1336),"")</f>
        <v>60955013.59</v>
      </c>
      <c r="P1336" s="18" t="str">
        <f aca="false">IF(N1336="N",B1336&amp;"|"&amp;ROUND(O1336,0),"")</f>
        <v>KGR26/0291|60955014</v>
      </c>
      <c r="Q1336" s="18" t="str">
        <f aca="false">IF(N1336&lt;&gt;"Y","",IFERROR(INDEX($D$6:$D$4005,MATCH(B1336&amp;"|"&amp;ROUND(_xlfn.MAXIFS($O$6:$O$4005,$B$6:$B$4005,B1336,$N$6:$N$4005,"N"),0),$P$6:$P$4005,0)),"(tanpa lawan)"))</f>
        <v/>
      </c>
      <c r="R1336" s="44"/>
      <c r="S1336" s="9" t="str">
        <f aca="false">IF(N1336&lt;&gt;"Y","",IF(R1336&lt;&gt;"",R1336,IF(Q1336="(tanpa lawan)","Transfer antar rekening",IFERROR(INDEX(I_COA!$F$6:$F$265,MATCH(Q1336,I_COA!$A$6:$A$265,0)),"?"))))</f>
        <v/>
      </c>
    </row>
    <row r="1337" customFormat="false" ht="15" hidden="false" customHeight="false" outlineLevel="0" collapsed="false">
      <c r="A1337" s="37" t="n">
        <v>46253</v>
      </c>
      <c r="B1337" s="44" t="s">
        <v>1658</v>
      </c>
      <c r="C1337" s="44" t="s">
        <v>617</v>
      </c>
      <c r="D1337" s="44" t="n">
        <v>1104002</v>
      </c>
      <c r="E1337" s="44" t="s">
        <v>601</v>
      </c>
      <c r="F1337" s="44" t="s">
        <v>1659</v>
      </c>
      <c r="G1337" s="42"/>
      <c r="H1337" s="42" t="n">
        <v>89353365.99</v>
      </c>
      <c r="I1337" s="44" t="s">
        <v>432</v>
      </c>
      <c r="J1337" s="11" t="n">
        <f aca="false">IF(D1337="","",N(G1337)-N(H1337))</f>
        <v>-89353365.99</v>
      </c>
      <c r="K1337" s="34" t="str">
        <f aca="false">IF(D1337="","",IFERROR(INDEX(I_COA!$C$6:$C$265,MATCH(D1337,I_COA!$A$6:$A$265,0)),"AKUN BARU"))</f>
        <v>Neraca</v>
      </c>
      <c r="L1337" s="34" t="str">
        <f aca="false">IF(K1337="LabaRugi",INDEX(I_COA!$D$6:$D$265,MATCH(D1337,I_COA!$A$6:$A$265,0)),"")</f>
        <v/>
      </c>
      <c r="M1337" s="34" t="str">
        <f aca="false">IF(K1337="Neraca",INDEX(I_COA!$E$6:$E$265,MATCH(D1337,I_COA!$A$6:$A$265,0)),"")</f>
        <v>Inventory - Product</v>
      </c>
      <c r="N1337" s="34" t="str">
        <f aca="false">IF(D1337="","",IFERROR(INDEX(I_COA!$G$6:$G$265,MATCH(D1337,I_COA!$A$6:$A$265,0)),"N"))</f>
        <v>N</v>
      </c>
      <c r="O1337" s="11" t="n">
        <f aca="false">IF(N1337="N",ABS(J1337),"")</f>
        <v>89353365.99</v>
      </c>
      <c r="P1337" s="18" t="str">
        <f aca="false">IF(N1337="N",B1337&amp;"|"&amp;ROUND(O1337,0),"")</f>
        <v>KGR26/0291|89353366</v>
      </c>
      <c r="Q1337" s="18" t="str">
        <f aca="false">IF(N1337&lt;&gt;"Y","",IFERROR(INDEX($D$6:$D$4005,MATCH(B1337&amp;"|"&amp;ROUND(_xlfn.MAXIFS($O$6:$O$4005,$B$6:$B$4005,B1337,$N$6:$N$4005,"N"),0),$P$6:$P$4005,0)),"(tanpa lawan)"))</f>
        <v/>
      </c>
      <c r="R1337" s="44"/>
      <c r="S1337" s="9" t="str">
        <f aca="false">IF(N1337&lt;&gt;"Y","",IF(R1337&lt;&gt;"",R1337,IF(Q1337="(tanpa lawan)","Transfer antar rekening",IFERROR(INDEX(I_COA!$F$6:$F$265,MATCH(Q1337,I_COA!$A$6:$A$265,0)),"?"))))</f>
        <v/>
      </c>
    </row>
    <row r="1338" customFormat="false" ht="15" hidden="false" customHeight="false" outlineLevel="0" collapsed="false">
      <c r="A1338" s="37" t="n">
        <v>46253</v>
      </c>
      <c r="B1338" s="44" t="s">
        <v>1658</v>
      </c>
      <c r="C1338" s="44" t="s">
        <v>617</v>
      </c>
      <c r="D1338" s="44" t="n">
        <v>4101006</v>
      </c>
      <c r="E1338" s="44" t="s">
        <v>626</v>
      </c>
      <c r="F1338" s="44" t="s">
        <v>1659</v>
      </c>
      <c r="G1338" s="42"/>
      <c r="H1338" s="42" t="n">
        <v>32063680</v>
      </c>
      <c r="I1338" s="44" t="s">
        <v>432</v>
      </c>
      <c r="J1338" s="11" t="n">
        <f aca="false">IF(D1338="","",N(G1338)-N(H1338))</f>
        <v>-32063680</v>
      </c>
      <c r="K1338" s="34" t="str">
        <f aca="false">IF(D1338="","",IFERROR(INDEX(I_COA!$C$6:$C$265,MATCH(D1338,I_COA!$A$6:$A$265,0)),"AKUN BARU"))</f>
        <v>LabaRugi</v>
      </c>
      <c r="L1338" s="34" t="str">
        <f aca="false">IF(K1338="LabaRugi",INDEX(I_COA!$D$6:$D$265,MATCH(D1338,I_COA!$A$6:$A$265,0)),"")</f>
        <v>Revenue - LB Main Product</v>
      </c>
      <c r="M1338" s="34" t="str">
        <f aca="false">IF(K1338="Neraca",INDEX(I_COA!$E$6:$E$265,MATCH(D1338,I_COA!$A$6:$A$265,0)),"")</f>
        <v/>
      </c>
      <c r="N1338" s="34" t="str">
        <f aca="false">IF(D1338="","",IFERROR(INDEX(I_COA!$G$6:$G$265,MATCH(D1338,I_COA!$A$6:$A$265,0)),"N"))</f>
        <v>N</v>
      </c>
      <c r="O1338" s="11" t="n">
        <f aca="false">IF(N1338="N",ABS(J1338),"")</f>
        <v>32063680</v>
      </c>
      <c r="P1338" s="18" t="str">
        <f aca="false">IF(N1338="N",B1338&amp;"|"&amp;ROUND(O1338,0),"")</f>
        <v>KGR26/0291|32063680</v>
      </c>
      <c r="Q1338" s="18" t="str">
        <f aca="false">IF(N1338&lt;&gt;"Y","",IFERROR(INDEX($D$6:$D$4005,MATCH(B1338&amp;"|"&amp;ROUND(_xlfn.MAXIFS($O$6:$O$4005,$B$6:$B$4005,B1338,$N$6:$N$4005,"N"),0),$P$6:$P$4005,0)),"(tanpa lawan)"))</f>
        <v/>
      </c>
      <c r="R1338" s="44"/>
      <c r="S1338" s="9" t="str">
        <f aca="false">IF(N1338&lt;&gt;"Y","",IF(R1338&lt;&gt;"",R1338,IF(Q1338="(tanpa lawan)","Transfer antar rekening",IFERROR(INDEX(I_COA!$F$6:$F$265,MATCH(Q1338,I_COA!$A$6:$A$265,0)),"?"))))</f>
        <v/>
      </c>
    </row>
    <row r="1339" customFormat="false" ht="15" hidden="false" customHeight="false" outlineLevel="0" collapsed="false">
      <c r="A1339" s="37" t="n">
        <v>46253</v>
      </c>
      <c r="B1339" s="44" t="s">
        <v>1658</v>
      </c>
      <c r="C1339" s="44" t="s">
        <v>617</v>
      </c>
      <c r="D1339" s="44" t="n">
        <v>5100004</v>
      </c>
      <c r="E1339" s="44" t="s">
        <v>627</v>
      </c>
      <c r="F1339" s="44" t="s">
        <v>1659</v>
      </c>
      <c r="G1339" s="42" t="n">
        <v>28398352.41</v>
      </c>
      <c r="H1339" s="42"/>
      <c r="I1339" s="44" t="s">
        <v>432</v>
      </c>
      <c r="J1339" s="11" t="n">
        <f aca="false">IF(D1339="","",N(G1339)-N(H1339))</f>
        <v>28398352.41</v>
      </c>
      <c r="K1339" s="34" t="str">
        <f aca="false">IF(D1339="","",IFERROR(INDEX(I_COA!$C$6:$C$265,MATCH(D1339,I_COA!$A$6:$A$265,0)),"AKUN BARU"))</f>
        <v>LabaRugi</v>
      </c>
      <c r="L1339" s="34" t="str">
        <f aca="false">IF(K1339="LabaRugi",INDEX(I_COA!$D$6:$D$265,MATCH(D1339,I_COA!$A$6:$A$265,0)),"")</f>
        <v>COGS - Live Bird</v>
      </c>
      <c r="M1339" s="34" t="str">
        <f aca="false">IF(K1339="Neraca",INDEX(I_COA!$E$6:$E$265,MATCH(D1339,I_COA!$A$6:$A$265,0)),"")</f>
        <v/>
      </c>
      <c r="N1339" s="34" t="str">
        <f aca="false">IF(D1339="","",IFERROR(INDEX(I_COA!$G$6:$G$265,MATCH(D1339,I_COA!$A$6:$A$265,0)),"N"))</f>
        <v>N</v>
      </c>
      <c r="O1339" s="11" t="n">
        <f aca="false">IF(N1339="N",ABS(J1339),"")</f>
        <v>28398352.41</v>
      </c>
      <c r="P1339" s="18" t="str">
        <f aca="false">IF(N1339="N",B1339&amp;"|"&amp;ROUND(O1339,0),"")</f>
        <v>KGR26/0291|28398352</v>
      </c>
      <c r="Q1339" s="18" t="str">
        <f aca="false">IF(N1339&lt;&gt;"Y","",IFERROR(INDEX($D$6:$D$4005,MATCH(B1339&amp;"|"&amp;ROUND(_xlfn.MAXIFS($O$6:$O$4005,$B$6:$B$4005,B1339,$N$6:$N$4005,"N"),0),$P$6:$P$4005,0)),"(tanpa lawan)"))</f>
        <v/>
      </c>
      <c r="R1339" s="44"/>
      <c r="S1339" s="9" t="str">
        <f aca="false">IF(N1339&lt;&gt;"Y","",IF(R1339&lt;&gt;"",R1339,IF(Q1339="(tanpa lawan)","Transfer antar rekening",IFERROR(INDEX(I_COA!$F$6:$F$265,MATCH(Q1339,I_COA!$A$6:$A$265,0)),"?"))))</f>
        <v/>
      </c>
    </row>
    <row r="1340" customFormat="false" ht="15" hidden="false" customHeight="false" outlineLevel="0" collapsed="false">
      <c r="A1340" s="37" t="n">
        <v>46253</v>
      </c>
      <c r="B1340" s="44" t="s">
        <v>1660</v>
      </c>
      <c r="C1340" s="44" t="s">
        <v>617</v>
      </c>
      <c r="D1340" s="44" t="n">
        <v>1103101</v>
      </c>
      <c r="E1340" s="44" t="s">
        <v>589</v>
      </c>
      <c r="F1340" s="44" t="s">
        <v>1661</v>
      </c>
      <c r="G1340" s="42" t="n">
        <v>91404200</v>
      </c>
      <c r="H1340" s="42"/>
      <c r="I1340" s="44" t="s">
        <v>432</v>
      </c>
      <c r="J1340" s="11" t="n">
        <f aca="false">IF(D1340="","",N(G1340)-N(H1340))</f>
        <v>91404200</v>
      </c>
      <c r="K1340" s="34" t="str">
        <f aca="false">IF(D1340="","",IFERROR(INDEX(I_COA!$C$6:$C$265,MATCH(D1340,I_COA!$A$6:$A$265,0)),"AKUN BARU"))</f>
        <v>Neraca</v>
      </c>
      <c r="L1340" s="34" t="str">
        <f aca="false">IF(K1340="LabaRugi",INDEX(I_COA!$D$6:$D$265,MATCH(D1340,I_COA!$A$6:$A$265,0)),"")</f>
        <v/>
      </c>
      <c r="M1340" s="34" t="str">
        <f aca="false">IF(K1340="Neraca",INDEX(I_COA!$E$6:$E$265,MATCH(D1340,I_COA!$A$6:$A$265,0)),"")</f>
        <v>Trade Receivables - Third Parties</v>
      </c>
      <c r="N1340" s="34" t="str">
        <f aca="false">IF(D1340="","",IFERROR(INDEX(I_COA!$G$6:$G$265,MATCH(D1340,I_COA!$A$6:$A$265,0)),"N"))</f>
        <v>N</v>
      </c>
      <c r="O1340" s="11" t="n">
        <f aca="false">IF(N1340="N",ABS(J1340),"")</f>
        <v>91404200</v>
      </c>
      <c r="P1340" s="18" t="str">
        <f aca="false">IF(N1340="N",B1340&amp;"|"&amp;ROUND(O1340,0),"")</f>
        <v>KGR26/0292|91404200</v>
      </c>
      <c r="Q1340" s="18" t="str">
        <f aca="false">IF(N1340&lt;&gt;"Y","",IFERROR(INDEX($D$6:$D$4005,MATCH(B1340&amp;"|"&amp;ROUND(_xlfn.MAXIFS($O$6:$O$4005,$B$6:$B$4005,B1340,$N$6:$N$4005,"N"),0),$P$6:$P$4005,0)),"(tanpa lawan)"))</f>
        <v/>
      </c>
      <c r="R1340" s="44"/>
      <c r="S1340" s="9" t="str">
        <f aca="false">IF(N1340&lt;&gt;"Y","",IF(R1340&lt;&gt;"",R1340,IF(Q1340="(tanpa lawan)","Transfer antar rekening",IFERROR(INDEX(I_COA!$F$6:$F$265,MATCH(Q1340,I_COA!$A$6:$A$265,0)),"?"))))</f>
        <v/>
      </c>
    </row>
    <row r="1341" customFormat="false" ht="15" hidden="false" customHeight="false" outlineLevel="0" collapsed="false">
      <c r="A1341" s="37" t="n">
        <v>46253</v>
      </c>
      <c r="B1341" s="44" t="s">
        <v>1660</v>
      </c>
      <c r="C1341" s="44" t="s">
        <v>617</v>
      </c>
      <c r="D1341" s="44" t="n">
        <v>4101012</v>
      </c>
      <c r="E1341" s="44" t="s">
        <v>619</v>
      </c>
      <c r="F1341" s="44" t="s">
        <v>1661</v>
      </c>
      <c r="G1341" s="42"/>
      <c r="H1341" s="42" t="n">
        <v>59241000</v>
      </c>
      <c r="I1341" s="44" t="s">
        <v>432</v>
      </c>
      <c r="J1341" s="11" t="n">
        <f aca="false">IF(D1341="","",N(G1341)-N(H1341))</f>
        <v>-59241000</v>
      </c>
      <c r="K1341" s="34" t="str">
        <f aca="false">IF(D1341="","",IFERROR(INDEX(I_COA!$C$6:$C$265,MATCH(D1341,I_COA!$A$6:$A$265,0)),"AKUN BARU"))</f>
        <v>LabaRugi</v>
      </c>
      <c r="L1341" s="34" t="str">
        <f aca="false">IF(K1341="LabaRugi",INDEX(I_COA!$D$6:$D$265,MATCH(D1341,I_COA!$A$6:$A$265,0)),"")</f>
        <v>Revenue - Trading</v>
      </c>
      <c r="M1341" s="34" t="str">
        <f aca="false">IF(K1341="Neraca",INDEX(I_COA!$E$6:$E$265,MATCH(D1341,I_COA!$A$6:$A$265,0)),"")</f>
        <v/>
      </c>
      <c r="N1341" s="34" t="str">
        <f aca="false">IF(D1341="","",IFERROR(INDEX(I_COA!$G$6:$G$265,MATCH(D1341,I_COA!$A$6:$A$265,0)),"N"))</f>
        <v>N</v>
      </c>
      <c r="O1341" s="11" t="n">
        <f aca="false">IF(N1341="N",ABS(J1341),"")</f>
        <v>59241000</v>
      </c>
      <c r="P1341" s="18" t="str">
        <f aca="false">IF(N1341="N",B1341&amp;"|"&amp;ROUND(O1341,0),"")</f>
        <v>KGR26/0292|59241000</v>
      </c>
      <c r="Q1341" s="18" t="str">
        <f aca="false">IF(N1341&lt;&gt;"Y","",IFERROR(INDEX($D$6:$D$4005,MATCH(B1341&amp;"|"&amp;ROUND(_xlfn.MAXIFS($O$6:$O$4005,$B$6:$B$4005,B1341,$N$6:$N$4005,"N"),0),$P$6:$P$4005,0)),"(tanpa lawan)"))</f>
        <v/>
      </c>
      <c r="R1341" s="44"/>
      <c r="S1341" s="9" t="str">
        <f aca="false">IF(N1341&lt;&gt;"Y","",IF(R1341&lt;&gt;"",R1341,IF(Q1341="(tanpa lawan)","Transfer antar rekening",IFERROR(INDEX(I_COA!$F$6:$F$265,MATCH(Q1341,I_COA!$A$6:$A$265,0)),"?"))))</f>
        <v/>
      </c>
    </row>
    <row r="1342" customFormat="false" ht="15" hidden="false" customHeight="false" outlineLevel="0" collapsed="false">
      <c r="A1342" s="37" t="n">
        <v>46253</v>
      </c>
      <c r="B1342" s="44" t="s">
        <v>1660</v>
      </c>
      <c r="C1342" s="44" t="s">
        <v>617</v>
      </c>
      <c r="D1342" s="44" t="n">
        <v>5100011</v>
      </c>
      <c r="E1342" s="44" t="s">
        <v>166</v>
      </c>
      <c r="F1342" s="44" t="s">
        <v>1661</v>
      </c>
      <c r="G1342" s="42" t="n">
        <v>59640363.57</v>
      </c>
      <c r="H1342" s="42"/>
      <c r="I1342" s="44" t="s">
        <v>432</v>
      </c>
      <c r="J1342" s="11" t="n">
        <f aca="false">IF(D1342="","",N(G1342)-N(H1342))</f>
        <v>59640363.57</v>
      </c>
      <c r="K1342" s="34" t="str">
        <f aca="false">IF(D1342="","",IFERROR(INDEX(I_COA!$C$6:$C$265,MATCH(D1342,I_COA!$A$6:$A$265,0)),"AKUN BARU"))</f>
        <v>LabaRugi</v>
      </c>
      <c r="L1342" s="34" t="str">
        <f aca="false">IF(K1342="LabaRugi",INDEX(I_COA!$D$6:$D$265,MATCH(D1342,I_COA!$A$6:$A$265,0)),"")</f>
        <v>COGS - Trading</v>
      </c>
      <c r="M1342" s="34" t="str">
        <f aca="false">IF(K1342="Neraca",INDEX(I_COA!$E$6:$E$265,MATCH(D1342,I_COA!$A$6:$A$265,0)),"")</f>
        <v/>
      </c>
      <c r="N1342" s="34" t="str">
        <f aca="false">IF(D1342="","",IFERROR(INDEX(I_COA!$G$6:$G$265,MATCH(D1342,I_COA!$A$6:$A$265,0)),"N"))</f>
        <v>N</v>
      </c>
      <c r="O1342" s="11" t="n">
        <f aca="false">IF(N1342="N",ABS(J1342),"")</f>
        <v>59640363.57</v>
      </c>
      <c r="P1342" s="18" t="str">
        <f aca="false">IF(N1342="N",B1342&amp;"|"&amp;ROUND(O1342,0),"")</f>
        <v>KGR26/0292|59640364</v>
      </c>
      <c r="Q1342" s="18" t="str">
        <f aca="false">IF(N1342&lt;&gt;"Y","",IFERROR(INDEX($D$6:$D$4005,MATCH(B1342&amp;"|"&amp;ROUND(_xlfn.MAXIFS($O$6:$O$4005,$B$6:$B$4005,B1342,$N$6:$N$4005,"N"),0),$P$6:$P$4005,0)),"(tanpa lawan)"))</f>
        <v/>
      </c>
      <c r="R1342" s="44"/>
      <c r="S1342" s="9" t="str">
        <f aca="false">IF(N1342&lt;&gt;"Y","",IF(R1342&lt;&gt;"",R1342,IF(Q1342="(tanpa lawan)","Transfer antar rekening",IFERROR(INDEX(I_COA!$F$6:$F$265,MATCH(Q1342,I_COA!$A$6:$A$265,0)),"?"))))</f>
        <v/>
      </c>
    </row>
    <row r="1343" customFormat="false" ht="15" hidden="false" customHeight="false" outlineLevel="0" collapsed="false">
      <c r="A1343" s="37" t="n">
        <v>46253</v>
      </c>
      <c r="B1343" s="44" t="s">
        <v>1660</v>
      </c>
      <c r="C1343" s="44" t="s">
        <v>617</v>
      </c>
      <c r="D1343" s="44" t="n">
        <v>1104002</v>
      </c>
      <c r="E1343" s="44" t="s">
        <v>601</v>
      </c>
      <c r="F1343" s="44" t="s">
        <v>1661</v>
      </c>
      <c r="G1343" s="42"/>
      <c r="H1343" s="42" t="n">
        <v>88126859.45</v>
      </c>
      <c r="I1343" s="44" t="s">
        <v>432</v>
      </c>
      <c r="J1343" s="11" t="n">
        <f aca="false">IF(D1343="","",N(G1343)-N(H1343))</f>
        <v>-88126859.45</v>
      </c>
      <c r="K1343" s="34" t="str">
        <f aca="false">IF(D1343="","",IFERROR(INDEX(I_COA!$C$6:$C$265,MATCH(D1343,I_COA!$A$6:$A$265,0)),"AKUN BARU"))</f>
        <v>Neraca</v>
      </c>
      <c r="L1343" s="34" t="str">
        <f aca="false">IF(K1343="LabaRugi",INDEX(I_COA!$D$6:$D$265,MATCH(D1343,I_COA!$A$6:$A$265,0)),"")</f>
        <v/>
      </c>
      <c r="M1343" s="34" t="str">
        <f aca="false">IF(K1343="Neraca",INDEX(I_COA!$E$6:$E$265,MATCH(D1343,I_COA!$A$6:$A$265,0)),"")</f>
        <v>Inventory - Product</v>
      </c>
      <c r="N1343" s="34" t="str">
        <f aca="false">IF(D1343="","",IFERROR(INDEX(I_COA!$G$6:$G$265,MATCH(D1343,I_COA!$A$6:$A$265,0)),"N"))</f>
        <v>N</v>
      </c>
      <c r="O1343" s="11" t="n">
        <f aca="false">IF(N1343="N",ABS(J1343),"")</f>
        <v>88126859.45</v>
      </c>
      <c r="P1343" s="18" t="str">
        <f aca="false">IF(N1343="N",B1343&amp;"|"&amp;ROUND(O1343,0),"")</f>
        <v>KGR26/0292|88126859</v>
      </c>
      <c r="Q1343" s="18" t="str">
        <f aca="false">IF(N1343&lt;&gt;"Y","",IFERROR(INDEX($D$6:$D$4005,MATCH(B1343&amp;"|"&amp;ROUND(_xlfn.MAXIFS($O$6:$O$4005,$B$6:$B$4005,B1343,$N$6:$N$4005,"N"),0),$P$6:$P$4005,0)),"(tanpa lawan)"))</f>
        <v/>
      </c>
      <c r="R1343" s="44"/>
      <c r="S1343" s="9" t="str">
        <f aca="false">IF(N1343&lt;&gt;"Y","",IF(R1343&lt;&gt;"",R1343,IF(Q1343="(tanpa lawan)","Transfer antar rekening",IFERROR(INDEX(I_COA!$F$6:$F$265,MATCH(Q1343,I_COA!$A$6:$A$265,0)),"?"))))</f>
        <v/>
      </c>
    </row>
    <row r="1344" customFormat="false" ht="15" hidden="false" customHeight="false" outlineLevel="0" collapsed="false">
      <c r="A1344" s="37" t="n">
        <v>46253</v>
      </c>
      <c r="B1344" s="44" t="s">
        <v>1660</v>
      </c>
      <c r="C1344" s="44" t="s">
        <v>617</v>
      </c>
      <c r="D1344" s="44" t="n">
        <v>4101006</v>
      </c>
      <c r="E1344" s="44" t="s">
        <v>626</v>
      </c>
      <c r="F1344" s="44" t="s">
        <v>1661</v>
      </c>
      <c r="G1344" s="42"/>
      <c r="H1344" s="42" t="n">
        <v>32163200</v>
      </c>
      <c r="I1344" s="44" t="s">
        <v>432</v>
      </c>
      <c r="J1344" s="11" t="n">
        <f aca="false">IF(D1344="","",N(G1344)-N(H1344))</f>
        <v>-32163200</v>
      </c>
      <c r="K1344" s="34" t="str">
        <f aca="false">IF(D1344="","",IFERROR(INDEX(I_COA!$C$6:$C$265,MATCH(D1344,I_COA!$A$6:$A$265,0)),"AKUN BARU"))</f>
        <v>LabaRugi</v>
      </c>
      <c r="L1344" s="34" t="str">
        <f aca="false">IF(K1344="LabaRugi",INDEX(I_COA!$D$6:$D$265,MATCH(D1344,I_COA!$A$6:$A$265,0)),"")</f>
        <v>Revenue - LB Main Product</v>
      </c>
      <c r="M1344" s="34" t="str">
        <f aca="false">IF(K1344="Neraca",INDEX(I_COA!$E$6:$E$265,MATCH(D1344,I_COA!$A$6:$A$265,0)),"")</f>
        <v/>
      </c>
      <c r="N1344" s="34" t="str">
        <f aca="false">IF(D1344="","",IFERROR(INDEX(I_COA!$G$6:$G$265,MATCH(D1344,I_COA!$A$6:$A$265,0)),"N"))</f>
        <v>N</v>
      </c>
      <c r="O1344" s="11" t="n">
        <f aca="false">IF(N1344="N",ABS(J1344),"")</f>
        <v>32163200</v>
      </c>
      <c r="P1344" s="18" t="str">
        <f aca="false">IF(N1344="N",B1344&amp;"|"&amp;ROUND(O1344,0),"")</f>
        <v>KGR26/0292|32163200</v>
      </c>
      <c r="Q1344" s="18" t="str">
        <f aca="false">IF(N1344&lt;&gt;"Y","",IFERROR(INDEX($D$6:$D$4005,MATCH(B1344&amp;"|"&amp;ROUND(_xlfn.MAXIFS($O$6:$O$4005,$B$6:$B$4005,B1344,$N$6:$N$4005,"N"),0),$P$6:$P$4005,0)),"(tanpa lawan)"))</f>
        <v/>
      </c>
      <c r="R1344" s="44"/>
      <c r="S1344" s="9" t="str">
        <f aca="false">IF(N1344&lt;&gt;"Y","",IF(R1344&lt;&gt;"",R1344,IF(Q1344="(tanpa lawan)","Transfer antar rekening",IFERROR(INDEX(I_COA!$F$6:$F$265,MATCH(Q1344,I_COA!$A$6:$A$265,0)),"?"))))</f>
        <v/>
      </c>
    </row>
    <row r="1345" customFormat="false" ht="15" hidden="false" customHeight="false" outlineLevel="0" collapsed="false">
      <c r="A1345" s="37" t="n">
        <v>46253</v>
      </c>
      <c r="B1345" s="44" t="s">
        <v>1660</v>
      </c>
      <c r="C1345" s="44" t="s">
        <v>617</v>
      </c>
      <c r="D1345" s="44" t="n">
        <v>5100004</v>
      </c>
      <c r="E1345" s="44" t="s">
        <v>627</v>
      </c>
      <c r="F1345" s="44" t="s">
        <v>1661</v>
      </c>
      <c r="G1345" s="42" t="n">
        <v>28486495.88</v>
      </c>
      <c r="H1345" s="42"/>
      <c r="I1345" s="44" t="s">
        <v>432</v>
      </c>
      <c r="J1345" s="11" t="n">
        <f aca="false">IF(D1345="","",N(G1345)-N(H1345))</f>
        <v>28486495.88</v>
      </c>
      <c r="K1345" s="34" t="str">
        <f aca="false">IF(D1345="","",IFERROR(INDEX(I_COA!$C$6:$C$265,MATCH(D1345,I_COA!$A$6:$A$265,0)),"AKUN BARU"))</f>
        <v>LabaRugi</v>
      </c>
      <c r="L1345" s="34" t="str">
        <f aca="false">IF(K1345="LabaRugi",INDEX(I_COA!$D$6:$D$265,MATCH(D1345,I_COA!$A$6:$A$265,0)),"")</f>
        <v>COGS - Live Bird</v>
      </c>
      <c r="M1345" s="34" t="str">
        <f aca="false">IF(K1345="Neraca",INDEX(I_COA!$E$6:$E$265,MATCH(D1345,I_COA!$A$6:$A$265,0)),"")</f>
        <v/>
      </c>
      <c r="N1345" s="34" t="str">
        <f aca="false">IF(D1345="","",IFERROR(INDEX(I_COA!$G$6:$G$265,MATCH(D1345,I_COA!$A$6:$A$265,0)),"N"))</f>
        <v>N</v>
      </c>
      <c r="O1345" s="11" t="n">
        <f aca="false">IF(N1345="N",ABS(J1345),"")</f>
        <v>28486495.88</v>
      </c>
      <c r="P1345" s="18" t="str">
        <f aca="false">IF(N1345="N",B1345&amp;"|"&amp;ROUND(O1345,0),"")</f>
        <v>KGR26/0292|28486496</v>
      </c>
      <c r="Q1345" s="18" t="str">
        <f aca="false">IF(N1345&lt;&gt;"Y","",IFERROR(INDEX($D$6:$D$4005,MATCH(B1345&amp;"|"&amp;ROUND(_xlfn.MAXIFS($O$6:$O$4005,$B$6:$B$4005,B1345,$N$6:$N$4005,"N"),0),$P$6:$P$4005,0)),"(tanpa lawan)"))</f>
        <v/>
      </c>
      <c r="R1345" s="44"/>
      <c r="S1345" s="9" t="str">
        <f aca="false">IF(N1345&lt;&gt;"Y","",IF(R1345&lt;&gt;"",R1345,IF(Q1345="(tanpa lawan)","Transfer antar rekening",IFERROR(INDEX(I_COA!$F$6:$F$265,MATCH(Q1345,I_COA!$A$6:$A$265,0)),"?"))))</f>
        <v/>
      </c>
    </row>
    <row r="1346" customFormat="false" ht="15" hidden="false" customHeight="false" outlineLevel="0" collapsed="false">
      <c r="A1346" s="37" t="n">
        <v>46253</v>
      </c>
      <c r="B1346" s="44" t="s">
        <v>1662</v>
      </c>
      <c r="C1346" s="44" t="s">
        <v>617</v>
      </c>
      <c r="D1346" s="44" t="n">
        <v>1103101</v>
      </c>
      <c r="E1346" s="44" t="s">
        <v>589</v>
      </c>
      <c r="F1346" s="44" t="s">
        <v>1663</v>
      </c>
      <c r="G1346" s="42" t="n">
        <v>25545000</v>
      </c>
      <c r="H1346" s="42"/>
      <c r="I1346" s="44" t="s">
        <v>432</v>
      </c>
      <c r="J1346" s="11" t="n">
        <f aca="false">IF(D1346="","",N(G1346)-N(H1346))</f>
        <v>25545000</v>
      </c>
      <c r="K1346" s="34" t="str">
        <f aca="false">IF(D1346="","",IFERROR(INDEX(I_COA!$C$6:$C$265,MATCH(D1346,I_COA!$A$6:$A$265,0)),"AKUN BARU"))</f>
        <v>Neraca</v>
      </c>
      <c r="L1346" s="34" t="str">
        <f aca="false">IF(K1346="LabaRugi",INDEX(I_COA!$D$6:$D$265,MATCH(D1346,I_COA!$A$6:$A$265,0)),"")</f>
        <v/>
      </c>
      <c r="M1346" s="34" t="str">
        <f aca="false">IF(K1346="Neraca",INDEX(I_COA!$E$6:$E$265,MATCH(D1346,I_COA!$A$6:$A$265,0)),"")</f>
        <v>Trade Receivables - Third Parties</v>
      </c>
      <c r="N1346" s="34" t="str">
        <f aca="false">IF(D1346="","",IFERROR(INDEX(I_COA!$G$6:$G$265,MATCH(D1346,I_COA!$A$6:$A$265,0)),"N"))</f>
        <v>N</v>
      </c>
      <c r="O1346" s="11" t="n">
        <f aca="false">IF(N1346="N",ABS(J1346),"")</f>
        <v>25545000</v>
      </c>
      <c r="P1346" s="18" t="str">
        <f aca="false">IF(N1346="N",B1346&amp;"|"&amp;ROUND(O1346,0),"")</f>
        <v>KGR26/0293|25545000</v>
      </c>
      <c r="Q1346" s="18" t="str">
        <f aca="false">IF(N1346&lt;&gt;"Y","",IFERROR(INDEX($D$6:$D$4005,MATCH(B1346&amp;"|"&amp;ROUND(_xlfn.MAXIFS($O$6:$O$4005,$B$6:$B$4005,B1346,$N$6:$N$4005,"N"),0),$P$6:$P$4005,0)),"(tanpa lawan)"))</f>
        <v/>
      </c>
      <c r="R1346" s="44"/>
      <c r="S1346" s="9" t="str">
        <f aca="false">IF(N1346&lt;&gt;"Y","",IF(R1346&lt;&gt;"",R1346,IF(Q1346="(tanpa lawan)","Transfer antar rekening",IFERROR(INDEX(I_COA!$F$6:$F$265,MATCH(Q1346,I_COA!$A$6:$A$265,0)),"?"))))</f>
        <v/>
      </c>
    </row>
    <row r="1347" customFormat="false" ht="15" hidden="false" customHeight="false" outlineLevel="0" collapsed="false">
      <c r="A1347" s="37" t="n">
        <v>46253</v>
      </c>
      <c r="B1347" s="44" t="s">
        <v>1662</v>
      </c>
      <c r="C1347" s="44" t="s">
        <v>617</v>
      </c>
      <c r="D1347" s="44" t="n">
        <v>4101012</v>
      </c>
      <c r="E1347" s="44" t="s">
        <v>619</v>
      </c>
      <c r="F1347" s="44" t="s">
        <v>1663</v>
      </c>
      <c r="G1347" s="42"/>
      <c r="H1347" s="42" t="n">
        <v>25545000</v>
      </c>
      <c r="I1347" s="44" t="s">
        <v>432</v>
      </c>
      <c r="J1347" s="11" t="n">
        <f aca="false">IF(D1347="","",N(G1347)-N(H1347))</f>
        <v>-25545000</v>
      </c>
      <c r="K1347" s="34" t="str">
        <f aca="false">IF(D1347="","",IFERROR(INDEX(I_COA!$C$6:$C$265,MATCH(D1347,I_COA!$A$6:$A$265,0)),"AKUN BARU"))</f>
        <v>LabaRugi</v>
      </c>
      <c r="L1347" s="34" t="str">
        <f aca="false">IF(K1347="LabaRugi",INDEX(I_COA!$D$6:$D$265,MATCH(D1347,I_COA!$A$6:$A$265,0)),"")</f>
        <v>Revenue - Trading</v>
      </c>
      <c r="M1347" s="34" t="str">
        <f aca="false">IF(K1347="Neraca",INDEX(I_COA!$E$6:$E$265,MATCH(D1347,I_COA!$A$6:$A$265,0)),"")</f>
        <v/>
      </c>
      <c r="N1347" s="34" t="str">
        <f aca="false">IF(D1347="","",IFERROR(INDEX(I_COA!$G$6:$G$265,MATCH(D1347,I_COA!$A$6:$A$265,0)),"N"))</f>
        <v>N</v>
      </c>
      <c r="O1347" s="11" t="n">
        <f aca="false">IF(N1347="N",ABS(J1347),"")</f>
        <v>25545000</v>
      </c>
      <c r="P1347" s="18" t="str">
        <f aca="false">IF(N1347="N",B1347&amp;"|"&amp;ROUND(O1347,0),"")</f>
        <v>KGR26/0293|25545000</v>
      </c>
      <c r="Q1347" s="18" t="str">
        <f aca="false">IF(N1347&lt;&gt;"Y","",IFERROR(INDEX($D$6:$D$4005,MATCH(B1347&amp;"|"&amp;ROUND(_xlfn.MAXIFS($O$6:$O$4005,$B$6:$B$4005,B1347,$N$6:$N$4005,"N"),0),$P$6:$P$4005,0)),"(tanpa lawan)"))</f>
        <v/>
      </c>
      <c r="R1347" s="44"/>
      <c r="S1347" s="9" t="str">
        <f aca="false">IF(N1347&lt;&gt;"Y","",IF(R1347&lt;&gt;"",R1347,IF(Q1347="(tanpa lawan)","Transfer antar rekening",IFERROR(INDEX(I_COA!$F$6:$F$265,MATCH(Q1347,I_COA!$A$6:$A$265,0)),"?"))))</f>
        <v/>
      </c>
    </row>
    <row r="1348" customFormat="false" ht="15" hidden="false" customHeight="false" outlineLevel="0" collapsed="false">
      <c r="A1348" s="37" t="n">
        <v>46253</v>
      </c>
      <c r="B1348" s="44" t="s">
        <v>1662</v>
      </c>
      <c r="C1348" s="44" t="s">
        <v>617</v>
      </c>
      <c r="D1348" s="44" t="n">
        <v>5100011</v>
      </c>
      <c r="E1348" s="44" t="s">
        <v>166</v>
      </c>
      <c r="F1348" s="44" t="s">
        <v>1663</v>
      </c>
      <c r="G1348" s="42" t="n">
        <v>25564041.71</v>
      </c>
      <c r="H1348" s="42"/>
      <c r="I1348" s="44" t="s">
        <v>432</v>
      </c>
      <c r="J1348" s="11" t="n">
        <f aca="false">IF(D1348="","",N(G1348)-N(H1348))</f>
        <v>25564041.71</v>
      </c>
      <c r="K1348" s="34" t="str">
        <f aca="false">IF(D1348="","",IFERROR(INDEX(I_COA!$C$6:$C$265,MATCH(D1348,I_COA!$A$6:$A$265,0)),"AKUN BARU"))</f>
        <v>LabaRugi</v>
      </c>
      <c r="L1348" s="34" t="str">
        <f aca="false">IF(K1348="LabaRugi",INDEX(I_COA!$D$6:$D$265,MATCH(D1348,I_COA!$A$6:$A$265,0)),"")</f>
        <v>COGS - Trading</v>
      </c>
      <c r="M1348" s="34" t="str">
        <f aca="false">IF(K1348="Neraca",INDEX(I_COA!$E$6:$E$265,MATCH(D1348,I_COA!$A$6:$A$265,0)),"")</f>
        <v/>
      </c>
      <c r="N1348" s="34" t="str">
        <f aca="false">IF(D1348="","",IFERROR(INDEX(I_COA!$G$6:$G$265,MATCH(D1348,I_COA!$A$6:$A$265,0)),"N"))</f>
        <v>N</v>
      </c>
      <c r="O1348" s="11" t="n">
        <f aca="false">IF(N1348="N",ABS(J1348),"")</f>
        <v>25564041.71</v>
      </c>
      <c r="P1348" s="18" t="str">
        <f aca="false">IF(N1348="N",B1348&amp;"|"&amp;ROUND(O1348,0),"")</f>
        <v>KGR26/0293|25564042</v>
      </c>
      <c r="Q1348" s="18" t="str">
        <f aca="false">IF(N1348&lt;&gt;"Y","",IFERROR(INDEX($D$6:$D$4005,MATCH(B1348&amp;"|"&amp;ROUND(_xlfn.MAXIFS($O$6:$O$4005,$B$6:$B$4005,B1348,$N$6:$N$4005,"N"),0),$P$6:$P$4005,0)),"(tanpa lawan)"))</f>
        <v/>
      </c>
      <c r="R1348" s="44"/>
      <c r="S1348" s="9" t="str">
        <f aca="false">IF(N1348&lt;&gt;"Y","",IF(R1348&lt;&gt;"",R1348,IF(Q1348="(tanpa lawan)","Transfer antar rekening",IFERROR(INDEX(I_COA!$F$6:$F$265,MATCH(Q1348,I_COA!$A$6:$A$265,0)),"?"))))</f>
        <v/>
      </c>
    </row>
    <row r="1349" customFormat="false" ht="15" hidden="false" customHeight="false" outlineLevel="0" collapsed="false">
      <c r="A1349" s="37" t="n">
        <v>46253</v>
      </c>
      <c r="B1349" s="44" t="s">
        <v>1662</v>
      </c>
      <c r="C1349" s="44" t="s">
        <v>617</v>
      </c>
      <c r="D1349" s="44" t="n">
        <v>1104002</v>
      </c>
      <c r="E1349" s="44" t="s">
        <v>601</v>
      </c>
      <c r="F1349" s="44" t="s">
        <v>1663</v>
      </c>
      <c r="G1349" s="42"/>
      <c r="H1349" s="42" t="n">
        <v>25564041.71</v>
      </c>
      <c r="I1349" s="44" t="s">
        <v>432</v>
      </c>
      <c r="J1349" s="11" t="n">
        <f aca="false">IF(D1349="","",N(G1349)-N(H1349))</f>
        <v>-25564041.71</v>
      </c>
      <c r="K1349" s="34" t="str">
        <f aca="false">IF(D1349="","",IFERROR(INDEX(I_COA!$C$6:$C$265,MATCH(D1349,I_COA!$A$6:$A$265,0)),"AKUN BARU"))</f>
        <v>Neraca</v>
      </c>
      <c r="L1349" s="34" t="str">
        <f aca="false">IF(K1349="LabaRugi",INDEX(I_COA!$D$6:$D$265,MATCH(D1349,I_COA!$A$6:$A$265,0)),"")</f>
        <v/>
      </c>
      <c r="M1349" s="34" t="str">
        <f aca="false">IF(K1349="Neraca",INDEX(I_COA!$E$6:$E$265,MATCH(D1349,I_COA!$A$6:$A$265,0)),"")</f>
        <v>Inventory - Product</v>
      </c>
      <c r="N1349" s="34" t="str">
        <f aca="false">IF(D1349="","",IFERROR(INDEX(I_COA!$G$6:$G$265,MATCH(D1349,I_COA!$A$6:$A$265,0)),"N"))</f>
        <v>N</v>
      </c>
      <c r="O1349" s="11" t="n">
        <f aca="false">IF(N1349="N",ABS(J1349),"")</f>
        <v>25564041.71</v>
      </c>
      <c r="P1349" s="18" t="str">
        <f aca="false">IF(N1349="N",B1349&amp;"|"&amp;ROUND(O1349,0),"")</f>
        <v>KGR26/0293|25564042</v>
      </c>
      <c r="Q1349" s="18" t="str">
        <f aca="false">IF(N1349&lt;&gt;"Y","",IFERROR(INDEX($D$6:$D$4005,MATCH(B1349&amp;"|"&amp;ROUND(_xlfn.MAXIFS($O$6:$O$4005,$B$6:$B$4005,B1349,$N$6:$N$4005,"N"),0),$P$6:$P$4005,0)),"(tanpa lawan)"))</f>
        <v/>
      </c>
      <c r="R1349" s="44"/>
      <c r="S1349" s="9" t="str">
        <f aca="false">IF(N1349&lt;&gt;"Y","",IF(R1349&lt;&gt;"",R1349,IF(Q1349="(tanpa lawan)","Transfer antar rekening",IFERROR(INDEX(I_COA!$F$6:$F$265,MATCH(Q1349,I_COA!$A$6:$A$265,0)),"?"))))</f>
        <v/>
      </c>
    </row>
    <row r="1350" customFormat="false" ht="15" hidden="false" customHeight="false" outlineLevel="0" collapsed="false">
      <c r="A1350" s="37" t="n">
        <v>46253</v>
      </c>
      <c r="B1350" s="44" t="s">
        <v>1664</v>
      </c>
      <c r="C1350" s="44" t="s">
        <v>617</v>
      </c>
      <c r="D1350" s="44" t="n">
        <v>1103101</v>
      </c>
      <c r="E1350" s="44" t="s">
        <v>589</v>
      </c>
      <c r="F1350" s="44" t="s">
        <v>1665</v>
      </c>
      <c r="G1350" s="42" t="n">
        <v>21480000</v>
      </c>
      <c r="H1350" s="42"/>
      <c r="I1350" s="44" t="s">
        <v>432</v>
      </c>
      <c r="J1350" s="11" t="n">
        <f aca="false">IF(D1350="","",N(G1350)-N(H1350))</f>
        <v>21480000</v>
      </c>
      <c r="K1350" s="34" t="str">
        <f aca="false">IF(D1350="","",IFERROR(INDEX(I_COA!$C$6:$C$265,MATCH(D1350,I_COA!$A$6:$A$265,0)),"AKUN BARU"))</f>
        <v>Neraca</v>
      </c>
      <c r="L1350" s="34" t="str">
        <f aca="false">IF(K1350="LabaRugi",INDEX(I_COA!$D$6:$D$265,MATCH(D1350,I_COA!$A$6:$A$265,0)),"")</f>
        <v/>
      </c>
      <c r="M1350" s="34" t="str">
        <f aca="false">IF(K1350="Neraca",INDEX(I_COA!$E$6:$E$265,MATCH(D1350,I_COA!$A$6:$A$265,0)),"")</f>
        <v>Trade Receivables - Third Parties</v>
      </c>
      <c r="N1350" s="34" t="str">
        <f aca="false">IF(D1350="","",IFERROR(INDEX(I_COA!$G$6:$G$265,MATCH(D1350,I_COA!$A$6:$A$265,0)),"N"))</f>
        <v>N</v>
      </c>
      <c r="O1350" s="11" t="n">
        <f aca="false">IF(N1350="N",ABS(J1350),"")</f>
        <v>21480000</v>
      </c>
      <c r="P1350" s="18" t="str">
        <f aca="false">IF(N1350="N",B1350&amp;"|"&amp;ROUND(O1350,0),"")</f>
        <v>KGR26/0294|21480000</v>
      </c>
      <c r="Q1350" s="18" t="str">
        <f aca="false">IF(N1350&lt;&gt;"Y","",IFERROR(INDEX($D$6:$D$4005,MATCH(B1350&amp;"|"&amp;ROUND(_xlfn.MAXIFS($O$6:$O$4005,$B$6:$B$4005,B1350,$N$6:$N$4005,"N"),0),$P$6:$P$4005,0)),"(tanpa lawan)"))</f>
        <v/>
      </c>
      <c r="R1350" s="44"/>
      <c r="S1350" s="9" t="str">
        <f aca="false">IF(N1350&lt;&gt;"Y","",IF(R1350&lt;&gt;"",R1350,IF(Q1350="(tanpa lawan)","Transfer antar rekening",IFERROR(INDEX(I_COA!$F$6:$F$265,MATCH(Q1350,I_COA!$A$6:$A$265,0)),"?"))))</f>
        <v/>
      </c>
    </row>
    <row r="1351" customFormat="false" ht="15" hidden="false" customHeight="false" outlineLevel="0" collapsed="false">
      <c r="A1351" s="37" t="n">
        <v>46253</v>
      </c>
      <c r="B1351" s="44" t="s">
        <v>1664</v>
      </c>
      <c r="C1351" s="44" t="s">
        <v>617</v>
      </c>
      <c r="D1351" s="44" t="n">
        <v>4101012</v>
      </c>
      <c r="E1351" s="44" t="s">
        <v>619</v>
      </c>
      <c r="F1351" s="44" t="s">
        <v>1665</v>
      </c>
      <c r="G1351" s="42"/>
      <c r="H1351" s="42" t="n">
        <v>21480000</v>
      </c>
      <c r="I1351" s="44" t="s">
        <v>432</v>
      </c>
      <c r="J1351" s="11" t="n">
        <f aca="false">IF(D1351="","",N(G1351)-N(H1351))</f>
        <v>-21480000</v>
      </c>
      <c r="K1351" s="34" t="str">
        <f aca="false">IF(D1351="","",IFERROR(INDEX(I_COA!$C$6:$C$265,MATCH(D1351,I_COA!$A$6:$A$265,0)),"AKUN BARU"))</f>
        <v>LabaRugi</v>
      </c>
      <c r="L1351" s="34" t="str">
        <f aca="false">IF(K1351="LabaRugi",INDEX(I_COA!$D$6:$D$265,MATCH(D1351,I_COA!$A$6:$A$265,0)),"")</f>
        <v>Revenue - Trading</v>
      </c>
      <c r="M1351" s="34" t="str">
        <f aca="false">IF(K1351="Neraca",INDEX(I_COA!$E$6:$E$265,MATCH(D1351,I_COA!$A$6:$A$265,0)),"")</f>
        <v/>
      </c>
      <c r="N1351" s="34" t="str">
        <f aca="false">IF(D1351="","",IFERROR(INDEX(I_COA!$G$6:$G$265,MATCH(D1351,I_COA!$A$6:$A$265,0)),"N"))</f>
        <v>N</v>
      </c>
      <c r="O1351" s="11" t="n">
        <f aca="false">IF(N1351="N",ABS(J1351),"")</f>
        <v>21480000</v>
      </c>
      <c r="P1351" s="18" t="str">
        <f aca="false">IF(N1351="N",B1351&amp;"|"&amp;ROUND(O1351,0),"")</f>
        <v>KGR26/0294|21480000</v>
      </c>
      <c r="Q1351" s="18" t="str">
        <f aca="false">IF(N1351&lt;&gt;"Y","",IFERROR(INDEX($D$6:$D$4005,MATCH(B1351&amp;"|"&amp;ROUND(_xlfn.MAXIFS($O$6:$O$4005,$B$6:$B$4005,B1351,$N$6:$N$4005,"N"),0),$P$6:$P$4005,0)),"(tanpa lawan)"))</f>
        <v/>
      </c>
      <c r="R1351" s="44"/>
      <c r="S1351" s="9" t="str">
        <f aca="false">IF(N1351&lt;&gt;"Y","",IF(R1351&lt;&gt;"",R1351,IF(Q1351="(tanpa lawan)","Transfer antar rekening",IFERROR(INDEX(I_COA!$F$6:$F$265,MATCH(Q1351,I_COA!$A$6:$A$265,0)),"?"))))</f>
        <v/>
      </c>
    </row>
    <row r="1352" customFormat="false" ht="15" hidden="false" customHeight="false" outlineLevel="0" collapsed="false">
      <c r="A1352" s="37" t="n">
        <v>46253</v>
      </c>
      <c r="B1352" s="44" t="s">
        <v>1664</v>
      </c>
      <c r="C1352" s="44" t="s">
        <v>617</v>
      </c>
      <c r="D1352" s="44" t="n">
        <v>5100011</v>
      </c>
      <c r="E1352" s="44" t="s">
        <v>166</v>
      </c>
      <c r="F1352" s="44" t="s">
        <v>1665</v>
      </c>
      <c r="G1352" s="42" t="n">
        <v>21496011.58</v>
      </c>
      <c r="H1352" s="42"/>
      <c r="I1352" s="44" t="s">
        <v>432</v>
      </c>
      <c r="J1352" s="11" t="n">
        <f aca="false">IF(D1352="","",N(G1352)-N(H1352))</f>
        <v>21496011.58</v>
      </c>
      <c r="K1352" s="34" t="str">
        <f aca="false">IF(D1352="","",IFERROR(INDEX(I_COA!$C$6:$C$265,MATCH(D1352,I_COA!$A$6:$A$265,0)),"AKUN BARU"))</f>
        <v>LabaRugi</v>
      </c>
      <c r="L1352" s="34" t="str">
        <f aca="false">IF(K1352="LabaRugi",INDEX(I_COA!$D$6:$D$265,MATCH(D1352,I_COA!$A$6:$A$265,0)),"")</f>
        <v>COGS - Trading</v>
      </c>
      <c r="M1352" s="34" t="str">
        <f aca="false">IF(K1352="Neraca",INDEX(I_COA!$E$6:$E$265,MATCH(D1352,I_COA!$A$6:$A$265,0)),"")</f>
        <v/>
      </c>
      <c r="N1352" s="34" t="str">
        <f aca="false">IF(D1352="","",IFERROR(INDEX(I_COA!$G$6:$G$265,MATCH(D1352,I_COA!$A$6:$A$265,0)),"N"))</f>
        <v>N</v>
      </c>
      <c r="O1352" s="11" t="n">
        <f aca="false">IF(N1352="N",ABS(J1352),"")</f>
        <v>21496011.58</v>
      </c>
      <c r="P1352" s="18" t="str">
        <f aca="false">IF(N1352="N",B1352&amp;"|"&amp;ROUND(O1352,0),"")</f>
        <v>KGR26/0294|21496012</v>
      </c>
      <c r="Q1352" s="18" t="str">
        <f aca="false">IF(N1352&lt;&gt;"Y","",IFERROR(INDEX($D$6:$D$4005,MATCH(B1352&amp;"|"&amp;ROUND(_xlfn.MAXIFS($O$6:$O$4005,$B$6:$B$4005,B1352,$N$6:$N$4005,"N"),0),$P$6:$P$4005,0)),"(tanpa lawan)"))</f>
        <v/>
      </c>
      <c r="R1352" s="44"/>
      <c r="S1352" s="9" t="str">
        <f aca="false">IF(N1352&lt;&gt;"Y","",IF(R1352&lt;&gt;"",R1352,IF(Q1352="(tanpa lawan)","Transfer antar rekening",IFERROR(INDEX(I_COA!$F$6:$F$265,MATCH(Q1352,I_COA!$A$6:$A$265,0)),"?"))))</f>
        <v/>
      </c>
    </row>
    <row r="1353" customFormat="false" ht="15" hidden="false" customHeight="false" outlineLevel="0" collapsed="false">
      <c r="A1353" s="37" t="n">
        <v>46253</v>
      </c>
      <c r="B1353" s="44" t="s">
        <v>1664</v>
      </c>
      <c r="C1353" s="44" t="s">
        <v>617</v>
      </c>
      <c r="D1353" s="44" t="n">
        <v>1104002</v>
      </c>
      <c r="E1353" s="44" t="s">
        <v>601</v>
      </c>
      <c r="F1353" s="44" t="s">
        <v>1665</v>
      </c>
      <c r="G1353" s="42"/>
      <c r="H1353" s="42" t="n">
        <v>21496011.58</v>
      </c>
      <c r="I1353" s="44" t="s">
        <v>432</v>
      </c>
      <c r="J1353" s="11" t="n">
        <f aca="false">IF(D1353="","",N(G1353)-N(H1353))</f>
        <v>-21496011.58</v>
      </c>
      <c r="K1353" s="34" t="str">
        <f aca="false">IF(D1353="","",IFERROR(INDEX(I_COA!$C$6:$C$265,MATCH(D1353,I_COA!$A$6:$A$265,0)),"AKUN BARU"))</f>
        <v>Neraca</v>
      </c>
      <c r="L1353" s="34" t="str">
        <f aca="false">IF(K1353="LabaRugi",INDEX(I_COA!$D$6:$D$265,MATCH(D1353,I_COA!$A$6:$A$265,0)),"")</f>
        <v/>
      </c>
      <c r="M1353" s="34" t="str">
        <f aca="false">IF(K1353="Neraca",INDEX(I_COA!$E$6:$E$265,MATCH(D1353,I_COA!$A$6:$A$265,0)),"")</f>
        <v>Inventory - Product</v>
      </c>
      <c r="N1353" s="34" t="str">
        <f aca="false">IF(D1353="","",IFERROR(INDEX(I_COA!$G$6:$G$265,MATCH(D1353,I_COA!$A$6:$A$265,0)),"N"))</f>
        <v>N</v>
      </c>
      <c r="O1353" s="11" t="n">
        <f aca="false">IF(N1353="N",ABS(J1353),"")</f>
        <v>21496011.58</v>
      </c>
      <c r="P1353" s="18" t="str">
        <f aca="false">IF(N1353="N",B1353&amp;"|"&amp;ROUND(O1353,0),"")</f>
        <v>KGR26/0294|21496012</v>
      </c>
      <c r="Q1353" s="18" t="str">
        <f aca="false">IF(N1353&lt;&gt;"Y","",IFERROR(INDEX($D$6:$D$4005,MATCH(B1353&amp;"|"&amp;ROUND(_xlfn.MAXIFS($O$6:$O$4005,$B$6:$B$4005,B1353,$N$6:$N$4005,"N"),0),$P$6:$P$4005,0)),"(tanpa lawan)"))</f>
        <v/>
      </c>
      <c r="R1353" s="44"/>
      <c r="S1353" s="9" t="str">
        <f aca="false">IF(N1353&lt;&gt;"Y","",IF(R1353&lt;&gt;"",R1353,IF(Q1353="(tanpa lawan)","Transfer antar rekening",IFERROR(INDEX(I_COA!$F$6:$F$265,MATCH(Q1353,I_COA!$A$6:$A$265,0)),"?"))))</f>
        <v/>
      </c>
    </row>
    <row r="1354" customFormat="false" ht="15" hidden="false" customHeight="false" outlineLevel="0" collapsed="false">
      <c r="A1354" s="37" t="n">
        <v>46253</v>
      </c>
      <c r="B1354" s="44" t="s">
        <v>1666</v>
      </c>
      <c r="C1354" s="44" t="s">
        <v>707</v>
      </c>
      <c r="D1354" s="44" t="n">
        <v>5100007</v>
      </c>
      <c r="E1354" s="44" t="s">
        <v>708</v>
      </c>
      <c r="F1354" s="44" t="s">
        <v>1667</v>
      </c>
      <c r="G1354" s="42" t="n">
        <v>16000000</v>
      </c>
      <c r="H1354" s="42"/>
      <c r="I1354" s="44" t="s">
        <v>681</v>
      </c>
      <c r="J1354" s="11" t="n">
        <f aca="false">IF(D1354="","",N(G1354)-N(H1354))</f>
        <v>16000000</v>
      </c>
      <c r="K1354" s="34" t="str">
        <f aca="false">IF(D1354="","",IFERROR(INDEX(I_COA!$C$6:$C$265,MATCH(D1354,I_COA!$A$6:$A$265,0)),"AKUN BARU"))</f>
        <v>LabaRugi</v>
      </c>
      <c r="L1354" s="34" t="str">
        <f aca="false">IF(K1354="LabaRugi",INDEX(I_COA!$D$6:$D$265,MATCH(D1354,I_COA!$A$6:$A$265,0)),"")</f>
        <v>Other COGS - Expedition</v>
      </c>
      <c r="M1354" s="34" t="str">
        <f aca="false">IF(K1354="Neraca",INDEX(I_COA!$E$6:$E$265,MATCH(D1354,I_COA!$A$6:$A$265,0)),"")</f>
        <v/>
      </c>
      <c r="N1354" s="34" t="str">
        <f aca="false">IF(D1354="","",IFERROR(INDEX(I_COA!$G$6:$G$265,MATCH(D1354,I_COA!$A$6:$A$265,0)),"N"))</f>
        <v>N</v>
      </c>
      <c r="O1354" s="11" t="n">
        <f aca="false">IF(N1354="N",ABS(J1354),"")</f>
        <v>16000000</v>
      </c>
      <c r="P1354" s="18" t="str">
        <f aca="false">IF(N1354="N",B1354&amp;"|"&amp;ROUND(O1354,0),"")</f>
        <v>PI26080039|16000000</v>
      </c>
      <c r="Q1354" s="18" t="str">
        <f aca="false">IF(N1354&lt;&gt;"Y","",IFERROR(INDEX($D$6:$D$4005,MATCH(B1354&amp;"|"&amp;ROUND(_xlfn.MAXIFS($O$6:$O$4005,$B$6:$B$4005,B1354,$N$6:$N$4005,"N"),0),$P$6:$P$4005,0)),"(tanpa lawan)"))</f>
        <v/>
      </c>
      <c r="R1354" s="44"/>
      <c r="S1354" s="9" t="str">
        <f aca="false">IF(N1354&lt;&gt;"Y","",IF(R1354&lt;&gt;"",R1354,IF(Q1354="(tanpa lawan)","Transfer antar rekening",IFERROR(INDEX(I_COA!$F$6:$F$265,MATCH(Q1354,I_COA!$A$6:$A$265,0)),"?"))))</f>
        <v/>
      </c>
    </row>
    <row r="1355" customFormat="false" ht="15" hidden="false" customHeight="false" outlineLevel="0" collapsed="false">
      <c r="A1355" s="37" t="n">
        <v>46253</v>
      </c>
      <c r="B1355" s="44" t="s">
        <v>1666</v>
      </c>
      <c r="C1355" s="44" t="s">
        <v>707</v>
      </c>
      <c r="D1355" s="44" t="n">
        <v>2102002</v>
      </c>
      <c r="E1355" s="44" t="s">
        <v>633</v>
      </c>
      <c r="F1355" s="44" t="s">
        <v>1668</v>
      </c>
      <c r="G1355" s="42"/>
      <c r="H1355" s="42" t="n">
        <v>400000</v>
      </c>
      <c r="I1355" s="44" t="s">
        <v>681</v>
      </c>
      <c r="J1355" s="11" t="n">
        <f aca="false">IF(D1355="","",N(G1355)-N(H1355))</f>
        <v>-400000</v>
      </c>
      <c r="K1355" s="34" t="str">
        <f aca="false">IF(D1355="","",IFERROR(INDEX(I_COA!$C$6:$C$265,MATCH(D1355,I_COA!$A$6:$A$265,0)),"AKUN BARU"))</f>
        <v>Neraca</v>
      </c>
      <c r="L1355" s="34" t="str">
        <f aca="false">IF(K1355="LabaRugi",INDEX(I_COA!$D$6:$D$265,MATCH(D1355,I_COA!$A$6:$A$265,0)),"")</f>
        <v/>
      </c>
      <c r="M1355" s="34" t="str">
        <f aca="false">IF(K1355="Neraca",INDEX(I_COA!$E$6:$E$265,MATCH(D1355,I_COA!$A$6:$A$265,0)),"")</f>
        <v>Taxes Payable</v>
      </c>
      <c r="N1355" s="34" t="str">
        <f aca="false">IF(D1355="","",IFERROR(INDEX(I_COA!$G$6:$G$265,MATCH(D1355,I_COA!$A$6:$A$265,0)),"N"))</f>
        <v>N</v>
      </c>
      <c r="O1355" s="11" t="n">
        <f aca="false">IF(N1355="N",ABS(J1355),"")</f>
        <v>400000</v>
      </c>
      <c r="P1355" s="18" t="str">
        <f aca="false">IF(N1355="N",B1355&amp;"|"&amp;ROUND(O1355,0),"")</f>
        <v>PI26080039|400000</v>
      </c>
      <c r="Q1355" s="18" t="str">
        <f aca="false">IF(N1355&lt;&gt;"Y","",IFERROR(INDEX($D$6:$D$4005,MATCH(B1355&amp;"|"&amp;ROUND(_xlfn.MAXIFS($O$6:$O$4005,$B$6:$B$4005,B1355,$N$6:$N$4005,"N"),0),$P$6:$P$4005,0)),"(tanpa lawan)"))</f>
        <v/>
      </c>
      <c r="R1355" s="44"/>
      <c r="S1355" s="9" t="str">
        <f aca="false">IF(N1355&lt;&gt;"Y","",IF(R1355&lt;&gt;"",R1355,IF(Q1355="(tanpa lawan)","Transfer antar rekening",IFERROR(INDEX(I_COA!$F$6:$F$265,MATCH(Q1355,I_COA!$A$6:$A$265,0)),"?"))))</f>
        <v/>
      </c>
    </row>
    <row r="1356" customFormat="false" ht="15" hidden="false" customHeight="false" outlineLevel="0" collapsed="false">
      <c r="A1356" s="37" t="n">
        <v>46253</v>
      </c>
      <c r="B1356" s="44" t="s">
        <v>1666</v>
      </c>
      <c r="C1356" s="44" t="s">
        <v>707</v>
      </c>
      <c r="D1356" s="44" t="n">
        <v>2101003</v>
      </c>
      <c r="E1356" s="44" t="s">
        <v>679</v>
      </c>
      <c r="F1356" s="44" t="s">
        <v>1667</v>
      </c>
      <c r="G1356" s="42"/>
      <c r="H1356" s="42" t="n">
        <v>15600000</v>
      </c>
      <c r="I1356" s="44" t="s">
        <v>681</v>
      </c>
      <c r="J1356" s="11" t="n">
        <f aca="false">IF(D1356="","",N(G1356)-N(H1356))</f>
        <v>-15600000</v>
      </c>
      <c r="K1356" s="34" t="str">
        <f aca="false">IF(D1356="","",IFERROR(INDEX(I_COA!$C$6:$C$265,MATCH(D1356,I_COA!$A$6:$A$265,0)),"AKUN BARU"))</f>
        <v>Neraca</v>
      </c>
      <c r="L1356" s="34" t="str">
        <f aca="false">IF(K1356="LabaRugi",INDEX(I_COA!$D$6:$D$265,MATCH(D1356,I_COA!$A$6:$A$265,0)),"")</f>
        <v/>
      </c>
      <c r="M1356" s="34" t="str">
        <f aca="false">IF(K1356="Neraca",INDEX(I_COA!$E$6:$E$265,MATCH(D1356,I_COA!$A$6:$A$265,0)),"")</f>
        <v>Other Payable - Third Parties</v>
      </c>
      <c r="N1356" s="34" t="str">
        <f aca="false">IF(D1356="","",IFERROR(INDEX(I_COA!$G$6:$G$265,MATCH(D1356,I_COA!$A$6:$A$265,0)),"N"))</f>
        <v>N</v>
      </c>
      <c r="O1356" s="11" t="n">
        <f aca="false">IF(N1356="N",ABS(J1356),"")</f>
        <v>15600000</v>
      </c>
      <c r="P1356" s="18" t="str">
        <f aca="false">IF(N1356="N",B1356&amp;"|"&amp;ROUND(O1356,0),"")</f>
        <v>PI26080039|15600000</v>
      </c>
      <c r="Q1356" s="18" t="str">
        <f aca="false">IF(N1356&lt;&gt;"Y","",IFERROR(INDEX($D$6:$D$4005,MATCH(B1356&amp;"|"&amp;ROUND(_xlfn.MAXIFS($O$6:$O$4005,$B$6:$B$4005,B1356,$N$6:$N$4005,"N"),0),$P$6:$P$4005,0)),"(tanpa lawan)"))</f>
        <v/>
      </c>
      <c r="R1356" s="44"/>
      <c r="S1356" s="9" t="str">
        <f aca="false">IF(N1356&lt;&gt;"Y","",IF(R1356&lt;&gt;"",R1356,IF(Q1356="(tanpa lawan)","Transfer antar rekening",IFERROR(INDEX(I_COA!$F$6:$F$265,MATCH(Q1356,I_COA!$A$6:$A$265,0)),"?"))))</f>
        <v/>
      </c>
    </row>
    <row r="1357" customFormat="false" ht="15" hidden="false" customHeight="false" outlineLevel="0" collapsed="false">
      <c r="A1357" s="37" t="n">
        <v>46253</v>
      </c>
      <c r="B1357" s="44" t="s">
        <v>1669</v>
      </c>
      <c r="C1357" s="44" t="s">
        <v>707</v>
      </c>
      <c r="D1357" s="44" t="n">
        <v>5100006</v>
      </c>
      <c r="E1357" s="44" t="s">
        <v>950</v>
      </c>
      <c r="F1357" s="44" t="s">
        <v>1670</v>
      </c>
      <c r="G1357" s="42" t="n">
        <v>24929120</v>
      </c>
      <c r="H1357" s="42"/>
      <c r="I1357" s="44" t="s">
        <v>440</v>
      </c>
      <c r="J1357" s="11" t="n">
        <f aca="false">IF(D1357="","",N(G1357)-N(H1357))</f>
        <v>24929120</v>
      </c>
      <c r="K1357" s="34" t="str">
        <f aca="false">IF(D1357="","",IFERROR(INDEX(I_COA!$C$6:$C$265,MATCH(D1357,I_COA!$A$6:$A$265,0)),"AKUN BARU"))</f>
        <v>LabaRugi</v>
      </c>
      <c r="L1357" s="34" t="str">
        <f aca="false">IF(K1357="LabaRugi",INDEX(I_COA!$D$6:$D$265,MATCH(D1357,I_COA!$A$6:$A$265,0)),"")</f>
        <v>COGS - Live Bird</v>
      </c>
      <c r="M1357" s="34" t="str">
        <f aca="false">IF(K1357="Neraca",INDEX(I_COA!$E$6:$E$265,MATCH(D1357,I_COA!$A$6:$A$265,0)),"")</f>
        <v/>
      </c>
      <c r="N1357" s="34" t="str">
        <f aca="false">IF(D1357="","",IFERROR(INDEX(I_COA!$G$6:$G$265,MATCH(D1357,I_COA!$A$6:$A$265,0)),"N"))</f>
        <v>N</v>
      </c>
      <c r="O1357" s="11" t="n">
        <f aca="false">IF(N1357="N",ABS(J1357),"")</f>
        <v>24929120</v>
      </c>
      <c r="P1357" s="18" t="str">
        <f aca="false">IF(N1357="N",B1357&amp;"|"&amp;ROUND(O1357,0),"")</f>
        <v>PI26080041|24929120</v>
      </c>
      <c r="Q1357" s="18" t="str">
        <f aca="false">IF(N1357&lt;&gt;"Y","",IFERROR(INDEX($D$6:$D$4005,MATCH(B1357&amp;"|"&amp;ROUND(_xlfn.MAXIFS($O$6:$O$4005,$B$6:$B$4005,B1357,$N$6:$N$4005,"N"),0),$P$6:$P$4005,0)),"(tanpa lawan)"))</f>
        <v/>
      </c>
      <c r="R1357" s="44"/>
      <c r="S1357" s="9" t="str">
        <f aca="false">IF(N1357&lt;&gt;"Y","",IF(R1357&lt;&gt;"",R1357,IF(Q1357="(tanpa lawan)","Transfer antar rekening",IFERROR(INDEX(I_COA!$F$6:$F$265,MATCH(Q1357,I_COA!$A$6:$A$265,0)),"?"))))</f>
        <v/>
      </c>
    </row>
    <row r="1358" customFormat="false" ht="15" hidden="false" customHeight="false" outlineLevel="0" collapsed="false">
      <c r="A1358" s="37" t="n">
        <v>46253</v>
      </c>
      <c r="B1358" s="44" t="s">
        <v>1669</v>
      </c>
      <c r="C1358" s="44" t="s">
        <v>707</v>
      </c>
      <c r="D1358" s="44" t="n">
        <v>5100009</v>
      </c>
      <c r="E1358" s="44" t="s">
        <v>1003</v>
      </c>
      <c r="F1358" s="44" t="s">
        <v>1671</v>
      </c>
      <c r="G1358" s="42" t="n">
        <v>2491280</v>
      </c>
      <c r="H1358" s="42"/>
      <c r="I1358" s="44" t="s">
        <v>440</v>
      </c>
      <c r="J1358" s="11" t="n">
        <f aca="false">IF(D1358="","",N(G1358)-N(H1358))</f>
        <v>2491280</v>
      </c>
      <c r="K1358" s="34" t="str">
        <f aca="false">IF(D1358="","",IFERROR(INDEX(I_COA!$C$6:$C$265,MATCH(D1358,I_COA!$A$6:$A$265,0)),"AKUN BARU"))</f>
        <v>LabaRugi</v>
      </c>
      <c r="L1358" s="34" t="str">
        <f aca="false">IF(K1358="LabaRugi",INDEX(I_COA!$D$6:$D$265,MATCH(D1358,I_COA!$A$6:$A$265,0)),"")</f>
        <v>COGS - Blasting</v>
      </c>
      <c r="M1358" s="34" t="str">
        <f aca="false">IF(K1358="Neraca",INDEX(I_COA!$E$6:$E$265,MATCH(D1358,I_COA!$A$6:$A$265,0)),"")</f>
        <v/>
      </c>
      <c r="N1358" s="34" t="str">
        <f aca="false">IF(D1358="","",IFERROR(INDEX(I_COA!$G$6:$G$265,MATCH(D1358,I_COA!$A$6:$A$265,0)),"N"))</f>
        <v>N</v>
      </c>
      <c r="O1358" s="11" t="n">
        <f aca="false">IF(N1358="N",ABS(J1358),"")</f>
        <v>2491280</v>
      </c>
      <c r="P1358" s="18" t="str">
        <f aca="false">IF(N1358="N",B1358&amp;"|"&amp;ROUND(O1358,0),"")</f>
        <v>PI26080041|2491280</v>
      </c>
      <c r="Q1358" s="18" t="str">
        <f aca="false">IF(N1358&lt;&gt;"Y","",IFERROR(INDEX($D$6:$D$4005,MATCH(B1358&amp;"|"&amp;ROUND(_xlfn.MAXIFS($O$6:$O$4005,$B$6:$B$4005,B1358,$N$6:$N$4005,"N"),0),$P$6:$P$4005,0)),"(tanpa lawan)"))</f>
        <v/>
      </c>
      <c r="R1358" s="44"/>
      <c r="S1358" s="9" t="str">
        <f aca="false">IF(N1358&lt;&gt;"Y","",IF(R1358&lt;&gt;"",R1358,IF(Q1358="(tanpa lawan)","Transfer antar rekening",IFERROR(INDEX(I_COA!$F$6:$F$265,MATCH(Q1358,I_COA!$A$6:$A$265,0)),"?"))))</f>
        <v/>
      </c>
    </row>
    <row r="1359" customFormat="false" ht="15" hidden="false" customHeight="false" outlineLevel="0" collapsed="false">
      <c r="A1359" s="37" t="n">
        <v>46253</v>
      </c>
      <c r="B1359" s="44" t="s">
        <v>1669</v>
      </c>
      <c r="C1359" s="44" t="s">
        <v>707</v>
      </c>
      <c r="D1359" s="44" t="n">
        <v>2102003</v>
      </c>
      <c r="E1359" s="44" t="s">
        <v>722</v>
      </c>
      <c r="F1359" s="44" t="s">
        <v>1118</v>
      </c>
      <c r="G1359" s="42"/>
      <c r="H1359" s="42" t="n">
        <v>548408</v>
      </c>
      <c r="I1359" s="44" t="s">
        <v>440</v>
      </c>
      <c r="J1359" s="11" t="n">
        <f aca="false">IF(D1359="","",N(G1359)-N(H1359))</f>
        <v>-548408</v>
      </c>
      <c r="K1359" s="34" t="str">
        <f aca="false">IF(D1359="","",IFERROR(INDEX(I_COA!$C$6:$C$265,MATCH(D1359,I_COA!$A$6:$A$265,0)),"AKUN BARU"))</f>
        <v>Neraca</v>
      </c>
      <c r="L1359" s="34" t="str">
        <f aca="false">IF(K1359="LabaRugi",INDEX(I_COA!$D$6:$D$265,MATCH(D1359,I_COA!$A$6:$A$265,0)),"")</f>
        <v/>
      </c>
      <c r="M1359" s="34" t="str">
        <f aca="false">IF(K1359="Neraca",INDEX(I_COA!$E$6:$E$265,MATCH(D1359,I_COA!$A$6:$A$265,0)),"")</f>
        <v>Taxes Payable</v>
      </c>
      <c r="N1359" s="34" t="str">
        <f aca="false">IF(D1359="","",IFERROR(INDEX(I_COA!$G$6:$G$265,MATCH(D1359,I_COA!$A$6:$A$265,0)),"N"))</f>
        <v>N</v>
      </c>
      <c r="O1359" s="11" t="n">
        <f aca="false">IF(N1359="N",ABS(J1359),"")</f>
        <v>548408</v>
      </c>
      <c r="P1359" s="18" t="str">
        <f aca="false">IF(N1359="N",B1359&amp;"|"&amp;ROUND(O1359,0),"")</f>
        <v>PI26080041|548408</v>
      </c>
      <c r="Q1359" s="18" t="str">
        <f aca="false">IF(N1359&lt;&gt;"Y","",IFERROR(INDEX($D$6:$D$4005,MATCH(B1359&amp;"|"&amp;ROUND(_xlfn.MAXIFS($O$6:$O$4005,$B$6:$B$4005,B1359,$N$6:$N$4005,"N"),0),$P$6:$P$4005,0)),"(tanpa lawan)"))</f>
        <v/>
      </c>
      <c r="R1359" s="44"/>
      <c r="S1359" s="9" t="str">
        <f aca="false">IF(N1359&lt;&gt;"Y","",IF(R1359&lt;&gt;"",R1359,IF(Q1359="(tanpa lawan)","Transfer antar rekening",IFERROR(INDEX(I_COA!$F$6:$F$265,MATCH(Q1359,I_COA!$A$6:$A$265,0)),"?"))))</f>
        <v/>
      </c>
    </row>
    <row r="1360" customFormat="false" ht="15" hidden="false" customHeight="false" outlineLevel="0" collapsed="false">
      <c r="A1360" s="37" t="n">
        <v>46253</v>
      </c>
      <c r="B1360" s="44" t="s">
        <v>1669</v>
      </c>
      <c r="C1360" s="44" t="s">
        <v>707</v>
      </c>
      <c r="D1360" s="44" t="n">
        <v>1106001</v>
      </c>
      <c r="E1360" s="44" t="s">
        <v>720</v>
      </c>
      <c r="F1360" s="44" t="s">
        <v>721</v>
      </c>
      <c r="G1360" s="42" t="n">
        <v>3016244</v>
      </c>
      <c r="H1360" s="42"/>
      <c r="I1360" s="44" t="s">
        <v>440</v>
      </c>
      <c r="J1360" s="11" t="n">
        <f aca="false">IF(D1360="","",N(G1360)-N(H1360))</f>
        <v>3016244</v>
      </c>
      <c r="K1360" s="34" t="str">
        <f aca="false">IF(D1360="","",IFERROR(INDEX(I_COA!$C$6:$C$265,MATCH(D1360,I_COA!$A$6:$A$265,0)),"AKUN BARU"))</f>
        <v>Neraca</v>
      </c>
      <c r="L1360" s="34" t="str">
        <f aca="false">IF(K1360="LabaRugi",INDEX(I_COA!$D$6:$D$265,MATCH(D1360,I_COA!$A$6:$A$265,0)),"")</f>
        <v/>
      </c>
      <c r="M1360" s="34" t="str">
        <f aca="false">IF(K1360="Neraca",INDEX(I_COA!$E$6:$E$265,MATCH(D1360,I_COA!$A$6:$A$265,0)),"")</f>
        <v>Prepaid Tax</v>
      </c>
      <c r="N1360" s="34" t="str">
        <f aca="false">IF(D1360="","",IFERROR(INDEX(I_COA!$G$6:$G$265,MATCH(D1360,I_COA!$A$6:$A$265,0)),"N"))</f>
        <v>N</v>
      </c>
      <c r="O1360" s="11" t="n">
        <f aca="false">IF(N1360="N",ABS(J1360),"")</f>
        <v>3016244</v>
      </c>
      <c r="P1360" s="18" t="str">
        <f aca="false">IF(N1360="N",B1360&amp;"|"&amp;ROUND(O1360,0),"")</f>
        <v>PI26080041|3016244</v>
      </c>
      <c r="Q1360" s="18" t="str">
        <f aca="false">IF(N1360&lt;&gt;"Y","",IFERROR(INDEX($D$6:$D$4005,MATCH(B1360&amp;"|"&amp;ROUND(_xlfn.MAXIFS($O$6:$O$4005,$B$6:$B$4005,B1360,$N$6:$N$4005,"N"),0),$P$6:$P$4005,0)),"(tanpa lawan)"))</f>
        <v/>
      </c>
      <c r="R1360" s="44"/>
      <c r="S1360" s="9" t="str">
        <f aca="false">IF(N1360&lt;&gt;"Y","",IF(R1360&lt;&gt;"",R1360,IF(Q1360="(tanpa lawan)","Transfer antar rekening",IFERROR(INDEX(I_COA!$F$6:$F$265,MATCH(Q1360,I_COA!$A$6:$A$265,0)),"?"))))</f>
        <v/>
      </c>
    </row>
    <row r="1361" customFormat="false" ht="15" hidden="false" customHeight="false" outlineLevel="0" collapsed="false">
      <c r="A1361" s="37" t="n">
        <v>46253</v>
      </c>
      <c r="B1361" s="44" t="s">
        <v>1669</v>
      </c>
      <c r="C1361" s="44" t="s">
        <v>707</v>
      </c>
      <c r="D1361" s="44" t="n">
        <v>2101003</v>
      </c>
      <c r="E1361" s="44" t="s">
        <v>679</v>
      </c>
      <c r="F1361" s="44" t="s">
        <v>1672</v>
      </c>
      <c r="G1361" s="42"/>
      <c r="H1361" s="42" t="n">
        <v>29888236</v>
      </c>
      <c r="I1361" s="44" t="s">
        <v>440</v>
      </c>
      <c r="J1361" s="11" t="n">
        <f aca="false">IF(D1361="","",N(G1361)-N(H1361))</f>
        <v>-29888236</v>
      </c>
      <c r="K1361" s="34" t="str">
        <f aca="false">IF(D1361="","",IFERROR(INDEX(I_COA!$C$6:$C$265,MATCH(D1361,I_COA!$A$6:$A$265,0)),"AKUN BARU"))</f>
        <v>Neraca</v>
      </c>
      <c r="L1361" s="34" t="str">
        <f aca="false">IF(K1361="LabaRugi",INDEX(I_COA!$D$6:$D$265,MATCH(D1361,I_COA!$A$6:$A$265,0)),"")</f>
        <v/>
      </c>
      <c r="M1361" s="34" t="str">
        <f aca="false">IF(K1361="Neraca",INDEX(I_COA!$E$6:$E$265,MATCH(D1361,I_COA!$A$6:$A$265,0)),"")</f>
        <v>Other Payable - Third Parties</v>
      </c>
      <c r="N1361" s="34" t="str">
        <f aca="false">IF(D1361="","",IFERROR(INDEX(I_COA!$G$6:$G$265,MATCH(D1361,I_COA!$A$6:$A$265,0)),"N"))</f>
        <v>N</v>
      </c>
      <c r="O1361" s="11" t="n">
        <f aca="false">IF(N1361="N",ABS(J1361),"")</f>
        <v>29888236</v>
      </c>
      <c r="P1361" s="18" t="str">
        <f aca="false">IF(N1361="N",B1361&amp;"|"&amp;ROUND(O1361,0),"")</f>
        <v>PI26080041|29888236</v>
      </c>
      <c r="Q1361" s="18" t="str">
        <f aca="false">IF(N1361&lt;&gt;"Y","",IFERROR(INDEX($D$6:$D$4005,MATCH(B1361&amp;"|"&amp;ROUND(_xlfn.MAXIFS($O$6:$O$4005,$B$6:$B$4005,B1361,$N$6:$N$4005,"N"),0),$P$6:$P$4005,0)),"(tanpa lawan)"))</f>
        <v/>
      </c>
      <c r="R1361" s="44"/>
      <c r="S1361" s="9" t="str">
        <f aca="false">IF(N1361&lt;&gt;"Y","",IF(R1361&lt;&gt;"",R1361,IF(Q1361="(tanpa lawan)","Transfer antar rekening",IFERROR(INDEX(I_COA!$F$6:$F$265,MATCH(Q1361,I_COA!$A$6:$A$265,0)),"?"))))</f>
        <v/>
      </c>
    </row>
    <row r="1362" customFormat="false" ht="15" hidden="false" customHeight="false" outlineLevel="0" collapsed="false">
      <c r="A1362" s="37" t="n">
        <v>46253</v>
      </c>
      <c r="B1362" s="44" t="s">
        <v>1673</v>
      </c>
      <c r="C1362" s="44" t="s">
        <v>707</v>
      </c>
      <c r="D1362" s="44" t="n">
        <v>2103011</v>
      </c>
      <c r="E1362" s="44" t="s">
        <v>693</v>
      </c>
      <c r="F1362" s="44" t="s">
        <v>1637</v>
      </c>
      <c r="G1362" s="42" t="n">
        <v>461981209.67</v>
      </c>
      <c r="H1362" s="42"/>
      <c r="I1362" s="44" t="s">
        <v>597</v>
      </c>
      <c r="J1362" s="11" t="n">
        <f aca="false">IF(D1362="","",N(G1362)-N(H1362))</f>
        <v>461981209.67</v>
      </c>
      <c r="K1362" s="34" t="str">
        <f aca="false">IF(D1362="","",IFERROR(INDEX(I_COA!$C$6:$C$265,MATCH(D1362,I_COA!$A$6:$A$265,0)),"AKUN BARU"))</f>
        <v>Neraca</v>
      </c>
      <c r="L1362" s="34" t="str">
        <f aca="false">IF(K1362="LabaRugi",INDEX(I_COA!$D$6:$D$265,MATCH(D1362,I_COA!$A$6:$A$265,0)),"")</f>
        <v/>
      </c>
      <c r="M1362" s="34" t="str">
        <f aca="false">IF(K1362="Neraca",INDEX(I_COA!$E$6:$E$265,MATCH(D1362,I_COA!$A$6:$A$265,0)),"")</f>
        <v>Accrued Expenses - Third Parties</v>
      </c>
      <c r="N1362" s="34" t="str">
        <f aca="false">IF(D1362="","",IFERROR(INDEX(I_COA!$G$6:$G$265,MATCH(D1362,I_COA!$A$6:$A$265,0)),"N"))</f>
        <v>N</v>
      </c>
      <c r="O1362" s="11" t="n">
        <f aca="false">IF(N1362="N",ABS(J1362),"")</f>
        <v>461981209.67</v>
      </c>
      <c r="P1362" s="18" t="str">
        <f aca="false">IF(N1362="N",B1362&amp;"|"&amp;ROUND(O1362,0),"")</f>
        <v>PI26080042|461981210</v>
      </c>
      <c r="Q1362" s="18" t="str">
        <f aca="false">IF(N1362&lt;&gt;"Y","",IFERROR(INDEX($D$6:$D$4005,MATCH(B1362&amp;"|"&amp;ROUND(_xlfn.MAXIFS($O$6:$O$4005,$B$6:$B$4005,B1362,$N$6:$N$4005,"N"),0),$P$6:$P$4005,0)),"(tanpa lawan)"))</f>
        <v/>
      </c>
      <c r="R1362" s="44"/>
      <c r="S1362" s="9" t="str">
        <f aca="false">IF(N1362&lt;&gt;"Y","",IF(R1362&lt;&gt;"",R1362,IF(Q1362="(tanpa lawan)","Transfer antar rekening",IFERROR(INDEX(I_COA!$F$6:$F$265,MATCH(Q1362,I_COA!$A$6:$A$265,0)),"?"))))</f>
        <v/>
      </c>
    </row>
    <row r="1363" customFormat="false" ht="15" hidden="false" customHeight="false" outlineLevel="0" collapsed="false">
      <c r="A1363" s="37" t="n">
        <v>46253</v>
      </c>
      <c r="B1363" s="44" t="s">
        <v>1673</v>
      </c>
      <c r="C1363" s="44" t="s">
        <v>707</v>
      </c>
      <c r="D1363" s="44" t="n">
        <v>7100008</v>
      </c>
      <c r="E1363" s="44" t="s">
        <v>952</v>
      </c>
      <c r="F1363" s="44" t="s">
        <v>1637</v>
      </c>
      <c r="G1363" s="42" t="n">
        <v>0.33</v>
      </c>
      <c r="H1363" s="42"/>
      <c r="I1363" s="44" t="s">
        <v>597</v>
      </c>
      <c r="J1363" s="11" t="n">
        <f aca="false">IF(D1363="","",N(G1363)-N(H1363))</f>
        <v>0.33</v>
      </c>
      <c r="K1363" s="34" t="str">
        <f aca="false">IF(D1363="","",IFERROR(INDEX(I_COA!$C$6:$C$265,MATCH(D1363,I_COA!$A$6:$A$265,0)),"AKUN BARU"))</f>
        <v>LabaRugi</v>
      </c>
      <c r="L1363" s="34" t="str">
        <f aca="false">IF(K1363="LabaRugi",INDEX(I_COA!$D$6:$D$265,MATCH(D1363,I_COA!$A$6:$A$265,0)),"")</f>
        <v>Other Income</v>
      </c>
      <c r="M1363" s="34" t="str">
        <f aca="false">IF(K1363="Neraca",INDEX(I_COA!$E$6:$E$265,MATCH(D1363,I_COA!$A$6:$A$265,0)),"")</f>
        <v/>
      </c>
      <c r="N1363" s="34" t="str">
        <f aca="false">IF(D1363="","",IFERROR(INDEX(I_COA!$G$6:$G$265,MATCH(D1363,I_COA!$A$6:$A$265,0)),"N"))</f>
        <v>N</v>
      </c>
      <c r="O1363" s="11" t="n">
        <f aca="false">IF(N1363="N",ABS(J1363),"")</f>
        <v>0.33</v>
      </c>
      <c r="P1363" s="18" t="str">
        <f aca="false">IF(N1363="N",B1363&amp;"|"&amp;ROUND(O1363,0),"")</f>
        <v>PI26080042|0</v>
      </c>
      <c r="Q1363" s="18" t="str">
        <f aca="false">IF(N1363&lt;&gt;"Y","",IFERROR(INDEX($D$6:$D$4005,MATCH(B1363&amp;"|"&amp;ROUND(_xlfn.MAXIFS($O$6:$O$4005,$B$6:$B$4005,B1363,$N$6:$N$4005,"N"),0),$P$6:$P$4005,0)),"(tanpa lawan)"))</f>
        <v/>
      </c>
      <c r="R1363" s="44"/>
      <c r="S1363" s="9" t="str">
        <f aca="false">IF(N1363&lt;&gt;"Y","",IF(R1363&lt;&gt;"",R1363,IF(Q1363="(tanpa lawan)","Transfer antar rekening",IFERROR(INDEX(I_COA!$F$6:$F$265,MATCH(Q1363,I_COA!$A$6:$A$265,0)),"?"))))</f>
        <v/>
      </c>
    </row>
    <row r="1364" customFormat="false" ht="15" hidden="false" customHeight="false" outlineLevel="0" collapsed="false">
      <c r="A1364" s="37" t="n">
        <v>46253</v>
      </c>
      <c r="B1364" s="44" t="s">
        <v>1673</v>
      </c>
      <c r="C1364" s="44" t="s">
        <v>707</v>
      </c>
      <c r="D1364" s="44" t="n">
        <v>5100007</v>
      </c>
      <c r="E1364" s="44" t="s">
        <v>708</v>
      </c>
      <c r="F1364" s="44" t="s">
        <v>1667</v>
      </c>
      <c r="G1364" s="42"/>
      <c r="H1364" s="42" t="n">
        <v>25000000</v>
      </c>
      <c r="I1364" s="44" t="s">
        <v>597</v>
      </c>
      <c r="J1364" s="11" t="n">
        <f aca="false">IF(D1364="","",N(G1364)-N(H1364))</f>
        <v>-25000000</v>
      </c>
      <c r="K1364" s="34" t="str">
        <f aca="false">IF(D1364="","",IFERROR(INDEX(I_COA!$C$6:$C$265,MATCH(D1364,I_COA!$A$6:$A$265,0)),"AKUN BARU"))</f>
        <v>LabaRugi</v>
      </c>
      <c r="L1364" s="34" t="str">
        <f aca="false">IF(K1364="LabaRugi",INDEX(I_COA!$D$6:$D$265,MATCH(D1364,I_COA!$A$6:$A$265,0)),"")</f>
        <v>Other COGS - Expedition</v>
      </c>
      <c r="M1364" s="34" t="str">
        <f aca="false">IF(K1364="Neraca",INDEX(I_COA!$E$6:$E$265,MATCH(D1364,I_COA!$A$6:$A$265,0)),"")</f>
        <v/>
      </c>
      <c r="N1364" s="34" t="str">
        <f aca="false">IF(D1364="","",IFERROR(INDEX(I_COA!$G$6:$G$265,MATCH(D1364,I_COA!$A$6:$A$265,0)),"N"))</f>
        <v>N</v>
      </c>
      <c r="O1364" s="11" t="n">
        <f aca="false">IF(N1364="N",ABS(J1364),"")</f>
        <v>25000000</v>
      </c>
      <c r="P1364" s="18" t="str">
        <f aca="false">IF(N1364="N",B1364&amp;"|"&amp;ROUND(O1364,0),"")</f>
        <v>PI26080042|25000000</v>
      </c>
      <c r="Q1364" s="18" t="str">
        <f aca="false">IF(N1364&lt;&gt;"Y","",IFERROR(INDEX($D$6:$D$4005,MATCH(B1364&amp;"|"&amp;ROUND(_xlfn.MAXIFS($O$6:$O$4005,$B$6:$B$4005,B1364,$N$6:$N$4005,"N"),0),$P$6:$P$4005,0)),"(tanpa lawan)"))</f>
        <v/>
      </c>
      <c r="R1364" s="44"/>
      <c r="S1364" s="9" t="str">
        <f aca="false">IF(N1364&lt;&gt;"Y","",IF(R1364&lt;&gt;"",R1364,IF(Q1364="(tanpa lawan)","Transfer antar rekening",IFERROR(INDEX(I_COA!$F$6:$F$265,MATCH(Q1364,I_COA!$A$6:$A$265,0)),"?"))))</f>
        <v/>
      </c>
    </row>
    <row r="1365" customFormat="false" ht="15" hidden="false" customHeight="false" outlineLevel="0" collapsed="false">
      <c r="A1365" s="37" t="n">
        <v>46253</v>
      </c>
      <c r="B1365" s="44" t="s">
        <v>1673</v>
      </c>
      <c r="C1365" s="44" t="s">
        <v>707</v>
      </c>
      <c r="D1365" s="44" t="n">
        <v>5100006</v>
      </c>
      <c r="E1365" s="44" t="s">
        <v>950</v>
      </c>
      <c r="F1365" s="44" t="s">
        <v>1670</v>
      </c>
      <c r="G1365" s="42"/>
      <c r="H1365" s="42" t="n">
        <v>24929120</v>
      </c>
      <c r="I1365" s="44" t="s">
        <v>597</v>
      </c>
      <c r="J1365" s="11" t="n">
        <f aca="false">IF(D1365="","",N(G1365)-N(H1365))</f>
        <v>-24929120</v>
      </c>
      <c r="K1365" s="34" t="str">
        <f aca="false">IF(D1365="","",IFERROR(INDEX(I_COA!$C$6:$C$265,MATCH(D1365,I_COA!$A$6:$A$265,0)),"AKUN BARU"))</f>
        <v>LabaRugi</v>
      </c>
      <c r="L1365" s="34" t="str">
        <f aca="false">IF(K1365="LabaRugi",INDEX(I_COA!$D$6:$D$265,MATCH(D1365,I_COA!$A$6:$A$265,0)),"")</f>
        <v>COGS - Live Bird</v>
      </c>
      <c r="M1365" s="34" t="str">
        <f aca="false">IF(K1365="Neraca",INDEX(I_COA!$E$6:$E$265,MATCH(D1365,I_COA!$A$6:$A$265,0)),"")</f>
        <v/>
      </c>
      <c r="N1365" s="34" t="str">
        <f aca="false">IF(D1365="","",IFERROR(INDEX(I_COA!$G$6:$G$265,MATCH(D1365,I_COA!$A$6:$A$265,0)),"N"))</f>
        <v>N</v>
      </c>
      <c r="O1365" s="11" t="n">
        <f aca="false">IF(N1365="N",ABS(J1365),"")</f>
        <v>24929120</v>
      </c>
      <c r="P1365" s="18" t="str">
        <f aca="false">IF(N1365="N",B1365&amp;"|"&amp;ROUND(O1365,0),"")</f>
        <v>PI26080042|24929120</v>
      </c>
      <c r="Q1365" s="18" t="str">
        <f aca="false">IF(N1365&lt;&gt;"Y","",IFERROR(INDEX($D$6:$D$4005,MATCH(B1365&amp;"|"&amp;ROUND(_xlfn.MAXIFS($O$6:$O$4005,$B$6:$B$4005,B1365,$N$6:$N$4005,"N"),0),$P$6:$P$4005,0)),"(tanpa lawan)"))</f>
        <v/>
      </c>
      <c r="R1365" s="44"/>
      <c r="S1365" s="9" t="str">
        <f aca="false">IF(N1365&lt;&gt;"Y","",IF(R1365&lt;&gt;"",R1365,IF(Q1365="(tanpa lawan)","Transfer antar rekening",IFERROR(INDEX(I_COA!$F$6:$F$265,MATCH(Q1365,I_COA!$A$6:$A$265,0)),"?"))))</f>
        <v/>
      </c>
    </row>
    <row r="1366" customFormat="false" ht="15" hidden="false" customHeight="false" outlineLevel="0" collapsed="false">
      <c r="A1366" s="37" t="n">
        <v>46253</v>
      </c>
      <c r="B1366" s="44" t="s">
        <v>1673</v>
      </c>
      <c r="C1366" s="44" t="s">
        <v>707</v>
      </c>
      <c r="D1366" s="44" t="n">
        <v>7200010</v>
      </c>
      <c r="E1366" s="44" t="s">
        <v>953</v>
      </c>
      <c r="F1366" s="44" t="s">
        <v>1674</v>
      </c>
      <c r="G1366" s="42" t="n">
        <v>1030130</v>
      </c>
      <c r="H1366" s="42"/>
      <c r="I1366" s="44" t="s">
        <v>597</v>
      </c>
      <c r="J1366" s="11" t="n">
        <f aca="false">IF(D1366="","",N(G1366)-N(H1366))</f>
        <v>1030130</v>
      </c>
      <c r="K1366" s="34" t="str">
        <f aca="false">IF(D1366="","",IFERROR(INDEX(I_COA!$C$6:$C$265,MATCH(D1366,I_COA!$A$6:$A$265,0)),"AKUN BARU"))</f>
        <v>LabaRugi</v>
      </c>
      <c r="L1366" s="34" t="str">
        <f aca="false">IF(K1366="LabaRugi",INDEX(I_COA!$D$6:$D$265,MATCH(D1366,I_COA!$A$6:$A$265,0)),"")</f>
        <v>Tax expenses</v>
      </c>
      <c r="M1366" s="34" t="str">
        <f aca="false">IF(K1366="Neraca",INDEX(I_COA!$E$6:$E$265,MATCH(D1366,I_COA!$A$6:$A$265,0)),"")</f>
        <v/>
      </c>
      <c r="N1366" s="34" t="str">
        <f aca="false">IF(D1366="","",IFERROR(INDEX(I_COA!$G$6:$G$265,MATCH(D1366,I_COA!$A$6:$A$265,0)),"N"))</f>
        <v>N</v>
      </c>
      <c r="O1366" s="11" t="n">
        <f aca="false">IF(N1366="N",ABS(J1366),"")</f>
        <v>1030130</v>
      </c>
      <c r="P1366" s="18" t="str">
        <f aca="false">IF(N1366="N",B1366&amp;"|"&amp;ROUND(O1366,0),"")</f>
        <v>PI26080042|1030130</v>
      </c>
      <c r="Q1366" s="18" t="str">
        <f aca="false">IF(N1366&lt;&gt;"Y","",IFERROR(INDEX($D$6:$D$4005,MATCH(B1366&amp;"|"&amp;ROUND(_xlfn.MAXIFS($O$6:$O$4005,$B$6:$B$4005,B1366,$N$6:$N$4005,"N"),0),$P$6:$P$4005,0)),"(tanpa lawan)"))</f>
        <v/>
      </c>
      <c r="R1366" s="44"/>
      <c r="S1366" s="9" t="str">
        <f aca="false">IF(N1366&lt;&gt;"Y","",IF(R1366&lt;&gt;"",R1366,IF(Q1366="(tanpa lawan)","Transfer antar rekening",IFERROR(INDEX(I_COA!$F$6:$F$265,MATCH(Q1366,I_COA!$A$6:$A$265,0)),"?"))))</f>
        <v/>
      </c>
    </row>
    <row r="1367" customFormat="false" ht="15" hidden="false" customHeight="false" outlineLevel="0" collapsed="false">
      <c r="A1367" s="37" t="n">
        <v>46253</v>
      </c>
      <c r="B1367" s="44" t="s">
        <v>1673</v>
      </c>
      <c r="C1367" s="44" t="s">
        <v>707</v>
      </c>
      <c r="D1367" s="44" t="n">
        <v>2102007</v>
      </c>
      <c r="E1367" s="44" t="s">
        <v>955</v>
      </c>
      <c r="F1367" s="44" t="s">
        <v>1674</v>
      </c>
      <c r="G1367" s="42"/>
      <c r="H1367" s="42" t="n">
        <v>1030130</v>
      </c>
      <c r="I1367" s="44" t="s">
        <v>597</v>
      </c>
      <c r="J1367" s="11" t="n">
        <f aca="false">IF(D1367="","",N(G1367)-N(H1367))</f>
        <v>-1030130</v>
      </c>
      <c r="K1367" s="34" t="str">
        <f aca="false">IF(D1367="","",IFERROR(INDEX(I_COA!$C$6:$C$265,MATCH(D1367,I_COA!$A$6:$A$265,0)),"AKUN BARU"))</f>
        <v>Neraca</v>
      </c>
      <c r="L1367" s="34" t="str">
        <f aca="false">IF(K1367="LabaRugi",INDEX(I_COA!$D$6:$D$265,MATCH(D1367,I_COA!$A$6:$A$265,0)),"")</f>
        <v/>
      </c>
      <c r="M1367" s="34" t="str">
        <f aca="false">IF(K1367="Neraca",INDEX(I_COA!$E$6:$E$265,MATCH(D1367,I_COA!$A$6:$A$265,0)),"")</f>
        <v>Taxes Payable</v>
      </c>
      <c r="N1367" s="34" t="str">
        <f aca="false">IF(D1367="","",IFERROR(INDEX(I_COA!$G$6:$G$265,MATCH(D1367,I_COA!$A$6:$A$265,0)),"N"))</f>
        <v>N</v>
      </c>
      <c r="O1367" s="11" t="n">
        <f aca="false">IF(N1367="N",ABS(J1367),"")</f>
        <v>1030130</v>
      </c>
      <c r="P1367" s="18" t="str">
        <f aca="false">IF(N1367="N",B1367&amp;"|"&amp;ROUND(O1367,0),"")</f>
        <v>PI26080042|1030130</v>
      </c>
      <c r="Q1367" s="18" t="str">
        <f aca="false">IF(N1367&lt;&gt;"Y","",IFERROR(INDEX($D$6:$D$4005,MATCH(B1367&amp;"|"&amp;ROUND(_xlfn.MAXIFS($O$6:$O$4005,$B$6:$B$4005,B1367,$N$6:$N$4005,"N"),0),$P$6:$P$4005,0)),"(tanpa lawan)"))</f>
        <v/>
      </c>
      <c r="R1367" s="44"/>
      <c r="S1367" s="9" t="str">
        <f aca="false">IF(N1367&lt;&gt;"Y","",IF(R1367&lt;&gt;"",R1367,IF(Q1367="(tanpa lawan)","Transfer antar rekening",IFERROR(INDEX(I_COA!$F$6:$F$265,MATCH(Q1367,I_COA!$A$6:$A$265,0)),"?"))))</f>
        <v/>
      </c>
    </row>
    <row r="1368" customFormat="false" ht="15" hidden="false" customHeight="false" outlineLevel="0" collapsed="false">
      <c r="A1368" s="37" t="n">
        <v>46253</v>
      </c>
      <c r="B1368" s="44" t="s">
        <v>1673</v>
      </c>
      <c r="C1368" s="44" t="s">
        <v>707</v>
      </c>
      <c r="D1368" s="44" t="n">
        <v>2101001</v>
      </c>
      <c r="E1368" s="44" t="s">
        <v>595</v>
      </c>
      <c r="F1368" s="44" t="s">
        <v>1637</v>
      </c>
      <c r="G1368" s="42"/>
      <c r="H1368" s="42" t="n">
        <v>412052090</v>
      </c>
      <c r="I1368" s="44" t="s">
        <v>597</v>
      </c>
      <c r="J1368" s="11" t="n">
        <f aca="false">IF(D1368="","",N(G1368)-N(H1368))</f>
        <v>-412052090</v>
      </c>
      <c r="K1368" s="34" t="str">
        <f aca="false">IF(D1368="","",IFERROR(INDEX(I_COA!$C$6:$C$265,MATCH(D1368,I_COA!$A$6:$A$265,0)),"AKUN BARU"))</f>
        <v>Neraca</v>
      </c>
      <c r="L1368" s="34" t="str">
        <f aca="false">IF(K1368="LabaRugi",INDEX(I_COA!$D$6:$D$265,MATCH(D1368,I_COA!$A$6:$A$265,0)),"")</f>
        <v/>
      </c>
      <c r="M1368" s="34" t="str">
        <f aca="false">IF(K1368="Neraca",INDEX(I_COA!$E$6:$E$265,MATCH(D1368,I_COA!$A$6:$A$265,0)),"")</f>
        <v>Trade Payables - Third Parties</v>
      </c>
      <c r="N1368" s="34" t="str">
        <f aca="false">IF(D1368="","",IFERROR(INDEX(I_COA!$G$6:$G$265,MATCH(D1368,I_COA!$A$6:$A$265,0)),"N"))</f>
        <v>N</v>
      </c>
      <c r="O1368" s="11" t="n">
        <f aca="false">IF(N1368="N",ABS(J1368),"")</f>
        <v>412052090</v>
      </c>
      <c r="P1368" s="18" t="str">
        <f aca="false">IF(N1368="N",B1368&amp;"|"&amp;ROUND(O1368,0),"")</f>
        <v>PI26080042|412052090</v>
      </c>
      <c r="Q1368" s="18" t="str">
        <f aca="false">IF(N1368&lt;&gt;"Y","",IFERROR(INDEX($D$6:$D$4005,MATCH(B1368&amp;"|"&amp;ROUND(_xlfn.MAXIFS($O$6:$O$4005,$B$6:$B$4005,B1368,$N$6:$N$4005,"N"),0),$P$6:$P$4005,0)),"(tanpa lawan)"))</f>
        <v/>
      </c>
      <c r="R1368" s="44"/>
      <c r="S1368" s="9" t="str">
        <f aca="false">IF(N1368&lt;&gt;"Y","",IF(R1368&lt;&gt;"",R1368,IF(Q1368="(tanpa lawan)","Transfer antar rekening",IFERROR(INDEX(I_COA!$F$6:$F$265,MATCH(Q1368,I_COA!$A$6:$A$265,0)),"?"))))</f>
        <v/>
      </c>
    </row>
    <row r="1369" customFormat="false" ht="15" hidden="false" customHeight="false" outlineLevel="0" collapsed="false">
      <c r="A1369" s="37" t="n">
        <v>46253</v>
      </c>
      <c r="B1369" s="44" t="s">
        <v>1675</v>
      </c>
      <c r="C1369" s="44" t="s">
        <v>707</v>
      </c>
      <c r="D1369" s="44" t="n">
        <v>6100006</v>
      </c>
      <c r="E1369" s="44" t="s">
        <v>717</v>
      </c>
      <c r="F1369" s="44" t="s">
        <v>1676</v>
      </c>
      <c r="G1369" s="42" t="n">
        <v>900000</v>
      </c>
      <c r="H1369" s="42"/>
      <c r="I1369" s="44" t="s">
        <v>900</v>
      </c>
      <c r="J1369" s="11" t="n">
        <f aca="false">IF(D1369="","",N(G1369)-N(H1369))</f>
        <v>900000</v>
      </c>
      <c r="K1369" s="34" t="str">
        <f aca="false">IF(D1369="","",IFERROR(INDEX(I_COA!$C$6:$C$265,MATCH(D1369,I_COA!$A$6:$A$265,0)),"AKUN BARU"))</f>
        <v>LabaRugi</v>
      </c>
      <c r="L1369" s="34" t="str">
        <f aca="false">IF(K1369="LabaRugi",INDEX(I_COA!$D$6:$D$265,MATCH(D1369,I_COA!$A$6:$A$265,0)),"")</f>
        <v>Delivery Expenses</v>
      </c>
      <c r="M1369" s="34" t="str">
        <f aca="false">IF(K1369="Neraca",INDEX(I_COA!$E$6:$E$265,MATCH(D1369,I_COA!$A$6:$A$265,0)),"")</f>
        <v/>
      </c>
      <c r="N1369" s="34" t="str">
        <f aca="false">IF(D1369="","",IFERROR(INDEX(I_COA!$G$6:$G$265,MATCH(D1369,I_COA!$A$6:$A$265,0)),"N"))</f>
        <v>N</v>
      </c>
      <c r="O1369" s="11" t="n">
        <f aca="false">IF(N1369="N",ABS(J1369),"")</f>
        <v>900000</v>
      </c>
      <c r="P1369" s="18" t="str">
        <f aca="false">IF(N1369="N",B1369&amp;"|"&amp;ROUND(O1369,0),"")</f>
        <v>PI26080072|900000</v>
      </c>
      <c r="Q1369" s="18" t="str">
        <f aca="false">IF(N1369&lt;&gt;"Y","",IFERROR(INDEX($D$6:$D$4005,MATCH(B1369&amp;"|"&amp;ROUND(_xlfn.MAXIFS($O$6:$O$4005,$B$6:$B$4005,B1369,$N$6:$N$4005,"N"),0),$P$6:$P$4005,0)),"(tanpa lawan)"))</f>
        <v/>
      </c>
      <c r="R1369" s="44"/>
      <c r="S1369" s="9" t="str">
        <f aca="false">IF(N1369&lt;&gt;"Y","",IF(R1369&lt;&gt;"",R1369,IF(Q1369="(tanpa lawan)","Transfer antar rekening",IFERROR(INDEX(I_COA!$F$6:$F$265,MATCH(Q1369,I_COA!$A$6:$A$265,0)),"?"))))</f>
        <v/>
      </c>
    </row>
    <row r="1370" customFormat="false" ht="15" hidden="false" customHeight="false" outlineLevel="0" collapsed="false">
      <c r="A1370" s="37" t="n">
        <v>46253</v>
      </c>
      <c r="B1370" s="44" t="s">
        <v>1675</v>
      </c>
      <c r="C1370" s="44" t="s">
        <v>707</v>
      </c>
      <c r="D1370" s="44" t="n">
        <v>2102003</v>
      </c>
      <c r="E1370" s="44" t="s">
        <v>722</v>
      </c>
      <c r="F1370" s="44" t="s">
        <v>1677</v>
      </c>
      <c r="G1370" s="42"/>
      <c r="H1370" s="42" t="n">
        <v>18000</v>
      </c>
      <c r="I1370" s="44" t="s">
        <v>900</v>
      </c>
      <c r="J1370" s="11" t="n">
        <f aca="false">IF(D1370="","",N(G1370)-N(H1370))</f>
        <v>-18000</v>
      </c>
      <c r="K1370" s="34" t="str">
        <f aca="false">IF(D1370="","",IFERROR(INDEX(I_COA!$C$6:$C$265,MATCH(D1370,I_COA!$A$6:$A$265,0)),"AKUN BARU"))</f>
        <v>Neraca</v>
      </c>
      <c r="L1370" s="34" t="str">
        <f aca="false">IF(K1370="LabaRugi",INDEX(I_COA!$D$6:$D$265,MATCH(D1370,I_COA!$A$6:$A$265,0)),"")</f>
        <v/>
      </c>
      <c r="M1370" s="34" t="str">
        <f aca="false">IF(K1370="Neraca",INDEX(I_COA!$E$6:$E$265,MATCH(D1370,I_COA!$A$6:$A$265,0)),"")</f>
        <v>Taxes Payable</v>
      </c>
      <c r="N1370" s="34" t="str">
        <f aca="false">IF(D1370="","",IFERROR(INDEX(I_COA!$G$6:$G$265,MATCH(D1370,I_COA!$A$6:$A$265,0)),"N"))</f>
        <v>N</v>
      </c>
      <c r="O1370" s="11" t="n">
        <f aca="false">IF(N1370="N",ABS(J1370),"")</f>
        <v>18000</v>
      </c>
      <c r="P1370" s="18" t="str">
        <f aca="false">IF(N1370="N",B1370&amp;"|"&amp;ROUND(O1370,0),"")</f>
        <v>PI26080072|18000</v>
      </c>
      <c r="Q1370" s="18" t="str">
        <f aca="false">IF(N1370&lt;&gt;"Y","",IFERROR(INDEX($D$6:$D$4005,MATCH(B1370&amp;"|"&amp;ROUND(_xlfn.MAXIFS($O$6:$O$4005,$B$6:$B$4005,B1370,$N$6:$N$4005,"N"),0),$P$6:$P$4005,0)),"(tanpa lawan)"))</f>
        <v/>
      </c>
      <c r="R1370" s="44"/>
      <c r="S1370" s="9" t="str">
        <f aca="false">IF(N1370&lt;&gt;"Y","",IF(R1370&lt;&gt;"",R1370,IF(Q1370="(tanpa lawan)","Transfer antar rekening",IFERROR(INDEX(I_COA!$F$6:$F$265,MATCH(Q1370,I_COA!$A$6:$A$265,0)),"?"))))</f>
        <v/>
      </c>
    </row>
    <row r="1371" customFormat="false" ht="15" hidden="false" customHeight="false" outlineLevel="0" collapsed="false">
      <c r="A1371" s="37" t="n">
        <v>46253</v>
      </c>
      <c r="B1371" s="44" t="s">
        <v>1675</v>
      </c>
      <c r="C1371" s="44" t="s">
        <v>707</v>
      </c>
      <c r="D1371" s="44" t="n">
        <v>2101003</v>
      </c>
      <c r="E1371" s="44" t="s">
        <v>679</v>
      </c>
      <c r="F1371" s="44" t="s">
        <v>1676</v>
      </c>
      <c r="G1371" s="42"/>
      <c r="H1371" s="42" t="n">
        <v>882000</v>
      </c>
      <c r="I1371" s="44" t="s">
        <v>900</v>
      </c>
      <c r="J1371" s="11" t="n">
        <f aca="false">IF(D1371="","",N(G1371)-N(H1371))</f>
        <v>-882000</v>
      </c>
      <c r="K1371" s="34" t="str">
        <f aca="false">IF(D1371="","",IFERROR(INDEX(I_COA!$C$6:$C$265,MATCH(D1371,I_COA!$A$6:$A$265,0)),"AKUN BARU"))</f>
        <v>Neraca</v>
      </c>
      <c r="L1371" s="34" t="str">
        <f aca="false">IF(K1371="LabaRugi",INDEX(I_COA!$D$6:$D$265,MATCH(D1371,I_COA!$A$6:$A$265,0)),"")</f>
        <v/>
      </c>
      <c r="M1371" s="34" t="str">
        <f aca="false">IF(K1371="Neraca",INDEX(I_COA!$E$6:$E$265,MATCH(D1371,I_COA!$A$6:$A$265,0)),"")</f>
        <v>Other Payable - Third Parties</v>
      </c>
      <c r="N1371" s="34" t="str">
        <f aca="false">IF(D1371="","",IFERROR(INDEX(I_COA!$G$6:$G$265,MATCH(D1371,I_COA!$A$6:$A$265,0)),"N"))</f>
        <v>N</v>
      </c>
      <c r="O1371" s="11" t="n">
        <f aca="false">IF(N1371="N",ABS(J1371),"")</f>
        <v>882000</v>
      </c>
      <c r="P1371" s="18" t="str">
        <f aca="false">IF(N1371="N",B1371&amp;"|"&amp;ROUND(O1371,0),"")</f>
        <v>PI26080072|882000</v>
      </c>
      <c r="Q1371" s="18" t="str">
        <f aca="false">IF(N1371&lt;&gt;"Y","",IFERROR(INDEX($D$6:$D$4005,MATCH(B1371&amp;"|"&amp;ROUND(_xlfn.MAXIFS($O$6:$O$4005,$B$6:$B$4005,B1371,$N$6:$N$4005,"N"),0),$P$6:$P$4005,0)),"(tanpa lawan)"))</f>
        <v/>
      </c>
      <c r="R1371" s="44"/>
      <c r="S1371" s="9" t="str">
        <f aca="false">IF(N1371&lt;&gt;"Y","",IF(R1371&lt;&gt;"",R1371,IF(Q1371="(tanpa lawan)","Transfer antar rekening",IFERROR(INDEX(I_COA!$F$6:$F$265,MATCH(Q1371,I_COA!$A$6:$A$265,0)),"?"))))</f>
        <v/>
      </c>
    </row>
    <row r="1372" customFormat="false" ht="15" hidden="false" customHeight="false" outlineLevel="0" collapsed="false">
      <c r="A1372" s="37" t="n">
        <v>46254</v>
      </c>
      <c r="B1372" s="44" t="s">
        <v>1678</v>
      </c>
      <c r="C1372" s="44" t="s">
        <v>580</v>
      </c>
      <c r="D1372" s="44" t="n">
        <v>1102001</v>
      </c>
      <c r="E1372" s="44" t="s">
        <v>586</v>
      </c>
      <c r="F1372" s="44" t="s">
        <v>1679</v>
      </c>
      <c r="G1372" s="42" t="n">
        <v>20629000</v>
      </c>
      <c r="H1372" s="42"/>
      <c r="I1372" s="44"/>
      <c r="J1372" s="11" t="n">
        <f aca="false">IF(D1372="","",N(G1372)-N(H1372))</f>
        <v>20629000</v>
      </c>
      <c r="K1372" s="34" t="str">
        <f aca="false">IF(D1372="","",IFERROR(INDEX(I_COA!$C$6:$C$265,MATCH(D1372,I_COA!$A$6:$A$265,0)),"AKUN BARU"))</f>
        <v>Neraca</v>
      </c>
      <c r="L1372" s="34" t="str">
        <f aca="false">IF(K1372="LabaRugi",INDEX(I_COA!$D$6:$D$265,MATCH(D1372,I_COA!$A$6:$A$265,0)),"")</f>
        <v/>
      </c>
      <c r="M1372" s="34" t="str">
        <f aca="false">IF(K1372="Neraca",INDEX(I_COA!$E$6:$E$265,MATCH(D1372,I_COA!$A$6:$A$265,0)),"")</f>
        <v>Cash and cash equivalents</v>
      </c>
      <c r="N1372" s="34" t="str">
        <f aca="false">IF(D1372="","",IFERROR(INDEX(I_COA!$G$6:$G$265,MATCH(D1372,I_COA!$A$6:$A$265,0)),"N"))</f>
        <v>Y</v>
      </c>
      <c r="O1372" s="11" t="str">
        <f aca="false">IF(N1372="N",ABS(J1372),"")</f>
        <v/>
      </c>
      <c r="P1372" s="18" t="str">
        <f aca="false">IF(N1372="N",B1372&amp;"|"&amp;ROUND(O1372,0),"")</f>
        <v/>
      </c>
      <c r="Q1372" s="18" t="n">
        <f aca="false">IF(N1372&lt;&gt;"Y","",IFERROR(INDEX($D$6:$D$4005,MATCH(B1372&amp;"|"&amp;ROUND(_xlfn.MAXIFS($O$6:$O$4005,$B$6:$B$4005,B1372,$N$6:$N$4005,"N"),0),$P$6:$P$4005,0)),"(tanpa lawan)"))</f>
        <v>1103121</v>
      </c>
      <c r="R1372" s="44"/>
      <c r="S1372" s="9" t="str">
        <f aca="false">IF(N1372&lt;&gt;"Y","",IF(R1372&lt;&gt;"",R1372,IF(Q1372="(tanpa lawan)","Transfer antar rekening",IFERROR(INDEX(I_COA!$F$6:$F$265,MATCH(Q1372,I_COA!$A$6:$A$265,0)),"?"))))</f>
        <v>Bayar pemasok barang (live bird &amp; trading)</v>
      </c>
    </row>
    <row r="1373" customFormat="false" ht="15" hidden="false" customHeight="false" outlineLevel="0" collapsed="false">
      <c r="A1373" s="37" t="n">
        <v>46254</v>
      </c>
      <c r="B1373" s="44" t="s">
        <v>1678</v>
      </c>
      <c r="C1373" s="44" t="s">
        <v>580</v>
      </c>
      <c r="D1373" s="44" t="n">
        <v>1103121</v>
      </c>
      <c r="E1373" s="44" t="s">
        <v>685</v>
      </c>
      <c r="F1373" s="44" t="s">
        <v>1679</v>
      </c>
      <c r="G1373" s="42"/>
      <c r="H1373" s="42" t="n">
        <v>20629000</v>
      </c>
      <c r="I1373" s="44" t="s">
        <v>660</v>
      </c>
      <c r="J1373" s="11" t="n">
        <f aca="false">IF(D1373="","",N(G1373)-N(H1373))</f>
        <v>-20629000</v>
      </c>
      <c r="K1373" s="34" t="str">
        <f aca="false">IF(D1373="","",IFERROR(INDEX(I_COA!$C$6:$C$265,MATCH(D1373,I_COA!$A$6:$A$265,0)),"AKUN BARU"))</f>
        <v>Neraca</v>
      </c>
      <c r="L1373" s="34" t="str">
        <f aca="false">IF(K1373="LabaRugi",INDEX(I_COA!$D$6:$D$265,MATCH(D1373,I_COA!$A$6:$A$265,0)),"")</f>
        <v/>
      </c>
      <c r="M1373" s="34" t="str">
        <f aca="false">IF(K1373="Neraca",INDEX(I_COA!$E$6:$E$265,MATCH(D1373,I_COA!$A$6:$A$265,0)),"")</f>
        <v>Advance Payment</v>
      </c>
      <c r="N1373" s="34" t="str">
        <f aca="false">IF(D1373="","",IFERROR(INDEX(I_COA!$G$6:$G$265,MATCH(D1373,I_COA!$A$6:$A$265,0)),"N"))</f>
        <v>N</v>
      </c>
      <c r="O1373" s="11" t="n">
        <f aca="false">IF(N1373="N",ABS(J1373),"")</f>
        <v>20629000</v>
      </c>
      <c r="P1373" s="18" t="str">
        <f aca="false">IF(N1373="N",B1373&amp;"|"&amp;ROUND(O1373,0),"")</f>
        <v>B7626080090|20629000</v>
      </c>
      <c r="Q1373" s="18" t="str">
        <f aca="false">IF(N1373&lt;&gt;"Y","",IFERROR(INDEX($D$6:$D$4005,MATCH(B1373&amp;"|"&amp;ROUND(_xlfn.MAXIFS($O$6:$O$4005,$B$6:$B$4005,B1373,$N$6:$N$4005,"N"),0),$P$6:$P$4005,0)),"(tanpa lawan)"))</f>
        <v/>
      </c>
      <c r="R1373" s="44"/>
      <c r="S1373" s="9" t="str">
        <f aca="false">IF(N1373&lt;&gt;"Y","",IF(R1373&lt;&gt;"",R1373,IF(Q1373="(tanpa lawan)","Transfer antar rekening",IFERROR(INDEX(I_COA!$F$6:$F$265,MATCH(Q1373,I_COA!$A$6:$A$265,0)),"?"))))</f>
        <v/>
      </c>
    </row>
    <row r="1374" customFormat="false" ht="15" hidden="false" customHeight="false" outlineLevel="0" collapsed="false">
      <c r="A1374" s="37" t="n">
        <v>46254</v>
      </c>
      <c r="B1374" s="44" t="s">
        <v>1680</v>
      </c>
      <c r="C1374" s="44" t="s">
        <v>580</v>
      </c>
      <c r="D1374" s="44" t="n">
        <v>1102001</v>
      </c>
      <c r="E1374" s="44" t="s">
        <v>586</v>
      </c>
      <c r="F1374" s="44" t="s">
        <v>1681</v>
      </c>
      <c r="G1374" s="42" t="n">
        <v>83786308</v>
      </c>
      <c r="H1374" s="42"/>
      <c r="I1374" s="44"/>
      <c r="J1374" s="11" t="n">
        <f aca="false">IF(D1374="","",N(G1374)-N(H1374))</f>
        <v>83786308</v>
      </c>
      <c r="K1374" s="34" t="str">
        <f aca="false">IF(D1374="","",IFERROR(INDEX(I_COA!$C$6:$C$265,MATCH(D1374,I_COA!$A$6:$A$265,0)),"AKUN BARU"))</f>
        <v>Neraca</v>
      </c>
      <c r="L1374" s="34" t="str">
        <f aca="false">IF(K1374="LabaRugi",INDEX(I_COA!$D$6:$D$265,MATCH(D1374,I_COA!$A$6:$A$265,0)),"")</f>
        <v/>
      </c>
      <c r="M1374" s="34" t="str">
        <f aca="false">IF(K1374="Neraca",INDEX(I_COA!$E$6:$E$265,MATCH(D1374,I_COA!$A$6:$A$265,0)),"")</f>
        <v>Cash and cash equivalents</v>
      </c>
      <c r="N1374" s="34" t="str">
        <f aca="false">IF(D1374="","",IFERROR(INDEX(I_COA!$G$6:$G$265,MATCH(D1374,I_COA!$A$6:$A$265,0)),"N"))</f>
        <v>Y</v>
      </c>
      <c r="O1374" s="11" t="str">
        <f aca="false">IF(N1374="N",ABS(J1374),"")</f>
        <v/>
      </c>
      <c r="P1374" s="18" t="str">
        <f aca="false">IF(N1374="N",B1374&amp;"|"&amp;ROUND(O1374,0),"")</f>
        <v/>
      </c>
      <c r="Q1374" s="18" t="n">
        <f aca="false">IF(N1374&lt;&gt;"Y","",IFERROR(INDEX($D$6:$D$4005,MATCH(B1374&amp;"|"&amp;ROUND(_xlfn.MAXIFS($O$6:$O$4005,$B$6:$B$4005,B1374,$N$6:$N$4005,"N"),0),$P$6:$P$4005,0)),"(tanpa lawan)"))</f>
        <v>2101020</v>
      </c>
      <c r="R1374" s="44"/>
      <c r="S1374" s="9" t="str">
        <f aca="false">IF(N1374&lt;&gt;"Y","",IF(R1374&lt;&gt;"",R1374,IF(Q1374="(tanpa lawan)","Transfer antar rekening",IFERROR(INDEX(I_COA!$F$6:$F$265,MATCH(Q1374,I_COA!$A$6:$A$265,0)),"?"))))</f>
        <v>Penerimaan dari pelanggan</v>
      </c>
    </row>
    <row r="1375" customFormat="false" ht="15" hidden="false" customHeight="false" outlineLevel="0" collapsed="false">
      <c r="A1375" s="37" t="n">
        <v>46254</v>
      </c>
      <c r="B1375" s="44" t="s">
        <v>1680</v>
      </c>
      <c r="C1375" s="44" t="s">
        <v>580</v>
      </c>
      <c r="D1375" s="44" t="n">
        <v>2101020</v>
      </c>
      <c r="E1375" s="44" t="s">
        <v>653</v>
      </c>
      <c r="F1375" s="44" t="s">
        <v>1681</v>
      </c>
      <c r="G1375" s="42"/>
      <c r="H1375" s="42" t="n">
        <v>83786308</v>
      </c>
      <c r="I1375" s="44" t="s">
        <v>660</v>
      </c>
      <c r="J1375" s="11" t="n">
        <f aca="false">IF(D1375="","",N(G1375)-N(H1375))</f>
        <v>-83786308</v>
      </c>
      <c r="K1375" s="34" t="str">
        <f aca="false">IF(D1375="","",IFERROR(INDEX(I_COA!$C$6:$C$265,MATCH(D1375,I_COA!$A$6:$A$265,0)),"AKUN BARU"))</f>
        <v>Neraca</v>
      </c>
      <c r="L1375" s="34" t="str">
        <f aca="false">IF(K1375="LabaRugi",INDEX(I_COA!$D$6:$D$265,MATCH(D1375,I_COA!$A$6:$A$265,0)),"")</f>
        <v/>
      </c>
      <c r="M1375" s="34" t="str">
        <f aca="false">IF(K1375="Neraca",INDEX(I_COA!$E$6:$E$265,MATCH(D1375,I_COA!$A$6:$A$265,0)),"")</f>
        <v>Unearned Revenue</v>
      </c>
      <c r="N1375" s="34" t="str">
        <f aca="false">IF(D1375="","",IFERROR(INDEX(I_COA!$G$6:$G$265,MATCH(D1375,I_COA!$A$6:$A$265,0)),"N"))</f>
        <v>N</v>
      </c>
      <c r="O1375" s="11" t="n">
        <f aca="false">IF(N1375="N",ABS(J1375),"")</f>
        <v>83786308</v>
      </c>
      <c r="P1375" s="18" t="str">
        <f aca="false">IF(N1375="N",B1375&amp;"|"&amp;ROUND(O1375,0),"")</f>
        <v>B7626080091|83786308</v>
      </c>
      <c r="Q1375" s="18" t="str">
        <f aca="false">IF(N1375&lt;&gt;"Y","",IFERROR(INDEX($D$6:$D$4005,MATCH(B1375&amp;"|"&amp;ROUND(_xlfn.MAXIFS($O$6:$O$4005,$B$6:$B$4005,B1375,$N$6:$N$4005,"N"),0),$P$6:$P$4005,0)),"(tanpa lawan)"))</f>
        <v/>
      </c>
      <c r="R1375" s="44"/>
      <c r="S1375" s="9" t="str">
        <f aca="false">IF(N1375&lt;&gt;"Y","",IF(R1375&lt;&gt;"",R1375,IF(Q1375="(tanpa lawan)","Transfer antar rekening",IFERROR(INDEX(I_COA!$F$6:$F$265,MATCH(Q1375,I_COA!$A$6:$A$265,0)),"?"))))</f>
        <v/>
      </c>
    </row>
    <row r="1376" customFormat="false" ht="15" hidden="false" customHeight="false" outlineLevel="0" collapsed="false">
      <c r="A1376" s="37" t="n">
        <v>46254</v>
      </c>
      <c r="B1376" s="44" t="s">
        <v>1682</v>
      </c>
      <c r="C1376" s="44" t="s">
        <v>585</v>
      </c>
      <c r="D1376" s="44" t="n">
        <v>1102001</v>
      </c>
      <c r="E1376" s="44" t="s">
        <v>586</v>
      </c>
      <c r="F1376" s="44" t="s">
        <v>1683</v>
      </c>
      <c r="G1376" s="42" t="n">
        <v>29213800</v>
      </c>
      <c r="H1376" s="42"/>
      <c r="I1376" s="44" t="s">
        <v>432</v>
      </c>
      <c r="J1376" s="11" t="n">
        <f aca="false">IF(D1376="","",N(G1376)-N(H1376))</f>
        <v>29213800</v>
      </c>
      <c r="K1376" s="34" t="str">
        <f aca="false">IF(D1376="","",IFERROR(INDEX(I_COA!$C$6:$C$265,MATCH(D1376,I_COA!$A$6:$A$265,0)),"AKUN BARU"))</f>
        <v>Neraca</v>
      </c>
      <c r="L1376" s="34" t="str">
        <f aca="false">IF(K1376="LabaRugi",INDEX(I_COA!$D$6:$D$265,MATCH(D1376,I_COA!$A$6:$A$265,0)),"")</f>
        <v/>
      </c>
      <c r="M1376" s="34" t="str">
        <f aca="false">IF(K1376="Neraca",INDEX(I_COA!$E$6:$E$265,MATCH(D1376,I_COA!$A$6:$A$265,0)),"")</f>
        <v>Cash and cash equivalents</v>
      </c>
      <c r="N1376" s="34" t="str">
        <f aca="false">IF(D1376="","",IFERROR(INDEX(I_COA!$G$6:$G$265,MATCH(D1376,I_COA!$A$6:$A$265,0)),"N"))</f>
        <v>Y</v>
      </c>
      <c r="O1376" s="11" t="str">
        <f aca="false">IF(N1376="N",ABS(J1376),"")</f>
        <v/>
      </c>
      <c r="P1376" s="18" t="str">
        <f aca="false">IF(N1376="N",B1376&amp;"|"&amp;ROUND(O1376,0),"")</f>
        <v/>
      </c>
      <c r="Q1376" s="18" t="n">
        <f aca="false">IF(N1376&lt;&gt;"Y","",IFERROR(INDEX($D$6:$D$4005,MATCH(B1376&amp;"|"&amp;ROUND(_xlfn.MAXIFS($O$6:$O$4005,$B$6:$B$4005,B1376,$N$6:$N$4005,"N"),0),$P$6:$P$4005,0)),"(tanpa lawan)"))</f>
        <v>1103101</v>
      </c>
      <c r="R1376" s="44"/>
      <c r="S1376" s="9" t="str">
        <f aca="false">IF(N1376&lt;&gt;"Y","",IF(R1376&lt;&gt;"",R1376,IF(Q1376="(tanpa lawan)","Transfer antar rekening",IFERROR(INDEX(I_COA!$F$6:$F$265,MATCH(Q1376,I_COA!$A$6:$A$265,0)),"?"))))</f>
        <v>Penerimaan dari pelanggan</v>
      </c>
    </row>
    <row r="1377" customFormat="false" ht="15" hidden="false" customHeight="false" outlineLevel="0" collapsed="false">
      <c r="A1377" s="37" t="n">
        <v>46254</v>
      </c>
      <c r="B1377" s="44" t="s">
        <v>1682</v>
      </c>
      <c r="C1377" s="44" t="s">
        <v>585</v>
      </c>
      <c r="D1377" s="44" t="n">
        <v>1103101</v>
      </c>
      <c r="E1377" s="44" t="s">
        <v>589</v>
      </c>
      <c r="F1377" s="44" t="s">
        <v>1683</v>
      </c>
      <c r="G1377" s="42"/>
      <c r="H1377" s="42" t="n">
        <v>29213800</v>
      </c>
      <c r="I1377" s="44" t="s">
        <v>432</v>
      </c>
      <c r="J1377" s="11" t="n">
        <f aca="false">IF(D1377="","",N(G1377)-N(H1377))</f>
        <v>-29213800</v>
      </c>
      <c r="K1377" s="34" t="str">
        <f aca="false">IF(D1377="","",IFERROR(INDEX(I_COA!$C$6:$C$265,MATCH(D1377,I_COA!$A$6:$A$265,0)),"AKUN BARU"))</f>
        <v>Neraca</v>
      </c>
      <c r="L1377" s="34" t="str">
        <f aca="false">IF(K1377="LabaRugi",INDEX(I_COA!$D$6:$D$265,MATCH(D1377,I_COA!$A$6:$A$265,0)),"")</f>
        <v/>
      </c>
      <c r="M1377" s="34" t="str">
        <f aca="false">IF(K1377="Neraca",INDEX(I_COA!$E$6:$E$265,MATCH(D1377,I_COA!$A$6:$A$265,0)),"")</f>
        <v>Trade Receivables - Third Parties</v>
      </c>
      <c r="N1377" s="34" t="str">
        <f aca="false">IF(D1377="","",IFERROR(INDEX(I_COA!$G$6:$G$265,MATCH(D1377,I_COA!$A$6:$A$265,0)),"N"))</f>
        <v>N</v>
      </c>
      <c r="O1377" s="11" t="n">
        <f aca="false">IF(N1377="N",ABS(J1377),"")</f>
        <v>29213800</v>
      </c>
      <c r="P1377" s="18" t="str">
        <f aca="false">IF(N1377="N",B1377&amp;"|"&amp;ROUND(O1377,0),"")</f>
        <v>B7626080092|29213800</v>
      </c>
      <c r="Q1377" s="18" t="str">
        <f aca="false">IF(N1377&lt;&gt;"Y","",IFERROR(INDEX($D$6:$D$4005,MATCH(B1377&amp;"|"&amp;ROUND(_xlfn.MAXIFS($O$6:$O$4005,$B$6:$B$4005,B1377,$N$6:$N$4005,"N"),0),$P$6:$P$4005,0)),"(tanpa lawan)"))</f>
        <v/>
      </c>
      <c r="R1377" s="44"/>
      <c r="S1377" s="9" t="str">
        <f aca="false">IF(N1377&lt;&gt;"Y","",IF(R1377&lt;&gt;"",R1377,IF(Q1377="(tanpa lawan)","Transfer antar rekening",IFERROR(INDEX(I_COA!$F$6:$F$265,MATCH(Q1377,I_COA!$A$6:$A$265,0)),"?"))))</f>
        <v/>
      </c>
    </row>
    <row r="1378" customFormat="false" ht="15" hidden="false" customHeight="false" outlineLevel="0" collapsed="false">
      <c r="A1378" s="37" t="n">
        <v>46254</v>
      </c>
      <c r="B1378" s="44" t="s">
        <v>1684</v>
      </c>
      <c r="C1378" s="44" t="s">
        <v>585</v>
      </c>
      <c r="D1378" s="44" t="n">
        <v>1102001</v>
      </c>
      <c r="E1378" s="44" t="s">
        <v>586</v>
      </c>
      <c r="F1378" s="44" t="s">
        <v>1606</v>
      </c>
      <c r="G1378" s="42" t="n">
        <v>88620400</v>
      </c>
      <c r="H1378" s="42"/>
      <c r="I1378" s="44" t="s">
        <v>451</v>
      </c>
      <c r="J1378" s="11" t="n">
        <f aca="false">IF(D1378="","",N(G1378)-N(H1378))</f>
        <v>88620400</v>
      </c>
      <c r="K1378" s="34" t="str">
        <f aca="false">IF(D1378="","",IFERROR(INDEX(I_COA!$C$6:$C$265,MATCH(D1378,I_COA!$A$6:$A$265,0)),"AKUN BARU"))</f>
        <v>Neraca</v>
      </c>
      <c r="L1378" s="34" t="str">
        <f aca="false">IF(K1378="LabaRugi",INDEX(I_COA!$D$6:$D$265,MATCH(D1378,I_COA!$A$6:$A$265,0)),"")</f>
        <v/>
      </c>
      <c r="M1378" s="34" t="str">
        <f aca="false">IF(K1378="Neraca",INDEX(I_COA!$E$6:$E$265,MATCH(D1378,I_COA!$A$6:$A$265,0)),"")</f>
        <v>Cash and cash equivalents</v>
      </c>
      <c r="N1378" s="34" t="str">
        <f aca="false">IF(D1378="","",IFERROR(INDEX(I_COA!$G$6:$G$265,MATCH(D1378,I_COA!$A$6:$A$265,0)),"N"))</f>
        <v>Y</v>
      </c>
      <c r="O1378" s="11" t="str">
        <f aca="false">IF(N1378="N",ABS(J1378),"")</f>
        <v/>
      </c>
      <c r="P1378" s="18" t="str">
        <f aca="false">IF(N1378="N",B1378&amp;"|"&amp;ROUND(O1378,0),"")</f>
        <v/>
      </c>
      <c r="Q1378" s="18" t="n">
        <f aca="false">IF(N1378&lt;&gt;"Y","",IFERROR(INDEX($D$6:$D$4005,MATCH(B1378&amp;"|"&amp;ROUND(_xlfn.MAXIFS($O$6:$O$4005,$B$6:$B$4005,B1378,$N$6:$N$4005,"N"),0),$P$6:$P$4005,0)),"(tanpa lawan)"))</f>
        <v>1103101</v>
      </c>
      <c r="R1378" s="44"/>
      <c r="S1378" s="9" t="str">
        <f aca="false">IF(N1378&lt;&gt;"Y","",IF(R1378&lt;&gt;"",R1378,IF(Q1378="(tanpa lawan)","Transfer antar rekening",IFERROR(INDEX(I_COA!$F$6:$F$265,MATCH(Q1378,I_COA!$A$6:$A$265,0)),"?"))))</f>
        <v>Penerimaan dari pelanggan</v>
      </c>
    </row>
    <row r="1379" customFormat="false" ht="15" hidden="false" customHeight="false" outlineLevel="0" collapsed="false">
      <c r="A1379" s="37" t="n">
        <v>46254</v>
      </c>
      <c r="B1379" s="44" t="s">
        <v>1684</v>
      </c>
      <c r="C1379" s="44" t="s">
        <v>585</v>
      </c>
      <c r="D1379" s="44" t="n">
        <v>1103101</v>
      </c>
      <c r="E1379" s="44" t="s">
        <v>589</v>
      </c>
      <c r="F1379" s="44" t="s">
        <v>1606</v>
      </c>
      <c r="G1379" s="42"/>
      <c r="H1379" s="42" t="n">
        <v>88620400</v>
      </c>
      <c r="I1379" s="44" t="s">
        <v>451</v>
      </c>
      <c r="J1379" s="11" t="n">
        <f aca="false">IF(D1379="","",N(G1379)-N(H1379))</f>
        <v>-88620400</v>
      </c>
      <c r="K1379" s="34" t="str">
        <f aca="false">IF(D1379="","",IFERROR(INDEX(I_COA!$C$6:$C$265,MATCH(D1379,I_COA!$A$6:$A$265,0)),"AKUN BARU"))</f>
        <v>Neraca</v>
      </c>
      <c r="L1379" s="34" t="str">
        <f aca="false">IF(K1379="LabaRugi",INDEX(I_COA!$D$6:$D$265,MATCH(D1379,I_COA!$A$6:$A$265,0)),"")</f>
        <v/>
      </c>
      <c r="M1379" s="34" t="str">
        <f aca="false">IF(K1379="Neraca",INDEX(I_COA!$E$6:$E$265,MATCH(D1379,I_COA!$A$6:$A$265,0)),"")</f>
        <v>Trade Receivables - Third Parties</v>
      </c>
      <c r="N1379" s="34" t="str">
        <f aca="false">IF(D1379="","",IFERROR(INDEX(I_COA!$G$6:$G$265,MATCH(D1379,I_COA!$A$6:$A$265,0)),"N"))</f>
        <v>N</v>
      </c>
      <c r="O1379" s="11" t="n">
        <f aca="false">IF(N1379="N",ABS(J1379),"")</f>
        <v>88620400</v>
      </c>
      <c r="P1379" s="18" t="str">
        <f aca="false">IF(N1379="N",B1379&amp;"|"&amp;ROUND(O1379,0),"")</f>
        <v>B7626080093|88620400</v>
      </c>
      <c r="Q1379" s="18" t="str">
        <f aca="false">IF(N1379&lt;&gt;"Y","",IFERROR(INDEX($D$6:$D$4005,MATCH(B1379&amp;"|"&amp;ROUND(_xlfn.MAXIFS($O$6:$O$4005,$B$6:$B$4005,B1379,$N$6:$N$4005,"N"),0),$P$6:$P$4005,0)),"(tanpa lawan)"))</f>
        <v/>
      </c>
      <c r="R1379" s="44"/>
      <c r="S1379" s="9" t="str">
        <f aca="false">IF(N1379&lt;&gt;"Y","",IF(R1379&lt;&gt;"",R1379,IF(Q1379="(tanpa lawan)","Transfer antar rekening",IFERROR(INDEX(I_COA!$F$6:$F$265,MATCH(Q1379,I_COA!$A$6:$A$265,0)),"?"))))</f>
        <v/>
      </c>
    </row>
    <row r="1380" customFormat="false" ht="15" hidden="false" customHeight="false" outlineLevel="0" collapsed="false">
      <c r="A1380" s="37" t="n">
        <v>46254</v>
      </c>
      <c r="B1380" s="44" t="s">
        <v>1685</v>
      </c>
      <c r="C1380" s="44" t="s">
        <v>585</v>
      </c>
      <c r="D1380" s="44" t="n">
        <v>1102001</v>
      </c>
      <c r="E1380" s="44" t="s">
        <v>586</v>
      </c>
      <c r="F1380" s="44" t="s">
        <v>1686</v>
      </c>
      <c r="G1380" s="42" t="n">
        <v>33939200</v>
      </c>
      <c r="H1380" s="42"/>
      <c r="I1380" s="44" t="s">
        <v>774</v>
      </c>
      <c r="J1380" s="11" t="n">
        <f aca="false">IF(D1380="","",N(G1380)-N(H1380))</f>
        <v>33939200</v>
      </c>
      <c r="K1380" s="34" t="str">
        <f aca="false">IF(D1380="","",IFERROR(INDEX(I_COA!$C$6:$C$265,MATCH(D1380,I_COA!$A$6:$A$265,0)),"AKUN BARU"))</f>
        <v>Neraca</v>
      </c>
      <c r="L1380" s="34" t="str">
        <f aca="false">IF(K1380="LabaRugi",INDEX(I_COA!$D$6:$D$265,MATCH(D1380,I_COA!$A$6:$A$265,0)),"")</f>
        <v/>
      </c>
      <c r="M1380" s="34" t="str">
        <f aca="false">IF(K1380="Neraca",INDEX(I_COA!$E$6:$E$265,MATCH(D1380,I_COA!$A$6:$A$265,0)),"")</f>
        <v>Cash and cash equivalents</v>
      </c>
      <c r="N1380" s="34" t="str">
        <f aca="false">IF(D1380="","",IFERROR(INDEX(I_COA!$G$6:$G$265,MATCH(D1380,I_COA!$A$6:$A$265,0)),"N"))</f>
        <v>Y</v>
      </c>
      <c r="O1380" s="11" t="str">
        <f aca="false">IF(N1380="N",ABS(J1380),"")</f>
        <v/>
      </c>
      <c r="P1380" s="18" t="str">
        <f aca="false">IF(N1380="N",B1380&amp;"|"&amp;ROUND(O1380,0),"")</f>
        <v/>
      </c>
      <c r="Q1380" s="18" t="n">
        <f aca="false">IF(N1380&lt;&gt;"Y","",IFERROR(INDEX($D$6:$D$4005,MATCH(B1380&amp;"|"&amp;ROUND(_xlfn.MAXIFS($O$6:$O$4005,$B$6:$B$4005,B1380,$N$6:$N$4005,"N"),0),$P$6:$P$4005,0)),"(tanpa lawan)"))</f>
        <v>1103101</v>
      </c>
      <c r="R1380" s="44"/>
      <c r="S1380" s="9" t="str">
        <f aca="false">IF(N1380&lt;&gt;"Y","",IF(R1380&lt;&gt;"",R1380,IF(Q1380="(tanpa lawan)","Transfer antar rekening",IFERROR(INDEX(I_COA!$F$6:$F$265,MATCH(Q1380,I_COA!$A$6:$A$265,0)),"?"))))</f>
        <v>Penerimaan dari pelanggan</v>
      </c>
    </row>
    <row r="1381" customFormat="false" ht="15" hidden="false" customHeight="false" outlineLevel="0" collapsed="false">
      <c r="A1381" s="37" t="n">
        <v>46254</v>
      </c>
      <c r="B1381" s="44" t="s">
        <v>1685</v>
      </c>
      <c r="C1381" s="44" t="s">
        <v>585</v>
      </c>
      <c r="D1381" s="44" t="n">
        <v>1103101</v>
      </c>
      <c r="E1381" s="44" t="s">
        <v>589</v>
      </c>
      <c r="F1381" s="44" t="s">
        <v>1686</v>
      </c>
      <c r="G1381" s="42"/>
      <c r="H1381" s="42" t="n">
        <v>33939200</v>
      </c>
      <c r="I1381" s="44" t="s">
        <v>774</v>
      </c>
      <c r="J1381" s="11" t="n">
        <f aca="false">IF(D1381="","",N(G1381)-N(H1381))</f>
        <v>-33939200</v>
      </c>
      <c r="K1381" s="34" t="str">
        <f aca="false">IF(D1381="","",IFERROR(INDEX(I_COA!$C$6:$C$265,MATCH(D1381,I_COA!$A$6:$A$265,0)),"AKUN BARU"))</f>
        <v>Neraca</v>
      </c>
      <c r="L1381" s="34" t="str">
        <f aca="false">IF(K1381="LabaRugi",INDEX(I_COA!$D$6:$D$265,MATCH(D1381,I_COA!$A$6:$A$265,0)),"")</f>
        <v/>
      </c>
      <c r="M1381" s="34" t="str">
        <f aca="false">IF(K1381="Neraca",INDEX(I_COA!$E$6:$E$265,MATCH(D1381,I_COA!$A$6:$A$265,0)),"")</f>
        <v>Trade Receivables - Third Parties</v>
      </c>
      <c r="N1381" s="34" t="str">
        <f aca="false">IF(D1381="","",IFERROR(INDEX(I_COA!$G$6:$G$265,MATCH(D1381,I_COA!$A$6:$A$265,0)),"N"))</f>
        <v>N</v>
      </c>
      <c r="O1381" s="11" t="n">
        <f aca="false">IF(N1381="N",ABS(J1381),"")</f>
        <v>33939200</v>
      </c>
      <c r="P1381" s="18" t="str">
        <f aca="false">IF(N1381="N",B1381&amp;"|"&amp;ROUND(O1381,0),"")</f>
        <v>B7626080094|33939200</v>
      </c>
      <c r="Q1381" s="18" t="str">
        <f aca="false">IF(N1381&lt;&gt;"Y","",IFERROR(INDEX($D$6:$D$4005,MATCH(B1381&amp;"|"&amp;ROUND(_xlfn.MAXIFS($O$6:$O$4005,$B$6:$B$4005,B1381,$N$6:$N$4005,"N"),0),$P$6:$P$4005,0)),"(tanpa lawan)"))</f>
        <v/>
      </c>
      <c r="R1381" s="44"/>
      <c r="S1381" s="9" t="str">
        <f aca="false">IF(N1381&lt;&gt;"Y","",IF(R1381&lt;&gt;"",R1381,IF(Q1381="(tanpa lawan)","Transfer antar rekening",IFERROR(INDEX(I_COA!$F$6:$F$265,MATCH(Q1381,I_COA!$A$6:$A$265,0)),"?"))))</f>
        <v/>
      </c>
    </row>
    <row r="1382" customFormat="false" ht="15" hidden="false" customHeight="false" outlineLevel="0" collapsed="false">
      <c r="A1382" s="37" t="n">
        <v>46254</v>
      </c>
      <c r="B1382" s="44" t="s">
        <v>1687</v>
      </c>
      <c r="C1382" s="44" t="s">
        <v>580</v>
      </c>
      <c r="D1382" s="44" t="n">
        <v>1102008</v>
      </c>
      <c r="E1382" s="44" t="s">
        <v>781</v>
      </c>
      <c r="F1382" s="44" t="s">
        <v>782</v>
      </c>
      <c r="G1382" s="42" t="n">
        <v>400000000</v>
      </c>
      <c r="H1382" s="42"/>
      <c r="I1382" s="44"/>
      <c r="J1382" s="11" t="n">
        <f aca="false">IF(D1382="","",N(G1382)-N(H1382))</f>
        <v>400000000</v>
      </c>
      <c r="K1382" s="34" t="str">
        <f aca="false">IF(D1382="","",IFERROR(INDEX(I_COA!$C$6:$C$265,MATCH(D1382,I_COA!$A$6:$A$265,0)),"AKUN BARU"))</f>
        <v>Neraca</v>
      </c>
      <c r="L1382" s="34" t="str">
        <f aca="false">IF(K1382="LabaRugi",INDEX(I_COA!$D$6:$D$265,MATCH(D1382,I_COA!$A$6:$A$265,0)),"")</f>
        <v/>
      </c>
      <c r="M1382" s="34" t="str">
        <f aca="false">IF(K1382="Neraca",INDEX(I_COA!$E$6:$E$265,MATCH(D1382,I_COA!$A$6:$A$265,0)),"")</f>
        <v>Advance Payment</v>
      </c>
      <c r="N1382" s="34" t="str">
        <f aca="false">IF(D1382="","",IFERROR(INDEX(I_COA!$G$6:$G$265,MATCH(D1382,I_COA!$A$6:$A$265,0)),"N"))</f>
        <v>N</v>
      </c>
      <c r="O1382" s="11" t="n">
        <f aca="false">IF(N1382="N",ABS(J1382),"")</f>
        <v>400000000</v>
      </c>
      <c r="P1382" s="18" t="str">
        <f aca="false">IF(N1382="N",B1382&amp;"|"&amp;ROUND(O1382,0),"")</f>
        <v>B7726080011|400000000</v>
      </c>
      <c r="Q1382" s="18" t="str">
        <f aca="false">IF(N1382&lt;&gt;"Y","",IFERROR(INDEX($D$6:$D$4005,MATCH(B1382&amp;"|"&amp;ROUND(_xlfn.MAXIFS($O$6:$O$4005,$B$6:$B$4005,B1382,$N$6:$N$4005,"N"),0),$P$6:$P$4005,0)),"(tanpa lawan)"))</f>
        <v/>
      </c>
      <c r="R1382" s="44"/>
      <c r="S1382" s="9" t="str">
        <f aca="false">IF(N1382&lt;&gt;"Y","",IF(R1382&lt;&gt;"",R1382,IF(Q1382="(tanpa lawan)","Transfer antar rekening",IFERROR(INDEX(I_COA!$F$6:$F$265,MATCH(Q1382,I_COA!$A$6:$A$265,0)),"?"))))</f>
        <v/>
      </c>
    </row>
    <row r="1383" customFormat="false" ht="15" hidden="false" customHeight="false" outlineLevel="0" collapsed="false">
      <c r="A1383" s="37" t="n">
        <v>46254</v>
      </c>
      <c r="B1383" s="44" t="s">
        <v>1687</v>
      </c>
      <c r="C1383" s="44" t="s">
        <v>580</v>
      </c>
      <c r="D1383" s="44" t="n">
        <v>1102001</v>
      </c>
      <c r="E1383" s="44" t="s">
        <v>586</v>
      </c>
      <c r="F1383" s="44" t="s">
        <v>782</v>
      </c>
      <c r="G1383" s="42"/>
      <c r="H1383" s="42" t="n">
        <v>400000000</v>
      </c>
      <c r="I1383" s="44"/>
      <c r="J1383" s="11" t="n">
        <f aca="false">IF(D1383="","",N(G1383)-N(H1383))</f>
        <v>-400000000</v>
      </c>
      <c r="K1383" s="34" t="str">
        <f aca="false">IF(D1383="","",IFERROR(INDEX(I_COA!$C$6:$C$265,MATCH(D1383,I_COA!$A$6:$A$265,0)),"AKUN BARU"))</f>
        <v>Neraca</v>
      </c>
      <c r="L1383" s="34" t="str">
        <f aca="false">IF(K1383="LabaRugi",INDEX(I_COA!$D$6:$D$265,MATCH(D1383,I_COA!$A$6:$A$265,0)),"")</f>
        <v/>
      </c>
      <c r="M1383" s="34" t="str">
        <f aca="false">IF(K1383="Neraca",INDEX(I_COA!$E$6:$E$265,MATCH(D1383,I_COA!$A$6:$A$265,0)),"")</f>
        <v>Cash and cash equivalents</v>
      </c>
      <c r="N1383" s="34" t="str">
        <f aca="false">IF(D1383="","",IFERROR(INDEX(I_COA!$G$6:$G$265,MATCH(D1383,I_COA!$A$6:$A$265,0)),"N"))</f>
        <v>Y</v>
      </c>
      <c r="O1383" s="11" t="str">
        <f aca="false">IF(N1383="N",ABS(J1383),"")</f>
        <v/>
      </c>
      <c r="P1383" s="18" t="str">
        <f aca="false">IF(N1383="N",B1383&amp;"|"&amp;ROUND(O1383,0),"")</f>
        <v/>
      </c>
      <c r="Q1383" s="18" t="n">
        <f aca="false">IF(N1383&lt;&gt;"Y","",IFERROR(INDEX($D$6:$D$4005,MATCH(B1383&amp;"|"&amp;ROUND(_xlfn.MAXIFS($O$6:$O$4005,$B$6:$B$4005,B1383,$N$6:$N$4005,"N"),0),$P$6:$P$4005,0)),"(tanpa lawan)"))</f>
        <v>1102008</v>
      </c>
      <c r="R1383" s="44"/>
      <c r="S1383" s="9" t="str">
        <f aca="false">IF(N1383&lt;&gt;"Y","",IF(R1383&lt;&gt;"",R1383,IF(Q1383="(tanpa lawan)","Transfer antar rekening",IFERROR(INDEX(I_COA!$F$6:$F$265,MATCH(Q1383,I_COA!$A$6:$A$265,0)),"?"))))</f>
        <v>Transfer antar rekening</v>
      </c>
    </row>
    <row r="1384" customFormat="false" ht="15" hidden="false" customHeight="false" outlineLevel="0" collapsed="false">
      <c r="A1384" s="37" t="n">
        <v>46254</v>
      </c>
      <c r="B1384" s="44" t="s">
        <v>1688</v>
      </c>
      <c r="C1384" s="44" t="s">
        <v>580</v>
      </c>
      <c r="D1384" s="44" t="n">
        <v>1102002</v>
      </c>
      <c r="E1384" s="44" t="s">
        <v>598</v>
      </c>
      <c r="F1384" s="44" t="s">
        <v>784</v>
      </c>
      <c r="G1384" s="42" t="n">
        <v>400000000</v>
      </c>
      <c r="H1384" s="42"/>
      <c r="I1384" s="44"/>
      <c r="J1384" s="11" t="n">
        <f aca="false">IF(D1384="","",N(G1384)-N(H1384))</f>
        <v>400000000</v>
      </c>
      <c r="K1384" s="34" t="str">
        <f aca="false">IF(D1384="","",IFERROR(INDEX(I_COA!$C$6:$C$265,MATCH(D1384,I_COA!$A$6:$A$265,0)),"AKUN BARU"))</f>
        <v>Neraca</v>
      </c>
      <c r="L1384" s="34" t="str">
        <f aca="false">IF(K1384="LabaRugi",INDEX(I_COA!$D$6:$D$265,MATCH(D1384,I_COA!$A$6:$A$265,0)),"")</f>
        <v/>
      </c>
      <c r="M1384" s="34" t="str">
        <f aca="false">IF(K1384="Neraca",INDEX(I_COA!$E$6:$E$265,MATCH(D1384,I_COA!$A$6:$A$265,0)),"")</f>
        <v>Cash and cash equivalents</v>
      </c>
      <c r="N1384" s="34" t="str">
        <f aca="false">IF(D1384="","",IFERROR(INDEX(I_COA!$G$6:$G$265,MATCH(D1384,I_COA!$A$6:$A$265,0)),"N"))</f>
        <v>Y</v>
      </c>
      <c r="O1384" s="11" t="str">
        <f aca="false">IF(N1384="N",ABS(J1384),"")</f>
        <v/>
      </c>
      <c r="P1384" s="18" t="str">
        <f aca="false">IF(N1384="N",B1384&amp;"|"&amp;ROUND(O1384,0),"")</f>
        <v/>
      </c>
      <c r="Q1384" s="18" t="n">
        <f aca="false">IF(N1384&lt;&gt;"Y","",IFERROR(INDEX($D$6:$D$4005,MATCH(B1384&amp;"|"&amp;ROUND(_xlfn.MAXIFS($O$6:$O$4005,$B$6:$B$4005,B1384,$N$6:$N$4005,"N"),0),$P$6:$P$4005,0)),"(tanpa lawan)"))</f>
        <v>1102008</v>
      </c>
      <c r="R1384" s="44"/>
      <c r="S1384" s="9" t="str">
        <f aca="false">IF(N1384&lt;&gt;"Y","",IF(R1384&lt;&gt;"",R1384,IF(Q1384="(tanpa lawan)","Transfer antar rekening",IFERROR(INDEX(I_COA!$F$6:$F$265,MATCH(Q1384,I_COA!$A$6:$A$265,0)),"?"))))</f>
        <v>Transfer antar rekening</v>
      </c>
    </row>
    <row r="1385" customFormat="false" ht="15" hidden="false" customHeight="false" outlineLevel="0" collapsed="false">
      <c r="A1385" s="37" t="n">
        <v>46254</v>
      </c>
      <c r="B1385" s="44" t="s">
        <v>1688</v>
      </c>
      <c r="C1385" s="44" t="s">
        <v>580</v>
      </c>
      <c r="D1385" s="44" t="n">
        <v>1102008</v>
      </c>
      <c r="E1385" s="44" t="s">
        <v>781</v>
      </c>
      <c r="F1385" s="44" t="s">
        <v>784</v>
      </c>
      <c r="G1385" s="42"/>
      <c r="H1385" s="42" t="n">
        <v>400000000</v>
      </c>
      <c r="I1385" s="44"/>
      <c r="J1385" s="11" t="n">
        <f aca="false">IF(D1385="","",N(G1385)-N(H1385))</f>
        <v>-400000000</v>
      </c>
      <c r="K1385" s="34" t="str">
        <f aca="false">IF(D1385="","",IFERROR(INDEX(I_COA!$C$6:$C$265,MATCH(D1385,I_COA!$A$6:$A$265,0)),"AKUN BARU"))</f>
        <v>Neraca</v>
      </c>
      <c r="L1385" s="34" t="str">
        <f aca="false">IF(K1385="LabaRugi",INDEX(I_COA!$D$6:$D$265,MATCH(D1385,I_COA!$A$6:$A$265,0)),"")</f>
        <v/>
      </c>
      <c r="M1385" s="34" t="str">
        <f aca="false">IF(K1385="Neraca",INDEX(I_COA!$E$6:$E$265,MATCH(D1385,I_COA!$A$6:$A$265,0)),"")</f>
        <v>Advance Payment</v>
      </c>
      <c r="N1385" s="34" t="str">
        <f aca="false">IF(D1385="","",IFERROR(INDEX(I_COA!$G$6:$G$265,MATCH(D1385,I_COA!$A$6:$A$265,0)),"N"))</f>
        <v>N</v>
      </c>
      <c r="O1385" s="11" t="n">
        <f aca="false">IF(N1385="N",ABS(J1385),"")</f>
        <v>400000000</v>
      </c>
      <c r="P1385" s="18" t="str">
        <f aca="false">IF(N1385="N",B1385&amp;"|"&amp;ROUND(O1385,0),"")</f>
        <v>B8426080012|400000000</v>
      </c>
      <c r="Q1385" s="18" t="str">
        <f aca="false">IF(N1385&lt;&gt;"Y","",IFERROR(INDEX($D$6:$D$4005,MATCH(B1385&amp;"|"&amp;ROUND(_xlfn.MAXIFS($O$6:$O$4005,$B$6:$B$4005,B1385,$N$6:$N$4005,"N"),0),$P$6:$P$4005,0)),"(tanpa lawan)"))</f>
        <v/>
      </c>
      <c r="R1385" s="44"/>
      <c r="S1385" s="9" t="str">
        <f aca="false">IF(N1385&lt;&gt;"Y","",IF(R1385&lt;&gt;"",R1385,IF(Q1385="(tanpa lawan)","Transfer antar rekening",IFERROR(INDEX(I_COA!$F$6:$F$265,MATCH(Q1385,I_COA!$A$6:$A$265,0)),"?"))))</f>
        <v/>
      </c>
    </row>
    <row r="1386" customFormat="false" ht="15" hidden="false" customHeight="false" outlineLevel="0" collapsed="false">
      <c r="A1386" s="37" t="n">
        <v>46254</v>
      </c>
      <c r="B1386" s="44" t="s">
        <v>1689</v>
      </c>
      <c r="C1386" s="44" t="s">
        <v>580</v>
      </c>
      <c r="D1386" s="44" t="n">
        <v>1103121</v>
      </c>
      <c r="E1386" s="44" t="s">
        <v>685</v>
      </c>
      <c r="F1386" s="44" t="s">
        <v>1690</v>
      </c>
      <c r="G1386" s="42" t="n">
        <v>1260000</v>
      </c>
      <c r="H1386" s="42"/>
      <c r="I1386" s="44" t="s">
        <v>660</v>
      </c>
      <c r="J1386" s="11" t="n">
        <f aca="false">IF(D1386="","",N(G1386)-N(H1386))</f>
        <v>1260000</v>
      </c>
      <c r="K1386" s="34" t="str">
        <f aca="false">IF(D1386="","",IFERROR(INDEX(I_COA!$C$6:$C$265,MATCH(D1386,I_COA!$A$6:$A$265,0)),"AKUN BARU"))</f>
        <v>Neraca</v>
      </c>
      <c r="L1386" s="34" t="str">
        <f aca="false">IF(K1386="LabaRugi",INDEX(I_COA!$D$6:$D$265,MATCH(D1386,I_COA!$A$6:$A$265,0)),"")</f>
        <v/>
      </c>
      <c r="M1386" s="34" t="str">
        <f aca="false">IF(K1386="Neraca",INDEX(I_COA!$E$6:$E$265,MATCH(D1386,I_COA!$A$6:$A$265,0)),"")</f>
        <v>Advance Payment</v>
      </c>
      <c r="N1386" s="34" t="str">
        <f aca="false">IF(D1386="","",IFERROR(INDEX(I_COA!$G$6:$G$265,MATCH(D1386,I_COA!$A$6:$A$265,0)),"N"))</f>
        <v>N</v>
      </c>
      <c r="O1386" s="11" t="n">
        <f aca="false">IF(N1386="N",ABS(J1386),"")</f>
        <v>1260000</v>
      </c>
      <c r="P1386" s="18" t="str">
        <f aca="false">IF(N1386="N",B1386&amp;"|"&amp;ROUND(O1386,0),"")</f>
        <v>B8526080081|1260000</v>
      </c>
      <c r="Q1386" s="18" t="str">
        <f aca="false">IF(N1386&lt;&gt;"Y","",IFERROR(INDEX($D$6:$D$4005,MATCH(B1386&amp;"|"&amp;ROUND(_xlfn.MAXIFS($O$6:$O$4005,$B$6:$B$4005,B1386,$N$6:$N$4005,"N"),0),$P$6:$P$4005,0)),"(tanpa lawan)"))</f>
        <v/>
      </c>
      <c r="R1386" s="44"/>
      <c r="S1386" s="9" t="str">
        <f aca="false">IF(N1386&lt;&gt;"Y","",IF(R1386&lt;&gt;"",R1386,IF(Q1386="(tanpa lawan)","Transfer antar rekening",IFERROR(INDEX(I_COA!$F$6:$F$265,MATCH(Q1386,I_COA!$A$6:$A$265,0)),"?"))))</f>
        <v/>
      </c>
    </row>
    <row r="1387" customFormat="false" ht="15" hidden="false" customHeight="false" outlineLevel="0" collapsed="false">
      <c r="A1387" s="37" t="n">
        <v>46254</v>
      </c>
      <c r="B1387" s="44" t="s">
        <v>1689</v>
      </c>
      <c r="C1387" s="44" t="s">
        <v>580</v>
      </c>
      <c r="D1387" s="44" t="n">
        <v>1102002</v>
      </c>
      <c r="E1387" s="44" t="s">
        <v>598</v>
      </c>
      <c r="F1387" s="44" t="s">
        <v>1690</v>
      </c>
      <c r="G1387" s="42"/>
      <c r="H1387" s="42" t="n">
        <v>1260000</v>
      </c>
      <c r="I1387" s="44"/>
      <c r="J1387" s="11" t="n">
        <f aca="false">IF(D1387="","",N(G1387)-N(H1387))</f>
        <v>-1260000</v>
      </c>
      <c r="K1387" s="34" t="str">
        <f aca="false">IF(D1387="","",IFERROR(INDEX(I_COA!$C$6:$C$265,MATCH(D1387,I_COA!$A$6:$A$265,0)),"AKUN BARU"))</f>
        <v>Neraca</v>
      </c>
      <c r="L1387" s="34" t="str">
        <f aca="false">IF(K1387="LabaRugi",INDEX(I_COA!$D$6:$D$265,MATCH(D1387,I_COA!$A$6:$A$265,0)),"")</f>
        <v/>
      </c>
      <c r="M1387" s="34" t="str">
        <f aca="false">IF(K1387="Neraca",INDEX(I_COA!$E$6:$E$265,MATCH(D1387,I_COA!$A$6:$A$265,0)),"")</f>
        <v>Cash and cash equivalents</v>
      </c>
      <c r="N1387" s="34" t="str">
        <f aca="false">IF(D1387="","",IFERROR(INDEX(I_COA!$G$6:$G$265,MATCH(D1387,I_COA!$A$6:$A$265,0)),"N"))</f>
        <v>Y</v>
      </c>
      <c r="O1387" s="11" t="str">
        <f aca="false">IF(N1387="N",ABS(J1387),"")</f>
        <v/>
      </c>
      <c r="P1387" s="18" t="str">
        <f aca="false">IF(N1387="N",B1387&amp;"|"&amp;ROUND(O1387,0),"")</f>
        <v/>
      </c>
      <c r="Q1387" s="18" t="n">
        <f aca="false">IF(N1387&lt;&gt;"Y","",IFERROR(INDEX($D$6:$D$4005,MATCH(B1387&amp;"|"&amp;ROUND(_xlfn.MAXIFS($O$6:$O$4005,$B$6:$B$4005,B1387,$N$6:$N$4005,"N"),0),$P$6:$P$4005,0)),"(tanpa lawan)"))</f>
        <v>1103121</v>
      </c>
      <c r="R1387" s="44"/>
      <c r="S1387" s="9" t="str">
        <f aca="false">IF(N1387&lt;&gt;"Y","",IF(R1387&lt;&gt;"",R1387,IF(Q1387="(tanpa lawan)","Transfer antar rekening",IFERROR(INDEX(I_COA!$F$6:$F$265,MATCH(Q1387,I_COA!$A$6:$A$265,0)),"?"))))</f>
        <v>Bayar pemasok barang (live bird &amp; trading)</v>
      </c>
    </row>
    <row r="1388" customFormat="false" ht="15" hidden="false" customHeight="false" outlineLevel="0" collapsed="false">
      <c r="A1388" s="37" t="n">
        <v>46254</v>
      </c>
      <c r="B1388" s="44" t="s">
        <v>1691</v>
      </c>
      <c r="C1388" s="44" t="s">
        <v>594</v>
      </c>
      <c r="D1388" s="44" t="n">
        <v>2101001</v>
      </c>
      <c r="E1388" s="44" t="s">
        <v>595</v>
      </c>
      <c r="F1388" s="44" t="s">
        <v>1692</v>
      </c>
      <c r="G1388" s="42" t="n">
        <v>195293060</v>
      </c>
      <c r="H1388" s="42"/>
      <c r="I1388" s="44" t="s">
        <v>597</v>
      </c>
      <c r="J1388" s="11" t="n">
        <f aca="false">IF(D1388="","",N(G1388)-N(H1388))</f>
        <v>195293060</v>
      </c>
      <c r="K1388" s="34" t="str">
        <f aca="false">IF(D1388="","",IFERROR(INDEX(I_COA!$C$6:$C$265,MATCH(D1388,I_COA!$A$6:$A$265,0)),"AKUN BARU"))</f>
        <v>Neraca</v>
      </c>
      <c r="L1388" s="34" t="str">
        <f aca="false">IF(K1388="LabaRugi",INDEX(I_COA!$D$6:$D$265,MATCH(D1388,I_COA!$A$6:$A$265,0)),"")</f>
        <v/>
      </c>
      <c r="M1388" s="34" t="str">
        <f aca="false">IF(K1388="Neraca",INDEX(I_COA!$E$6:$E$265,MATCH(D1388,I_COA!$A$6:$A$265,0)),"")</f>
        <v>Trade Payables - Third Parties</v>
      </c>
      <c r="N1388" s="34" t="str">
        <f aca="false">IF(D1388="","",IFERROR(INDEX(I_COA!$G$6:$G$265,MATCH(D1388,I_COA!$A$6:$A$265,0)),"N"))</f>
        <v>N</v>
      </c>
      <c r="O1388" s="11" t="n">
        <f aca="false">IF(N1388="N",ABS(J1388),"")</f>
        <v>195293060</v>
      </c>
      <c r="P1388" s="18" t="str">
        <f aca="false">IF(N1388="N",B1388&amp;"|"&amp;ROUND(O1388,0),"")</f>
        <v>B8526080082A|195293060</v>
      </c>
      <c r="Q1388" s="18" t="str">
        <f aca="false">IF(N1388&lt;&gt;"Y","",IFERROR(INDEX($D$6:$D$4005,MATCH(B1388&amp;"|"&amp;ROUND(_xlfn.MAXIFS($O$6:$O$4005,$B$6:$B$4005,B1388,$N$6:$N$4005,"N"),0),$P$6:$P$4005,0)),"(tanpa lawan)"))</f>
        <v/>
      </c>
      <c r="R1388" s="44"/>
      <c r="S1388" s="9" t="str">
        <f aca="false">IF(N1388&lt;&gt;"Y","",IF(R1388&lt;&gt;"",R1388,IF(Q1388="(tanpa lawan)","Transfer antar rekening",IFERROR(INDEX(I_COA!$F$6:$F$265,MATCH(Q1388,I_COA!$A$6:$A$265,0)),"?"))))</f>
        <v/>
      </c>
    </row>
    <row r="1389" customFormat="false" ht="15" hidden="false" customHeight="false" outlineLevel="0" collapsed="false">
      <c r="A1389" s="37" t="n">
        <v>46254</v>
      </c>
      <c r="B1389" s="44" t="s">
        <v>1691</v>
      </c>
      <c r="C1389" s="44" t="s">
        <v>594</v>
      </c>
      <c r="D1389" s="44" t="n">
        <v>6200023</v>
      </c>
      <c r="E1389" s="44" t="s">
        <v>688</v>
      </c>
      <c r="F1389" s="44" t="s">
        <v>1692</v>
      </c>
      <c r="G1389" s="42"/>
      <c r="H1389" s="42" t="n">
        <v>10000</v>
      </c>
      <c r="I1389" s="44" t="s">
        <v>597</v>
      </c>
      <c r="J1389" s="11" t="n">
        <f aca="false">IF(D1389="","",N(G1389)-N(H1389))</f>
        <v>-10000</v>
      </c>
      <c r="K1389" s="34" t="str">
        <f aca="false">IF(D1389="","",IFERROR(INDEX(I_COA!$C$6:$C$265,MATCH(D1389,I_COA!$A$6:$A$265,0)),"AKUN BARU"))</f>
        <v>LabaRugi</v>
      </c>
      <c r="L1389" s="34" t="str">
        <f aca="false">IF(K1389="LabaRugi",INDEX(I_COA!$D$6:$D$265,MATCH(D1389,I_COA!$A$6:$A$265,0)),"")</f>
        <v>Tax expenses</v>
      </c>
      <c r="M1389" s="34" t="str">
        <f aca="false">IF(K1389="Neraca",INDEX(I_COA!$E$6:$E$265,MATCH(D1389,I_COA!$A$6:$A$265,0)),"")</f>
        <v/>
      </c>
      <c r="N1389" s="34" t="str">
        <f aca="false">IF(D1389="","",IFERROR(INDEX(I_COA!$G$6:$G$265,MATCH(D1389,I_COA!$A$6:$A$265,0)),"N"))</f>
        <v>N</v>
      </c>
      <c r="O1389" s="11" t="n">
        <f aca="false">IF(N1389="N",ABS(J1389),"")</f>
        <v>10000</v>
      </c>
      <c r="P1389" s="18" t="str">
        <f aca="false">IF(N1389="N",B1389&amp;"|"&amp;ROUND(O1389,0),"")</f>
        <v>B8526080082A|10000</v>
      </c>
      <c r="Q1389" s="18" t="str">
        <f aca="false">IF(N1389&lt;&gt;"Y","",IFERROR(INDEX($D$6:$D$4005,MATCH(B1389&amp;"|"&amp;ROUND(_xlfn.MAXIFS($O$6:$O$4005,$B$6:$B$4005,B1389,$N$6:$N$4005,"N"),0),$P$6:$P$4005,0)),"(tanpa lawan)"))</f>
        <v/>
      </c>
      <c r="R1389" s="44"/>
      <c r="S1389" s="9" t="str">
        <f aca="false">IF(N1389&lt;&gt;"Y","",IF(R1389&lt;&gt;"",R1389,IF(Q1389="(tanpa lawan)","Transfer antar rekening",IFERROR(INDEX(I_COA!$F$6:$F$265,MATCH(Q1389,I_COA!$A$6:$A$265,0)),"?"))))</f>
        <v/>
      </c>
    </row>
    <row r="1390" customFormat="false" ht="15" hidden="false" customHeight="false" outlineLevel="0" collapsed="false">
      <c r="A1390" s="37" t="n">
        <v>46254</v>
      </c>
      <c r="B1390" s="44" t="s">
        <v>1691</v>
      </c>
      <c r="C1390" s="44" t="s">
        <v>594</v>
      </c>
      <c r="D1390" s="44" t="n">
        <v>1102002</v>
      </c>
      <c r="E1390" s="44" t="s">
        <v>598</v>
      </c>
      <c r="F1390" s="44" t="s">
        <v>1692</v>
      </c>
      <c r="G1390" s="42"/>
      <c r="H1390" s="42" t="n">
        <v>195283060</v>
      </c>
      <c r="I1390" s="44" t="s">
        <v>597</v>
      </c>
      <c r="J1390" s="11" t="n">
        <f aca="false">IF(D1390="","",N(G1390)-N(H1390))</f>
        <v>-195283060</v>
      </c>
      <c r="K1390" s="34" t="str">
        <f aca="false">IF(D1390="","",IFERROR(INDEX(I_COA!$C$6:$C$265,MATCH(D1390,I_COA!$A$6:$A$265,0)),"AKUN BARU"))</f>
        <v>Neraca</v>
      </c>
      <c r="L1390" s="34" t="str">
        <f aca="false">IF(K1390="LabaRugi",INDEX(I_COA!$D$6:$D$265,MATCH(D1390,I_COA!$A$6:$A$265,0)),"")</f>
        <v/>
      </c>
      <c r="M1390" s="34" t="str">
        <f aca="false">IF(K1390="Neraca",INDEX(I_COA!$E$6:$E$265,MATCH(D1390,I_COA!$A$6:$A$265,0)),"")</f>
        <v>Cash and cash equivalents</v>
      </c>
      <c r="N1390" s="34" t="str">
        <f aca="false">IF(D1390="","",IFERROR(INDEX(I_COA!$G$6:$G$265,MATCH(D1390,I_COA!$A$6:$A$265,0)),"N"))</f>
        <v>Y</v>
      </c>
      <c r="O1390" s="11" t="str">
        <f aca="false">IF(N1390="N",ABS(J1390),"")</f>
        <v/>
      </c>
      <c r="P1390" s="18" t="str">
        <f aca="false">IF(N1390="N",B1390&amp;"|"&amp;ROUND(O1390,0),"")</f>
        <v/>
      </c>
      <c r="Q1390" s="18" t="n">
        <f aca="false">IF(N1390&lt;&gt;"Y","",IFERROR(INDEX($D$6:$D$4005,MATCH(B1390&amp;"|"&amp;ROUND(_xlfn.MAXIFS($O$6:$O$4005,$B$6:$B$4005,B1390,$N$6:$N$4005,"N"),0),$P$6:$P$4005,0)),"(tanpa lawan)"))</f>
        <v>2101001</v>
      </c>
      <c r="R1390" s="44"/>
      <c r="S1390" s="9" t="str">
        <f aca="false">IF(N1390&lt;&gt;"Y","",IF(R1390&lt;&gt;"",R1390,IF(Q1390="(tanpa lawan)","Transfer antar rekening",IFERROR(INDEX(I_COA!$F$6:$F$265,MATCH(Q1390,I_COA!$A$6:$A$265,0)),"?"))))</f>
        <v>Bayar pemasok barang (live bird &amp; trading)</v>
      </c>
    </row>
    <row r="1391" customFormat="false" ht="15" hidden="false" customHeight="false" outlineLevel="0" collapsed="false">
      <c r="A1391" s="37" t="n">
        <v>46254</v>
      </c>
      <c r="B1391" s="44" t="s">
        <v>1693</v>
      </c>
      <c r="C1391" s="44" t="s">
        <v>580</v>
      </c>
      <c r="D1391" s="44" t="n">
        <v>1103121</v>
      </c>
      <c r="E1391" s="44" t="s">
        <v>685</v>
      </c>
      <c r="F1391" s="44" t="s">
        <v>1694</v>
      </c>
      <c r="G1391" s="42" t="n">
        <v>15546940</v>
      </c>
      <c r="H1391" s="42"/>
      <c r="I1391" s="44" t="s">
        <v>660</v>
      </c>
      <c r="J1391" s="11" t="n">
        <f aca="false">IF(D1391="","",N(G1391)-N(H1391))</f>
        <v>15546940</v>
      </c>
      <c r="K1391" s="34" t="str">
        <f aca="false">IF(D1391="","",IFERROR(INDEX(I_COA!$C$6:$C$265,MATCH(D1391,I_COA!$A$6:$A$265,0)),"AKUN BARU"))</f>
        <v>Neraca</v>
      </c>
      <c r="L1391" s="34" t="str">
        <f aca="false">IF(K1391="LabaRugi",INDEX(I_COA!$D$6:$D$265,MATCH(D1391,I_COA!$A$6:$A$265,0)),"")</f>
        <v/>
      </c>
      <c r="M1391" s="34" t="str">
        <f aca="false">IF(K1391="Neraca",INDEX(I_COA!$E$6:$E$265,MATCH(D1391,I_COA!$A$6:$A$265,0)),"")</f>
        <v>Advance Payment</v>
      </c>
      <c r="N1391" s="34" t="str">
        <f aca="false">IF(D1391="","",IFERROR(INDEX(I_COA!$G$6:$G$265,MATCH(D1391,I_COA!$A$6:$A$265,0)),"N"))</f>
        <v>N</v>
      </c>
      <c r="O1391" s="11" t="n">
        <f aca="false">IF(N1391="N",ABS(J1391),"")</f>
        <v>15546940</v>
      </c>
      <c r="P1391" s="18" t="str">
        <f aca="false">IF(N1391="N",B1391&amp;"|"&amp;ROUND(O1391,0),"")</f>
        <v>B8526080082B|15546940</v>
      </c>
      <c r="Q1391" s="18" t="str">
        <f aca="false">IF(N1391&lt;&gt;"Y","",IFERROR(INDEX($D$6:$D$4005,MATCH(B1391&amp;"|"&amp;ROUND(_xlfn.MAXIFS($O$6:$O$4005,$B$6:$B$4005,B1391,$N$6:$N$4005,"N"),0),$P$6:$P$4005,0)),"(tanpa lawan)"))</f>
        <v/>
      </c>
      <c r="R1391" s="44"/>
      <c r="S1391" s="9" t="str">
        <f aca="false">IF(N1391&lt;&gt;"Y","",IF(R1391&lt;&gt;"",R1391,IF(Q1391="(tanpa lawan)","Transfer antar rekening",IFERROR(INDEX(I_COA!$F$6:$F$265,MATCH(Q1391,I_COA!$A$6:$A$265,0)),"?"))))</f>
        <v/>
      </c>
    </row>
    <row r="1392" customFormat="false" ht="15" hidden="false" customHeight="false" outlineLevel="0" collapsed="false">
      <c r="A1392" s="37" t="n">
        <v>46254</v>
      </c>
      <c r="B1392" s="44" t="s">
        <v>1693</v>
      </c>
      <c r="C1392" s="44" t="s">
        <v>580</v>
      </c>
      <c r="D1392" s="44" t="n">
        <v>1102002</v>
      </c>
      <c r="E1392" s="44" t="s">
        <v>598</v>
      </c>
      <c r="F1392" s="44" t="s">
        <v>1695</v>
      </c>
      <c r="G1392" s="42"/>
      <c r="H1392" s="42" t="n">
        <v>15546940</v>
      </c>
      <c r="I1392" s="44"/>
      <c r="J1392" s="11" t="n">
        <f aca="false">IF(D1392="","",N(G1392)-N(H1392))</f>
        <v>-15546940</v>
      </c>
      <c r="K1392" s="34" t="str">
        <f aca="false">IF(D1392="","",IFERROR(INDEX(I_COA!$C$6:$C$265,MATCH(D1392,I_COA!$A$6:$A$265,0)),"AKUN BARU"))</f>
        <v>Neraca</v>
      </c>
      <c r="L1392" s="34" t="str">
        <f aca="false">IF(K1392="LabaRugi",INDEX(I_COA!$D$6:$D$265,MATCH(D1392,I_COA!$A$6:$A$265,0)),"")</f>
        <v/>
      </c>
      <c r="M1392" s="34" t="str">
        <f aca="false">IF(K1392="Neraca",INDEX(I_COA!$E$6:$E$265,MATCH(D1392,I_COA!$A$6:$A$265,0)),"")</f>
        <v>Cash and cash equivalents</v>
      </c>
      <c r="N1392" s="34" t="str">
        <f aca="false">IF(D1392="","",IFERROR(INDEX(I_COA!$G$6:$G$265,MATCH(D1392,I_COA!$A$6:$A$265,0)),"N"))</f>
        <v>Y</v>
      </c>
      <c r="O1392" s="11" t="str">
        <f aca="false">IF(N1392="N",ABS(J1392),"")</f>
        <v/>
      </c>
      <c r="P1392" s="18" t="str">
        <f aca="false">IF(N1392="N",B1392&amp;"|"&amp;ROUND(O1392,0),"")</f>
        <v/>
      </c>
      <c r="Q1392" s="18" t="n">
        <f aca="false">IF(N1392&lt;&gt;"Y","",IFERROR(INDEX($D$6:$D$4005,MATCH(B1392&amp;"|"&amp;ROUND(_xlfn.MAXIFS($O$6:$O$4005,$B$6:$B$4005,B1392,$N$6:$N$4005,"N"),0),$P$6:$P$4005,0)),"(tanpa lawan)"))</f>
        <v>1103121</v>
      </c>
      <c r="R1392" s="44"/>
      <c r="S1392" s="9" t="str">
        <f aca="false">IF(N1392&lt;&gt;"Y","",IF(R1392&lt;&gt;"",R1392,IF(Q1392="(tanpa lawan)","Transfer antar rekening",IFERROR(INDEX(I_COA!$F$6:$F$265,MATCH(Q1392,I_COA!$A$6:$A$265,0)),"?"))))</f>
        <v>Bayar pemasok barang (live bird &amp; trading)</v>
      </c>
    </row>
    <row r="1393" customFormat="false" ht="15" hidden="false" customHeight="false" outlineLevel="0" collapsed="false">
      <c r="A1393" s="37" t="n">
        <v>46254</v>
      </c>
      <c r="B1393" s="44" t="s">
        <v>1696</v>
      </c>
      <c r="C1393" s="44" t="s">
        <v>594</v>
      </c>
      <c r="D1393" s="44" t="n">
        <v>2101003</v>
      </c>
      <c r="E1393" s="44" t="s">
        <v>679</v>
      </c>
      <c r="F1393" s="44" t="s">
        <v>1697</v>
      </c>
      <c r="G1393" s="42" t="n">
        <v>8775000</v>
      </c>
      <c r="H1393" s="42"/>
      <c r="I1393" s="44" t="s">
        <v>681</v>
      </c>
      <c r="J1393" s="11" t="n">
        <f aca="false">IF(D1393="","",N(G1393)-N(H1393))</f>
        <v>8775000</v>
      </c>
      <c r="K1393" s="34" t="str">
        <f aca="false">IF(D1393="","",IFERROR(INDEX(I_COA!$C$6:$C$265,MATCH(D1393,I_COA!$A$6:$A$265,0)),"AKUN BARU"))</f>
        <v>Neraca</v>
      </c>
      <c r="L1393" s="34" t="str">
        <f aca="false">IF(K1393="LabaRugi",INDEX(I_COA!$D$6:$D$265,MATCH(D1393,I_COA!$A$6:$A$265,0)),"")</f>
        <v/>
      </c>
      <c r="M1393" s="34" t="str">
        <f aca="false">IF(K1393="Neraca",INDEX(I_COA!$E$6:$E$265,MATCH(D1393,I_COA!$A$6:$A$265,0)),"")</f>
        <v>Other Payable - Third Parties</v>
      </c>
      <c r="N1393" s="34" t="str">
        <f aca="false">IF(D1393="","",IFERROR(INDEX(I_COA!$G$6:$G$265,MATCH(D1393,I_COA!$A$6:$A$265,0)),"N"))</f>
        <v>N</v>
      </c>
      <c r="O1393" s="11" t="n">
        <f aca="false">IF(N1393="N",ABS(J1393),"")</f>
        <v>8775000</v>
      </c>
      <c r="P1393" s="18" t="str">
        <f aca="false">IF(N1393="N",B1393&amp;"|"&amp;ROUND(O1393,0),"")</f>
        <v>B8526080083|8775000</v>
      </c>
      <c r="Q1393" s="18" t="str">
        <f aca="false">IF(N1393&lt;&gt;"Y","",IFERROR(INDEX($D$6:$D$4005,MATCH(B1393&amp;"|"&amp;ROUND(_xlfn.MAXIFS($O$6:$O$4005,$B$6:$B$4005,B1393,$N$6:$N$4005,"N"),0),$P$6:$P$4005,0)),"(tanpa lawan)"))</f>
        <v/>
      </c>
      <c r="R1393" s="44"/>
      <c r="S1393" s="9" t="str">
        <f aca="false">IF(N1393&lt;&gt;"Y","",IF(R1393&lt;&gt;"",R1393,IF(Q1393="(tanpa lawan)","Transfer antar rekening",IFERROR(INDEX(I_COA!$F$6:$F$265,MATCH(Q1393,I_COA!$A$6:$A$265,0)),"?"))))</f>
        <v/>
      </c>
    </row>
    <row r="1394" customFormat="false" ht="15" hidden="false" customHeight="false" outlineLevel="0" collapsed="false">
      <c r="A1394" s="37" t="n">
        <v>46254</v>
      </c>
      <c r="B1394" s="44" t="s">
        <v>1696</v>
      </c>
      <c r="C1394" s="44" t="s">
        <v>594</v>
      </c>
      <c r="D1394" s="44" t="n">
        <v>6200023</v>
      </c>
      <c r="E1394" s="44" t="s">
        <v>688</v>
      </c>
      <c r="F1394" s="44" t="s">
        <v>1697</v>
      </c>
      <c r="G1394" s="42"/>
      <c r="H1394" s="42" t="n">
        <v>10000</v>
      </c>
      <c r="I1394" s="44" t="s">
        <v>681</v>
      </c>
      <c r="J1394" s="11" t="n">
        <f aca="false">IF(D1394="","",N(G1394)-N(H1394))</f>
        <v>-10000</v>
      </c>
      <c r="K1394" s="34" t="str">
        <f aca="false">IF(D1394="","",IFERROR(INDEX(I_COA!$C$6:$C$265,MATCH(D1394,I_COA!$A$6:$A$265,0)),"AKUN BARU"))</f>
        <v>LabaRugi</v>
      </c>
      <c r="L1394" s="34" t="str">
        <f aca="false">IF(K1394="LabaRugi",INDEX(I_COA!$D$6:$D$265,MATCH(D1394,I_COA!$A$6:$A$265,0)),"")</f>
        <v>Tax expenses</v>
      </c>
      <c r="M1394" s="34" t="str">
        <f aca="false">IF(K1394="Neraca",INDEX(I_COA!$E$6:$E$265,MATCH(D1394,I_COA!$A$6:$A$265,0)),"")</f>
        <v/>
      </c>
      <c r="N1394" s="34" t="str">
        <f aca="false">IF(D1394="","",IFERROR(INDEX(I_COA!$G$6:$G$265,MATCH(D1394,I_COA!$A$6:$A$265,0)),"N"))</f>
        <v>N</v>
      </c>
      <c r="O1394" s="11" t="n">
        <f aca="false">IF(N1394="N",ABS(J1394),"")</f>
        <v>10000</v>
      </c>
      <c r="P1394" s="18" t="str">
        <f aca="false">IF(N1394="N",B1394&amp;"|"&amp;ROUND(O1394,0),"")</f>
        <v>B8526080083|10000</v>
      </c>
      <c r="Q1394" s="18" t="str">
        <f aca="false">IF(N1394&lt;&gt;"Y","",IFERROR(INDEX($D$6:$D$4005,MATCH(B1394&amp;"|"&amp;ROUND(_xlfn.MAXIFS($O$6:$O$4005,$B$6:$B$4005,B1394,$N$6:$N$4005,"N"),0),$P$6:$P$4005,0)),"(tanpa lawan)"))</f>
        <v/>
      </c>
      <c r="R1394" s="44"/>
      <c r="S1394" s="9" t="str">
        <f aca="false">IF(N1394&lt;&gt;"Y","",IF(R1394&lt;&gt;"",R1394,IF(Q1394="(tanpa lawan)","Transfer antar rekening",IFERROR(INDEX(I_COA!$F$6:$F$265,MATCH(Q1394,I_COA!$A$6:$A$265,0)),"?"))))</f>
        <v/>
      </c>
    </row>
    <row r="1395" customFormat="false" ht="15" hidden="false" customHeight="false" outlineLevel="0" collapsed="false">
      <c r="A1395" s="37" t="n">
        <v>46254</v>
      </c>
      <c r="B1395" s="44" t="s">
        <v>1696</v>
      </c>
      <c r="C1395" s="44" t="s">
        <v>594</v>
      </c>
      <c r="D1395" s="44" t="n">
        <v>1102002</v>
      </c>
      <c r="E1395" s="44" t="s">
        <v>598</v>
      </c>
      <c r="F1395" s="44" t="s">
        <v>1697</v>
      </c>
      <c r="G1395" s="42"/>
      <c r="H1395" s="42" t="n">
        <v>8765000</v>
      </c>
      <c r="I1395" s="44" t="s">
        <v>681</v>
      </c>
      <c r="J1395" s="11" t="n">
        <f aca="false">IF(D1395="","",N(G1395)-N(H1395))</f>
        <v>-8765000</v>
      </c>
      <c r="K1395" s="34" t="str">
        <f aca="false">IF(D1395="","",IFERROR(INDEX(I_COA!$C$6:$C$265,MATCH(D1395,I_COA!$A$6:$A$265,0)),"AKUN BARU"))</f>
        <v>Neraca</v>
      </c>
      <c r="L1395" s="34" t="str">
        <f aca="false">IF(K1395="LabaRugi",INDEX(I_COA!$D$6:$D$265,MATCH(D1395,I_COA!$A$6:$A$265,0)),"")</f>
        <v/>
      </c>
      <c r="M1395" s="34" t="str">
        <f aca="false">IF(K1395="Neraca",INDEX(I_COA!$E$6:$E$265,MATCH(D1395,I_COA!$A$6:$A$265,0)),"")</f>
        <v>Cash and cash equivalents</v>
      </c>
      <c r="N1395" s="34" t="str">
        <f aca="false">IF(D1395="","",IFERROR(INDEX(I_COA!$G$6:$G$265,MATCH(D1395,I_COA!$A$6:$A$265,0)),"N"))</f>
        <v>Y</v>
      </c>
      <c r="O1395" s="11" t="str">
        <f aca="false">IF(N1395="N",ABS(J1395),"")</f>
        <v/>
      </c>
      <c r="P1395" s="18" t="str">
        <f aca="false">IF(N1395="N",B1395&amp;"|"&amp;ROUND(O1395,0),"")</f>
        <v/>
      </c>
      <c r="Q1395" s="18" t="n">
        <f aca="false">IF(N1395&lt;&gt;"Y","",IFERROR(INDEX($D$6:$D$4005,MATCH(B1395&amp;"|"&amp;ROUND(_xlfn.MAXIFS($O$6:$O$4005,$B$6:$B$4005,B1395,$N$6:$N$4005,"N"),0),$P$6:$P$4005,0)),"(tanpa lawan)"))</f>
        <v>2101003</v>
      </c>
      <c r="R1395" s="44"/>
      <c r="S1395" s="9" t="str">
        <f aca="false">IF(N1395&lt;&gt;"Y","",IF(R1395&lt;&gt;"",R1395,IF(Q1395="(tanpa lawan)","Transfer antar rekening",IFERROR(INDEX(I_COA!$F$6:$F$265,MATCH(Q1395,I_COA!$A$6:$A$265,0)),"?"))))</f>
        <v>Bayar jasa (maklon, angkut, cold storage, sewa)</v>
      </c>
    </row>
    <row r="1396" customFormat="false" ht="15" hidden="false" customHeight="false" outlineLevel="0" collapsed="false">
      <c r="A1396" s="37" t="n">
        <v>46254</v>
      </c>
      <c r="B1396" s="44" t="s">
        <v>1698</v>
      </c>
      <c r="C1396" s="44" t="s">
        <v>594</v>
      </c>
      <c r="D1396" s="44" t="n">
        <v>2101003</v>
      </c>
      <c r="E1396" s="44" t="s">
        <v>679</v>
      </c>
      <c r="F1396" s="44" t="s">
        <v>1699</v>
      </c>
      <c r="G1396" s="42" t="n">
        <v>8775000</v>
      </c>
      <c r="H1396" s="42"/>
      <c r="I1396" s="44" t="s">
        <v>681</v>
      </c>
      <c r="J1396" s="11" t="n">
        <f aca="false">IF(D1396="","",N(G1396)-N(H1396))</f>
        <v>8775000</v>
      </c>
      <c r="K1396" s="34" t="str">
        <f aca="false">IF(D1396="","",IFERROR(INDEX(I_COA!$C$6:$C$265,MATCH(D1396,I_COA!$A$6:$A$265,0)),"AKUN BARU"))</f>
        <v>Neraca</v>
      </c>
      <c r="L1396" s="34" t="str">
        <f aca="false">IF(K1396="LabaRugi",INDEX(I_COA!$D$6:$D$265,MATCH(D1396,I_COA!$A$6:$A$265,0)),"")</f>
        <v/>
      </c>
      <c r="M1396" s="34" t="str">
        <f aca="false">IF(K1396="Neraca",INDEX(I_COA!$E$6:$E$265,MATCH(D1396,I_COA!$A$6:$A$265,0)),"")</f>
        <v>Other Payable - Third Parties</v>
      </c>
      <c r="N1396" s="34" t="str">
        <f aca="false">IF(D1396="","",IFERROR(INDEX(I_COA!$G$6:$G$265,MATCH(D1396,I_COA!$A$6:$A$265,0)),"N"))</f>
        <v>N</v>
      </c>
      <c r="O1396" s="11" t="n">
        <f aca="false">IF(N1396="N",ABS(J1396),"")</f>
        <v>8775000</v>
      </c>
      <c r="P1396" s="18" t="str">
        <f aca="false">IF(N1396="N",B1396&amp;"|"&amp;ROUND(O1396,0),"")</f>
        <v>B8526080084|8775000</v>
      </c>
      <c r="Q1396" s="18" t="str">
        <f aca="false">IF(N1396&lt;&gt;"Y","",IFERROR(INDEX($D$6:$D$4005,MATCH(B1396&amp;"|"&amp;ROUND(_xlfn.MAXIFS($O$6:$O$4005,$B$6:$B$4005,B1396,$N$6:$N$4005,"N"),0),$P$6:$P$4005,0)),"(tanpa lawan)"))</f>
        <v/>
      </c>
      <c r="R1396" s="44"/>
      <c r="S1396" s="9" t="str">
        <f aca="false">IF(N1396&lt;&gt;"Y","",IF(R1396&lt;&gt;"",R1396,IF(Q1396="(tanpa lawan)","Transfer antar rekening",IFERROR(INDEX(I_COA!$F$6:$F$265,MATCH(Q1396,I_COA!$A$6:$A$265,0)),"?"))))</f>
        <v/>
      </c>
    </row>
    <row r="1397" customFormat="false" ht="15" hidden="false" customHeight="false" outlineLevel="0" collapsed="false">
      <c r="A1397" s="37" t="n">
        <v>46254</v>
      </c>
      <c r="B1397" s="44" t="s">
        <v>1698</v>
      </c>
      <c r="C1397" s="44" t="s">
        <v>594</v>
      </c>
      <c r="D1397" s="44" t="n">
        <v>6200023</v>
      </c>
      <c r="E1397" s="44" t="s">
        <v>688</v>
      </c>
      <c r="F1397" s="44" t="s">
        <v>1699</v>
      </c>
      <c r="G1397" s="42"/>
      <c r="H1397" s="42" t="n">
        <v>10000</v>
      </c>
      <c r="I1397" s="44" t="s">
        <v>681</v>
      </c>
      <c r="J1397" s="11" t="n">
        <f aca="false">IF(D1397="","",N(G1397)-N(H1397))</f>
        <v>-10000</v>
      </c>
      <c r="K1397" s="34" t="str">
        <f aca="false">IF(D1397="","",IFERROR(INDEX(I_COA!$C$6:$C$265,MATCH(D1397,I_COA!$A$6:$A$265,0)),"AKUN BARU"))</f>
        <v>LabaRugi</v>
      </c>
      <c r="L1397" s="34" t="str">
        <f aca="false">IF(K1397="LabaRugi",INDEX(I_COA!$D$6:$D$265,MATCH(D1397,I_COA!$A$6:$A$265,0)),"")</f>
        <v>Tax expenses</v>
      </c>
      <c r="M1397" s="34" t="str">
        <f aca="false">IF(K1397="Neraca",INDEX(I_COA!$E$6:$E$265,MATCH(D1397,I_COA!$A$6:$A$265,0)),"")</f>
        <v/>
      </c>
      <c r="N1397" s="34" t="str">
        <f aca="false">IF(D1397="","",IFERROR(INDEX(I_COA!$G$6:$G$265,MATCH(D1397,I_COA!$A$6:$A$265,0)),"N"))</f>
        <v>N</v>
      </c>
      <c r="O1397" s="11" t="n">
        <f aca="false">IF(N1397="N",ABS(J1397),"")</f>
        <v>10000</v>
      </c>
      <c r="P1397" s="18" t="str">
        <f aca="false">IF(N1397="N",B1397&amp;"|"&amp;ROUND(O1397,0),"")</f>
        <v>B8526080084|10000</v>
      </c>
      <c r="Q1397" s="18" t="str">
        <f aca="false">IF(N1397&lt;&gt;"Y","",IFERROR(INDEX($D$6:$D$4005,MATCH(B1397&amp;"|"&amp;ROUND(_xlfn.MAXIFS($O$6:$O$4005,$B$6:$B$4005,B1397,$N$6:$N$4005,"N"),0),$P$6:$P$4005,0)),"(tanpa lawan)"))</f>
        <v/>
      </c>
      <c r="R1397" s="44"/>
      <c r="S1397" s="9" t="str">
        <f aca="false">IF(N1397&lt;&gt;"Y","",IF(R1397&lt;&gt;"",R1397,IF(Q1397="(tanpa lawan)","Transfer antar rekening",IFERROR(INDEX(I_COA!$F$6:$F$265,MATCH(Q1397,I_COA!$A$6:$A$265,0)),"?"))))</f>
        <v/>
      </c>
    </row>
    <row r="1398" customFormat="false" ht="15" hidden="false" customHeight="false" outlineLevel="0" collapsed="false">
      <c r="A1398" s="37" t="n">
        <v>46254</v>
      </c>
      <c r="B1398" s="44" t="s">
        <v>1698</v>
      </c>
      <c r="C1398" s="44" t="s">
        <v>594</v>
      </c>
      <c r="D1398" s="44" t="n">
        <v>1102002</v>
      </c>
      <c r="E1398" s="44" t="s">
        <v>598</v>
      </c>
      <c r="F1398" s="44" t="s">
        <v>1699</v>
      </c>
      <c r="G1398" s="42"/>
      <c r="H1398" s="42" t="n">
        <v>8765000</v>
      </c>
      <c r="I1398" s="44" t="s">
        <v>681</v>
      </c>
      <c r="J1398" s="11" t="n">
        <f aca="false">IF(D1398="","",N(G1398)-N(H1398))</f>
        <v>-8765000</v>
      </c>
      <c r="K1398" s="34" t="str">
        <f aca="false">IF(D1398="","",IFERROR(INDEX(I_COA!$C$6:$C$265,MATCH(D1398,I_COA!$A$6:$A$265,0)),"AKUN BARU"))</f>
        <v>Neraca</v>
      </c>
      <c r="L1398" s="34" t="str">
        <f aca="false">IF(K1398="LabaRugi",INDEX(I_COA!$D$6:$D$265,MATCH(D1398,I_COA!$A$6:$A$265,0)),"")</f>
        <v/>
      </c>
      <c r="M1398" s="34" t="str">
        <f aca="false">IF(K1398="Neraca",INDEX(I_COA!$E$6:$E$265,MATCH(D1398,I_COA!$A$6:$A$265,0)),"")</f>
        <v>Cash and cash equivalents</v>
      </c>
      <c r="N1398" s="34" t="str">
        <f aca="false">IF(D1398="","",IFERROR(INDEX(I_COA!$G$6:$G$265,MATCH(D1398,I_COA!$A$6:$A$265,0)),"N"))</f>
        <v>Y</v>
      </c>
      <c r="O1398" s="11" t="str">
        <f aca="false">IF(N1398="N",ABS(J1398),"")</f>
        <v/>
      </c>
      <c r="P1398" s="18" t="str">
        <f aca="false">IF(N1398="N",B1398&amp;"|"&amp;ROUND(O1398,0),"")</f>
        <v/>
      </c>
      <c r="Q1398" s="18" t="n">
        <f aca="false">IF(N1398&lt;&gt;"Y","",IFERROR(INDEX($D$6:$D$4005,MATCH(B1398&amp;"|"&amp;ROUND(_xlfn.MAXIFS($O$6:$O$4005,$B$6:$B$4005,B1398,$N$6:$N$4005,"N"),0),$P$6:$P$4005,0)),"(tanpa lawan)"))</f>
        <v>2101003</v>
      </c>
      <c r="R1398" s="44"/>
      <c r="S1398" s="9" t="str">
        <f aca="false">IF(N1398&lt;&gt;"Y","",IF(R1398&lt;&gt;"",R1398,IF(Q1398="(tanpa lawan)","Transfer antar rekening",IFERROR(INDEX(I_COA!$F$6:$F$265,MATCH(Q1398,I_COA!$A$6:$A$265,0)),"?"))))</f>
        <v>Bayar jasa (maklon, angkut, cold storage, sewa)</v>
      </c>
    </row>
    <row r="1399" customFormat="false" ht="15" hidden="false" customHeight="false" outlineLevel="0" collapsed="false">
      <c r="A1399" s="37" t="n">
        <v>46254</v>
      </c>
      <c r="B1399" s="44" t="s">
        <v>1700</v>
      </c>
      <c r="C1399" s="44" t="s">
        <v>690</v>
      </c>
      <c r="D1399" s="44" t="n">
        <v>1104003</v>
      </c>
      <c r="E1399" s="44" t="s">
        <v>613</v>
      </c>
      <c r="F1399" s="44" t="s">
        <v>1701</v>
      </c>
      <c r="G1399" s="42" t="n">
        <v>211621388.52</v>
      </c>
      <c r="H1399" s="42"/>
      <c r="I1399" s="44" t="s">
        <v>597</v>
      </c>
      <c r="J1399" s="11" t="n">
        <f aca="false">IF(D1399="","",N(G1399)-N(H1399))</f>
        <v>211621388.52</v>
      </c>
      <c r="K1399" s="34" t="str">
        <f aca="false">IF(D1399="","",IFERROR(INDEX(I_COA!$C$6:$C$265,MATCH(D1399,I_COA!$A$6:$A$265,0)),"AKUN BARU"))</f>
        <v>Neraca</v>
      </c>
      <c r="L1399" s="34" t="str">
        <f aca="false">IF(K1399="LabaRugi",INDEX(I_COA!$D$6:$D$265,MATCH(D1399,I_COA!$A$6:$A$265,0)),"")</f>
        <v/>
      </c>
      <c r="M1399" s="34" t="str">
        <f aca="false">IF(K1399="Neraca",INDEX(I_COA!$E$6:$E$265,MATCH(D1399,I_COA!$A$6:$A$265,0)),"")</f>
        <v>Inventory - Product</v>
      </c>
      <c r="N1399" s="34" t="str">
        <f aca="false">IF(D1399="","",IFERROR(INDEX(I_COA!$G$6:$G$265,MATCH(D1399,I_COA!$A$6:$A$265,0)),"N"))</f>
        <v>N</v>
      </c>
      <c r="O1399" s="11" t="n">
        <f aca="false">IF(N1399="N",ABS(J1399),"")</f>
        <v>211621388.52</v>
      </c>
      <c r="P1399" s="18" t="str">
        <f aca="false">IF(N1399="N",B1399&amp;"|"&amp;ROUND(O1399,0),"")</f>
        <v>GR26080012|211621389</v>
      </c>
      <c r="Q1399" s="18" t="str">
        <f aca="false">IF(N1399&lt;&gt;"Y","",IFERROR(INDEX($D$6:$D$4005,MATCH(B1399&amp;"|"&amp;ROUND(_xlfn.MAXIFS($O$6:$O$4005,$B$6:$B$4005,B1399,$N$6:$N$4005,"N"),0),$P$6:$P$4005,0)),"(tanpa lawan)"))</f>
        <v/>
      </c>
      <c r="R1399" s="44"/>
      <c r="S1399" s="9" t="str">
        <f aca="false">IF(N1399&lt;&gt;"Y","",IF(R1399&lt;&gt;"",R1399,IF(Q1399="(tanpa lawan)","Transfer antar rekening",IFERROR(INDEX(I_COA!$F$6:$F$265,MATCH(Q1399,I_COA!$A$6:$A$265,0)),"?"))))</f>
        <v/>
      </c>
    </row>
    <row r="1400" customFormat="false" ht="15" hidden="false" customHeight="false" outlineLevel="0" collapsed="false">
      <c r="A1400" s="37" t="n">
        <v>46254</v>
      </c>
      <c r="B1400" s="44" t="s">
        <v>1700</v>
      </c>
      <c r="C1400" s="44" t="s">
        <v>690</v>
      </c>
      <c r="D1400" s="44" t="n">
        <v>2103011</v>
      </c>
      <c r="E1400" s="44" t="s">
        <v>693</v>
      </c>
      <c r="F1400" s="44" t="s">
        <v>1701</v>
      </c>
      <c r="G1400" s="42"/>
      <c r="H1400" s="42" t="n">
        <v>226693920.22</v>
      </c>
      <c r="I1400" s="44" t="s">
        <v>597</v>
      </c>
      <c r="J1400" s="11" t="n">
        <f aca="false">IF(D1400="","",N(G1400)-N(H1400))</f>
        <v>-226693920.22</v>
      </c>
      <c r="K1400" s="34" t="str">
        <f aca="false">IF(D1400="","",IFERROR(INDEX(I_COA!$C$6:$C$265,MATCH(D1400,I_COA!$A$6:$A$265,0)),"AKUN BARU"))</f>
        <v>Neraca</v>
      </c>
      <c r="L1400" s="34" t="str">
        <f aca="false">IF(K1400="LabaRugi",INDEX(I_COA!$D$6:$D$265,MATCH(D1400,I_COA!$A$6:$A$265,0)),"")</f>
        <v/>
      </c>
      <c r="M1400" s="34" t="str">
        <f aca="false">IF(K1400="Neraca",INDEX(I_COA!$E$6:$E$265,MATCH(D1400,I_COA!$A$6:$A$265,0)),"")</f>
        <v>Accrued Expenses - Third Parties</v>
      </c>
      <c r="N1400" s="34" t="str">
        <f aca="false">IF(D1400="","",IFERROR(INDEX(I_COA!$G$6:$G$265,MATCH(D1400,I_COA!$A$6:$A$265,0)),"N"))</f>
        <v>N</v>
      </c>
      <c r="O1400" s="11" t="n">
        <f aca="false">IF(N1400="N",ABS(J1400),"")</f>
        <v>226693920.22</v>
      </c>
      <c r="P1400" s="18" t="str">
        <f aca="false">IF(N1400="N",B1400&amp;"|"&amp;ROUND(O1400,0),"")</f>
        <v>GR26080012|226693920</v>
      </c>
      <c r="Q1400" s="18" t="str">
        <f aca="false">IF(N1400&lt;&gt;"Y","",IFERROR(INDEX($D$6:$D$4005,MATCH(B1400&amp;"|"&amp;ROUND(_xlfn.MAXIFS($O$6:$O$4005,$B$6:$B$4005,B1400,$N$6:$N$4005,"N"),0),$P$6:$P$4005,0)),"(tanpa lawan)"))</f>
        <v/>
      </c>
      <c r="R1400" s="44"/>
      <c r="S1400" s="9" t="str">
        <f aca="false">IF(N1400&lt;&gt;"Y","",IF(R1400&lt;&gt;"",R1400,IF(Q1400="(tanpa lawan)","Transfer antar rekening",IFERROR(INDEX(I_COA!$F$6:$F$265,MATCH(Q1400,I_COA!$A$6:$A$265,0)),"?"))))</f>
        <v/>
      </c>
    </row>
    <row r="1401" customFormat="false" ht="15" hidden="false" customHeight="false" outlineLevel="0" collapsed="false">
      <c r="A1401" s="37" t="n">
        <v>46254</v>
      </c>
      <c r="B1401" s="44" t="s">
        <v>1700</v>
      </c>
      <c r="C1401" s="44" t="s">
        <v>690</v>
      </c>
      <c r="D1401" s="44" t="n">
        <v>1104004</v>
      </c>
      <c r="E1401" s="44" t="s">
        <v>917</v>
      </c>
      <c r="F1401" s="44" t="s">
        <v>1701</v>
      </c>
      <c r="G1401" s="42" t="n">
        <v>15072531.71</v>
      </c>
      <c r="H1401" s="42"/>
      <c r="I1401" s="44" t="s">
        <v>597</v>
      </c>
      <c r="J1401" s="11" t="n">
        <f aca="false">IF(D1401="","",N(G1401)-N(H1401))</f>
        <v>15072531.71</v>
      </c>
      <c r="K1401" s="34" t="str">
        <f aca="false">IF(D1401="","",IFERROR(INDEX(I_COA!$C$6:$C$265,MATCH(D1401,I_COA!$A$6:$A$265,0)),"AKUN BARU"))</f>
        <v>Neraca</v>
      </c>
      <c r="L1401" s="34" t="str">
        <f aca="false">IF(K1401="LabaRugi",INDEX(I_COA!$D$6:$D$265,MATCH(D1401,I_COA!$A$6:$A$265,0)),"")</f>
        <v/>
      </c>
      <c r="M1401" s="34" t="str">
        <f aca="false">IF(K1401="Neraca",INDEX(I_COA!$E$6:$E$265,MATCH(D1401,I_COA!$A$6:$A$265,0)),"")</f>
        <v>Inventory - Product</v>
      </c>
      <c r="N1401" s="34" t="str">
        <f aca="false">IF(D1401="","",IFERROR(INDEX(I_COA!$G$6:$G$265,MATCH(D1401,I_COA!$A$6:$A$265,0)),"N"))</f>
        <v>N</v>
      </c>
      <c r="O1401" s="11" t="n">
        <f aca="false">IF(N1401="N",ABS(J1401),"")</f>
        <v>15072531.71</v>
      </c>
      <c r="P1401" s="18" t="str">
        <f aca="false">IF(N1401="N",B1401&amp;"|"&amp;ROUND(O1401,0),"")</f>
        <v>GR26080012|15072532</v>
      </c>
      <c r="Q1401" s="18" t="str">
        <f aca="false">IF(N1401&lt;&gt;"Y","",IFERROR(INDEX($D$6:$D$4005,MATCH(B1401&amp;"|"&amp;ROUND(_xlfn.MAXIFS($O$6:$O$4005,$B$6:$B$4005,B1401,$N$6:$N$4005,"N"),0),$P$6:$P$4005,0)),"(tanpa lawan)"))</f>
        <v/>
      </c>
      <c r="R1401" s="44"/>
      <c r="S1401" s="9" t="str">
        <f aca="false">IF(N1401&lt;&gt;"Y","",IF(R1401&lt;&gt;"",R1401,IF(Q1401="(tanpa lawan)","Transfer antar rekening",IFERROR(INDEX(I_COA!$F$6:$F$265,MATCH(Q1401,I_COA!$A$6:$A$265,0)),"?"))))</f>
        <v/>
      </c>
    </row>
    <row r="1402" customFormat="false" ht="15" hidden="false" customHeight="false" outlineLevel="0" collapsed="false">
      <c r="A1402" s="37" t="n">
        <v>46254</v>
      </c>
      <c r="B1402" s="44" t="s">
        <v>1702</v>
      </c>
      <c r="C1402" s="44" t="s">
        <v>690</v>
      </c>
      <c r="D1402" s="44" t="n">
        <v>1104006</v>
      </c>
      <c r="E1402" s="44" t="s">
        <v>212</v>
      </c>
      <c r="F1402" s="44" t="s">
        <v>1703</v>
      </c>
      <c r="G1402" s="42" t="n">
        <v>619191797.73</v>
      </c>
      <c r="H1402" s="42"/>
      <c r="I1402" s="44" t="s">
        <v>597</v>
      </c>
      <c r="J1402" s="11" t="n">
        <f aca="false">IF(D1402="","",N(G1402)-N(H1402))</f>
        <v>619191797.73</v>
      </c>
      <c r="K1402" s="34" t="str">
        <f aca="false">IF(D1402="","",IFERROR(INDEX(I_COA!$C$6:$C$265,MATCH(D1402,I_COA!$A$6:$A$265,0)),"AKUN BARU"))</f>
        <v>Neraca</v>
      </c>
      <c r="L1402" s="34" t="str">
        <f aca="false">IF(K1402="LabaRugi",INDEX(I_COA!$D$6:$D$265,MATCH(D1402,I_COA!$A$6:$A$265,0)),"")</f>
        <v/>
      </c>
      <c r="M1402" s="34" t="str">
        <f aca="false">IF(K1402="Neraca",INDEX(I_COA!$E$6:$E$265,MATCH(D1402,I_COA!$A$6:$A$265,0)),"")</f>
        <v>Inventory - Trading</v>
      </c>
      <c r="N1402" s="34" t="str">
        <f aca="false">IF(D1402="","",IFERROR(INDEX(I_COA!$G$6:$G$265,MATCH(D1402,I_COA!$A$6:$A$265,0)),"N"))</f>
        <v>N</v>
      </c>
      <c r="O1402" s="11" t="n">
        <f aca="false">IF(N1402="N",ABS(J1402),"")</f>
        <v>619191797.73</v>
      </c>
      <c r="P1402" s="18" t="str">
        <f aca="false">IF(N1402="N",B1402&amp;"|"&amp;ROUND(O1402,0),"")</f>
        <v>GR26080015|619191798</v>
      </c>
      <c r="Q1402" s="18" t="str">
        <f aca="false">IF(N1402&lt;&gt;"Y","",IFERROR(INDEX($D$6:$D$4005,MATCH(B1402&amp;"|"&amp;ROUND(_xlfn.MAXIFS($O$6:$O$4005,$B$6:$B$4005,B1402,$N$6:$N$4005,"N"),0),$P$6:$P$4005,0)),"(tanpa lawan)"))</f>
        <v/>
      </c>
      <c r="R1402" s="44"/>
      <c r="S1402" s="9" t="str">
        <f aca="false">IF(N1402&lt;&gt;"Y","",IF(R1402&lt;&gt;"",R1402,IF(Q1402="(tanpa lawan)","Transfer antar rekening",IFERROR(INDEX(I_COA!$F$6:$F$265,MATCH(Q1402,I_COA!$A$6:$A$265,0)),"?"))))</f>
        <v/>
      </c>
    </row>
    <row r="1403" customFormat="false" ht="15" hidden="false" customHeight="false" outlineLevel="0" collapsed="false">
      <c r="A1403" s="37" t="n">
        <v>46254</v>
      </c>
      <c r="B1403" s="44" t="s">
        <v>1702</v>
      </c>
      <c r="C1403" s="44" t="s">
        <v>690</v>
      </c>
      <c r="D1403" s="44" t="n">
        <v>2103011</v>
      </c>
      <c r="E1403" s="44" t="s">
        <v>693</v>
      </c>
      <c r="F1403" s="44" t="s">
        <v>1703</v>
      </c>
      <c r="G1403" s="42"/>
      <c r="H1403" s="42" t="n">
        <v>619191797.73</v>
      </c>
      <c r="I1403" s="44" t="s">
        <v>597</v>
      </c>
      <c r="J1403" s="11" t="n">
        <f aca="false">IF(D1403="","",N(G1403)-N(H1403))</f>
        <v>-619191797.73</v>
      </c>
      <c r="K1403" s="34" t="str">
        <f aca="false">IF(D1403="","",IFERROR(INDEX(I_COA!$C$6:$C$265,MATCH(D1403,I_COA!$A$6:$A$265,0)),"AKUN BARU"))</f>
        <v>Neraca</v>
      </c>
      <c r="L1403" s="34" t="str">
        <f aca="false">IF(K1403="LabaRugi",INDEX(I_COA!$D$6:$D$265,MATCH(D1403,I_COA!$A$6:$A$265,0)),"")</f>
        <v/>
      </c>
      <c r="M1403" s="34" t="str">
        <f aca="false">IF(K1403="Neraca",INDEX(I_COA!$E$6:$E$265,MATCH(D1403,I_COA!$A$6:$A$265,0)),"")</f>
        <v>Accrued Expenses - Third Parties</v>
      </c>
      <c r="N1403" s="34" t="str">
        <f aca="false">IF(D1403="","",IFERROR(INDEX(I_COA!$G$6:$G$265,MATCH(D1403,I_COA!$A$6:$A$265,0)),"N"))</f>
        <v>N</v>
      </c>
      <c r="O1403" s="11" t="n">
        <f aca="false">IF(N1403="N",ABS(J1403),"")</f>
        <v>619191797.73</v>
      </c>
      <c r="P1403" s="18" t="str">
        <f aca="false">IF(N1403="N",B1403&amp;"|"&amp;ROUND(O1403,0),"")</f>
        <v>GR26080015|619191798</v>
      </c>
      <c r="Q1403" s="18" t="str">
        <f aca="false">IF(N1403&lt;&gt;"Y","",IFERROR(INDEX($D$6:$D$4005,MATCH(B1403&amp;"|"&amp;ROUND(_xlfn.MAXIFS($O$6:$O$4005,$B$6:$B$4005,B1403,$N$6:$N$4005,"N"),0),$P$6:$P$4005,0)),"(tanpa lawan)"))</f>
        <v/>
      </c>
      <c r="R1403" s="44"/>
      <c r="S1403" s="9" t="str">
        <f aca="false">IF(N1403&lt;&gt;"Y","",IF(R1403&lt;&gt;"",R1403,IF(Q1403="(tanpa lawan)","Transfer antar rekening",IFERROR(INDEX(I_COA!$F$6:$F$265,MATCH(Q1403,I_COA!$A$6:$A$265,0)),"?"))))</f>
        <v/>
      </c>
    </row>
    <row r="1404" customFormat="false" ht="15" hidden="false" customHeight="false" outlineLevel="0" collapsed="false">
      <c r="A1404" s="37" t="n">
        <v>46254</v>
      </c>
      <c r="B1404" s="44" t="s">
        <v>1704</v>
      </c>
      <c r="C1404" s="44" t="s">
        <v>600</v>
      </c>
      <c r="D1404" s="44" t="n">
        <v>1104002</v>
      </c>
      <c r="E1404" s="44" t="s">
        <v>601</v>
      </c>
      <c r="F1404" s="44" t="s">
        <v>1705</v>
      </c>
      <c r="G1404" s="42" t="n">
        <v>107136648.54</v>
      </c>
      <c r="H1404" s="42"/>
      <c r="I1404" s="44" t="s">
        <v>451</v>
      </c>
      <c r="J1404" s="11" t="n">
        <f aca="false">IF(D1404="","",N(G1404)-N(H1404))</f>
        <v>107136648.54</v>
      </c>
      <c r="K1404" s="34" t="str">
        <f aca="false">IF(D1404="","",IFERROR(INDEX(I_COA!$C$6:$C$265,MATCH(D1404,I_COA!$A$6:$A$265,0)),"AKUN BARU"))</f>
        <v>Neraca</v>
      </c>
      <c r="L1404" s="34" t="str">
        <f aca="false">IF(K1404="LabaRugi",INDEX(I_COA!$D$6:$D$265,MATCH(D1404,I_COA!$A$6:$A$265,0)),"")</f>
        <v/>
      </c>
      <c r="M1404" s="34" t="str">
        <f aca="false">IF(K1404="Neraca",INDEX(I_COA!$E$6:$E$265,MATCH(D1404,I_COA!$A$6:$A$265,0)),"")</f>
        <v>Inventory - Product</v>
      </c>
      <c r="N1404" s="34" t="str">
        <f aca="false">IF(D1404="","",IFERROR(INDEX(I_COA!$G$6:$G$265,MATCH(D1404,I_COA!$A$6:$A$265,0)),"N"))</f>
        <v>N</v>
      </c>
      <c r="O1404" s="11" t="n">
        <f aca="false">IF(N1404="N",ABS(J1404),"")</f>
        <v>107136648.54</v>
      </c>
      <c r="P1404" s="18" t="str">
        <f aca="false">IF(N1404="N",B1404&amp;"|"&amp;ROUND(O1404,0),"")</f>
        <v>KGR26.00264|107136649</v>
      </c>
      <c r="Q1404" s="18" t="str">
        <f aca="false">IF(N1404&lt;&gt;"Y","",IFERROR(INDEX($D$6:$D$4005,MATCH(B1404&amp;"|"&amp;ROUND(_xlfn.MAXIFS($O$6:$O$4005,$B$6:$B$4005,B1404,$N$6:$N$4005,"N"),0),$P$6:$P$4005,0)),"(tanpa lawan)"))</f>
        <v/>
      </c>
      <c r="R1404" s="44"/>
      <c r="S1404" s="9" t="str">
        <f aca="false">IF(N1404&lt;&gt;"Y","",IF(R1404&lt;&gt;"",R1404,IF(Q1404="(tanpa lawan)","Transfer antar rekening",IFERROR(INDEX(I_COA!$F$6:$F$265,MATCH(Q1404,I_COA!$A$6:$A$265,0)),"?"))))</f>
        <v/>
      </c>
    </row>
    <row r="1405" customFormat="false" ht="15" hidden="false" customHeight="false" outlineLevel="0" collapsed="false">
      <c r="A1405" s="37" t="n">
        <v>46254</v>
      </c>
      <c r="B1405" s="44" t="s">
        <v>1704</v>
      </c>
      <c r="C1405" s="44" t="s">
        <v>600</v>
      </c>
      <c r="D1405" s="44" t="n">
        <v>1104006</v>
      </c>
      <c r="E1405" s="44" t="s">
        <v>212</v>
      </c>
      <c r="F1405" s="44" t="s">
        <v>1705</v>
      </c>
      <c r="G1405" s="42"/>
      <c r="H1405" s="42" t="n">
        <v>107136648.54</v>
      </c>
      <c r="I1405" s="44" t="s">
        <v>451</v>
      </c>
      <c r="J1405" s="11" t="n">
        <f aca="false">IF(D1405="","",N(G1405)-N(H1405))</f>
        <v>-107136648.54</v>
      </c>
      <c r="K1405" s="34" t="str">
        <f aca="false">IF(D1405="","",IFERROR(INDEX(I_COA!$C$6:$C$265,MATCH(D1405,I_COA!$A$6:$A$265,0)),"AKUN BARU"))</f>
        <v>Neraca</v>
      </c>
      <c r="L1405" s="34" t="str">
        <f aca="false">IF(K1405="LabaRugi",INDEX(I_COA!$D$6:$D$265,MATCH(D1405,I_COA!$A$6:$A$265,0)),"")</f>
        <v/>
      </c>
      <c r="M1405" s="34" t="str">
        <f aca="false">IF(K1405="Neraca",INDEX(I_COA!$E$6:$E$265,MATCH(D1405,I_COA!$A$6:$A$265,0)),"")</f>
        <v>Inventory - Trading</v>
      </c>
      <c r="N1405" s="34" t="str">
        <f aca="false">IF(D1405="","",IFERROR(INDEX(I_COA!$G$6:$G$265,MATCH(D1405,I_COA!$A$6:$A$265,0)),"N"))</f>
        <v>N</v>
      </c>
      <c r="O1405" s="11" t="n">
        <f aca="false">IF(N1405="N",ABS(J1405),"")</f>
        <v>107136648.54</v>
      </c>
      <c r="P1405" s="18" t="str">
        <f aca="false">IF(N1405="N",B1405&amp;"|"&amp;ROUND(O1405,0),"")</f>
        <v>KGR26.00264|107136649</v>
      </c>
      <c r="Q1405" s="18" t="str">
        <f aca="false">IF(N1405&lt;&gt;"Y","",IFERROR(INDEX($D$6:$D$4005,MATCH(B1405&amp;"|"&amp;ROUND(_xlfn.MAXIFS($O$6:$O$4005,$B$6:$B$4005,B1405,$N$6:$N$4005,"N"),0),$P$6:$P$4005,0)),"(tanpa lawan)"))</f>
        <v/>
      </c>
      <c r="R1405" s="44"/>
      <c r="S1405" s="9" t="str">
        <f aca="false">IF(N1405&lt;&gt;"Y","",IF(R1405&lt;&gt;"",R1405,IF(Q1405="(tanpa lawan)","Transfer antar rekening",IFERROR(INDEX(I_COA!$F$6:$F$265,MATCH(Q1405,I_COA!$A$6:$A$265,0)),"?"))))</f>
        <v/>
      </c>
    </row>
    <row r="1406" customFormat="false" ht="15" hidden="false" customHeight="false" outlineLevel="0" collapsed="false">
      <c r="A1406" s="37" t="n">
        <v>46254</v>
      </c>
      <c r="B1406" s="44" t="s">
        <v>1706</v>
      </c>
      <c r="C1406" s="44" t="s">
        <v>600</v>
      </c>
      <c r="D1406" s="44" t="n">
        <v>1104002</v>
      </c>
      <c r="E1406" s="44" t="s">
        <v>601</v>
      </c>
      <c r="F1406" s="44" t="s">
        <v>1707</v>
      </c>
      <c r="G1406" s="42" t="n">
        <v>36325906.95</v>
      </c>
      <c r="H1406" s="42"/>
      <c r="I1406" s="44" t="s">
        <v>457</v>
      </c>
      <c r="J1406" s="11" t="n">
        <f aca="false">IF(D1406="","",N(G1406)-N(H1406))</f>
        <v>36325906.95</v>
      </c>
      <c r="K1406" s="34" t="str">
        <f aca="false">IF(D1406="","",IFERROR(INDEX(I_COA!$C$6:$C$265,MATCH(D1406,I_COA!$A$6:$A$265,0)),"AKUN BARU"))</f>
        <v>Neraca</v>
      </c>
      <c r="L1406" s="34" t="str">
        <f aca="false">IF(K1406="LabaRugi",INDEX(I_COA!$D$6:$D$265,MATCH(D1406,I_COA!$A$6:$A$265,0)),"")</f>
        <v/>
      </c>
      <c r="M1406" s="34" t="str">
        <f aca="false">IF(K1406="Neraca",INDEX(I_COA!$E$6:$E$265,MATCH(D1406,I_COA!$A$6:$A$265,0)),"")</f>
        <v>Inventory - Product</v>
      </c>
      <c r="N1406" s="34" t="str">
        <f aca="false">IF(D1406="","",IFERROR(INDEX(I_COA!$G$6:$G$265,MATCH(D1406,I_COA!$A$6:$A$265,0)),"N"))</f>
        <v>N</v>
      </c>
      <c r="O1406" s="11" t="n">
        <f aca="false">IF(N1406="N",ABS(J1406),"")</f>
        <v>36325906.95</v>
      </c>
      <c r="P1406" s="18" t="str">
        <f aca="false">IF(N1406="N",B1406&amp;"|"&amp;ROUND(O1406,0),"")</f>
        <v>KGR26.00295|36325907</v>
      </c>
      <c r="Q1406" s="18" t="str">
        <f aca="false">IF(N1406&lt;&gt;"Y","",IFERROR(INDEX($D$6:$D$4005,MATCH(B1406&amp;"|"&amp;ROUND(_xlfn.MAXIFS($O$6:$O$4005,$B$6:$B$4005,B1406,$N$6:$N$4005,"N"),0),$P$6:$P$4005,0)),"(tanpa lawan)"))</f>
        <v/>
      </c>
      <c r="R1406" s="44"/>
      <c r="S1406" s="9" t="str">
        <f aca="false">IF(N1406&lt;&gt;"Y","",IF(R1406&lt;&gt;"",R1406,IF(Q1406="(tanpa lawan)","Transfer antar rekening",IFERROR(INDEX(I_COA!$F$6:$F$265,MATCH(Q1406,I_COA!$A$6:$A$265,0)),"?"))))</f>
        <v/>
      </c>
    </row>
    <row r="1407" customFormat="false" ht="15" hidden="false" customHeight="false" outlineLevel="0" collapsed="false">
      <c r="A1407" s="37" t="n">
        <v>46254</v>
      </c>
      <c r="B1407" s="44" t="s">
        <v>1706</v>
      </c>
      <c r="C1407" s="44" t="s">
        <v>600</v>
      </c>
      <c r="D1407" s="44" t="n">
        <v>1104003</v>
      </c>
      <c r="E1407" s="44" t="s">
        <v>613</v>
      </c>
      <c r="F1407" s="44" t="s">
        <v>1707</v>
      </c>
      <c r="G1407" s="42"/>
      <c r="H1407" s="42" t="n">
        <v>36325906.95</v>
      </c>
      <c r="I1407" s="44" t="s">
        <v>457</v>
      </c>
      <c r="J1407" s="11" t="n">
        <f aca="false">IF(D1407="","",N(G1407)-N(H1407))</f>
        <v>-36325906.95</v>
      </c>
      <c r="K1407" s="34" t="str">
        <f aca="false">IF(D1407="","",IFERROR(INDEX(I_COA!$C$6:$C$265,MATCH(D1407,I_COA!$A$6:$A$265,0)),"AKUN BARU"))</f>
        <v>Neraca</v>
      </c>
      <c r="L1407" s="34" t="str">
        <f aca="false">IF(K1407="LabaRugi",INDEX(I_COA!$D$6:$D$265,MATCH(D1407,I_COA!$A$6:$A$265,0)),"")</f>
        <v/>
      </c>
      <c r="M1407" s="34" t="str">
        <f aca="false">IF(K1407="Neraca",INDEX(I_COA!$E$6:$E$265,MATCH(D1407,I_COA!$A$6:$A$265,0)),"")</f>
        <v>Inventory - Product</v>
      </c>
      <c r="N1407" s="34" t="str">
        <f aca="false">IF(D1407="","",IFERROR(INDEX(I_COA!$G$6:$G$265,MATCH(D1407,I_COA!$A$6:$A$265,0)),"N"))</f>
        <v>N</v>
      </c>
      <c r="O1407" s="11" t="n">
        <f aca="false">IF(N1407="N",ABS(J1407),"")</f>
        <v>36325906.95</v>
      </c>
      <c r="P1407" s="18" t="str">
        <f aca="false">IF(N1407="N",B1407&amp;"|"&amp;ROUND(O1407,0),"")</f>
        <v>KGR26.00295|36325907</v>
      </c>
      <c r="Q1407" s="18" t="str">
        <f aca="false">IF(N1407&lt;&gt;"Y","",IFERROR(INDEX($D$6:$D$4005,MATCH(B1407&amp;"|"&amp;ROUND(_xlfn.MAXIFS($O$6:$O$4005,$B$6:$B$4005,B1407,$N$6:$N$4005,"N"),0),$P$6:$P$4005,0)),"(tanpa lawan)"))</f>
        <v/>
      </c>
      <c r="R1407" s="44"/>
      <c r="S1407" s="9" t="str">
        <f aca="false">IF(N1407&lt;&gt;"Y","",IF(R1407&lt;&gt;"",R1407,IF(Q1407="(tanpa lawan)","Transfer antar rekening",IFERROR(INDEX(I_COA!$F$6:$F$265,MATCH(Q1407,I_COA!$A$6:$A$265,0)),"?"))))</f>
        <v/>
      </c>
    </row>
    <row r="1408" customFormat="false" ht="15" hidden="false" customHeight="false" outlineLevel="0" collapsed="false">
      <c r="A1408" s="37" t="n">
        <v>46254</v>
      </c>
      <c r="B1408" s="44" t="s">
        <v>1708</v>
      </c>
      <c r="C1408" s="44" t="s">
        <v>600</v>
      </c>
      <c r="D1408" s="44" t="n">
        <v>1104002</v>
      </c>
      <c r="E1408" s="44" t="s">
        <v>601</v>
      </c>
      <c r="F1408" s="44" t="s">
        <v>1709</v>
      </c>
      <c r="G1408" s="42" t="n">
        <v>28207896.97</v>
      </c>
      <c r="H1408" s="42"/>
      <c r="I1408" s="44" t="s">
        <v>432</v>
      </c>
      <c r="J1408" s="11" t="n">
        <f aca="false">IF(D1408="","",N(G1408)-N(H1408))</f>
        <v>28207896.97</v>
      </c>
      <c r="K1408" s="34" t="str">
        <f aca="false">IF(D1408="","",IFERROR(INDEX(I_COA!$C$6:$C$265,MATCH(D1408,I_COA!$A$6:$A$265,0)),"AKUN BARU"))</f>
        <v>Neraca</v>
      </c>
      <c r="L1408" s="34" t="str">
        <f aca="false">IF(K1408="LabaRugi",INDEX(I_COA!$D$6:$D$265,MATCH(D1408,I_COA!$A$6:$A$265,0)),"")</f>
        <v/>
      </c>
      <c r="M1408" s="34" t="str">
        <f aca="false">IF(K1408="Neraca",INDEX(I_COA!$E$6:$E$265,MATCH(D1408,I_COA!$A$6:$A$265,0)),"")</f>
        <v>Inventory - Product</v>
      </c>
      <c r="N1408" s="34" t="str">
        <f aca="false">IF(D1408="","",IFERROR(INDEX(I_COA!$G$6:$G$265,MATCH(D1408,I_COA!$A$6:$A$265,0)),"N"))</f>
        <v>N</v>
      </c>
      <c r="O1408" s="11" t="n">
        <f aca="false">IF(N1408="N",ABS(J1408),"")</f>
        <v>28207896.97</v>
      </c>
      <c r="P1408" s="18" t="str">
        <f aca="false">IF(N1408="N",B1408&amp;"|"&amp;ROUND(O1408,0),"")</f>
        <v>KGR26.00296|28207897</v>
      </c>
      <c r="Q1408" s="18" t="str">
        <f aca="false">IF(N1408&lt;&gt;"Y","",IFERROR(INDEX($D$6:$D$4005,MATCH(B1408&amp;"|"&amp;ROUND(_xlfn.MAXIFS($O$6:$O$4005,$B$6:$B$4005,B1408,$N$6:$N$4005,"N"),0),$P$6:$P$4005,0)),"(tanpa lawan)"))</f>
        <v/>
      </c>
      <c r="R1408" s="44"/>
      <c r="S1408" s="9" t="str">
        <f aca="false">IF(N1408&lt;&gt;"Y","",IF(R1408&lt;&gt;"",R1408,IF(Q1408="(tanpa lawan)","Transfer antar rekening",IFERROR(INDEX(I_COA!$F$6:$F$265,MATCH(Q1408,I_COA!$A$6:$A$265,0)),"?"))))</f>
        <v/>
      </c>
    </row>
    <row r="1409" customFormat="false" ht="15" hidden="false" customHeight="false" outlineLevel="0" collapsed="false">
      <c r="A1409" s="37" t="n">
        <v>46254</v>
      </c>
      <c r="B1409" s="44" t="s">
        <v>1708</v>
      </c>
      <c r="C1409" s="44" t="s">
        <v>600</v>
      </c>
      <c r="D1409" s="44" t="n">
        <v>1104006</v>
      </c>
      <c r="E1409" s="44" t="s">
        <v>212</v>
      </c>
      <c r="F1409" s="44" t="s">
        <v>1709</v>
      </c>
      <c r="G1409" s="42"/>
      <c r="H1409" s="42" t="n">
        <v>20301342.65</v>
      </c>
      <c r="I1409" s="44" t="s">
        <v>432</v>
      </c>
      <c r="J1409" s="11" t="n">
        <f aca="false">IF(D1409="","",N(G1409)-N(H1409))</f>
        <v>-20301342.65</v>
      </c>
      <c r="K1409" s="34" t="str">
        <f aca="false">IF(D1409="","",IFERROR(INDEX(I_COA!$C$6:$C$265,MATCH(D1409,I_COA!$A$6:$A$265,0)),"AKUN BARU"))</f>
        <v>Neraca</v>
      </c>
      <c r="L1409" s="34" t="str">
        <f aca="false">IF(K1409="LabaRugi",INDEX(I_COA!$D$6:$D$265,MATCH(D1409,I_COA!$A$6:$A$265,0)),"")</f>
        <v/>
      </c>
      <c r="M1409" s="34" t="str">
        <f aca="false">IF(K1409="Neraca",INDEX(I_COA!$E$6:$E$265,MATCH(D1409,I_COA!$A$6:$A$265,0)),"")</f>
        <v>Inventory - Trading</v>
      </c>
      <c r="N1409" s="34" t="str">
        <f aca="false">IF(D1409="","",IFERROR(INDEX(I_COA!$G$6:$G$265,MATCH(D1409,I_COA!$A$6:$A$265,0)),"N"))</f>
        <v>N</v>
      </c>
      <c r="O1409" s="11" t="n">
        <f aca="false">IF(N1409="N",ABS(J1409),"")</f>
        <v>20301342.65</v>
      </c>
      <c r="P1409" s="18" t="str">
        <f aca="false">IF(N1409="N",B1409&amp;"|"&amp;ROUND(O1409,0),"")</f>
        <v>KGR26.00296|20301343</v>
      </c>
      <c r="Q1409" s="18" t="str">
        <f aca="false">IF(N1409&lt;&gt;"Y","",IFERROR(INDEX($D$6:$D$4005,MATCH(B1409&amp;"|"&amp;ROUND(_xlfn.MAXIFS($O$6:$O$4005,$B$6:$B$4005,B1409,$N$6:$N$4005,"N"),0),$P$6:$P$4005,0)),"(tanpa lawan)"))</f>
        <v/>
      </c>
      <c r="R1409" s="44"/>
      <c r="S1409" s="9" t="str">
        <f aca="false">IF(N1409&lt;&gt;"Y","",IF(R1409&lt;&gt;"",R1409,IF(Q1409="(tanpa lawan)","Transfer antar rekening",IFERROR(INDEX(I_COA!$F$6:$F$265,MATCH(Q1409,I_COA!$A$6:$A$265,0)),"?"))))</f>
        <v/>
      </c>
    </row>
    <row r="1410" customFormat="false" ht="15" hidden="false" customHeight="false" outlineLevel="0" collapsed="false">
      <c r="A1410" s="37" t="n">
        <v>46254</v>
      </c>
      <c r="B1410" s="44" t="s">
        <v>1708</v>
      </c>
      <c r="C1410" s="44" t="s">
        <v>600</v>
      </c>
      <c r="D1410" s="44" t="n">
        <v>1104003</v>
      </c>
      <c r="E1410" s="44" t="s">
        <v>613</v>
      </c>
      <c r="F1410" s="44" t="s">
        <v>1709</v>
      </c>
      <c r="G1410" s="42"/>
      <c r="H1410" s="42" t="n">
        <v>7906554.33</v>
      </c>
      <c r="I1410" s="44" t="s">
        <v>432</v>
      </c>
      <c r="J1410" s="11" t="n">
        <f aca="false">IF(D1410="","",N(G1410)-N(H1410))</f>
        <v>-7906554.33</v>
      </c>
      <c r="K1410" s="34" t="str">
        <f aca="false">IF(D1410="","",IFERROR(INDEX(I_COA!$C$6:$C$265,MATCH(D1410,I_COA!$A$6:$A$265,0)),"AKUN BARU"))</f>
        <v>Neraca</v>
      </c>
      <c r="L1410" s="34" t="str">
        <f aca="false">IF(K1410="LabaRugi",INDEX(I_COA!$D$6:$D$265,MATCH(D1410,I_COA!$A$6:$A$265,0)),"")</f>
        <v/>
      </c>
      <c r="M1410" s="34" t="str">
        <f aca="false">IF(K1410="Neraca",INDEX(I_COA!$E$6:$E$265,MATCH(D1410,I_COA!$A$6:$A$265,0)),"")</f>
        <v>Inventory - Product</v>
      </c>
      <c r="N1410" s="34" t="str">
        <f aca="false">IF(D1410="","",IFERROR(INDEX(I_COA!$G$6:$G$265,MATCH(D1410,I_COA!$A$6:$A$265,0)),"N"))</f>
        <v>N</v>
      </c>
      <c r="O1410" s="11" t="n">
        <f aca="false">IF(N1410="N",ABS(J1410),"")</f>
        <v>7906554.33</v>
      </c>
      <c r="P1410" s="18" t="str">
        <f aca="false">IF(N1410="N",B1410&amp;"|"&amp;ROUND(O1410,0),"")</f>
        <v>KGR26.00296|7906554</v>
      </c>
      <c r="Q1410" s="18" t="str">
        <f aca="false">IF(N1410&lt;&gt;"Y","",IFERROR(INDEX($D$6:$D$4005,MATCH(B1410&amp;"|"&amp;ROUND(_xlfn.MAXIFS($O$6:$O$4005,$B$6:$B$4005,B1410,$N$6:$N$4005,"N"),0),$P$6:$P$4005,0)),"(tanpa lawan)"))</f>
        <v/>
      </c>
      <c r="R1410" s="44"/>
      <c r="S1410" s="9" t="str">
        <f aca="false">IF(N1410&lt;&gt;"Y","",IF(R1410&lt;&gt;"",R1410,IF(Q1410="(tanpa lawan)","Transfer antar rekening",IFERROR(INDEX(I_COA!$F$6:$F$265,MATCH(Q1410,I_COA!$A$6:$A$265,0)),"?"))))</f>
        <v/>
      </c>
    </row>
    <row r="1411" customFormat="false" ht="15" hidden="false" customHeight="false" outlineLevel="0" collapsed="false">
      <c r="A1411" s="37" t="n">
        <v>46254</v>
      </c>
      <c r="B1411" s="44" t="s">
        <v>1710</v>
      </c>
      <c r="C1411" s="44" t="s">
        <v>600</v>
      </c>
      <c r="D1411" s="44" t="n">
        <v>1104002</v>
      </c>
      <c r="E1411" s="44" t="s">
        <v>601</v>
      </c>
      <c r="F1411" s="44" t="s">
        <v>1711</v>
      </c>
      <c r="G1411" s="42" t="n">
        <v>91939919.6</v>
      </c>
      <c r="H1411" s="42"/>
      <c r="I1411" s="44" t="s">
        <v>451</v>
      </c>
      <c r="J1411" s="11" t="n">
        <f aca="false">IF(D1411="","",N(G1411)-N(H1411))</f>
        <v>91939919.6</v>
      </c>
      <c r="K1411" s="34" t="str">
        <f aca="false">IF(D1411="","",IFERROR(INDEX(I_COA!$C$6:$C$265,MATCH(D1411,I_COA!$A$6:$A$265,0)),"AKUN BARU"))</f>
        <v>Neraca</v>
      </c>
      <c r="L1411" s="34" t="str">
        <f aca="false">IF(K1411="LabaRugi",INDEX(I_COA!$D$6:$D$265,MATCH(D1411,I_COA!$A$6:$A$265,0)),"")</f>
        <v/>
      </c>
      <c r="M1411" s="34" t="str">
        <f aca="false">IF(K1411="Neraca",INDEX(I_COA!$E$6:$E$265,MATCH(D1411,I_COA!$A$6:$A$265,0)),"")</f>
        <v>Inventory - Product</v>
      </c>
      <c r="N1411" s="34" t="str">
        <f aca="false">IF(D1411="","",IFERROR(INDEX(I_COA!$G$6:$G$265,MATCH(D1411,I_COA!$A$6:$A$265,0)),"N"))</f>
        <v>N</v>
      </c>
      <c r="O1411" s="11" t="n">
        <f aca="false">IF(N1411="N",ABS(J1411),"")</f>
        <v>91939919.6</v>
      </c>
      <c r="P1411" s="18" t="str">
        <f aca="false">IF(N1411="N",B1411&amp;"|"&amp;ROUND(O1411,0),"")</f>
        <v>KGR26.00297|91939920</v>
      </c>
      <c r="Q1411" s="18" t="str">
        <f aca="false">IF(N1411&lt;&gt;"Y","",IFERROR(INDEX($D$6:$D$4005,MATCH(B1411&amp;"|"&amp;ROUND(_xlfn.MAXIFS($O$6:$O$4005,$B$6:$B$4005,B1411,$N$6:$N$4005,"N"),0),$P$6:$P$4005,0)),"(tanpa lawan)"))</f>
        <v/>
      </c>
      <c r="R1411" s="44"/>
      <c r="S1411" s="9" t="str">
        <f aca="false">IF(N1411&lt;&gt;"Y","",IF(R1411&lt;&gt;"",R1411,IF(Q1411="(tanpa lawan)","Transfer antar rekening",IFERROR(INDEX(I_COA!$F$6:$F$265,MATCH(Q1411,I_COA!$A$6:$A$265,0)),"?"))))</f>
        <v/>
      </c>
    </row>
    <row r="1412" customFormat="false" ht="15" hidden="false" customHeight="false" outlineLevel="0" collapsed="false">
      <c r="A1412" s="37" t="n">
        <v>46254</v>
      </c>
      <c r="B1412" s="44" t="s">
        <v>1710</v>
      </c>
      <c r="C1412" s="44" t="s">
        <v>600</v>
      </c>
      <c r="D1412" s="44" t="n">
        <v>1104006</v>
      </c>
      <c r="E1412" s="44" t="s">
        <v>212</v>
      </c>
      <c r="F1412" s="44" t="s">
        <v>1711</v>
      </c>
      <c r="G1412" s="42"/>
      <c r="H1412" s="42" t="n">
        <v>91939919.6</v>
      </c>
      <c r="I1412" s="44" t="s">
        <v>451</v>
      </c>
      <c r="J1412" s="11" t="n">
        <f aca="false">IF(D1412="","",N(G1412)-N(H1412))</f>
        <v>-91939919.6</v>
      </c>
      <c r="K1412" s="34" t="str">
        <f aca="false">IF(D1412="","",IFERROR(INDEX(I_COA!$C$6:$C$265,MATCH(D1412,I_COA!$A$6:$A$265,0)),"AKUN BARU"))</f>
        <v>Neraca</v>
      </c>
      <c r="L1412" s="34" t="str">
        <f aca="false">IF(K1412="LabaRugi",INDEX(I_COA!$D$6:$D$265,MATCH(D1412,I_COA!$A$6:$A$265,0)),"")</f>
        <v/>
      </c>
      <c r="M1412" s="34" t="str">
        <f aca="false">IF(K1412="Neraca",INDEX(I_COA!$E$6:$E$265,MATCH(D1412,I_COA!$A$6:$A$265,0)),"")</f>
        <v>Inventory - Trading</v>
      </c>
      <c r="N1412" s="34" t="str">
        <f aca="false">IF(D1412="","",IFERROR(INDEX(I_COA!$G$6:$G$265,MATCH(D1412,I_COA!$A$6:$A$265,0)),"N"))</f>
        <v>N</v>
      </c>
      <c r="O1412" s="11" t="n">
        <f aca="false">IF(N1412="N",ABS(J1412),"")</f>
        <v>91939919.6</v>
      </c>
      <c r="P1412" s="18" t="str">
        <f aca="false">IF(N1412="N",B1412&amp;"|"&amp;ROUND(O1412,0),"")</f>
        <v>KGR26.00297|91939920</v>
      </c>
      <c r="Q1412" s="18" t="str">
        <f aca="false">IF(N1412&lt;&gt;"Y","",IFERROR(INDEX($D$6:$D$4005,MATCH(B1412&amp;"|"&amp;ROUND(_xlfn.MAXIFS($O$6:$O$4005,$B$6:$B$4005,B1412,$N$6:$N$4005,"N"),0),$P$6:$P$4005,0)),"(tanpa lawan)"))</f>
        <v/>
      </c>
      <c r="R1412" s="44"/>
      <c r="S1412" s="9" t="str">
        <f aca="false">IF(N1412&lt;&gt;"Y","",IF(R1412&lt;&gt;"",R1412,IF(Q1412="(tanpa lawan)","Transfer antar rekening",IFERROR(INDEX(I_COA!$F$6:$F$265,MATCH(Q1412,I_COA!$A$6:$A$265,0)),"?"))))</f>
        <v/>
      </c>
    </row>
    <row r="1413" customFormat="false" ht="15" hidden="false" customHeight="false" outlineLevel="0" collapsed="false">
      <c r="A1413" s="37" t="n">
        <v>46254</v>
      </c>
      <c r="B1413" s="44" t="s">
        <v>1712</v>
      </c>
      <c r="C1413" s="44" t="s">
        <v>600</v>
      </c>
      <c r="D1413" s="44" t="n">
        <v>1104002</v>
      </c>
      <c r="E1413" s="44" t="s">
        <v>601</v>
      </c>
      <c r="F1413" s="44" t="s">
        <v>1713</v>
      </c>
      <c r="G1413" s="42" t="n">
        <v>31330409.57</v>
      </c>
      <c r="H1413" s="42"/>
      <c r="I1413" s="44" t="s">
        <v>774</v>
      </c>
      <c r="J1413" s="11" t="n">
        <f aca="false">IF(D1413="","",N(G1413)-N(H1413))</f>
        <v>31330409.57</v>
      </c>
      <c r="K1413" s="34" t="str">
        <f aca="false">IF(D1413="","",IFERROR(INDEX(I_COA!$C$6:$C$265,MATCH(D1413,I_COA!$A$6:$A$265,0)),"AKUN BARU"))</f>
        <v>Neraca</v>
      </c>
      <c r="L1413" s="34" t="str">
        <f aca="false">IF(K1413="LabaRugi",INDEX(I_COA!$D$6:$D$265,MATCH(D1413,I_COA!$A$6:$A$265,0)),"")</f>
        <v/>
      </c>
      <c r="M1413" s="34" t="str">
        <f aca="false">IF(K1413="Neraca",INDEX(I_COA!$E$6:$E$265,MATCH(D1413,I_COA!$A$6:$A$265,0)),"")</f>
        <v>Inventory - Product</v>
      </c>
      <c r="N1413" s="34" t="str">
        <f aca="false">IF(D1413="","",IFERROR(INDEX(I_COA!$G$6:$G$265,MATCH(D1413,I_COA!$A$6:$A$265,0)),"N"))</f>
        <v>N</v>
      </c>
      <c r="O1413" s="11" t="n">
        <f aca="false">IF(N1413="N",ABS(J1413),"")</f>
        <v>31330409.57</v>
      </c>
      <c r="P1413" s="18" t="str">
        <f aca="false">IF(N1413="N",B1413&amp;"|"&amp;ROUND(O1413,0),"")</f>
        <v>KGR26.00298|31330410</v>
      </c>
      <c r="Q1413" s="18" t="str">
        <f aca="false">IF(N1413&lt;&gt;"Y","",IFERROR(INDEX($D$6:$D$4005,MATCH(B1413&amp;"|"&amp;ROUND(_xlfn.MAXIFS($O$6:$O$4005,$B$6:$B$4005,B1413,$N$6:$N$4005,"N"),0),$P$6:$P$4005,0)),"(tanpa lawan)"))</f>
        <v/>
      </c>
      <c r="R1413" s="44"/>
      <c r="S1413" s="9" t="str">
        <f aca="false">IF(N1413&lt;&gt;"Y","",IF(R1413&lt;&gt;"",R1413,IF(Q1413="(tanpa lawan)","Transfer antar rekening",IFERROR(INDEX(I_COA!$F$6:$F$265,MATCH(Q1413,I_COA!$A$6:$A$265,0)),"?"))))</f>
        <v/>
      </c>
    </row>
    <row r="1414" customFormat="false" ht="15" hidden="false" customHeight="false" outlineLevel="0" collapsed="false">
      <c r="A1414" s="37" t="n">
        <v>46254</v>
      </c>
      <c r="B1414" s="44" t="s">
        <v>1712</v>
      </c>
      <c r="C1414" s="44" t="s">
        <v>600</v>
      </c>
      <c r="D1414" s="44" t="n">
        <v>1104006</v>
      </c>
      <c r="E1414" s="44" t="s">
        <v>212</v>
      </c>
      <c r="F1414" s="44" t="s">
        <v>1713</v>
      </c>
      <c r="G1414" s="42"/>
      <c r="H1414" s="42" t="n">
        <v>31330409.57</v>
      </c>
      <c r="I1414" s="44" t="s">
        <v>774</v>
      </c>
      <c r="J1414" s="11" t="n">
        <f aca="false">IF(D1414="","",N(G1414)-N(H1414))</f>
        <v>-31330409.57</v>
      </c>
      <c r="K1414" s="34" t="str">
        <f aca="false">IF(D1414="","",IFERROR(INDEX(I_COA!$C$6:$C$265,MATCH(D1414,I_COA!$A$6:$A$265,0)),"AKUN BARU"))</f>
        <v>Neraca</v>
      </c>
      <c r="L1414" s="34" t="str">
        <f aca="false">IF(K1414="LabaRugi",INDEX(I_COA!$D$6:$D$265,MATCH(D1414,I_COA!$A$6:$A$265,0)),"")</f>
        <v/>
      </c>
      <c r="M1414" s="34" t="str">
        <f aca="false">IF(K1414="Neraca",INDEX(I_COA!$E$6:$E$265,MATCH(D1414,I_COA!$A$6:$A$265,0)),"")</f>
        <v>Inventory - Trading</v>
      </c>
      <c r="N1414" s="34" t="str">
        <f aca="false">IF(D1414="","",IFERROR(INDEX(I_COA!$G$6:$G$265,MATCH(D1414,I_COA!$A$6:$A$265,0)),"N"))</f>
        <v>N</v>
      </c>
      <c r="O1414" s="11" t="n">
        <f aca="false">IF(N1414="N",ABS(J1414),"")</f>
        <v>31330409.57</v>
      </c>
      <c r="P1414" s="18" t="str">
        <f aca="false">IF(N1414="N",B1414&amp;"|"&amp;ROUND(O1414,0),"")</f>
        <v>KGR26.00298|31330410</v>
      </c>
      <c r="Q1414" s="18" t="str">
        <f aca="false">IF(N1414&lt;&gt;"Y","",IFERROR(INDEX($D$6:$D$4005,MATCH(B1414&amp;"|"&amp;ROUND(_xlfn.MAXIFS($O$6:$O$4005,$B$6:$B$4005,B1414,$N$6:$N$4005,"N"),0),$P$6:$P$4005,0)),"(tanpa lawan)"))</f>
        <v/>
      </c>
      <c r="R1414" s="44"/>
      <c r="S1414" s="9" t="str">
        <f aca="false">IF(N1414&lt;&gt;"Y","",IF(R1414&lt;&gt;"",R1414,IF(Q1414="(tanpa lawan)","Transfer antar rekening",IFERROR(INDEX(I_COA!$F$6:$F$265,MATCH(Q1414,I_COA!$A$6:$A$265,0)),"?"))))</f>
        <v/>
      </c>
    </row>
    <row r="1415" customFormat="false" ht="15" hidden="false" customHeight="false" outlineLevel="0" collapsed="false">
      <c r="A1415" s="37" t="n">
        <v>46254</v>
      </c>
      <c r="B1415" s="44" t="s">
        <v>1714</v>
      </c>
      <c r="C1415" s="44" t="s">
        <v>617</v>
      </c>
      <c r="D1415" s="44" t="n">
        <v>1103101</v>
      </c>
      <c r="E1415" s="44" t="s">
        <v>589</v>
      </c>
      <c r="F1415" s="44" t="s">
        <v>1715</v>
      </c>
      <c r="G1415" s="42" t="n">
        <v>112430800</v>
      </c>
      <c r="H1415" s="42"/>
      <c r="I1415" s="44" t="s">
        <v>451</v>
      </c>
      <c r="J1415" s="11" t="n">
        <f aca="false">IF(D1415="","",N(G1415)-N(H1415))</f>
        <v>112430800</v>
      </c>
      <c r="K1415" s="34" t="str">
        <f aca="false">IF(D1415="","",IFERROR(INDEX(I_COA!$C$6:$C$265,MATCH(D1415,I_COA!$A$6:$A$265,0)),"AKUN BARU"))</f>
        <v>Neraca</v>
      </c>
      <c r="L1415" s="34" t="str">
        <f aca="false">IF(K1415="LabaRugi",INDEX(I_COA!$D$6:$D$265,MATCH(D1415,I_COA!$A$6:$A$265,0)),"")</f>
        <v/>
      </c>
      <c r="M1415" s="34" t="str">
        <f aca="false">IF(K1415="Neraca",INDEX(I_COA!$E$6:$E$265,MATCH(D1415,I_COA!$A$6:$A$265,0)),"")</f>
        <v>Trade Receivables - Third Parties</v>
      </c>
      <c r="N1415" s="34" t="str">
        <f aca="false">IF(D1415="","",IFERROR(INDEX(I_COA!$G$6:$G$265,MATCH(D1415,I_COA!$A$6:$A$265,0)),"N"))</f>
        <v>N</v>
      </c>
      <c r="O1415" s="11" t="n">
        <f aca="false">IF(N1415="N",ABS(J1415),"")</f>
        <v>112430800</v>
      </c>
      <c r="P1415" s="18" t="str">
        <f aca="false">IF(N1415="N",B1415&amp;"|"&amp;ROUND(O1415,0),"")</f>
        <v>KGR26/0264|112430800</v>
      </c>
      <c r="Q1415" s="18" t="str">
        <f aca="false">IF(N1415&lt;&gt;"Y","",IFERROR(INDEX($D$6:$D$4005,MATCH(B1415&amp;"|"&amp;ROUND(_xlfn.MAXIFS($O$6:$O$4005,$B$6:$B$4005,B1415,$N$6:$N$4005,"N"),0),$P$6:$P$4005,0)),"(tanpa lawan)"))</f>
        <v/>
      </c>
      <c r="R1415" s="44"/>
      <c r="S1415" s="9" t="str">
        <f aca="false">IF(N1415&lt;&gt;"Y","",IF(R1415&lt;&gt;"",R1415,IF(Q1415="(tanpa lawan)","Transfer antar rekening",IFERROR(INDEX(I_COA!$F$6:$F$265,MATCH(Q1415,I_COA!$A$6:$A$265,0)),"?"))))</f>
        <v/>
      </c>
    </row>
    <row r="1416" customFormat="false" ht="15" hidden="false" customHeight="false" outlineLevel="0" collapsed="false">
      <c r="A1416" s="37" t="n">
        <v>46254</v>
      </c>
      <c r="B1416" s="44" t="s">
        <v>1714</v>
      </c>
      <c r="C1416" s="44" t="s">
        <v>617</v>
      </c>
      <c r="D1416" s="44" t="n">
        <v>4101012</v>
      </c>
      <c r="E1416" s="44" t="s">
        <v>619</v>
      </c>
      <c r="F1416" s="44" t="s">
        <v>1715</v>
      </c>
      <c r="G1416" s="42"/>
      <c r="H1416" s="42" t="n">
        <v>112430800</v>
      </c>
      <c r="I1416" s="44" t="s">
        <v>451</v>
      </c>
      <c r="J1416" s="11" t="n">
        <f aca="false">IF(D1416="","",N(G1416)-N(H1416))</f>
        <v>-112430800</v>
      </c>
      <c r="K1416" s="34" t="str">
        <f aca="false">IF(D1416="","",IFERROR(INDEX(I_COA!$C$6:$C$265,MATCH(D1416,I_COA!$A$6:$A$265,0)),"AKUN BARU"))</f>
        <v>LabaRugi</v>
      </c>
      <c r="L1416" s="34" t="str">
        <f aca="false">IF(K1416="LabaRugi",INDEX(I_COA!$D$6:$D$265,MATCH(D1416,I_COA!$A$6:$A$265,0)),"")</f>
        <v>Revenue - Trading</v>
      </c>
      <c r="M1416" s="34" t="str">
        <f aca="false">IF(K1416="Neraca",INDEX(I_COA!$E$6:$E$265,MATCH(D1416,I_COA!$A$6:$A$265,0)),"")</f>
        <v/>
      </c>
      <c r="N1416" s="34" t="str">
        <f aca="false">IF(D1416="","",IFERROR(INDEX(I_COA!$G$6:$G$265,MATCH(D1416,I_COA!$A$6:$A$265,0)),"N"))</f>
        <v>N</v>
      </c>
      <c r="O1416" s="11" t="n">
        <f aca="false">IF(N1416="N",ABS(J1416),"")</f>
        <v>112430800</v>
      </c>
      <c r="P1416" s="18" t="str">
        <f aca="false">IF(N1416="N",B1416&amp;"|"&amp;ROUND(O1416,0),"")</f>
        <v>KGR26/0264|112430800</v>
      </c>
      <c r="Q1416" s="18" t="str">
        <f aca="false">IF(N1416&lt;&gt;"Y","",IFERROR(INDEX($D$6:$D$4005,MATCH(B1416&amp;"|"&amp;ROUND(_xlfn.MAXIFS($O$6:$O$4005,$B$6:$B$4005,B1416,$N$6:$N$4005,"N"),0),$P$6:$P$4005,0)),"(tanpa lawan)"))</f>
        <v/>
      </c>
      <c r="R1416" s="44"/>
      <c r="S1416" s="9" t="str">
        <f aca="false">IF(N1416&lt;&gt;"Y","",IF(R1416&lt;&gt;"",R1416,IF(Q1416="(tanpa lawan)","Transfer antar rekening",IFERROR(INDEX(I_COA!$F$6:$F$265,MATCH(Q1416,I_COA!$A$6:$A$265,0)),"?"))))</f>
        <v/>
      </c>
    </row>
    <row r="1417" customFormat="false" ht="15" hidden="false" customHeight="false" outlineLevel="0" collapsed="false">
      <c r="A1417" s="37" t="n">
        <v>46254</v>
      </c>
      <c r="B1417" s="44" t="s">
        <v>1714</v>
      </c>
      <c r="C1417" s="44" t="s">
        <v>617</v>
      </c>
      <c r="D1417" s="44" t="n">
        <v>5100011</v>
      </c>
      <c r="E1417" s="44" t="s">
        <v>166</v>
      </c>
      <c r="F1417" s="44" t="s">
        <v>1715</v>
      </c>
      <c r="G1417" s="42" t="n">
        <v>107136648.54</v>
      </c>
      <c r="H1417" s="42"/>
      <c r="I1417" s="44" t="s">
        <v>451</v>
      </c>
      <c r="J1417" s="11" t="n">
        <f aca="false">IF(D1417="","",N(G1417)-N(H1417))</f>
        <v>107136648.54</v>
      </c>
      <c r="K1417" s="34" t="str">
        <f aca="false">IF(D1417="","",IFERROR(INDEX(I_COA!$C$6:$C$265,MATCH(D1417,I_COA!$A$6:$A$265,0)),"AKUN BARU"))</f>
        <v>LabaRugi</v>
      </c>
      <c r="L1417" s="34" t="str">
        <f aca="false">IF(K1417="LabaRugi",INDEX(I_COA!$D$6:$D$265,MATCH(D1417,I_COA!$A$6:$A$265,0)),"")</f>
        <v>COGS - Trading</v>
      </c>
      <c r="M1417" s="34" t="str">
        <f aca="false">IF(K1417="Neraca",INDEX(I_COA!$E$6:$E$265,MATCH(D1417,I_COA!$A$6:$A$265,0)),"")</f>
        <v/>
      </c>
      <c r="N1417" s="34" t="str">
        <f aca="false">IF(D1417="","",IFERROR(INDEX(I_COA!$G$6:$G$265,MATCH(D1417,I_COA!$A$6:$A$265,0)),"N"))</f>
        <v>N</v>
      </c>
      <c r="O1417" s="11" t="n">
        <f aca="false">IF(N1417="N",ABS(J1417),"")</f>
        <v>107136648.54</v>
      </c>
      <c r="P1417" s="18" t="str">
        <f aca="false">IF(N1417="N",B1417&amp;"|"&amp;ROUND(O1417,0),"")</f>
        <v>KGR26/0264|107136649</v>
      </c>
      <c r="Q1417" s="18" t="str">
        <f aca="false">IF(N1417&lt;&gt;"Y","",IFERROR(INDEX($D$6:$D$4005,MATCH(B1417&amp;"|"&amp;ROUND(_xlfn.MAXIFS($O$6:$O$4005,$B$6:$B$4005,B1417,$N$6:$N$4005,"N"),0),$P$6:$P$4005,0)),"(tanpa lawan)"))</f>
        <v/>
      </c>
      <c r="R1417" s="44"/>
      <c r="S1417" s="9" t="str">
        <f aca="false">IF(N1417&lt;&gt;"Y","",IF(R1417&lt;&gt;"",R1417,IF(Q1417="(tanpa lawan)","Transfer antar rekening",IFERROR(INDEX(I_COA!$F$6:$F$265,MATCH(Q1417,I_COA!$A$6:$A$265,0)),"?"))))</f>
        <v/>
      </c>
    </row>
    <row r="1418" customFormat="false" ht="15" hidden="false" customHeight="false" outlineLevel="0" collapsed="false">
      <c r="A1418" s="37" t="n">
        <v>46254</v>
      </c>
      <c r="B1418" s="44" t="s">
        <v>1714</v>
      </c>
      <c r="C1418" s="44" t="s">
        <v>617</v>
      </c>
      <c r="D1418" s="44" t="n">
        <v>1104002</v>
      </c>
      <c r="E1418" s="44" t="s">
        <v>601</v>
      </c>
      <c r="F1418" s="44" t="s">
        <v>1715</v>
      </c>
      <c r="G1418" s="42"/>
      <c r="H1418" s="42" t="n">
        <v>107136648.54</v>
      </c>
      <c r="I1418" s="44" t="s">
        <v>451</v>
      </c>
      <c r="J1418" s="11" t="n">
        <f aca="false">IF(D1418="","",N(G1418)-N(H1418))</f>
        <v>-107136648.54</v>
      </c>
      <c r="K1418" s="34" t="str">
        <f aca="false">IF(D1418="","",IFERROR(INDEX(I_COA!$C$6:$C$265,MATCH(D1418,I_COA!$A$6:$A$265,0)),"AKUN BARU"))</f>
        <v>Neraca</v>
      </c>
      <c r="L1418" s="34" t="str">
        <f aca="false">IF(K1418="LabaRugi",INDEX(I_COA!$D$6:$D$265,MATCH(D1418,I_COA!$A$6:$A$265,0)),"")</f>
        <v/>
      </c>
      <c r="M1418" s="34" t="str">
        <f aca="false">IF(K1418="Neraca",INDEX(I_COA!$E$6:$E$265,MATCH(D1418,I_COA!$A$6:$A$265,0)),"")</f>
        <v>Inventory - Product</v>
      </c>
      <c r="N1418" s="34" t="str">
        <f aca="false">IF(D1418="","",IFERROR(INDEX(I_COA!$G$6:$G$265,MATCH(D1418,I_COA!$A$6:$A$265,0)),"N"))</f>
        <v>N</v>
      </c>
      <c r="O1418" s="11" t="n">
        <f aca="false">IF(N1418="N",ABS(J1418),"")</f>
        <v>107136648.54</v>
      </c>
      <c r="P1418" s="18" t="str">
        <f aca="false">IF(N1418="N",B1418&amp;"|"&amp;ROUND(O1418,0),"")</f>
        <v>KGR26/0264|107136649</v>
      </c>
      <c r="Q1418" s="18" t="str">
        <f aca="false">IF(N1418&lt;&gt;"Y","",IFERROR(INDEX($D$6:$D$4005,MATCH(B1418&amp;"|"&amp;ROUND(_xlfn.MAXIFS($O$6:$O$4005,$B$6:$B$4005,B1418,$N$6:$N$4005,"N"),0),$P$6:$P$4005,0)),"(tanpa lawan)"))</f>
        <v/>
      </c>
      <c r="R1418" s="44"/>
      <c r="S1418" s="9" t="str">
        <f aca="false">IF(N1418&lt;&gt;"Y","",IF(R1418&lt;&gt;"",R1418,IF(Q1418="(tanpa lawan)","Transfer antar rekening",IFERROR(INDEX(I_COA!$F$6:$F$265,MATCH(Q1418,I_COA!$A$6:$A$265,0)),"?"))))</f>
        <v/>
      </c>
    </row>
    <row r="1419" customFormat="false" ht="15" hidden="false" customHeight="false" outlineLevel="0" collapsed="false">
      <c r="A1419" s="37" t="n">
        <v>46254</v>
      </c>
      <c r="B1419" s="44" t="s">
        <v>1716</v>
      </c>
      <c r="C1419" s="44" t="s">
        <v>617</v>
      </c>
      <c r="D1419" s="44" t="n">
        <v>1103101</v>
      </c>
      <c r="E1419" s="44" t="s">
        <v>589</v>
      </c>
      <c r="F1419" s="44" t="s">
        <v>1717</v>
      </c>
      <c r="G1419" s="42" t="n">
        <v>37147500</v>
      </c>
      <c r="H1419" s="42"/>
      <c r="I1419" s="44" t="s">
        <v>457</v>
      </c>
      <c r="J1419" s="11" t="n">
        <f aca="false">IF(D1419="","",N(G1419)-N(H1419))</f>
        <v>37147500</v>
      </c>
      <c r="K1419" s="34" t="str">
        <f aca="false">IF(D1419="","",IFERROR(INDEX(I_COA!$C$6:$C$265,MATCH(D1419,I_COA!$A$6:$A$265,0)),"AKUN BARU"))</f>
        <v>Neraca</v>
      </c>
      <c r="L1419" s="34" t="str">
        <f aca="false">IF(K1419="LabaRugi",INDEX(I_COA!$D$6:$D$265,MATCH(D1419,I_COA!$A$6:$A$265,0)),"")</f>
        <v/>
      </c>
      <c r="M1419" s="34" t="str">
        <f aca="false">IF(K1419="Neraca",INDEX(I_COA!$E$6:$E$265,MATCH(D1419,I_COA!$A$6:$A$265,0)),"")</f>
        <v>Trade Receivables - Third Parties</v>
      </c>
      <c r="N1419" s="34" t="str">
        <f aca="false">IF(D1419="","",IFERROR(INDEX(I_COA!$G$6:$G$265,MATCH(D1419,I_COA!$A$6:$A$265,0)),"N"))</f>
        <v>N</v>
      </c>
      <c r="O1419" s="11" t="n">
        <f aca="false">IF(N1419="N",ABS(J1419),"")</f>
        <v>37147500</v>
      </c>
      <c r="P1419" s="18" t="str">
        <f aca="false">IF(N1419="N",B1419&amp;"|"&amp;ROUND(O1419,0),"")</f>
        <v>KGR26/0295|37147500</v>
      </c>
      <c r="Q1419" s="18" t="str">
        <f aca="false">IF(N1419&lt;&gt;"Y","",IFERROR(INDEX($D$6:$D$4005,MATCH(B1419&amp;"|"&amp;ROUND(_xlfn.MAXIFS($O$6:$O$4005,$B$6:$B$4005,B1419,$N$6:$N$4005,"N"),0),$P$6:$P$4005,0)),"(tanpa lawan)"))</f>
        <v/>
      </c>
      <c r="R1419" s="44"/>
      <c r="S1419" s="9" t="str">
        <f aca="false">IF(N1419&lt;&gt;"Y","",IF(R1419&lt;&gt;"",R1419,IF(Q1419="(tanpa lawan)","Transfer antar rekening",IFERROR(INDEX(I_COA!$F$6:$F$265,MATCH(Q1419,I_COA!$A$6:$A$265,0)),"?"))))</f>
        <v/>
      </c>
    </row>
    <row r="1420" customFormat="false" ht="15" hidden="false" customHeight="false" outlineLevel="0" collapsed="false">
      <c r="A1420" s="37" t="n">
        <v>46254</v>
      </c>
      <c r="B1420" s="44" t="s">
        <v>1716</v>
      </c>
      <c r="C1420" s="44" t="s">
        <v>617</v>
      </c>
      <c r="D1420" s="44" t="n">
        <v>4101006</v>
      </c>
      <c r="E1420" s="44" t="s">
        <v>626</v>
      </c>
      <c r="F1420" s="44" t="s">
        <v>1717</v>
      </c>
      <c r="G1420" s="42"/>
      <c r="H1420" s="42" t="n">
        <v>37147500</v>
      </c>
      <c r="I1420" s="44" t="s">
        <v>457</v>
      </c>
      <c r="J1420" s="11" t="n">
        <f aca="false">IF(D1420="","",N(G1420)-N(H1420))</f>
        <v>-37147500</v>
      </c>
      <c r="K1420" s="34" t="str">
        <f aca="false">IF(D1420="","",IFERROR(INDEX(I_COA!$C$6:$C$265,MATCH(D1420,I_COA!$A$6:$A$265,0)),"AKUN BARU"))</f>
        <v>LabaRugi</v>
      </c>
      <c r="L1420" s="34" t="str">
        <f aca="false">IF(K1420="LabaRugi",INDEX(I_COA!$D$6:$D$265,MATCH(D1420,I_COA!$A$6:$A$265,0)),"")</f>
        <v>Revenue - LB Main Product</v>
      </c>
      <c r="M1420" s="34" t="str">
        <f aca="false">IF(K1420="Neraca",INDEX(I_COA!$E$6:$E$265,MATCH(D1420,I_COA!$A$6:$A$265,0)),"")</f>
        <v/>
      </c>
      <c r="N1420" s="34" t="str">
        <f aca="false">IF(D1420="","",IFERROR(INDEX(I_COA!$G$6:$G$265,MATCH(D1420,I_COA!$A$6:$A$265,0)),"N"))</f>
        <v>N</v>
      </c>
      <c r="O1420" s="11" t="n">
        <f aca="false">IF(N1420="N",ABS(J1420),"")</f>
        <v>37147500</v>
      </c>
      <c r="P1420" s="18" t="str">
        <f aca="false">IF(N1420="N",B1420&amp;"|"&amp;ROUND(O1420,0),"")</f>
        <v>KGR26/0295|37147500</v>
      </c>
      <c r="Q1420" s="18" t="str">
        <f aca="false">IF(N1420&lt;&gt;"Y","",IFERROR(INDEX($D$6:$D$4005,MATCH(B1420&amp;"|"&amp;ROUND(_xlfn.MAXIFS($O$6:$O$4005,$B$6:$B$4005,B1420,$N$6:$N$4005,"N"),0),$P$6:$P$4005,0)),"(tanpa lawan)"))</f>
        <v/>
      </c>
      <c r="R1420" s="44"/>
      <c r="S1420" s="9" t="str">
        <f aca="false">IF(N1420&lt;&gt;"Y","",IF(R1420&lt;&gt;"",R1420,IF(Q1420="(tanpa lawan)","Transfer antar rekening",IFERROR(INDEX(I_COA!$F$6:$F$265,MATCH(Q1420,I_COA!$A$6:$A$265,0)),"?"))))</f>
        <v/>
      </c>
    </row>
    <row r="1421" customFormat="false" ht="15" hidden="false" customHeight="false" outlineLevel="0" collapsed="false">
      <c r="A1421" s="37" t="n">
        <v>46254</v>
      </c>
      <c r="B1421" s="44" t="s">
        <v>1716</v>
      </c>
      <c r="C1421" s="44" t="s">
        <v>617</v>
      </c>
      <c r="D1421" s="44" t="n">
        <v>5100004</v>
      </c>
      <c r="E1421" s="44" t="s">
        <v>627</v>
      </c>
      <c r="F1421" s="44" t="s">
        <v>1717</v>
      </c>
      <c r="G1421" s="42" t="n">
        <v>36325906.95</v>
      </c>
      <c r="H1421" s="42"/>
      <c r="I1421" s="44" t="s">
        <v>457</v>
      </c>
      <c r="J1421" s="11" t="n">
        <f aca="false">IF(D1421="","",N(G1421)-N(H1421))</f>
        <v>36325906.95</v>
      </c>
      <c r="K1421" s="34" t="str">
        <f aca="false">IF(D1421="","",IFERROR(INDEX(I_COA!$C$6:$C$265,MATCH(D1421,I_COA!$A$6:$A$265,0)),"AKUN BARU"))</f>
        <v>LabaRugi</v>
      </c>
      <c r="L1421" s="34" t="str">
        <f aca="false">IF(K1421="LabaRugi",INDEX(I_COA!$D$6:$D$265,MATCH(D1421,I_COA!$A$6:$A$265,0)),"")</f>
        <v>COGS - Live Bird</v>
      </c>
      <c r="M1421" s="34" t="str">
        <f aca="false">IF(K1421="Neraca",INDEX(I_COA!$E$6:$E$265,MATCH(D1421,I_COA!$A$6:$A$265,0)),"")</f>
        <v/>
      </c>
      <c r="N1421" s="34" t="str">
        <f aca="false">IF(D1421="","",IFERROR(INDEX(I_COA!$G$6:$G$265,MATCH(D1421,I_COA!$A$6:$A$265,0)),"N"))</f>
        <v>N</v>
      </c>
      <c r="O1421" s="11" t="n">
        <f aca="false">IF(N1421="N",ABS(J1421),"")</f>
        <v>36325906.95</v>
      </c>
      <c r="P1421" s="18" t="str">
        <f aca="false">IF(N1421="N",B1421&amp;"|"&amp;ROUND(O1421,0),"")</f>
        <v>KGR26/0295|36325907</v>
      </c>
      <c r="Q1421" s="18" t="str">
        <f aca="false">IF(N1421&lt;&gt;"Y","",IFERROR(INDEX($D$6:$D$4005,MATCH(B1421&amp;"|"&amp;ROUND(_xlfn.MAXIFS($O$6:$O$4005,$B$6:$B$4005,B1421,$N$6:$N$4005,"N"),0),$P$6:$P$4005,0)),"(tanpa lawan)"))</f>
        <v/>
      </c>
      <c r="R1421" s="44"/>
      <c r="S1421" s="9" t="str">
        <f aca="false">IF(N1421&lt;&gt;"Y","",IF(R1421&lt;&gt;"",R1421,IF(Q1421="(tanpa lawan)","Transfer antar rekening",IFERROR(INDEX(I_COA!$F$6:$F$265,MATCH(Q1421,I_COA!$A$6:$A$265,0)),"?"))))</f>
        <v/>
      </c>
    </row>
    <row r="1422" customFormat="false" ht="15" hidden="false" customHeight="false" outlineLevel="0" collapsed="false">
      <c r="A1422" s="37" t="n">
        <v>46254</v>
      </c>
      <c r="B1422" s="44" t="s">
        <v>1716</v>
      </c>
      <c r="C1422" s="44" t="s">
        <v>617</v>
      </c>
      <c r="D1422" s="44" t="n">
        <v>1104002</v>
      </c>
      <c r="E1422" s="44" t="s">
        <v>601</v>
      </c>
      <c r="F1422" s="44" t="s">
        <v>1717</v>
      </c>
      <c r="G1422" s="42"/>
      <c r="H1422" s="42" t="n">
        <v>36325906.95</v>
      </c>
      <c r="I1422" s="44" t="s">
        <v>457</v>
      </c>
      <c r="J1422" s="11" t="n">
        <f aca="false">IF(D1422="","",N(G1422)-N(H1422))</f>
        <v>-36325906.95</v>
      </c>
      <c r="K1422" s="34" t="str">
        <f aca="false">IF(D1422="","",IFERROR(INDEX(I_COA!$C$6:$C$265,MATCH(D1422,I_COA!$A$6:$A$265,0)),"AKUN BARU"))</f>
        <v>Neraca</v>
      </c>
      <c r="L1422" s="34" t="str">
        <f aca="false">IF(K1422="LabaRugi",INDEX(I_COA!$D$6:$D$265,MATCH(D1422,I_COA!$A$6:$A$265,0)),"")</f>
        <v/>
      </c>
      <c r="M1422" s="34" t="str">
        <f aca="false">IF(K1422="Neraca",INDEX(I_COA!$E$6:$E$265,MATCH(D1422,I_COA!$A$6:$A$265,0)),"")</f>
        <v>Inventory - Product</v>
      </c>
      <c r="N1422" s="34" t="str">
        <f aca="false">IF(D1422="","",IFERROR(INDEX(I_COA!$G$6:$G$265,MATCH(D1422,I_COA!$A$6:$A$265,0)),"N"))</f>
        <v>N</v>
      </c>
      <c r="O1422" s="11" t="n">
        <f aca="false">IF(N1422="N",ABS(J1422),"")</f>
        <v>36325906.95</v>
      </c>
      <c r="P1422" s="18" t="str">
        <f aca="false">IF(N1422="N",B1422&amp;"|"&amp;ROUND(O1422,0),"")</f>
        <v>KGR26/0295|36325907</v>
      </c>
      <c r="Q1422" s="18" t="str">
        <f aca="false">IF(N1422&lt;&gt;"Y","",IFERROR(INDEX($D$6:$D$4005,MATCH(B1422&amp;"|"&amp;ROUND(_xlfn.MAXIFS($O$6:$O$4005,$B$6:$B$4005,B1422,$N$6:$N$4005,"N"),0),$P$6:$P$4005,0)),"(tanpa lawan)"))</f>
        <v/>
      </c>
      <c r="R1422" s="44"/>
      <c r="S1422" s="9" t="str">
        <f aca="false">IF(N1422&lt;&gt;"Y","",IF(R1422&lt;&gt;"",R1422,IF(Q1422="(tanpa lawan)","Transfer antar rekening",IFERROR(INDEX(I_COA!$F$6:$F$265,MATCH(Q1422,I_COA!$A$6:$A$265,0)),"?"))))</f>
        <v/>
      </c>
    </row>
    <row r="1423" customFormat="false" ht="15" hidden="false" customHeight="false" outlineLevel="0" collapsed="false">
      <c r="A1423" s="37" t="n">
        <v>46254</v>
      </c>
      <c r="B1423" s="44" t="s">
        <v>1718</v>
      </c>
      <c r="C1423" s="44" t="s">
        <v>617</v>
      </c>
      <c r="D1423" s="44" t="n">
        <v>1103101</v>
      </c>
      <c r="E1423" s="44" t="s">
        <v>589</v>
      </c>
      <c r="F1423" s="44" t="s">
        <v>1719</v>
      </c>
      <c r="G1423" s="42" t="n">
        <v>29216040</v>
      </c>
      <c r="H1423" s="42"/>
      <c r="I1423" s="44" t="s">
        <v>432</v>
      </c>
      <c r="J1423" s="11" t="n">
        <f aca="false">IF(D1423="","",N(G1423)-N(H1423))</f>
        <v>29216040</v>
      </c>
      <c r="K1423" s="34" t="str">
        <f aca="false">IF(D1423="","",IFERROR(INDEX(I_COA!$C$6:$C$265,MATCH(D1423,I_COA!$A$6:$A$265,0)),"AKUN BARU"))</f>
        <v>Neraca</v>
      </c>
      <c r="L1423" s="34" t="str">
        <f aca="false">IF(K1423="LabaRugi",INDEX(I_COA!$D$6:$D$265,MATCH(D1423,I_COA!$A$6:$A$265,0)),"")</f>
        <v/>
      </c>
      <c r="M1423" s="34" t="str">
        <f aca="false">IF(K1423="Neraca",INDEX(I_COA!$E$6:$E$265,MATCH(D1423,I_COA!$A$6:$A$265,0)),"")</f>
        <v>Trade Receivables - Third Parties</v>
      </c>
      <c r="N1423" s="34" t="str">
        <f aca="false">IF(D1423="","",IFERROR(INDEX(I_COA!$G$6:$G$265,MATCH(D1423,I_COA!$A$6:$A$265,0)),"N"))</f>
        <v>N</v>
      </c>
      <c r="O1423" s="11" t="n">
        <f aca="false">IF(N1423="N",ABS(J1423),"")</f>
        <v>29216040</v>
      </c>
      <c r="P1423" s="18" t="str">
        <f aca="false">IF(N1423="N",B1423&amp;"|"&amp;ROUND(O1423,0),"")</f>
        <v>KGR26/0296|29216040</v>
      </c>
      <c r="Q1423" s="18" t="str">
        <f aca="false">IF(N1423&lt;&gt;"Y","",IFERROR(INDEX($D$6:$D$4005,MATCH(B1423&amp;"|"&amp;ROUND(_xlfn.MAXIFS($O$6:$O$4005,$B$6:$B$4005,B1423,$N$6:$N$4005,"N"),0),$P$6:$P$4005,0)),"(tanpa lawan)"))</f>
        <v/>
      </c>
      <c r="R1423" s="44"/>
      <c r="S1423" s="9" t="str">
        <f aca="false">IF(N1423&lt;&gt;"Y","",IF(R1423&lt;&gt;"",R1423,IF(Q1423="(tanpa lawan)","Transfer antar rekening",IFERROR(INDEX(I_COA!$F$6:$F$265,MATCH(Q1423,I_COA!$A$6:$A$265,0)),"?"))))</f>
        <v/>
      </c>
    </row>
    <row r="1424" customFormat="false" ht="15" hidden="false" customHeight="false" outlineLevel="0" collapsed="false">
      <c r="A1424" s="37" t="n">
        <v>46254</v>
      </c>
      <c r="B1424" s="44" t="s">
        <v>1718</v>
      </c>
      <c r="C1424" s="44" t="s">
        <v>617</v>
      </c>
      <c r="D1424" s="44" t="n">
        <v>4101012</v>
      </c>
      <c r="E1424" s="44" t="s">
        <v>619</v>
      </c>
      <c r="F1424" s="44" t="s">
        <v>1719</v>
      </c>
      <c r="G1424" s="42"/>
      <c r="H1424" s="42" t="n">
        <v>20289000</v>
      </c>
      <c r="I1424" s="44" t="s">
        <v>432</v>
      </c>
      <c r="J1424" s="11" t="n">
        <f aca="false">IF(D1424="","",N(G1424)-N(H1424))</f>
        <v>-20289000</v>
      </c>
      <c r="K1424" s="34" t="str">
        <f aca="false">IF(D1424="","",IFERROR(INDEX(I_COA!$C$6:$C$265,MATCH(D1424,I_COA!$A$6:$A$265,0)),"AKUN BARU"))</f>
        <v>LabaRugi</v>
      </c>
      <c r="L1424" s="34" t="str">
        <f aca="false">IF(K1424="LabaRugi",INDEX(I_COA!$D$6:$D$265,MATCH(D1424,I_COA!$A$6:$A$265,0)),"")</f>
        <v>Revenue - Trading</v>
      </c>
      <c r="M1424" s="34" t="str">
        <f aca="false">IF(K1424="Neraca",INDEX(I_COA!$E$6:$E$265,MATCH(D1424,I_COA!$A$6:$A$265,0)),"")</f>
        <v/>
      </c>
      <c r="N1424" s="34" t="str">
        <f aca="false">IF(D1424="","",IFERROR(INDEX(I_COA!$G$6:$G$265,MATCH(D1424,I_COA!$A$6:$A$265,0)),"N"))</f>
        <v>N</v>
      </c>
      <c r="O1424" s="11" t="n">
        <f aca="false">IF(N1424="N",ABS(J1424),"")</f>
        <v>20289000</v>
      </c>
      <c r="P1424" s="18" t="str">
        <f aca="false">IF(N1424="N",B1424&amp;"|"&amp;ROUND(O1424,0),"")</f>
        <v>KGR26/0296|20289000</v>
      </c>
      <c r="Q1424" s="18" t="str">
        <f aca="false">IF(N1424&lt;&gt;"Y","",IFERROR(INDEX($D$6:$D$4005,MATCH(B1424&amp;"|"&amp;ROUND(_xlfn.MAXIFS($O$6:$O$4005,$B$6:$B$4005,B1424,$N$6:$N$4005,"N"),0),$P$6:$P$4005,0)),"(tanpa lawan)"))</f>
        <v/>
      </c>
      <c r="R1424" s="44"/>
      <c r="S1424" s="9" t="str">
        <f aca="false">IF(N1424&lt;&gt;"Y","",IF(R1424&lt;&gt;"",R1424,IF(Q1424="(tanpa lawan)","Transfer antar rekening",IFERROR(INDEX(I_COA!$F$6:$F$265,MATCH(Q1424,I_COA!$A$6:$A$265,0)),"?"))))</f>
        <v/>
      </c>
    </row>
    <row r="1425" customFormat="false" ht="15" hidden="false" customHeight="false" outlineLevel="0" collapsed="false">
      <c r="A1425" s="37" t="n">
        <v>46254</v>
      </c>
      <c r="B1425" s="44" t="s">
        <v>1718</v>
      </c>
      <c r="C1425" s="44" t="s">
        <v>617</v>
      </c>
      <c r="D1425" s="44" t="n">
        <v>5100011</v>
      </c>
      <c r="E1425" s="44" t="s">
        <v>166</v>
      </c>
      <c r="F1425" s="44" t="s">
        <v>1719</v>
      </c>
      <c r="G1425" s="42" t="n">
        <v>20301342.65</v>
      </c>
      <c r="H1425" s="42"/>
      <c r="I1425" s="44" t="s">
        <v>432</v>
      </c>
      <c r="J1425" s="11" t="n">
        <f aca="false">IF(D1425="","",N(G1425)-N(H1425))</f>
        <v>20301342.65</v>
      </c>
      <c r="K1425" s="34" t="str">
        <f aca="false">IF(D1425="","",IFERROR(INDEX(I_COA!$C$6:$C$265,MATCH(D1425,I_COA!$A$6:$A$265,0)),"AKUN BARU"))</f>
        <v>LabaRugi</v>
      </c>
      <c r="L1425" s="34" t="str">
        <f aca="false">IF(K1425="LabaRugi",INDEX(I_COA!$D$6:$D$265,MATCH(D1425,I_COA!$A$6:$A$265,0)),"")</f>
        <v>COGS - Trading</v>
      </c>
      <c r="M1425" s="34" t="str">
        <f aca="false">IF(K1425="Neraca",INDEX(I_COA!$E$6:$E$265,MATCH(D1425,I_COA!$A$6:$A$265,0)),"")</f>
        <v/>
      </c>
      <c r="N1425" s="34" t="str">
        <f aca="false">IF(D1425="","",IFERROR(INDEX(I_COA!$G$6:$G$265,MATCH(D1425,I_COA!$A$6:$A$265,0)),"N"))</f>
        <v>N</v>
      </c>
      <c r="O1425" s="11" t="n">
        <f aca="false">IF(N1425="N",ABS(J1425),"")</f>
        <v>20301342.65</v>
      </c>
      <c r="P1425" s="18" t="str">
        <f aca="false">IF(N1425="N",B1425&amp;"|"&amp;ROUND(O1425,0),"")</f>
        <v>KGR26/0296|20301343</v>
      </c>
      <c r="Q1425" s="18" t="str">
        <f aca="false">IF(N1425&lt;&gt;"Y","",IFERROR(INDEX($D$6:$D$4005,MATCH(B1425&amp;"|"&amp;ROUND(_xlfn.MAXIFS($O$6:$O$4005,$B$6:$B$4005,B1425,$N$6:$N$4005,"N"),0),$P$6:$P$4005,0)),"(tanpa lawan)"))</f>
        <v/>
      </c>
      <c r="R1425" s="44"/>
      <c r="S1425" s="9" t="str">
        <f aca="false">IF(N1425&lt;&gt;"Y","",IF(R1425&lt;&gt;"",R1425,IF(Q1425="(tanpa lawan)","Transfer antar rekening",IFERROR(INDEX(I_COA!$F$6:$F$265,MATCH(Q1425,I_COA!$A$6:$A$265,0)),"?"))))</f>
        <v/>
      </c>
    </row>
    <row r="1426" customFormat="false" ht="15" hidden="false" customHeight="false" outlineLevel="0" collapsed="false">
      <c r="A1426" s="37" t="n">
        <v>46254</v>
      </c>
      <c r="B1426" s="44" t="s">
        <v>1718</v>
      </c>
      <c r="C1426" s="44" t="s">
        <v>617</v>
      </c>
      <c r="D1426" s="44" t="n">
        <v>1104002</v>
      </c>
      <c r="E1426" s="44" t="s">
        <v>601</v>
      </c>
      <c r="F1426" s="44" t="s">
        <v>1719</v>
      </c>
      <c r="G1426" s="42"/>
      <c r="H1426" s="42" t="n">
        <v>28207896.98</v>
      </c>
      <c r="I1426" s="44" t="s">
        <v>432</v>
      </c>
      <c r="J1426" s="11" t="n">
        <f aca="false">IF(D1426="","",N(G1426)-N(H1426))</f>
        <v>-28207896.98</v>
      </c>
      <c r="K1426" s="34" t="str">
        <f aca="false">IF(D1426="","",IFERROR(INDEX(I_COA!$C$6:$C$265,MATCH(D1426,I_COA!$A$6:$A$265,0)),"AKUN BARU"))</f>
        <v>Neraca</v>
      </c>
      <c r="L1426" s="34" t="str">
        <f aca="false">IF(K1426="LabaRugi",INDEX(I_COA!$D$6:$D$265,MATCH(D1426,I_COA!$A$6:$A$265,0)),"")</f>
        <v/>
      </c>
      <c r="M1426" s="34" t="str">
        <f aca="false">IF(K1426="Neraca",INDEX(I_COA!$E$6:$E$265,MATCH(D1426,I_COA!$A$6:$A$265,0)),"")</f>
        <v>Inventory - Product</v>
      </c>
      <c r="N1426" s="34" t="str">
        <f aca="false">IF(D1426="","",IFERROR(INDEX(I_COA!$G$6:$G$265,MATCH(D1426,I_COA!$A$6:$A$265,0)),"N"))</f>
        <v>N</v>
      </c>
      <c r="O1426" s="11" t="n">
        <f aca="false">IF(N1426="N",ABS(J1426),"")</f>
        <v>28207896.98</v>
      </c>
      <c r="P1426" s="18" t="str">
        <f aca="false">IF(N1426="N",B1426&amp;"|"&amp;ROUND(O1426,0),"")</f>
        <v>KGR26/0296|28207897</v>
      </c>
      <c r="Q1426" s="18" t="str">
        <f aca="false">IF(N1426&lt;&gt;"Y","",IFERROR(INDEX($D$6:$D$4005,MATCH(B1426&amp;"|"&amp;ROUND(_xlfn.MAXIFS($O$6:$O$4005,$B$6:$B$4005,B1426,$N$6:$N$4005,"N"),0),$P$6:$P$4005,0)),"(tanpa lawan)"))</f>
        <v/>
      </c>
      <c r="R1426" s="44"/>
      <c r="S1426" s="9" t="str">
        <f aca="false">IF(N1426&lt;&gt;"Y","",IF(R1426&lt;&gt;"",R1426,IF(Q1426="(tanpa lawan)","Transfer antar rekening",IFERROR(INDEX(I_COA!$F$6:$F$265,MATCH(Q1426,I_COA!$A$6:$A$265,0)),"?"))))</f>
        <v/>
      </c>
    </row>
    <row r="1427" customFormat="false" ht="15" hidden="false" customHeight="false" outlineLevel="0" collapsed="false">
      <c r="A1427" s="37" t="n">
        <v>46254</v>
      </c>
      <c r="B1427" s="44" t="s">
        <v>1718</v>
      </c>
      <c r="C1427" s="44" t="s">
        <v>617</v>
      </c>
      <c r="D1427" s="44" t="n">
        <v>4101006</v>
      </c>
      <c r="E1427" s="44" t="s">
        <v>626</v>
      </c>
      <c r="F1427" s="44" t="s">
        <v>1719</v>
      </c>
      <c r="G1427" s="42"/>
      <c r="H1427" s="42" t="n">
        <v>8927040</v>
      </c>
      <c r="I1427" s="44" t="s">
        <v>432</v>
      </c>
      <c r="J1427" s="11" t="n">
        <f aca="false">IF(D1427="","",N(G1427)-N(H1427))</f>
        <v>-8927040</v>
      </c>
      <c r="K1427" s="34" t="str">
        <f aca="false">IF(D1427="","",IFERROR(INDEX(I_COA!$C$6:$C$265,MATCH(D1427,I_COA!$A$6:$A$265,0)),"AKUN BARU"))</f>
        <v>LabaRugi</v>
      </c>
      <c r="L1427" s="34" t="str">
        <f aca="false">IF(K1427="LabaRugi",INDEX(I_COA!$D$6:$D$265,MATCH(D1427,I_COA!$A$6:$A$265,0)),"")</f>
        <v>Revenue - LB Main Product</v>
      </c>
      <c r="M1427" s="34" t="str">
        <f aca="false">IF(K1427="Neraca",INDEX(I_COA!$E$6:$E$265,MATCH(D1427,I_COA!$A$6:$A$265,0)),"")</f>
        <v/>
      </c>
      <c r="N1427" s="34" t="str">
        <f aca="false">IF(D1427="","",IFERROR(INDEX(I_COA!$G$6:$G$265,MATCH(D1427,I_COA!$A$6:$A$265,0)),"N"))</f>
        <v>N</v>
      </c>
      <c r="O1427" s="11" t="n">
        <f aca="false">IF(N1427="N",ABS(J1427),"")</f>
        <v>8927040</v>
      </c>
      <c r="P1427" s="18" t="str">
        <f aca="false">IF(N1427="N",B1427&amp;"|"&amp;ROUND(O1427,0),"")</f>
        <v>KGR26/0296|8927040</v>
      </c>
      <c r="Q1427" s="18" t="str">
        <f aca="false">IF(N1427&lt;&gt;"Y","",IFERROR(INDEX($D$6:$D$4005,MATCH(B1427&amp;"|"&amp;ROUND(_xlfn.MAXIFS($O$6:$O$4005,$B$6:$B$4005,B1427,$N$6:$N$4005,"N"),0),$P$6:$P$4005,0)),"(tanpa lawan)"))</f>
        <v/>
      </c>
      <c r="R1427" s="44"/>
      <c r="S1427" s="9" t="str">
        <f aca="false">IF(N1427&lt;&gt;"Y","",IF(R1427&lt;&gt;"",R1427,IF(Q1427="(tanpa lawan)","Transfer antar rekening",IFERROR(INDEX(I_COA!$F$6:$F$265,MATCH(Q1427,I_COA!$A$6:$A$265,0)),"?"))))</f>
        <v/>
      </c>
    </row>
    <row r="1428" customFormat="false" ht="15" hidden="false" customHeight="false" outlineLevel="0" collapsed="false">
      <c r="A1428" s="37" t="n">
        <v>46254</v>
      </c>
      <c r="B1428" s="44" t="s">
        <v>1718</v>
      </c>
      <c r="C1428" s="44" t="s">
        <v>617</v>
      </c>
      <c r="D1428" s="44" t="n">
        <v>5100004</v>
      </c>
      <c r="E1428" s="44" t="s">
        <v>627</v>
      </c>
      <c r="F1428" s="44" t="s">
        <v>1719</v>
      </c>
      <c r="G1428" s="42" t="n">
        <v>7906554.33</v>
      </c>
      <c r="H1428" s="42"/>
      <c r="I1428" s="44" t="s">
        <v>432</v>
      </c>
      <c r="J1428" s="11" t="n">
        <f aca="false">IF(D1428="","",N(G1428)-N(H1428))</f>
        <v>7906554.33</v>
      </c>
      <c r="K1428" s="34" t="str">
        <f aca="false">IF(D1428="","",IFERROR(INDEX(I_COA!$C$6:$C$265,MATCH(D1428,I_COA!$A$6:$A$265,0)),"AKUN BARU"))</f>
        <v>LabaRugi</v>
      </c>
      <c r="L1428" s="34" t="str">
        <f aca="false">IF(K1428="LabaRugi",INDEX(I_COA!$D$6:$D$265,MATCH(D1428,I_COA!$A$6:$A$265,0)),"")</f>
        <v>COGS - Live Bird</v>
      </c>
      <c r="M1428" s="34" t="str">
        <f aca="false">IF(K1428="Neraca",INDEX(I_COA!$E$6:$E$265,MATCH(D1428,I_COA!$A$6:$A$265,0)),"")</f>
        <v/>
      </c>
      <c r="N1428" s="34" t="str">
        <f aca="false">IF(D1428="","",IFERROR(INDEX(I_COA!$G$6:$G$265,MATCH(D1428,I_COA!$A$6:$A$265,0)),"N"))</f>
        <v>N</v>
      </c>
      <c r="O1428" s="11" t="n">
        <f aca="false">IF(N1428="N",ABS(J1428),"")</f>
        <v>7906554.33</v>
      </c>
      <c r="P1428" s="18" t="str">
        <f aca="false">IF(N1428="N",B1428&amp;"|"&amp;ROUND(O1428,0),"")</f>
        <v>KGR26/0296|7906554</v>
      </c>
      <c r="Q1428" s="18" t="str">
        <f aca="false">IF(N1428&lt;&gt;"Y","",IFERROR(INDEX($D$6:$D$4005,MATCH(B1428&amp;"|"&amp;ROUND(_xlfn.MAXIFS($O$6:$O$4005,$B$6:$B$4005,B1428,$N$6:$N$4005,"N"),0),$P$6:$P$4005,0)),"(tanpa lawan)"))</f>
        <v/>
      </c>
      <c r="R1428" s="44"/>
      <c r="S1428" s="9" t="str">
        <f aca="false">IF(N1428&lt;&gt;"Y","",IF(R1428&lt;&gt;"",R1428,IF(Q1428="(tanpa lawan)","Transfer antar rekening",IFERROR(INDEX(I_COA!$F$6:$F$265,MATCH(Q1428,I_COA!$A$6:$A$265,0)),"?"))))</f>
        <v/>
      </c>
    </row>
    <row r="1429" customFormat="false" ht="15" hidden="false" customHeight="false" outlineLevel="0" collapsed="false">
      <c r="A1429" s="37" t="n">
        <v>46254</v>
      </c>
      <c r="B1429" s="44" t="s">
        <v>1720</v>
      </c>
      <c r="C1429" s="44" t="s">
        <v>617</v>
      </c>
      <c r="D1429" s="44" t="n">
        <v>1103101</v>
      </c>
      <c r="E1429" s="44" t="s">
        <v>589</v>
      </c>
      <c r="F1429" s="44" t="s">
        <v>1721</v>
      </c>
      <c r="G1429" s="42" t="n">
        <v>88620400</v>
      </c>
      <c r="H1429" s="42"/>
      <c r="I1429" s="44" t="s">
        <v>451</v>
      </c>
      <c r="J1429" s="11" t="n">
        <f aca="false">IF(D1429="","",N(G1429)-N(H1429))</f>
        <v>88620400</v>
      </c>
      <c r="K1429" s="34" t="str">
        <f aca="false">IF(D1429="","",IFERROR(INDEX(I_COA!$C$6:$C$265,MATCH(D1429,I_COA!$A$6:$A$265,0)),"AKUN BARU"))</f>
        <v>Neraca</v>
      </c>
      <c r="L1429" s="34" t="str">
        <f aca="false">IF(K1429="LabaRugi",INDEX(I_COA!$D$6:$D$265,MATCH(D1429,I_COA!$A$6:$A$265,0)),"")</f>
        <v/>
      </c>
      <c r="M1429" s="34" t="str">
        <f aca="false">IF(K1429="Neraca",INDEX(I_COA!$E$6:$E$265,MATCH(D1429,I_COA!$A$6:$A$265,0)),"")</f>
        <v>Trade Receivables - Third Parties</v>
      </c>
      <c r="N1429" s="34" t="str">
        <f aca="false">IF(D1429="","",IFERROR(INDEX(I_COA!$G$6:$G$265,MATCH(D1429,I_COA!$A$6:$A$265,0)),"N"))</f>
        <v>N</v>
      </c>
      <c r="O1429" s="11" t="n">
        <f aca="false">IF(N1429="N",ABS(J1429),"")</f>
        <v>88620400</v>
      </c>
      <c r="P1429" s="18" t="str">
        <f aca="false">IF(N1429="N",B1429&amp;"|"&amp;ROUND(O1429,0),"")</f>
        <v>KGR26/0297|88620400</v>
      </c>
      <c r="Q1429" s="18" t="str">
        <f aca="false">IF(N1429&lt;&gt;"Y","",IFERROR(INDEX($D$6:$D$4005,MATCH(B1429&amp;"|"&amp;ROUND(_xlfn.MAXIFS($O$6:$O$4005,$B$6:$B$4005,B1429,$N$6:$N$4005,"N"),0),$P$6:$P$4005,0)),"(tanpa lawan)"))</f>
        <v/>
      </c>
      <c r="R1429" s="44"/>
      <c r="S1429" s="9" t="str">
        <f aca="false">IF(N1429&lt;&gt;"Y","",IF(R1429&lt;&gt;"",R1429,IF(Q1429="(tanpa lawan)","Transfer antar rekening",IFERROR(INDEX(I_COA!$F$6:$F$265,MATCH(Q1429,I_COA!$A$6:$A$265,0)),"?"))))</f>
        <v/>
      </c>
    </row>
    <row r="1430" customFormat="false" ht="15" hidden="false" customHeight="false" outlineLevel="0" collapsed="false">
      <c r="A1430" s="37" t="n">
        <v>46254</v>
      </c>
      <c r="B1430" s="44" t="s">
        <v>1720</v>
      </c>
      <c r="C1430" s="44" t="s">
        <v>617</v>
      </c>
      <c r="D1430" s="44" t="n">
        <v>4101012</v>
      </c>
      <c r="E1430" s="44" t="s">
        <v>619</v>
      </c>
      <c r="F1430" s="44" t="s">
        <v>1721</v>
      </c>
      <c r="G1430" s="42"/>
      <c r="H1430" s="42" t="n">
        <v>88620400</v>
      </c>
      <c r="I1430" s="44" t="s">
        <v>451</v>
      </c>
      <c r="J1430" s="11" t="n">
        <f aca="false">IF(D1430="","",N(G1430)-N(H1430))</f>
        <v>-88620400</v>
      </c>
      <c r="K1430" s="34" t="str">
        <f aca="false">IF(D1430="","",IFERROR(INDEX(I_COA!$C$6:$C$265,MATCH(D1430,I_COA!$A$6:$A$265,0)),"AKUN BARU"))</f>
        <v>LabaRugi</v>
      </c>
      <c r="L1430" s="34" t="str">
        <f aca="false">IF(K1430="LabaRugi",INDEX(I_COA!$D$6:$D$265,MATCH(D1430,I_COA!$A$6:$A$265,0)),"")</f>
        <v>Revenue - Trading</v>
      </c>
      <c r="M1430" s="34" t="str">
        <f aca="false">IF(K1430="Neraca",INDEX(I_COA!$E$6:$E$265,MATCH(D1430,I_COA!$A$6:$A$265,0)),"")</f>
        <v/>
      </c>
      <c r="N1430" s="34" t="str">
        <f aca="false">IF(D1430="","",IFERROR(INDEX(I_COA!$G$6:$G$265,MATCH(D1430,I_COA!$A$6:$A$265,0)),"N"))</f>
        <v>N</v>
      </c>
      <c r="O1430" s="11" t="n">
        <f aca="false">IF(N1430="N",ABS(J1430),"")</f>
        <v>88620400</v>
      </c>
      <c r="P1430" s="18" t="str">
        <f aca="false">IF(N1430="N",B1430&amp;"|"&amp;ROUND(O1430,0),"")</f>
        <v>KGR26/0297|88620400</v>
      </c>
      <c r="Q1430" s="18" t="str">
        <f aca="false">IF(N1430&lt;&gt;"Y","",IFERROR(INDEX($D$6:$D$4005,MATCH(B1430&amp;"|"&amp;ROUND(_xlfn.MAXIFS($O$6:$O$4005,$B$6:$B$4005,B1430,$N$6:$N$4005,"N"),0),$P$6:$P$4005,0)),"(tanpa lawan)"))</f>
        <v/>
      </c>
      <c r="R1430" s="44"/>
      <c r="S1430" s="9" t="str">
        <f aca="false">IF(N1430&lt;&gt;"Y","",IF(R1430&lt;&gt;"",R1430,IF(Q1430="(tanpa lawan)","Transfer antar rekening",IFERROR(INDEX(I_COA!$F$6:$F$265,MATCH(Q1430,I_COA!$A$6:$A$265,0)),"?"))))</f>
        <v/>
      </c>
    </row>
    <row r="1431" customFormat="false" ht="15" hidden="false" customHeight="false" outlineLevel="0" collapsed="false">
      <c r="A1431" s="37" t="n">
        <v>46254</v>
      </c>
      <c r="B1431" s="44" t="s">
        <v>1720</v>
      </c>
      <c r="C1431" s="44" t="s">
        <v>617</v>
      </c>
      <c r="D1431" s="44" t="n">
        <v>5100011</v>
      </c>
      <c r="E1431" s="44" t="s">
        <v>166</v>
      </c>
      <c r="F1431" s="44" t="s">
        <v>1721</v>
      </c>
      <c r="G1431" s="42" t="n">
        <v>91939919.6</v>
      </c>
      <c r="H1431" s="42"/>
      <c r="I1431" s="44" t="s">
        <v>451</v>
      </c>
      <c r="J1431" s="11" t="n">
        <f aca="false">IF(D1431="","",N(G1431)-N(H1431))</f>
        <v>91939919.6</v>
      </c>
      <c r="K1431" s="34" t="str">
        <f aca="false">IF(D1431="","",IFERROR(INDEX(I_COA!$C$6:$C$265,MATCH(D1431,I_COA!$A$6:$A$265,0)),"AKUN BARU"))</f>
        <v>LabaRugi</v>
      </c>
      <c r="L1431" s="34" t="str">
        <f aca="false">IF(K1431="LabaRugi",INDEX(I_COA!$D$6:$D$265,MATCH(D1431,I_COA!$A$6:$A$265,0)),"")</f>
        <v>COGS - Trading</v>
      </c>
      <c r="M1431" s="34" t="str">
        <f aca="false">IF(K1431="Neraca",INDEX(I_COA!$E$6:$E$265,MATCH(D1431,I_COA!$A$6:$A$265,0)),"")</f>
        <v/>
      </c>
      <c r="N1431" s="34" t="str">
        <f aca="false">IF(D1431="","",IFERROR(INDEX(I_COA!$G$6:$G$265,MATCH(D1431,I_COA!$A$6:$A$265,0)),"N"))</f>
        <v>N</v>
      </c>
      <c r="O1431" s="11" t="n">
        <f aca="false">IF(N1431="N",ABS(J1431),"")</f>
        <v>91939919.6</v>
      </c>
      <c r="P1431" s="18" t="str">
        <f aca="false">IF(N1431="N",B1431&amp;"|"&amp;ROUND(O1431,0),"")</f>
        <v>KGR26/0297|91939920</v>
      </c>
      <c r="Q1431" s="18" t="str">
        <f aca="false">IF(N1431&lt;&gt;"Y","",IFERROR(INDEX($D$6:$D$4005,MATCH(B1431&amp;"|"&amp;ROUND(_xlfn.MAXIFS($O$6:$O$4005,$B$6:$B$4005,B1431,$N$6:$N$4005,"N"),0),$P$6:$P$4005,0)),"(tanpa lawan)"))</f>
        <v/>
      </c>
      <c r="R1431" s="44"/>
      <c r="S1431" s="9" t="str">
        <f aca="false">IF(N1431&lt;&gt;"Y","",IF(R1431&lt;&gt;"",R1431,IF(Q1431="(tanpa lawan)","Transfer antar rekening",IFERROR(INDEX(I_COA!$F$6:$F$265,MATCH(Q1431,I_COA!$A$6:$A$265,0)),"?"))))</f>
        <v/>
      </c>
    </row>
    <row r="1432" customFormat="false" ht="15" hidden="false" customHeight="false" outlineLevel="0" collapsed="false">
      <c r="A1432" s="37" t="n">
        <v>46254</v>
      </c>
      <c r="B1432" s="44" t="s">
        <v>1720</v>
      </c>
      <c r="C1432" s="44" t="s">
        <v>617</v>
      </c>
      <c r="D1432" s="44" t="n">
        <v>1104002</v>
      </c>
      <c r="E1432" s="44" t="s">
        <v>601</v>
      </c>
      <c r="F1432" s="44" t="s">
        <v>1721</v>
      </c>
      <c r="G1432" s="42"/>
      <c r="H1432" s="42" t="n">
        <v>91939919.6</v>
      </c>
      <c r="I1432" s="44" t="s">
        <v>451</v>
      </c>
      <c r="J1432" s="11" t="n">
        <f aca="false">IF(D1432="","",N(G1432)-N(H1432))</f>
        <v>-91939919.6</v>
      </c>
      <c r="K1432" s="34" t="str">
        <f aca="false">IF(D1432="","",IFERROR(INDEX(I_COA!$C$6:$C$265,MATCH(D1432,I_COA!$A$6:$A$265,0)),"AKUN BARU"))</f>
        <v>Neraca</v>
      </c>
      <c r="L1432" s="34" t="str">
        <f aca="false">IF(K1432="LabaRugi",INDEX(I_COA!$D$6:$D$265,MATCH(D1432,I_COA!$A$6:$A$265,0)),"")</f>
        <v/>
      </c>
      <c r="M1432" s="34" t="str">
        <f aca="false">IF(K1432="Neraca",INDEX(I_COA!$E$6:$E$265,MATCH(D1432,I_COA!$A$6:$A$265,0)),"")</f>
        <v>Inventory - Product</v>
      </c>
      <c r="N1432" s="34" t="str">
        <f aca="false">IF(D1432="","",IFERROR(INDEX(I_COA!$G$6:$G$265,MATCH(D1432,I_COA!$A$6:$A$265,0)),"N"))</f>
        <v>N</v>
      </c>
      <c r="O1432" s="11" t="n">
        <f aca="false">IF(N1432="N",ABS(J1432),"")</f>
        <v>91939919.6</v>
      </c>
      <c r="P1432" s="18" t="str">
        <f aca="false">IF(N1432="N",B1432&amp;"|"&amp;ROUND(O1432,0),"")</f>
        <v>KGR26/0297|91939920</v>
      </c>
      <c r="Q1432" s="18" t="str">
        <f aca="false">IF(N1432&lt;&gt;"Y","",IFERROR(INDEX($D$6:$D$4005,MATCH(B1432&amp;"|"&amp;ROUND(_xlfn.MAXIFS($O$6:$O$4005,$B$6:$B$4005,B1432,$N$6:$N$4005,"N"),0),$P$6:$P$4005,0)),"(tanpa lawan)"))</f>
        <v/>
      </c>
      <c r="R1432" s="44"/>
      <c r="S1432" s="9" t="str">
        <f aca="false">IF(N1432&lt;&gt;"Y","",IF(R1432&lt;&gt;"",R1432,IF(Q1432="(tanpa lawan)","Transfer antar rekening",IFERROR(INDEX(I_COA!$F$6:$F$265,MATCH(Q1432,I_COA!$A$6:$A$265,0)),"?"))))</f>
        <v/>
      </c>
    </row>
    <row r="1433" customFormat="false" ht="15" hidden="false" customHeight="false" outlineLevel="0" collapsed="false">
      <c r="A1433" s="37" t="n">
        <v>46254</v>
      </c>
      <c r="B1433" s="44" t="s">
        <v>1722</v>
      </c>
      <c r="C1433" s="44" t="s">
        <v>617</v>
      </c>
      <c r="D1433" s="44" t="n">
        <v>1103101</v>
      </c>
      <c r="E1433" s="44" t="s">
        <v>589</v>
      </c>
      <c r="F1433" s="44" t="s">
        <v>1723</v>
      </c>
      <c r="G1433" s="42" t="n">
        <v>33939200</v>
      </c>
      <c r="H1433" s="42"/>
      <c r="I1433" s="44" t="s">
        <v>774</v>
      </c>
      <c r="J1433" s="11" t="n">
        <f aca="false">IF(D1433="","",N(G1433)-N(H1433))</f>
        <v>33939200</v>
      </c>
      <c r="K1433" s="34" t="str">
        <f aca="false">IF(D1433="","",IFERROR(INDEX(I_COA!$C$6:$C$265,MATCH(D1433,I_COA!$A$6:$A$265,0)),"AKUN BARU"))</f>
        <v>Neraca</v>
      </c>
      <c r="L1433" s="34" t="str">
        <f aca="false">IF(K1433="LabaRugi",INDEX(I_COA!$D$6:$D$265,MATCH(D1433,I_COA!$A$6:$A$265,0)),"")</f>
        <v/>
      </c>
      <c r="M1433" s="34" t="str">
        <f aca="false">IF(K1433="Neraca",INDEX(I_COA!$E$6:$E$265,MATCH(D1433,I_COA!$A$6:$A$265,0)),"")</f>
        <v>Trade Receivables - Third Parties</v>
      </c>
      <c r="N1433" s="34" t="str">
        <f aca="false">IF(D1433="","",IFERROR(INDEX(I_COA!$G$6:$G$265,MATCH(D1433,I_COA!$A$6:$A$265,0)),"N"))</f>
        <v>N</v>
      </c>
      <c r="O1433" s="11" t="n">
        <f aca="false">IF(N1433="N",ABS(J1433),"")</f>
        <v>33939200</v>
      </c>
      <c r="P1433" s="18" t="str">
        <f aca="false">IF(N1433="N",B1433&amp;"|"&amp;ROUND(O1433,0),"")</f>
        <v>KGR26/0298|33939200</v>
      </c>
      <c r="Q1433" s="18" t="str">
        <f aca="false">IF(N1433&lt;&gt;"Y","",IFERROR(INDEX($D$6:$D$4005,MATCH(B1433&amp;"|"&amp;ROUND(_xlfn.MAXIFS($O$6:$O$4005,$B$6:$B$4005,B1433,$N$6:$N$4005,"N"),0),$P$6:$P$4005,0)),"(tanpa lawan)"))</f>
        <v/>
      </c>
      <c r="R1433" s="44"/>
      <c r="S1433" s="9" t="str">
        <f aca="false">IF(N1433&lt;&gt;"Y","",IF(R1433&lt;&gt;"",R1433,IF(Q1433="(tanpa lawan)","Transfer antar rekening",IFERROR(INDEX(I_COA!$F$6:$F$265,MATCH(Q1433,I_COA!$A$6:$A$265,0)),"?"))))</f>
        <v/>
      </c>
    </row>
    <row r="1434" customFormat="false" ht="15" hidden="false" customHeight="false" outlineLevel="0" collapsed="false">
      <c r="A1434" s="37" t="n">
        <v>46254</v>
      </c>
      <c r="B1434" s="44" t="s">
        <v>1722</v>
      </c>
      <c r="C1434" s="44" t="s">
        <v>617</v>
      </c>
      <c r="D1434" s="44" t="n">
        <v>4101012</v>
      </c>
      <c r="E1434" s="44" t="s">
        <v>619</v>
      </c>
      <c r="F1434" s="44" t="s">
        <v>1723</v>
      </c>
      <c r="G1434" s="42"/>
      <c r="H1434" s="42" t="n">
        <v>33939200</v>
      </c>
      <c r="I1434" s="44" t="s">
        <v>774</v>
      </c>
      <c r="J1434" s="11" t="n">
        <f aca="false">IF(D1434="","",N(G1434)-N(H1434))</f>
        <v>-33939200</v>
      </c>
      <c r="K1434" s="34" t="str">
        <f aca="false">IF(D1434="","",IFERROR(INDEX(I_COA!$C$6:$C$265,MATCH(D1434,I_COA!$A$6:$A$265,0)),"AKUN BARU"))</f>
        <v>LabaRugi</v>
      </c>
      <c r="L1434" s="34" t="str">
        <f aca="false">IF(K1434="LabaRugi",INDEX(I_COA!$D$6:$D$265,MATCH(D1434,I_COA!$A$6:$A$265,0)),"")</f>
        <v>Revenue - Trading</v>
      </c>
      <c r="M1434" s="34" t="str">
        <f aca="false">IF(K1434="Neraca",INDEX(I_COA!$E$6:$E$265,MATCH(D1434,I_COA!$A$6:$A$265,0)),"")</f>
        <v/>
      </c>
      <c r="N1434" s="34" t="str">
        <f aca="false">IF(D1434="","",IFERROR(INDEX(I_COA!$G$6:$G$265,MATCH(D1434,I_COA!$A$6:$A$265,0)),"N"))</f>
        <v>N</v>
      </c>
      <c r="O1434" s="11" t="n">
        <f aca="false">IF(N1434="N",ABS(J1434),"")</f>
        <v>33939200</v>
      </c>
      <c r="P1434" s="18" t="str">
        <f aca="false">IF(N1434="N",B1434&amp;"|"&amp;ROUND(O1434,0),"")</f>
        <v>KGR26/0298|33939200</v>
      </c>
      <c r="Q1434" s="18" t="str">
        <f aca="false">IF(N1434&lt;&gt;"Y","",IFERROR(INDEX($D$6:$D$4005,MATCH(B1434&amp;"|"&amp;ROUND(_xlfn.MAXIFS($O$6:$O$4005,$B$6:$B$4005,B1434,$N$6:$N$4005,"N"),0),$P$6:$P$4005,0)),"(tanpa lawan)"))</f>
        <v/>
      </c>
      <c r="R1434" s="44"/>
      <c r="S1434" s="9" t="str">
        <f aca="false">IF(N1434&lt;&gt;"Y","",IF(R1434&lt;&gt;"",R1434,IF(Q1434="(tanpa lawan)","Transfer antar rekening",IFERROR(INDEX(I_COA!$F$6:$F$265,MATCH(Q1434,I_COA!$A$6:$A$265,0)),"?"))))</f>
        <v/>
      </c>
    </row>
    <row r="1435" customFormat="false" ht="15" hidden="false" customHeight="false" outlineLevel="0" collapsed="false">
      <c r="A1435" s="37" t="n">
        <v>46254</v>
      </c>
      <c r="B1435" s="44" t="s">
        <v>1722</v>
      </c>
      <c r="C1435" s="44" t="s">
        <v>617</v>
      </c>
      <c r="D1435" s="44" t="n">
        <v>5100011</v>
      </c>
      <c r="E1435" s="44" t="s">
        <v>166</v>
      </c>
      <c r="F1435" s="44" t="s">
        <v>1723</v>
      </c>
      <c r="G1435" s="42" t="n">
        <v>31330409.57</v>
      </c>
      <c r="H1435" s="42"/>
      <c r="I1435" s="44" t="s">
        <v>774</v>
      </c>
      <c r="J1435" s="11" t="n">
        <f aca="false">IF(D1435="","",N(G1435)-N(H1435))</f>
        <v>31330409.57</v>
      </c>
      <c r="K1435" s="34" t="str">
        <f aca="false">IF(D1435="","",IFERROR(INDEX(I_COA!$C$6:$C$265,MATCH(D1435,I_COA!$A$6:$A$265,0)),"AKUN BARU"))</f>
        <v>LabaRugi</v>
      </c>
      <c r="L1435" s="34" t="str">
        <f aca="false">IF(K1435="LabaRugi",INDEX(I_COA!$D$6:$D$265,MATCH(D1435,I_COA!$A$6:$A$265,0)),"")</f>
        <v>COGS - Trading</v>
      </c>
      <c r="M1435" s="34" t="str">
        <f aca="false">IF(K1435="Neraca",INDEX(I_COA!$E$6:$E$265,MATCH(D1435,I_COA!$A$6:$A$265,0)),"")</f>
        <v/>
      </c>
      <c r="N1435" s="34" t="str">
        <f aca="false">IF(D1435="","",IFERROR(INDEX(I_COA!$G$6:$G$265,MATCH(D1435,I_COA!$A$6:$A$265,0)),"N"))</f>
        <v>N</v>
      </c>
      <c r="O1435" s="11" t="n">
        <f aca="false">IF(N1435="N",ABS(J1435),"")</f>
        <v>31330409.57</v>
      </c>
      <c r="P1435" s="18" t="str">
        <f aca="false">IF(N1435="N",B1435&amp;"|"&amp;ROUND(O1435,0),"")</f>
        <v>KGR26/0298|31330410</v>
      </c>
      <c r="Q1435" s="18" t="str">
        <f aca="false">IF(N1435&lt;&gt;"Y","",IFERROR(INDEX($D$6:$D$4005,MATCH(B1435&amp;"|"&amp;ROUND(_xlfn.MAXIFS($O$6:$O$4005,$B$6:$B$4005,B1435,$N$6:$N$4005,"N"),0),$P$6:$P$4005,0)),"(tanpa lawan)"))</f>
        <v/>
      </c>
      <c r="R1435" s="44"/>
      <c r="S1435" s="9" t="str">
        <f aca="false">IF(N1435&lt;&gt;"Y","",IF(R1435&lt;&gt;"",R1435,IF(Q1435="(tanpa lawan)","Transfer antar rekening",IFERROR(INDEX(I_COA!$F$6:$F$265,MATCH(Q1435,I_COA!$A$6:$A$265,0)),"?"))))</f>
        <v/>
      </c>
    </row>
    <row r="1436" customFormat="false" ht="15" hidden="false" customHeight="false" outlineLevel="0" collapsed="false">
      <c r="A1436" s="37" t="n">
        <v>46254</v>
      </c>
      <c r="B1436" s="44" t="s">
        <v>1722</v>
      </c>
      <c r="C1436" s="44" t="s">
        <v>617</v>
      </c>
      <c r="D1436" s="44" t="n">
        <v>1104002</v>
      </c>
      <c r="E1436" s="44" t="s">
        <v>601</v>
      </c>
      <c r="F1436" s="44" t="s">
        <v>1723</v>
      </c>
      <c r="G1436" s="42"/>
      <c r="H1436" s="42" t="n">
        <v>31330409.57</v>
      </c>
      <c r="I1436" s="44" t="s">
        <v>774</v>
      </c>
      <c r="J1436" s="11" t="n">
        <f aca="false">IF(D1436="","",N(G1436)-N(H1436))</f>
        <v>-31330409.57</v>
      </c>
      <c r="K1436" s="34" t="str">
        <f aca="false">IF(D1436="","",IFERROR(INDEX(I_COA!$C$6:$C$265,MATCH(D1436,I_COA!$A$6:$A$265,0)),"AKUN BARU"))</f>
        <v>Neraca</v>
      </c>
      <c r="L1436" s="34" t="str">
        <f aca="false">IF(K1436="LabaRugi",INDEX(I_COA!$D$6:$D$265,MATCH(D1436,I_COA!$A$6:$A$265,0)),"")</f>
        <v/>
      </c>
      <c r="M1436" s="34" t="str">
        <f aca="false">IF(K1436="Neraca",INDEX(I_COA!$E$6:$E$265,MATCH(D1436,I_COA!$A$6:$A$265,0)),"")</f>
        <v>Inventory - Product</v>
      </c>
      <c r="N1436" s="34" t="str">
        <f aca="false">IF(D1436="","",IFERROR(INDEX(I_COA!$G$6:$G$265,MATCH(D1436,I_COA!$A$6:$A$265,0)),"N"))</f>
        <v>N</v>
      </c>
      <c r="O1436" s="11" t="n">
        <f aca="false">IF(N1436="N",ABS(J1436),"")</f>
        <v>31330409.57</v>
      </c>
      <c r="P1436" s="18" t="str">
        <f aca="false">IF(N1436="N",B1436&amp;"|"&amp;ROUND(O1436,0),"")</f>
        <v>KGR26/0298|31330410</v>
      </c>
      <c r="Q1436" s="18" t="str">
        <f aca="false">IF(N1436&lt;&gt;"Y","",IFERROR(INDEX($D$6:$D$4005,MATCH(B1436&amp;"|"&amp;ROUND(_xlfn.MAXIFS($O$6:$O$4005,$B$6:$B$4005,B1436,$N$6:$N$4005,"N"),0),$P$6:$P$4005,0)),"(tanpa lawan)"))</f>
        <v/>
      </c>
      <c r="R1436" s="44"/>
      <c r="S1436" s="9" t="str">
        <f aca="false">IF(N1436&lt;&gt;"Y","",IF(R1436&lt;&gt;"",R1436,IF(Q1436="(tanpa lawan)","Transfer antar rekening",IFERROR(INDEX(I_COA!$F$6:$F$265,MATCH(Q1436,I_COA!$A$6:$A$265,0)),"?"))))</f>
        <v/>
      </c>
    </row>
    <row r="1437" customFormat="false" ht="15" hidden="false" customHeight="false" outlineLevel="0" collapsed="false">
      <c r="A1437" s="37" t="n">
        <v>46254</v>
      </c>
      <c r="B1437" s="44" t="s">
        <v>1724</v>
      </c>
      <c r="C1437" s="44" t="s">
        <v>707</v>
      </c>
      <c r="D1437" s="44" t="n">
        <v>5100007</v>
      </c>
      <c r="E1437" s="44" t="s">
        <v>708</v>
      </c>
      <c r="F1437" s="44" t="s">
        <v>1667</v>
      </c>
      <c r="G1437" s="42" t="n">
        <v>9000000</v>
      </c>
      <c r="H1437" s="42"/>
      <c r="I1437" s="44" t="s">
        <v>681</v>
      </c>
      <c r="J1437" s="11" t="n">
        <f aca="false">IF(D1437="","",N(G1437)-N(H1437))</f>
        <v>9000000</v>
      </c>
      <c r="K1437" s="34" t="str">
        <f aca="false">IF(D1437="","",IFERROR(INDEX(I_COA!$C$6:$C$265,MATCH(D1437,I_COA!$A$6:$A$265,0)),"AKUN BARU"))</f>
        <v>LabaRugi</v>
      </c>
      <c r="L1437" s="34" t="str">
        <f aca="false">IF(K1437="LabaRugi",INDEX(I_COA!$D$6:$D$265,MATCH(D1437,I_COA!$A$6:$A$265,0)),"")</f>
        <v>Other COGS - Expedition</v>
      </c>
      <c r="M1437" s="34" t="str">
        <f aca="false">IF(K1437="Neraca",INDEX(I_COA!$E$6:$E$265,MATCH(D1437,I_COA!$A$6:$A$265,0)),"")</f>
        <v/>
      </c>
      <c r="N1437" s="34" t="str">
        <f aca="false">IF(D1437="","",IFERROR(INDEX(I_COA!$G$6:$G$265,MATCH(D1437,I_COA!$A$6:$A$265,0)),"N"))</f>
        <v>N</v>
      </c>
      <c r="O1437" s="11" t="n">
        <f aca="false">IF(N1437="N",ABS(J1437),"")</f>
        <v>9000000</v>
      </c>
      <c r="P1437" s="18" t="str">
        <f aca="false">IF(N1437="N",B1437&amp;"|"&amp;ROUND(O1437,0),"")</f>
        <v>PI26080040|9000000</v>
      </c>
      <c r="Q1437" s="18" t="str">
        <f aca="false">IF(N1437&lt;&gt;"Y","",IFERROR(INDEX($D$6:$D$4005,MATCH(B1437&amp;"|"&amp;ROUND(_xlfn.MAXIFS($O$6:$O$4005,$B$6:$B$4005,B1437,$N$6:$N$4005,"N"),0),$P$6:$P$4005,0)),"(tanpa lawan)"))</f>
        <v/>
      </c>
      <c r="R1437" s="44"/>
      <c r="S1437" s="9" t="str">
        <f aca="false">IF(N1437&lt;&gt;"Y","",IF(R1437&lt;&gt;"",R1437,IF(Q1437="(tanpa lawan)","Transfer antar rekening",IFERROR(INDEX(I_COA!$F$6:$F$265,MATCH(Q1437,I_COA!$A$6:$A$265,0)),"?"))))</f>
        <v/>
      </c>
    </row>
    <row r="1438" customFormat="false" ht="15" hidden="false" customHeight="false" outlineLevel="0" collapsed="false">
      <c r="A1438" s="37" t="n">
        <v>46254</v>
      </c>
      <c r="B1438" s="44" t="s">
        <v>1724</v>
      </c>
      <c r="C1438" s="44" t="s">
        <v>707</v>
      </c>
      <c r="D1438" s="44" t="n">
        <v>2102002</v>
      </c>
      <c r="E1438" s="44" t="s">
        <v>633</v>
      </c>
      <c r="F1438" s="44" t="s">
        <v>1668</v>
      </c>
      <c r="G1438" s="42"/>
      <c r="H1438" s="42" t="n">
        <v>225000</v>
      </c>
      <c r="I1438" s="44" t="s">
        <v>681</v>
      </c>
      <c r="J1438" s="11" t="n">
        <f aca="false">IF(D1438="","",N(G1438)-N(H1438))</f>
        <v>-225000</v>
      </c>
      <c r="K1438" s="34" t="str">
        <f aca="false">IF(D1438="","",IFERROR(INDEX(I_COA!$C$6:$C$265,MATCH(D1438,I_COA!$A$6:$A$265,0)),"AKUN BARU"))</f>
        <v>Neraca</v>
      </c>
      <c r="L1438" s="34" t="str">
        <f aca="false">IF(K1438="LabaRugi",INDEX(I_COA!$D$6:$D$265,MATCH(D1438,I_COA!$A$6:$A$265,0)),"")</f>
        <v/>
      </c>
      <c r="M1438" s="34" t="str">
        <f aca="false">IF(K1438="Neraca",INDEX(I_COA!$E$6:$E$265,MATCH(D1438,I_COA!$A$6:$A$265,0)),"")</f>
        <v>Taxes Payable</v>
      </c>
      <c r="N1438" s="34" t="str">
        <f aca="false">IF(D1438="","",IFERROR(INDEX(I_COA!$G$6:$G$265,MATCH(D1438,I_COA!$A$6:$A$265,0)),"N"))</f>
        <v>N</v>
      </c>
      <c r="O1438" s="11" t="n">
        <f aca="false">IF(N1438="N",ABS(J1438),"")</f>
        <v>225000</v>
      </c>
      <c r="P1438" s="18" t="str">
        <f aca="false">IF(N1438="N",B1438&amp;"|"&amp;ROUND(O1438,0),"")</f>
        <v>PI26080040|225000</v>
      </c>
      <c r="Q1438" s="18" t="str">
        <f aca="false">IF(N1438&lt;&gt;"Y","",IFERROR(INDEX($D$6:$D$4005,MATCH(B1438&amp;"|"&amp;ROUND(_xlfn.MAXIFS($O$6:$O$4005,$B$6:$B$4005,B1438,$N$6:$N$4005,"N"),0),$P$6:$P$4005,0)),"(tanpa lawan)"))</f>
        <v/>
      </c>
      <c r="R1438" s="44"/>
      <c r="S1438" s="9" t="str">
        <f aca="false">IF(N1438&lt;&gt;"Y","",IF(R1438&lt;&gt;"",R1438,IF(Q1438="(tanpa lawan)","Transfer antar rekening",IFERROR(INDEX(I_COA!$F$6:$F$265,MATCH(Q1438,I_COA!$A$6:$A$265,0)),"?"))))</f>
        <v/>
      </c>
    </row>
    <row r="1439" customFormat="false" ht="15" hidden="false" customHeight="false" outlineLevel="0" collapsed="false">
      <c r="A1439" s="37" t="n">
        <v>46254</v>
      </c>
      <c r="B1439" s="44" t="s">
        <v>1724</v>
      </c>
      <c r="C1439" s="44" t="s">
        <v>707</v>
      </c>
      <c r="D1439" s="44" t="n">
        <v>2101003</v>
      </c>
      <c r="E1439" s="44" t="s">
        <v>679</v>
      </c>
      <c r="F1439" s="44" t="s">
        <v>1667</v>
      </c>
      <c r="G1439" s="42"/>
      <c r="H1439" s="42" t="n">
        <v>8775000</v>
      </c>
      <c r="I1439" s="44" t="s">
        <v>681</v>
      </c>
      <c r="J1439" s="11" t="n">
        <f aca="false">IF(D1439="","",N(G1439)-N(H1439))</f>
        <v>-8775000</v>
      </c>
      <c r="K1439" s="34" t="str">
        <f aca="false">IF(D1439="","",IFERROR(INDEX(I_COA!$C$6:$C$265,MATCH(D1439,I_COA!$A$6:$A$265,0)),"AKUN BARU"))</f>
        <v>Neraca</v>
      </c>
      <c r="L1439" s="34" t="str">
        <f aca="false">IF(K1439="LabaRugi",INDEX(I_COA!$D$6:$D$265,MATCH(D1439,I_COA!$A$6:$A$265,0)),"")</f>
        <v/>
      </c>
      <c r="M1439" s="34" t="str">
        <f aca="false">IF(K1439="Neraca",INDEX(I_COA!$E$6:$E$265,MATCH(D1439,I_COA!$A$6:$A$265,0)),"")</f>
        <v>Other Payable - Third Parties</v>
      </c>
      <c r="N1439" s="34" t="str">
        <f aca="false">IF(D1439="","",IFERROR(INDEX(I_COA!$G$6:$G$265,MATCH(D1439,I_COA!$A$6:$A$265,0)),"N"))</f>
        <v>N</v>
      </c>
      <c r="O1439" s="11" t="n">
        <f aca="false">IF(N1439="N",ABS(J1439),"")</f>
        <v>8775000</v>
      </c>
      <c r="P1439" s="18" t="str">
        <f aca="false">IF(N1439="N",B1439&amp;"|"&amp;ROUND(O1439,0),"")</f>
        <v>PI26080040|8775000</v>
      </c>
      <c r="Q1439" s="18" t="str">
        <f aca="false">IF(N1439&lt;&gt;"Y","",IFERROR(INDEX($D$6:$D$4005,MATCH(B1439&amp;"|"&amp;ROUND(_xlfn.MAXIFS($O$6:$O$4005,$B$6:$B$4005,B1439,$N$6:$N$4005,"N"),0),$P$6:$P$4005,0)),"(tanpa lawan)"))</f>
        <v/>
      </c>
      <c r="R1439" s="44"/>
      <c r="S1439" s="9" t="str">
        <f aca="false">IF(N1439&lt;&gt;"Y","",IF(R1439&lt;&gt;"",R1439,IF(Q1439="(tanpa lawan)","Transfer antar rekening",IFERROR(INDEX(I_COA!$F$6:$F$265,MATCH(Q1439,I_COA!$A$6:$A$265,0)),"?"))))</f>
        <v/>
      </c>
    </row>
    <row r="1440" customFormat="false" ht="15" hidden="false" customHeight="false" outlineLevel="0" collapsed="false">
      <c r="A1440" s="37" t="n">
        <v>46254</v>
      </c>
      <c r="B1440" s="44" t="s">
        <v>1725</v>
      </c>
      <c r="C1440" s="44" t="s">
        <v>707</v>
      </c>
      <c r="D1440" s="44" t="n">
        <v>5100006</v>
      </c>
      <c r="E1440" s="44" t="s">
        <v>950</v>
      </c>
      <c r="F1440" s="44" t="s">
        <v>1726</v>
      </c>
      <c r="G1440" s="42" t="n">
        <v>12436160</v>
      </c>
      <c r="H1440" s="42"/>
      <c r="I1440" s="44" t="s">
        <v>440</v>
      </c>
      <c r="J1440" s="11" t="n">
        <f aca="false">IF(D1440="","",N(G1440)-N(H1440))</f>
        <v>12436160</v>
      </c>
      <c r="K1440" s="34" t="str">
        <f aca="false">IF(D1440="","",IFERROR(INDEX(I_COA!$C$6:$C$265,MATCH(D1440,I_COA!$A$6:$A$265,0)),"AKUN BARU"))</f>
        <v>LabaRugi</v>
      </c>
      <c r="L1440" s="34" t="str">
        <f aca="false">IF(K1440="LabaRugi",INDEX(I_COA!$D$6:$D$265,MATCH(D1440,I_COA!$A$6:$A$265,0)),"")</f>
        <v>COGS - Live Bird</v>
      </c>
      <c r="M1440" s="34" t="str">
        <f aca="false">IF(K1440="Neraca",INDEX(I_COA!$E$6:$E$265,MATCH(D1440,I_COA!$A$6:$A$265,0)),"")</f>
        <v/>
      </c>
      <c r="N1440" s="34" t="str">
        <f aca="false">IF(D1440="","",IFERROR(INDEX(I_COA!$G$6:$G$265,MATCH(D1440,I_COA!$A$6:$A$265,0)),"N"))</f>
        <v>N</v>
      </c>
      <c r="O1440" s="11" t="n">
        <f aca="false">IF(N1440="N",ABS(J1440),"")</f>
        <v>12436160</v>
      </c>
      <c r="P1440" s="18" t="str">
        <f aca="false">IF(N1440="N",B1440&amp;"|"&amp;ROUND(O1440,0),"")</f>
        <v>PI26080044|12436160</v>
      </c>
      <c r="Q1440" s="18" t="str">
        <f aca="false">IF(N1440&lt;&gt;"Y","",IFERROR(INDEX($D$6:$D$4005,MATCH(B1440&amp;"|"&amp;ROUND(_xlfn.MAXIFS($O$6:$O$4005,$B$6:$B$4005,B1440,$N$6:$N$4005,"N"),0),$P$6:$P$4005,0)),"(tanpa lawan)"))</f>
        <v/>
      </c>
      <c r="R1440" s="44"/>
      <c r="S1440" s="9" t="str">
        <f aca="false">IF(N1440&lt;&gt;"Y","",IF(R1440&lt;&gt;"",R1440,IF(Q1440="(tanpa lawan)","Transfer antar rekening",IFERROR(INDEX(I_COA!$F$6:$F$265,MATCH(Q1440,I_COA!$A$6:$A$265,0)),"?"))))</f>
        <v/>
      </c>
    </row>
    <row r="1441" customFormat="false" ht="15" hidden="false" customHeight="false" outlineLevel="0" collapsed="false">
      <c r="A1441" s="37" t="n">
        <v>46254</v>
      </c>
      <c r="B1441" s="44" t="s">
        <v>1725</v>
      </c>
      <c r="C1441" s="44" t="s">
        <v>707</v>
      </c>
      <c r="D1441" s="44" t="n">
        <v>5100009</v>
      </c>
      <c r="E1441" s="44" t="s">
        <v>1003</v>
      </c>
      <c r="F1441" s="44" t="s">
        <v>1727</v>
      </c>
      <c r="G1441" s="42" t="n">
        <v>3276720</v>
      </c>
      <c r="H1441" s="42"/>
      <c r="I1441" s="44" t="s">
        <v>440</v>
      </c>
      <c r="J1441" s="11" t="n">
        <f aca="false">IF(D1441="","",N(G1441)-N(H1441))</f>
        <v>3276720</v>
      </c>
      <c r="K1441" s="34" t="str">
        <f aca="false">IF(D1441="","",IFERROR(INDEX(I_COA!$C$6:$C$265,MATCH(D1441,I_COA!$A$6:$A$265,0)),"AKUN BARU"))</f>
        <v>LabaRugi</v>
      </c>
      <c r="L1441" s="34" t="str">
        <f aca="false">IF(K1441="LabaRugi",INDEX(I_COA!$D$6:$D$265,MATCH(D1441,I_COA!$A$6:$A$265,0)),"")</f>
        <v>COGS - Blasting</v>
      </c>
      <c r="M1441" s="34" t="str">
        <f aca="false">IF(K1441="Neraca",INDEX(I_COA!$E$6:$E$265,MATCH(D1441,I_COA!$A$6:$A$265,0)),"")</f>
        <v/>
      </c>
      <c r="N1441" s="34" t="str">
        <f aca="false">IF(D1441="","",IFERROR(INDEX(I_COA!$G$6:$G$265,MATCH(D1441,I_COA!$A$6:$A$265,0)),"N"))</f>
        <v>N</v>
      </c>
      <c r="O1441" s="11" t="n">
        <f aca="false">IF(N1441="N",ABS(J1441),"")</f>
        <v>3276720</v>
      </c>
      <c r="P1441" s="18" t="str">
        <f aca="false">IF(N1441="N",B1441&amp;"|"&amp;ROUND(O1441,0),"")</f>
        <v>PI26080044|3276720</v>
      </c>
      <c r="Q1441" s="18" t="str">
        <f aca="false">IF(N1441&lt;&gt;"Y","",IFERROR(INDEX($D$6:$D$4005,MATCH(B1441&amp;"|"&amp;ROUND(_xlfn.MAXIFS($O$6:$O$4005,$B$6:$B$4005,B1441,$N$6:$N$4005,"N"),0),$P$6:$P$4005,0)),"(tanpa lawan)"))</f>
        <v/>
      </c>
      <c r="R1441" s="44"/>
      <c r="S1441" s="9" t="str">
        <f aca="false">IF(N1441&lt;&gt;"Y","",IF(R1441&lt;&gt;"",R1441,IF(Q1441="(tanpa lawan)","Transfer antar rekening",IFERROR(INDEX(I_COA!$F$6:$F$265,MATCH(Q1441,I_COA!$A$6:$A$265,0)),"?"))))</f>
        <v/>
      </c>
    </row>
    <row r="1442" customFormat="false" ht="15" hidden="false" customHeight="false" outlineLevel="0" collapsed="false">
      <c r="A1442" s="37" t="n">
        <v>46254</v>
      </c>
      <c r="B1442" s="44" t="s">
        <v>1725</v>
      </c>
      <c r="C1442" s="44" t="s">
        <v>707</v>
      </c>
      <c r="D1442" s="44" t="n">
        <v>2102003</v>
      </c>
      <c r="E1442" s="44" t="s">
        <v>722</v>
      </c>
      <c r="F1442" s="44" t="s">
        <v>1118</v>
      </c>
      <c r="G1442" s="42"/>
      <c r="H1442" s="42" t="n">
        <v>314257.6</v>
      </c>
      <c r="I1442" s="44" t="s">
        <v>440</v>
      </c>
      <c r="J1442" s="11" t="n">
        <f aca="false">IF(D1442="","",N(G1442)-N(H1442))</f>
        <v>-314257.6</v>
      </c>
      <c r="K1442" s="34" t="str">
        <f aca="false">IF(D1442="","",IFERROR(INDEX(I_COA!$C$6:$C$265,MATCH(D1442,I_COA!$A$6:$A$265,0)),"AKUN BARU"))</f>
        <v>Neraca</v>
      </c>
      <c r="L1442" s="34" t="str">
        <f aca="false">IF(K1442="LabaRugi",INDEX(I_COA!$D$6:$D$265,MATCH(D1442,I_COA!$A$6:$A$265,0)),"")</f>
        <v/>
      </c>
      <c r="M1442" s="34" t="str">
        <f aca="false">IF(K1442="Neraca",INDEX(I_COA!$E$6:$E$265,MATCH(D1442,I_COA!$A$6:$A$265,0)),"")</f>
        <v>Taxes Payable</v>
      </c>
      <c r="N1442" s="34" t="str">
        <f aca="false">IF(D1442="","",IFERROR(INDEX(I_COA!$G$6:$G$265,MATCH(D1442,I_COA!$A$6:$A$265,0)),"N"))</f>
        <v>N</v>
      </c>
      <c r="O1442" s="11" t="n">
        <f aca="false">IF(N1442="N",ABS(J1442),"")</f>
        <v>314257.6</v>
      </c>
      <c r="P1442" s="18" t="str">
        <f aca="false">IF(N1442="N",B1442&amp;"|"&amp;ROUND(O1442,0),"")</f>
        <v>PI26080044|314258</v>
      </c>
      <c r="Q1442" s="18" t="str">
        <f aca="false">IF(N1442&lt;&gt;"Y","",IFERROR(INDEX($D$6:$D$4005,MATCH(B1442&amp;"|"&amp;ROUND(_xlfn.MAXIFS($O$6:$O$4005,$B$6:$B$4005,B1442,$N$6:$N$4005,"N"),0),$P$6:$P$4005,0)),"(tanpa lawan)"))</f>
        <v/>
      </c>
      <c r="R1442" s="44"/>
      <c r="S1442" s="9" t="str">
        <f aca="false">IF(N1442&lt;&gt;"Y","",IF(R1442&lt;&gt;"",R1442,IF(Q1442="(tanpa lawan)","Transfer antar rekening",IFERROR(INDEX(I_COA!$F$6:$F$265,MATCH(Q1442,I_COA!$A$6:$A$265,0)),"?"))))</f>
        <v/>
      </c>
    </row>
    <row r="1443" customFormat="false" ht="15" hidden="false" customHeight="false" outlineLevel="0" collapsed="false">
      <c r="A1443" s="37" t="n">
        <v>46254</v>
      </c>
      <c r="B1443" s="44" t="s">
        <v>1725</v>
      </c>
      <c r="C1443" s="44" t="s">
        <v>707</v>
      </c>
      <c r="D1443" s="44" t="n">
        <v>1106001</v>
      </c>
      <c r="E1443" s="44" t="s">
        <v>720</v>
      </c>
      <c r="F1443" s="44" t="s">
        <v>721</v>
      </c>
      <c r="G1443" s="42" t="n">
        <v>1728417</v>
      </c>
      <c r="H1443" s="42"/>
      <c r="I1443" s="44" t="s">
        <v>440</v>
      </c>
      <c r="J1443" s="11" t="n">
        <f aca="false">IF(D1443="","",N(G1443)-N(H1443))</f>
        <v>1728417</v>
      </c>
      <c r="K1443" s="34" t="str">
        <f aca="false">IF(D1443="","",IFERROR(INDEX(I_COA!$C$6:$C$265,MATCH(D1443,I_COA!$A$6:$A$265,0)),"AKUN BARU"))</f>
        <v>Neraca</v>
      </c>
      <c r="L1443" s="34" t="str">
        <f aca="false">IF(K1443="LabaRugi",INDEX(I_COA!$D$6:$D$265,MATCH(D1443,I_COA!$A$6:$A$265,0)),"")</f>
        <v/>
      </c>
      <c r="M1443" s="34" t="str">
        <f aca="false">IF(K1443="Neraca",INDEX(I_COA!$E$6:$E$265,MATCH(D1443,I_COA!$A$6:$A$265,0)),"")</f>
        <v>Prepaid Tax</v>
      </c>
      <c r="N1443" s="34" t="str">
        <f aca="false">IF(D1443="","",IFERROR(INDEX(I_COA!$G$6:$G$265,MATCH(D1443,I_COA!$A$6:$A$265,0)),"N"))</f>
        <v>N</v>
      </c>
      <c r="O1443" s="11" t="n">
        <f aca="false">IF(N1443="N",ABS(J1443),"")</f>
        <v>1728417</v>
      </c>
      <c r="P1443" s="18" t="str">
        <f aca="false">IF(N1443="N",B1443&amp;"|"&amp;ROUND(O1443,0),"")</f>
        <v>PI26080044|1728417</v>
      </c>
      <c r="Q1443" s="18" t="str">
        <f aca="false">IF(N1443&lt;&gt;"Y","",IFERROR(INDEX($D$6:$D$4005,MATCH(B1443&amp;"|"&amp;ROUND(_xlfn.MAXIFS($O$6:$O$4005,$B$6:$B$4005,B1443,$N$6:$N$4005,"N"),0),$P$6:$P$4005,0)),"(tanpa lawan)"))</f>
        <v/>
      </c>
      <c r="R1443" s="44"/>
      <c r="S1443" s="9" t="str">
        <f aca="false">IF(N1443&lt;&gt;"Y","",IF(R1443&lt;&gt;"",R1443,IF(Q1443="(tanpa lawan)","Transfer antar rekening",IFERROR(INDEX(I_COA!$F$6:$F$265,MATCH(Q1443,I_COA!$A$6:$A$265,0)),"?"))))</f>
        <v/>
      </c>
    </row>
    <row r="1444" customFormat="false" ht="15" hidden="false" customHeight="false" outlineLevel="0" collapsed="false">
      <c r="A1444" s="37" t="n">
        <v>46254</v>
      </c>
      <c r="B1444" s="44" t="s">
        <v>1725</v>
      </c>
      <c r="C1444" s="44" t="s">
        <v>707</v>
      </c>
      <c r="D1444" s="44" t="n">
        <v>2101003</v>
      </c>
      <c r="E1444" s="44" t="s">
        <v>679</v>
      </c>
      <c r="F1444" s="44" t="s">
        <v>1728</v>
      </c>
      <c r="G1444" s="42"/>
      <c r="H1444" s="42" t="n">
        <v>17127039.4</v>
      </c>
      <c r="I1444" s="44" t="s">
        <v>440</v>
      </c>
      <c r="J1444" s="11" t="n">
        <f aca="false">IF(D1444="","",N(G1444)-N(H1444))</f>
        <v>-17127039.4</v>
      </c>
      <c r="K1444" s="34" t="str">
        <f aca="false">IF(D1444="","",IFERROR(INDEX(I_COA!$C$6:$C$265,MATCH(D1444,I_COA!$A$6:$A$265,0)),"AKUN BARU"))</f>
        <v>Neraca</v>
      </c>
      <c r="L1444" s="34" t="str">
        <f aca="false">IF(K1444="LabaRugi",INDEX(I_COA!$D$6:$D$265,MATCH(D1444,I_COA!$A$6:$A$265,0)),"")</f>
        <v/>
      </c>
      <c r="M1444" s="34" t="str">
        <f aca="false">IF(K1444="Neraca",INDEX(I_COA!$E$6:$E$265,MATCH(D1444,I_COA!$A$6:$A$265,0)),"")</f>
        <v>Other Payable - Third Parties</v>
      </c>
      <c r="N1444" s="34" t="str">
        <f aca="false">IF(D1444="","",IFERROR(INDEX(I_COA!$G$6:$G$265,MATCH(D1444,I_COA!$A$6:$A$265,0)),"N"))</f>
        <v>N</v>
      </c>
      <c r="O1444" s="11" t="n">
        <f aca="false">IF(N1444="N",ABS(J1444),"")</f>
        <v>17127039.4</v>
      </c>
      <c r="P1444" s="18" t="str">
        <f aca="false">IF(N1444="N",B1444&amp;"|"&amp;ROUND(O1444,0),"")</f>
        <v>PI26080044|17127039</v>
      </c>
      <c r="Q1444" s="18" t="str">
        <f aca="false">IF(N1444&lt;&gt;"Y","",IFERROR(INDEX($D$6:$D$4005,MATCH(B1444&amp;"|"&amp;ROUND(_xlfn.MAXIFS($O$6:$O$4005,$B$6:$B$4005,B1444,$N$6:$N$4005,"N"),0),$P$6:$P$4005,0)),"(tanpa lawan)"))</f>
        <v/>
      </c>
      <c r="R1444" s="44"/>
      <c r="S1444" s="9" t="str">
        <f aca="false">IF(N1444&lt;&gt;"Y","",IF(R1444&lt;&gt;"",R1444,IF(Q1444="(tanpa lawan)","Transfer antar rekening",IFERROR(INDEX(I_COA!$F$6:$F$265,MATCH(Q1444,I_COA!$A$6:$A$265,0)),"?"))))</f>
        <v/>
      </c>
    </row>
    <row r="1445" customFormat="false" ht="15" hidden="false" customHeight="false" outlineLevel="0" collapsed="false">
      <c r="A1445" s="37" t="n">
        <v>46254</v>
      </c>
      <c r="B1445" s="44" t="s">
        <v>1729</v>
      </c>
      <c r="C1445" s="44" t="s">
        <v>707</v>
      </c>
      <c r="D1445" s="44" t="n">
        <v>2103011</v>
      </c>
      <c r="E1445" s="44" t="s">
        <v>693</v>
      </c>
      <c r="F1445" s="44" t="s">
        <v>1701</v>
      </c>
      <c r="G1445" s="42" t="n">
        <v>226693920.22</v>
      </c>
      <c r="H1445" s="42"/>
      <c r="I1445" s="44" t="s">
        <v>597</v>
      </c>
      <c r="J1445" s="11" t="n">
        <f aca="false">IF(D1445="","",N(G1445)-N(H1445))</f>
        <v>226693920.22</v>
      </c>
      <c r="K1445" s="34" t="str">
        <f aca="false">IF(D1445="","",IFERROR(INDEX(I_COA!$C$6:$C$265,MATCH(D1445,I_COA!$A$6:$A$265,0)),"AKUN BARU"))</f>
        <v>Neraca</v>
      </c>
      <c r="L1445" s="34" t="str">
        <f aca="false">IF(K1445="LabaRugi",INDEX(I_COA!$D$6:$D$265,MATCH(D1445,I_COA!$A$6:$A$265,0)),"")</f>
        <v/>
      </c>
      <c r="M1445" s="34" t="str">
        <f aca="false">IF(K1445="Neraca",INDEX(I_COA!$E$6:$E$265,MATCH(D1445,I_COA!$A$6:$A$265,0)),"")</f>
        <v>Accrued Expenses - Third Parties</v>
      </c>
      <c r="N1445" s="34" t="str">
        <f aca="false">IF(D1445="","",IFERROR(INDEX(I_COA!$G$6:$G$265,MATCH(D1445,I_COA!$A$6:$A$265,0)),"N"))</f>
        <v>N</v>
      </c>
      <c r="O1445" s="11" t="n">
        <f aca="false">IF(N1445="N",ABS(J1445),"")</f>
        <v>226693920.22</v>
      </c>
      <c r="P1445" s="18" t="str">
        <f aca="false">IF(N1445="N",B1445&amp;"|"&amp;ROUND(O1445,0),"")</f>
        <v>PI26080045|226693920</v>
      </c>
      <c r="Q1445" s="18" t="str">
        <f aca="false">IF(N1445&lt;&gt;"Y","",IFERROR(INDEX($D$6:$D$4005,MATCH(B1445&amp;"|"&amp;ROUND(_xlfn.MAXIFS($O$6:$O$4005,$B$6:$B$4005,B1445,$N$6:$N$4005,"N"),0),$P$6:$P$4005,0)),"(tanpa lawan)"))</f>
        <v/>
      </c>
      <c r="R1445" s="44"/>
      <c r="S1445" s="9" t="str">
        <f aca="false">IF(N1445&lt;&gt;"Y","",IF(R1445&lt;&gt;"",R1445,IF(Q1445="(tanpa lawan)","Transfer antar rekening",IFERROR(INDEX(I_COA!$F$6:$F$265,MATCH(Q1445,I_COA!$A$6:$A$265,0)),"?"))))</f>
        <v/>
      </c>
    </row>
    <row r="1446" customFormat="false" ht="15" hidden="false" customHeight="false" outlineLevel="0" collapsed="false">
      <c r="A1446" s="37" t="n">
        <v>46254</v>
      </c>
      <c r="B1446" s="44" t="s">
        <v>1729</v>
      </c>
      <c r="C1446" s="44" t="s">
        <v>707</v>
      </c>
      <c r="D1446" s="44" t="n">
        <v>7100008</v>
      </c>
      <c r="E1446" s="44" t="s">
        <v>952</v>
      </c>
      <c r="F1446" s="44" t="s">
        <v>1730</v>
      </c>
      <c r="G1446" s="42"/>
      <c r="H1446" s="42" t="n">
        <v>0.22</v>
      </c>
      <c r="I1446" s="44" t="s">
        <v>597</v>
      </c>
      <c r="J1446" s="11" t="n">
        <f aca="false">IF(D1446="","",N(G1446)-N(H1446))</f>
        <v>-0.22</v>
      </c>
      <c r="K1446" s="34" t="str">
        <f aca="false">IF(D1446="","",IFERROR(INDEX(I_COA!$C$6:$C$265,MATCH(D1446,I_COA!$A$6:$A$265,0)),"AKUN BARU"))</f>
        <v>LabaRugi</v>
      </c>
      <c r="L1446" s="34" t="str">
        <f aca="false">IF(K1446="LabaRugi",INDEX(I_COA!$D$6:$D$265,MATCH(D1446,I_COA!$A$6:$A$265,0)),"")</f>
        <v>Other Income</v>
      </c>
      <c r="M1446" s="34" t="str">
        <f aca="false">IF(K1446="Neraca",INDEX(I_COA!$E$6:$E$265,MATCH(D1446,I_COA!$A$6:$A$265,0)),"")</f>
        <v/>
      </c>
      <c r="N1446" s="34" t="str">
        <f aca="false">IF(D1446="","",IFERROR(INDEX(I_COA!$G$6:$G$265,MATCH(D1446,I_COA!$A$6:$A$265,0)),"N"))</f>
        <v>N</v>
      </c>
      <c r="O1446" s="11" t="n">
        <f aca="false">IF(N1446="N",ABS(J1446),"")</f>
        <v>0.22</v>
      </c>
      <c r="P1446" s="18" t="str">
        <f aca="false">IF(N1446="N",B1446&amp;"|"&amp;ROUND(O1446,0),"")</f>
        <v>PI26080045|0</v>
      </c>
      <c r="Q1446" s="18" t="str">
        <f aca="false">IF(N1446&lt;&gt;"Y","",IFERROR(INDEX($D$6:$D$4005,MATCH(B1446&amp;"|"&amp;ROUND(_xlfn.MAXIFS($O$6:$O$4005,$B$6:$B$4005,B1446,$N$6:$N$4005,"N"),0),$P$6:$P$4005,0)),"(tanpa lawan)"))</f>
        <v/>
      </c>
      <c r="R1446" s="44"/>
      <c r="S1446" s="9" t="str">
        <f aca="false">IF(N1446&lt;&gt;"Y","",IF(R1446&lt;&gt;"",R1446,IF(Q1446="(tanpa lawan)","Transfer antar rekening",IFERROR(INDEX(I_COA!$F$6:$F$265,MATCH(Q1446,I_COA!$A$6:$A$265,0)),"?"))))</f>
        <v/>
      </c>
    </row>
    <row r="1447" customFormat="false" ht="15" hidden="false" customHeight="false" outlineLevel="0" collapsed="false">
      <c r="A1447" s="37" t="n">
        <v>46254</v>
      </c>
      <c r="B1447" s="44" t="s">
        <v>1729</v>
      </c>
      <c r="C1447" s="44" t="s">
        <v>707</v>
      </c>
      <c r="D1447" s="44" t="n">
        <v>5100007</v>
      </c>
      <c r="E1447" s="44" t="s">
        <v>708</v>
      </c>
      <c r="F1447" s="44" t="s">
        <v>1568</v>
      </c>
      <c r="G1447" s="42"/>
      <c r="H1447" s="42" t="n">
        <v>9000000</v>
      </c>
      <c r="I1447" s="44" t="s">
        <v>597</v>
      </c>
      <c r="J1447" s="11" t="n">
        <f aca="false">IF(D1447="","",N(G1447)-N(H1447))</f>
        <v>-9000000</v>
      </c>
      <c r="K1447" s="34" t="str">
        <f aca="false">IF(D1447="","",IFERROR(INDEX(I_COA!$C$6:$C$265,MATCH(D1447,I_COA!$A$6:$A$265,0)),"AKUN BARU"))</f>
        <v>LabaRugi</v>
      </c>
      <c r="L1447" s="34" t="str">
        <f aca="false">IF(K1447="LabaRugi",INDEX(I_COA!$D$6:$D$265,MATCH(D1447,I_COA!$A$6:$A$265,0)),"")</f>
        <v>Other COGS - Expedition</v>
      </c>
      <c r="M1447" s="34" t="str">
        <f aca="false">IF(K1447="Neraca",INDEX(I_COA!$E$6:$E$265,MATCH(D1447,I_COA!$A$6:$A$265,0)),"")</f>
        <v/>
      </c>
      <c r="N1447" s="34" t="str">
        <f aca="false">IF(D1447="","",IFERROR(INDEX(I_COA!$G$6:$G$265,MATCH(D1447,I_COA!$A$6:$A$265,0)),"N"))</f>
        <v>N</v>
      </c>
      <c r="O1447" s="11" t="n">
        <f aca="false">IF(N1447="N",ABS(J1447),"")</f>
        <v>9000000</v>
      </c>
      <c r="P1447" s="18" t="str">
        <f aca="false">IF(N1447="N",B1447&amp;"|"&amp;ROUND(O1447,0),"")</f>
        <v>PI26080045|9000000</v>
      </c>
      <c r="Q1447" s="18" t="str">
        <f aca="false">IF(N1447&lt;&gt;"Y","",IFERROR(INDEX($D$6:$D$4005,MATCH(B1447&amp;"|"&amp;ROUND(_xlfn.MAXIFS($O$6:$O$4005,$B$6:$B$4005,B1447,$N$6:$N$4005,"N"),0),$P$6:$P$4005,0)),"(tanpa lawan)"))</f>
        <v/>
      </c>
      <c r="R1447" s="44"/>
      <c r="S1447" s="9" t="str">
        <f aca="false">IF(N1447&lt;&gt;"Y","",IF(R1447&lt;&gt;"",R1447,IF(Q1447="(tanpa lawan)","Transfer antar rekening",IFERROR(INDEX(I_COA!$F$6:$F$265,MATCH(Q1447,I_COA!$A$6:$A$265,0)),"?"))))</f>
        <v/>
      </c>
    </row>
    <row r="1448" customFormat="false" ht="15" hidden="false" customHeight="false" outlineLevel="0" collapsed="false">
      <c r="A1448" s="37" t="n">
        <v>46254</v>
      </c>
      <c r="B1448" s="44" t="s">
        <v>1729</v>
      </c>
      <c r="C1448" s="44" t="s">
        <v>707</v>
      </c>
      <c r="D1448" s="44" t="n">
        <v>5100006</v>
      </c>
      <c r="E1448" s="44" t="s">
        <v>950</v>
      </c>
      <c r="F1448" s="44" t="s">
        <v>1725</v>
      </c>
      <c r="G1448" s="42"/>
      <c r="H1448" s="42" t="n">
        <v>12436160</v>
      </c>
      <c r="I1448" s="44" t="s">
        <v>597</v>
      </c>
      <c r="J1448" s="11" t="n">
        <f aca="false">IF(D1448="","",N(G1448)-N(H1448))</f>
        <v>-12436160</v>
      </c>
      <c r="K1448" s="34" t="str">
        <f aca="false">IF(D1448="","",IFERROR(INDEX(I_COA!$C$6:$C$265,MATCH(D1448,I_COA!$A$6:$A$265,0)),"AKUN BARU"))</f>
        <v>LabaRugi</v>
      </c>
      <c r="L1448" s="34" t="str">
        <f aca="false">IF(K1448="LabaRugi",INDEX(I_COA!$D$6:$D$265,MATCH(D1448,I_COA!$A$6:$A$265,0)),"")</f>
        <v>COGS - Live Bird</v>
      </c>
      <c r="M1448" s="34" t="str">
        <f aca="false">IF(K1448="Neraca",INDEX(I_COA!$E$6:$E$265,MATCH(D1448,I_COA!$A$6:$A$265,0)),"")</f>
        <v/>
      </c>
      <c r="N1448" s="34" t="str">
        <f aca="false">IF(D1448="","",IFERROR(INDEX(I_COA!$G$6:$G$265,MATCH(D1448,I_COA!$A$6:$A$265,0)),"N"))</f>
        <v>N</v>
      </c>
      <c r="O1448" s="11" t="n">
        <f aca="false">IF(N1448="N",ABS(J1448),"")</f>
        <v>12436160</v>
      </c>
      <c r="P1448" s="18" t="str">
        <f aca="false">IF(N1448="N",B1448&amp;"|"&amp;ROUND(O1448,0),"")</f>
        <v>PI26080045|12436160</v>
      </c>
      <c r="Q1448" s="18" t="str">
        <f aca="false">IF(N1448&lt;&gt;"Y","",IFERROR(INDEX($D$6:$D$4005,MATCH(B1448&amp;"|"&amp;ROUND(_xlfn.MAXIFS($O$6:$O$4005,$B$6:$B$4005,B1448,$N$6:$N$4005,"N"),0),$P$6:$P$4005,0)),"(tanpa lawan)"))</f>
        <v/>
      </c>
      <c r="R1448" s="44"/>
      <c r="S1448" s="9" t="str">
        <f aca="false">IF(N1448&lt;&gt;"Y","",IF(R1448&lt;&gt;"",R1448,IF(Q1448="(tanpa lawan)","Transfer antar rekening",IFERROR(INDEX(I_COA!$F$6:$F$265,MATCH(Q1448,I_COA!$A$6:$A$265,0)),"?"))))</f>
        <v/>
      </c>
    </row>
    <row r="1449" customFormat="false" ht="15" hidden="false" customHeight="false" outlineLevel="0" collapsed="false">
      <c r="A1449" s="37" t="n">
        <v>46254</v>
      </c>
      <c r="B1449" s="44" t="s">
        <v>1729</v>
      </c>
      <c r="C1449" s="44" t="s">
        <v>707</v>
      </c>
      <c r="D1449" s="44" t="n">
        <v>2101001</v>
      </c>
      <c r="E1449" s="44" t="s">
        <v>595</v>
      </c>
      <c r="F1449" s="44" t="s">
        <v>1701</v>
      </c>
      <c r="G1449" s="42"/>
      <c r="H1449" s="42" t="n">
        <v>205257760</v>
      </c>
      <c r="I1449" s="44" t="s">
        <v>597</v>
      </c>
      <c r="J1449" s="11" t="n">
        <f aca="false">IF(D1449="","",N(G1449)-N(H1449))</f>
        <v>-205257760</v>
      </c>
      <c r="K1449" s="34" t="str">
        <f aca="false">IF(D1449="","",IFERROR(INDEX(I_COA!$C$6:$C$265,MATCH(D1449,I_COA!$A$6:$A$265,0)),"AKUN BARU"))</f>
        <v>Neraca</v>
      </c>
      <c r="L1449" s="34" t="str">
        <f aca="false">IF(K1449="LabaRugi",INDEX(I_COA!$D$6:$D$265,MATCH(D1449,I_COA!$A$6:$A$265,0)),"")</f>
        <v/>
      </c>
      <c r="M1449" s="34" t="str">
        <f aca="false">IF(K1449="Neraca",INDEX(I_COA!$E$6:$E$265,MATCH(D1449,I_COA!$A$6:$A$265,0)),"")</f>
        <v>Trade Payables - Third Parties</v>
      </c>
      <c r="N1449" s="34" t="str">
        <f aca="false">IF(D1449="","",IFERROR(INDEX(I_COA!$G$6:$G$265,MATCH(D1449,I_COA!$A$6:$A$265,0)),"N"))</f>
        <v>N</v>
      </c>
      <c r="O1449" s="11" t="n">
        <f aca="false">IF(N1449="N",ABS(J1449),"")</f>
        <v>205257760</v>
      </c>
      <c r="P1449" s="18" t="str">
        <f aca="false">IF(N1449="N",B1449&amp;"|"&amp;ROUND(O1449,0),"")</f>
        <v>PI26080045|205257760</v>
      </c>
      <c r="Q1449" s="18" t="str">
        <f aca="false">IF(N1449&lt;&gt;"Y","",IFERROR(INDEX($D$6:$D$4005,MATCH(B1449&amp;"|"&amp;ROUND(_xlfn.MAXIFS($O$6:$O$4005,$B$6:$B$4005,B1449,$N$6:$N$4005,"N"),0),$P$6:$P$4005,0)),"(tanpa lawan)"))</f>
        <v/>
      </c>
      <c r="R1449" s="44"/>
      <c r="S1449" s="9" t="str">
        <f aca="false">IF(N1449&lt;&gt;"Y","",IF(R1449&lt;&gt;"",R1449,IF(Q1449="(tanpa lawan)","Transfer antar rekening",IFERROR(INDEX(I_COA!$F$6:$F$265,MATCH(Q1449,I_COA!$A$6:$A$265,0)),"?"))))</f>
        <v/>
      </c>
    </row>
    <row r="1450" customFormat="false" ht="15" hidden="false" customHeight="false" outlineLevel="0" collapsed="false">
      <c r="A1450" s="37" t="n">
        <v>46254</v>
      </c>
      <c r="B1450" s="44" t="s">
        <v>1731</v>
      </c>
      <c r="C1450" s="44" t="s">
        <v>707</v>
      </c>
      <c r="D1450" s="44" t="n">
        <v>2103011</v>
      </c>
      <c r="E1450" s="44" t="s">
        <v>693</v>
      </c>
      <c r="F1450" s="44" t="s">
        <v>1703</v>
      </c>
      <c r="G1450" s="42" t="n">
        <v>619191797.73</v>
      </c>
      <c r="H1450" s="42"/>
      <c r="I1450" s="44" t="s">
        <v>597</v>
      </c>
      <c r="J1450" s="11" t="n">
        <f aca="false">IF(D1450="","",N(G1450)-N(H1450))</f>
        <v>619191797.73</v>
      </c>
      <c r="K1450" s="34" t="str">
        <f aca="false">IF(D1450="","",IFERROR(INDEX(I_COA!$C$6:$C$265,MATCH(D1450,I_COA!$A$6:$A$265,0)),"AKUN BARU"))</f>
        <v>Neraca</v>
      </c>
      <c r="L1450" s="34" t="str">
        <f aca="false">IF(K1450="LabaRugi",INDEX(I_COA!$D$6:$D$265,MATCH(D1450,I_COA!$A$6:$A$265,0)),"")</f>
        <v/>
      </c>
      <c r="M1450" s="34" t="str">
        <f aca="false">IF(K1450="Neraca",INDEX(I_COA!$E$6:$E$265,MATCH(D1450,I_COA!$A$6:$A$265,0)),"")</f>
        <v>Accrued Expenses - Third Parties</v>
      </c>
      <c r="N1450" s="34" t="str">
        <f aca="false">IF(D1450="","",IFERROR(INDEX(I_COA!$G$6:$G$265,MATCH(D1450,I_COA!$A$6:$A$265,0)),"N"))</f>
        <v>N</v>
      </c>
      <c r="O1450" s="11" t="n">
        <f aca="false">IF(N1450="N",ABS(J1450),"")</f>
        <v>619191797.73</v>
      </c>
      <c r="P1450" s="18" t="str">
        <f aca="false">IF(N1450="N",B1450&amp;"|"&amp;ROUND(O1450,0),"")</f>
        <v>PI26080079|619191798</v>
      </c>
      <c r="Q1450" s="18" t="str">
        <f aca="false">IF(N1450&lt;&gt;"Y","",IFERROR(INDEX($D$6:$D$4005,MATCH(B1450&amp;"|"&amp;ROUND(_xlfn.MAXIFS($O$6:$O$4005,$B$6:$B$4005,B1450,$N$6:$N$4005,"N"),0),$P$6:$P$4005,0)),"(tanpa lawan)"))</f>
        <v/>
      </c>
      <c r="R1450" s="44"/>
      <c r="S1450" s="9" t="str">
        <f aca="false">IF(N1450&lt;&gt;"Y","",IF(R1450&lt;&gt;"",R1450,IF(Q1450="(tanpa lawan)","Transfer antar rekening",IFERROR(INDEX(I_COA!$F$6:$F$265,MATCH(Q1450,I_COA!$A$6:$A$265,0)),"?"))))</f>
        <v/>
      </c>
    </row>
    <row r="1451" customFormat="false" ht="15" hidden="false" customHeight="false" outlineLevel="0" collapsed="false">
      <c r="A1451" s="37" t="n">
        <v>46254</v>
      </c>
      <c r="B1451" s="44" t="s">
        <v>1731</v>
      </c>
      <c r="C1451" s="44" t="s">
        <v>707</v>
      </c>
      <c r="D1451" s="44" t="n">
        <v>5100007</v>
      </c>
      <c r="E1451" s="44" t="s">
        <v>708</v>
      </c>
      <c r="F1451" s="44" t="s">
        <v>1571</v>
      </c>
      <c r="G1451" s="42"/>
      <c r="H1451" s="42" t="n">
        <v>29000000</v>
      </c>
      <c r="I1451" s="44" t="s">
        <v>597</v>
      </c>
      <c r="J1451" s="11" t="n">
        <f aca="false">IF(D1451="","",N(G1451)-N(H1451))</f>
        <v>-29000000</v>
      </c>
      <c r="K1451" s="34" t="str">
        <f aca="false">IF(D1451="","",IFERROR(INDEX(I_COA!$C$6:$C$265,MATCH(D1451,I_COA!$A$6:$A$265,0)),"AKUN BARU"))</f>
        <v>LabaRugi</v>
      </c>
      <c r="L1451" s="34" t="str">
        <f aca="false">IF(K1451="LabaRugi",INDEX(I_COA!$D$6:$D$265,MATCH(D1451,I_COA!$A$6:$A$265,0)),"")</f>
        <v>Other COGS - Expedition</v>
      </c>
      <c r="M1451" s="34" t="str">
        <f aca="false">IF(K1451="Neraca",INDEX(I_COA!$E$6:$E$265,MATCH(D1451,I_COA!$A$6:$A$265,0)),"")</f>
        <v/>
      </c>
      <c r="N1451" s="34" t="str">
        <f aca="false">IF(D1451="","",IFERROR(INDEX(I_COA!$G$6:$G$265,MATCH(D1451,I_COA!$A$6:$A$265,0)),"N"))</f>
        <v>N</v>
      </c>
      <c r="O1451" s="11" t="n">
        <f aca="false">IF(N1451="N",ABS(J1451),"")</f>
        <v>29000000</v>
      </c>
      <c r="P1451" s="18" t="str">
        <f aca="false">IF(N1451="N",B1451&amp;"|"&amp;ROUND(O1451,0),"")</f>
        <v>PI26080079|29000000</v>
      </c>
      <c r="Q1451" s="18" t="str">
        <f aca="false">IF(N1451&lt;&gt;"Y","",IFERROR(INDEX($D$6:$D$4005,MATCH(B1451&amp;"|"&amp;ROUND(_xlfn.MAXIFS($O$6:$O$4005,$B$6:$B$4005,B1451,$N$6:$N$4005,"N"),0),$P$6:$P$4005,0)),"(tanpa lawan)"))</f>
        <v/>
      </c>
      <c r="R1451" s="44"/>
      <c r="S1451" s="9" t="str">
        <f aca="false">IF(N1451&lt;&gt;"Y","",IF(R1451&lt;&gt;"",R1451,IF(Q1451="(tanpa lawan)","Transfer antar rekening",IFERROR(INDEX(I_COA!$F$6:$F$265,MATCH(Q1451,I_COA!$A$6:$A$265,0)),"?"))))</f>
        <v/>
      </c>
    </row>
    <row r="1452" customFormat="false" ht="15" hidden="false" customHeight="false" outlineLevel="0" collapsed="false">
      <c r="A1452" s="37" t="n">
        <v>46254</v>
      </c>
      <c r="B1452" s="44" t="s">
        <v>1731</v>
      </c>
      <c r="C1452" s="44" t="s">
        <v>707</v>
      </c>
      <c r="D1452" s="44" t="n">
        <v>7100008</v>
      </c>
      <c r="E1452" s="44" t="s">
        <v>952</v>
      </c>
      <c r="F1452" s="44" t="s">
        <v>1703</v>
      </c>
      <c r="G1452" s="42" t="n">
        <v>2.27</v>
      </c>
      <c r="H1452" s="42"/>
      <c r="I1452" s="44" t="s">
        <v>597</v>
      </c>
      <c r="J1452" s="11" t="n">
        <f aca="false">IF(D1452="","",N(G1452)-N(H1452))</f>
        <v>2.27</v>
      </c>
      <c r="K1452" s="34" t="str">
        <f aca="false">IF(D1452="","",IFERROR(INDEX(I_COA!$C$6:$C$265,MATCH(D1452,I_COA!$A$6:$A$265,0)),"AKUN BARU"))</f>
        <v>LabaRugi</v>
      </c>
      <c r="L1452" s="34" t="str">
        <f aca="false">IF(K1452="LabaRugi",INDEX(I_COA!$D$6:$D$265,MATCH(D1452,I_COA!$A$6:$A$265,0)),"")</f>
        <v>Other Income</v>
      </c>
      <c r="M1452" s="34" t="str">
        <f aca="false">IF(K1452="Neraca",INDEX(I_COA!$E$6:$E$265,MATCH(D1452,I_COA!$A$6:$A$265,0)),"")</f>
        <v/>
      </c>
      <c r="N1452" s="34" t="str">
        <f aca="false">IF(D1452="","",IFERROR(INDEX(I_COA!$G$6:$G$265,MATCH(D1452,I_COA!$A$6:$A$265,0)),"N"))</f>
        <v>N</v>
      </c>
      <c r="O1452" s="11" t="n">
        <f aca="false">IF(N1452="N",ABS(J1452),"")</f>
        <v>2.27</v>
      </c>
      <c r="P1452" s="18" t="str">
        <f aca="false">IF(N1452="N",B1452&amp;"|"&amp;ROUND(O1452,0),"")</f>
        <v>PI26080079|2</v>
      </c>
      <c r="Q1452" s="18" t="str">
        <f aca="false">IF(N1452&lt;&gt;"Y","",IFERROR(INDEX($D$6:$D$4005,MATCH(B1452&amp;"|"&amp;ROUND(_xlfn.MAXIFS($O$6:$O$4005,$B$6:$B$4005,B1452,$N$6:$N$4005,"N"),0),$P$6:$P$4005,0)),"(tanpa lawan)"))</f>
        <v/>
      </c>
      <c r="R1452" s="44"/>
      <c r="S1452" s="9" t="str">
        <f aca="false">IF(N1452&lt;&gt;"Y","",IF(R1452&lt;&gt;"",R1452,IF(Q1452="(tanpa lawan)","Transfer antar rekening",IFERROR(INDEX(I_COA!$F$6:$F$265,MATCH(Q1452,I_COA!$A$6:$A$265,0)),"?"))))</f>
        <v/>
      </c>
    </row>
    <row r="1453" customFormat="false" ht="15" hidden="false" customHeight="false" outlineLevel="0" collapsed="false">
      <c r="A1453" s="37" t="n">
        <v>46254</v>
      </c>
      <c r="B1453" s="44" t="s">
        <v>1731</v>
      </c>
      <c r="C1453" s="44" t="s">
        <v>707</v>
      </c>
      <c r="D1453" s="44" t="n">
        <v>2101001</v>
      </c>
      <c r="E1453" s="44" t="s">
        <v>595</v>
      </c>
      <c r="F1453" s="44" t="s">
        <v>1703</v>
      </c>
      <c r="G1453" s="42"/>
      <c r="H1453" s="42" t="n">
        <v>590191800</v>
      </c>
      <c r="I1453" s="44" t="s">
        <v>597</v>
      </c>
      <c r="J1453" s="11" t="n">
        <f aca="false">IF(D1453="","",N(G1453)-N(H1453))</f>
        <v>-590191800</v>
      </c>
      <c r="K1453" s="34" t="str">
        <f aca="false">IF(D1453="","",IFERROR(INDEX(I_COA!$C$6:$C$265,MATCH(D1453,I_COA!$A$6:$A$265,0)),"AKUN BARU"))</f>
        <v>Neraca</v>
      </c>
      <c r="L1453" s="34" t="str">
        <f aca="false">IF(K1453="LabaRugi",INDEX(I_COA!$D$6:$D$265,MATCH(D1453,I_COA!$A$6:$A$265,0)),"")</f>
        <v/>
      </c>
      <c r="M1453" s="34" t="str">
        <f aca="false">IF(K1453="Neraca",INDEX(I_COA!$E$6:$E$265,MATCH(D1453,I_COA!$A$6:$A$265,0)),"")</f>
        <v>Trade Payables - Third Parties</v>
      </c>
      <c r="N1453" s="34" t="str">
        <f aca="false">IF(D1453="","",IFERROR(INDEX(I_COA!$G$6:$G$265,MATCH(D1453,I_COA!$A$6:$A$265,0)),"N"))</f>
        <v>N</v>
      </c>
      <c r="O1453" s="11" t="n">
        <f aca="false">IF(N1453="N",ABS(J1453),"")</f>
        <v>590191800</v>
      </c>
      <c r="P1453" s="18" t="str">
        <f aca="false">IF(N1453="N",B1453&amp;"|"&amp;ROUND(O1453,0),"")</f>
        <v>PI26080079|590191800</v>
      </c>
      <c r="Q1453" s="18" t="str">
        <f aca="false">IF(N1453&lt;&gt;"Y","",IFERROR(INDEX($D$6:$D$4005,MATCH(B1453&amp;"|"&amp;ROUND(_xlfn.MAXIFS($O$6:$O$4005,$B$6:$B$4005,B1453,$N$6:$N$4005,"N"),0),$P$6:$P$4005,0)),"(tanpa lawan)"))</f>
        <v/>
      </c>
      <c r="R1453" s="44"/>
      <c r="S1453" s="9" t="str">
        <f aca="false">IF(N1453&lt;&gt;"Y","",IF(R1453&lt;&gt;"",R1453,IF(Q1453="(tanpa lawan)","Transfer antar rekening",IFERROR(INDEX(I_COA!$F$6:$F$265,MATCH(Q1453,I_COA!$A$6:$A$265,0)),"?"))))</f>
        <v/>
      </c>
    </row>
    <row r="1454" customFormat="false" ht="15" hidden="false" customHeight="false" outlineLevel="0" collapsed="false">
      <c r="A1454" s="37" t="n">
        <v>46255</v>
      </c>
      <c r="B1454" s="44" t="s">
        <v>1732</v>
      </c>
      <c r="C1454" s="44" t="s">
        <v>585</v>
      </c>
      <c r="D1454" s="44" t="n">
        <v>1102001</v>
      </c>
      <c r="E1454" s="44" t="s">
        <v>586</v>
      </c>
      <c r="F1454" s="44" t="s">
        <v>1733</v>
      </c>
      <c r="G1454" s="42" t="n">
        <v>37147500</v>
      </c>
      <c r="H1454" s="42"/>
      <c r="I1454" s="44" t="s">
        <v>457</v>
      </c>
      <c r="J1454" s="11" t="n">
        <f aca="false">IF(D1454="","",N(G1454)-N(H1454))</f>
        <v>37147500</v>
      </c>
      <c r="K1454" s="34" t="str">
        <f aca="false">IF(D1454="","",IFERROR(INDEX(I_COA!$C$6:$C$265,MATCH(D1454,I_COA!$A$6:$A$265,0)),"AKUN BARU"))</f>
        <v>Neraca</v>
      </c>
      <c r="L1454" s="34" t="str">
        <f aca="false">IF(K1454="LabaRugi",INDEX(I_COA!$D$6:$D$265,MATCH(D1454,I_COA!$A$6:$A$265,0)),"")</f>
        <v/>
      </c>
      <c r="M1454" s="34" t="str">
        <f aca="false">IF(K1454="Neraca",INDEX(I_COA!$E$6:$E$265,MATCH(D1454,I_COA!$A$6:$A$265,0)),"")</f>
        <v>Cash and cash equivalents</v>
      </c>
      <c r="N1454" s="34" t="str">
        <f aca="false">IF(D1454="","",IFERROR(INDEX(I_COA!$G$6:$G$265,MATCH(D1454,I_COA!$A$6:$A$265,0)),"N"))</f>
        <v>Y</v>
      </c>
      <c r="O1454" s="11" t="str">
        <f aca="false">IF(N1454="N",ABS(J1454),"")</f>
        <v/>
      </c>
      <c r="P1454" s="18" t="str">
        <f aca="false">IF(N1454="N",B1454&amp;"|"&amp;ROUND(O1454,0),"")</f>
        <v/>
      </c>
      <c r="Q1454" s="18" t="n">
        <f aca="false">IF(N1454&lt;&gt;"Y","",IFERROR(INDEX($D$6:$D$4005,MATCH(B1454&amp;"|"&amp;ROUND(_xlfn.MAXIFS($O$6:$O$4005,$B$6:$B$4005,B1454,$N$6:$N$4005,"N"),0),$P$6:$P$4005,0)),"(tanpa lawan)"))</f>
        <v>1103101</v>
      </c>
      <c r="R1454" s="44"/>
      <c r="S1454" s="9" t="str">
        <f aca="false">IF(N1454&lt;&gt;"Y","",IF(R1454&lt;&gt;"",R1454,IF(Q1454="(tanpa lawan)","Transfer antar rekening",IFERROR(INDEX(I_COA!$F$6:$F$265,MATCH(Q1454,I_COA!$A$6:$A$265,0)),"?"))))</f>
        <v>Penerimaan dari pelanggan</v>
      </c>
    </row>
    <row r="1455" customFormat="false" ht="15" hidden="false" customHeight="false" outlineLevel="0" collapsed="false">
      <c r="A1455" s="37" t="n">
        <v>46255</v>
      </c>
      <c r="B1455" s="44" t="s">
        <v>1732</v>
      </c>
      <c r="C1455" s="44" t="s">
        <v>585</v>
      </c>
      <c r="D1455" s="44" t="n">
        <v>1103101</v>
      </c>
      <c r="E1455" s="44" t="s">
        <v>589</v>
      </c>
      <c r="F1455" s="44" t="s">
        <v>1733</v>
      </c>
      <c r="G1455" s="42"/>
      <c r="H1455" s="42" t="n">
        <v>37147500</v>
      </c>
      <c r="I1455" s="44" t="s">
        <v>457</v>
      </c>
      <c r="J1455" s="11" t="n">
        <f aca="false">IF(D1455="","",N(G1455)-N(H1455))</f>
        <v>-37147500</v>
      </c>
      <c r="K1455" s="34" t="str">
        <f aca="false">IF(D1455="","",IFERROR(INDEX(I_COA!$C$6:$C$265,MATCH(D1455,I_COA!$A$6:$A$265,0)),"AKUN BARU"))</f>
        <v>Neraca</v>
      </c>
      <c r="L1455" s="34" t="str">
        <f aca="false">IF(K1455="LabaRugi",INDEX(I_COA!$D$6:$D$265,MATCH(D1455,I_COA!$A$6:$A$265,0)),"")</f>
        <v/>
      </c>
      <c r="M1455" s="34" t="str">
        <f aca="false">IF(K1455="Neraca",INDEX(I_COA!$E$6:$E$265,MATCH(D1455,I_COA!$A$6:$A$265,0)),"")</f>
        <v>Trade Receivables - Third Parties</v>
      </c>
      <c r="N1455" s="34" t="str">
        <f aca="false">IF(D1455="","",IFERROR(INDEX(I_COA!$G$6:$G$265,MATCH(D1455,I_COA!$A$6:$A$265,0)),"N"))</f>
        <v>N</v>
      </c>
      <c r="O1455" s="11" t="n">
        <f aca="false">IF(N1455="N",ABS(J1455),"")</f>
        <v>37147500</v>
      </c>
      <c r="P1455" s="18" t="str">
        <f aca="false">IF(N1455="N",B1455&amp;"|"&amp;ROUND(O1455,0),"")</f>
        <v>B7626080095|37147500</v>
      </c>
      <c r="Q1455" s="18" t="str">
        <f aca="false">IF(N1455&lt;&gt;"Y","",IFERROR(INDEX($D$6:$D$4005,MATCH(B1455&amp;"|"&amp;ROUND(_xlfn.MAXIFS($O$6:$O$4005,$B$6:$B$4005,B1455,$N$6:$N$4005,"N"),0),$P$6:$P$4005,0)),"(tanpa lawan)"))</f>
        <v/>
      </c>
      <c r="R1455" s="44"/>
      <c r="S1455" s="9" t="str">
        <f aca="false">IF(N1455&lt;&gt;"Y","",IF(R1455&lt;&gt;"",R1455,IF(Q1455="(tanpa lawan)","Transfer antar rekening",IFERROR(INDEX(I_COA!$F$6:$F$265,MATCH(Q1455,I_COA!$A$6:$A$265,0)),"?"))))</f>
        <v/>
      </c>
    </row>
    <row r="1456" customFormat="false" ht="15" hidden="false" customHeight="false" outlineLevel="0" collapsed="false">
      <c r="A1456" s="37" t="n">
        <v>46255</v>
      </c>
      <c r="B1456" s="44" t="s">
        <v>1734</v>
      </c>
      <c r="C1456" s="44" t="s">
        <v>585</v>
      </c>
      <c r="D1456" s="44" t="n">
        <v>1102001</v>
      </c>
      <c r="E1456" s="44" t="s">
        <v>586</v>
      </c>
      <c r="F1456" s="44" t="s">
        <v>1735</v>
      </c>
      <c r="G1456" s="42" t="n">
        <v>112430800</v>
      </c>
      <c r="H1456" s="42"/>
      <c r="I1456" s="44" t="s">
        <v>451</v>
      </c>
      <c r="J1456" s="11" t="n">
        <f aca="false">IF(D1456="","",N(G1456)-N(H1456))</f>
        <v>112430800</v>
      </c>
      <c r="K1456" s="34" t="str">
        <f aca="false">IF(D1456="","",IFERROR(INDEX(I_COA!$C$6:$C$265,MATCH(D1456,I_COA!$A$6:$A$265,0)),"AKUN BARU"))</f>
        <v>Neraca</v>
      </c>
      <c r="L1456" s="34" t="str">
        <f aca="false">IF(K1456="LabaRugi",INDEX(I_COA!$D$6:$D$265,MATCH(D1456,I_COA!$A$6:$A$265,0)),"")</f>
        <v/>
      </c>
      <c r="M1456" s="34" t="str">
        <f aca="false">IF(K1456="Neraca",INDEX(I_COA!$E$6:$E$265,MATCH(D1456,I_COA!$A$6:$A$265,0)),"")</f>
        <v>Cash and cash equivalents</v>
      </c>
      <c r="N1456" s="34" t="str">
        <f aca="false">IF(D1456="","",IFERROR(INDEX(I_COA!$G$6:$G$265,MATCH(D1456,I_COA!$A$6:$A$265,0)),"N"))</f>
        <v>Y</v>
      </c>
      <c r="O1456" s="11" t="str">
        <f aca="false">IF(N1456="N",ABS(J1456),"")</f>
        <v/>
      </c>
      <c r="P1456" s="18" t="str">
        <f aca="false">IF(N1456="N",B1456&amp;"|"&amp;ROUND(O1456,0),"")</f>
        <v/>
      </c>
      <c r="Q1456" s="18" t="n">
        <f aca="false">IF(N1456&lt;&gt;"Y","",IFERROR(INDEX($D$6:$D$4005,MATCH(B1456&amp;"|"&amp;ROUND(_xlfn.MAXIFS($O$6:$O$4005,$B$6:$B$4005,B1456,$N$6:$N$4005,"N"),0),$P$6:$P$4005,0)),"(tanpa lawan)"))</f>
        <v>1103101</v>
      </c>
      <c r="R1456" s="44"/>
      <c r="S1456" s="9" t="str">
        <f aca="false">IF(N1456&lt;&gt;"Y","",IF(R1456&lt;&gt;"",R1456,IF(Q1456="(tanpa lawan)","Transfer antar rekening",IFERROR(INDEX(I_COA!$F$6:$F$265,MATCH(Q1456,I_COA!$A$6:$A$265,0)),"?"))))</f>
        <v>Penerimaan dari pelanggan</v>
      </c>
    </row>
    <row r="1457" customFormat="false" ht="15" hidden="false" customHeight="false" outlineLevel="0" collapsed="false">
      <c r="A1457" s="37" t="n">
        <v>46255</v>
      </c>
      <c r="B1457" s="44" t="s">
        <v>1734</v>
      </c>
      <c r="C1457" s="44" t="s">
        <v>585</v>
      </c>
      <c r="D1457" s="44" t="n">
        <v>1103101</v>
      </c>
      <c r="E1457" s="44" t="s">
        <v>589</v>
      </c>
      <c r="F1457" s="44" t="s">
        <v>1735</v>
      </c>
      <c r="G1457" s="42"/>
      <c r="H1457" s="42" t="n">
        <v>112430800</v>
      </c>
      <c r="I1457" s="44" t="s">
        <v>451</v>
      </c>
      <c r="J1457" s="11" t="n">
        <f aca="false">IF(D1457="","",N(G1457)-N(H1457))</f>
        <v>-112430800</v>
      </c>
      <c r="K1457" s="34" t="str">
        <f aca="false">IF(D1457="","",IFERROR(INDEX(I_COA!$C$6:$C$265,MATCH(D1457,I_COA!$A$6:$A$265,0)),"AKUN BARU"))</f>
        <v>Neraca</v>
      </c>
      <c r="L1457" s="34" t="str">
        <f aca="false">IF(K1457="LabaRugi",INDEX(I_COA!$D$6:$D$265,MATCH(D1457,I_COA!$A$6:$A$265,0)),"")</f>
        <v/>
      </c>
      <c r="M1457" s="34" t="str">
        <f aca="false">IF(K1457="Neraca",INDEX(I_COA!$E$6:$E$265,MATCH(D1457,I_COA!$A$6:$A$265,0)),"")</f>
        <v>Trade Receivables - Third Parties</v>
      </c>
      <c r="N1457" s="34" t="str">
        <f aca="false">IF(D1457="","",IFERROR(INDEX(I_COA!$G$6:$G$265,MATCH(D1457,I_COA!$A$6:$A$265,0)),"N"))</f>
        <v>N</v>
      </c>
      <c r="O1457" s="11" t="n">
        <f aca="false">IF(N1457="N",ABS(J1457),"")</f>
        <v>112430800</v>
      </c>
      <c r="P1457" s="18" t="str">
        <f aca="false">IF(N1457="N",B1457&amp;"|"&amp;ROUND(O1457,0),"")</f>
        <v>B7626080096|112430800</v>
      </c>
      <c r="Q1457" s="18" t="str">
        <f aca="false">IF(N1457&lt;&gt;"Y","",IFERROR(INDEX($D$6:$D$4005,MATCH(B1457&amp;"|"&amp;ROUND(_xlfn.MAXIFS($O$6:$O$4005,$B$6:$B$4005,B1457,$N$6:$N$4005,"N"),0),$P$6:$P$4005,0)),"(tanpa lawan)"))</f>
        <v/>
      </c>
      <c r="R1457" s="44"/>
      <c r="S1457" s="9" t="str">
        <f aca="false">IF(N1457&lt;&gt;"Y","",IF(R1457&lt;&gt;"",R1457,IF(Q1457="(tanpa lawan)","Transfer antar rekening",IFERROR(INDEX(I_COA!$F$6:$F$265,MATCH(Q1457,I_COA!$A$6:$A$265,0)),"?"))))</f>
        <v/>
      </c>
    </row>
    <row r="1458" customFormat="false" ht="15" hidden="false" customHeight="false" outlineLevel="0" collapsed="false">
      <c r="A1458" s="37" t="n">
        <v>46255</v>
      </c>
      <c r="B1458" s="44" t="s">
        <v>1736</v>
      </c>
      <c r="C1458" s="44" t="s">
        <v>580</v>
      </c>
      <c r="D1458" s="44" t="n">
        <v>1102001</v>
      </c>
      <c r="E1458" s="44" t="s">
        <v>586</v>
      </c>
      <c r="F1458" s="44" t="s">
        <v>1737</v>
      </c>
      <c r="G1458" s="42" t="n">
        <v>15538000</v>
      </c>
      <c r="H1458" s="42"/>
      <c r="I1458" s="44"/>
      <c r="J1458" s="11" t="n">
        <f aca="false">IF(D1458="","",N(G1458)-N(H1458))</f>
        <v>15538000</v>
      </c>
      <c r="K1458" s="34" t="str">
        <f aca="false">IF(D1458="","",IFERROR(INDEX(I_COA!$C$6:$C$265,MATCH(D1458,I_COA!$A$6:$A$265,0)),"AKUN BARU"))</f>
        <v>Neraca</v>
      </c>
      <c r="L1458" s="34" t="str">
        <f aca="false">IF(K1458="LabaRugi",INDEX(I_COA!$D$6:$D$265,MATCH(D1458,I_COA!$A$6:$A$265,0)),"")</f>
        <v/>
      </c>
      <c r="M1458" s="34" t="str">
        <f aca="false">IF(K1458="Neraca",INDEX(I_COA!$E$6:$E$265,MATCH(D1458,I_COA!$A$6:$A$265,0)),"")</f>
        <v>Cash and cash equivalents</v>
      </c>
      <c r="N1458" s="34" t="str">
        <f aca="false">IF(D1458="","",IFERROR(INDEX(I_COA!$G$6:$G$265,MATCH(D1458,I_COA!$A$6:$A$265,0)),"N"))</f>
        <v>Y</v>
      </c>
      <c r="O1458" s="11" t="str">
        <f aca="false">IF(N1458="N",ABS(J1458),"")</f>
        <v/>
      </c>
      <c r="P1458" s="18" t="str">
        <f aca="false">IF(N1458="N",B1458&amp;"|"&amp;ROUND(O1458,0),"")</f>
        <v/>
      </c>
      <c r="Q1458" s="18" t="n">
        <f aca="false">IF(N1458&lt;&gt;"Y","",IFERROR(INDEX($D$6:$D$4005,MATCH(B1458&amp;"|"&amp;ROUND(_xlfn.MAXIFS($O$6:$O$4005,$B$6:$B$4005,B1458,$N$6:$N$4005,"N"),0),$P$6:$P$4005,0)),"(tanpa lawan)"))</f>
        <v>1103121</v>
      </c>
      <c r="R1458" s="44"/>
      <c r="S1458" s="9" t="str">
        <f aca="false">IF(N1458&lt;&gt;"Y","",IF(R1458&lt;&gt;"",R1458,IF(Q1458="(tanpa lawan)","Transfer antar rekening",IFERROR(INDEX(I_COA!$F$6:$F$265,MATCH(Q1458,I_COA!$A$6:$A$265,0)),"?"))))</f>
        <v>Bayar pemasok barang (live bird &amp; trading)</v>
      </c>
    </row>
    <row r="1459" customFormat="false" ht="15" hidden="false" customHeight="false" outlineLevel="0" collapsed="false">
      <c r="A1459" s="37" t="n">
        <v>46255</v>
      </c>
      <c r="B1459" s="44" t="s">
        <v>1736</v>
      </c>
      <c r="C1459" s="44" t="s">
        <v>580</v>
      </c>
      <c r="D1459" s="44" t="n">
        <v>1103121</v>
      </c>
      <c r="E1459" s="44" t="s">
        <v>685</v>
      </c>
      <c r="F1459" s="44" t="s">
        <v>1737</v>
      </c>
      <c r="G1459" s="42"/>
      <c r="H1459" s="42" t="n">
        <v>15538000</v>
      </c>
      <c r="I1459" s="44" t="s">
        <v>660</v>
      </c>
      <c r="J1459" s="11" t="n">
        <f aca="false">IF(D1459="","",N(G1459)-N(H1459))</f>
        <v>-15538000</v>
      </c>
      <c r="K1459" s="34" t="str">
        <f aca="false">IF(D1459="","",IFERROR(INDEX(I_COA!$C$6:$C$265,MATCH(D1459,I_COA!$A$6:$A$265,0)),"AKUN BARU"))</f>
        <v>Neraca</v>
      </c>
      <c r="L1459" s="34" t="str">
        <f aca="false">IF(K1459="LabaRugi",INDEX(I_COA!$D$6:$D$265,MATCH(D1459,I_COA!$A$6:$A$265,0)),"")</f>
        <v/>
      </c>
      <c r="M1459" s="34" t="str">
        <f aca="false">IF(K1459="Neraca",INDEX(I_COA!$E$6:$E$265,MATCH(D1459,I_COA!$A$6:$A$265,0)),"")</f>
        <v>Advance Payment</v>
      </c>
      <c r="N1459" s="34" t="str">
        <f aca="false">IF(D1459="","",IFERROR(INDEX(I_COA!$G$6:$G$265,MATCH(D1459,I_COA!$A$6:$A$265,0)),"N"))</f>
        <v>N</v>
      </c>
      <c r="O1459" s="11" t="n">
        <f aca="false">IF(N1459="N",ABS(J1459),"")</f>
        <v>15538000</v>
      </c>
      <c r="P1459" s="18" t="str">
        <f aca="false">IF(N1459="N",B1459&amp;"|"&amp;ROUND(O1459,0),"")</f>
        <v>B7626080097|15538000</v>
      </c>
      <c r="Q1459" s="18" t="str">
        <f aca="false">IF(N1459&lt;&gt;"Y","",IFERROR(INDEX($D$6:$D$4005,MATCH(B1459&amp;"|"&amp;ROUND(_xlfn.MAXIFS($O$6:$O$4005,$B$6:$B$4005,B1459,$N$6:$N$4005,"N"),0),$P$6:$P$4005,0)),"(tanpa lawan)"))</f>
        <v/>
      </c>
      <c r="R1459" s="44"/>
      <c r="S1459" s="9" t="str">
        <f aca="false">IF(N1459&lt;&gt;"Y","",IF(R1459&lt;&gt;"",R1459,IF(Q1459="(tanpa lawan)","Transfer antar rekening",IFERROR(INDEX(I_COA!$F$6:$F$265,MATCH(Q1459,I_COA!$A$6:$A$265,0)),"?"))))</f>
        <v/>
      </c>
    </row>
    <row r="1460" customFormat="false" ht="15" hidden="false" customHeight="false" outlineLevel="0" collapsed="false">
      <c r="A1460" s="37" t="n">
        <v>46255</v>
      </c>
      <c r="B1460" s="44" t="s">
        <v>1738</v>
      </c>
      <c r="C1460" s="44" t="s">
        <v>585</v>
      </c>
      <c r="D1460" s="44" t="n">
        <v>1102001</v>
      </c>
      <c r="E1460" s="44" t="s">
        <v>586</v>
      </c>
      <c r="F1460" s="44" t="s">
        <v>1739</v>
      </c>
      <c r="G1460" s="42" t="n">
        <v>256998750</v>
      </c>
      <c r="H1460" s="42"/>
      <c r="I1460" s="44" t="s">
        <v>457</v>
      </c>
      <c r="J1460" s="11" t="n">
        <f aca="false">IF(D1460="","",N(G1460)-N(H1460))</f>
        <v>256998750</v>
      </c>
      <c r="K1460" s="34" t="str">
        <f aca="false">IF(D1460="","",IFERROR(INDEX(I_COA!$C$6:$C$265,MATCH(D1460,I_COA!$A$6:$A$265,0)),"AKUN BARU"))</f>
        <v>Neraca</v>
      </c>
      <c r="L1460" s="34" t="str">
        <f aca="false">IF(K1460="LabaRugi",INDEX(I_COA!$D$6:$D$265,MATCH(D1460,I_COA!$A$6:$A$265,0)),"")</f>
        <v/>
      </c>
      <c r="M1460" s="34" t="str">
        <f aca="false">IF(K1460="Neraca",INDEX(I_COA!$E$6:$E$265,MATCH(D1460,I_COA!$A$6:$A$265,0)),"")</f>
        <v>Cash and cash equivalents</v>
      </c>
      <c r="N1460" s="34" t="str">
        <f aca="false">IF(D1460="","",IFERROR(INDEX(I_COA!$G$6:$G$265,MATCH(D1460,I_COA!$A$6:$A$265,0)),"N"))</f>
        <v>Y</v>
      </c>
      <c r="O1460" s="11" t="str">
        <f aca="false">IF(N1460="N",ABS(J1460),"")</f>
        <v/>
      </c>
      <c r="P1460" s="18" t="str">
        <f aca="false">IF(N1460="N",B1460&amp;"|"&amp;ROUND(O1460,0),"")</f>
        <v/>
      </c>
      <c r="Q1460" s="18" t="n">
        <f aca="false">IF(N1460&lt;&gt;"Y","",IFERROR(INDEX($D$6:$D$4005,MATCH(B1460&amp;"|"&amp;ROUND(_xlfn.MAXIFS($O$6:$O$4005,$B$6:$B$4005,B1460,$N$6:$N$4005,"N"),0),$P$6:$P$4005,0)),"(tanpa lawan)"))</f>
        <v>1103101</v>
      </c>
      <c r="R1460" s="44"/>
      <c r="S1460" s="9" t="str">
        <f aca="false">IF(N1460&lt;&gt;"Y","",IF(R1460&lt;&gt;"",R1460,IF(Q1460="(tanpa lawan)","Transfer antar rekening",IFERROR(INDEX(I_COA!$F$6:$F$265,MATCH(Q1460,I_COA!$A$6:$A$265,0)),"?"))))</f>
        <v>Penerimaan dari pelanggan</v>
      </c>
    </row>
    <row r="1461" customFormat="false" ht="15" hidden="false" customHeight="false" outlineLevel="0" collapsed="false">
      <c r="A1461" s="37" t="n">
        <v>46255</v>
      </c>
      <c r="B1461" s="44" t="s">
        <v>1738</v>
      </c>
      <c r="C1461" s="44" t="s">
        <v>585</v>
      </c>
      <c r="D1461" s="44" t="n">
        <v>1103101</v>
      </c>
      <c r="E1461" s="44" t="s">
        <v>589</v>
      </c>
      <c r="F1461" s="44" t="s">
        <v>1739</v>
      </c>
      <c r="G1461" s="42"/>
      <c r="H1461" s="42" t="n">
        <v>256998750</v>
      </c>
      <c r="I1461" s="44" t="s">
        <v>457</v>
      </c>
      <c r="J1461" s="11" t="n">
        <f aca="false">IF(D1461="","",N(G1461)-N(H1461))</f>
        <v>-256998750</v>
      </c>
      <c r="K1461" s="34" t="str">
        <f aca="false">IF(D1461="","",IFERROR(INDEX(I_COA!$C$6:$C$265,MATCH(D1461,I_COA!$A$6:$A$265,0)),"AKUN BARU"))</f>
        <v>Neraca</v>
      </c>
      <c r="L1461" s="34" t="str">
        <f aca="false">IF(K1461="LabaRugi",INDEX(I_COA!$D$6:$D$265,MATCH(D1461,I_COA!$A$6:$A$265,0)),"")</f>
        <v/>
      </c>
      <c r="M1461" s="34" t="str">
        <f aca="false">IF(K1461="Neraca",INDEX(I_COA!$E$6:$E$265,MATCH(D1461,I_COA!$A$6:$A$265,0)),"")</f>
        <v>Trade Receivables - Third Parties</v>
      </c>
      <c r="N1461" s="34" t="str">
        <f aca="false">IF(D1461="","",IFERROR(INDEX(I_COA!$G$6:$G$265,MATCH(D1461,I_COA!$A$6:$A$265,0)),"N"))</f>
        <v>N</v>
      </c>
      <c r="O1461" s="11" t="n">
        <f aca="false">IF(N1461="N",ABS(J1461),"")</f>
        <v>256998750</v>
      </c>
      <c r="P1461" s="18" t="str">
        <f aca="false">IF(N1461="N",B1461&amp;"|"&amp;ROUND(O1461,0),"")</f>
        <v>B7626080098|256998750</v>
      </c>
      <c r="Q1461" s="18" t="str">
        <f aca="false">IF(N1461&lt;&gt;"Y","",IFERROR(INDEX($D$6:$D$4005,MATCH(B1461&amp;"|"&amp;ROUND(_xlfn.MAXIFS($O$6:$O$4005,$B$6:$B$4005,B1461,$N$6:$N$4005,"N"),0),$P$6:$P$4005,0)),"(tanpa lawan)"))</f>
        <v/>
      </c>
      <c r="R1461" s="44"/>
      <c r="S1461" s="9" t="str">
        <f aca="false">IF(N1461&lt;&gt;"Y","",IF(R1461&lt;&gt;"",R1461,IF(Q1461="(tanpa lawan)","Transfer antar rekening",IFERROR(INDEX(I_COA!$F$6:$F$265,MATCH(Q1461,I_COA!$A$6:$A$265,0)),"?"))))</f>
        <v/>
      </c>
    </row>
    <row r="1462" customFormat="false" ht="15" hidden="false" customHeight="false" outlineLevel="0" collapsed="false">
      <c r="A1462" s="37" t="n">
        <v>46255</v>
      </c>
      <c r="B1462" s="44" t="s">
        <v>1740</v>
      </c>
      <c r="C1462" s="44" t="s">
        <v>585</v>
      </c>
      <c r="D1462" s="44" t="n">
        <v>1102001</v>
      </c>
      <c r="E1462" s="44" t="s">
        <v>586</v>
      </c>
      <c r="F1462" s="44" t="s">
        <v>1741</v>
      </c>
      <c r="G1462" s="42" t="n">
        <v>36006750</v>
      </c>
      <c r="H1462" s="42"/>
      <c r="I1462" s="44" t="s">
        <v>432</v>
      </c>
      <c r="J1462" s="11" t="n">
        <f aca="false">IF(D1462="","",N(G1462)-N(H1462))</f>
        <v>36006750</v>
      </c>
      <c r="K1462" s="34" t="str">
        <f aca="false">IF(D1462="","",IFERROR(INDEX(I_COA!$C$6:$C$265,MATCH(D1462,I_COA!$A$6:$A$265,0)),"AKUN BARU"))</f>
        <v>Neraca</v>
      </c>
      <c r="L1462" s="34" t="str">
        <f aca="false">IF(K1462="LabaRugi",INDEX(I_COA!$D$6:$D$265,MATCH(D1462,I_COA!$A$6:$A$265,0)),"")</f>
        <v/>
      </c>
      <c r="M1462" s="34" t="str">
        <f aca="false">IF(K1462="Neraca",INDEX(I_COA!$E$6:$E$265,MATCH(D1462,I_COA!$A$6:$A$265,0)),"")</f>
        <v>Cash and cash equivalents</v>
      </c>
      <c r="N1462" s="34" t="str">
        <f aca="false">IF(D1462="","",IFERROR(INDEX(I_COA!$G$6:$G$265,MATCH(D1462,I_COA!$A$6:$A$265,0)),"N"))</f>
        <v>Y</v>
      </c>
      <c r="O1462" s="11" t="str">
        <f aca="false">IF(N1462="N",ABS(J1462),"")</f>
        <v/>
      </c>
      <c r="P1462" s="18" t="str">
        <f aca="false">IF(N1462="N",B1462&amp;"|"&amp;ROUND(O1462,0),"")</f>
        <v/>
      </c>
      <c r="Q1462" s="18" t="n">
        <f aca="false">IF(N1462&lt;&gt;"Y","",IFERROR(INDEX($D$6:$D$4005,MATCH(B1462&amp;"|"&amp;ROUND(_xlfn.MAXIFS($O$6:$O$4005,$B$6:$B$4005,B1462,$N$6:$N$4005,"N"),0),$P$6:$P$4005,0)),"(tanpa lawan)"))</f>
        <v>1103101</v>
      </c>
      <c r="R1462" s="44"/>
      <c r="S1462" s="9" t="str">
        <f aca="false">IF(N1462&lt;&gt;"Y","",IF(R1462&lt;&gt;"",R1462,IF(Q1462="(tanpa lawan)","Transfer antar rekening",IFERROR(INDEX(I_COA!$F$6:$F$265,MATCH(Q1462,I_COA!$A$6:$A$265,0)),"?"))))</f>
        <v>Penerimaan dari pelanggan</v>
      </c>
    </row>
    <row r="1463" customFormat="false" ht="15" hidden="false" customHeight="false" outlineLevel="0" collapsed="false">
      <c r="A1463" s="37" t="n">
        <v>46255</v>
      </c>
      <c r="B1463" s="44" t="s">
        <v>1740</v>
      </c>
      <c r="C1463" s="44" t="s">
        <v>585</v>
      </c>
      <c r="D1463" s="44" t="n">
        <v>1103101</v>
      </c>
      <c r="E1463" s="44" t="s">
        <v>589</v>
      </c>
      <c r="F1463" s="44" t="s">
        <v>1741</v>
      </c>
      <c r="G1463" s="42"/>
      <c r="H1463" s="42" t="n">
        <v>36006750</v>
      </c>
      <c r="I1463" s="44" t="s">
        <v>432</v>
      </c>
      <c r="J1463" s="11" t="n">
        <f aca="false">IF(D1463="","",N(G1463)-N(H1463))</f>
        <v>-36006750</v>
      </c>
      <c r="K1463" s="34" t="str">
        <f aca="false">IF(D1463="","",IFERROR(INDEX(I_COA!$C$6:$C$265,MATCH(D1463,I_COA!$A$6:$A$265,0)),"AKUN BARU"))</f>
        <v>Neraca</v>
      </c>
      <c r="L1463" s="34" t="str">
        <f aca="false">IF(K1463="LabaRugi",INDEX(I_COA!$D$6:$D$265,MATCH(D1463,I_COA!$A$6:$A$265,0)),"")</f>
        <v/>
      </c>
      <c r="M1463" s="34" t="str">
        <f aca="false">IF(K1463="Neraca",INDEX(I_COA!$E$6:$E$265,MATCH(D1463,I_COA!$A$6:$A$265,0)),"")</f>
        <v>Trade Receivables - Third Parties</v>
      </c>
      <c r="N1463" s="34" t="str">
        <f aca="false">IF(D1463="","",IFERROR(INDEX(I_COA!$G$6:$G$265,MATCH(D1463,I_COA!$A$6:$A$265,0)),"N"))</f>
        <v>N</v>
      </c>
      <c r="O1463" s="11" t="n">
        <f aca="false">IF(N1463="N",ABS(J1463),"")</f>
        <v>36006750</v>
      </c>
      <c r="P1463" s="18" t="str">
        <f aca="false">IF(N1463="N",B1463&amp;"|"&amp;ROUND(O1463,0),"")</f>
        <v>B7626080099|36006750</v>
      </c>
      <c r="Q1463" s="18" t="str">
        <f aca="false">IF(N1463&lt;&gt;"Y","",IFERROR(INDEX($D$6:$D$4005,MATCH(B1463&amp;"|"&amp;ROUND(_xlfn.MAXIFS($O$6:$O$4005,$B$6:$B$4005,B1463,$N$6:$N$4005,"N"),0),$P$6:$P$4005,0)),"(tanpa lawan)"))</f>
        <v/>
      </c>
      <c r="R1463" s="44"/>
      <c r="S1463" s="9" t="str">
        <f aca="false">IF(N1463&lt;&gt;"Y","",IF(R1463&lt;&gt;"",R1463,IF(Q1463="(tanpa lawan)","Transfer antar rekening",IFERROR(INDEX(I_COA!$F$6:$F$265,MATCH(Q1463,I_COA!$A$6:$A$265,0)),"?"))))</f>
        <v/>
      </c>
    </row>
    <row r="1464" customFormat="false" ht="15" hidden="false" customHeight="false" outlineLevel="0" collapsed="false">
      <c r="A1464" s="37" t="n">
        <v>46255</v>
      </c>
      <c r="B1464" s="44" t="s">
        <v>1742</v>
      </c>
      <c r="C1464" s="44" t="s">
        <v>580</v>
      </c>
      <c r="D1464" s="44" t="n">
        <v>1102008</v>
      </c>
      <c r="E1464" s="44" t="s">
        <v>781</v>
      </c>
      <c r="F1464" s="44" t="s">
        <v>782</v>
      </c>
      <c r="G1464" s="42" t="n">
        <v>610000000</v>
      </c>
      <c r="H1464" s="42"/>
      <c r="I1464" s="44"/>
      <c r="J1464" s="11" t="n">
        <f aca="false">IF(D1464="","",N(G1464)-N(H1464))</f>
        <v>610000000</v>
      </c>
      <c r="K1464" s="34" t="str">
        <f aca="false">IF(D1464="","",IFERROR(INDEX(I_COA!$C$6:$C$265,MATCH(D1464,I_COA!$A$6:$A$265,0)),"AKUN BARU"))</f>
        <v>Neraca</v>
      </c>
      <c r="L1464" s="34" t="str">
        <f aca="false">IF(K1464="LabaRugi",INDEX(I_COA!$D$6:$D$265,MATCH(D1464,I_COA!$A$6:$A$265,0)),"")</f>
        <v/>
      </c>
      <c r="M1464" s="34" t="str">
        <f aca="false">IF(K1464="Neraca",INDEX(I_COA!$E$6:$E$265,MATCH(D1464,I_COA!$A$6:$A$265,0)),"")</f>
        <v>Advance Payment</v>
      </c>
      <c r="N1464" s="34" t="str">
        <f aca="false">IF(D1464="","",IFERROR(INDEX(I_COA!$G$6:$G$265,MATCH(D1464,I_COA!$A$6:$A$265,0)),"N"))</f>
        <v>N</v>
      </c>
      <c r="O1464" s="11" t="n">
        <f aca="false">IF(N1464="N",ABS(J1464),"")</f>
        <v>610000000</v>
      </c>
      <c r="P1464" s="18" t="str">
        <f aca="false">IF(N1464="N",B1464&amp;"|"&amp;ROUND(O1464,0),"")</f>
        <v>B7726080012|610000000</v>
      </c>
      <c r="Q1464" s="18" t="str">
        <f aca="false">IF(N1464&lt;&gt;"Y","",IFERROR(INDEX($D$6:$D$4005,MATCH(B1464&amp;"|"&amp;ROUND(_xlfn.MAXIFS($O$6:$O$4005,$B$6:$B$4005,B1464,$N$6:$N$4005,"N"),0),$P$6:$P$4005,0)),"(tanpa lawan)"))</f>
        <v/>
      </c>
      <c r="R1464" s="44"/>
      <c r="S1464" s="9" t="str">
        <f aca="false">IF(N1464&lt;&gt;"Y","",IF(R1464&lt;&gt;"",R1464,IF(Q1464="(tanpa lawan)","Transfer antar rekening",IFERROR(INDEX(I_COA!$F$6:$F$265,MATCH(Q1464,I_COA!$A$6:$A$265,0)),"?"))))</f>
        <v/>
      </c>
    </row>
    <row r="1465" customFormat="false" ht="15" hidden="false" customHeight="false" outlineLevel="0" collapsed="false">
      <c r="A1465" s="37" t="n">
        <v>46255</v>
      </c>
      <c r="B1465" s="44" t="s">
        <v>1742</v>
      </c>
      <c r="C1465" s="44" t="s">
        <v>580</v>
      </c>
      <c r="D1465" s="44" t="n">
        <v>1102001</v>
      </c>
      <c r="E1465" s="44" t="s">
        <v>586</v>
      </c>
      <c r="F1465" s="44" t="s">
        <v>782</v>
      </c>
      <c r="G1465" s="42"/>
      <c r="H1465" s="42" t="n">
        <v>610000000</v>
      </c>
      <c r="I1465" s="44"/>
      <c r="J1465" s="11" t="n">
        <f aca="false">IF(D1465="","",N(G1465)-N(H1465))</f>
        <v>-610000000</v>
      </c>
      <c r="K1465" s="34" t="str">
        <f aca="false">IF(D1465="","",IFERROR(INDEX(I_COA!$C$6:$C$265,MATCH(D1465,I_COA!$A$6:$A$265,0)),"AKUN BARU"))</f>
        <v>Neraca</v>
      </c>
      <c r="L1465" s="34" t="str">
        <f aca="false">IF(K1465="LabaRugi",INDEX(I_COA!$D$6:$D$265,MATCH(D1465,I_COA!$A$6:$A$265,0)),"")</f>
        <v/>
      </c>
      <c r="M1465" s="34" t="str">
        <f aca="false">IF(K1465="Neraca",INDEX(I_COA!$E$6:$E$265,MATCH(D1465,I_COA!$A$6:$A$265,0)),"")</f>
        <v>Cash and cash equivalents</v>
      </c>
      <c r="N1465" s="34" t="str">
        <f aca="false">IF(D1465="","",IFERROR(INDEX(I_COA!$G$6:$G$265,MATCH(D1465,I_COA!$A$6:$A$265,0)),"N"))</f>
        <v>Y</v>
      </c>
      <c r="O1465" s="11" t="str">
        <f aca="false">IF(N1465="N",ABS(J1465),"")</f>
        <v/>
      </c>
      <c r="P1465" s="18" t="str">
        <f aca="false">IF(N1465="N",B1465&amp;"|"&amp;ROUND(O1465,0),"")</f>
        <v/>
      </c>
      <c r="Q1465" s="18" t="n">
        <f aca="false">IF(N1465&lt;&gt;"Y","",IFERROR(INDEX($D$6:$D$4005,MATCH(B1465&amp;"|"&amp;ROUND(_xlfn.MAXIFS($O$6:$O$4005,$B$6:$B$4005,B1465,$N$6:$N$4005,"N"),0),$P$6:$P$4005,0)),"(tanpa lawan)"))</f>
        <v>1102008</v>
      </c>
      <c r="R1465" s="44"/>
      <c r="S1465" s="9" t="str">
        <f aca="false">IF(N1465&lt;&gt;"Y","",IF(R1465&lt;&gt;"",R1465,IF(Q1465="(tanpa lawan)","Transfer antar rekening",IFERROR(INDEX(I_COA!$F$6:$F$265,MATCH(Q1465,I_COA!$A$6:$A$265,0)),"?"))))</f>
        <v>Transfer antar rekening</v>
      </c>
    </row>
    <row r="1466" customFormat="false" ht="15" hidden="false" customHeight="false" outlineLevel="0" collapsed="false">
      <c r="A1466" s="37" t="n">
        <v>46255</v>
      </c>
      <c r="B1466" s="44" t="s">
        <v>1743</v>
      </c>
      <c r="C1466" s="44" t="s">
        <v>580</v>
      </c>
      <c r="D1466" s="44" t="n">
        <v>1102008</v>
      </c>
      <c r="E1466" s="44" t="s">
        <v>781</v>
      </c>
      <c r="F1466" s="44" t="s">
        <v>782</v>
      </c>
      <c r="G1466" s="42" t="n">
        <v>2000000</v>
      </c>
      <c r="H1466" s="42"/>
      <c r="I1466" s="44"/>
      <c r="J1466" s="11" t="n">
        <f aca="false">IF(D1466="","",N(G1466)-N(H1466))</f>
        <v>2000000</v>
      </c>
      <c r="K1466" s="34" t="str">
        <f aca="false">IF(D1466="","",IFERROR(INDEX(I_COA!$C$6:$C$265,MATCH(D1466,I_COA!$A$6:$A$265,0)),"AKUN BARU"))</f>
        <v>Neraca</v>
      </c>
      <c r="L1466" s="34" t="str">
        <f aca="false">IF(K1466="LabaRugi",INDEX(I_COA!$D$6:$D$265,MATCH(D1466,I_COA!$A$6:$A$265,0)),"")</f>
        <v/>
      </c>
      <c r="M1466" s="34" t="str">
        <f aca="false">IF(K1466="Neraca",INDEX(I_COA!$E$6:$E$265,MATCH(D1466,I_COA!$A$6:$A$265,0)),"")</f>
        <v>Advance Payment</v>
      </c>
      <c r="N1466" s="34" t="str">
        <f aca="false">IF(D1466="","",IFERROR(INDEX(I_COA!$G$6:$G$265,MATCH(D1466,I_COA!$A$6:$A$265,0)),"N"))</f>
        <v>N</v>
      </c>
      <c r="O1466" s="11" t="n">
        <f aca="false">IF(N1466="N",ABS(J1466),"")</f>
        <v>2000000</v>
      </c>
      <c r="P1466" s="18" t="str">
        <f aca="false">IF(N1466="N",B1466&amp;"|"&amp;ROUND(O1466,0),"")</f>
        <v>B7726080013|2000000</v>
      </c>
      <c r="Q1466" s="18" t="str">
        <f aca="false">IF(N1466&lt;&gt;"Y","",IFERROR(INDEX($D$6:$D$4005,MATCH(B1466&amp;"|"&amp;ROUND(_xlfn.MAXIFS($O$6:$O$4005,$B$6:$B$4005,B1466,$N$6:$N$4005,"N"),0),$P$6:$P$4005,0)),"(tanpa lawan)"))</f>
        <v/>
      </c>
      <c r="R1466" s="44"/>
      <c r="S1466" s="9" t="str">
        <f aca="false">IF(N1466&lt;&gt;"Y","",IF(R1466&lt;&gt;"",R1466,IF(Q1466="(tanpa lawan)","Transfer antar rekening",IFERROR(INDEX(I_COA!$F$6:$F$265,MATCH(Q1466,I_COA!$A$6:$A$265,0)),"?"))))</f>
        <v/>
      </c>
    </row>
    <row r="1467" customFormat="false" ht="15" hidden="false" customHeight="false" outlineLevel="0" collapsed="false">
      <c r="A1467" s="37" t="n">
        <v>46255</v>
      </c>
      <c r="B1467" s="44" t="s">
        <v>1743</v>
      </c>
      <c r="C1467" s="44" t="s">
        <v>580</v>
      </c>
      <c r="D1467" s="44" t="n">
        <v>1102001</v>
      </c>
      <c r="E1467" s="44" t="s">
        <v>586</v>
      </c>
      <c r="F1467" s="44" t="s">
        <v>782</v>
      </c>
      <c r="G1467" s="42"/>
      <c r="H1467" s="42" t="n">
        <v>2000000</v>
      </c>
      <c r="I1467" s="44"/>
      <c r="J1467" s="11" t="n">
        <f aca="false">IF(D1467="","",N(G1467)-N(H1467))</f>
        <v>-2000000</v>
      </c>
      <c r="K1467" s="34" t="str">
        <f aca="false">IF(D1467="","",IFERROR(INDEX(I_COA!$C$6:$C$265,MATCH(D1467,I_COA!$A$6:$A$265,0)),"AKUN BARU"))</f>
        <v>Neraca</v>
      </c>
      <c r="L1467" s="34" t="str">
        <f aca="false">IF(K1467="LabaRugi",INDEX(I_COA!$D$6:$D$265,MATCH(D1467,I_COA!$A$6:$A$265,0)),"")</f>
        <v/>
      </c>
      <c r="M1467" s="34" t="str">
        <f aca="false">IF(K1467="Neraca",INDEX(I_COA!$E$6:$E$265,MATCH(D1467,I_COA!$A$6:$A$265,0)),"")</f>
        <v>Cash and cash equivalents</v>
      </c>
      <c r="N1467" s="34" t="str">
        <f aca="false">IF(D1467="","",IFERROR(INDEX(I_COA!$G$6:$G$265,MATCH(D1467,I_COA!$A$6:$A$265,0)),"N"))</f>
        <v>Y</v>
      </c>
      <c r="O1467" s="11" t="str">
        <f aca="false">IF(N1467="N",ABS(J1467),"")</f>
        <v/>
      </c>
      <c r="P1467" s="18" t="str">
        <f aca="false">IF(N1467="N",B1467&amp;"|"&amp;ROUND(O1467,0),"")</f>
        <v/>
      </c>
      <c r="Q1467" s="18" t="n">
        <f aca="false">IF(N1467&lt;&gt;"Y","",IFERROR(INDEX($D$6:$D$4005,MATCH(B1467&amp;"|"&amp;ROUND(_xlfn.MAXIFS($O$6:$O$4005,$B$6:$B$4005,B1467,$N$6:$N$4005,"N"),0),$P$6:$P$4005,0)),"(tanpa lawan)"))</f>
        <v>1102008</v>
      </c>
      <c r="R1467" s="44"/>
      <c r="S1467" s="9" t="str">
        <f aca="false">IF(N1467&lt;&gt;"Y","",IF(R1467&lt;&gt;"",R1467,IF(Q1467="(tanpa lawan)","Transfer antar rekening",IFERROR(INDEX(I_COA!$F$6:$F$265,MATCH(Q1467,I_COA!$A$6:$A$265,0)),"?"))))</f>
        <v>Transfer antar rekening</v>
      </c>
    </row>
    <row r="1468" customFormat="false" ht="15" hidden="false" customHeight="false" outlineLevel="0" collapsed="false">
      <c r="A1468" s="37" t="n">
        <v>46255</v>
      </c>
      <c r="B1468" s="44" t="s">
        <v>1744</v>
      </c>
      <c r="C1468" s="44" t="s">
        <v>580</v>
      </c>
      <c r="D1468" s="44" t="n">
        <v>1102002</v>
      </c>
      <c r="E1468" s="44" t="s">
        <v>598</v>
      </c>
      <c r="F1468" s="44" t="s">
        <v>784</v>
      </c>
      <c r="G1468" s="42" t="n">
        <v>610000000</v>
      </c>
      <c r="H1468" s="42"/>
      <c r="I1468" s="44"/>
      <c r="J1468" s="11" t="n">
        <f aca="false">IF(D1468="","",N(G1468)-N(H1468))</f>
        <v>610000000</v>
      </c>
      <c r="K1468" s="34" t="str">
        <f aca="false">IF(D1468="","",IFERROR(INDEX(I_COA!$C$6:$C$265,MATCH(D1468,I_COA!$A$6:$A$265,0)),"AKUN BARU"))</f>
        <v>Neraca</v>
      </c>
      <c r="L1468" s="34" t="str">
        <f aca="false">IF(K1468="LabaRugi",INDEX(I_COA!$D$6:$D$265,MATCH(D1468,I_COA!$A$6:$A$265,0)),"")</f>
        <v/>
      </c>
      <c r="M1468" s="34" t="str">
        <f aca="false">IF(K1468="Neraca",INDEX(I_COA!$E$6:$E$265,MATCH(D1468,I_COA!$A$6:$A$265,0)),"")</f>
        <v>Cash and cash equivalents</v>
      </c>
      <c r="N1468" s="34" t="str">
        <f aca="false">IF(D1468="","",IFERROR(INDEX(I_COA!$G$6:$G$265,MATCH(D1468,I_COA!$A$6:$A$265,0)),"N"))</f>
        <v>Y</v>
      </c>
      <c r="O1468" s="11" t="str">
        <f aca="false">IF(N1468="N",ABS(J1468),"")</f>
        <v/>
      </c>
      <c r="P1468" s="18" t="str">
        <f aca="false">IF(N1468="N",B1468&amp;"|"&amp;ROUND(O1468,0),"")</f>
        <v/>
      </c>
      <c r="Q1468" s="18" t="n">
        <f aca="false">IF(N1468&lt;&gt;"Y","",IFERROR(INDEX($D$6:$D$4005,MATCH(B1468&amp;"|"&amp;ROUND(_xlfn.MAXIFS($O$6:$O$4005,$B$6:$B$4005,B1468,$N$6:$N$4005,"N"),0),$P$6:$P$4005,0)),"(tanpa lawan)"))</f>
        <v>1102008</v>
      </c>
      <c r="R1468" s="44"/>
      <c r="S1468" s="9" t="str">
        <f aca="false">IF(N1468&lt;&gt;"Y","",IF(R1468&lt;&gt;"",R1468,IF(Q1468="(tanpa lawan)","Transfer antar rekening",IFERROR(INDEX(I_COA!$F$6:$F$265,MATCH(Q1468,I_COA!$A$6:$A$265,0)),"?"))))</f>
        <v>Transfer antar rekening</v>
      </c>
    </row>
    <row r="1469" customFormat="false" ht="15" hidden="false" customHeight="false" outlineLevel="0" collapsed="false">
      <c r="A1469" s="37" t="n">
        <v>46255</v>
      </c>
      <c r="B1469" s="44" t="s">
        <v>1744</v>
      </c>
      <c r="C1469" s="44" t="s">
        <v>580</v>
      </c>
      <c r="D1469" s="44" t="n">
        <v>1102008</v>
      </c>
      <c r="E1469" s="44" t="s">
        <v>781</v>
      </c>
      <c r="F1469" s="44" t="s">
        <v>784</v>
      </c>
      <c r="G1469" s="42"/>
      <c r="H1469" s="42" t="n">
        <v>610000000</v>
      </c>
      <c r="I1469" s="44"/>
      <c r="J1469" s="11" t="n">
        <f aca="false">IF(D1469="","",N(G1469)-N(H1469))</f>
        <v>-610000000</v>
      </c>
      <c r="K1469" s="34" t="str">
        <f aca="false">IF(D1469="","",IFERROR(INDEX(I_COA!$C$6:$C$265,MATCH(D1469,I_COA!$A$6:$A$265,0)),"AKUN BARU"))</f>
        <v>Neraca</v>
      </c>
      <c r="L1469" s="34" t="str">
        <f aca="false">IF(K1469="LabaRugi",INDEX(I_COA!$D$6:$D$265,MATCH(D1469,I_COA!$A$6:$A$265,0)),"")</f>
        <v/>
      </c>
      <c r="M1469" s="34" t="str">
        <f aca="false">IF(K1469="Neraca",INDEX(I_COA!$E$6:$E$265,MATCH(D1469,I_COA!$A$6:$A$265,0)),"")</f>
        <v>Advance Payment</v>
      </c>
      <c r="N1469" s="34" t="str">
        <f aca="false">IF(D1469="","",IFERROR(INDEX(I_COA!$G$6:$G$265,MATCH(D1469,I_COA!$A$6:$A$265,0)),"N"))</f>
        <v>N</v>
      </c>
      <c r="O1469" s="11" t="n">
        <f aca="false">IF(N1469="N",ABS(J1469),"")</f>
        <v>610000000</v>
      </c>
      <c r="P1469" s="18" t="str">
        <f aca="false">IF(N1469="N",B1469&amp;"|"&amp;ROUND(O1469,0),"")</f>
        <v>B8426080013|610000000</v>
      </c>
      <c r="Q1469" s="18" t="str">
        <f aca="false">IF(N1469&lt;&gt;"Y","",IFERROR(INDEX($D$6:$D$4005,MATCH(B1469&amp;"|"&amp;ROUND(_xlfn.MAXIFS($O$6:$O$4005,$B$6:$B$4005,B1469,$N$6:$N$4005,"N"),0),$P$6:$P$4005,0)),"(tanpa lawan)"))</f>
        <v/>
      </c>
      <c r="R1469" s="44"/>
      <c r="S1469" s="9" t="str">
        <f aca="false">IF(N1469&lt;&gt;"Y","",IF(R1469&lt;&gt;"",R1469,IF(Q1469="(tanpa lawan)","Transfer antar rekening",IFERROR(INDEX(I_COA!$F$6:$F$265,MATCH(Q1469,I_COA!$A$6:$A$265,0)),"?"))))</f>
        <v/>
      </c>
    </row>
    <row r="1470" customFormat="false" ht="15" hidden="false" customHeight="false" outlineLevel="0" collapsed="false">
      <c r="A1470" s="37" t="n">
        <v>46255</v>
      </c>
      <c r="B1470" s="44" t="s">
        <v>1745</v>
      </c>
      <c r="C1470" s="44" t="s">
        <v>580</v>
      </c>
      <c r="D1470" s="44" t="n">
        <v>1102002</v>
      </c>
      <c r="E1470" s="44" t="s">
        <v>598</v>
      </c>
      <c r="F1470" s="44" t="s">
        <v>784</v>
      </c>
      <c r="G1470" s="42" t="n">
        <v>2000000</v>
      </c>
      <c r="H1470" s="42"/>
      <c r="I1470" s="44"/>
      <c r="J1470" s="11" t="n">
        <f aca="false">IF(D1470="","",N(G1470)-N(H1470))</f>
        <v>2000000</v>
      </c>
      <c r="K1470" s="34" t="str">
        <f aca="false">IF(D1470="","",IFERROR(INDEX(I_COA!$C$6:$C$265,MATCH(D1470,I_COA!$A$6:$A$265,0)),"AKUN BARU"))</f>
        <v>Neraca</v>
      </c>
      <c r="L1470" s="34" t="str">
        <f aca="false">IF(K1470="LabaRugi",INDEX(I_COA!$D$6:$D$265,MATCH(D1470,I_COA!$A$6:$A$265,0)),"")</f>
        <v/>
      </c>
      <c r="M1470" s="34" t="str">
        <f aca="false">IF(K1470="Neraca",INDEX(I_COA!$E$6:$E$265,MATCH(D1470,I_COA!$A$6:$A$265,0)),"")</f>
        <v>Cash and cash equivalents</v>
      </c>
      <c r="N1470" s="34" t="str">
        <f aca="false">IF(D1470="","",IFERROR(INDEX(I_COA!$G$6:$G$265,MATCH(D1470,I_COA!$A$6:$A$265,0)),"N"))</f>
        <v>Y</v>
      </c>
      <c r="O1470" s="11" t="str">
        <f aca="false">IF(N1470="N",ABS(J1470),"")</f>
        <v/>
      </c>
      <c r="P1470" s="18" t="str">
        <f aca="false">IF(N1470="N",B1470&amp;"|"&amp;ROUND(O1470,0),"")</f>
        <v/>
      </c>
      <c r="Q1470" s="18" t="n">
        <f aca="false">IF(N1470&lt;&gt;"Y","",IFERROR(INDEX($D$6:$D$4005,MATCH(B1470&amp;"|"&amp;ROUND(_xlfn.MAXIFS($O$6:$O$4005,$B$6:$B$4005,B1470,$N$6:$N$4005,"N"),0),$P$6:$P$4005,0)),"(tanpa lawan)"))</f>
        <v>1102008</v>
      </c>
      <c r="R1470" s="44"/>
      <c r="S1470" s="9" t="str">
        <f aca="false">IF(N1470&lt;&gt;"Y","",IF(R1470&lt;&gt;"",R1470,IF(Q1470="(tanpa lawan)","Transfer antar rekening",IFERROR(INDEX(I_COA!$F$6:$F$265,MATCH(Q1470,I_COA!$A$6:$A$265,0)),"?"))))</f>
        <v>Transfer antar rekening</v>
      </c>
    </row>
    <row r="1471" customFormat="false" ht="15" hidden="false" customHeight="false" outlineLevel="0" collapsed="false">
      <c r="A1471" s="37" t="n">
        <v>46255</v>
      </c>
      <c r="B1471" s="44" t="s">
        <v>1745</v>
      </c>
      <c r="C1471" s="44" t="s">
        <v>580</v>
      </c>
      <c r="D1471" s="44" t="n">
        <v>1102008</v>
      </c>
      <c r="E1471" s="44" t="s">
        <v>781</v>
      </c>
      <c r="F1471" s="44" t="s">
        <v>784</v>
      </c>
      <c r="G1471" s="42"/>
      <c r="H1471" s="42" t="n">
        <v>2000000</v>
      </c>
      <c r="I1471" s="44"/>
      <c r="J1471" s="11" t="n">
        <f aca="false">IF(D1471="","",N(G1471)-N(H1471))</f>
        <v>-2000000</v>
      </c>
      <c r="K1471" s="34" t="str">
        <f aca="false">IF(D1471="","",IFERROR(INDEX(I_COA!$C$6:$C$265,MATCH(D1471,I_COA!$A$6:$A$265,0)),"AKUN BARU"))</f>
        <v>Neraca</v>
      </c>
      <c r="L1471" s="34" t="str">
        <f aca="false">IF(K1471="LabaRugi",INDEX(I_COA!$D$6:$D$265,MATCH(D1471,I_COA!$A$6:$A$265,0)),"")</f>
        <v/>
      </c>
      <c r="M1471" s="34" t="str">
        <f aca="false">IF(K1471="Neraca",INDEX(I_COA!$E$6:$E$265,MATCH(D1471,I_COA!$A$6:$A$265,0)),"")</f>
        <v>Advance Payment</v>
      </c>
      <c r="N1471" s="34" t="str">
        <f aca="false">IF(D1471="","",IFERROR(INDEX(I_COA!$G$6:$G$265,MATCH(D1471,I_COA!$A$6:$A$265,0)),"N"))</f>
        <v>N</v>
      </c>
      <c r="O1471" s="11" t="n">
        <f aca="false">IF(N1471="N",ABS(J1471),"")</f>
        <v>2000000</v>
      </c>
      <c r="P1471" s="18" t="str">
        <f aca="false">IF(N1471="N",B1471&amp;"|"&amp;ROUND(O1471,0),"")</f>
        <v>B8426080014|2000000</v>
      </c>
      <c r="Q1471" s="18" t="str">
        <f aca="false">IF(N1471&lt;&gt;"Y","",IFERROR(INDEX($D$6:$D$4005,MATCH(B1471&amp;"|"&amp;ROUND(_xlfn.MAXIFS($O$6:$O$4005,$B$6:$B$4005,B1471,$N$6:$N$4005,"N"),0),$P$6:$P$4005,0)),"(tanpa lawan)"))</f>
        <v/>
      </c>
      <c r="R1471" s="44"/>
      <c r="S1471" s="9" t="str">
        <f aca="false">IF(N1471&lt;&gt;"Y","",IF(R1471&lt;&gt;"",R1471,IF(Q1471="(tanpa lawan)","Transfer antar rekening",IFERROR(INDEX(I_COA!$F$6:$F$265,MATCH(Q1471,I_COA!$A$6:$A$265,0)),"?"))))</f>
        <v/>
      </c>
    </row>
    <row r="1472" customFormat="false" ht="15" hidden="false" customHeight="false" outlineLevel="0" collapsed="false">
      <c r="A1472" s="37" t="n">
        <v>46255</v>
      </c>
      <c r="B1472" s="44" t="s">
        <v>1746</v>
      </c>
      <c r="C1472" s="44" t="s">
        <v>580</v>
      </c>
      <c r="D1472" s="44" t="n">
        <v>2103002</v>
      </c>
      <c r="E1472" s="44" t="s">
        <v>1747</v>
      </c>
      <c r="F1472" s="44" t="s">
        <v>1748</v>
      </c>
      <c r="G1472" s="42" t="n">
        <v>5823844</v>
      </c>
      <c r="H1472" s="42"/>
      <c r="I1472" s="44"/>
      <c r="J1472" s="11" t="n">
        <f aca="false">IF(D1472="","",N(G1472)-N(H1472))</f>
        <v>5823844</v>
      </c>
      <c r="K1472" s="34" t="str">
        <f aca="false">IF(D1472="","",IFERROR(INDEX(I_COA!$C$6:$C$265,MATCH(D1472,I_COA!$A$6:$A$265,0)),"AKUN BARU"))</f>
        <v>Neraca</v>
      </c>
      <c r="L1472" s="34" t="str">
        <f aca="false">IF(K1472="LabaRugi",INDEX(I_COA!$D$6:$D$265,MATCH(D1472,I_COA!$A$6:$A$265,0)),"")</f>
        <v/>
      </c>
      <c r="M1472" s="34" t="str">
        <f aca="false">IF(K1472="Neraca",INDEX(I_COA!$E$6:$E$265,MATCH(D1472,I_COA!$A$6:$A$265,0)),"")</f>
        <v>Accrued Expenses - Third Parties</v>
      </c>
      <c r="N1472" s="34" t="str">
        <f aca="false">IF(D1472="","",IFERROR(INDEX(I_COA!$G$6:$G$265,MATCH(D1472,I_COA!$A$6:$A$265,0)),"N"))</f>
        <v>N</v>
      </c>
      <c r="O1472" s="11" t="n">
        <f aca="false">IF(N1472="N",ABS(J1472),"")</f>
        <v>5823844</v>
      </c>
      <c r="P1472" s="18" t="str">
        <f aca="false">IF(N1472="N",B1472&amp;"|"&amp;ROUND(O1472,0),"")</f>
        <v>B8526080085|5823844</v>
      </c>
      <c r="Q1472" s="18" t="str">
        <f aca="false">IF(N1472&lt;&gt;"Y","",IFERROR(INDEX($D$6:$D$4005,MATCH(B1472&amp;"|"&amp;ROUND(_xlfn.MAXIFS($O$6:$O$4005,$B$6:$B$4005,B1472,$N$6:$N$4005,"N"),0),$P$6:$P$4005,0)),"(tanpa lawan)"))</f>
        <v/>
      </c>
      <c r="R1472" s="44"/>
      <c r="S1472" s="9" t="str">
        <f aca="false">IF(N1472&lt;&gt;"Y","",IF(R1472&lt;&gt;"",R1472,IF(Q1472="(tanpa lawan)","Transfer antar rekening",IFERROR(INDEX(I_COA!$F$6:$F$265,MATCH(Q1472,I_COA!$A$6:$A$265,0)),"?"))))</f>
        <v/>
      </c>
    </row>
    <row r="1473" customFormat="false" ht="15" hidden="false" customHeight="false" outlineLevel="0" collapsed="false">
      <c r="A1473" s="37" t="n">
        <v>46255</v>
      </c>
      <c r="B1473" s="44" t="s">
        <v>1746</v>
      </c>
      <c r="C1473" s="44" t="s">
        <v>580</v>
      </c>
      <c r="D1473" s="44" t="n">
        <v>1102002</v>
      </c>
      <c r="E1473" s="44" t="s">
        <v>598</v>
      </c>
      <c r="F1473" s="44" t="s">
        <v>1748</v>
      </c>
      <c r="G1473" s="42"/>
      <c r="H1473" s="42" t="n">
        <v>5823844</v>
      </c>
      <c r="I1473" s="44"/>
      <c r="J1473" s="11" t="n">
        <f aca="false">IF(D1473="","",N(G1473)-N(H1473))</f>
        <v>-5823844</v>
      </c>
      <c r="K1473" s="34" t="str">
        <f aca="false">IF(D1473="","",IFERROR(INDEX(I_COA!$C$6:$C$265,MATCH(D1473,I_COA!$A$6:$A$265,0)),"AKUN BARU"))</f>
        <v>Neraca</v>
      </c>
      <c r="L1473" s="34" t="str">
        <f aca="false">IF(K1473="LabaRugi",INDEX(I_COA!$D$6:$D$265,MATCH(D1473,I_COA!$A$6:$A$265,0)),"")</f>
        <v/>
      </c>
      <c r="M1473" s="34" t="str">
        <f aca="false">IF(K1473="Neraca",INDEX(I_COA!$E$6:$E$265,MATCH(D1473,I_COA!$A$6:$A$265,0)),"")</f>
        <v>Cash and cash equivalents</v>
      </c>
      <c r="N1473" s="34" t="str">
        <f aca="false">IF(D1473="","",IFERROR(INDEX(I_COA!$G$6:$G$265,MATCH(D1473,I_COA!$A$6:$A$265,0)),"N"))</f>
        <v>Y</v>
      </c>
      <c r="O1473" s="11" t="str">
        <f aca="false">IF(N1473="N",ABS(J1473),"")</f>
        <v/>
      </c>
      <c r="P1473" s="18" t="str">
        <f aca="false">IF(N1473="N",B1473&amp;"|"&amp;ROUND(O1473,0),"")</f>
        <v/>
      </c>
      <c r="Q1473" s="18" t="n">
        <f aca="false">IF(N1473&lt;&gt;"Y","",IFERROR(INDEX($D$6:$D$4005,MATCH(B1473&amp;"|"&amp;ROUND(_xlfn.MAXIFS($O$6:$O$4005,$B$6:$B$4005,B1473,$N$6:$N$4005,"N"),0),$P$6:$P$4005,0)),"(tanpa lawan)"))</f>
        <v>2103002</v>
      </c>
      <c r="R1473" s="44"/>
      <c r="S1473" s="9" t="str">
        <f aca="false">IF(N1473&lt;&gt;"Y","",IF(R1473&lt;&gt;"",R1473,IF(Q1473="(tanpa lawan)","Transfer antar rekening",IFERROR(INDEX(I_COA!$F$6:$F$265,MATCH(Q1473,I_COA!$A$6:$A$265,0)),"?"))))</f>
        <v>Bayar karyawan</v>
      </c>
    </row>
    <row r="1474" customFormat="false" ht="15" hidden="false" customHeight="false" outlineLevel="0" collapsed="false">
      <c r="A1474" s="37" t="n">
        <v>46255</v>
      </c>
      <c r="B1474" s="44" t="s">
        <v>1749</v>
      </c>
      <c r="C1474" s="44" t="s">
        <v>594</v>
      </c>
      <c r="D1474" s="44" t="n">
        <v>2101003</v>
      </c>
      <c r="E1474" s="44" t="s">
        <v>679</v>
      </c>
      <c r="F1474" s="44" t="s">
        <v>1750</v>
      </c>
      <c r="G1474" s="42" t="n">
        <v>18530000</v>
      </c>
      <c r="H1474" s="42"/>
      <c r="I1474" s="44" t="s">
        <v>1751</v>
      </c>
      <c r="J1474" s="11" t="n">
        <f aca="false">IF(D1474="","",N(G1474)-N(H1474))</f>
        <v>18530000</v>
      </c>
      <c r="K1474" s="34" t="str">
        <f aca="false">IF(D1474="","",IFERROR(INDEX(I_COA!$C$6:$C$265,MATCH(D1474,I_COA!$A$6:$A$265,0)),"AKUN BARU"))</f>
        <v>Neraca</v>
      </c>
      <c r="L1474" s="34" t="str">
        <f aca="false">IF(K1474="LabaRugi",INDEX(I_COA!$D$6:$D$265,MATCH(D1474,I_COA!$A$6:$A$265,0)),"")</f>
        <v/>
      </c>
      <c r="M1474" s="34" t="str">
        <f aca="false">IF(K1474="Neraca",INDEX(I_COA!$E$6:$E$265,MATCH(D1474,I_COA!$A$6:$A$265,0)),"")</f>
        <v>Other Payable - Third Parties</v>
      </c>
      <c r="N1474" s="34" t="str">
        <f aca="false">IF(D1474="","",IFERROR(INDEX(I_COA!$G$6:$G$265,MATCH(D1474,I_COA!$A$6:$A$265,0)),"N"))</f>
        <v>N</v>
      </c>
      <c r="O1474" s="11" t="n">
        <f aca="false">IF(N1474="N",ABS(J1474),"")</f>
        <v>18530000</v>
      </c>
      <c r="P1474" s="18" t="str">
        <f aca="false">IF(N1474="N",B1474&amp;"|"&amp;ROUND(O1474,0),"")</f>
        <v>B8526080086|18530000</v>
      </c>
      <c r="Q1474" s="18" t="str">
        <f aca="false">IF(N1474&lt;&gt;"Y","",IFERROR(INDEX($D$6:$D$4005,MATCH(B1474&amp;"|"&amp;ROUND(_xlfn.MAXIFS($O$6:$O$4005,$B$6:$B$4005,B1474,$N$6:$N$4005,"N"),0),$P$6:$P$4005,0)),"(tanpa lawan)"))</f>
        <v/>
      </c>
      <c r="R1474" s="44"/>
      <c r="S1474" s="9" t="str">
        <f aca="false">IF(N1474&lt;&gt;"Y","",IF(R1474&lt;&gt;"",R1474,IF(Q1474="(tanpa lawan)","Transfer antar rekening",IFERROR(INDEX(I_COA!$F$6:$F$265,MATCH(Q1474,I_COA!$A$6:$A$265,0)),"?"))))</f>
        <v/>
      </c>
    </row>
    <row r="1475" customFormat="false" ht="15" hidden="false" customHeight="false" outlineLevel="0" collapsed="false">
      <c r="A1475" s="37" t="n">
        <v>46255</v>
      </c>
      <c r="B1475" s="44" t="s">
        <v>1749</v>
      </c>
      <c r="C1475" s="44" t="s">
        <v>594</v>
      </c>
      <c r="D1475" s="44" t="n">
        <v>1102002</v>
      </c>
      <c r="E1475" s="44" t="s">
        <v>598</v>
      </c>
      <c r="F1475" s="44" t="s">
        <v>1750</v>
      </c>
      <c r="G1475" s="42"/>
      <c r="H1475" s="42" t="n">
        <v>18530000</v>
      </c>
      <c r="I1475" s="44" t="s">
        <v>1751</v>
      </c>
      <c r="J1475" s="11" t="n">
        <f aca="false">IF(D1475="","",N(G1475)-N(H1475))</f>
        <v>-18530000</v>
      </c>
      <c r="K1475" s="34" t="str">
        <f aca="false">IF(D1475="","",IFERROR(INDEX(I_COA!$C$6:$C$265,MATCH(D1475,I_COA!$A$6:$A$265,0)),"AKUN BARU"))</f>
        <v>Neraca</v>
      </c>
      <c r="L1475" s="34" t="str">
        <f aca="false">IF(K1475="LabaRugi",INDEX(I_COA!$D$6:$D$265,MATCH(D1475,I_COA!$A$6:$A$265,0)),"")</f>
        <v/>
      </c>
      <c r="M1475" s="34" t="str">
        <f aca="false">IF(K1475="Neraca",INDEX(I_COA!$E$6:$E$265,MATCH(D1475,I_COA!$A$6:$A$265,0)),"")</f>
        <v>Cash and cash equivalents</v>
      </c>
      <c r="N1475" s="34" t="str">
        <f aca="false">IF(D1475="","",IFERROR(INDEX(I_COA!$G$6:$G$265,MATCH(D1475,I_COA!$A$6:$A$265,0)),"N"))</f>
        <v>Y</v>
      </c>
      <c r="O1475" s="11" t="str">
        <f aca="false">IF(N1475="N",ABS(J1475),"")</f>
        <v/>
      </c>
      <c r="P1475" s="18" t="str">
        <f aca="false">IF(N1475="N",B1475&amp;"|"&amp;ROUND(O1475,0),"")</f>
        <v/>
      </c>
      <c r="Q1475" s="18" t="n">
        <f aca="false">IF(N1475&lt;&gt;"Y","",IFERROR(INDEX($D$6:$D$4005,MATCH(B1475&amp;"|"&amp;ROUND(_xlfn.MAXIFS($O$6:$O$4005,$B$6:$B$4005,B1475,$N$6:$N$4005,"N"),0),$P$6:$P$4005,0)),"(tanpa lawan)"))</f>
        <v>2101003</v>
      </c>
      <c r="R1475" s="44"/>
      <c r="S1475" s="9" t="str">
        <f aca="false">IF(N1475&lt;&gt;"Y","",IF(R1475&lt;&gt;"",R1475,IF(Q1475="(tanpa lawan)","Transfer antar rekening",IFERROR(INDEX(I_COA!$F$6:$F$265,MATCH(Q1475,I_COA!$A$6:$A$265,0)),"?"))))</f>
        <v>Bayar jasa (maklon, angkut, cold storage, sewa)</v>
      </c>
    </row>
    <row r="1476" customFormat="false" ht="15" hidden="false" customHeight="false" outlineLevel="0" collapsed="false">
      <c r="A1476" s="37" t="n">
        <v>46255</v>
      </c>
      <c r="B1476" s="44" t="s">
        <v>1752</v>
      </c>
      <c r="C1476" s="44" t="s">
        <v>594</v>
      </c>
      <c r="D1476" s="44" t="n">
        <v>2101003</v>
      </c>
      <c r="E1476" s="44" t="s">
        <v>679</v>
      </c>
      <c r="F1476" s="44" t="s">
        <v>1753</v>
      </c>
      <c r="G1476" s="42" t="n">
        <v>26871992</v>
      </c>
      <c r="H1476" s="42"/>
      <c r="I1476" s="44" t="s">
        <v>440</v>
      </c>
      <c r="J1476" s="11" t="n">
        <f aca="false">IF(D1476="","",N(G1476)-N(H1476))</f>
        <v>26871992</v>
      </c>
      <c r="K1476" s="34" t="str">
        <f aca="false">IF(D1476="","",IFERROR(INDEX(I_COA!$C$6:$C$265,MATCH(D1476,I_COA!$A$6:$A$265,0)),"AKUN BARU"))</f>
        <v>Neraca</v>
      </c>
      <c r="L1476" s="34" t="str">
        <f aca="false">IF(K1476="LabaRugi",INDEX(I_COA!$D$6:$D$265,MATCH(D1476,I_COA!$A$6:$A$265,0)),"")</f>
        <v/>
      </c>
      <c r="M1476" s="34" t="str">
        <f aca="false">IF(K1476="Neraca",INDEX(I_COA!$E$6:$E$265,MATCH(D1476,I_COA!$A$6:$A$265,0)),"")</f>
        <v>Other Payable - Third Parties</v>
      </c>
      <c r="N1476" s="34" t="str">
        <f aca="false">IF(D1476="","",IFERROR(INDEX(I_COA!$G$6:$G$265,MATCH(D1476,I_COA!$A$6:$A$265,0)),"N"))</f>
        <v>N</v>
      </c>
      <c r="O1476" s="11" t="n">
        <f aca="false">IF(N1476="N",ABS(J1476),"")</f>
        <v>26871992</v>
      </c>
      <c r="P1476" s="18" t="str">
        <f aca="false">IF(N1476="N",B1476&amp;"|"&amp;ROUND(O1476,0),"")</f>
        <v>B8526080087|26871992</v>
      </c>
      <c r="Q1476" s="18" t="str">
        <f aca="false">IF(N1476&lt;&gt;"Y","",IFERROR(INDEX($D$6:$D$4005,MATCH(B1476&amp;"|"&amp;ROUND(_xlfn.MAXIFS($O$6:$O$4005,$B$6:$B$4005,B1476,$N$6:$N$4005,"N"),0),$P$6:$P$4005,0)),"(tanpa lawan)"))</f>
        <v/>
      </c>
      <c r="R1476" s="44"/>
      <c r="S1476" s="9" t="str">
        <f aca="false">IF(N1476&lt;&gt;"Y","",IF(R1476&lt;&gt;"",R1476,IF(Q1476="(tanpa lawan)","Transfer antar rekening",IFERROR(INDEX(I_COA!$F$6:$F$265,MATCH(Q1476,I_COA!$A$6:$A$265,0)),"?"))))</f>
        <v/>
      </c>
    </row>
    <row r="1477" customFormat="false" ht="15" hidden="false" customHeight="false" outlineLevel="0" collapsed="false">
      <c r="A1477" s="37" t="n">
        <v>46255</v>
      </c>
      <c r="B1477" s="44" t="s">
        <v>1752</v>
      </c>
      <c r="C1477" s="44" t="s">
        <v>594</v>
      </c>
      <c r="D1477" s="44" t="n">
        <v>1102002</v>
      </c>
      <c r="E1477" s="44" t="s">
        <v>598</v>
      </c>
      <c r="F1477" s="44" t="s">
        <v>1753</v>
      </c>
      <c r="G1477" s="42"/>
      <c r="H1477" s="42" t="n">
        <v>26871992</v>
      </c>
      <c r="I1477" s="44" t="s">
        <v>440</v>
      </c>
      <c r="J1477" s="11" t="n">
        <f aca="false">IF(D1477="","",N(G1477)-N(H1477))</f>
        <v>-26871992</v>
      </c>
      <c r="K1477" s="34" t="str">
        <f aca="false">IF(D1477="","",IFERROR(INDEX(I_COA!$C$6:$C$265,MATCH(D1477,I_COA!$A$6:$A$265,0)),"AKUN BARU"))</f>
        <v>Neraca</v>
      </c>
      <c r="L1477" s="34" t="str">
        <f aca="false">IF(K1477="LabaRugi",INDEX(I_COA!$D$6:$D$265,MATCH(D1477,I_COA!$A$6:$A$265,0)),"")</f>
        <v/>
      </c>
      <c r="M1477" s="34" t="str">
        <f aca="false">IF(K1477="Neraca",INDEX(I_COA!$E$6:$E$265,MATCH(D1477,I_COA!$A$6:$A$265,0)),"")</f>
        <v>Cash and cash equivalents</v>
      </c>
      <c r="N1477" s="34" t="str">
        <f aca="false">IF(D1477="","",IFERROR(INDEX(I_COA!$G$6:$G$265,MATCH(D1477,I_COA!$A$6:$A$265,0)),"N"))</f>
        <v>Y</v>
      </c>
      <c r="O1477" s="11" t="str">
        <f aca="false">IF(N1477="N",ABS(J1477),"")</f>
        <v/>
      </c>
      <c r="P1477" s="18" t="str">
        <f aca="false">IF(N1477="N",B1477&amp;"|"&amp;ROUND(O1477,0),"")</f>
        <v/>
      </c>
      <c r="Q1477" s="18" t="n">
        <f aca="false">IF(N1477&lt;&gt;"Y","",IFERROR(INDEX($D$6:$D$4005,MATCH(B1477&amp;"|"&amp;ROUND(_xlfn.MAXIFS($O$6:$O$4005,$B$6:$B$4005,B1477,$N$6:$N$4005,"N"),0),$P$6:$P$4005,0)),"(tanpa lawan)"))</f>
        <v>2101003</v>
      </c>
      <c r="R1477" s="44"/>
      <c r="S1477" s="9" t="str">
        <f aca="false">IF(N1477&lt;&gt;"Y","",IF(R1477&lt;&gt;"",R1477,IF(Q1477="(tanpa lawan)","Transfer antar rekening",IFERROR(INDEX(I_COA!$F$6:$F$265,MATCH(Q1477,I_COA!$A$6:$A$265,0)),"?"))))</f>
        <v>Bayar jasa (maklon, angkut, cold storage, sewa)</v>
      </c>
    </row>
    <row r="1478" customFormat="false" ht="15" hidden="false" customHeight="false" outlineLevel="0" collapsed="false">
      <c r="A1478" s="37" t="n">
        <v>46255</v>
      </c>
      <c r="B1478" s="44" t="s">
        <v>1754</v>
      </c>
      <c r="C1478" s="44" t="s">
        <v>594</v>
      </c>
      <c r="D1478" s="44" t="n">
        <v>2101003</v>
      </c>
      <c r="E1478" s="44" t="s">
        <v>679</v>
      </c>
      <c r="F1478" s="44" t="s">
        <v>1755</v>
      </c>
      <c r="G1478" s="42" t="n">
        <v>15398622.4</v>
      </c>
      <c r="H1478" s="42"/>
      <c r="I1478" s="44" t="s">
        <v>440</v>
      </c>
      <c r="J1478" s="11" t="n">
        <f aca="false">IF(D1478="","",N(G1478)-N(H1478))</f>
        <v>15398622.4</v>
      </c>
      <c r="K1478" s="34" t="str">
        <f aca="false">IF(D1478="","",IFERROR(INDEX(I_COA!$C$6:$C$265,MATCH(D1478,I_COA!$A$6:$A$265,0)),"AKUN BARU"))</f>
        <v>Neraca</v>
      </c>
      <c r="L1478" s="34" t="str">
        <f aca="false">IF(K1478="LabaRugi",INDEX(I_COA!$D$6:$D$265,MATCH(D1478,I_COA!$A$6:$A$265,0)),"")</f>
        <v/>
      </c>
      <c r="M1478" s="34" t="str">
        <f aca="false">IF(K1478="Neraca",INDEX(I_COA!$E$6:$E$265,MATCH(D1478,I_COA!$A$6:$A$265,0)),"")</f>
        <v>Other Payable - Third Parties</v>
      </c>
      <c r="N1478" s="34" t="str">
        <f aca="false">IF(D1478="","",IFERROR(INDEX(I_COA!$G$6:$G$265,MATCH(D1478,I_COA!$A$6:$A$265,0)),"N"))</f>
        <v>N</v>
      </c>
      <c r="O1478" s="11" t="n">
        <f aca="false">IF(N1478="N",ABS(J1478),"")</f>
        <v>15398622.4</v>
      </c>
      <c r="P1478" s="18" t="str">
        <f aca="false">IF(N1478="N",B1478&amp;"|"&amp;ROUND(O1478,0),"")</f>
        <v>B8526080088|15398622</v>
      </c>
      <c r="Q1478" s="18" t="str">
        <f aca="false">IF(N1478&lt;&gt;"Y","",IFERROR(INDEX($D$6:$D$4005,MATCH(B1478&amp;"|"&amp;ROUND(_xlfn.MAXIFS($O$6:$O$4005,$B$6:$B$4005,B1478,$N$6:$N$4005,"N"),0),$P$6:$P$4005,0)),"(tanpa lawan)"))</f>
        <v/>
      </c>
      <c r="R1478" s="44"/>
      <c r="S1478" s="9" t="str">
        <f aca="false">IF(N1478&lt;&gt;"Y","",IF(R1478&lt;&gt;"",R1478,IF(Q1478="(tanpa lawan)","Transfer antar rekening",IFERROR(INDEX(I_COA!$F$6:$F$265,MATCH(Q1478,I_COA!$A$6:$A$265,0)),"?"))))</f>
        <v/>
      </c>
    </row>
    <row r="1479" customFormat="false" ht="15" hidden="false" customHeight="false" outlineLevel="0" collapsed="false">
      <c r="A1479" s="37" t="n">
        <v>46255</v>
      </c>
      <c r="B1479" s="44" t="s">
        <v>1754</v>
      </c>
      <c r="C1479" s="44" t="s">
        <v>594</v>
      </c>
      <c r="D1479" s="44" t="n">
        <v>7100009</v>
      </c>
      <c r="E1479" s="44" t="s">
        <v>189</v>
      </c>
      <c r="F1479" s="44" t="s">
        <v>1755</v>
      </c>
      <c r="G1479" s="42"/>
      <c r="H1479" s="42" t="n">
        <v>0.4</v>
      </c>
      <c r="I1479" s="44" t="s">
        <v>440</v>
      </c>
      <c r="J1479" s="11" t="n">
        <f aca="false">IF(D1479="","",N(G1479)-N(H1479))</f>
        <v>-0.4</v>
      </c>
      <c r="K1479" s="34" t="str">
        <f aca="false">IF(D1479="","",IFERROR(INDEX(I_COA!$C$6:$C$265,MATCH(D1479,I_COA!$A$6:$A$265,0)),"AKUN BARU"))</f>
        <v>LabaRugi</v>
      </c>
      <c r="L1479" s="34" t="str">
        <f aca="false">IF(K1479="LabaRugi",INDEX(I_COA!$D$6:$D$265,MATCH(D1479,I_COA!$A$6:$A$265,0)),"")</f>
        <v>Other Income</v>
      </c>
      <c r="M1479" s="34" t="str">
        <f aca="false">IF(K1479="Neraca",INDEX(I_COA!$E$6:$E$265,MATCH(D1479,I_COA!$A$6:$A$265,0)),"")</f>
        <v/>
      </c>
      <c r="N1479" s="34" t="str">
        <f aca="false">IF(D1479="","",IFERROR(INDEX(I_COA!$G$6:$G$265,MATCH(D1479,I_COA!$A$6:$A$265,0)),"N"))</f>
        <v>N</v>
      </c>
      <c r="O1479" s="11" t="n">
        <f aca="false">IF(N1479="N",ABS(J1479),"")</f>
        <v>0.4</v>
      </c>
      <c r="P1479" s="18" t="str">
        <f aca="false">IF(N1479="N",B1479&amp;"|"&amp;ROUND(O1479,0),"")</f>
        <v>B8526080088|0</v>
      </c>
      <c r="Q1479" s="18" t="str">
        <f aca="false">IF(N1479&lt;&gt;"Y","",IFERROR(INDEX($D$6:$D$4005,MATCH(B1479&amp;"|"&amp;ROUND(_xlfn.MAXIFS($O$6:$O$4005,$B$6:$B$4005,B1479,$N$6:$N$4005,"N"),0),$P$6:$P$4005,0)),"(tanpa lawan)"))</f>
        <v/>
      </c>
      <c r="R1479" s="44"/>
      <c r="S1479" s="9" t="str">
        <f aca="false">IF(N1479&lt;&gt;"Y","",IF(R1479&lt;&gt;"",R1479,IF(Q1479="(tanpa lawan)","Transfer antar rekening",IFERROR(INDEX(I_COA!$F$6:$F$265,MATCH(Q1479,I_COA!$A$6:$A$265,0)),"?"))))</f>
        <v/>
      </c>
    </row>
    <row r="1480" customFormat="false" ht="15" hidden="false" customHeight="false" outlineLevel="0" collapsed="false">
      <c r="A1480" s="37" t="n">
        <v>46255</v>
      </c>
      <c r="B1480" s="44" t="s">
        <v>1754</v>
      </c>
      <c r="C1480" s="44" t="s">
        <v>594</v>
      </c>
      <c r="D1480" s="44" t="n">
        <v>1102002</v>
      </c>
      <c r="E1480" s="44" t="s">
        <v>598</v>
      </c>
      <c r="F1480" s="44" t="s">
        <v>1755</v>
      </c>
      <c r="G1480" s="42"/>
      <c r="H1480" s="42" t="n">
        <v>15398622</v>
      </c>
      <c r="I1480" s="44" t="s">
        <v>440</v>
      </c>
      <c r="J1480" s="11" t="n">
        <f aca="false">IF(D1480="","",N(G1480)-N(H1480))</f>
        <v>-15398622</v>
      </c>
      <c r="K1480" s="34" t="str">
        <f aca="false">IF(D1480="","",IFERROR(INDEX(I_COA!$C$6:$C$265,MATCH(D1480,I_COA!$A$6:$A$265,0)),"AKUN BARU"))</f>
        <v>Neraca</v>
      </c>
      <c r="L1480" s="34" t="str">
        <f aca="false">IF(K1480="LabaRugi",INDEX(I_COA!$D$6:$D$265,MATCH(D1480,I_COA!$A$6:$A$265,0)),"")</f>
        <v/>
      </c>
      <c r="M1480" s="34" t="str">
        <f aca="false">IF(K1480="Neraca",INDEX(I_COA!$E$6:$E$265,MATCH(D1480,I_COA!$A$6:$A$265,0)),"")</f>
        <v>Cash and cash equivalents</v>
      </c>
      <c r="N1480" s="34" t="str">
        <f aca="false">IF(D1480="","",IFERROR(INDEX(I_COA!$G$6:$G$265,MATCH(D1480,I_COA!$A$6:$A$265,0)),"N"))</f>
        <v>Y</v>
      </c>
      <c r="O1480" s="11" t="str">
        <f aca="false">IF(N1480="N",ABS(J1480),"")</f>
        <v/>
      </c>
      <c r="P1480" s="18" t="str">
        <f aca="false">IF(N1480="N",B1480&amp;"|"&amp;ROUND(O1480,0),"")</f>
        <v/>
      </c>
      <c r="Q1480" s="18" t="n">
        <f aca="false">IF(N1480&lt;&gt;"Y","",IFERROR(INDEX($D$6:$D$4005,MATCH(B1480&amp;"|"&amp;ROUND(_xlfn.MAXIFS($O$6:$O$4005,$B$6:$B$4005,B1480,$N$6:$N$4005,"N"),0),$P$6:$P$4005,0)),"(tanpa lawan)"))</f>
        <v>2101003</v>
      </c>
      <c r="R1480" s="44"/>
      <c r="S1480" s="9" t="str">
        <f aca="false">IF(N1480&lt;&gt;"Y","",IF(R1480&lt;&gt;"",R1480,IF(Q1480="(tanpa lawan)","Transfer antar rekening",IFERROR(INDEX(I_COA!$F$6:$F$265,MATCH(Q1480,I_COA!$A$6:$A$265,0)),"?"))))</f>
        <v>Bayar jasa (maklon, angkut, cold storage, sewa)</v>
      </c>
    </row>
    <row r="1481" customFormat="false" ht="15" hidden="false" customHeight="false" outlineLevel="0" collapsed="false">
      <c r="A1481" s="37" t="n">
        <v>46255</v>
      </c>
      <c r="B1481" s="44" t="s">
        <v>1756</v>
      </c>
      <c r="C1481" s="44" t="s">
        <v>594</v>
      </c>
      <c r="D1481" s="44" t="n">
        <v>2101001</v>
      </c>
      <c r="E1481" s="44" t="s">
        <v>595</v>
      </c>
      <c r="F1481" s="44" t="s">
        <v>1757</v>
      </c>
      <c r="G1481" s="42" t="n">
        <v>288925360</v>
      </c>
      <c r="H1481" s="42"/>
      <c r="I1481" s="44" t="s">
        <v>597</v>
      </c>
      <c r="J1481" s="11" t="n">
        <f aca="false">IF(D1481="","",N(G1481)-N(H1481))</f>
        <v>288925360</v>
      </c>
      <c r="K1481" s="34" t="str">
        <f aca="false">IF(D1481="","",IFERROR(INDEX(I_COA!$C$6:$C$265,MATCH(D1481,I_COA!$A$6:$A$265,0)),"AKUN BARU"))</f>
        <v>Neraca</v>
      </c>
      <c r="L1481" s="34" t="str">
        <f aca="false">IF(K1481="LabaRugi",INDEX(I_COA!$D$6:$D$265,MATCH(D1481,I_COA!$A$6:$A$265,0)),"")</f>
        <v/>
      </c>
      <c r="M1481" s="34" t="str">
        <f aca="false">IF(K1481="Neraca",INDEX(I_COA!$E$6:$E$265,MATCH(D1481,I_COA!$A$6:$A$265,0)),"")</f>
        <v>Trade Payables - Third Parties</v>
      </c>
      <c r="N1481" s="34" t="str">
        <f aca="false">IF(D1481="","",IFERROR(INDEX(I_COA!$G$6:$G$265,MATCH(D1481,I_COA!$A$6:$A$265,0)),"N"))</f>
        <v>N</v>
      </c>
      <c r="O1481" s="11" t="n">
        <f aca="false">IF(N1481="N",ABS(J1481),"")</f>
        <v>288925360</v>
      </c>
      <c r="P1481" s="18" t="str">
        <f aca="false">IF(N1481="N",B1481&amp;"|"&amp;ROUND(O1481,0),"")</f>
        <v>B8526080089|288925360</v>
      </c>
      <c r="Q1481" s="18" t="str">
        <f aca="false">IF(N1481&lt;&gt;"Y","",IFERROR(INDEX($D$6:$D$4005,MATCH(B1481&amp;"|"&amp;ROUND(_xlfn.MAXIFS($O$6:$O$4005,$B$6:$B$4005,B1481,$N$6:$N$4005,"N"),0),$P$6:$P$4005,0)),"(tanpa lawan)"))</f>
        <v/>
      </c>
      <c r="R1481" s="44"/>
      <c r="S1481" s="9" t="str">
        <f aca="false">IF(N1481&lt;&gt;"Y","",IF(R1481&lt;&gt;"",R1481,IF(Q1481="(tanpa lawan)","Transfer antar rekening",IFERROR(INDEX(I_COA!$F$6:$F$265,MATCH(Q1481,I_COA!$A$6:$A$265,0)),"?"))))</f>
        <v/>
      </c>
    </row>
    <row r="1482" customFormat="false" ht="15" hidden="false" customHeight="false" outlineLevel="0" collapsed="false">
      <c r="A1482" s="37" t="n">
        <v>46255</v>
      </c>
      <c r="B1482" s="44" t="s">
        <v>1756</v>
      </c>
      <c r="C1482" s="44" t="s">
        <v>594</v>
      </c>
      <c r="D1482" s="44" t="n">
        <v>6200023</v>
      </c>
      <c r="E1482" s="44" t="s">
        <v>688</v>
      </c>
      <c r="F1482" s="44" t="s">
        <v>1757</v>
      </c>
      <c r="G1482" s="42"/>
      <c r="H1482" s="42" t="n">
        <v>10000</v>
      </c>
      <c r="I1482" s="44" t="s">
        <v>597</v>
      </c>
      <c r="J1482" s="11" t="n">
        <f aca="false">IF(D1482="","",N(G1482)-N(H1482))</f>
        <v>-10000</v>
      </c>
      <c r="K1482" s="34" t="str">
        <f aca="false">IF(D1482="","",IFERROR(INDEX(I_COA!$C$6:$C$265,MATCH(D1482,I_COA!$A$6:$A$265,0)),"AKUN BARU"))</f>
        <v>LabaRugi</v>
      </c>
      <c r="L1482" s="34" t="str">
        <f aca="false">IF(K1482="LabaRugi",INDEX(I_COA!$D$6:$D$265,MATCH(D1482,I_COA!$A$6:$A$265,0)),"")</f>
        <v>Tax expenses</v>
      </c>
      <c r="M1482" s="34" t="str">
        <f aca="false">IF(K1482="Neraca",INDEX(I_COA!$E$6:$E$265,MATCH(D1482,I_COA!$A$6:$A$265,0)),"")</f>
        <v/>
      </c>
      <c r="N1482" s="34" t="str">
        <f aca="false">IF(D1482="","",IFERROR(INDEX(I_COA!$G$6:$G$265,MATCH(D1482,I_COA!$A$6:$A$265,0)),"N"))</f>
        <v>N</v>
      </c>
      <c r="O1482" s="11" t="n">
        <f aca="false">IF(N1482="N",ABS(J1482),"")</f>
        <v>10000</v>
      </c>
      <c r="P1482" s="18" t="str">
        <f aca="false">IF(N1482="N",B1482&amp;"|"&amp;ROUND(O1482,0),"")</f>
        <v>B8526080089|10000</v>
      </c>
      <c r="Q1482" s="18" t="str">
        <f aca="false">IF(N1482&lt;&gt;"Y","",IFERROR(INDEX($D$6:$D$4005,MATCH(B1482&amp;"|"&amp;ROUND(_xlfn.MAXIFS($O$6:$O$4005,$B$6:$B$4005,B1482,$N$6:$N$4005,"N"),0),$P$6:$P$4005,0)),"(tanpa lawan)"))</f>
        <v/>
      </c>
      <c r="R1482" s="44"/>
      <c r="S1482" s="9" t="str">
        <f aca="false">IF(N1482&lt;&gt;"Y","",IF(R1482&lt;&gt;"",R1482,IF(Q1482="(tanpa lawan)","Transfer antar rekening",IFERROR(INDEX(I_COA!$F$6:$F$265,MATCH(Q1482,I_COA!$A$6:$A$265,0)),"?"))))</f>
        <v/>
      </c>
    </row>
    <row r="1483" customFormat="false" ht="15" hidden="false" customHeight="false" outlineLevel="0" collapsed="false">
      <c r="A1483" s="37" t="n">
        <v>46255</v>
      </c>
      <c r="B1483" s="44" t="s">
        <v>1756</v>
      </c>
      <c r="C1483" s="44" t="s">
        <v>594</v>
      </c>
      <c r="D1483" s="44" t="n">
        <v>2101001</v>
      </c>
      <c r="E1483" s="44" t="s">
        <v>595</v>
      </c>
      <c r="F1483" s="44" t="s">
        <v>1757</v>
      </c>
      <c r="G1483" s="42" t="n">
        <v>154784640</v>
      </c>
      <c r="H1483" s="42"/>
      <c r="I1483" s="44" t="s">
        <v>597</v>
      </c>
      <c r="J1483" s="11" t="n">
        <f aca="false">IF(D1483="","",N(G1483)-N(H1483))</f>
        <v>154784640</v>
      </c>
      <c r="K1483" s="34" t="str">
        <f aca="false">IF(D1483="","",IFERROR(INDEX(I_COA!$C$6:$C$265,MATCH(D1483,I_COA!$A$6:$A$265,0)),"AKUN BARU"))</f>
        <v>Neraca</v>
      </c>
      <c r="L1483" s="34" t="str">
        <f aca="false">IF(K1483="LabaRugi",INDEX(I_COA!$D$6:$D$265,MATCH(D1483,I_COA!$A$6:$A$265,0)),"")</f>
        <v/>
      </c>
      <c r="M1483" s="34" t="str">
        <f aca="false">IF(K1483="Neraca",INDEX(I_COA!$E$6:$E$265,MATCH(D1483,I_COA!$A$6:$A$265,0)),"")</f>
        <v>Trade Payables - Third Parties</v>
      </c>
      <c r="N1483" s="34" t="str">
        <f aca="false">IF(D1483="","",IFERROR(INDEX(I_COA!$G$6:$G$265,MATCH(D1483,I_COA!$A$6:$A$265,0)),"N"))</f>
        <v>N</v>
      </c>
      <c r="O1483" s="11" t="n">
        <f aca="false">IF(N1483="N",ABS(J1483),"")</f>
        <v>154784640</v>
      </c>
      <c r="P1483" s="18" t="str">
        <f aca="false">IF(N1483="N",B1483&amp;"|"&amp;ROUND(O1483,0),"")</f>
        <v>B8526080089|154784640</v>
      </c>
      <c r="Q1483" s="18" t="str">
        <f aca="false">IF(N1483&lt;&gt;"Y","",IFERROR(INDEX($D$6:$D$4005,MATCH(B1483&amp;"|"&amp;ROUND(_xlfn.MAXIFS($O$6:$O$4005,$B$6:$B$4005,B1483,$N$6:$N$4005,"N"),0),$P$6:$P$4005,0)),"(tanpa lawan)"))</f>
        <v/>
      </c>
      <c r="R1483" s="44"/>
      <c r="S1483" s="9" t="str">
        <f aca="false">IF(N1483&lt;&gt;"Y","",IF(R1483&lt;&gt;"",R1483,IF(Q1483="(tanpa lawan)","Transfer antar rekening",IFERROR(INDEX(I_COA!$F$6:$F$265,MATCH(Q1483,I_COA!$A$6:$A$265,0)),"?"))))</f>
        <v/>
      </c>
    </row>
    <row r="1484" customFormat="false" ht="15" hidden="false" customHeight="false" outlineLevel="0" collapsed="false">
      <c r="A1484" s="37" t="n">
        <v>46255</v>
      </c>
      <c r="B1484" s="44" t="s">
        <v>1756</v>
      </c>
      <c r="C1484" s="44" t="s">
        <v>594</v>
      </c>
      <c r="D1484" s="44" t="n">
        <v>1102002</v>
      </c>
      <c r="E1484" s="44" t="s">
        <v>598</v>
      </c>
      <c r="F1484" s="44" t="s">
        <v>1757</v>
      </c>
      <c r="G1484" s="42"/>
      <c r="H1484" s="42" t="n">
        <v>443700000</v>
      </c>
      <c r="I1484" s="44" t="s">
        <v>597</v>
      </c>
      <c r="J1484" s="11" t="n">
        <f aca="false">IF(D1484="","",N(G1484)-N(H1484))</f>
        <v>-443700000</v>
      </c>
      <c r="K1484" s="34" t="str">
        <f aca="false">IF(D1484="","",IFERROR(INDEX(I_COA!$C$6:$C$265,MATCH(D1484,I_COA!$A$6:$A$265,0)),"AKUN BARU"))</f>
        <v>Neraca</v>
      </c>
      <c r="L1484" s="34" t="str">
        <f aca="false">IF(K1484="LabaRugi",INDEX(I_COA!$D$6:$D$265,MATCH(D1484,I_COA!$A$6:$A$265,0)),"")</f>
        <v/>
      </c>
      <c r="M1484" s="34" t="str">
        <f aca="false">IF(K1484="Neraca",INDEX(I_COA!$E$6:$E$265,MATCH(D1484,I_COA!$A$6:$A$265,0)),"")</f>
        <v>Cash and cash equivalents</v>
      </c>
      <c r="N1484" s="34" t="str">
        <f aca="false">IF(D1484="","",IFERROR(INDEX(I_COA!$G$6:$G$265,MATCH(D1484,I_COA!$A$6:$A$265,0)),"N"))</f>
        <v>Y</v>
      </c>
      <c r="O1484" s="11" t="str">
        <f aca="false">IF(N1484="N",ABS(J1484),"")</f>
        <v/>
      </c>
      <c r="P1484" s="18" t="str">
        <f aca="false">IF(N1484="N",B1484&amp;"|"&amp;ROUND(O1484,0),"")</f>
        <v/>
      </c>
      <c r="Q1484" s="18" t="n">
        <f aca="false">IF(N1484&lt;&gt;"Y","",IFERROR(INDEX($D$6:$D$4005,MATCH(B1484&amp;"|"&amp;ROUND(_xlfn.MAXIFS($O$6:$O$4005,$B$6:$B$4005,B1484,$N$6:$N$4005,"N"),0),$P$6:$P$4005,0)),"(tanpa lawan)"))</f>
        <v>2101001</v>
      </c>
      <c r="R1484" s="44"/>
      <c r="S1484" s="9" t="str">
        <f aca="false">IF(N1484&lt;&gt;"Y","",IF(R1484&lt;&gt;"",R1484,IF(Q1484="(tanpa lawan)","Transfer antar rekening",IFERROR(INDEX(I_COA!$F$6:$F$265,MATCH(Q1484,I_COA!$A$6:$A$265,0)),"?"))))</f>
        <v>Bayar pemasok barang (live bird &amp; trading)</v>
      </c>
    </row>
    <row r="1485" customFormat="false" ht="15" hidden="false" customHeight="false" outlineLevel="0" collapsed="false">
      <c r="A1485" s="37" t="n">
        <v>46255</v>
      </c>
      <c r="B1485" s="44" t="s">
        <v>1758</v>
      </c>
      <c r="C1485" s="44" t="s">
        <v>594</v>
      </c>
      <c r="D1485" s="44" t="n">
        <v>2101003</v>
      </c>
      <c r="E1485" s="44" t="s">
        <v>679</v>
      </c>
      <c r="F1485" s="44" t="s">
        <v>1759</v>
      </c>
      <c r="G1485" s="42" t="n">
        <v>2725000</v>
      </c>
      <c r="H1485" s="42"/>
      <c r="I1485" s="44" t="s">
        <v>719</v>
      </c>
      <c r="J1485" s="11" t="n">
        <f aca="false">IF(D1485="","",N(G1485)-N(H1485))</f>
        <v>2725000</v>
      </c>
      <c r="K1485" s="34" t="str">
        <f aca="false">IF(D1485="","",IFERROR(INDEX(I_COA!$C$6:$C$265,MATCH(D1485,I_COA!$A$6:$A$265,0)),"AKUN BARU"))</f>
        <v>Neraca</v>
      </c>
      <c r="L1485" s="34" t="str">
        <f aca="false">IF(K1485="LabaRugi",INDEX(I_COA!$D$6:$D$265,MATCH(D1485,I_COA!$A$6:$A$265,0)),"")</f>
        <v/>
      </c>
      <c r="M1485" s="34" t="str">
        <f aca="false">IF(K1485="Neraca",INDEX(I_COA!$E$6:$E$265,MATCH(D1485,I_COA!$A$6:$A$265,0)),"")</f>
        <v>Other Payable - Third Parties</v>
      </c>
      <c r="N1485" s="34" t="str">
        <f aca="false">IF(D1485="","",IFERROR(INDEX(I_COA!$G$6:$G$265,MATCH(D1485,I_COA!$A$6:$A$265,0)),"N"))</f>
        <v>N</v>
      </c>
      <c r="O1485" s="11" t="n">
        <f aca="false">IF(N1485="N",ABS(J1485),"")</f>
        <v>2725000</v>
      </c>
      <c r="P1485" s="18" t="str">
        <f aca="false">IF(N1485="N",B1485&amp;"|"&amp;ROUND(O1485,0),"")</f>
        <v>B8526080090|2725000</v>
      </c>
      <c r="Q1485" s="18" t="str">
        <f aca="false">IF(N1485&lt;&gt;"Y","",IFERROR(INDEX($D$6:$D$4005,MATCH(B1485&amp;"|"&amp;ROUND(_xlfn.MAXIFS($O$6:$O$4005,$B$6:$B$4005,B1485,$N$6:$N$4005,"N"),0),$P$6:$P$4005,0)),"(tanpa lawan)"))</f>
        <v/>
      </c>
      <c r="R1485" s="44"/>
      <c r="S1485" s="9" t="str">
        <f aca="false">IF(N1485&lt;&gt;"Y","",IF(R1485&lt;&gt;"",R1485,IF(Q1485="(tanpa lawan)","Transfer antar rekening",IFERROR(INDEX(I_COA!$F$6:$F$265,MATCH(Q1485,I_COA!$A$6:$A$265,0)),"?"))))</f>
        <v/>
      </c>
    </row>
    <row r="1486" customFormat="false" ht="15" hidden="false" customHeight="false" outlineLevel="0" collapsed="false">
      <c r="A1486" s="37" t="n">
        <v>46255</v>
      </c>
      <c r="B1486" s="44" t="s">
        <v>1758</v>
      </c>
      <c r="C1486" s="44" t="s">
        <v>594</v>
      </c>
      <c r="D1486" s="44" t="n">
        <v>1102002</v>
      </c>
      <c r="E1486" s="44" t="s">
        <v>598</v>
      </c>
      <c r="F1486" s="44" t="s">
        <v>1759</v>
      </c>
      <c r="G1486" s="42"/>
      <c r="H1486" s="42" t="n">
        <v>2725000</v>
      </c>
      <c r="I1486" s="44" t="s">
        <v>719</v>
      </c>
      <c r="J1486" s="11" t="n">
        <f aca="false">IF(D1486="","",N(G1486)-N(H1486))</f>
        <v>-2725000</v>
      </c>
      <c r="K1486" s="34" t="str">
        <f aca="false">IF(D1486="","",IFERROR(INDEX(I_COA!$C$6:$C$265,MATCH(D1486,I_COA!$A$6:$A$265,0)),"AKUN BARU"))</f>
        <v>Neraca</v>
      </c>
      <c r="L1486" s="34" t="str">
        <f aca="false">IF(K1486="LabaRugi",INDEX(I_COA!$D$6:$D$265,MATCH(D1486,I_COA!$A$6:$A$265,0)),"")</f>
        <v/>
      </c>
      <c r="M1486" s="34" t="str">
        <f aca="false">IF(K1486="Neraca",INDEX(I_COA!$E$6:$E$265,MATCH(D1486,I_COA!$A$6:$A$265,0)),"")</f>
        <v>Cash and cash equivalents</v>
      </c>
      <c r="N1486" s="34" t="str">
        <f aca="false">IF(D1486="","",IFERROR(INDEX(I_COA!$G$6:$G$265,MATCH(D1486,I_COA!$A$6:$A$265,0)),"N"))</f>
        <v>Y</v>
      </c>
      <c r="O1486" s="11" t="str">
        <f aca="false">IF(N1486="N",ABS(J1486),"")</f>
        <v/>
      </c>
      <c r="P1486" s="18" t="str">
        <f aca="false">IF(N1486="N",B1486&amp;"|"&amp;ROUND(O1486,0),"")</f>
        <v/>
      </c>
      <c r="Q1486" s="18" t="n">
        <f aca="false">IF(N1486&lt;&gt;"Y","",IFERROR(INDEX($D$6:$D$4005,MATCH(B1486&amp;"|"&amp;ROUND(_xlfn.MAXIFS($O$6:$O$4005,$B$6:$B$4005,B1486,$N$6:$N$4005,"N"),0),$P$6:$P$4005,0)),"(tanpa lawan)"))</f>
        <v>2101003</v>
      </c>
      <c r="R1486" s="44"/>
      <c r="S1486" s="9" t="str">
        <f aca="false">IF(N1486&lt;&gt;"Y","",IF(R1486&lt;&gt;"",R1486,IF(Q1486="(tanpa lawan)","Transfer antar rekening",IFERROR(INDEX(I_COA!$F$6:$F$265,MATCH(Q1486,I_COA!$A$6:$A$265,0)),"?"))))</f>
        <v>Bayar jasa (maklon, angkut, cold storage, sewa)</v>
      </c>
    </row>
    <row r="1487" customFormat="false" ht="15" hidden="false" customHeight="false" outlineLevel="0" collapsed="false">
      <c r="A1487" s="37" t="n">
        <v>46255</v>
      </c>
      <c r="B1487" s="44" t="s">
        <v>1760</v>
      </c>
      <c r="C1487" s="44" t="s">
        <v>580</v>
      </c>
      <c r="D1487" s="44" t="n">
        <v>1103120</v>
      </c>
      <c r="E1487" s="44" t="s">
        <v>640</v>
      </c>
      <c r="F1487" s="44" t="s">
        <v>1761</v>
      </c>
      <c r="G1487" s="42" t="n">
        <v>2116623</v>
      </c>
      <c r="H1487" s="42"/>
      <c r="I1487" s="44" t="s">
        <v>660</v>
      </c>
      <c r="J1487" s="11" t="n">
        <f aca="false">IF(D1487="","",N(G1487)-N(H1487))</f>
        <v>2116623</v>
      </c>
      <c r="K1487" s="34" t="str">
        <f aca="false">IF(D1487="","",IFERROR(INDEX(I_COA!$C$6:$C$265,MATCH(D1487,I_COA!$A$6:$A$265,0)),"AKUN BARU"))</f>
        <v>Neraca</v>
      </c>
      <c r="L1487" s="34" t="str">
        <f aca="false">IF(K1487="LabaRugi",INDEX(I_COA!$D$6:$D$265,MATCH(D1487,I_COA!$A$6:$A$265,0)),"")</f>
        <v/>
      </c>
      <c r="M1487" s="34" t="str">
        <f aca="false">IF(K1487="Neraca",INDEX(I_COA!$E$6:$E$265,MATCH(D1487,I_COA!$A$6:$A$265,0)),"")</f>
        <v>Advance Payment</v>
      </c>
      <c r="N1487" s="34" t="str">
        <f aca="false">IF(D1487="","",IFERROR(INDEX(I_COA!$G$6:$G$265,MATCH(D1487,I_COA!$A$6:$A$265,0)),"N"))</f>
        <v>N</v>
      </c>
      <c r="O1487" s="11" t="n">
        <f aca="false">IF(N1487="N",ABS(J1487),"")</f>
        <v>2116623</v>
      </c>
      <c r="P1487" s="18" t="str">
        <f aca="false">IF(N1487="N",B1487&amp;"|"&amp;ROUND(O1487,0),"")</f>
        <v>B8526080091|2116623</v>
      </c>
      <c r="Q1487" s="18" t="str">
        <f aca="false">IF(N1487&lt;&gt;"Y","",IFERROR(INDEX($D$6:$D$4005,MATCH(B1487&amp;"|"&amp;ROUND(_xlfn.MAXIFS($O$6:$O$4005,$B$6:$B$4005,B1487,$N$6:$N$4005,"N"),0),$P$6:$P$4005,0)),"(tanpa lawan)"))</f>
        <v/>
      </c>
      <c r="R1487" s="44"/>
      <c r="S1487" s="9" t="str">
        <f aca="false">IF(N1487&lt;&gt;"Y","",IF(R1487&lt;&gt;"",R1487,IF(Q1487="(tanpa lawan)","Transfer antar rekening",IFERROR(INDEX(I_COA!$F$6:$F$265,MATCH(Q1487,I_COA!$A$6:$A$265,0)),"?"))))</f>
        <v/>
      </c>
    </row>
    <row r="1488" customFormat="false" ht="15" hidden="false" customHeight="false" outlineLevel="0" collapsed="false">
      <c r="A1488" s="37" t="n">
        <v>46255</v>
      </c>
      <c r="B1488" s="44" t="s">
        <v>1760</v>
      </c>
      <c r="C1488" s="44" t="s">
        <v>580</v>
      </c>
      <c r="D1488" s="44" t="n">
        <v>1103120</v>
      </c>
      <c r="E1488" s="44" t="s">
        <v>640</v>
      </c>
      <c r="F1488" s="44" t="s">
        <v>1158</v>
      </c>
      <c r="G1488" s="42" t="n">
        <v>2700000</v>
      </c>
      <c r="H1488" s="42"/>
      <c r="I1488" s="44" t="s">
        <v>660</v>
      </c>
      <c r="J1488" s="11" t="n">
        <f aca="false">IF(D1488="","",N(G1488)-N(H1488))</f>
        <v>2700000</v>
      </c>
      <c r="K1488" s="34" t="str">
        <f aca="false">IF(D1488="","",IFERROR(INDEX(I_COA!$C$6:$C$265,MATCH(D1488,I_COA!$A$6:$A$265,0)),"AKUN BARU"))</f>
        <v>Neraca</v>
      </c>
      <c r="L1488" s="34" t="str">
        <f aca="false">IF(K1488="LabaRugi",INDEX(I_COA!$D$6:$D$265,MATCH(D1488,I_COA!$A$6:$A$265,0)),"")</f>
        <v/>
      </c>
      <c r="M1488" s="34" t="str">
        <f aca="false">IF(K1488="Neraca",INDEX(I_COA!$E$6:$E$265,MATCH(D1488,I_COA!$A$6:$A$265,0)),"")</f>
        <v>Advance Payment</v>
      </c>
      <c r="N1488" s="34" t="str">
        <f aca="false">IF(D1488="","",IFERROR(INDEX(I_COA!$G$6:$G$265,MATCH(D1488,I_COA!$A$6:$A$265,0)),"N"))</f>
        <v>N</v>
      </c>
      <c r="O1488" s="11" t="n">
        <f aca="false">IF(N1488="N",ABS(J1488),"")</f>
        <v>2700000</v>
      </c>
      <c r="P1488" s="18" t="str">
        <f aca="false">IF(N1488="N",B1488&amp;"|"&amp;ROUND(O1488,0),"")</f>
        <v>B8526080091|2700000</v>
      </c>
      <c r="Q1488" s="18" t="str">
        <f aca="false">IF(N1488&lt;&gt;"Y","",IFERROR(INDEX($D$6:$D$4005,MATCH(B1488&amp;"|"&amp;ROUND(_xlfn.MAXIFS($O$6:$O$4005,$B$6:$B$4005,B1488,$N$6:$N$4005,"N"),0),$P$6:$P$4005,0)),"(tanpa lawan)"))</f>
        <v/>
      </c>
      <c r="R1488" s="44"/>
      <c r="S1488" s="9" t="str">
        <f aca="false">IF(N1488&lt;&gt;"Y","",IF(R1488&lt;&gt;"",R1488,IF(Q1488="(tanpa lawan)","Transfer antar rekening",IFERROR(INDEX(I_COA!$F$6:$F$265,MATCH(Q1488,I_COA!$A$6:$A$265,0)),"?"))))</f>
        <v/>
      </c>
    </row>
    <row r="1489" customFormat="false" ht="15" hidden="false" customHeight="false" outlineLevel="0" collapsed="false">
      <c r="A1489" s="37" t="n">
        <v>46255</v>
      </c>
      <c r="B1489" s="44" t="s">
        <v>1760</v>
      </c>
      <c r="C1489" s="44" t="s">
        <v>580</v>
      </c>
      <c r="D1489" s="44" t="n">
        <v>6200005</v>
      </c>
      <c r="E1489" s="44" t="s">
        <v>732</v>
      </c>
      <c r="F1489" s="44" t="s">
        <v>734</v>
      </c>
      <c r="G1489" s="42" t="n">
        <v>53000</v>
      </c>
      <c r="H1489" s="42"/>
      <c r="I1489" s="44"/>
      <c r="J1489" s="11" t="n">
        <f aca="false">IF(D1489="","",N(G1489)-N(H1489))</f>
        <v>53000</v>
      </c>
      <c r="K1489" s="34" t="str">
        <f aca="false">IF(D1489="","",IFERROR(INDEX(I_COA!$C$6:$C$265,MATCH(D1489,I_COA!$A$6:$A$265,0)),"AKUN BARU"))</f>
        <v>LabaRugi</v>
      </c>
      <c r="L1489" s="34" t="str">
        <f aca="false">IF(K1489="LabaRugi",INDEX(I_COA!$D$6:$D$265,MATCH(D1489,I_COA!$A$6:$A$265,0)),"")</f>
        <v>Office Transportation expenses</v>
      </c>
      <c r="M1489" s="34" t="str">
        <f aca="false">IF(K1489="Neraca",INDEX(I_COA!$E$6:$E$265,MATCH(D1489,I_COA!$A$6:$A$265,0)),"")</f>
        <v/>
      </c>
      <c r="N1489" s="34" t="str">
        <f aca="false">IF(D1489="","",IFERROR(INDEX(I_COA!$G$6:$G$265,MATCH(D1489,I_COA!$A$6:$A$265,0)),"N"))</f>
        <v>N</v>
      </c>
      <c r="O1489" s="11" t="n">
        <f aca="false">IF(N1489="N",ABS(J1489),"")</f>
        <v>53000</v>
      </c>
      <c r="P1489" s="18" t="str">
        <f aca="false">IF(N1489="N",B1489&amp;"|"&amp;ROUND(O1489,0),"")</f>
        <v>B8526080091|53000</v>
      </c>
      <c r="Q1489" s="18" t="str">
        <f aca="false">IF(N1489&lt;&gt;"Y","",IFERROR(INDEX($D$6:$D$4005,MATCH(B1489&amp;"|"&amp;ROUND(_xlfn.MAXIFS($O$6:$O$4005,$B$6:$B$4005,B1489,$N$6:$N$4005,"N"),0),$P$6:$P$4005,0)),"(tanpa lawan)"))</f>
        <v/>
      </c>
      <c r="R1489" s="44"/>
      <c r="S1489" s="9" t="str">
        <f aca="false">IF(N1489&lt;&gt;"Y","",IF(R1489&lt;&gt;"",R1489,IF(Q1489="(tanpa lawan)","Transfer antar rekening",IFERROR(INDEX(I_COA!$F$6:$F$265,MATCH(Q1489,I_COA!$A$6:$A$265,0)),"?"))))</f>
        <v/>
      </c>
    </row>
    <row r="1490" customFormat="false" ht="15" hidden="false" customHeight="false" outlineLevel="0" collapsed="false">
      <c r="A1490" s="37" t="n">
        <v>46255</v>
      </c>
      <c r="B1490" s="44" t="s">
        <v>1760</v>
      </c>
      <c r="C1490" s="44" t="s">
        <v>580</v>
      </c>
      <c r="D1490" s="44" t="n">
        <v>6200005</v>
      </c>
      <c r="E1490" s="44" t="s">
        <v>732</v>
      </c>
      <c r="F1490" s="44" t="s">
        <v>1762</v>
      </c>
      <c r="G1490" s="42" t="n">
        <v>1009648</v>
      </c>
      <c r="H1490" s="42"/>
      <c r="I1490" s="44"/>
      <c r="J1490" s="11" t="n">
        <f aca="false">IF(D1490="","",N(G1490)-N(H1490))</f>
        <v>1009648</v>
      </c>
      <c r="K1490" s="34" t="str">
        <f aca="false">IF(D1490="","",IFERROR(INDEX(I_COA!$C$6:$C$265,MATCH(D1490,I_COA!$A$6:$A$265,0)),"AKUN BARU"))</f>
        <v>LabaRugi</v>
      </c>
      <c r="L1490" s="34" t="str">
        <f aca="false">IF(K1490="LabaRugi",INDEX(I_COA!$D$6:$D$265,MATCH(D1490,I_COA!$A$6:$A$265,0)),"")</f>
        <v>Office Transportation expenses</v>
      </c>
      <c r="M1490" s="34" t="str">
        <f aca="false">IF(K1490="Neraca",INDEX(I_COA!$E$6:$E$265,MATCH(D1490,I_COA!$A$6:$A$265,0)),"")</f>
        <v/>
      </c>
      <c r="N1490" s="34" t="str">
        <f aca="false">IF(D1490="","",IFERROR(INDEX(I_COA!$G$6:$G$265,MATCH(D1490,I_COA!$A$6:$A$265,0)),"N"))</f>
        <v>N</v>
      </c>
      <c r="O1490" s="11" t="n">
        <f aca="false">IF(N1490="N",ABS(J1490),"")</f>
        <v>1009648</v>
      </c>
      <c r="P1490" s="18" t="str">
        <f aca="false">IF(N1490="N",B1490&amp;"|"&amp;ROUND(O1490,0),"")</f>
        <v>B8526080091|1009648</v>
      </c>
      <c r="Q1490" s="18" t="str">
        <f aca="false">IF(N1490&lt;&gt;"Y","",IFERROR(INDEX($D$6:$D$4005,MATCH(B1490&amp;"|"&amp;ROUND(_xlfn.MAXIFS($O$6:$O$4005,$B$6:$B$4005,B1490,$N$6:$N$4005,"N"),0),$P$6:$P$4005,0)),"(tanpa lawan)"))</f>
        <v/>
      </c>
      <c r="R1490" s="44"/>
      <c r="S1490" s="9" t="str">
        <f aca="false">IF(N1490&lt;&gt;"Y","",IF(R1490&lt;&gt;"",R1490,IF(Q1490="(tanpa lawan)","Transfer antar rekening",IFERROR(INDEX(I_COA!$F$6:$F$265,MATCH(Q1490,I_COA!$A$6:$A$265,0)),"?"))))</f>
        <v/>
      </c>
    </row>
    <row r="1491" customFormat="false" ht="15" hidden="false" customHeight="false" outlineLevel="0" collapsed="false">
      <c r="A1491" s="37" t="n">
        <v>46255</v>
      </c>
      <c r="B1491" s="44" t="s">
        <v>1760</v>
      </c>
      <c r="C1491" s="44" t="s">
        <v>580</v>
      </c>
      <c r="D1491" s="44" t="n">
        <v>6200012</v>
      </c>
      <c r="E1491" s="44" t="s">
        <v>737</v>
      </c>
      <c r="F1491" s="44" t="s">
        <v>738</v>
      </c>
      <c r="G1491" s="42" t="n">
        <v>600000</v>
      </c>
      <c r="H1491" s="42"/>
      <c r="I1491" s="44"/>
      <c r="J1491" s="11" t="n">
        <f aca="false">IF(D1491="","",N(G1491)-N(H1491))</f>
        <v>600000</v>
      </c>
      <c r="K1491" s="34" t="str">
        <f aca="false">IF(D1491="","",IFERROR(INDEX(I_COA!$C$6:$C$265,MATCH(D1491,I_COA!$A$6:$A$265,0)),"AKUN BARU"))</f>
        <v>LabaRugi</v>
      </c>
      <c r="L1491" s="34" t="str">
        <f aca="false">IF(K1491="LabaRugi",INDEX(I_COA!$D$6:$D$265,MATCH(D1491,I_COA!$A$6:$A$265,0)),"")</f>
        <v>Office Supplies &amp; Utilities</v>
      </c>
      <c r="M1491" s="34" t="str">
        <f aca="false">IF(K1491="Neraca",INDEX(I_COA!$E$6:$E$265,MATCH(D1491,I_COA!$A$6:$A$265,0)),"")</f>
        <v/>
      </c>
      <c r="N1491" s="34" t="str">
        <f aca="false">IF(D1491="","",IFERROR(INDEX(I_COA!$G$6:$G$265,MATCH(D1491,I_COA!$A$6:$A$265,0)),"N"))</f>
        <v>N</v>
      </c>
      <c r="O1491" s="11" t="n">
        <f aca="false">IF(N1491="N",ABS(J1491),"")</f>
        <v>600000</v>
      </c>
      <c r="P1491" s="18" t="str">
        <f aca="false">IF(N1491="N",B1491&amp;"|"&amp;ROUND(O1491,0),"")</f>
        <v>B8526080091|600000</v>
      </c>
      <c r="Q1491" s="18" t="str">
        <f aca="false">IF(N1491&lt;&gt;"Y","",IFERROR(INDEX($D$6:$D$4005,MATCH(B1491&amp;"|"&amp;ROUND(_xlfn.MAXIFS($O$6:$O$4005,$B$6:$B$4005,B1491,$N$6:$N$4005,"N"),0),$P$6:$P$4005,0)),"(tanpa lawan)"))</f>
        <v/>
      </c>
      <c r="R1491" s="44"/>
      <c r="S1491" s="9" t="str">
        <f aca="false">IF(N1491&lt;&gt;"Y","",IF(R1491&lt;&gt;"",R1491,IF(Q1491="(tanpa lawan)","Transfer antar rekening",IFERROR(INDEX(I_COA!$F$6:$F$265,MATCH(Q1491,I_COA!$A$6:$A$265,0)),"?"))))</f>
        <v/>
      </c>
    </row>
    <row r="1492" customFormat="false" ht="15" hidden="false" customHeight="false" outlineLevel="0" collapsed="false">
      <c r="A1492" s="37" t="n">
        <v>46255</v>
      </c>
      <c r="B1492" s="44" t="s">
        <v>1760</v>
      </c>
      <c r="C1492" s="44" t="s">
        <v>580</v>
      </c>
      <c r="D1492" s="44" t="n">
        <v>6200005</v>
      </c>
      <c r="E1492" s="44" t="s">
        <v>732</v>
      </c>
      <c r="F1492" s="44" t="s">
        <v>734</v>
      </c>
      <c r="G1492" s="42" t="n">
        <v>287000</v>
      </c>
      <c r="H1492" s="42"/>
      <c r="I1492" s="44"/>
      <c r="J1492" s="11" t="n">
        <f aca="false">IF(D1492="","",N(G1492)-N(H1492))</f>
        <v>287000</v>
      </c>
      <c r="K1492" s="34" t="str">
        <f aca="false">IF(D1492="","",IFERROR(INDEX(I_COA!$C$6:$C$265,MATCH(D1492,I_COA!$A$6:$A$265,0)),"AKUN BARU"))</f>
        <v>LabaRugi</v>
      </c>
      <c r="L1492" s="34" t="str">
        <f aca="false">IF(K1492="LabaRugi",INDEX(I_COA!$D$6:$D$265,MATCH(D1492,I_COA!$A$6:$A$265,0)),"")</f>
        <v>Office Transportation expenses</v>
      </c>
      <c r="M1492" s="34" t="str">
        <f aca="false">IF(K1492="Neraca",INDEX(I_COA!$E$6:$E$265,MATCH(D1492,I_COA!$A$6:$A$265,0)),"")</f>
        <v/>
      </c>
      <c r="N1492" s="34" t="str">
        <f aca="false">IF(D1492="","",IFERROR(INDEX(I_COA!$G$6:$G$265,MATCH(D1492,I_COA!$A$6:$A$265,0)),"N"))</f>
        <v>N</v>
      </c>
      <c r="O1492" s="11" t="n">
        <f aca="false">IF(N1492="N",ABS(J1492),"")</f>
        <v>287000</v>
      </c>
      <c r="P1492" s="18" t="str">
        <f aca="false">IF(N1492="N",B1492&amp;"|"&amp;ROUND(O1492,0),"")</f>
        <v>B8526080091|287000</v>
      </c>
      <c r="Q1492" s="18" t="str">
        <f aca="false">IF(N1492&lt;&gt;"Y","",IFERROR(INDEX($D$6:$D$4005,MATCH(B1492&amp;"|"&amp;ROUND(_xlfn.MAXIFS($O$6:$O$4005,$B$6:$B$4005,B1492,$N$6:$N$4005,"N"),0),$P$6:$P$4005,0)),"(tanpa lawan)"))</f>
        <v/>
      </c>
      <c r="R1492" s="44"/>
      <c r="S1492" s="9" t="str">
        <f aca="false">IF(N1492&lt;&gt;"Y","",IF(R1492&lt;&gt;"",R1492,IF(Q1492="(tanpa lawan)","Transfer antar rekening",IFERROR(INDEX(I_COA!$F$6:$F$265,MATCH(Q1492,I_COA!$A$6:$A$265,0)),"?"))))</f>
        <v/>
      </c>
    </row>
    <row r="1493" customFormat="false" ht="15" hidden="false" customHeight="false" outlineLevel="0" collapsed="false">
      <c r="A1493" s="37" t="n">
        <v>46255</v>
      </c>
      <c r="B1493" s="44" t="s">
        <v>1760</v>
      </c>
      <c r="C1493" s="44" t="s">
        <v>580</v>
      </c>
      <c r="D1493" s="44" t="n">
        <v>1103120</v>
      </c>
      <c r="E1493" s="44" t="s">
        <v>640</v>
      </c>
      <c r="F1493" s="44" t="s">
        <v>1503</v>
      </c>
      <c r="G1493" s="42" t="n">
        <v>299813</v>
      </c>
      <c r="H1493" s="42"/>
      <c r="I1493" s="44" t="s">
        <v>660</v>
      </c>
      <c r="J1493" s="11" t="n">
        <f aca="false">IF(D1493="","",N(G1493)-N(H1493))</f>
        <v>299813</v>
      </c>
      <c r="K1493" s="34" t="str">
        <f aca="false">IF(D1493="","",IFERROR(INDEX(I_COA!$C$6:$C$265,MATCH(D1493,I_COA!$A$6:$A$265,0)),"AKUN BARU"))</f>
        <v>Neraca</v>
      </c>
      <c r="L1493" s="34" t="str">
        <f aca="false">IF(K1493="LabaRugi",INDEX(I_COA!$D$6:$D$265,MATCH(D1493,I_COA!$A$6:$A$265,0)),"")</f>
        <v/>
      </c>
      <c r="M1493" s="34" t="str">
        <f aca="false">IF(K1493="Neraca",INDEX(I_COA!$E$6:$E$265,MATCH(D1493,I_COA!$A$6:$A$265,0)),"")</f>
        <v>Advance Payment</v>
      </c>
      <c r="N1493" s="34" t="str">
        <f aca="false">IF(D1493="","",IFERROR(INDEX(I_COA!$G$6:$G$265,MATCH(D1493,I_COA!$A$6:$A$265,0)),"N"))</f>
        <v>N</v>
      </c>
      <c r="O1493" s="11" t="n">
        <f aca="false">IF(N1493="N",ABS(J1493),"")</f>
        <v>299813</v>
      </c>
      <c r="P1493" s="18" t="str">
        <f aca="false">IF(N1493="N",B1493&amp;"|"&amp;ROUND(O1493,0),"")</f>
        <v>B8526080091|299813</v>
      </c>
      <c r="Q1493" s="18" t="str">
        <f aca="false">IF(N1493&lt;&gt;"Y","",IFERROR(INDEX($D$6:$D$4005,MATCH(B1493&amp;"|"&amp;ROUND(_xlfn.MAXIFS($O$6:$O$4005,$B$6:$B$4005,B1493,$N$6:$N$4005,"N"),0),$P$6:$P$4005,0)),"(tanpa lawan)"))</f>
        <v/>
      </c>
      <c r="R1493" s="44"/>
      <c r="S1493" s="9" t="str">
        <f aca="false">IF(N1493&lt;&gt;"Y","",IF(R1493&lt;&gt;"",R1493,IF(Q1493="(tanpa lawan)","Transfer antar rekening",IFERROR(INDEX(I_COA!$F$6:$F$265,MATCH(Q1493,I_COA!$A$6:$A$265,0)),"?"))))</f>
        <v/>
      </c>
    </row>
    <row r="1494" customFormat="false" ht="15" hidden="false" customHeight="false" outlineLevel="0" collapsed="false">
      <c r="A1494" s="37" t="n">
        <v>46255</v>
      </c>
      <c r="B1494" s="44" t="s">
        <v>1760</v>
      </c>
      <c r="C1494" s="44" t="s">
        <v>580</v>
      </c>
      <c r="D1494" s="44" t="n">
        <v>1103120</v>
      </c>
      <c r="E1494" s="44" t="s">
        <v>640</v>
      </c>
      <c r="F1494" s="44" t="s">
        <v>1763</v>
      </c>
      <c r="G1494" s="42" t="n">
        <v>882000</v>
      </c>
      <c r="H1494" s="42"/>
      <c r="I1494" s="44" t="s">
        <v>660</v>
      </c>
      <c r="J1494" s="11" t="n">
        <f aca="false">IF(D1494="","",N(G1494)-N(H1494))</f>
        <v>882000</v>
      </c>
      <c r="K1494" s="34" t="str">
        <f aca="false">IF(D1494="","",IFERROR(INDEX(I_COA!$C$6:$C$265,MATCH(D1494,I_COA!$A$6:$A$265,0)),"AKUN BARU"))</f>
        <v>Neraca</v>
      </c>
      <c r="L1494" s="34" t="str">
        <f aca="false">IF(K1494="LabaRugi",INDEX(I_COA!$D$6:$D$265,MATCH(D1494,I_COA!$A$6:$A$265,0)),"")</f>
        <v/>
      </c>
      <c r="M1494" s="34" t="str">
        <f aca="false">IF(K1494="Neraca",INDEX(I_COA!$E$6:$E$265,MATCH(D1494,I_COA!$A$6:$A$265,0)),"")</f>
        <v>Advance Payment</v>
      </c>
      <c r="N1494" s="34" t="str">
        <f aca="false">IF(D1494="","",IFERROR(INDEX(I_COA!$G$6:$G$265,MATCH(D1494,I_COA!$A$6:$A$265,0)),"N"))</f>
        <v>N</v>
      </c>
      <c r="O1494" s="11" t="n">
        <f aca="false">IF(N1494="N",ABS(J1494),"")</f>
        <v>882000</v>
      </c>
      <c r="P1494" s="18" t="str">
        <f aca="false">IF(N1494="N",B1494&amp;"|"&amp;ROUND(O1494,0),"")</f>
        <v>B8526080091|882000</v>
      </c>
      <c r="Q1494" s="18" t="str">
        <f aca="false">IF(N1494&lt;&gt;"Y","",IFERROR(INDEX($D$6:$D$4005,MATCH(B1494&amp;"|"&amp;ROUND(_xlfn.MAXIFS($O$6:$O$4005,$B$6:$B$4005,B1494,$N$6:$N$4005,"N"),0),$P$6:$P$4005,0)),"(tanpa lawan)"))</f>
        <v/>
      </c>
      <c r="R1494" s="44"/>
      <c r="S1494" s="9" t="str">
        <f aca="false">IF(N1494&lt;&gt;"Y","",IF(R1494&lt;&gt;"",R1494,IF(Q1494="(tanpa lawan)","Transfer antar rekening",IFERROR(INDEX(I_COA!$F$6:$F$265,MATCH(Q1494,I_COA!$A$6:$A$265,0)),"?"))))</f>
        <v/>
      </c>
    </row>
    <row r="1495" customFormat="false" ht="15" hidden="false" customHeight="false" outlineLevel="0" collapsed="false">
      <c r="A1495" s="37" t="n">
        <v>46255</v>
      </c>
      <c r="B1495" s="44" t="s">
        <v>1760</v>
      </c>
      <c r="C1495" s="44" t="s">
        <v>580</v>
      </c>
      <c r="D1495" s="44" t="n">
        <v>6200012</v>
      </c>
      <c r="E1495" s="44" t="s">
        <v>737</v>
      </c>
      <c r="F1495" s="44" t="s">
        <v>739</v>
      </c>
      <c r="G1495" s="42" t="n">
        <v>200000</v>
      </c>
      <c r="H1495" s="42"/>
      <c r="I1495" s="44"/>
      <c r="J1495" s="11" t="n">
        <f aca="false">IF(D1495="","",N(G1495)-N(H1495))</f>
        <v>200000</v>
      </c>
      <c r="K1495" s="34" t="str">
        <f aca="false">IF(D1495="","",IFERROR(INDEX(I_COA!$C$6:$C$265,MATCH(D1495,I_COA!$A$6:$A$265,0)),"AKUN BARU"))</f>
        <v>LabaRugi</v>
      </c>
      <c r="L1495" s="34" t="str">
        <f aca="false">IF(K1495="LabaRugi",INDEX(I_COA!$D$6:$D$265,MATCH(D1495,I_COA!$A$6:$A$265,0)),"")</f>
        <v>Office Supplies &amp; Utilities</v>
      </c>
      <c r="M1495" s="34" t="str">
        <f aca="false">IF(K1495="Neraca",INDEX(I_COA!$E$6:$E$265,MATCH(D1495,I_COA!$A$6:$A$265,0)),"")</f>
        <v/>
      </c>
      <c r="N1495" s="34" t="str">
        <f aca="false">IF(D1495="","",IFERROR(INDEX(I_COA!$G$6:$G$265,MATCH(D1495,I_COA!$A$6:$A$265,0)),"N"))</f>
        <v>N</v>
      </c>
      <c r="O1495" s="11" t="n">
        <f aca="false">IF(N1495="N",ABS(J1495),"")</f>
        <v>200000</v>
      </c>
      <c r="P1495" s="18" t="str">
        <f aca="false">IF(N1495="N",B1495&amp;"|"&amp;ROUND(O1495,0),"")</f>
        <v>B8526080091|200000</v>
      </c>
      <c r="Q1495" s="18" t="str">
        <f aca="false">IF(N1495&lt;&gt;"Y","",IFERROR(INDEX($D$6:$D$4005,MATCH(B1495&amp;"|"&amp;ROUND(_xlfn.MAXIFS($O$6:$O$4005,$B$6:$B$4005,B1495,$N$6:$N$4005,"N"),0),$P$6:$P$4005,0)),"(tanpa lawan)"))</f>
        <v/>
      </c>
      <c r="R1495" s="44"/>
      <c r="S1495" s="9" t="str">
        <f aca="false">IF(N1495&lt;&gt;"Y","",IF(R1495&lt;&gt;"",R1495,IF(Q1495="(tanpa lawan)","Transfer antar rekening",IFERROR(INDEX(I_COA!$F$6:$F$265,MATCH(Q1495,I_COA!$A$6:$A$265,0)),"?"))))</f>
        <v/>
      </c>
    </row>
    <row r="1496" customFormat="false" ht="15" hidden="false" customHeight="false" outlineLevel="0" collapsed="false">
      <c r="A1496" s="37" t="n">
        <v>46255</v>
      </c>
      <c r="B1496" s="44" t="s">
        <v>1760</v>
      </c>
      <c r="C1496" s="44" t="s">
        <v>580</v>
      </c>
      <c r="D1496" s="44" t="n">
        <v>6200005</v>
      </c>
      <c r="E1496" s="44" t="s">
        <v>732</v>
      </c>
      <c r="F1496" s="44" t="s">
        <v>734</v>
      </c>
      <c r="G1496" s="42" t="n">
        <v>86000</v>
      </c>
      <c r="H1496" s="42"/>
      <c r="I1496" s="44"/>
      <c r="J1496" s="11" t="n">
        <f aca="false">IF(D1496="","",N(G1496)-N(H1496))</f>
        <v>86000</v>
      </c>
      <c r="K1496" s="34" t="str">
        <f aca="false">IF(D1496="","",IFERROR(INDEX(I_COA!$C$6:$C$265,MATCH(D1496,I_COA!$A$6:$A$265,0)),"AKUN BARU"))</f>
        <v>LabaRugi</v>
      </c>
      <c r="L1496" s="34" t="str">
        <f aca="false">IF(K1496="LabaRugi",INDEX(I_COA!$D$6:$D$265,MATCH(D1496,I_COA!$A$6:$A$265,0)),"")</f>
        <v>Office Transportation expenses</v>
      </c>
      <c r="M1496" s="34" t="str">
        <f aca="false">IF(K1496="Neraca",INDEX(I_COA!$E$6:$E$265,MATCH(D1496,I_COA!$A$6:$A$265,0)),"")</f>
        <v/>
      </c>
      <c r="N1496" s="34" t="str">
        <f aca="false">IF(D1496="","",IFERROR(INDEX(I_COA!$G$6:$G$265,MATCH(D1496,I_COA!$A$6:$A$265,0)),"N"))</f>
        <v>N</v>
      </c>
      <c r="O1496" s="11" t="n">
        <f aca="false">IF(N1496="N",ABS(J1496),"")</f>
        <v>86000</v>
      </c>
      <c r="P1496" s="18" t="str">
        <f aca="false">IF(N1496="N",B1496&amp;"|"&amp;ROUND(O1496,0),"")</f>
        <v>B8526080091|86000</v>
      </c>
      <c r="Q1496" s="18" t="str">
        <f aca="false">IF(N1496&lt;&gt;"Y","",IFERROR(INDEX($D$6:$D$4005,MATCH(B1496&amp;"|"&amp;ROUND(_xlfn.MAXIFS($O$6:$O$4005,$B$6:$B$4005,B1496,$N$6:$N$4005,"N"),0),$P$6:$P$4005,0)),"(tanpa lawan)"))</f>
        <v/>
      </c>
      <c r="R1496" s="44"/>
      <c r="S1496" s="9" t="str">
        <f aca="false">IF(N1496&lt;&gt;"Y","",IF(R1496&lt;&gt;"",R1496,IF(Q1496="(tanpa lawan)","Transfer antar rekening",IFERROR(INDEX(I_COA!$F$6:$F$265,MATCH(Q1496,I_COA!$A$6:$A$265,0)),"?"))))</f>
        <v/>
      </c>
    </row>
    <row r="1497" customFormat="false" ht="15" hidden="false" customHeight="false" outlineLevel="0" collapsed="false">
      <c r="A1497" s="37" t="n">
        <v>46255</v>
      </c>
      <c r="B1497" s="44" t="s">
        <v>1760</v>
      </c>
      <c r="C1497" s="44" t="s">
        <v>580</v>
      </c>
      <c r="D1497" s="44" t="n">
        <v>6200005</v>
      </c>
      <c r="E1497" s="44" t="s">
        <v>732</v>
      </c>
      <c r="F1497" s="44" t="s">
        <v>733</v>
      </c>
      <c r="G1497" s="42" t="n">
        <v>360500</v>
      </c>
      <c r="H1497" s="42"/>
      <c r="I1497" s="44"/>
      <c r="J1497" s="11" t="n">
        <f aca="false">IF(D1497="","",N(G1497)-N(H1497))</f>
        <v>360500</v>
      </c>
      <c r="K1497" s="34" t="str">
        <f aca="false">IF(D1497="","",IFERROR(INDEX(I_COA!$C$6:$C$265,MATCH(D1497,I_COA!$A$6:$A$265,0)),"AKUN BARU"))</f>
        <v>LabaRugi</v>
      </c>
      <c r="L1497" s="34" t="str">
        <f aca="false">IF(K1497="LabaRugi",INDEX(I_COA!$D$6:$D$265,MATCH(D1497,I_COA!$A$6:$A$265,0)),"")</f>
        <v>Office Transportation expenses</v>
      </c>
      <c r="M1497" s="34" t="str">
        <f aca="false">IF(K1497="Neraca",INDEX(I_COA!$E$6:$E$265,MATCH(D1497,I_COA!$A$6:$A$265,0)),"")</f>
        <v/>
      </c>
      <c r="N1497" s="34" t="str">
        <f aca="false">IF(D1497="","",IFERROR(INDEX(I_COA!$G$6:$G$265,MATCH(D1497,I_COA!$A$6:$A$265,0)),"N"))</f>
        <v>N</v>
      </c>
      <c r="O1497" s="11" t="n">
        <f aca="false">IF(N1497="N",ABS(J1497),"")</f>
        <v>360500</v>
      </c>
      <c r="P1497" s="18" t="str">
        <f aca="false">IF(N1497="N",B1497&amp;"|"&amp;ROUND(O1497,0),"")</f>
        <v>B8526080091|360500</v>
      </c>
      <c r="Q1497" s="18" t="str">
        <f aca="false">IF(N1497&lt;&gt;"Y","",IFERROR(INDEX($D$6:$D$4005,MATCH(B1497&amp;"|"&amp;ROUND(_xlfn.MAXIFS($O$6:$O$4005,$B$6:$B$4005,B1497,$N$6:$N$4005,"N"),0),$P$6:$P$4005,0)),"(tanpa lawan)"))</f>
        <v/>
      </c>
      <c r="R1497" s="44"/>
      <c r="S1497" s="9" t="str">
        <f aca="false">IF(N1497&lt;&gt;"Y","",IF(R1497&lt;&gt;"",R1497,IF(Q1497="(tanpa lawan)","Transfer antar rekening",IFERROR(INDEX(I_COA!$F$6:$F$265,MATCH(Q1497,I_COA!$A$6:$A$265,0)),"?"))))</f>
        <v/>
      </c>
    </row>
    <row r="1498" customFormat="false" ht="15" hidden="false" customHeight="false" outlineLevel="0" collapsed="false">
      <c r="A1498" s="37" t="n">
        <v>46255</v>
      </c>
      <c r="B1498" s="44" t="s">
        <v>1760</v>
      </c>
      <c r="C1498" s="44" t="s">
        <v>580</v>
      </c>
      <c r="D1498" s="44" t="n">
        <v>1103120</v>
      </c>
      <c r="E1498" s="44" t="s">
        <v>640</v>
      </c>
      <c r="F1498" s="44" t="s">
        <v>1764</v>
      </c>
      <c r="G1498" s="42" t="n">
        <v>509531</v>
      </c>
      <c r="H1498" s="42"/>
      <c r="I1498" s="44" t="s">
        <v>660</v>
      </c>
      <c r="J1498" s="11" t="n">
        <f aca="false">IF(D1498="","",N(G1498)-N(H1498))</f>
        <v>509531</v>
      </c>
      <c r="K1498" s="34" t="str">
        <f aca="false">IF(D1498="","",IFERROR(INDEX(I_COA!$C$6:$C$265,MATCH(D1498,I_COA!$A$6:$A$265,0)),"AKUN BARU"))</f>
        <v>Neraca</v>
      </c>
      <c r="L1498" s="34" t="str">
        <f aca="false">IF(K1498="LabaRugi",INDEX(I_COA!$D$6:$D$265,MATCH(D1498,I_COA!$A$6:$A$265,0)),"")</f>
        <v/>
      </c>
      <c r="M1498" s="34" t="str">
        <f aca="false">IF(K1498="Neraca",INDEX(I_COA!$E$6:$E$265,MATCH(D1498,I_COA!$A$6:$A$265,0)),"")</f>
        <v>Advance Payment</v>
      </c>
      <c r="N1498" s="34" t="str">
        <f aca="false">IF(D1498="","",IFERROR(INDEX(I_COA!$G$6:$G$265,MATCH(D1498,I_COA!$A$6:$A$265,0)),"N"))</f>
        <v>N</v>
      </c>
      <c r="O1498" s="11" t="n">
        <f aca="false">IF(N1498="N",ABS(J1498),"")</f>
        <v>509531</v>
      </c>
      <c r="P1498" s="18" t="str">
        <f aca="false">IF(N1498="N",B1498&amp;"|"&amp;ROUND(O1498,0),"")</f>
        <v>B8526080091|509531</v>
      </c>
      <c r="Q1498" s="18" t="str">
        <f aca="false">IF(N1498&lt;&gt;"Y","",IFERROR(INDEX($D$6:$D$4005,MATCH(B1498&amp;"|"&amp;ROUND(_xlfn.MAXIFS($O$6:$O$4005,$B$6:$B$4005,B1498,$N$6:$N$4005,"N"),0),$P$6:$P$4005,0)),"(tanpa lawan)"))</f>
        <v/>
      </c>
      <c r="R1498" s="44"/>
      <c r="S1498" s="9" t="str">
        <f aca="false">IF(N1498&lt;&gt;"Y","",IF(R1498&lt;&gt;"",R1498,IF(Q1498="(tanpa lawan)","Transfer antar rekening",IFERROR(INDEX(I_COA!$F$6:$F$265,MATCH(Q1498,I_COA!$A$6:$A$265,0)),"?"))))</f>
        <v/>
      </c>
    </row>
    <row r="1499" customFormat="false" ht="15" hidden="false" customHeight="false" outlineLevel="0" collapsed="false">
      <c r="A1499" s="37" t="n">
        <v>46255</v>
      </c>
      <c r="B1499" s="44" t="s">
        <v>1760</v>
      </c>
      <c r="C1499" s="44" t="s">
        <v>580</v>
      </c>
      <c r="D1499" s="44" t="n">
        <v>1103120</v>
      </c>
      <c r="E1499" s="44" t="s">
        <v>640</v>
      </c>
      <c r="F1499" s="44" t="s">
        <v>1765</v>
      </c>
      <c r="G1499" s="42" t="n">
        <v>10585</v>
      </c>
      <c r="H1499" s="42"/>
      <c r="I1499" s="44" t="s">
        <v>660</v>
      </c>
      <c r="J1499" s="11" t="n">
        <f aca="false">IF(D1499="","",N(G1499)-N(H1499))</f>
        <v>10585</v>
      </c>
      <c r="K1499" s="34" t="str">
        <f aca="false">IF(D1499="","",IFERROR(INDEX(I_COA!$C$6:$C$265,MATCH(D1499,I_COA!$A$6:$A$265,0)),"AKUN BARU"))</f>
        <v>Neraca</v>
      </c>
      <c r="L1499" s="34" t="str">
        <f aca="false">IF(K1499="LabaRugi",INDEX(I_COA!$D$6:$D$265,MATCH(D1499,I_COA!$A$6:$A$265,0)),"")</f>
        <v/>
      </c>
      <c r="M1499" s="34" t="str">
        <f aca="false">IF(K1499="Neraca",INDEX(I_COA!$E$6:$E$265,MATCH(D1499,I_COA!$A$6:$A$265,0)),"")</f>
        <v>Advance Payment</v>
      </c>
      <c r="N1499" s="34" t="str">
        <f aca="false">IF(D1499="","",IFERROR(INDEX(I_COA!$G$6:$G$265,MATCH(D1499,I_COA!$A$6:$A$265,0)),"N"))</f>
        <v>N</v>
      </c>
      <c r="O1499" s="11" t="n">
        <f aca="false">IF(N1499="N",ABS(J1499),"")</f>
        <v>10585</v>
      </c>
      <c r="P1499" s="18" t="str">
        <f aca="false">IF(N1499="N",B1499&amp;"|"&amp;ROUND(O1499,0),"")</f>
        <v>B8526080091|10585</v>
      </c>
      <c r="Q1499" s="18" t="str">
        <f aca="false">IF(N1499&lt;&gt;"Y","",IFERROR(INDEX($D$6:$D$4005,MATCH(B1499&amp;"|"&amp;ROUND(_xlfn.MAXIFS($O$6:$O$4005,$B$6:$B$4005,B1499,$N$6:$N$4005,"N"),0),$P$6:$P$4005,0)),"(tanpa lawan)"))</f>
        <v/>
      </c>
      <c r="R1499" s="44"/>
      <c r="S1499" s="9" t="str">
        <f aca="false">IF(N1499&lt;&gt;"Y","",IF(R1499&lt;&gt;"",R1499,IF(Q1499="(tanpa lawan)","Transfer antar rekening",IFERROR(INDEX(I_COA!$F$6:$F$265,MATCH(Q1499,I_COA!$A$6:$A$265,0)),"?"))))</f>
        <v/>
      </c>
    </row>
    <row r="1500" customFormat="false" ht="15" hidden="false" customHeight="false" outlineLevel="0" collapsed="false">
      <c r="A1500" s="37" t="n">
        <v>46255</v>
      </c>
      <c r="B1500" s="44" t="s">
        <v>1760</v>
      </c>
      <c r="C1500" s="44" t="s">
        <v>580</v>
      </c>
      <c r="D1500" s="44" t="n">
        <v>1102002</v>
      </c>
      <c r="E1500" s="44" t="s">
        <v>598</v>
      </c>
      <c r="F1500" s="44" t="s">
        <v>1766</v>
      </c>
      <c r="G1500" s="42"/>
      <c r="H1500" s="42" t="n">
        <v>9114700</v>
      </c>
      <c r="I1500" s="44"/>
      <c r="J1500" s="11" t="n">
        <f aca="false">IF(D1500="","",N(G1500)-N(H1500))</f>
        <v>-9114700</v>
      </c>
      <c r="K1500" s="34" t="str">
        <f aca="false">IF(D1500="","",IFERROR(INDEX(I_COA!$C$6:$C$265,MATCH(D1500,I_COA!$A$6:$A$265,0)),"AKUN BARU"))</f>
        <v>Neraca</v>
      </c>
      <c r="L1500" s="34" t="str">
        <f aca="false">IF(K1500="LabaRugi",INDEX(I_COA!$D$6:$D$265,MATCH(D1500,I_COA!$A$6:$A$265,0)),"")</f>
        <v/>
      </c>
      <c r="M1500" s="34" t="str">
        <f aca="false">IF(K1500="Neraca",INDEX(I_COA!$E$6:$E$265,MATCH(D1500,I_COA!$A$6:$A$265,0)),"")</f>
        <v>Cash and cash equivalents</v>
      </c>
      <c r="N1500" s="34" t="str">
        <f aca="false">IF(D1500="","",IFERROR(INDEX(I_COA!$G$6:$G$265,MATCH(D1500,I_COA!$A$6:$A$265,0)),"N"))</f>
        <v>Y</v>
      </c>
      <c r="O1500" s="11" t="str">
        <f aca="false">IF(N1500="N",ABS(J1500),"")</f>
        <v/>
      </c>
      <c r="P1500" s="18" t="str">
        <f aca="false">IF(N1500="N",B1500&amp;"|"&amp;ROUND(O1500,0),"")</f>
        <v/>
      </c>
      <c r="Q1500" s="18" t="n">
        <f aca="false">IF(N1500&lt;&gt;"Y","",IFERROR(INDEX($D$6:$D$4005,MATCH(B1500&amp;"|"&amp;ROUND(_xlfn.MAXIFS($O$6:$O$4005,$B$6:$B$4005,B1500,$N$6:$N$4005,"N"),0),$P$6:$P$4005,0)),"(tanpa lawan)"))</f>
        <v>1103120</v>
      </c>
      <c r="R1500" s="44"/>
      <c r="S1500" s="9" t="str">
        <f aca="false">IF(N1500&lt;&gt;"Y","",IF(R1500&lt;&gt;"",R1500,IF(Q1500="(tanpa lawan)","Transfer antar rekening",IFERROR(INDEX(I_COA!$F$6:$F$265,MATCH(Q1500,I_COA!$A$6:$A$265,0)),"?"))))</f>
        <v>Bayar biaya operasional lain</v>
      </c>
    </row>
    <row r="1501" customFormat="false" ht="15" hidden="false" customHeight="false" outlineLevel="0" collapsed="false">
      <c r="A1501" s="37" t="n">
        <v>46255</v>
      </c>
      <c r="B1501" s="44" t="s">
        <v>1767</v>
      </c>
      <c r="C1501" s="44" t="s">
        <v>594</v>
      </c>
      <c r="D1501" s="44" t="n">
        <v>2101001</v>
      </c>
      <c r="E1501" s="44" t="s">
        <v>595</v>
      </c>
      <c r="F1501" s="44" t="s">
        <v>1768</v>
      </c>
      <c r="G1501" s="42" t="n">
        <v>38319105</v>
      </c>
      <c r="H1501" s="42"/>
      <c r="I1501" s="44" t="s">
        <v>597</v>
      </c>
      <c r="J1501" s="11" t="n">
        <f aca="false">IF(D1501="","",N(G1501)-N(H1501))</f>
        <v>38319105</v>
      </c>
      <c r="K1501" s="34" t="str">
        <f aca="false">IF(D1501="","",IFERROR(INDEX(I_COA!$C$6:$C$265,MATCH(D1501,I_COA!$A$6:$A$265,0)),"AKUN BARU"))</f>
        <v>Neraca</v>
      </c>
      <c r="L1501" s="34" t="str">
        <f aca="false">IF(K1501="LabaRugi",INDEX(I_COA!$D$6:$D$265,MATCH(D1501,I_COA!$A$6:$A$265,0)),"")</f>
        <v/>
      </c>
      <c r="M1501" s="34" t="str">
        <f aca="false">IF(K1501="Neraca",INDEX(I_COA!$E$6:$E$265,MATCH(D1501,I_COA!$A$6:$A$265,0)),"")</f>
        <v>Trade Payables - Third Parties</v>
      </c>
      <c r="N1501" s="34" t="str">
        <f aca="false">IF(D1501="","",IFERROR(INDEX(I_COA!$G$6:$G$265,MATCH(D1501,I_COA!$A$6:$A$265,0)),"N"))</f>
        <v>N</v>
      </c>
      <c r="O1501" s="11" t="n">
        <f aca="false">IF(N1501="N",ABS(J1501),"")</f>
        <v>38319105</v>
      </c>
      <c r="P1501" s="18" t="str">
        <f aca="false">IF(N1501="N",B1501&amp;"|"&amp;ROUND(O1501,0),"")</f>
        <v>B8526080092|38319105</v>
      </c>
      <c r="Q1501" s="18" t="str">
        <f aca="false">IF(N1501&lt;&gt;"Y","",IFERROR(INDEX($D$6:$D$4005,MATCH(B1501&amp;"|"&amp;ROUND(_xlfn.MAXIFS($O$6:$O$4005,$B$6:$B$4005,B1501,$N$6:$N$4005,"N"),0),$P$6:$P$4005,0)),"(tanpa lawan)"))</f>
        <v/>
      </c>
      <c r="R1501" s="44"/>
      <c r="S1501" s="9" t="str">
        <f aca="false">IF(N1501&lt;&gt;"Y","",IF(R1501&lt;&gt;"",R1501,IF(Q1501="(tanpa lawan)","Transfer antar rekening",IFERROR(INDEX(I_COA!$F$6:$F$265,MATCH(Q1501,I_COA!$A$6:$A$265,0)),"?"))))</f>
        <v/>
      </c>
    </row>
    <row r="1502" customFormat="false" ht="15" hidden="false" customHeight="false" outlineLevel="0" collapsed="false">
      <c r="A1502" s="37" t="n">
        <v>46255</v>
      </c>
      <c r="B1502" s="44" t="s">
        <v>1767</v>
      </c>
      <c r="C1502" s="44" t="s">
        <v>594</v>
      </c>
      <c r="D1502" s="44" t="n">
        <v>2101001</v>
      </c>
      <c r="E1502" s="44" t="s">
        <v>595</v>
      </c>
      <c r="F1502" s="44" t="s">
        <v>1768</v>
      </c>
      <c r="G1502" s="42" t="n">
        <v>275317200</v>
      </c>
      <c r="H1502" s="42"/>
      <c r="I1502" s="44" t="s">
        <v>597</v>
      </c>
      <c r="J1502" s="11" t="n">
        <f aca="false">IF(D1502="","",N(G1502)-N(H1502))</f>
        <v>275317200</v>
      </c>
      <c r="K1502" s="34" t="str">
        <f aca="false">IF(D1502="","",IFERROR(INDEX(I_COA!$C$6:$C$265,MATCH(D1502,I_COA!$A$6:$A$265,0)),"AKUN BARU"))</f>
        <v>Neraca</v>
      </c>
      <c r="L1502" s="34" t="str">
        <f aca="false">IF(K1502="LabaRugi",INDEX(I_COA!$D$6:$D$265,MATCH(D1502,I_COA!$A$6:$A$265,0)),"")</f>
        <v/>
      </c>
      <c r="M1502" s="34" t="str">
        <f aca="false">IF(K1502="Neraca",INDEX(I_COA!$E$6:$E$265,MATCH(D1502,I_COA!$A$6:$A$265,0)),"")</f>
        <v>Trade Payables - Third Parties</v>
      </c>
      <c r="N1502" s="34" t="str">
        <f aca="false">IF(D1502="","",IFERROR(INDEX(I_COA!$G$6:$G$265,MATCH(D1502,I_COA!$A$6:$A$265,0)),"N"))</f>
        <v>N</v>
      </c>
      <c r="O1502" s="11" t="n">
        <f aca="false">IF(N1502="N",ABS(J1502),"")</f>
        <v>275317200</v>
      </c>
      <c r="P1502" s="18" t="str">
        <f aca="false">IF(N1502="N",B1502&amp;"|"&amp;ROUND(O1502,0),"")</f>
        <v>B8526080092|275317200</v>
      </c>
      <c r="Q1502" s="18" t="str">
        <f aca="false">IF(N1502&lt;&gt;"Y","",IFERROR(INDEX($D$6:$D$4005,MATCH(B1502&amp;"|"&amp;ROUND(_xlfn.MAXIFS($O$6:$O$4005,$B$6:$B$4005,B1502,$N$6:$N$4005,"N"),0),$P$6:$P$4005,0)),"(tanpa lawan)"))</f>
        <v/>
      </c>
      <c r="R1502" s="44"/>
      <c r="S1502" s="9" t="str">
        <f aca="false">IF(N1502&lt;&gt;"Y","",IF(R1502&lt;&gt;"",R1502,IF(Q1502="(tanpa lawan)","Transfer antar rekening",IFERROR(INDEX(I_COA!$F$6:$F$265,MATCH(Q1502,I_COA!$A$6:$A$265,0)),"?"))))</f>
        <v/>
      </c>
    </row>
    <row r="1503" customFormat="false" ht="15" hidden="false" customHeight="false" outlineLevel="0" collapsed="false">
      <c r="A1503" s="37" t="n">
        <v>46255</v>
      </c>
      <c r="B1503" s="44" t="s">
        <v>1767</v>
      </c>
      <c r="C1503" s="44" t="s">
        <v>594</v>
      </c>
      <c r="D1503" s="44" t="n">
        <v>6200023</v>
      </c>
      <c r="E1503" s="44" t="s">
        <v>688</v>
      </c>
      <c r="F1503" s="44" t="s">
        <v>1768</v>
      </c>
      <c r="G1503" s="42"/>
      <c r="H1503" s="42" t="n">
        <v>10000</v>
      </c>
      <c r="I1503" s="44" t="s">
        <v>597</v>
      </c>
      <c r="J1503" s="11" t="n">
        <f aca="false">IF(D1503="","",N(G1503)-N(H1503))</f>
        <v>-10000</v>
      </c>
      <c r="K1503" s="34" t="str">
        <f aca="false">IF(D1503="","",IFERROR(INDEX(I_COA!$C$6:$C$265,MATCH(D1503,I_COA!$A$6:$A$265,0)),"AKUN BARU"))</f>
        <v>LabaRugi</v>
      </c>
      <c r="L1503" s="34" t="str">
        <f aca="false">IF(K1503="LabaRugi",INDEX(I_COA!$D$6:$D$265,MATCH(D1503,I_COA!$A$6:$A$265,0)),"")</f>
        <v>Tax expenses</v>
      </c>
      <c r="M1503" s="34" t="str">
        <f aca="false">IF(K1503="Neraca",INDEX(I_COA!$E$6:$E$265,MATCH(D1503,I_COA!$A$6:$A$265,0)),"")</f>
        <v/>
      </c>
      <c r="N1503" s="34" t="str">
        <f aca="false">IF(D1503="","",IFERROR(INDEX(I_COA!$G$6:$G$265,MATCH(D1503,I_COA!$A$6:$A$265,0)),"N"))</f>
        <v>N</v>
      </c>
      <c r="O1503" s="11" t="n">
        <f aca="false">IF(N1503="N",ABS(J1503),"")</f>
        <v>10000</v>
      </c>
      <c r="P1503" s="18" t="str">
        <f aca="false">IF(N1503="N",B1503&amp;"|"&amp;ROUND(O1503,0),"")</f>
        <v>B8526080092|10000</v>
      </c>
      <c r="Q1503" s="18" t="str">
        <f aca="false">IF(N1503&lt;&gt;"Y","",IFERROR(INDEX($D$6:$D$4005,MATCH(B1503&amp;"|"&amp;ROUND(_xlfn.MAXIFS($O$6:$O$4005,$B$6:$B$4005,B1503,$N$6:$N$4005,"N"),0),$P$6:$P$4005,0)),"(tanpa lawan)"))</f>
        <v/>
      </c>
      <c r="R1503" s="44"/>
      <c r="S1503" s="9" t="str">
        <f aca="false">IF(N1503&lt;&gt;"Y","",IF(R1503&lt;&gt;"",R1503,IF(Q1503="(tanpa lawan)","Transfer antar rekening",IFERROR(INDEX(I_COA!$F$6:$F$265,MATCH(Q1503,I_COA!$A$6:$A$265,0)),"?"))))</f>
        <v/>
      </c>
    </row>
    <row r="1504" customFormat="false" ht="15" hidden="false" customHeight="false" outlineLevel="0" collapsed="false">
      <c r="A1504" s="37" t="n">
        <v>46255</v>
      </c>
      <c r="B1504" s="44" t="s">
        <v>1767</v>
      </c>
      <c r="C1504" s="44" t="s">
        <v>594</v>
      </c>
      <c r="D1504" s="44" t="n">
        <v>2101001</v>
      </c>
      <c r="E1504" s="44" t="s">
        <v>595</v>
      </c>
      <c r="F1504" s="44" t="s">
        <v>1768</v>
      </c>
      <c r="G1504" s="42" t="n">
        <v>6373695</v>
      </c>
      <c r="H1504" s="42"/>
      <c r="I1504" s="44" t="s">
        <v>597</v>
      </c>
      <c r="J1504" s="11" t="n">
        <f aca="false">IF(D1504="","",N(G1504)-N(H1504))</f>
        <v>6373695</v>
      </c>
      <c r="K1504" s="34" t="str">
        <f aca="false">IF(D1504="","",IFERROR(INDEX(I_COA!$C$6:$C$265,MATCH(D1504,I_COA!$A$6:$A$265,0)),"AKUN BARU"))</f>
        <v>Neraca</v>
      </c>
      <c r="L1504" s="34" t="str">
        <f aca="false">IF(K1504="LabaRugi",INDEX(I_COA!$D$6:$D$265,MATCH(D1504,I_COA!$A$6:$A$265,0)),"")</f>
        <v/>
      </c>
      <c r="M1504" s="34" t="str">
        <f aca="false">IF(K1504="Neraca",INDEX(I_COA!$E$6:$E$265,MATCH(D1504,I_COA!$A$6:$A$265,0)),"")</f>
        <v>Trade Payables - Third Parties</v>
      </c>
      <c r="N1504" s="34" t="str">
        <f aca="false">IF(D1504="","",IFERROR(INDEX(I_COA!$G$6:$G$265,MATCH(D1504,I_COA!$A$6:$A$265,0)),"N"))</f>
        <v>N</v>
      </c>
      <c r="O1504" s="11" t="n">
        <f aca="false">IF(N1504="N",ABS(J1504),"")</f>
        <v>6373695</v>
      </c>
      <c r="P1504" s="18" t="str">
        <f aca="false">IF(N1504="N",B1504&amp;"|"&amp;ROUND(O1504,0),"")</f>
        <v>B8526080092|6373695</v>
      </c>
      <c r="Q1504" s="18" t="str">
        <f aca="false">IF(N1504&lt;&gt;"Y","",IFERROR(INDEX($D$6:$D$4005,MATCH(B1504&amp;"|"&amp;ROUND(_xlfn.MAXIFS($O$6:$O$4005,$B$6:$B$4005,B1504,$N$6:$N$4005,"N"),0),$P$6:$P$4005,0)),"(tanpa lawan)"))</f>
        <v/>
      </c>
      <c r="R1504" s="44"/>
      <c r="S1504" s="9" t="str">
        <f aca="false">IF(N1504&lt;&gt;"Y","",IF(R1504&lt;&gt;"",R1504,IF(Q1504="(tanpa lawan)","Transfer antar rekening",IFERROR(INDEX(I_COA!$F$6:$F$265,MATCH(Q1504,I_COA!$A$6:$A$265,0)),"?"))))</f>
        <v/>
      </c>
    </row>
    <row r="1505" customFormat="false" ht="15" hidden="false" customHeight="false" outlineLevel="0" collapsed="false">
      <c r="A1505" s="37" t="n">
        <v>46255</v>
      </c>
      <c r="B1505" s="44" t="s">
        <v>1767</v>
      </c>
      <c r="C1505" s="44" t="s">
        <v>594</v>
      </c>
      <c r="D1505" s="44" t="n">
        <v>1102002</v>
      </c>
      <c r="E1505" s="44" t="s">
        <v>598</v>
      </c>
      <c r="F1505" s="44" t="s">
        <v>1768</v>
      </c>
      <c r="G1505" s="42"/>
      <c r="H1505" s="42" t="n">
        <v>320000000</v>
      </c>
      <c r="I1505" s="44" t="s">
        <v>597</v>
      </c>
      <c r="J1505" s="11" t="n">
        <f aca="false">IF(D1505="","",N(G1505)-N(H1505))</f>
        <v>-320000000</v>
      </c>
      <c r="K1505" s="34" t="str">
        <f aca="false">IF(D1505="","",IFERROR(INDEX(I_COA!$C$6:$C$265,MATCH(D1505,I_COA!$A$6:$A$265,0)),"AKUN BARU"))</f>
        <v>Neraca</v>
      </c>
      <c r="L1505" s="34" t="str">
        <f aca="false">IF(K1505="LabaRugi",INDEX(I_COA!$D$6:$D$265,MATCH(D1505,I_COA!$A$6:$A$265,0)),"")</f>
        <v/>
      </c>
      <c r="M1505" s="34" t="str">
        <f aca="false">IF(K1505="Neraca",INDEX(I_COA!$E$6:$E$265,MATCH(D1505,I_COA!$A$6:$A$265,0)),"")</f>
        <v>Cash and cash equivalents</v>
      </c>
      <c r="N1505" s="34" t="str">
        <f aca="false">IF(D1505="","",IFERROR(INDEX(I_COA!$G$6:$G$265,MATCH(D1505,I_COA!$A$6:$A$265,0)),"N"))</f>
        <v>Y</v>
      </c>
      <c r="O1505" s="11" t="str">
        <f aca="false">IF(N1505="N",ABS(J1505),"")</f>
        <v/>
      </c>
      <c r="P1505" s="18" t="str">
        <f aca="false">IF(N1505="N",B1505&amp;"|"&amp;ROUND(O1505,0),"")</f>
        <v/>
      </c>
      <c r="Q1505" s="18" t="n">
        <f aca="false">IF(N1505&lt;&gt;"Y","",IFERROR(INDEX($D$6:$D$4005,MATCH(B1505&amp;"|"&amp;ROUND(_xlfn.MAXIFS($O$6:$O$4005,$B$6:$B$4005,B1505,$N$6:$N$4005,"N"),0),$P$6:$P$4005,0)),"(tanpa lawan)"))</f>
        <v>2101001</v>
      </c>
      <c r="R1505" s="44"/>
      <c r="S1505" s="9" t="str">
        <f aca="false">IF(N1505&lt;&gt;"Y","",IF(R1505&lt;&gt;"",R1505,IF(Q1505="(tanpa lawan)","Transfer antar rekening",IFERROR(INDEX(I_COA!$F$6:$F$265,MATCH(Q1505,I_COA!$A$6:$A$265,0)),"?"))))</f>
        <v>Bayar pemasok barang (live bird &amp; trading)</v>
      </c>
    </row>
    <row r="1506" customFormat="false" ht="15" hidden="false" customHeight="false" outlineLevel="0" collapsed="false">
      <c r="A1506" s="37" t="n">
        <v>46255</v>
      </c>
      <c r="B1506" s="44" t="s">
        <v>1769</v>
      </c>
      <c r="C1506" s="44" t="s">
        <v>690</v>
      </c>
      <c r="D1506" s="44" t="n">
        <v>1104003</v>
      </c>
      <c r="E1506" s="44" t="s">
        <v>613</v>
      </c>
      <c r="F1506" s="44" t="s">
        <v>1770</v>
      </c>
      <c r="G1506" s="42" t="n">
        <v>202212395.65</v>
      </c>
      <c r="H1506" s="42"/>
      <c r="I1506" s="44" t="s">
        <v>597</v>
      </c>
      <c r="J1506" s="11" t="n">
        <f aca="false">IF(D1506="","",N(G1506)-N(H1506))</f>
        <v>202212395.65</v>
      </c>
      <c r="K1506" s="34" t="str">
        <f aca="false">IF(D1506="","",IFERROR(INDEX(I_COA!$C$6:$C$265,MATCH(D1506,I_COA!$A$6:$A$265,0)),"AKUN BARU"))</f>
        <v>Neraca</v>
      </c>
      <c r="L1506" s="34" t="str">
        <f aca="false">IF(K1506="LabaRugi",INDEX(I_COA!$D$6:$D$265,MATCH(D1506,I_COA!$A$6:$A$265,0)),"")</f>
        <v/>
      </c>
      <c r="M1506" s="34" t="str">
        <f aca="false">IF(K1506="Neraca",INDEX(I_COA!$E$6:$E$265,MATCH(D1506,I_COA!$A$6:$A$265,0)),"")</f>
        <v>Inventory - Product</v>
      </c>
      <c r="N1506" s="34" t="str">
        <f aca="false">IF(D1506="","",IFERROR(INDEX(I_COA!$G$6:$G$265,MATCH(D1506,I_COA!$A$6:$A$265,0)),"N"))</f>
        <v>N</v>
      </c>
      <c r="O1506" s="11" t="n">
        <f aca="false">IF(N1506="N",ABS(J1506),"")</f>
        <v>202212395.65</v>
      </c>
      <c r="P1506" s="18" t="str">
        <f aca="false">IF(N1506="N",B1506&amp;"|"&amp;ROUND(O1506,0),"")</f>
        <v>GR26080019|202212396</v>
      </c>
      <c r="Q1506" s="18" t="str">
        <f aca="false">IF(N1506&lt;&gt;"Y","",IFERROR(INDEX($D$6:$D$4005,MATCH(B1506&amp;"|"&amp;ROUND(_xlfn.MAXIFS($O$6:$O$4005,$B$6:$B$4005,B1506,$N$6:$N$4005,"N"),0),$P$6:$P$4005,0)),"(tanpa lawan)"))</f>
        <v/>
      </c>
      <c r="R1506" s="44"/>
      <c r="S1506" s="9" t="str">
        <f aca="false">IF(N1506&lt;&gt;"Y","",IF(R1506&lt;&gt;"",R1506,IF(Q1506="(tanpa lawan)","Transfer antar rekening",IFERROR(INDEX(I_COA!$F$6:$F$265,MATCH(Q1506,I_COA!$A$6:$A$265,0)),"?"))))</f>
        <v/>
      </c>
    </row>
    <row r="1507" customFormat="false" ht="15" hidden="false" customHeight="false" outlineLevel="0" collapsed="false">
      <c r="A1507" s="37" t="n">
        <v>46255</v>
      </c>
      <c r="B1507" s="44" t="s">
        <v>1769</v>
      </c>
      <c r="C1507" s="44" t="s">
        <v>690</v>
      </c>
      <c r="D1507" s="44" t="n">
        <v>2103011</v>
      </c>
      <c r="E1507" s="44" t="s">
        <v>693</v>
      </c>
      <c r="F1507" s="44" t="s">
        <v>1770</v>
      </c>
      <c r="G1507" s="42"/>
      <c r="H1507" s="42" t="n">
        <v>215978820.11</v>
      </c>
      <c r="I1507" s="44" t="s">
        <v>597</v>
      </c>
      <c r="J1507" s="11" t="n">
        <f aca="false">IF(D1507="","",N(G1507)-N(H1507))</f>
        <v>-215978820.11</v>
      </c>
      <c r="K1507" s="34" t="str">
        <f aca="false">IF(D1507="","",IFERROR(INDEX(I_COA!$C$6:$C$265,MATCH(D1507,I_COA!$A$6:$A$265,0)),"AKUN BARU"))</f>
        <v>Neraca</v>
      </c>
      <c r="L1507" s="34" t="str">
        <f aca="false">IF(K1507="LabaRugi",INDEX(I_COA!$D$6:$D$265,MATCH(D1507,I_COA!$A$6:$A$265,0)),"")</f>
        <v/>
      </c>
      <c r="M1507" s="34" t="str">
        <f aca="false">IF(K1507="Neraca",INDEX(I_COA!$E$6:$E$265,MATCH(D1507,I_COA!$A$6:$A$265,0)),"")</f>
        <v>Accrued Expenses - Third Parties</v>
      </c>
      <c r="N1507" s="34" t="str">
        <f aca="false">IF(D1507="","",IFERROR(INDEX(I_COA!$G$6:$G$265,MATCH(D1507,I_COA!$A$6:$A$265,0)),"N"))</f>
        <v>N</v>
      </c>
      <c r="O1507" s="11" t="n">
        <f aca="false">IF(N1507="N",ABS(J1507),"")</f>
        <v>215978820.11</v>
      </c>
      <c r="P1507" s="18" t="str">
        <f aca="false">IF(N1507="N",B1507&amp;"|"&amp;ROUND(O1507,0),"")</f>
        <v>GR26080019|215978820</v>
      </c>
      <c r="Q1507" s="18" t="str">
        <f aca="false">IF(N1507&lt;&gt;"Y","",IFERROR(INDEX($D$6:$D$4005,MATCH(B1507&amp;"|"&amp;ROUND(_xlfn.MAXIFS($O$6:$O$4005,$B$6:$B$4005,B1507,$N$6:$N$4005,"N"),0),$P$6:$P$4005,0)),"(tanpa lawan)"))</f>
        <v/>
      </c>
      <c r="R1507" s="44"/>
      <c r="S1507" s="9" t="str">
        <f aca="false">IF(N1507&lt;&gt;"Y","",IF(R1507&lt;&gt;"",R1507,IF(Q1507="(tanpa lawan)","Transfer antar rekening",IFERROR(INDEX(I_COA!$F$6:$F$265,MATCH(Q1507,I_COA!$A$6:$A$265,0)),"?"))))</f>
        <v/>
      </c>
    </row>
    <row r="1508" customFormat="false" ht="15" hidden="false" customHeight="false" outlineLevel="0" collapsed="false">
      <c r="A1508" s="37" t="n">
        <v>46255</v>
      </c>
      <c r="B1508" s="44" t="s">
        <v>1769</v>
      </c>
      <c r="C1508" s="44" t="s">
        <v>690</v>
      </c>
      <c r="D1508" s="44" t="n">
        <v>1104004</v>
      </c>
      <c r="E1508" s="44" t="s">
        <v>917</v>
      </c>
      <c r="F1508" s="44" t="s">
        <v>1770</v>
      </c>
      <c r="G1508" s="42" t="n">
        <v>13766424.46</v>
      </c>
      <c r="H1508" s="42"/>
      <c r="I1508" s="44" t="s">
        <v>597</v>
      </c>
      <c r="J1508" s="11" t="n">
        <f aca="false">IF(D1508="","",N(G1508)-N(H1508))</f>
        <v>13766424.46</v>
      </c>
      <c r="K1508" s="34" t="str">
        <f aca="false">IF(D1508="","",IFERROR(INDEX(I_COA!$C$6:$C$265,MATCH(D1508,I_COA!$A$6:$A$265,0)),"AKUN BARU"))</f>
        <v>Neraca</v>
      </c>
      <c r="L1508" s="34" t="str">
        <f aca="false">IF(K1508="LabaRugi",INDEX(I_COA!$D$6:$D$265,MATCH(D1508,I_COA!$A$6:$A$265,0)),"")</f>
        <v/>
      </c>
      <c r="M1508" s="34" t="str">
        <f aca="false">IF(K1508="Neraca",INDEX(I_COA!$E$6:$E$265,MATCH(D1508,I_COA!$A$6:$A$265,0)),"")</f>
        <v>Inventory - Product</v>
      </c>
      <c r="N1508" s="34" t="str">
        <f aca="false">IF(D1508="","",IFERROR(INDEX(I_COA!$G$6:$G$265,MATCH(D1508,I_COA!$A$6:$A$265,0)),"N"))</f>
        <v>N</v>
      </c>
      <c r="O1508" s="11" t="n">
        <f aca="false">IF(N1508="N",ABS(J1508),"")</f>
        <v>13766424.46</v>
      </c>
      <c r="P1508" s="18" t="str">
        <f aca="false">IF(N1508="N",B1508&amp;"|"&amp;ROUND(O1508,0),"")</f>
        <v>GR26080019|13766424</v>
      </c>
      <c r="Q1508" s="18" t="str">
        <f aca="false">IF(N1508&lt;&gt;"Y","",IFERROR(INDEX($D$6:$D$4005,MATCH(B1508&amp;"|"&amp;ROUND(_xlfn.MAXIFS($O$6:$O$4005,$B$6:$B$4005,B1508,$N$6:$N$4005,"N"),0),$P$6:$P$4005,0)),"(tanpa lawan)"))</f>
        <v/>
      </c>
      <c r="R1508" s="44"/>
      <c r="S1508" s="9" t="str">
        <f aca="false">IF(N1508&lt;&gt;"Y","",IF(R1508&lt;&gt;"",R1508,IF(Q1508="(tanpa lawan)","Transfer antar rekening",IFERROR(INDEX(I_COA!$F$6:$F$265,MATCH(Q1508,I_COA!$A$6:$A$265,0)),"?"))))</f>
        <v/>
      </c>
    </row>
    <row r="1509" customFormat="false" ht="15" hidden="false" customHeight="false" outlineLevel="0" collapsed="false">
      <c r="A1509" s="37" t="n">
        <v>46255</v>
      </c>
      <c r="B1509" s="44" t="s">
        <v>1771</v>
      </c>
      <c r="C1509" s="44" t="s">
        <v>1056</v>
      </c>
      <c r="D1509" s="44" t="n">
        <v>7100006</v>
      </c>
      <c r="E1509" s="44" t="s">
        <v>1058</v>
      </c>
      <c r="F1509" s="44" t="s">
        <v>1057</v>
      </c>
      <c r="G1509" s="42"/>
      <c r="H1509" s="42"/>
      <c r="I1509" s="44"/>
      <c r="J1509" s="11" t="n">
        <f aca="false">IF(D1509="","",N(G1509)-N(H1509))</f>
        <v>0</v>
      </c>
      <c r="K1509" s="34" t="str">
        <f aca="false">IF(D1509="","",IFERROR(INDEX(I_COA!$C$6:$C$265,MATCH(D1509,I_COA!$A$6:$A$265,0)),"AKUN BARU"))</f>
        <v>LabaRugi</v>
      </c>
      <c r="L1509" s="34" t="str">
        <f aca="false">IF(K1509="LabaRugi",INDEX(I_COA!$D$6:$D$265,MATCH(D1509,I_COA!$A$6:$A$265,0)),"")</f>
        <v>Other Income</v>
      </c>
      <c r="M1509" s="34" t="str">
        <f aca="false">IF(K1509="Neraca",INDEX(I_COA!$E$6:$E$265,MATCH(D1509,I_COA!$A$6:$A$265,0)),"")</f>
        <v/>
      </c>
      <c r="N1509" s="34" t="str">
        <f aca="false">IF(D1509="","",IFERROR(INDEX(I_COA!$G$6:$G$265,MATCH(D1509,I_COA!$A$6:$A$265,0)),"N"))</f>
        <v>N</v>
      </c>
      <c r="O1509" s="11" t="n">
        <f aca="false">IF(N1509="N",ABS(J1509),"")</f>
        <v>0</v>
      </c>
      <c r="P1509" s="18" t="str">
        <f aca="false">IF(N1509="N",B1509&amp;"|"&amp;ROUND(O1509,0),"")</f>
        <v>IA26080002|0</v>
      </c>
      <c r="Q1509" s="18" t="str">
        <f aca="false">IF(N1509&lt;&gt;"Y","",IFERROR(INDEX($D$6:$D$4005,MATCH(B1509&amp;"|"&amp;ROUND(_xlfn.MAXIFS($O$6:$O$4005,$B$6:$B$4005,B1509,$N$6:$N$4005,"N"),0),$P$6:$P$4005,0)),"(tanpa lawan)"))</f>
        <v/>
      </c>
      <c r="R1509" s="44"/>
      <c r="S1509" s="9" t="str">
        <f aca="false">IF(N1509&lt;&gt;"Y","",IF(R1509&lt;&gt;"",R1509,IF(Q1509="(tanpa lawan)","Transfer antar rekening",IFERROR(INDEX(I_COA!$F$6:$F$265,MATCH(Q1509,I_COA!$A$6:$A$265,0)),"?"))))</f>
        <v/>
      </c>
    </row>
    <row r="1510" customFormat="false" ht="15" hidden="false" customHeight="false" outlineLevel="0" collapsed="false">
      <c r="A1510" s="37" t="n">
        <v>46255</v>
      </c>
      <c r="B1510" s="44" t="s">
        <v>1771</v>
      </c>
      <c r="C1510" s="44" t="s">
        <v>1056</v>
      </c>
      <c r="D1510" s="44" t="n">
        <v>1104006</v>
      </c>
      <c r="E1510" s="44" t="s">
        <v>212</v>
      </c>
      <c r="F1510" s="44" t="s">
        <v>1057</v>
      </c>
      <c r="G1510" s="42"/>
      <c r="H1510" s="42"/>
      <c r="I1510" s="44"/>
      <c r="J1510" s="11" t="n">
        <f aca="false">IF(D1510="","",N(G1510)-N(H1510))</f>
        <v>0</v>
      </c>
      <c r="K1510" s="34" t="str">
        <f aca="false">IF(D1510="","",IFERROR(INDEX(I_COA!$C$6:$C$265,MATCH(D1510,I_COA!$A$6:$A$265,0)),"AKUN BARU"))</f>
        <v>Neraca</v>
      </c>
      <c r="L1510" s="34" t="str">
        <f aca="false">IF(K1510="LabaRugi",INDEX(I_COA!$D$6:$D$265,MATCH(D1510,I_COA!$A$6:$A$265,0)),"")</f>
        <v/>
      </c>
      <c r="M1510" s="34" t="str">
        <f aca="false">IF(K1510="Neraca",INDEX(I_COA!$E$6:$E$265,MATCH(D1510,I_COA!$A$6:$A$265,0)),"")</f>
        <v>Inventory - Trading</v>
      </c>
      <c r="N1510" s="34" t="str">
        <f aca="false">IF(D1510="","",IFERROR(INDEX(I_COA!$G$6:$G$265,MATCH(D1510,I_COA!$A$6:$A$265,0)),"N"))</f>
        <v>N</v>
      </c>
      <c r="O1510" s="11" t="n">
        <f aca="false">IF(N1510="N",ABS(J1510),"")</f>
        <v>0</v>
      </c>
      <c r="P1510" s="18" t="str">
        <f aca="false">IF(N1510="N",B1510&amp;"|"&amp;ROUND(O1510,0),"")</f>
        <v>IA26080002|0</v>
      </c>
      <c r="Q1510" s="18" t="str">
        <f aca="false">IF(N1510&lt;&gt;"Y","",IFERROR(INDEX($D$6:$D$4005,MATCH(B1510&amp;"|"&amp;ROUND(_xlfn.MAXIFS($O$6:$O$4005,$B$6:$B$4005,B1510,$N$6:$N$4005,"N"),0),$P$6:$P$4005,0)),"(tanpa lawan)"))</f>
        <v/>
      </c>
      <c r="R1510" s="44"/>
      <c r="S1510" s="9" t="str">
        <f aca="false">IF(N1510&lt;&gt;"Y","",IF(R1510&lt;&gt;"",R1510,IF(Q1510="(tanpa lawan)","Transfer antar rekening",IFERROR(INDEX(I_COA!$F$6:$F$265,MATCH(Q1510,I_COA!$A$6:$A$265,0)),"?"))))</f>
        <v/>
      </c>
    </row>
    <row r="1511" customFormat="false" ht="15" hidden="false" customHeight="false" outlineLevel="0" collapsed="false">
      <c r="A1511" s="37" t="n">
        <v>46255</v>
      </c>
      <c r="B1511" s="44" t="s">
        <v>1772</v>
      </c>
      <c r="C1511" s="44" t="s">
        <v>600</v>
      </c>
      <c r="D1511" s="44" t="n">
        <v>1104002</v>
      </c>
      <c r="E1511" s="44" t="s">
        <v>601</v>
      </c>
      <c r="F1511" s="44" t="s">
        <v>1773</v>
      </c>
      <c r="G1511" s="42" t="n">
        <v>259427930.49</v>
      </c>
      <c r="H1511" s="42"/>
      <c r="I1511" s="44" t="s">
        <v>457</v>
      </c>
      <c r="J1511" s="11" t="n">
        <f aca="false">IF(D1511="","",N(G1511)-N(H1511))</f>
        <v>259427930.49</v>
      </c>
      <c r="K1511" s="34" t="str">
        <f aca="false">IF(D1511="","",IFERROR(INDEX(I_COA!$C$6:$C$265,MATCH(D1511,I_COA!$A$6:$A$265,0)),"AKUN BARU"))</f>
        <v>Neraca</v>
      </c>
      <c r="L1511" s="34" t="str">
        <f aca="false">IF(K1511="LabaRugi",INDEX(I_COA!$D$6:$D$265,MATCH(D1511,I_COA!$A$6:$A$265,0)),"")</f>
        <v/>
      </c>
      <c r="M1511" s="34" t="str">
        <f aca="false">IF(K1511="Neraca",INDEX(I_COA!$E$6:$E$265,MATCH(D1511,I_COA!$A$6:$A$265,0)),"")</f>
        <v>Inventory - Product</v>
      </c>
      <c r="N1511" s="34" t="str">
        <f aca="false">IF(D1511="","",IFERROR(INDEX(I_COA!$G$6:$G$265,MATCH(D1511,I_COA!$A$6:$A$265,0)),"N"))</f>
        <v>N</v>
      </c>
      <c r="O1511" s="11" t="n">
        <f aca="false">IF(N1511="N",ABS(J1511),"")</f>
        <v>259427930.49</v>
      </c>
      <c r="P1511" s="18" t="str">
        <f aca="false">IF(N1511="N",B1511&amp;"|"&amp;ROUND(O1511,0),"")</f>
        <v>KGR26.00299|259427930</v>
      </c>
      <c r="Q1511" s="18" t="str">
        <f aca="false">IF(N1511&lt;&gt;"Y","",IFERROR(INDEX($D$6:$D$4005,MATCH(B1511&amp;"|"&amp;ROUND(_xlfn.MAXIFS($O$6:$O$4005,$B$6:$B$4005,B1511,$N$6:$N$4005,"N"),0),$P$6:$P$4005,0)),"(tanpa lawan)"))</f>
        <v/>
      </c>
      <c r="R1511" s="44"/>
      <c r="S1511" s="9" t="str">
        <f aca="false">IF(N1511&lt;&gt;"Y","",IF(R1511&lt;&gt;"",R1511,IF(Q1511="(tanpa lawan)","Transfer antar rekening",IFERROR(INDEX(I_COA!$F$6:$F$265,MATCH(Q1511,I_COA!$A$6:$A$265,0)),"?"))))</f>
        <v/>
      </c>
    </row>
    <row r="1512" customFormat="false" ht="15" hidden="false" customHeight="false" outlineLevel="0" collapsed="false">
      <c r="A1512" s="37" t="n">
        <v>46255</v>
      </c>
      <c r="B1512" s="44" t="s">
        <v>1772</v>
      </c>
      <c r="C1512" s="44" t="s">
        <v>600</v>
      </c>
      <c r="D1512" s="44" t="n">
        <v>1104003</v>
      </c>
      <c r="E1512" s="44" t="s">
        <v>613</v>
      </c>
      <c r="F1512" s="44" t="s">
        <v>1773</v>
      </c>
      <c r="G1512" s="42"/>
      <c r="H1512" s="42" t="n">
        <v>259427930.49</v>
      </c>
      <c r="I1512" s="44" t="s">
        <v>457</v>
      </c>
      <c r="J1512" s="11" t="n">
        <f aca="false">IF(D1512="","",N(G1512)-N(H1512))</f>
        <v>-259427930.49</v>
      </c>
      <c r="K1512" s="34" t="str">
        <f aca="false">IF(D1512="","",IFERROR(INDEX(I_COA!$C$6:$C$265,MATCH(D1512,I_COA!$A$6:$A$265,0)),"AKUN BARU"))</f>
        <v>Neraca</v>
      </c>
      <c r="L1512" s="34" t="str">
        <f aca="false">IF(K1512="LabaRugi",INDEX(I_COA!$D$6:$D$265,MATCH(D1512,I_COA!$A$6:$A$265,0)),"")</f>
        <v/>
      </c>
      <c r="M1512" s="34" t="str">
        <f aca="false">IF(K1512="Neraca",INDEX(I_COA!$E$6:$E$265,MATCH(D1512,I_COA!$A$6:$A$265,0)),"")</f>
        <v>Inventory - Product</v>
      </c>
      <c r="N1512" s="34" t="str">
        <f aca="false">IF(D1512="","",IFERROR(INDEX(I_COA!$G$6:$G$265,MATCH(D1512,I_COA!$A$6:$A$265,0)),"N"))</f>
        <v>N</v>
      </c>
      <c r="O1512" s="11" t="n">
        <f aca="false">IF(N1512="N",ABS(J1512),"")</f>
        <v>259427930.49</v>
      </c>
      <c r="P1512" s="18" t="str">
        <f aca="false">IF(N1512="N",B1512&amp;"|"&amp;ROUND(O1512,0),"")</f>
        <v>KGR26.00299|259427930</v>
      </c>
      <c r="Q1512" s="18" t="str">
        <f aca="false">IF(N1512&lt;&gt;"Y","",IFERROR(INDEX($D$6:$D$4005,MATCH(B1512&amp;"|"&amp;ROUND(_xlfn.MAXIFS($O$6:$O$4005,$B$6:$B$4005,B1512,$N$6:$N$4005,"N"),0),$P$6:$P$4005,0)),"(tanpa lawan)"))</f>
        <v/>
      </c>
      <c r="R1512" s="44"/>
      <c r="S1512" s="9" t="str">
        <f aca="false">IF(N1512&lt;&gt;"Y","",IF(R1512&lt;&gt;"",R1512,IF(Q1512="(tanpa lawan)","Transfer antar rekening",IFERROR(INDEX(I_COA!$F$6:$F$265,MATCH(Q1512,I_COA!$A$6:$A$265,0)),"?"))))</f>
        <v/>
      </c>
    </row>
    <row r="1513" customFormat="false" ht="15" hidden="false" customHeight="false" outlineLevel="0" collapsed="false">
      <c r="A1513" s="37" t="n">
        <v>46255</v>
      </c>
      <c r="B1513" s="44" t="s">
        <v>1774</v>
      </c>
      <c r="C1513" s="44" t="s">
        <v>600</v>
      </c>
      <c r="D1513" s="44" t="n">
        <v>1104002</v>
      </c>
      <c r="E1513" s="44" t="s">
        <v>601</v>
      </c>
      <c r="F1513" s="44" t="s">
        <v>1775</v>
      </c>
      <c r="G1513" s="42" t="n">
        <v>57883283.51</v>
      </c>
      <c r="H1513" s="42"/>
      <c r="I1513" s="44" t="s">
        <v>774</v>
      </c>
      <c r="J1513" s="11" t="n">
        <f aca="false">IF(D1513="","",N(G1513)-N(H1513))</f>
        <v>57883283.51</v>
      </c>
      <c r="K1513" s="34" t="str">
        <f aca="false">IF(D1513="","",IFERROR(INDEX(I_COA!$C$6:$C$265,MATCH(D1513,I_COA!$A$6:$A$265,0)),"AKUN BARU"))</f>
        <v>Neraca</v>
      </c>
      <c r="L1513" s="34" t="str">
        <f aca="false">IF(K1513="LabaRugi",INDEX(I_COA!$D$6:$D$265,MATCH(D1513,I_COA!$A$6:$A$265,0)),"")</f>
        <v/>
      </c>
      <c r="M1513" s="34" t="str">
        <f aca="false">IF(K1513="Neraca",INDEX(I_COA!$E$6:$E$265,MATCH(D1513,I_COA!$A$6:$A$265,0)),"")</f>
        <v>Inventory - Product</v>
      </c>
      <c r="N1513" s="34" t="str">
        <f aca="false">IF(D1513="","",IFERROR(INDEX(I_COA!$G$6:$G$265,MATCH(D1513,I_COA!$A$6:$A$265,0)),"N"))</f>
        <v>N</v>
      </c>
      <c r="O1513" s="11" t="n">
        <f aca="false">IF(N1513="N",ABS(J1513),"")</f>
        <v>57883283.51</v>
      </c>
      <c r="P1513" s="18" t="str">
        <f aca="false">IF(N1513="N",B1513&amp;"|"&amp;ROUND(O1513,0),"")</f>
        <v>KGR26.00300|57883284</v>
      </c>
      <c r="Q1513" s="18" t="str">
        <f aca="false">IF(N1513&lt;&gt;"Y","",IFERROR(INDEX($D$6:$D$4005,MATCH(B1513&amp;"|"&amp;ROUND(_xlfn.MAXIFS($O$6:$O$4005,$B$6:$B$4005,B1513,$N$6:$N$4005,"N"),0),$P$6:$P$4005,0)),"(tanpa lawan)"))</f>
        <v/>
      </c>
      <c r="R1513" s="44"/>
      <c r="S1513" s="9" t="str">
        <f aca="false">IF(N1513&lt;&gt;"Y","",IF(R1513&lt;&gt;"",R1513,IF(Q1513="(tanpa lawan)","Transfer antar rekening",IFERROR(INDEX(I_COA!$F$6:$F$265,MATCH(Q1513,I_COA!$A$6:$A$265,0)),"?"))))</f>
        <v/>
      </c>
    </row>
    <row r="1514" customFormat="false" ht="15" hidden="false" customHeight="false" outlineLevel="0" collapsed="false">
      <c r="A1514" s="37" t="n">
        <v>46255</v>
      </c>
      <c r="B1514" s="44" t="s">
        <v>1774</v>
      </c>
      <c r="C1514" s="44" t="s">
        <v>600</v>
      </c>
      <c r="D1514" s="44" t="n">
        <v>1104003</v>
      </c>
      <c r="E1514" s="44" t="s">
        <v>613</v>
      </c>
      <c r="F1514" s="44" t="s">
        <v>1775</v>
      </c>
      <c r="G1514" s="42"/>
      <c r="H1514" s="42" t="n">
        <v>57883283.51</v>
      </c>
      <c r="I1514" s="44" t="s">
        <v>774</v>
      </c>
      <c r="J1514" s="11" t="n">
        <f aca="false">IF(D1514="","",N(G1514)-N(H1514))</f>
        <v>-57883283.51</v>
      </c>
      <c r="K1514" s="34" t="str">
        <f aca="false">IF(D1514="","",IFERROR(INDEX(I_COA!$C$6:$C$265,MATCH(D1514,I_COA!$A$6:$A$265,0)),"AKUN BARU"))</f>
        <v>Neraca</v>
      </c>
      <c r="L1514" s="34" t="str">
        <f aca="false">IF(K1514="LabaRugi",INDEX(I_COA!$D$6:$D$265,MATCH(D1514,I_COA!$A$6:$A$265,0)),"")</f>
        <v/>
      </c>
      <c r="M1514" s="34" t="str">
        <f aca="false">IF(K1514="Neraca",INDEX(I_COA!$E$6:$E$265,MATCH(D1514,I_COA!$A$6:$A$265,0)),"")</f>
        <v>Inventory - Product</v>
      </c>
      <c r="N1514" s="34" t="str">
        <f aca="false">IF(D1514="","",IFERROR(INDEX(I_COA!$G$6:$G$265,MATCH(D1514,I_COA!$A$6:$A$265,0)),"N"))</f>
        <v>N</v>
      </c>
      <c r="O1514" s="11" t="n">
        <f aca="false">IF(N1514="N",ABS(J1514),"")</f>
        <v>57883283.51</v>
      </c>
      <c r="P1514" s="18" t="str">
        <f aca="false">IF(N1514="N",B1514&amp;"|"&amp;ROUND(O1514,0),"")</f>
        <v>KGR26.00300|57883284</v>
      </c>
      <c r="Q1514" s="18" t="str">
        <f aca="false">IF(N1514&lt;&gt;"Y","",IFERROR(INDEX($D$6:$D$4005,MATCH(B1514&amp;"|"&amp;ROUND(_xlfn.MAXIFS($O$6:$O$4005,$B$6:$B$4005,B1514,$N$6:$N$4005,"N"),0),$P$6:$P$4005,0)),"(tanpa lawan)"))</f>
        <v/>
      </c>
      <c r="R1514" s="44"/>
      <c r="S1514" s="9" t="str">
        <f aca="false">IF(N1514&lt;&gt;"Y","",IF(R1514&lt;&gt;"",R1514,IF(Q1514="(tanpa lawan)","Transfer antar rekening",IFERROR(INDEX(I_COA!$F$6:$F$265,MATCH(Q1514,I_COA!$A$6:$A$265,0)),"?"))))</f>
        <v/>
      </c>
    </row>
    <row r="1515" customFormat="false" ht="15" hidden="false" customHeight="false" outlineLevel="0" collapsed="false">
      <c r="A1515" s="37" t="n">
        <v>46255</v>
      </c>
      <c r="B1515" s="44" t="s">
        <v>1776</v>
      </c>
      <c r="C1515" s="44" t="s">
        <v>600</v>
      </c>
      <c r="D1515" s="44" t="n">
        <v>1104002</v>
      </c>
      <c r="E1515" s="44" t="s">
        <v>601</v>
      </c>
      <c r="F1515" s="44" t="s">
        <v>1777</v>
      </c>
      <c r="G1515" s="42" t="n">
        <v>4971175.78</v>
      </c>
      <c r="H1515" s="42"/>
      <c r="I1515" s="44" t="s">
        <v>440</v>
      </c>
      <c r="J1515" s="11" t="n">
        <f aca="false">IF(D1515="","",N(G1515)-N(H1515))</f>
        <v>4971175.78</v>
      </c>
      <c r="K1515" s="34" t="str">
        <f aca="false">IF(D1515="","",IFERROR(INDEX(I_COA!$C$6:$C$265,MATCH(D1515,I_COA!$A$6:$A$265,0)),"AKUN BARU"))</f>
        <v>Neraca</v>
      </c>
      <c r="L1515" s="34" t="str">
        <f aca="false">IF(K1515="LabaRugi",INDEX(I_COA!$D$6:$D$265,MATCH(D1515,I_COA!$A$6:$A$265,0)),"")</f>
        <v/>
      </c>
      <c r="M1515" s="34" t="str">
        <f aca="false">IF(K1515="Neraca",INDEX(I_COA!$E$6:$E$265,MATCH(D1515,I_COA!$A$6:$A$265,0)),"")</f>
        <v>Inventory - Product</v>
      </c>
      <c r="N1515" s="34" t="str">
        <f aca="false">IF(D1515="","",IFERROR(INDEX(I_COA!$G$6:$G$265,MATCH(D1515,I_COA!$A$6:$A$265,0)),"N"))</f>
        <v>N</v>
      </c>
      <c r="O1515" s="11" t="n">
        <f aca="false">IF(N1515="N",ABS(J1515),"")</f>
        <v>4971175.78</v>
      </c>
      <c r="P1515" s="18" t="str">
        <f aca="false">IF(N1515="N",B1515&amp;"|"&amp;ROUND(O1515,0),"")</f>
        <v>KGR26.00301|4971176</v>
      </c>
      <c r="Q1515" s="18" t="str">
        <f aca="false">IF(N1515&lt;&gt;"Y","",IFERROR(INDEX($D$6:$D$4005,MATCH(B1515&amp;"|"&amp;ROUND(_xlfn.MAXIFS($O$6:$O$4005,$B$6:$B$4005,B1515,$N$6:$N$4005,"N"),0),$P$6:$P$4005,0)),"(tanpa lawan)"))</f>
        <v/>
      </c>
      <c r="R1515" s="44"/>
      <c r="S1515" s="9" t="str">
        <f aca="false">IF(N1515&lt;&gt;"Y","",IF(R1515&lt;&gt;"",R1515,IF(Q1515="(tanpa lawan)","Transfer antar rekening",IFERROR(INDEX(I_COA!$F$6:$F$265,MATCH(Q1515,I_COA!$A$6:$A$265,0)),"?"))))</f>
        <v/>
      </c>
    </row>
    <row r="1516" customFormat="false" ht="15" hidden="false" customHeight="false" outlineLevel="0" collapsed="false">
      <c r="A1516" s="37" t="n">
        <v>46255</v>
      </c>
      <c r="B1516" s="44" t="s">
        <v>1776</v>
      </c>
      <c r="C1516" s="44" t="s">
        <v>600</v>
      </c>
      <c r="D1516" s="44" t="n">
        <v>1104004</v>
      </c>
      <c r="E1516" s="44" t="s">
        <v>917</v>
      </c>
      <c r="F1516" s="44" t="s">
        <v>1777</v>
      </c>
      <c r="G1516" s="42"/>
      <c r="H1516" s="42" t="n">
        <v>4971175.78</v>
      </c>
      <c r="I1516" s="44" t="s">
        <v>440</v>
      </c>
      <c r="J1516" s="11" t="n">
        <f aca="false">IF(D1516="","",N(G1516)-N(H1516))</f>
        <v>-4971175.78</v>
      </c>
      <c r="K1516" s="34" t="str">
        <f aca="false">IF(D1516="","",IFERROR(INDEX(I_COA!$C$6:$C$265,MATCH(D1516,I_COA!$A$6:$A$265,0)),"AKUN BARU"))</f>
        <v>Neraca</v>
      </c>
      <c r="L1516" s="34" t="str">
        <f aca="false">IF(K1516="LabaRugi",INDEX(I_COA!$D$6:$D$265,MATCH(D1516,I_COA!$A$6:$A$265,0)),"")</f>
        <v/>
      </c>
      <c r="M1516" s="34" t="str">
        <f aca="false">IF(K1516="Neraca",INDEX(I_COA!$E$6:$E$265,MATCH(D1516,I_COA!$A$6:$A$265,0)),"")</f>
        <v>Inventory - Product</v>
      </c>
      <c r="N1516" s="34" t="str">
        <f aca="false">IF(D1516="","",IFERROR(INDEX(I_COA!$G$6:$G$265,MATCH(D1516,I_COA!$A$6:$A$265,0)),"N"))</f>
        <v>N</v>
      </c>
      <c r="O1516" s="11" t="n">
        <f aca="false">IF(N1516="N",ABS(J1516),"")</f>
        <v>4971175.78</v>
      </c>
      <c r="P1516" s="18" t="str">
        <f aca="false">IF(N1516="N",B1516&amp;"|"&amp;ROUND(O1516,0),"")</f>
        <v>KGR26.00301|4971176</v>
      </c>
      <c r="Q1516" s="18" t="str">
        <f aca="false">IF(N1516&lt;&gt;"Y","",IFERROR(INDEX($D$6:$D$4005,MATCH(B1516&amp;"|"&amp;ROUND(_xlfn.MAXIFS($O$6:$O$4005,$B$6:$B$4005,B1516,$N$6:$N$4005,"N"),0),$P$6:$P$4005,0)),"(tanpa lawan)"))</f>
        <v/>
      </c>
      <c r="R1516" s="44"/>
      <c r="S1516" s="9" t="str">
        <f aca="false">IF(N1516&lt;&gt;"Y","",IF(R1516&lt;&gt;"",R1516,IF(Q1516="(tanpa lawan)","Transfer antar rekening",IFERROR(INDEX(I_COA!$F$6:$F$265,MATCH(Q1516,I_COA!$A$6:$A$265,0)),"?"))))</f>
        <v/>
      </c>
    </row>
    <row r="1517" customFormat="false" ht="15" hidden="false" customHeight="false" outlineLevel="0" collapsed="false">
      <c r="A1517" s="37" t="n">
        <v>46255</v>
      </c>
      <c r="B1517" s="44" t="s">
        <v>1778</v>
      </c>
      <c r="C1517" s="44" t="s">
        <v>600</v>
      </c>
      <c r="D1517" s="44" t="n">
        <v>1104002</v>
      </c>
      <c r="E1517" s="44" t="s">
        <v>601</v>
      </c>
      <c r="F1517" s="44" t="s">
        <v>1779</v>
      </c>
      <c r="G1517" s="42" t="n">
        <v>5393155.2</v>
      </c>
      <c r="H1517" s="42"/>
      <c r="I1517" s="44" t="s">
        <v>440</v>
      </c>
      <c r="J1517" s="11" t="n">
        <f aca="false">IF(D1517="","",N(G1517)-N(H1517))</f>
        <v>5393155.2</v>
      </c>
      <c r="K1517" s="34" t="str">
        <f aca="false">IF(D1517="","",IFERROR(INDEX(I_COA!$C$6:$C$265,MATCH(D1517,I_COA!$A$6:$A$265,0)),"AKUN BARU"))</f>
        <v>Neraca</v>
      </c>
      <c r="L1517" s="34" t="str">
        <f aca="false">IF(K1517="LabaRugi",INDEX(I_COA!$D$6:$D$265,MATCH(D1517,I_COA!$A$6:$A$265,0)),"")</f>
        <v/>
      </c>
      <c r="M1517" s="34" t="str">
        <f aca="false">IF(K1517="Neraca",INDEX(I_COA!$E$6:$E$265,MATCH(D1517,I_COA!$A$6:$A$265,0)),"")</f>
        <v>Inventory - Product</v>
      </c>
      <c r="N1517" s="34" t="str">
        <f aca="false">IF(D1517="","",IFERROR(INDEX(I_COA!$G$6:$G$265,MATCH(D1517,I_COA!$A$6:$A$265,0)),"N"))</f>
        <v>N</v>
      </c>
      <c r="O1517" s="11" t="n">
        <f aca="false">IF(N1517="N",ABS(J1517),"")</f>
        <v>5393155.2</v>
      </c>
      <c r="P1517" s="18" t="str">
        <f aca="false">IF(N1517="N",B1517&amp;"|"&amp;ROUND(O1517,0),"")</f>
        <v>KGR26.00302|5393155</v>
      </c>
      <c r="Q1517" s="18" t="str">
        <f aca="false">IF(N1517&lt;&gt;"Y","",IFERROR(INDEX($D$6:$D$4005,MATCH(B1517&amp;"|"&amp;ROUND(_xlfn.MAXIFS($O$6:$O$4005,$B$6:$B$4005,B1517,$N$6:$N$4005,"N"),0),$P$6:$P$4005,0)),"(tanpa lawan)"))</f>
        <v/>
      </c>
      <c r="R1517" s="44"/>
      <c r="S1517" s="9" t="str">
        <f aca="false">IF(N1517&lt;&gt;"Y","",IF(R1517&lt;&gt;"",R1517,IF(Q1517="(tanpa lawan)","Transfer antar rekening",IFERROR(INDEX(I_COA!$F$6:$F$265,MATCH(Q1517,I_COA!$A$6:$A$265,0)),"?"))))</f>
        <v/>
      </c>
    </row>
    <row r="1518" customFormat="false" ht="15" hidden="false" customHeight="false" outlineLevel="0" collapsed="false">
      <c r="A1518" s="37" t="n">
        <v>46255</v>
      </c>
      <c r="B1518" s="44" t="s">
        <v>1778</v>
      </c>
      <c r="C1518" s="44" t="s">
        <v>600</v>
      </c>
      <c r="D1518" s="44" t="n">
        <v>1104004</v>
      </c>
      <c r="E1518" s="44" t="s">
        <v>917</v>
      </c>
      <c r="F1518" s="44" t="s">
        <v>1779</v>
      </c>
      <c r="G1518" s="42"/>
      <c r="H1518" s="42" t="n">
        <v>5393155.2</v>
      </c>
      <c r="I1518" s="44" t="s">
        <v>440</v>
      </c>
      <c r="J1518" s="11" t="n">
        <f aca="false">IF(D1518="","",N(G1518)-N(H1518))</f>
        <v>-5393155.2</v>
      </c>
      <c r="K1518" s="34" t="str">
        <f aca="false">IF(D1518="","",IFERROR(INDEX(I_COA!$C$6:$C$265,MATCH(D1518,I_COA!$A$6:$A$265,0)),"AKUN BARU"))</f>
        <v>Neraca</v>
      </c>
      <c r="L1518" s="34" t="str">
        <f aca="false">IF(K1518="LabaRugi",INDEX(I_COA!$D$6:$D$265,MATCH(D1518,I_COA!$A$6:$A$265,0)),"")</f>
        <v/>
      </c>
      <c r="M1518" s="34" t="str">
        <f aca="false">IF(K1518="Neraca",INDEX(I_COA!$E$6:$E$265,MATCH(D1518,I_COA!$A$6:$A$265,0)),"")</f>
        <v>Inventory - Product</v>
      </c>
      <c r="N1518" s="34" t="str">
        <f aca="false">IF(D1518="","",IFERROR(INDEX(I_COA!$G$6:$G$265,MATCH(D1518,I_COA!$A$6:$A$265,0)),"N"))</f>
        <v>N</v>
      </c>
      <c r="O1518" s="11" t="n">
        <f aca="false">IF(N1518="N",ABS(J1518),"")</f>
        <v>5393155.2</v>
      </c>
      <c r="P1518" s="18" t="str">
        <f aca="false">IF(N1518="N",B1518&amp;"|"&amp;ROUND(O1518,0),"")</f>
        <v>KGR26.00302|5393155</v>
      </c>
      <c r="Q1518" s="18" t="str">
        <f aca="false">IF(N1518&lt;&gt;"Y","",IFERROR(INDEX($D$6:$D$4005,MATCH(B1518&amp;"|"&amp;ROUND(_xlfn.MAXIFS($O$6:$O$4005,$B$6:$B$4005,B1518,$N$6:$N$4005,"N"),0),$P$6:$P$4005,0)),"(tanpa lawan)"))</f>
        <v/>
      </c>
      <c r="R1518" s="44"/>
      <c r="S1518" s="9" t="str">
        <f aca="false">IF(N1518&lt;&gt;"Y","",IF(R1518&lt;&gt;"",R1518,IF(Q1518="(tanpa lawan)","Transfer antar rekening",IFERROR(INDEX(I_COA!$F$6:$F$265,MATCH(Q1518,I_COA!$A$6:$A$265,0)),"?"))))</f>
        <v/>
      </c>
    </row>
    <row r="1519" customFormat="false" ht="15" hidden="false" customHeight="false" outlineLevel="0" collapsed="false">
      <c r="A1519" s="37" t="n">
        <v>46255</v>
      </c>
      <c r="B1519" s="44" t="s">
        <v>1780</v>
      </c>
      <c r="C1519" s="44" t="s">
        <v>600</v>
      </c>
      <c r="D1519" s="44" t="n">
        <v>1104002</v>
      </c>
      <c r="E1519" s="44" t="s">
        <v>601</v>
      </c>
      <c r="F1519" s="44" t="s">
        <v>1781</v>
      </c>
      <c r="G1519" s="42" t="n">
        <v>5151732.33</v>
      </c>
      <c r="H1519" s="42"/>
      <c r="I1519" s="44" t="s">
        <v>440</v>
      </c>
      <c r="J1519" s="11" t="n">
        <f aca="false">IF(D1519="","",N(G1519)-N(H1519))</f>
        <v>5151732.33</v>
      </c>
      <c r="K1519" s="34" t="str">
        <f aca="false">IF(D1519="","",IFERROR(INDEX(I_COA!$C$6:$C$265,MATCH(D1519,I_COA!$A$6:$A$265,0)),"AKUN BARU"))</f>
        <v>Neraca</v>
      </c>
      <c r="L1519" s="34" t="str">
        <f aca="false">IF(K1519="LabaRugi",INDEX(I_COA!$D$6:$D$265,MATCH(D1519,I_COA!$A$6:$A$265,0)),"")</f>
        <v/>
      </c>
      <c r="M1519" s="34" t="str">
        <f aca="false">IF(K1519="Neraca",INDEX(I_COA!$E$6:$E$265,MATCH(D1519,I_COA!$A$6:$A$265,0)),"")</f>
        <v>Inventory - Product</v>
      </c>
      <c r="N1519" s="34" t="str">
        <f aca="false">IF(D1519="","",IFERROR(INDEX(I_COA!$G$6:$G$265,MATCH(D1519,I_COA!$A$6:$A$265,0)),"N"))</f>
        <v>N</v>
      </c>
      <c r="O1519" s="11" t="n">
        <f aca="false">IF(N1519="N",ABS(J1519),"")</f>
        <v>5151732.33</v>
      </c>
      <c r="P1519" s="18" t="str">
        <f aca="false">IF(N1519="N",B1519&amp;"|"&amp;ROUND(O1519,0),"")</f>
        <v>KGR26.00303|5151732</v>
      </c>
      <c r="Q1519" s="18" t="str">
        <f aca="false">IF(N1519&lt;&gt;"Y","",IFERROR(INDEX($D$6:$D$4005,MATCH(B1519&amp;"|"&amp;ROUND(_xlfn.MAXIFS($O$6:$O$4005,$B$6:$B$4005,B1519,$N$6:$N$4005,"N"),0),$P$6:$P$4005,0)),"(tanpa lawan)"))</f>
        <v/>
      </c>
      <c r="R1519" s="44"/>
      <c r="S1519" s="9" t="str">
        <f aca="false">IF(N1519&lt;&gt;"Y","",IF(R1519&lt;&gt;"",R1519,IF(Q1519="(tanpa lawan)","Transfer antar rekening",IFERROR(INDEX(I_COA!$F$6:$F$265,MATCH(Q1519,I_COA!$A$6:$A$265,0)),"?"))))</f>
        <v/>
      </c>
    </row>
    <row r="1520" customFormat="false" ht="15" hidden="false" customHeight="false" outlineLevel="0" collapsed="false">
      <c r="A1520" s="37" t="n">
        <v>46255</v>
      </c>
      <c r="B1520" s="44" t="s">
        <v>1780</v>
      </c>
      <c r="C1520" s="44" t="s">
        <v>600</v>
      </c>
      <c r="D1520" s="44" t="n">
        <v>1104004</v>
      </c>
      <c r="E1520" s="44" t="s">
        <v>917</v>
      </c>
      <c r="F1520" s="44" t="s">
        <v>1781</v>
      </c>
      <c r="G1520" s="42"/>
      <c r="H1520" s="42" t="n">
        <v>5151732.33</v>
      </c>
      <c r="I1520" s="44" t="s">
        <v>440</v>
      </c>
      <c r="J1520" s="11" t="n">
        <f aca="false">IF(D1520="","",N(G1520)-N(H1520))</f>
        <v>-5151732.33</v>
      </c>
      <c r="K1520" s="34" t="str">
        <f aca="false">IF(D1520="","",IFERROR(INDEX(I_COA!$C$6:$C$265,MATCH(D1520,I_COA!$A$6:$A$265,0)),"AKUN BARU"))</f>
        <v>Neraca</v>
      </c>
      <c r="L1520" s="34" t="str">
        <f aca="false">IF(K1520="LabaRugi",INDEX(I_COA!$D$6:$D$265,MATCH(D1520,I_COA!$A$6:$A$265,0)),"")</f>
        <v/>
      </c>
      <c r="M1520" s="34" t="str">
        <f aca="false">IF(K1520="Neraca",INDEX(I_COA!$E$6:$E$265,MATCH(D1520,I_COA!$A$6:$A$265,0)),"")</f>
        <v>Inventory - Product</v>
      </c>
      <c r="N1520" s="34" t="str">
        <f aca="false">IF(D1520="","",IFERROR(INDEX(I_COA!$G$6:$G$265,MATCH(D1520,I_COA!$A$6:$A$265,0)),"N"))</f>
        <v>N</v>
      </c>
      <c r="O1520" s="11" t="n">
        <f aca="false">IF(N1520="N",ABS(J1520),"")</f>
        <v>5151732.33</v>
      </c>
      <c r="P1520" s="18" t="str">
        <f aca="false">IF(N1520="N",B1520&amp;"|"&amp;ROUND(O1520,0),"")</f>
        <v>KGR26.00303|5151732</v>
      </c>
      <c r="Q1520" s="18" t="str">
        <f aca="false">IF(N1520&lt;&gt;"Y","",IFERROR(INDEX($D$6:$D$4005,MATCH(B1520&amp;"|"&amp;ROUND(_xlfn.MAXIFS($O$6:$O$4005,$B$6:$B$4005,B1520,$N$6:$N$4005,"N"),0),$P$6:$P$4005,0)),"(tanpa lawan)"))</f>
        <v/>
      </c>
      <c r="R1520" s="44"/>
      <c r="S1520" s="9" t="str">
        <f aca="false">IF(N1520&lt;&gt;"Y","",IF(R1520&lt;&gt;"",R1520,IF(Q1520="(tanpa lawan)","Transfer antar rekening",IFERROR(INDEX(I_COA!$F$6:$F$265,MATCH(Q1520,I_COA!$A$6:$A$265,0)),"?"))))</f>
        <v/>
      </c>
    </row>
    <row r="1521" customFormat="false" ht="15" hidden="false" customHeight="false" outlineLevel="0" collapsed="false">
      <c r="A1521" s="37" t="n">
        <v>46255</v>
      </c>
      <c r="B1521" s="44" t="s">
        <v>1782</v>
      </c>
      <c r="C1521" s="44" t="s">
        <v>600</v>
      </c>
      <c r="D1521" s="44" t="n">
        <v>1104002</v>
      </c>
      <c r="E1521" s="44" t="s">
        <v>601</v>
      </c>
      <c r="F1521" s="44" t="s">
        <v>1783</v>
      </c>
      <c r="G1521" s="42" t="n">
        <v>4300697.66</v>
      </c>
      <c r="H1521" s="42"/>
      <c r="I1521" s="44" t="s">
        <v>440</v>
      </c>
      <c r="J1521" s="11" t="n">
        <f aca="false">IF(D1521="","",N(G1521)-N(H1521))</f>
        <v>4300697.66</v>
      </c>
      <c r="K1521" s="34" t="str">
        <f aca="false">IF(D1521="","",IFERROR(INDEX(I_COA!$C$6:$C$265,MATCH(D1521,I_COA!$A$6:$A$265,0)),"AKUN BARU"))</f>
        <v>Neraca</v>
      </c>
      <c r="L1521" s="34" t="str">
        <f aca="false">IF(K1521="LabaRugi",INDEX(I_COA!$D$6:$D$265,MATCH(D1521,I_COA!$A$6:$A$265,0)),"")</f>
        <v/>
      </c>
      <c r="M1521" s="34" t="str">
        <f aca="false">IF(K1521="Neraca",INDEX(I_COA!$E$6:$E$265,MATCH(D1521,I_COA!$A$6:$A$265,0)),"")</f>
        <v>Inventory - Product</v>
      </c>
      <c r="N1521" s="34" t="str">
        <f aca="false">IF(D1521="","",IFERROR(INDEX(I_COA!$G$6:$G$265,MATCH(D1521,I_COA!$A$6:$A$265,0)),"N"))</f>
        <v>N</v>
      </c>
      <c r="O1521" s="11" t="n">
        <f aca="false">IF(N1521="N",ABS(J1521),"")</f>
        <v>4300697.66</v>
      </c>
      <c r="P1521" s="18" t="str">
        <f aca="false">IF(N1521="N",B1521&amp;"|"&amp;ROUND(O1521,0),"")</f>
        <v>KGR26.00304|4300698</v>
      </c>
      <c r="Q1521" s="18" t="str">
        <f aca="false">IF(N1521&lt;&gt;"Y","",IFERROR(INDEX($D$6:$D$4005,MATCH(B1521&amp;"|"&amp;ROUND(_xlfn.MAXIFS($O$6:$O$4005,$B$6:$B$4005,B1521,$N$6:$N$4005,"N"),0),$P$6:$P$4005,0)),"(tanpa lawan)"))</f>
        <v/>
      </c>
      <c r="R1521" s="44"/>
      <c r="S1521" s="9" t="str">
        <f aca="false">IF(N1521&lt;&gt;"Y","",IF(R1521&lt;&gt;"",R1521,IF(Q1521="(tanpa lawan)","Transfer antar rekening",IFERROR(INDEX(I_COA!$F$6:$F$265,MATCH(Q1521,I_COA!$A$6:$A$265,0)),"?"))))</f>
        <v/>
      </c>
    </row>
    <row r="1522" customFormat="false" ht="15" hidden="false" customHeight="false" outlineLevel="0" collapsed="false">
      <c r="A1522" s="37" t="n">
        <v>46255</v>
      </c>
      <c r="B1522" s="44" t="s">
        <v>1782</v>
      </c>
      <c r="C1522" s="44" t="s">
        <v>600</v>
      </c>
      <c r="D1522" s="44" t="n">
        <v>1104004</v>
      </c>
      <c r="E1522" s="44" t="s">
        <v>917</v>
      </c>
      <c r="F1522" s="44" t="s">
        <v>1783</v>
      </c>
      <c r="G1522" s="42"/>
      <c r="H1522" s="42" t="n">
        <v>4300697.66</v>
      </c>
      <c r="I1522" s="44" t="s">
        <v>440</v>
      </c>
      <c r="J1522" s="11" t="n">
        <f aca="false">IF(D1522="","",N(G1522)-N(H1522))</f>
        <v>-4300697.66</v>
      </c>
      <c r="K1522" s="34" t="str">
        <f aca="false">IF(D1522="","",IFERROR(INDEX(I_COA!$C$6:$C$265,MATCH(D1522,I_COA!$A$6:$A$265,0)),"AKUN BARU"))</f>
        <v>Neraca</v>
      </c>
      <c r="L1522" s="34" t="str">
        <f aca="false">IF(K1522="LabaRugi",INDEX(I_COA!$D$6:$D$265,MATCH(D1522,I_COA!$A$6:$A$265,0)),"")</f>
        <v/>
      </c>
      <c r="M1522" s="34" t="str">
        <f aca="false">IF(K1522="Neraca",INDEX(I_COA!$E$6:$E$265,MATCH(D1522,I_COA!$A$6:$A$265,0)),"")</f>
        <v>Inventory - Product</v>
      </c>
      <c r="N1522" s="34" t="str">
        <f aca="false">IF(D1522="","",IFERROR(INDEX(I_COA!$G$6:$G$265,MATCH(D1522,I_COA!$A$6:$A$265,0)),"N"))</f>
        <v>N</v>
      </c>
      <c r="O1522" s="11" t="n">
        <f aca="false">IF(N1522="N",ABS(J1522),"")</f>
        <v>4300697.66</v>
      </c>
      <c r="P1522" s="18" t="str">
        <f aca="false">IF(N1522="N",B1522&amp;"|"&amp;ROUND(O1522,0),"")</f>
        <v>KGR26.00304|4300698</v>
      </c>
      <c r="Q1522" s="18" t="str">
        <f aca="false">IF(N1522&lt;&gt;"Y","",IFERROR(INDEX($D$6:$D$4005,MATCH(B1522&amp;"|"&amp;ROUND(_xlfn.MAXIFS($O$6:$O$4005,$B$6:$B$4005,B1522,$N$6:$N$4005,"N"),0),$P$6:$P$4005,0)),"(tanpa lawan)"))</f>
        <v/>
      </c>
      <c r="R1522" s="44"/>
      <c r="S1522" s="9" t="str">
        <f aca="false">IF(N1522&lt;&gt;"Y","",IF(R1522&lt;&gt;"",R1522,IF(Q1522="(tanpa lawan)","Transfer antar rekening",IFERROR(INDEX(I_COA!$F$6:$F$265,MATCH(Q1522,I_COA!$A$6:$A$265,0)),"?"))))</f>
        <v/>
      </c>
    </row>
    <row r="1523" customFormat="false" ht="15" hidden="false" customHeight="false" outlineLevel="0" collapsed="false">
      <c r="A1523" s="37" t="n">
        <v>46255</v>
      </c>
      <c r="B1523" s="44" t="s">
        <v>1784</v>
      </c>
      <c r="C1523" s="44" t="s">
        <v>600</v>
      </c>
      <c r="D1523" s="44" t="n">
        <v>1104002</v>
      </c>
      <c r="E1523" s="44" t="s">
        <v>601</v>
      </c>
      <c r="F1523" s="44" t="s">
        <v>1785</v>
      </c>
      <c r="G1523" s="42" t="n">
        <v>832182.43</v>
      </c>
      <c r="H1523" s="42"/>
      <c r="I1523" s="44" t="s">
        <v>440</v>
      </c>
      <c r="J1523" s="11" t="n">
        <f aca="false">IF(D1523="","",N(G1523)-N(H1523))</f>
        <v>832182.43</v>
      </c>
      <c r="K1523" s="34" t="str">
        <f aca="false">IF(D1523="","",IFERROR(INDEX(I_COA!$C$6:$C$265,MATCH(D1523,I_COA!$A$6:$A$265,0)),"AKUN BARU"))</f>
        <v>Neraca</v>
      </c>
      <c r="L1523" s="34" t="str">
        <f aca="false">IF(K1523="LabaRugi",INDEX(I_COA!$D$6:$D$265,MATCH(D1523,I_COA!$A$6:$A$265,0)),"")</f>
        <v/>
      </c>
      <c r="M1523" s="34" t="str">
        <f aca="false">IF(K1523="Neraca",INDEX(I_COA!$E$6:$E$265,MATCH(D1523,I_COA!$A$6:$A$265,0)),"")</f>
        <v>Inventory - Product</v>
      </c>
      <c r="N1523" s="34" t="str">
        <f aca="false">IF(D1523="","",IFERROR(INDEX(I_COA!$G$6:$G$265,MATCH(D1523,I_COA!$A$6:$A$265,0)),"N"))</f>
        <v>N</v>
      </c>
      <c r="O1523" s="11" t="n">
        <f aca="false">IF(N1523="N",ABS(J1523),"")</f>
        <v>832182.43</v>
      </c>
      <c r="P1523" s="18" t="str">
        <f aca="false">IF(N1523="N",B1523&amp;"|"&amp;ROUND(O1523,0),"")</f>
        <v>KGR26.00305|832182</v>
      </c>
      <c r="Q1523" s="18" t="str">
        <f aca="false">IF(N1523&lt;&gt;"Y","",IFERROR(INDEX($D$6:$D$4005,MATCH(B1523&amp;"|"&amp;ROUND(_xlfn.MAXIFS($O$6:$O$4005,$B$6:$B$4005,B1523,$N$6:$N$4005,"N"),0),$P$6:$P$4005,0)),"(tanpa lawan)"))</f>
        <v/>
      </c>
      <c r="R1523" s="44"/>
      <c r="S1523" s="9" t="str">
        <f aca="false">IF(N1523&lt;&gt;"Y","",IF(R1523&lt;&gt;"",R1523,IF(Q1523="(tanpa lawan)","Transfer antar rekening",IFERROR(INDEX(I_COA!$F$6:$F$265,MATCH(Q1523,I_COA!$A$6:$A$265,0)),"?"))))</f>
        <v/>
      </c>
    </row>
    <row r="1524" customFormat="false" ht="15" hidden="false" customHeight="false" outlineLevel="0" collapsed="false">
      <c r="A1524" s="37" t="n">
        <v>46255</v>
      </c>
      <c r="B1524" s="44" t="s">
        <v>1784</v>
      </c>
      <c r="C1524" s="44" t="s">
        <v>600</v>
      </c>
      <c r="D1524" s="44" t="n">
        <v>1104003</v>
      </c>
      <c r="E1524" s="44" t="s">
        <v>613</v>
      </c>
      <c r="F1524" s="44" t="s">
        <v>1785</v>
      </c>
      <c r="G1524" s="42"/>
      <c r="H1524" s="42" t="n">
        <v>832182.43</v>
      </c>
      <c r="I1524" s="44" t="s">
        <v>440</v>
      </c>
      <c r="J1524" s="11" t="n">
        <f aca="false">IF(D1524="","",N(G1524)-N(H1524))</f>
        <v>-832182.43</v>
      </c>
      <c r="K1524" s="34" t="str">
        <f aca="false">IF(D1524="","",IFERROR(INDEX(I_COA!$C$6:$C$265,MATCH(D1524,I_COA!$A$6:$A$265,0)),"AKUN BARU"))</f>
        <v>Neraca</v>
      </c>
      <c r="L1524" s="34" t="str">
        <f aca="false">IF(K1524="LabaRugi",INDEX(I_COA!$D$6:$D$265,MATCH(D1524,I_COA!$A$6:$A$265,0)),"")</f>
        <v/>
      </c>
      <c r="M1524" s="34" t="str">
        <f aca="false">IF(K1524="Neraca",INDEX(I_COA!$E$6:$E$265,MATCH(D1524,I_COA!$A$6:$A$265,0)),"")</f>
        <v>Inventory - Product</v>
      </c>
      <c r="N1524" s="34" t="str">
        <f aca="false">IF(D1524="","",IFERROR(INDEX(I_COA!$G$6:$G$265,MATCH(D1524,I_COA!$A$6:$A$265,0)),"N"))</f>
        <v>N</v>
      </c>
      <c r="O1524" s="11" t="n">
        <f aca="false">IF(N1524="N",ABS(J1524),"")</f>
        <v>832182.43</v>
      </c>
      <c r="P1524" s="18" t="str">
        <f aca="false">IF(N1524="N",B1524&amp;"|"&amp;ROUND(O1524,0),"")</f>
        <v>KGR26.00305|832182</v>
      </c>
      <c r="Q1524" s="18" t="str">
        <f aca="false">IF(N1524&lt;&gt;"Y","",IFERROR(INDEX($D$6:$D$4005,MATCH(B1524&amp;"|"&amp;ROUND(_xlfn.MAXIFS($O$6:$O$4005,$B$6:$B$4005,B1524,$N$6:$N$4005,"N"),0),$P$6:$P$4005,0)),"(tanpa lawan)"))</f>
        <v/>
      </c>
      <c r="R1524" s="44"/>
      <c r="S1524" s="9" t="str">
        <f aca="false">IF(N1524&lt;&gt;"Y","",IF(R1524&lt;&gt;"",R1524,IF(Q1524="(tanpa lawan)","Transfer antar rekening",IFERROR(INDEX(I_COA!$F$6:$F$265,MATCH(Q1524,I_COA!$A$6:$A$265,0)),"?"))))</f>
        <v/>
      </c>
    </row>
    <row r="1525" customFormat="false" ht="15" hidden="false" customHeight="false" outlineLevel="0" collapsed="false">
      <c r="A1525" s="37" t="n">
        <v>46255</v>
      </c>
      <c r="B1525" s="44" t="s">
        <v>1786</v>
      </c>
      <c r="C1525" s="44" t="s">
        <v>600</v>
      </c>
      <c r="D1525" s="44" t="n">
        <v>1104002</v>
      </c>
      <c r="E1525" s="44" t="s">
        <v>601</v>
      </c>
      <c r="F1525" s="44" t="s">
        <v>1787</v>
      </c>
      <c r="G1525" s="42" t="n">
        <v>5137130.14</v>
      </c>
      <c r="H1525" s="42"/>
      <c r="I1525" s="44" t="s">
        <v>440</v>
      </c>
      <c r="J1525" s="11" t="n">
        <f aca="false">IF(D1525="","",N(G1525)-N(H1525))</f>
        <v>5137130.14</v>
      </c>
      <c r="K1525" s="34" t="str">
        <f aca="false">IF(D1525="","",IFERROR(INDEX(I_COA!$C$6:$C$265,MATCH(D1525,I_COA!$A$6:$A$265,0)),"AKUN BARU"))</f>
        <v>Neraca</v>
      </c>
      <c r="L1525" s="34" t="str">
        <f aca="false">IF(K1525="LabaRugi",INDEX(I_COA!$D$6:$D$265,MATCH(D1525,I_COA!$A$6:$A$265,0)),"")</f>
        <v/>
      </c>
      <c r="M1525" s="34" t="str">
        <f aca="false">IF(K1525="Neraca",INDEX(I_COA!$E$6:$E$265,MATCH(D1525,I_COA!$A$6:$A$265,0)),"")</f>
        <v>Inventory - Product</v>
      </c>
      <c r="N1525" s="34" t="str">
        <f aca="false">IF(D1525="","",IFERROR(INDEX(I_COA!$G$6:$G$265,MATCH(D1525,I_COA!$A$6:$A$265,0)),"N"))</f>
        <v>N</v>
      </c>
      <c r="O1525" s="11" t="n">
        <f aca="false">IF(N1525="N",ABS(J1525),"")</f>
        <v>5137130.14</v>
      </c>
      <c r="P1525" s="18" t="str">
        <f aca="false">IF(N1525="N",B1525&amp;"|"&amp;ROUND(O1525,0),"")</f>
        <v>KGR26.00306|5137130</v>
      </c>
      <c r="Q1525" s="18" t="str">
        <f aca="false">IF(N1525&lt;&gt;"Y","",IFERROR(INDEX($D$6:$D$4005,MATCH(B1525&amp;"|"&amp;ROUND(_xlfn.MAXIFS($O$6:$O$4005,$B$6:$B$4005,B1525,$N$6:$N$4005,"N"),0),$P$6:$P$4005,0)),"(tanpa lawan)"))</f>
        <v/>
      </c>
      <c r="R1525" s="44"/>
      <c r="S1525" s="9" t="str">
        <f aca="false">IF(N1525&lt;&gt;"Y","",IF(R1525&lt;&gt;"",R1525,IF(Q1525="(tanpa lawan)","Transfer antar rekening",IFERROR(INDEX(I_COA!$F$6:$F$265,MATCH(Q1525,I_COA!$A$6:$A$265,0)),"?"))))</f>
        <v/>
      </c>
    </row>
    <row r="1526" customFormat="false" ht="15" hidden="false" customHeight="false" outlineLevel="0" collapsed="false">
      <c r="A1526" s="37" t="n">
        <v>46255</v>
      </c>
      <c r="B1526" s="44" t="s">
        <v>1786</v>
      </c>
      <c r="C1526" s="44" t="s">
        <v>600</v>
      </c>
      <c r="D1526" s="44" t="n">
        <v>1104004</v>
      </c>
      <c r="E1526" s="44" t="s">
        <v>917</v>
      </c>
      <c r="F1526" s="44" t="s">
        <v>1787</v>
      </c>
      <c r="G1526" s="42"/>
      <c r="H1526" s="42" t="n">
        <v>5137130.14</v>
      </c>
      <c r="I1526" s="44" t="s">
        <v>440</v>
      </c>
      <c r="J1526" s="11" t="n">
        <f aca="false">IF(D1526="","",N(G1526)-N(H1526))</f>
        <v>-5137130.14</v>
      </c>
      <c r="K1526" s="34" t="str">
        <f aca="false">IF(D1526="","",IFERROR(INDEX(I_COA!$C$6:$C$265,MATCH(D1526,I_COA!$A$6:$A$265,0)),"AKUN BARU"))</f>
        <v>Neraca</v>
      </c>
      <c r="L1526" s="34" t="str">
        <f aca="false">IF(K1526="LabaRugi",INDEX(I_COA!$D$6:$D$265,MATCH(D1526,I_COA!$A$6:$A$265,0)),"")</f>
        <v/>
      </c>
      <c r="M1526" s="34" t="str">
        <f aca="false">IF(K1526="Neraca",INDEX(I_COA!$E$6:$E$265,MATCH(D1526,I_COA!$A$6:$A$265,0)),"")</f>
        <v>Inventory - Product</v>
      </c>
      <c r="N1526" s="34" t="str">
        <f aca="false">IF(D1526="","",IFERROR(INDEX(I_COA!$G$6:$G$265,MATCH(D1526,I_COA!$A$6:$A$265,0)),"N"))</f>
        <v>N</v>
      </c>
      <c r="O1526" s="11" t="n">
        <f aca="false">IF(N1526="N",ABS(J1526),"")</f>
        <v>5137130.14</v>
      </c>
      <c r="P1526" s="18" t="str">
        <f aca="false">IF(N1526="N",B1526&amp;"|"&amp;ROUND(O1526,0),"")</f>
        <v>KGR26.00306|5137130</v>
      </c>
      <c r="Q1526" s="18" t="str">
        <f aca="false">IF(N1526&lt;&gt;"Y","",IFERROR(INDEX($D$6:$D$4005,MATCH(B1526&amp;"|"&amp;ROUND(_xlfn.MAXIFS($O$6:$O$4005,$B$6:$B$4005,B1526,$N$6:$N$4005,"N"),0),$P$6:$P$4005,0)),"(tanpa lawan)"))</f>
        <v/>
      </c>
      <c r="R1526" s="44"/>
      <c r="S1526" s="9" t="str">
        <f aca="false">IF(N1526&lt;&gt;"Y","",IF(R1526&lt;&gt;"",R1526,IF(Q1526="(tanpa lawan)","Transfer antar rekening",IFERROR(INDEX(I_COA!$F$6:$F$265,MATCH(Q1526,I_COA!$A$6:$A$265,0)),"?"))))</f>
        <v/>
      </c>
    </row>
    <row r="1527" customFormat="false" ht="15" hidden="false" customHeight="false" outlineLevel="0" collapsed="false">
      <c r="A1527" s="37" t="n">
        <v>46255</v>
      </c>
      <c r="B1527" s="44" t="s">
        <v>1788</v>
      </c>
      <c r="C1527" s="44" t="s">
        <v>600</v>
      </c>
      <c r="D1527" s="44" t="n">
        <v>1104002</v>
      </c>
      <c r="E1527" s="44" t="s">
        <v>601</v>
      </c>
      <c r="F1527" s="44" t="s">
        <v>1789</v>
      </c>
      <c r="G1527" s="42" t="n">
        <v>4886961.11</v>
      </c>
      <c r="H1527" s="42"/>
      <c r="I1527" s="44" t="s">
        <v>440</v>
      </c>
      <c r="J1527" s="11" t="n">
        <f aca="false">IF(D1527="","",N(G1527)-N(H1527))</f>
        <v>4886961.11</v>
      </c>
      <c r="K1527" s="34" t="str">
        <f aca="false">IF(D1527="","",IFERROR(INDEX(I_COA!$C$6:$C$265,MATCH(D1527,I_COA!$A$6:$A$265,0)),"AKUN BARU"))</f>
        <v>Neraca</v>
      </c>
      <c r="L1527" s="34" t="str">
        <f aca="false">IF(K1527="LabaRugi",INDEX(I_COA!$D$6:$D$265,MATCH(D1527,I_COA!$A$6:$A$265,0)),"")</f>
        <v/>
      </c>
      <c r="M1527" s="34" t="str">
        <f aca="false">IF(K1527="Neraca",INDEX(I_COA!$E$6:$E$265,MATCH(D1527,I_COA!$A$6:$A$265,0)),"")</f>
        <v>Inventory - Product</v>
      </c>
      <c r="N1527" s="34" t="str">
        <f aca="false">IF(D1527="","",IFERROR(INDEX(I_COA!$G$6:$G$265,MATCH(D1527,I_COA!$A$6:$A$265,0)),"N"))</f>
        <v>N</v>
      </c>
      <c r="O1527" s="11" t="n">
        <f aca="false">IF(N1527="N",ABS(J1527),"")</f>
        <v>4886961.11</v>
      </c>
      <c r="P1527" s="18" t="str">
        <f aca="false">IF(N1527="N",B1527&amp;"|"&amp;ROUND(O1527,0),"")</f>
        <v>KGR26.00307|4886961</v>
      </c>
      <c r="Q1527" s="18" t="str">
        <f aca="false">IF(N1527&lt;&gt;"Y","",IFERROR(INDEX($D$6:$D$4005,MATCH(B1527&amp;"|"&amp;ROUND(_xlfn.MAXIFS($O$6:$O$4005,$B$6:$B$4005,B1527,$N$6:$N$4005,"N"),0),$P$6:$P$4005,0)),"(tanpa lawan)"))</f>
        <v/>
      </c>
      <c r="R1527" s="44"/>
      <c r="S1527" s="9" t="str">
        <f aca="false">IF(N1527&lt;&gt;"Y","",IF(R1527&lt;&gt;"",R1527,IF(Q1527="(tanpa lawan)","Transfer antar rekening",IFERROR(INDEX(I_COA!$F$6:$F$265,MATCH(Q1527,I_COA!$A$6:$A$265,0)),"?"))))</f>
        <v/>
      </c>
    </row>
    <row r="1528" customFormat="false" ht="15" hidden="false" customHeight="false" outlineLevel="0" collapsed="false">
      <c r="A1528" s="37" t="n">
        <v>46255</v>
      </c>
      <c r="B1528" s="44" t="s">
        <v>1788</v>
      </c>
      <c r="C1528" s="44" t="s">
        <v>600</v>
      </c>
      <c r="D1528" s="44" t="n">
        <v>1104004</v>
      </c>
      <c r="E1528" s="44" t="s">
        <v>917</v>
      </c>
      <c r="F1528" s="44" t="s">
        <v>1789</v>
      </c>
      <c r="G1528" s="42"/>
      <c r="H1528" s="42" t="n">
        <v>4886961.11</v>
      </c>
      <c r="I1528" s="44" t="s">
        <v>440</v>
      </c>
      <c r="J1528" s="11" t="n">
        <f aca="false">IF(D1528="","",N(G1528)-N(H1528))</f>
        <v>-4886961.11</v>
      </c>
      <c r="K1528" s="34" t="str">
        <f aca="false">IF(D1528="","",IFERROR(INDEX(I_COA!$C$6:$C$265,MATCH(D1528,I_COA!$A$6:$A$265,0)),"AKUN BARU"))</f>
        <v>Neraca</v>
      </c>
      <c r="L1528" s="34" t="str">
        <f aca="false">IF(K1528="LabaRugi",INDEX(I_COA!$D$6:$D$265,MATCH(D1528,I_COA!$A$6:$A$265,0)),"")</f>
        <v/>
      </c>
      <c r="M1528" s="34" t="str">
        <f aca="false">IF(K1528="Neraca",INDEX(I_COA!$E$6:$E$265,MATCH(D1528,I_COA!$A$6:$A$265,0)),"")</f>
        <v>Inventory - Product</v>
      </c>
      <c r="N1528" s="34" t="str">
        <f aca="false">IF(D1528="","",IFERROR(INDEX(I_COA!$G$6:$G$265,MATCH(D1528,I_COA!$A$6:$A$265,0)),"N"))</f>
        <v>N</v>
      </c>
      <c r="O1528" s="11" t="n">
        <f aca="false">IF(N1528="N",ABS(J1528),"")</f>
        <v>4886961.11</v>
      </c>
      <c r="P1528" s="18" t="str">
        <f aca="false">IF(N1528="N",B1528&amp;"|"&amp;ROUND(O1528,0),"")</f>
        <v>KGR26.00307|4886961</v>
      </c>
      <c r="Q1528" s="18" t="str">
        <f aca="false">IF(N1528&lt;&gt;"Y","",IFERROR(INDEX($D$6:$D$4005,MATCH(B1528&amp;"|"&amp;ROUND(_xlfn.MAXIFS($O$6:$O$4005,$B$6:$B$4005,B1528,$N$6:$N$4005,"N"),0),$P$6:$P$4005,0)),"(tanpa lawan)"))</f>
        <v/>
      </c>
      <c r="R1528" s="44"/>
      <c r="S1528" s="9" t="str">
        <f aca="false">IF(N1528&lt;&gt;"Y","",IF(R1528&lt;&gt;"",R1528,IF(Q1528="(tanpa lawan)","Transfer antar rekening",IFERROR(INDEX(I_COA!$F$6:$F$265,MATCH(Q1528,I_COA!$A$6:$A$265,0)),"?"))))</f>
        <v/>
      </c>
    </row>
    <row r="1529" customFormat="false" ht="15" hidden="false" customHeight="false" outlineLevel="0" collapsed="false">
      <c r="A1529" s="37" t="n">
        <v>46255</v>
      </c>
      <c r="B1529" s="44" t="s">
        <v>1790</v>
      </c>
      <c r="C1529" s="44" t="s">
        <v>600</v>
      </c>
      <c r="D1529" s="44" t="n">
        <v>1104002</v>
      </c>
      <c r="E1529" s="44" t="s">
        <v>601</v>
      </c>
      <c r="F1529" s="44" t="s">
        <v>1791</v>
      </c>
      <c r="G1529" s="42" t="n">
        <v>35228325.39</v>
      </c>
      <c r="H1529" s="42"/>
      <c r="I1529" s="44" t="s">
        <v>432</v>
      </c>
      <c r="J1529" s="11" t="n">
        <f aca="false">IF(D1529="","",N(G1529)-N(H1529))</f>
        <v>35228325.39</v>
      </c>
      <c r="K1529" s="34" t="str">
        <f aca="false">IF(D1529="","",IFERROR(INDEX(I_COA!$C$6:$C$265,MATCH(D1529,I_COA!$A$6:$A$265,0)),"AKUN BARU"))</f>
        <v>Neraca</v>
      </c>
      <c r="L1529" s="34" t="str">
        <f aca="false">IF(K1529="LabaRugi",INDEX(I_COA!$D$6:$D$265,MATCH(D1529,I_COA!$A$6:$A$265,0)),"")</f>
        <v/>
      </c>
      <c r="M1529" s="34" t="str">
        <f aca="false">IF(K1529="Neraca",INDEX(I_COA!$E$6:$E$265,MATCH(D1529,I_COA!$A$6:$A$265,0)),"")</f>
        <v>Inventory - Product</v>
      </c>
      <c r="N1529" s="34" t="str">
        <f aca="false">IF(D1529="","",IFERROR(INDEX(I_COA!$G$6:$G$265,MATCH(D1529,I_COA!$A$6:$A$265,0)),"N"))</f>
        <v>N</v>
      </c>
      <c r="O1529" s="11" t="n">
        <f aca="false">IF(N1529="N",ABS(J1529),"")</f>
        <v>35228325.39</v>
      </c>
      <c r="P1529" s="18" t="str">
        <f aca="false">IF(N1529="N",B1529&amp;"|"&amp;ROUND(O1529,0),"")</f>
        <v>KGR26.00308|35228325</v>
      </c>
      <c r="Q1529" s="18" t="str">
        <f aca="false">IF(N1529&lt;&gt;"Y","",IFERROR(INDEX($D$6:$D$4005,MATCH(B1529&amp;"|"&amp;ROUND(_xlfn.MAXIFS($O$6:$O$4005,$B$6:$B$4005,B1529,$N$6:$N$4005,"N"),0),$P$6:$P$4005,0)),"(tanpa lawan)"))</f>
        <v/>
      </c>
      <c r="R1529" s="44"/>
      <c r="S1529" s="9" t="str">
        <f aca="false">IF(N1529&lt;&gt;"Y","",IF(R1529&lt;&gt;"",R1529,IF(Q1529="(tanpa lawan)","Transfer antar rekening",IFERROR(INDEX(I_COA!$F$6:$F$265,MATCH(Q1529,I_COA!$A$6:$A$265,0)),"?"))))</f>
        <v/>
      </c>
    </row>
    <row r="1530" customFormat="false" ht="15" hidden="false" customHeight="false" outlineLevel="0" collapsed="false">
      <c r="A1530" s="37" t="n">
        <v>46255</v>
      </c>
      <c r="B1530" s="44" t="s">
        <v>1790</v>
      </c>
      <c r="C1530" s="44" t="s">
        <v>600</v>
      </c>
      <c r="D1530" s="44" t="n">
        <v>1104006</v>
      </c>
      <c r="E1530" s="44" t="s">
        <v>212</v>
      </c>
      <c r="F1530" s="44" t="s">
        <v>1791</v>
      </c>
      <c r="G1530" s="42"/>
      <c r="H1530" s="42" t="n">
        <v>35228325.39</v>
      </c>
      <c r="I1530" s="44" t="s">
        <v>432</v>
      </c>
      <c r="J1530" s="11" t="n">
        <f aca="false">IF(D1530="","",N(G1530)-N(H1530))</f>
        <v>-35228325.39</v>
      </c>
      <c r="K1530" s="34" t="str">
        <f aca="false">IF(D1530="","",IFERROR(INDEX(I_COA!$C$6:$C$265,MATCH(D1530,I_COA!$A$6:$A$265,0)),"AKUN BARU"))</f>
        <v>Neraca</v>
      </c>
      <c r="L1530" s="34" t="str">
        <f aca="false">IF(K1530="LabaRugi",INDEX(I_COA!$D$6:$D$265,MATCH(D1530,I_COA!$A$6:$A$265,0)),"")</f>
        <v/>
      </c>
      <c r="M1530" s="34" t="str">
        <f aca="false">IF(K1530="Neraca",INDEX(I_COA!$E$6:$E$265,MATCH(D1530,I_COA!$A$6:$A$265,0)),"")</f>
        <v>Inventory - Trading</v>
      </c>
      <c r="N1530" s="34" t="str">
        <f aca="false">IF(D1530="","",IFERROR(INDEX(I_COA!$G$6:$G$265,MATCH(D1530,I_COA!$A$6:$A$265,0)),"N"))</f>
        <v>N</v>
      </c>
      <c r="O1530" s="11" t="n">
        <f aca="false">IF(N1530="N",ABS(J1530),"")</f>
        <v>35228325.39</v>
      </c>
      <c r="P1530" s="18" t="str">
        <f aca="false">IF(N1530="N",B1530&amp;"|"&amp;ROUND(O1530,0),"")</f>
        <v>KGR26.00308|35228325</v>
      </c>
      <c r="Q1530" s="18" t="str">
        <f aca="false">IF(N1530&lt;&gt;"Y","",IFERROR(INDEX($D$6:$D$4005,MATCH(B1530&amp;"|"&amp;ROUND(_xlfn.MAXIFS($O$6:$O$4005,$B$6:$B$4005,B1530,$N$6:$N$4005,"N"),0),$P$6:$P$4005,0)),"(tanpa lawan)"))</f>
        <v/>
      </c>
      <c r="R1530" s="44"/>
      <c r="S1530" s="9" t="str">
        <f aca="false">IF(N1530&lt;&gt;"Y","",IF(R1530&lt;&gt;"",R1530,IF(Q1530="(tanpa lawan)","Transfer antar rekening",IFERROR(INDEX(I_COA!$F$6:$F$265,MATCH(Q1530,I_COA!$A$6:$A$265,0)),"?"))))</f>
        <v/>
      </c>
    </row>
    <row r="1531" customFormat="false" ht="15" hidden="false" customHeight="false" outlineLevel="0" collapsed="false">
      <c r="A1531" s="37" t="n">
        <v>46255</v>
      </c>
      <c r="B1531" s="44" t="s">
        <v>1792</v>
      </c>
      <c r="C1531" s="44" t="s">
        <v>600</v>
      </c>
      <c r="D1531" s="44" t="n">
        <v>1104002</v>
      </c>
      <c r="E1531" s="44" t="s">
        <v>601</v>
      </c>
      <c r="F1531" s="44" t="s">
        <v>1793</v>
      </c>
      <c r="G1531" s="42" t="n">
        <v>69499324.36</v>
      </c>
      <c r="H1531" s="42"/>
      <c r="I1531" s="44" t="s">
        <v>774</v>
      </c>
      <c r="J1531" s="11" t="n">
        <f aca="false">IF(D1531="","",N(G1531)-N(H1531))</f>
        <v>69499324.36</v>
      </c>
      <c r="K1531" s="34" t="str">
        <f aca="false">IF(D1531="","",IFERROR(INDEX(I_COA!$C$6:$C$265,MATCH(D1531,I_COA!$A$6:$A$265,0)),"AKUN BARU"))</f>
        <v>Neraca</v>
      </c>
      <c r="L1531" s="34" t="str">
        <f aca="false">IF(K1531="LabaRugi",INDEX(I_COA!$D$6:$D$265,MATCH(D1531,I_COA!$A$6:$A$265,0)),"")</f>
        <v/>
      </c>
      <c r="M1531" s="34" t="str">
        <f aca="false">IF(K1531="Neraca",INDEX(I_COA!$E$6:$E$265,MATCH(D1531,I_COA!$A$6:$A$265,0)),"")</f>
        <v>Inventory - Product</v>
      </c>
      <c r="N1531" s="34" t="str">
        <f aca="false">IF(D1531="","",IFERROR(INDEX(I_COA!$G$6:$G$265,MATCH(D1531,I_COA!$A$6:$A$265,0)),"N"))</f>
        <v>N</v>
      </c>
      <c r="O1531" s="11" t="n">
        <f aca="false">IF(N1531="N",ABS(J1531),"")</f>
        <v>69499324.36</v>
      </c>
      <c r="P1531" s="18" t="str">
        <f aca="false">IF(N1531="N",B1531&amp;"|"&amp;ROUND(O1531,0),"")</f>
        <v>KGR26.00309|69499324</v>
      </c>
      <c r="Q1531" s="18" t="str">
        <f aca="false">IF(N1531&lt;&gt;"Y","",IFERROR(INDEX($D$6:$D$4005,MATCH(B1531&amp;"|"&amp;ROUND(_xlfn.MAXIFS($O$6:$O$4005,$B$6:$B$4005,B1531,$N$6:$N$4005,"N"),0),$P$6:$P$4005,0)),"(tanpa lawan)"))</f>
        <v/>
      </c>
      <c r="R1531" s="44"/>
      <c r="S1531" s="9" t="str">
        <f aca="false">IF(N1531&lt;&gt;"Y","",IF(R1531&lt;&gt;"",R1531,IF(Q1531="(tanpa lawan)","Transfer antar rekening",IFERROR(INDEX(I_COA!$F$6:$F$265,MATCH(Q1531,I_COA!$A$6:$A$265,0)),"?"))))</f>
        <v/>
      </c>
    </row>
    <row r="1532" customFormat="false" ht="15" hidden="false" customHeight="false" outlineLevel="0" collapsed="false">
      <c r="A1532" s="37" t="n">
        <v>46255</v>
      </c>
      <c r="B1532" s="44" t="s">
        <v>1792</v>
      </c>
      <c r="C1532" s="44" t="s">
        <v>600</v>
      </c>
      <c r="D1532" s="44" t="n">
        <v>1104003</v>
      </c>
      <c r="E1532" s="44" t="s">
        <v>613</v>
      </c>
      <c r="F1532" s="44" t="s">
        <v>1793</v>
      </c>
      <c r="G1532" s="42"/>
      <c r="H1532" s="42" t="n">
        <v>7123569.09</v>
      </c>
      <c r="I1532" s="44" t="s">
        <v>774</v>
      </c>
      <c r="J1532" s="11" t="n">
        <f aca="false">IF(D1532="","",N(G1532)-N(H1532))</f>
        <v>-7123569.09</v>
      </c>
      <c r="K1532" s="34" t="str">
        <f aca="false">IF(D1532="","",IFERROR(INDEX(I_COA!$C$6:$C$265,MATCH(D1532,I_COA!$A$6:$A$265,0)),"AKUN BARU"))</f>
        <v>Neraca</v>
      </c>
      <c r="L1532" s="34" t="str">
        <f aca="false">IF(K1532="LabaRugi",INDEX(I_COA!$D$6:$D$265,MATCH(D1532,I_COA!$A$6:$A$265,0)),"")</f>
        <v/>
      </c>
      <c r="M1532" s="34" t="str">
        <f aca="false">IF(K1532="Neraca",INDEX(I_COA!$E$6:$E$265,MATCH(D1532,I_COA!$A$6:$A$265,0)),"")</f>
        <v>Inventory - Product</v>
      </c>
      <c r="N1532" s="34" t="str">
        <f aca="false">IF(D1532="","",IFERROR(INDEX(I_COA!$G$6:$G$265,MATCH(D1532,I_COA!$A$6:$A$265,0)),"N"))</f>
        <v>N</v>
      </c>
      <c r="O1532" s="11" t="n">
        <f aca="false">IF(N1532="N",ABS(J1532),"")</f>
        <v>7123569.09</v>
      </c>
      <c r="P1532" s="18" t="str">
        <f aca="false">IF(N1532="N",B1532&amp;"|"&amp;ROUND(O1532,0),"")</f>
        <v>KGR26.00309|7123569</v>
      </c>
      <c r="Q1532" s="18" t="str">
        <f aca="false">IF(N1532&lt;&gt;"Y","",IFERROR(INDEX($D$6:$D$4005,MATCH(B1532&amp;"|"&amp;ROUND(_xlfn.MAXIFS($O$6:$O$4005,$B$6:$B$4005,B1532,$N$6:$N$4005,"N"),0),$P$6:$P$4005,0)),"(tanpa lawan)"))</f>
        <v/>
      </c>
      <c r="R1532" s="44"/>
      <c r="S1532" s="9" t="str">
        <f aca="false">IF(N1532&lt;&gt;"Y","",IF(R1532&lt;&gt;"",R1532,IF(Q1532="(tanpa lawan)","Transfer antar rekening",IFERROR(INDEX(I_COA!$F$6:$F$265,MATCH(Q1532,I_COA!$A$6:$A$265,0)),"?"))))</f>
        <v/>
      </c>
    </row>
    <row r="1533" customFormat="false" ht="15" hidden="false" customHeight="false" outlineLevel="0" collapsed="false">
      <c r="A1533" s="37" t="n">
        <v>46255</v>
      </c>
      <c r="B1533" s="44" t="s">
        <v>1792</v>
      </c>
      <c r="C1533" s="44" t="s">
        <v>600</v>
      </c>
      <c r="D1533" s="44" t="n">
        <v>1104006</v>
      </c>
      <c r="E1533" s="44" t="s">
        <v>212</v>
      </c>
      <c r="F1533" s="44" t="s">
        <v>1793</v>
      </c>
      <c r="G1533" s="42"/>
      <c r="H1533" s="42" t="n">
        <v>62375755.27</v>
      </c>
      <c r="I1533" s="44" t="s">
        <v>774</v>
      </c>
      <c r="J1533" s="11" t="n">
        <f aca="false">IF(D1533="","",N(G1533)-N(H1533))</f>
        <v>-62375755.27</v>
      </c>
      <c r="K1533" s="34" t="str">
        <f aca="false">IF(D1533="","",IFERROR(INDEX(I_COA!$C$6:$C$265,MATCH(D1533,I_COA!$A$6:$A$265,0)),"AKUN BARU"))</f>
        <v>Neraca</v>
      </c>
      <c r="L1533" s="34" t="str">
        <f aca="false">IF(K1533="LabaRugi",INDEX(I_COA!$D$6:$D$265,MATCH(D1533,I_COA!$A$6:$A$265,0)),"")</f>
        <v/>
      </c>
      <c r="M1533" s="34" t="str">
        <f aca="false">IF(K1533="Neraca",INDEX(I_COA!$E$6:$E$265,MATCH(D1533,I_COA!$A$6:$A$265,0)),"")</f>
        <v>Inventory - Trading</v>
      </c>
      <c r="N1533" s="34" t="str">
        <f aca="false">IF(D1533="","",IFERROR(INDEX(I_COA!$G$6:$G$265,MATCH(D1533,I_COA!$A$6:$A$265,0)),"N"))</f>
        <v>N</v>
      </c>
      <c r="O1533" s="11" t="n">
        <f aca="false">IF(N1533="N",ABS(J1533),"")</f>
        <v>62375755.27</v>
      </c>
      <c r="P1533" s="18" t="str">
        <f aca="false">IF(N1533="N",B1533&amp;"|"&amp;ROUND(O1533,0),"")</f>
        <v>KGR26.00309|62375755</v>
      </c>
      <c r="Q1533" s="18" t="str">
        <f aca="false">IF(N1533&lt;&gt;"Y","",IFERROR(INDEX($D$6:$D$4005,MATCH(B1533&amp;"|"&amp;ROUND(_xlfn.MAXIFS($O$6:$O$4005,$B$6:$B$4005,B1533,$N$6:$N$4005,"N"),0),$P$6:$P$4005,0)),"(tanpa lawan)"))</f>
        <v/>
      </c>
      <c r="R1533" s="44"/>
      <c r="S1533" s="9" t="str">
        <f aca="false">IF(N1533&lt;&gt;"Y","",IF(R1533&lt;&gt;"",R1533,IF(Q1533="(tanpa lawan)","Transfer antar rekening",IFERROR(INDEX(I_COA!$F$6:$F$265,MATCH(Q1533,I_COA!$A$6:$A$265,0)),"?"))))</f>
        <v/>
      </c>
    </row>
    <row r="1534" customFormat="false" ht="15" hidden="false" customHeight="false" outlineLevel="0" collapsed="false">
      <c r="A1534" s="37" t="n">
        <v>46255</v>
      </c>
      <c r="B1534" s="44" t="s">
        <v>1794</v>
      </c>
      <c r="C1534" s="44" t="s">
        <v>600</v>
      </c>
      <c r="D1534" s="44" t="n">
        <v>1104002</v>
      </c>
      <c r="E1534" s="44" t="s">
        <v>601</v>
      </c>
      <c r="F1534" s="44" t="s">
        <v>1795</v>
      </c>
      <c r="G1534" s="42" t="n">
        <v>42225389.06</v>
      </c>
      <c r="H1534" s="42"/>
      <c r="I1534" s="44" t="s">
        <v>465</v>
      </c>
      <c r="J1534" s="11" t="n">
        <f aca="false">IF(D1534="","",N(G1534)-N(H1534))</f>
        <v>42225389.06</v>
      </c>
      <c r="K1534" s="34" t="str">
        <f aca="false">IF(D1534="","",IFERROR(INDEX(I_COA!$C$6:$C$265,MATCH(D1534,I_COA!$A$6:$A$265,0)),"AKUN BARU"))</f>
        <v>Neraca</v>
      </c>
      <c r="L1534" s="34" t="str">
        <f aca="false">IF(K1534="LabaRugi",INDEX(I_COA!$D$6:$D$265,MATCH(D1534,I_COA!$A$6:$A$265,0)),"")</f>
        <v/>
      </c>
      <c r="M1534" s="34" t="str">
        <f aca="false">IF(K1534="Neraca",INDEX(I_COA!$E$6:$E$265,MATCH(D1534,I_COA!$A$6:$A$265,0)),"")</f>
        <v>Inventory - Product</v>
      </c>
      <c r="N1534" s="34" t="str">
        <f aca="false">IF(D1534="","",IFERROR(INDEX(I_COA!$G$6:$G$265,MATCH(D1534,I_COA!$A$6:$A$265,0)),"N"))</f>
        <v>N</v>
      </c>
      <c r="O1534" s="11" t="n">
        <f aca="false">IF(N1534="N",ABS(J1534),"")</f>
        <v>42225389.06</v>
      </c>
      <c r="P1534" s="18" t="str">
        <f aca="false">IF(N1534="N",B1534&amp;"|"&amp;ROUND(O1534,0),"")</f>
        <v>KGR26.00310|42225389</v>
      </c>
      <c r="Q1534" s="18" t="str">
        <f aca="false">IF(N1534&lt;&gt;"Y","",IFERROR(INDEX($D$6:$D$4005,MATCH(B1534&amp;"|"&amp;ROUND(_xlfn.MAXIFS($O$6:$O$4005,$B$6:$B$4005,B1534,$N$6:$N$4005,"N"),0),$P$6:$P$4005,0)),"(tanpa lawan)"))</f>
        <v/>
      </c>
      <c r="R1534" s="44"/>
      <c r="S1534" s="9" t="str">
        <f aca="false">IF(N1534&lt;&gt;"Y","",IF(R1534&lt;&gt;"",R1534,IF(Q1534="(tanpa lawan)","Transfer antar rekening",IFERROR(INDEX(I_COA!$F$6:$F$265,MATCH(Q1534,I_COA!$A$6:$A$265,0)),"?"))))</f>
        <v/>
      </c>
    </row>
    <row r="1535" customFormat="false" ht="15" hidden="false" customHeight="false" outlineLevel="0" collapsed="false">
      <c r="A1535" s="37" t="n">
        <v>46255</v>
      </c>
      <c r="B1535" s="44" t="s">
        <v>1794</v>
      </c>
      <c r="C1535" s="44" t="s">
        <v>600</v>
      </c>
      <c r="D1535" s="44" t="n">
        <v>1104006</v>
      </c>
      <c r="E1535" s="44" t="s">
        <v>212</v>
      </c>
      <c r="F1535" s="44" t="s">
        <v>1795</v>
      </c>
      <c r="G1535" s="42"/>
      <c r="H1535" s="42" t="n">
        <v>42225389.06</v>
      </c>
      <c r="I1535" s="44" t="s">
        <v>465</v>
      </c>
      <c r="J1535" s="11" t="n">
        <f aca="false">IF(D1535="","",N(G1535)-N(H1535))</f>
        <v>-42225389.06</v>
      </c>
      <c r="K1535" s="34" t="str">
        <f aca="false">IF(D1535="","",IFERROR(INDEX(I_COA!$C$6:$C$265,MATCH(D1535,I_COA!$A$6:$A$265,0)),"AKUN BARU"))</f>
        <v>Neraca</v>
      </c>
      <c r="L1535" s="34" t="str">
        <f aca="false">IF(K1535="LabaRugi",INDEX(I_COA!$D$6:$D$265,MATCH(D1535,I_COA!$A$6:$A$265,0)),"")</f>
        <v/>
      </c>
      <c r="M1535" s="34" t="str">
        <f aca="false">IF(K1535="Neraca",INDEX(I_COA!$E$6:$E$265,MATCH(D1535,I_COA!$A$6:$A$265,0)),"")</f>
        <v>Inventory - Trading</v>
      </c>
      <c r="N1535" s="34" t="str">
        <f aca="false">IF(D1535="","",IFERROR(INDEX(I_COA!$G$6:$G$265,MATCH(D1535,I_COA!$A$6:$A$265,0)),"N"))</f>
        <v>N</v>
      </c>
      <c r="O1535" s="11" t="n">
        <f aca="false">IF(N1535="N",ABS(J1535),"")</f>
        <v>42225389.06</v>
      </c>
      <c r="P1535" s="18" t="str">
        <f aca="false">IF(N1535="N",B1535&amp;"|"&amp;ROUND(O1535,0),"")</f>
        <v>KGR26.00310|42225389</v>
      </c>
      <c r="Q1535" s="18" t="str">
        <f aca="false">IF(N1535&lt;&gt;"Y","",IFERROR(INDEX($D$6:$D$4005,MATCH(B1535&amp;"|"&amp;ROUND(_xlfn.MAXIFS($O$6:$O$4005,$B$6:$B$4005,B1535,$N$6:$N$4005,"N"),0),$P$6:$P$4005,0)),"(tanpa lawan)"))</f>
        <v/>
      </c>
      <c r="R1535" s="44"/>
      <c r="S1535" s="9" t="str">
        <f aca="false">IF(N1535&lt;&gt;"Y","",IF(R1535&lt;&gt;"",R1535,IF(Q1535="(tanpa lawan)","Transfer antar rekening",IFERROR(INDEX(I_COA!$F$6:$F$265,MATCH(Q1535,I_COA!$A$6:$A$265,0)),"?"))))</f>
        <v/>
      </c>
    </row>
    <row r="1536" customFormat="false" ht="15" hidden="false" customHeight="false" outlineLevel="0" collapsed="false">
      <c r="A1536" s="37" t="n">
        <v>46255</v>
      </c>
      <c r="B1536" s="44" t="s">
        <v>1796</v>
      </c>
      <c r="C1536" s="44" t="s">
        <v>600</v>
      </c>
      <c r="D1536" s="44" t="n">
        <v>1104002</v>
      </c>
      <c r="E1536" s="44" t="s">
        <v>601</v>
      </c>
      <c r="F1536" s="44" t="s">
        <v>1797</v>
      </c>
      <c r="G1536" s="42" t="n">
        <v>53305627.75</v>
      </c>
      <c r="H1536" s="42"/>
      <c r="I1536" s="44" t="s">
        <v>432</v>
      </c>
      <c r="J1536" s="11" t="n">
        <f aca="false">IF(D1536="","",N(G1536)-N(H1536))</f>
        <v>53305627.75</v>
      </c>
      <c r="K1536" s="34" t="str">
        <f aca="false">IF(D1536="","",IFERROR(INDEX(I_COA!$C$6:$C$265,MATCH(D1536,I_COA!$A$6:$A$265,0)),"AKUN BARU"))</f>
        <v>Neraca</v>
      </c>
      <c r="L1536" s="34" t="str">
        <f aca="false">IF(K1536="LabaRugi",INDEX(I_COA!$D$6:$D$265,MATCH(D1536,I_COA!$A$6:$A$265,0)),"")</f>
        <v/>
      </c>
      <c r="M1536" s="34" t="str">
        <f aca="false">IF(K1536="Neraca",INDEX(I_COA!$E$6:$E$265,MATCH(D1536,I_COA!$A$6:$A$265,0)),"")</f>
        <v>Inventory - Product</v>
      </c>
      <c r="N1536" s="34" t="str">
        <f aca="false">IF(D1536="","",IFERROR(INDEX(I_COA!$G$6:$G$265,MATCH(D1536,I_COA!$A$6:$A$265,0)),"N"))</f>
        <v>N</v>
      </c>
      <c r="O1536" s="11" t="n">
        <f aca="false">IF(N1536="N",ABS(J1536),"")</f>
        <v>53305627.75</v>
      </c>
      <c r="P1536" s="18" t="str">
        <f aca="false">IF(N1536="N",B1536&amp;"|"&amp;ROUND(O1536,0),"")</f>
        <v>KGR26.00312|53305628</v>
      </c>
      <c r="Q1536" s="18" t="str">
        <f aca="false">IF(N1536&lt;&gt;"Y","",IFERROR(INDEX($D$6:$D$4005,MATCH(B1536&amp;"|"&amp;ROUND(_xlfn.MAXIFS($O$6:$O$4005,$B$6:$B$4005,B1536,$N$6:$N$4005,"N"),0),$P$6:$P$4005,0)),"(tanpa lawan)"))</f>
        <v/>
      </c>
      <c r="R1536" s="44"/>
      <c r="S1536" s="9" t="str">
        <f aca="false">IF(N1536&lt;&gt;"Y","",IF(R1536&lt;&gt;"",R1536,IF(Q1536="(tanpa lawan)","Transfer antar rekening",IFERROR(INDEX(I_COA!$F$6:$F$265,MATCH(Q1536,I_COA!$A$6:$A$265,0)),"?"))))</f>
        <v/>
      </c>
    </row>
    <row r="1537" customFormat="false" ht="15" hidden="false" customHeight="false" outlineLevel="0" collapsed="false">
      <c r="A1537" s="37" t="n">
        <v>46255</v>
      </c>
      <c r="B1537" s="44" t="s">
        <v>1796</v>
      </c>
      <c r="C1537" s="44" t="s">
        <v>600</v>
      </c>
      <c r="D1537" s="44" t="n">
        <v>1104003</v>
      </c>
      <c r="E1537" s="44" t="s">
        <v>613</v>
      </c>
      <c r="F1537" s="44" t="s">
        <v>1797</v>
      </c>
      <c r="G1537" s="42"/>
      <c r="H1537" s="42" t="n">
        <v>53305627.75</v>
      </c>
      <c r="I1537" s="44" t="s">
        <v>432</v>
      </c>
      <c r="J1537" s="11" t="n">
        <f aca="false">IF(D1537="","",N(G1537)-N(H1537))</f>
        <v>-53305627.75</v>
      </c>
      <c r="K1537" s="34" t="str">
        <f aca="false">IF(D1537="","",IFERROR(INDEX(I_COA!$C$6:$C$265,MATCH(D1537,I_COA!$A$6:$A$265,0)),"AKUN BARU"))</f>
        <v>Neraca</v>
      </c>
      <c r="L1537" s="34" t="str">
        <f aca="false">IF(K1537="LabaRugi",INDEX(I_COA!$D$6:$D$265,MATCH(D1537,I_COA!$A$6:$A$265,0)),"")</f>
        <v/>
      </c>
      <c r="M1537" s="34" t="str">
        <f aca="false">IF(K1537="Neraca",INDEX(I_COA!$E$6:$E$265,MATCH(D1537,I_COA!$A$6:$A$265,0)),"")</f>
        <v>Inventory - Product</v>
      </c>
      <c r="N1537" s="34" t="str">
        <f aca="false">IF(D1537="","",IFERROR(INDEX(I_COA!$G$6:$G$265,MATCH(D1537,I_COA!$A$6:$A$265,0)),"N"))</f>
        <v>N</v>
      </c>
      <c r="O1537" s="11" t="n">
        <f aca="false">IF(N1537="N",ABS(J1537),"")</f>
        <v>53305627.75</v>
      </c>
      <c r="P1537" s="18" t="str">
        <f aca="false">IF(N1537="N",B1537&amp;"|"&amp;ROUND(O1537,0),"")</f>
        <v>KGR26.00312|53305628</v>
      </c>
      <c r="Q1537" s="18" t="str">
        <f aca="false">IF(N1537&lt;&gt;"Y","",IFERROR(INDEX($D$6:$D$4005,MATCH(B1537&amp;"|"&amp;ROUND(_xlfn.MAXIFS($O$6:$O$4005,$B$6:$B$4005,B1537,$N$6:$N$4005,"N"),0),$P$6:$P$4005,0)),"(tanpa lawan)"))</f>
        <v/>
      </c>
      <c r="R1537" s="44"/>
      <c r="S1537" s="9" t="str">
        <f aca="false">IF(N1537&lt;&gt;"Y","",IF(R1537&lt;&gt;"",R1537,IF(Q1537="(tanpa lawan)","Transfer antar rekening",IFERROR(INDEX(I_COA!$F$6:$F$265,MATCH(Q1537,I_COA!$A$6:$A$265,0)),"?"))))</f>
        <v/>
      </c>
    </row>
    <row r="1538" customFormat="false" ht="15" hidden="false" customHeight="false" outlineLevel="0" collapsed="false">
      <c r="A1538" s="37" t="n">
        <v>46255</v>
      </c>
      <c r="B1538" s="44" t="s">
        <v>1798</v>
      </c>
      <c r="C1538" s="44" t="s">
        <v>600</v>
      </c>
      <c r="D1538" s="44" t="n">
        <v>1104002</v>
      </c>
      <c r="E1538" s="44" t="s">
        <v>601</v>
      </c>
      <c r="F1538" s="44" t="s">
        <v>1799</v>
      </c>
      <c r="G1538" s="42" t="n">
        <v>39190485.46</v>
      </c>
      <c r="H1538" s="42"/>
      <c r="I1538" s="44" t="s">
        <v>437</v>
      </c>
      <c r="J1538" s="11" t="n">
        <f aca="false">IF(D1538="","",N(G1538)-N(H1538))</f>
        <v>39190485.46</v>
      </c>
      <c r="K1538" s="34" t="str">
        <f aca="false">IF(D1538="","",IFERROR(INDEX(I_COA!$C$6:$C$265,MATCH(D1538,I_COA!$A$6:$A$265,0)),"AKUN BARU"))</f>
        <v>Neraca</v>
      </c>
      <c r="L1538" s="34" t="str">
        <f aca="false">IF(K1538="LabaRugi",INDEX(I_COA!$D$6:$D$265,MATCH(D1538,I_COA!$A$6:$A$265,0)),"")</f>
        <v/>
      </c>
      <c r="M1538" s="34" t="str">
        <f aca="false">IF(K1538="Neraca",INDEX(I_COA!$E$6:$E$265,MATCH(D1538,I_COA!$A$6:$A$265,0)),"")</f>
        <v>Inventory - Product</v>
      </c>
      <c r="N1538" s="34" t="str">
        <f aca="false">IF(D1538="","",IFERROR(INDEX(I_COA!$G$6:$G$265,MATCH(D1538,I_COA!$A$6:$A$265,0)),"N"))</f>
        <v>N</v>
      </c>
      <c r="O1538" s="11" t="n">
        <f aca="false">IF(N1538="N",ABS(J1538),"")</f>
        <v>39190485.46</v>
      </c>
      <c r="P1538" s="18" t="str">
        <f aca="false">IF(N1538="N",B1538&amp;"|"&amp;ROUND(O1538,0),"")</f>
        <v>KGR26.00313|39190485</v>
      </c>
      <c r="Q1538" s="18" t="str">
        <f aca="false">IF(N1538&lt;&gt;"Y","",IFERROR(INDEX($D$6:$D$4005,MATCH(B1538&amp;"|"&amp;ROUND(_xlfn.MAXIFS($O$6:$O$4005,$B$6:$B$4005,B1538,$N$6:$N$4005,"N"),0),$P$6:$P$4005,0)),"(tanpa lawan)"))</f>
        <v/>
      </c>
      <c r="R1538" s="44"/>
      <c r="S1538" s="9" t="str">
        <f aca="false">IF(N1538&lt;&gt;"Y","",IF(R1538&lt;&gt;"",R1538,IF(Q1538="(tanpa lawan)","Transfer antar rekening",IFERROR(INDEX(I_COA!$F$6:$F$265,MATCH(Q1538,I_COA!$A$6:$A$265,0)),"?"))))</f>
        <v/>
      </c>
    </row>
    <row r="1539" customFormat="false" ht="15" hidden="false" customHeight="false" outlineLevel="0" collapsed="false">
      <c r="A1539" s="37" t="n">
        <v>46255</v>
      </c>
      <c r="B1539" s="44" t="s">
        <v>1798</v>
      </c>
      <c r="C1539" s="44" t="s">
        <v>600</v>
      </c>
      <c r="D1539" s="44" t="n">
        <v>1104006</v>
      </c>
      <c r="E1539" s="44" t="s">
        <v>212</v>
      </c>
      <c r="F1539" s="44" t="s">
        <v>1799</v>
      </c>
      <c r="G1539" s="42"/>
      <c r="H1539" s="42" t="n">
        <v>39190485.46</v>
      </c>
      <c r="I1539" s="44" t="s">
        <v>437</v>
      </c>
      <c r="J1539" s="11" t="n">
        <f aca="false">IF(D1539="","",N(G1539)-N(H1539))</f>
        <v>-39190485.46</v>
      </c>
      <c r="K1539" s="34" t="str">
        <f aca="false">IF(D1539="","",IFERROR(INDEX(I_COA!$C$6:$C$265,MATCH(D1539,I_COA!$A$6:$A$265,0)),"AKUN BARU"))</f>
        <v>Neraca</v>
      </c>
      <c r="L1539" s="34" t="str">
        <f aca="false">IF(K1539="LabaRugi",INDEX(I_COA!$D$6:$D$265,MATCH(D1539,I_COA!$A$6:$A$265,0)),"")</f>
        <v/>
      </c>
      <c r="M1539" s="34" t="str">
        <f aca="false">IF(K1539="Neraca",INDEX(I_COA!$E$6:$E$265,MATCH(D1539,I_COA!$A$6:$A$265,0)),"")</f>
        <v>Inventory - Trading</v>
      </c>
      <c r="N1539" s="34" t="str">
        <f aca="false">IF(D1539="","",IFERROR(INDEX(I_COA!$G$6:$G$265,MATCH(D1539,I_COA!$A$6:$A$265,0)),"N"))</f>
        <v>N</v>
      </c>
      <c r="O1539" s="11" t="n">
        <f aca="false">IF(N1539="N",ABS(J1539),"")</f>
        <v>39190485.46</v>
      </c>
      <c r="P1539" s="18" t="str">
        <f aca="false">IF(N1539="N",B1539&amp;"|"&amp;ROUND(O1539,0),"")</f>
        <v>KGR26.00313|39190485</v>
      </c>
      <c r="Q1539" s="18" t="str">
        <f aca="false">IF(N1539&lt;&gt;"Y","",IFERROR(INDEX($D$6:$D$4005,MATCH(B1539&amp;"|"&amp;ROUND(_xlfn.MAXIFS($O$6:$O$4005,$B$6:$B$4005,B1539,$N$6:$N$4005,"N"),0),$P$6:$P$4005,0)),"(tanpa lawan)"))</f>
        <v/>
      </c>
      <c r="R1539" s="44"/>
      <c r="S1539" s="9" t="str">
        <f aca="false">IF(N1539&lt;&gt;"Y","",IF(R1539&lt;&gt;"",R1539,IF(Q1539="(tanpa lawan)","Transfer antar rekening",IFERROR(INDEX(I_COA!$F$6:$F$265,MATCH(Q1539,I_COA!$A$6:$A$265,0)),"?"))))</f>
        <v/>
      </c>
    </row>
    <row r="1540" customFormat="false" ht="15" hidden="false" customHeight="false" outlineLevel="0" collapsed="false">
      <c r="A1540" s="37" t="n">
        <v>46255</v>
      </c>
      <c r="B1540" s="44" t="s">
        <v>1800</v>
      </c>
      <c r="C1540" s="44" t="s">
        <v>617</v>
      </c>
      <c r="D1540" s="44" t="n">
        <v>1103101</v>
      </c>
      <c r="E1540" s="44" t="s">
        <v>589</v>
      </c>
      <c r="F1540" s="44" t="s">
        <v>1801</v>
      </c>
      <c r="G1540" s="42" t="n">
        <v>256998750</v>
      </c>
      <c r="H1540" s="42"/>
      <c r="I1540" s="44" t="s">
        <v>457</v>
      </c>
      <c r="J1540" s="11" t="n">
        <f aca="false">IF(D1540="","",N(G1540)-N(H1540))</f>
        <v>256998750</v>
      </c>
      <c r="K1540" s="34" t="str">
        <f aca="false">IF(D1540="","",IFERROR(INDEX(I_COA!$C$6:$C$265,MATCH(D1540,I_COA!$A$6:$A$265,0)),"AKUN BARU"))</f>
        <v>Neraca</v>
      </c>
      <c r="L1540" s="34" t="str">
        <f aca="false">IF(K1540="LabaRugi",INDEX(I_COA!$D$6:$D$265,MATCH(D1540,I_COA!$A$6:$A$265,0)),"")</f>
        <v/>
      </c>
      <c r="M1540" s="34" t="str">
        <f aca="false">IF(K1540="Neraca",INDEX(I_COA!$E$6:$E$265,MATCH(D1540,I_COA!$A$6:$A$265,0)),"")</f>
        <v>Trade Receivables - Third Parties</v>
      </c>
      <c r="N1540" s="34" t="str">
        <f aca="false">IF(D1540="","",IFERROR(INDEX(I_COA!$G$6:$G$265,MATCH(D1540,I_COA!$A$6:$A$265,0)),"N"))</f>
        <v>N</v>
      </c>
      <c r="O1540" s="11" t="n">
        <f aca="false">IF(N1540="N",ABS(J1540),"")</f>
        <v>256998750</v>
      </c>
      <c r="P1540" s="18" t="str">
        <f aca="false">IF(N1540="N",B1540&amp;"|"&amp;ROUND(O1540,0),"")</f>
        <v>KGR26/0299|256998750</v>
      </c>
      <c r="Q1540" s="18" t="str">
        <f aca="false">IF(N1540&lt;&gt;"Y","",IFERROR(INDEX($D$6:$D$4005,MATCH(B1540&amp;"|"&amp;ROUND(_xlfn.MAXIFS($O$6:$O$4005,$B$6:$B$4005,B1540,$N$6:$N$4005,"N"),0),$P$6:$P$4005,0)),"(tanpa lawan)"))</f>
        <v/>
      </c>
      <c r="R1540" s="44"/>
      <c r="S1540" s="9" t="str">
        <f aca="false">IF(N1540&lt;&gt;"Y","",IF(R1540&lt;&gt;"",R1540,IF(Q1540="(tanpa lawan)","Transfer antar rekening",IFERROR(INDEX(I_COA!$F$6:$F$265,MATCH(Q1540,I_COA!$A$6:$A$265,0)),"?"))))</f>
        <v/>
      </c>
    </row>
    <row r="1541" customFormat="false" ht="15" hidden="false" customHeight="false" outlineLevel="0" collapsed="false">
      <c r="A1541" s="37" t="n">
        <v>46255</v>
      </c>
      <c r="B1541" s="44" t="s">
        <v>1800</v>
      </c>
      <c r="C1541" s="44" t="s">
        <v>617</v>
      </c>
      <c r="D1541" s="44" t="n">
        <v>4101006</v>
      </c>
      <c r="E1541" s="44" t="s">
        <v>626</v>
      </c>
      <c r="F1541" s="44" t="s">
        <v>1801</v>
      </c>
      <c r="G1541" s="42"/>
      <c r="H1541" s="42" t="n">
        <v>256998750</v>
      </c>
      <c r="I1541" s="44" t="s">
        <v>457</v>
      </c>
      <c r="J1541" s="11" t="n">
        <f aca="false">IF(D1541="","",N(G1541)-N(H1541))</f>
        <v>-256998750</v>
      </c>
      <c r="K1541" s="34" t="str">
        <f aca="false">IF(D1541="","",IFERROR(INDEX(I_COA!$C$6:$C$265,MATCH(D1541,I_COA!$A$6:$A$265,0)),"AKUN BARU"))</f>
        <v>LabaRugi</v>
      </c>
      <c r="L1541" s="34" t="str">
        <f aca="false">IF(K1541="LabaRugi",INDEX(I_COA!$D$6:$D$265,MATCH(D1541,I_COA!$A$6:$A$265,0)),"")</f>
        <v>Revenue - LB Main Product</v>
      </c>
      <c r="M1541" s="34" t="str">
        <f aca="false">IF(K1541="Neraca",INDEX(I_COA!$E$6:$E$265,MATCH(D1541,I_COA!$A$6:$A$265,0)),"")</f>
        <v/>
      </c>
      <c r="N1541" s="34" t="str">
        <f aca="false">IF(D1541="","",IFERROR(INDEX(I_COA!$G$6:$G$265,MATCH(D1541,I_COA!$A$6:$A$265,0)),"N"))</f>
        <v>N</v>
      </c>
      <c r="O1541" s="11" t="n">
        <f aca="false">IF(N1541="N",ABS(J1541),"")</f>
        <v>256998750</v>
      </c>
      <c r="P1541" s="18" t="str">
        <f aca="false">IF(N1541="N",B1541&amp;"|"&amp;ROUND(O1541,0),"")</f>
        <v>KGR26/0299|256998750</v>
      </c>
      <c r="Q1541" s="18" t="str">
        <f aca="false">IF(N1541&lt;&gt;"Y","",IFERROR(INDEX($D$6:$D$4005,MATCH(B1541&amp;"|"&amp;ROUND(_xlfn.MAXIFS($O$6:$O$4005,$B$6:$B$4005,B1541,$N$6:$N$4005,"N"),0),$P$6:$P$4005,0)),"(tanpa lawan)"))</f>
        <v/>
      </c>
      <c r="R1541" s="44"/>
      <c r="S1541" s="9" t="str">
        <f aca="false">IF(N1541&lt;&gt;"Y","",IF(R1541&lt;&gt;"",R1541,IF(Q1541="(tanpa lawan)","Transfer antar rekening",IFERROR(INDEX(I_COA!$F$6:$F$265,MATCH(Q1541,I_COA!$A$6:$A$265,0)),"?"))))</f>
        <v/>
      </c>
    </row>
    <row r="1542" customFormat="false" ht="15" hidden="false" customHeight="false" outlineLevel="0" collapsed="false">
      <c r="A1542" s="37" t="n">
        <v>46255</v>
      </c>
      <c r="B1542" s="44" t="s">
        <v>1800</v>
      </c>
      <c r="C1542" s="44" t="s">
        <v>617</v>
      </c>
      <c r="D1542" s="44" t="n">
        <v>5100004</v>
      </c>
      <c r="E1542" s="44" t="s">
        <v>627</v>
      </c>
      <c r="F1542" s="44" t="s">
        <v>1801</v>
      </c>
      <c r="G1542" s="42" t="n">
        <v>259427930.46</v>
      </c>
      <c r="H1542" s="42"/>
      <c r="I1542" s="44" t="s">
        <v>457</v>
      </c>
      <c r="J1542" s="11" t="n">
        <f aca="false">IF(D1542="","",N(G1542)-N(H1542))</f>
        <v>259427930.46</v>
      </c>
      <c r="K1542" s="34" t="str">
        <f aca="false">IF(D1542="","",IFERROR(INDEX(I_COA!$C$6:$C$265,MATCH(D1542,I_COA!$A$6:$A$265,0)),"AKUN BARU"))</f>
        <v>LabaRugi</v>
      </c>
      <c r="L1542" s="34" t="str">
        <f aca="false">IF(K1542="LabaRugi",INDEX(I_COA!$D$6:$D$265,MATCH(D1542,I_COA!$A$6:$A$265,0)),"")</f>
        <v>COGS - Live Bird</v>
      </c>
      <c r="M1542" s="34" t="str">
        <f aca="false">IF(K1542="Neraca",INDEX(I_COA!$E$6:$E$265,MATCH(D1542,I_COA!$A$6:$A$265,0)),"")</f>
        <v/>
      </c>
      <c r="N1542" s="34" t="str">
        <f aca="false">IF(D1542="","",IFERROR(INDEX(I_COA!$G$6:$G$265,MATCH(D1542,I_COA!$A$6:$A$265,0)),"N"))</f>
        <v>N</v>
      </c>
      <c r="O1542" s="11" t="n">
        <f aca="false">IF(N1542="N",ABS(J1542),"")</f>
        <v>259427930.46</v>
      </c>
      <c r="P1542" s="18" t="str">
        <f aca="false">IF(N1542="N",B1542&amp;"|"&amp;ROUND(O1542,0),"")</f>
        <v>KGR26/0299|259427930</v>
      </c>
      <c r="Q1542" s="18" t="str">
        <f aca="false">IF(N1542&lt;&gt;"Y","",IFERROR(INDEX($D$6:$D$4005,MATCH(B1542&amp;"|"&amp;ROUND(_xlfn.MAXIFS($O$6:$O$4005,$B$6:$B$4005,B1542,$N$6:$N$4005,"N"),0),$P$6:$P$4005,0)),"(tanpa lawan)"))</f>
        <v/>
      </c>
      <c r="R1542" s="44"/>
      <c r="S1542" s="9" t="str">
        <f aca="false">IF(N1542&lt;&gt;"Y","",IF(R1542&lt;&gt;"",R1542,IF(Q1542="(tanpa lawan)","Transfer antar rekening",IFERROR(INDEX(I_COA!$F$6:$F$265,MATCH(Q1542,I_COA!$A$6:$A$265,0)),"?"))))</f>
        <v/>
      </c>
    </row>
    <row r="1543" customFormat="false" ht="15" hidden="false" customHeight="false" outlineLevel="0" collapsed="false">
      <c r="A1543" s="37" t="n">
        <v>46255</v>
      </c>
      <c r="B1543" s="44" t="s">
        <v>1800</v>
      </c>
      <c r="C1543" s="44" t="s">
        <v>617</v>
      </c>
      <c r="D1543" s="44" t="n">
        <v>1104002</v>
      </c>
      <c r="E1543" s="44" t="s">
        <v>601</v>
      </c>
      <c r="F1543" s="44" t="s">
        <v>1801</v>
      </c>
      <c r="G1543" s="42"/>
      <c r="H1543" s="42" t="n">
        <v>259427930.46</v>
      </c>
      <c r="I1543" s="44" t="s">
        <v>457</v>
      </c>
      <c r="J1543" s="11" t="n">
        <f aca="false">IF(D1543="","",N(G1543)-N(H1543))</f>
        <v>-259427930.46</v>
      </c>
      <c r="K1543" s="34" t="str">
        <f aca="false">IF(D1543="","",IFERROR(INDEX(I_COA!$C$6:$C$265,MATCH(D1543,I_COA!$A$6:$A$265,0)),"AKUN BARU"))</f>
        <v>Neraca</v>
      </c>
      <c r="L1543" s="34" t="str">
        <f aca="false">IF(K1543="LabaRugi",INDEX(I_COA!$D$6:$D$265,MATCH(D1543,I_COA!$A$6:$A$265,0)),"")</f>
        <v/>
      </c>
      <c r="M1543" s="34" t="str">
        <f aca="false">IF(K1543="Neraca",INDEX(I_COA!$E$6:$E$265,MATCH(D1543,I_COA!$A$6:$A$265,0)),"")</f>
        <v>Inventory - Product</v>
      </c>
      <c r="N1543" s="34" t="str">
        <f aca="false">IF(D1543="","",IFERROR(INDEX(I_COA!$G$6:$G$265,MATCH(D1543,I_COA!$A$6:$A$265,0)),"N"))</f>
        <v>N</v>
      </c>
      <c r="O1543" s="11" t="n">
        <f aca="false">IF(N1543="N",ABS(J1543),"")</f>
        <v>259427930.46</v>
      </c>
      <c r="P1543" s="18" t="str">
        <f aca="false">IF(N1543="N",B1543&amp;"|"&amp;ROUND(O1543,0),"")</f>
        <v>KGR26/0299|259427930</v>
      </c>
      <c r="Q1543" s="18" t="str">
        <f aca="false">IF(N1543&lt;&gt;"Y","",IFERROR(INDEX($D$6:$D$4005,MATCH(B1543&amp;"|"&amp;ROUND(_xlfn.MAXIFS($O$6:$O$4005,$B$6:$B$4005,B1543,$N$6:$N$4005,"N"),0),$P$6:$P$4005,0)),"(tanpa lawan)"))</f>
        <v/>
      </c>
      <c r="R1543" s="44"/>
      <c r="S1543" s="9" t="str">
        <f aca="false">IF(N1543&lt;&gt;"Y","",IF(R1543&lt;&gt;"",R1543,IF(Q1543="(tanpa lawan)","Transfer antar rekening",IFERROR(INDEX(I_COA!$F$6:$F$265,MATCH(Q1543,I_COA!$A$6:$A$265,0)),"?"))))</f>
        <v/>
      </c>
    </row>
    <row r="1544" customFormat="false" ht="15" hidden="false" customHeight="false" outlineLevel="0" collapsed="false">
      <c r="A1544" s="37" t="n">
        <v>46255</v>
      </c>
      <c r="B1544" s="44" t="s">
        <v>1802</v>
      </c>
      <c r="C1544" s="44" t="s">
        <v>617</v>
      </c>
      <c r="D1544" s="44" t="n">
        <v>1103101</v>
      </c>
      <c r="E1544" s="44" t="s">
        <v>589</v>
      </c>
      <c r="F1544" s="44" t="s">
        <v>1803</v>
      </c>
      <c r="G1544" s="42" t="n">
        <v>57858750</v>
      </c>
      <c r="H1544" s="42"/>
      <c r="I1544" s="44" t="s">
        <v>774</v>
      </c>
      <c r="J1544" s="11" t="n">
        <f aca="false">IF(D1544="","",N(G1544)-N(H1544))</f>
        <v>57858750</v>
      </c>
      <c r="K1544" s="34" t="str">
        <f aca="false">IF(D1544="","",IFERROR(INDEX(I_COA!$C$6:$C$265,MATCH(D1544,I_COA!$A$6:$A$265,0)),"AKUN BARU"))</f>
        <v>Neraca</v>
      </c>
      <c r="L1544" s="34" t="str">
        <f aca="false">IF(K1544="LabaRugi",INDEX(I_COA!$D$6:$D$265,MATCH(D1544,I_COA!$A$6:$A$265,0)),"")</f>
        <v/>
      </c>
      <c r="M1544" s="34" t="str">
        <f aca="false">IF(K1544="Neraca",INDEX(I_COA!$E$6:$E$265,MATCH(D1544,I_COA!$A$6:$A$265,0)),"")</f>
        <v>Trade Receivables - Third Parties</v>
      </c>
      <c r="N1544" s="34" t="str">
        <f aca="false">IF(D1544="","",IFERROR(INDEX(I_COA!$G$6:$G$265,MATCH(D1544,I_COA!$A$6:$A$265,0)),"N"))</f>
        <v>N</v>
      </c>
      <c r="O1544" s="11" t="n">
        <f aca="false">IF(N1544="N",ABS(J1544),"")</f>
        <v>57858750</v>
      </c>
      <c r="P1544" s="18" t="str">
        <f aca="false">IF(N1544="N",B1544&amp;"|"&amp;ROUND(O1544,0),"")</f>
        <v>KGR26/0300|57858750</v>
      </c>
      <c r="Q1544" s="18" t="str">
        <f aca="false">IF(N1544&lt;&gt;"Y","",IFERROR(INDEX($D$6:$D$4005,MATCH(B1544&amp;"|"&amp;ROUND(_xlfn.MAXIFS($O$6:$O$4005,$B$6:$B$4005,B1544,$N$6:$N$4005,"N"),0),$P$6:$P$4005,0)),"(tanpa lawan)"))</f>
        <v/>
      </c>
      <c r="R1544" s="44"/>
      <c r="S1544" s="9" t="str">
        <f aca="false">IF(N1544&lt;&gt;"Y","",IF(R1544&lt;&gt;"",R1544,IF(Q1544="(tanpa lawan)","Transfer antar rekening",IFERROR(INDEX(I_COA!$F$6:$F$265,MATCH(Q1544,I_COA!$A$6:$A$265,0)),"?"))))</f>
        <v/>
      </c>
    </row>
    <row r="1545" customFormat="false" ht="15" hidden="false" customHeight="false" outlineLevel="0" collapsed="false">
      <c r="A1545" s="37" t="n">
        <v>46255</v>
      </c>
      <c r="B1545" s="44" t="s">
        <v>1802</v>
      </c>
      <c r="C1545" s="44" t="s">
        <v>617</v>
      </c>
      <c r="D1545" s="44" t="n">
        <v>4101006</v>
      </c>
      <c r="E1545" s="44" t="s">
        <v>626</v>
      </c>
      <c r="F1545" s="44" t="s">
        <v>1803</v>
      </c>
      <c r="G1545" s="42"/>
      <c r="H1545" s="42" t="n">
        <v>57858750</v>
      </c>
      <c r="I1545" s="44" t="s">
        <v>774</v>
      </c>
      <c r="J1545" s="11" t="n">
        <f aca="false">IF(D1545="","",N(G1545)-N(H1545))</f>
        <v>-57858750</v>
      </c>
      <c r="K1545" s="34" t="str">
        <f aca="false">IF(D1545="","",IFERROR(INDEX(I_COA!$C$6:$C$265,MATCH(D1545,I_COA!$A$6:$A$265,0)),"AKUN BARU"))</f>
        <v>LabaRugi</v>
      </c>
      <c r="L1545" s="34" t="str">
        <f aca="false">IF(K1545="LabaRugi",INDEX(I_COA!$D$6:$D$265,MATCH(D1545,I_COA!$A$6:$A$265,0)),"")</f>
        <v>Revenue - LB Main Product</v>
      </c>
      <c r="M1545" s="34" t="str">
        <f aca="false">IF(K1545="Neraca",INDEX(I_COA!$E$6:$E$265,MATCH(D1545,I_COA!$A$6:$A$265,0)),"")</f>
        <v/>
      </c>
      <c r="N1545" s="34" t="str">
        <f aca="false">IF(D1545="","",IFERROR(INDEX(I_COA!$G$6:$G$265,MATCH(D1545,I_COA!$A$6:$A$265,0)),"N"))</f>
        <v>N</v>
      </c>
      <c r="O1545" s="11" t="n">
        <f aca="false">IF(N1545="N",ABS(J1545),"")</f>
        <v>57858750</v>
      </c>
      <c r="P1545" s="18" t="str">
        <f aca="false">IF(N1545="N",B1545&amp;"|"&amp;ROUND(O1545,0),"")</f>
        <v>KGR26/0300|57858750</v>
      </c>
      <c r="Q1545" s="18" t="str">
        <f aca="false">IF(N1545&lt;&gt;"Y","",IFERROR(INDEX($D$6:$D$4005,MATCH(B1545&amp;"|"&amp;ROUND(_xlfn.MAXIFS($O$6:$O$4005,$B$6:$B$4005,B1545,$N$6:$N$4005,"N"),0),$P$6:$P$4005,0)),"(tanpa lawan)"))</f>
        <v/>
      </c>
      <c r="R1545" s="44"/>
      <c r="S1545" s="9" t="str">
        <f aca="false">IF(N1545&lt;&gt;"Y","",IF(R1545&lt;&gt;"",R1545,IF(Q1545="(tanpa lawan)","Transfer antar rekening",IFERROR(INDEX(I_COA!$F$6:$F$265,MATCH(Q1545,I_COA!$A$6:$A$265,0)),"?"))))</f>
        <v/>
      </c>
    </row>
    <row r="1546" customFormat="false" ht="15" hidden="false" customHeight="false" outlineLevel="0" collapsed="false">
      <c r="A1546" s="37" t="n">
        <v>46255</v>
      </c>
      <c r="B1546" s="44" t="s">
        <v>1802</v>
      </c>
      <c r="C1546" s="44" t="s">
        <v>617</v>
      </c>
      <c r="D1546" s="44" t="n">
        <v>5100004</v>
      </c>
      <c r="E1546" s="44" t="s">
        <v>627</v>
      </c>
      <c r="F1546" s="44" t="s">
        <v>1803</v>
      </c>
      <c r="G1546" s="42" t="n">
        <v>57883283.51</v>
      </c>
      <c r="H1546" s="42"/>
      <c r="I1546" s="44" t="s">
        <v>774</v>
      </c>
      <c r="J1546" s="11" t="n">
        <f aca="false">IF(D1546="","",N(G1546)-N(H1546))</f>
        <v>57883283.51</v>
      </c>
      <c r="K1546" s="34" t="str">
        <f aca="false">IF(D1546="","",IFERROR(INDEX(I_COA!$C$6:$C$265,MATCH(D1546,I_COA!$A$6:$A$265,0)),"AKUN BARU"))</f>
        <v>LabaRugi</v>
      </c>
      <c r="L1546" s="34" t="str">
        <f aca="false">IF(K1546="LabaRugi",INDEX(I_COA!$D$6:$D$265,MATCH(D1546,I_COA!$A$6:$A$265,0)),"")</f>
        <v>COGS - Live Bird</v>
      </c>
      <c r="M1546" s="34" t="str">
        <f aca="false">IF(K1546="Neraca",INDEX(I_COA!$E$6:$E$265,MATCH(D1546,I_COA!$A$6:$A$265,0)),"")</f>
        <v/>
      </c>
      <c r="N1546" s="34" t="str">
        <f aca="false">IF(D1546="","",IFERROR(INDEX(I_COA!$G$6:$G$265,MATCH(D1546,I_COA!$A$6:$A$265,0)),"N"))</f>
        <v>N</v>
      </c>
      <c r="O1546" s="11" t="n">
        <f aca="false">IF(N1546="N",ABS(J1546),"")</f>
        <v>57883283.51</v>
      </c>
      <c r="P1546" s="18" t="str">
        <f aca="false">IF(N1546="N",B1546&amp;"|"&amp;ROUND(O1546,0),"")</f>
        <v>KGR26/0300|57883284</v>
      </c>
      <c r="Q1546" s="18" t="str">
        <f aca="false">IF(N1546&lt;&gt;"Y","",IFERROR(INDEX($D$6:$D$4005,MATCH(B1546&amp;"|"&amp;ROUND(_xlfn.MAXIFS($O$6:$O$4005,$B$6:$B$4005,B1546,$N$6:$N$4005,"N"),0),$P$6:$P$4005,0)),"(tanpa lawan)"))</f>
        <v/>
      </c>
      <c r="R1546" s="44"/>
      <c r="S1546" s="9" t="str">
        <f aca="false">IF(N1546&lt;&gt;"Y","",IF(R1546&lt;&gt;"",R1546,IF(Q1546="(tanpa lawan)","Transfer antar rekening",IFERROR(INDEX(I_COA!$F$6:$F$265,MATCH(Q1546,I_COA!$A$6:$A$265,0)),"?"))))</f>
        <v/>
      </c>
    </row>
    <row r="1547" customFormat="false" ht="15" hidden="false" customHeight="false" outlineLevel="0" collapsed="false">
      <c r="A1547" s="37" t="n">
        <v>46255</v>
      </c>
      <c r="B1547" s="44" t="s">
        <v>1802</v>
      </c>
      <c r="C1547" s="44" t="s">
        <v>617</v>
      </c>
      <c r="D1547" s="44" t="n">
        <v>1104002</v>
      </c>
      <c r="E1547" s="44" t="s">
        <v>601</v>
      </c>
      <c r="F1547" s="44" t="s">
        <v>1803</v>
      </c>
      <c r="G1547" s="42"/>
      <c r="H1547" s="42" t="n">
        <v>57883283.51</v>
      </c>
      <c r="I1547" s="44" t="s">
        <v>774</v>
      </c>
      <c r="J1547" s="11" t="n">
        <f aca="false">IF(D1547="","",N(G1547)-N(H1547))</f>
        <v>-57883283.51</v>
      </c>
      <c r="K1547" s="34" t="str">
        <f aca="false">IF(D1547="","",IFERROR(INDEX(I_COA!$C$6:$C$265,MATCH(D1547,I_COA!$A$6:$A$265,0)),"AKUN BARU"))</f>
        <v>Neraca</v>
      </c>
      <c r="L1547" s="34" t="str">
        <f aca="false">IF(K1547="LabaRugi",INDEX(I_COA!$D$6:$D$265,MATCH(D1547,I_COA!$A$6:$A$265,0)),"")</f>
        <v/>
      </c>
      <c r="M1547" s="34" t="str">
        <f aca="false">IF(K1547="Neraca",INDEX(I_COA!$E$6:$E$265,MATCH(D1547,I_COA!$A$6:$A$265,0)),"")</f>
        <v>Inventory - Product</v>
      </c>
      <c r="N1547" s="34" t="str">
        <f aca="false">IF(D1547="","",IFERROR(INDEX(I_COA!$G$6:$G$265,MATCH(D1547,I_COA!$A$6:$A$265,0)),"N"))</f>
        <v>N</v>
      </c>
      <c r="O1547" s="11" t="n">
        <f aca="false">IF(N1547="N",ABS(J1547),"")</f>
        <v>57883283.51</v>
      </c>
      <c r="P1547" s="18" t="str">
        <f aca="false">IF(N1547="N",B1547&amp;"|"&amp;ROUND(O1547,0),"")</f>
        <v>KGR26/0300|57883284</v>
      </c>
      <c r="Q1547" s="18" t="str">
        <f aca="false">IF(N1547&lt;&gt;"Y","",IFERROR(INDEX($D$6:$D$4005,MATCH(B1547&amp;"|"&amp;ROUND(_xlfn.MAXIFS($O$6:$O$4005,$B$6:$B$4005,B1547,$N$6:$N$4005,"N"),0),$P$6:$P$4005,0)),"(tanpa lawan)"))</f>
        <v/>
      </c>
      <c r="R1547" s="44"/>
      <c r="S1547" s="9" t="str">
        <f aca="false">IF(N1547&lt;&gt;"Y","",IF(R1547&lt;&gt;"",R1547,IF(Q1547="(tanpa lawan)","Transfer antar rekening",IFERROR(INDEX(I_COA!$F$6:$F$265,MATCH(Q1547,I_COA!$A$6:$A$265,0)),"?"))))</f>
        <v/>
      </c>
    </row>
    <row r="1548" customFormat="false" ht="15" hidden="false" customHeight="false" outlineLevel="0" collapsed="false">
      <c r="A1548" s="37" t="n">
        <v>46255</v>
      </c>
      <c r="B1548" s="44" t="s">
        <v>1804</v>
      </c>
      <c r="C1548" s="44" t="s">
        <v>617</v>
      </c>
      <c r="D1548" s="44" t="n">
        <v>1103101</v>
      </c>
      <c r="E1548" s="44" t="s">
        <v>589</v>
      </c>
      <c r="F1548" s="44" t="s">
        <v>1805</v>
      </c>
      <c r="G1548" s="42" t="n">
        <v>2342100</v>
      </c>
      <c r="H1548" s="42"/>
      <c r="I1548" s="44" t="s">
        <v>440</v>
      </c>
      <c r="J1548" s="11" t="n">
        <f aca="false">IF(D1548="","",N(G1548)-N(H1548))</f>
        <v>2342100</v>
      </c>
      <c r="K1548" s="34" t="str">
        <f aca="false">IF(D1548="","",IFERROR(INDEX(I_COA!$C$6:$C$265,MATCH(D1548,I_COA!$A$6:$A$265,0)),"AKUN BARU"))</f>
        <v>Neraca</v>
      </c>
      <c r="L1548" s="34" t="str">
        <f aca="false">IF(K1548="LabaRugi",INDEX(I_COA!$D$6:$D$265,MATCH(D1548,I_COA!$A$6:$A$265,0)),"")</f>
        <v/>
      </c>
      <c r="M1548" s="34" t="str">
        <f aca="false">IF(K1548="Neraca",INDEX(I_COA!$E$6:$E$265,MATCH(D1548,I_COA!$A$6:$A$265,0)),"")</f>
        <v>Trade Receivables - Third Parties</v>
      </c>
      <c r="N1548" s="34" t="str">
        <f aca="false">IF(D1548="","",IFERROR(INDEX(I_COA!$G$6:$G$265,MATCH(D1548,I_COA!$A$6:$A$265,0)),"N"))</f>
        <v>N</v>
      </c>
      <c r="O1548" s="11" t="n">
        <f aca="false">IF(N1548="N",ABS(J1548),"")</f>
        <v>2342100</v>
      </c>
      <c r="P1548" s="18" t="str">
        <f aca="false">IF(N1548="N",B1548&amp;"|"&amp;ROUND(O1548,0),"")</f>
        <v>KGR26/0301|2342100</v>
      </c>
      <c r="Q1548" s="18" t="str">
        <f aca="false">IF(N1548&lt;&gt;"Y","",IFERROR(INDEX($D$6:$D$4005,MATCH(B1548&amp;"|"&amp;ROUND(_xlfn.MAXIFS($O$6:$O$4005,$B$6:$B$4005,B1548,$N$6:$N$4005,"N"),0),$P$6:$P$4005,0)),"(tanpa lawan)"))</f>
        <v/>
      </c>
      <c r="R1548" s="44"/>
      <c r="S1548" s="9" t="str">
        <f aca="false">IF(N1548&lt;&gt;"Y","",IF(R1548&lt;&gt;"",R1548,IF(Q1548="(tanpa lawan)","Transfer antar rekening",IFERROR(INDEX(I_COA!$F$6:$F$265,MATCH(Q1548,I_COA!$A$6:$A$265,0)),"?"))))</f>
        <v/>
      </c>
    </row>
    <row r="1549" customFormat="false" ht="15" hidden="false" customHeight="false" outlineLevel="0" collapsed="false">
      <c r="A1549" s="37" t="n">
        <v>46255</v>
      </c>
      <c r="B1549" s="44" t="s">
        <v>1804</v>
      </c>
      <c r="C1549" s="44" t="s">
        <v>617</v>
      </c>
      <c r="D1549" s="44" t="n">
        <v>4101007</v>
      </c>
      <c r="E1549" s="44" t="s">
        <v>985</v>
      </c>
      <c r="F1549" s="44" t="s">
        <v>1805</v>
      </c>
      <c r="G1549" s="42"/>
      <c r="H1549" s="42" t="n">
        <v>2342100</v>
      </c>
      <c r="I1549" s="44" t="s">
        <v>440</v>
      </c>
      <c r="J1549" s="11" t="n">
        <f aca="false">IF(D1549="","",N(G1549)-N(H1549))</f>
        <v>-2342100</v>
      </c>
      <c r="K1549" s="34" t="str">
        <f aca="false">IF(D1549="","",IFERROR(INDEX(I_COA!$C$6:$C$265,MATCH(D1549,I_COA!$A$6:$A$265,0)),"AKUN BARU"))</f>
        <v>LabaRugi</v>
      </c>
      <c r="L1549" s="34" t="str">
        <f aca="false">IF(K1549="LabaRugi",INDEX(I_COA!$D$6:$D$265,MATCH(D1549,I_COA!$A$6:$A$265,0)),"")</f>
        <v>Revenue - LB By Product</v>
      </c>
      <c r="M1549" s="34" t="str">
        <f aca="false">IF(K1549="Neraca",INDEX(I_COA!$E$6:$E$265,MATCH(D1549,I_COA!$A$6:$A$265,0)),"")</f>
        <v/>
      </c>
      <c r="N1549" s="34" t="str">
        <f aca="false">IF(D1549="","",IFERROR(INDEX(I_COA!$G$6:$G$265,MATCH(D1549,I_COA!$A$6:$A$265,0)),"N"))</f>
        <v>N</v>
      </c>
      <c r="O1549" s="11" t="n">
        <f aca="false">IF(N1549="N",ABS(J1549),"")</f>
        <v>2342100</v>
      </c>
      <c r="P1549" s="18" t="str">
        <f aca="false">IF(N1549="N",B1549&amp;"|"&amp;ROUND(O1549,0),"")</f>
        <v>KGR26/0301|2342100</v>
      </c>
      <c r="Q1549" s="18" t="str">
        <f aca="false">IF(N1549&lt;&gt;"Y","",IFERROR(INDEX($D$6:$D$4005,MATCH(B1549&amp;"|"&amp;ROUND(_xlfn.MAXIFS($O$6:$O$4005,$B$6:$B$4005,B1549,$N$6:$N$4005,"N"),0),$P$6:$P$4005,0)),"(tanpa lawan)"))</f>
        <v/>
      </c>
      <c r="R1549" s="44"/>
      <c r="S1549" s="9" t="str">
        <f aca="false">IF(N1549&lt;&gt;"Y","",IF(R1549&lt;&gt;"",R1549,IF(Q1549="(tanpa lawan)","Transfer antar rekening",IFERROR(INDEX(I_COA!$F$6:$F$265,MATCH(Q1549,I_COA!$A$6:$A$265,0)),"?"))))</f>
        <v/>
      </c>
    </row>
    <row r="1550" customFormat="false" ht="15" hidden="false" customHeight="false" outlineLevel="0" collapsed="false">
      <c r="A1550" s="37" t="n">
        <v>46255</v>
      </c>
      <c r="B1550" s="44" t="s">
        <v>1804</v>
      </c>
      <c r="C1550" s="44" t="s">
        <v>617</v>
      </c>
      <c r="D1550" s="44" t="n">
        <v>5100005</v>
      </c>
      <c r="E1550" s="44" t="s">
        <v>986</v>
      </c>
      <c r="F1550" s="44" t="s">
        <v>1805</v>
      </c>
      <c r="G1550" s="42" t="n">
        <v>4971175.78</v>
      </c>
      <c r="H1550" s="42"/>
      <c r="I1550" s="44" t="s">
        <v>440</v>
      </c>
      <c r="J1550" s="11" t="n">
        <f aca="false">IF(D1550="","",N(G1550)-N(H1550))</f>
        <v>4971175.78</v>
      </c>
      <c r="K1550" s="34" t="str">
        <f aca="false">IF(D1550="","",IFERROR(INDEX(I_COA!$C$6:$C$265,MATCH(D1550,I_COA!$A$6:$A$265,0)),"AKUN BARU"))</f>
        <v>LabaRugi</v>
      </c>
      <c r="L1550" s="34" t="str">
        <f aca="false">IF(K1550="LabaRugi",INDEX(I_COA!$D$6:$D$265,MATCH(D1550,I_COA!$A$6:$A$265,0)),"")</f>
        <v>COGS - Live Bird</v>
      </c>
      <c r="M1550" s="34" t="str">
        <f aca="false">IF(K1550="Neraca",INDEX(I_COA!$E$6:$E$265,MATCH(D1550,I_COA!$A$6:$A$265,0)),"")</f>
        <v/>
      </c>
      <c r="N1550" s="34" t="str">
        <f aca="false">IF(D1550="","",IFERROR(INDEX(I_COA!$G$6:$G$265,MATCH(D1550,I_COA!$A$6:$A$265,0)),"N"))</f>
        <v>N</v>
      </c>
      <c r="O1550" s="11" t="n">
        <f aca="false">IF(N1550="N",ABS(J1550),"")</f>
        <v>4971175.78</v>
      </c>
      <c r="P1550" s="18" t="str">
        <f aca="false">IF(N1550="N",B1550&amp;"|"&amp;ROUND(O1550,0),"")</f>
        <v>KGR26/0301|4971176</v>
      </c>
      <c r="Q1550" s="18" t="str">
        <f aca="false">IF(N1550&lt;&gt;"Y","",IFERROR(INDEX($D$6:$D$4005,MATCH(B1550&amp;"|"&amp;ROUND(_xlfn.MAXIFS($O$6:$O$4005,$B$6:$B$4005,B1550,$N$6:$N$4005,"N"),0),$P$6:$P$4005,0)),"(tanpa lawan)"))</f>
        <v/>
      </c>
      <c r="R1550" s="44"/>
      <c r="S1550" s="9" t="str">
        <f aca="false">IF(N1550&lt;&gt;"Y","",IF(R1550&lt;&gt;"",R1550,IF(Q1550="(tanpa lawan)","Transfer antar rekening",IFERROR(INDEX(I_COA!$F$6:$F$265,MATCH(Q1550,I_COA!$A$6:$A$265,0)),"?"))))</f>
        <v/>
      </c>
    </row>
    <row r="1551" customFormat="false" ht="15" hidden="false" customHeight="false" outlineLevel="0" collapsed="false">
      <c r="A1551" s="37" t="n">
        <v>46255</v>
      </c>
      <c r="B1551" s="44" t="s">
        <v>1804</v>
      </c>
      <c r="C1551" s="44" t="s">
        <v>617</v>
      </c>
      <c r="D1551" s="44" t="n">
        <v>1104002</v>
      </c>
      <c r="E1551" s="44" t="s">
        <v>601</v>
      </c>
      <c r="F1551" s="44" t="s">
        <v>1805</v>
      </c>
      <c r="G1551" s="42"/>
      <c r="H1551" s="42" t="n">
        <v>4971175.78</v>
      </c>
      <c r="I1551" s="44" t="s">
        <v>440</v>
      </c>
      <c r="J1551" s="11" t="n">
        <f aca="false">IF(D1551="","",N(G1551)-N(H1551))</f>
        <v>-4971175.78</v>
      </c>
      <c r="K1551" s="34" t="str">
        <f aca="false">IF(D1551="","",IFERROR(INDEX(I_COA!$C$6:$C$265,MATCH(D1551,I_COA!$A$6:$A$265,0)),"AKUN BARU"))</f>
        <v>Neraca</v>
      </c>
      <c r="L1551" s="34" t="str">
        <f aca="false">IF(K1551="LabaRugi",INDEX(I_COA!$D$6:$D$265,MATCH(D1551,I_COA!$A$6:$A$265,0)),"")</f>
        <v/>
      </c>
      <c r="M1551" s="34" t="str">
        <f aca="false">IF(K1551="Neraca",INDEX(I_COA!$E$6:$E$265,MATCH(D1551,I_COA!$A$6:$A$265,0)),"")</f>
        <v>Inventory - Product</v>
      </c>
      <c r="N1551" s="34" t="str">
        <f aca="false">IF(D1551="","",IFERROR(INDEX(I_COA!$G$6:$G$265,MATCH(D1551,I_COA!$A$6:$A$265,0)),"N"))</f>
        <v>N</v>
      </c>
      <c r="O1551" s="11" t="n">
        <f aca="false">IF(N1551="N",ABS(J1551),"")</f>
        <v>4971175.78</v>
      </c>
      <c r="P1551" s="18" t="str">
        <f aca="false">IF(N1551="N",B1551&amp;"|"&amp;ROUND(O1551,0),"")</f>
        <v>KGR26/0301|4971176</v>
      </c>
      <c r="Q1551" s="18" t="str">
        <f aca="false">IF(N1551&lt;&gt;"Y","",IFERROR(INDEX($D$6:$D$4005,MATCH(B1551&amp;"|"&amp;ROUND(_xlfn.MAXIFS($O$6:$O$4005,$B$6:$B$4005,B1551,$N$6:$N$4005,"N"),0),$P$6:$P$4005,0)),"(tanpa lawan)"))</f>
        <v/>
      </c>
      <c r="R1551" s="44"/>
      <c r="S1551" s="9" t="str">
        <f aca="false">IF(N1551&lt;&gt;"Y","",IF(R1551&lt;&gt;"",R1551,IF(Q1551="(tanpa lawan)","Transfer antar rekening",IFERROR(INDEX(I_COA!$F$6:$F$265,MATCH(Q1551,I_COA!$A$6:$A$265,0)),"?"))))</f>
        <v/>
      </c>
    </row>
    <row r="1552" customFormat="false" ht="15" hidden="false" customHeight="false" outlineLevel="0" collapsed="false">
      <c r="A1552" s="37" t="n">
        <v>46255</v>
      </c>
      <c r="B1552" s="44" t="s">
        <v>1806</v>
      </c>
      <c r="C1552" s="44" t="s">
        <v>617</v>
      </c>
      <c r="D1552" s="44" t="n">
        <v>1103101</v>
      </c>
      <c r="E1552" s="44" t="s">
        <v>589</v>
      </c>
      <c r="F1552" s="44" t="s">
        <v>1807</v>
      </c>
      <c r="G1552" s="42" t="n">
        <v>2433250</v>
      </c>
      <c r="H1552" s="42"/>
      <c r="I1552" s="44" t="s">
        <v>440</v>
      </c>
      <c r="J1552" s="11" t="n">
        <f aca="false">IF(D1552="","",N(G1552)-N(H1552))</f>
        <v>2433250</v>
      </c>
      <c r="K1552" s="34" t="str">
        <f aca="false">IF(D1552="","",IFERROR(INDEX(I_COA!$C$6:$C$265,MATCH(D1552,I_COA!$A$6:$A$265,0)),"AKUN BARU"))</f>
        <v>Neraca</v>
      </c>
      <c r="L1552" s="34" t="str">
        <f aca="false">IF(K1552="LabaRugi",INDEX(I_COA!$D$6:$D$265,MATCH(D1552,I_COA!$A$6:$A$265,0)),"")</f>
        <v/>
      </c>
      <c r="M1552" s="34" t="str">
        <f aca="false">IF(K1552="Neraca",INDEX(I_COA!$E$6:$E$265,MATCH(D1552,I_COA!$A$6:$A$265,0)),"")</f>
        <v>Trade Receivables - Third Parties</v>
      </c>
      <c r="N1552" s="34" t="str">
        <f aca="false">IF(D1552="","",IFERROR(INDEX(I_COA!$G$6:$G$265,MATCH(D1552,I_COA!$A$6:$A$265,0)),"N"))</f>
        <v>N</v>
      </c>
      <c r="O1552" s="11" t="n">
        <f aca="false">IF(N1552="N",ABS(J1552),"")</f>
        <v>2433250</v>
      </c>
      <c r="P1552" s="18" t="str">
        <f aca="false">IF(N1552="N",B1552&amp;"|"&amp;ROUND(O1552,0),"")</f>
        <v>KGR26/0302|2433250</v>
      </c>
      <c r="Q1552" s="18" t="str">
        <f aca="false">IF(N1552&lt;&gt;"Y","",IFERROR(INDEX($D$6:$D$4005,MATCH(B1552&amp;"|"&amp;ROUND(_xlfn.MAXIFS($O$6:$O$4005,$B$6:$B$4005,B1552,$N$6:$N$4005,"N"),0),$P$6:$P$4005,0)),"(tanpa lawan)"))</f>
        <v/>
      </c>
      <c r="R1552" s="44"/>
      <c r="S1552" s="9" t="str">
        <f aca="false">IF(N1552&lt;&gt;"Y","",IF(R1552&lt;&gt;"",R1552,IF(Q1552="(tanpa lawan)","Transfer antar rekening",IFERROR(INDEX(I_COA!$F$6:$F$265,MATCH(Q1552,I_COA!$A$6:$A$265,0)),"?"))))</f>
        <v/>
      </c>
    </row>
    <row r="1553" customFormat="false" ht="15" hidden="false" customHeight="false" outlineLevel="0" collapsed="false">
      <c r="A1553" s="37" t="n">
        <v>46255</v>
      </c>
      <c r="B1553" s="44" t="s">
        <v>1806</v>
      </c>
      <c r="C1553" s="44" t="s">
        <v>617</v>
      </c>
      <c r="D1553" s="44" t="n">
        <v>4101007</v>
      </c>
      <c r="E1553" s="44" t="s">
        <v>985</v>
      </c>
      <c r="F1553" s="44" t="s">
        <v>1807</v>
      </c>
      <c r="G1553" s="42"/>
      <c r="H1553" s="42" t="n">
        <v>2433250</v>
      </c>
      <c r="I1553" s="44" t="s">
        <v>440</v>
      </c>
      <c r="J1553" s="11" t="n">
        <f aca="false">IF(D1553="","",N(G1553)-N(H1553))</f>
        <v>-2433250</v>
      </c>
      <c r="K1553" s="34" t="str">
        <f aca="false">IF(D1553="","",IFERROR(INDEX(I_COA!$C$6:$C$265,MATCH(D1553,I_COA!$A$6:$A$265,0)),"AKUN BARU"))</f>
        <v>LabaRugi</v>
      </c>
      <c r="L1553" s="34" t="str">
        <f aca="false">IF(K1553="LabaRugi",INDEX(I_COA!$D$6:$D$265,MATCH(D1553,I_COA!$A$6:$A$265,0)),"")</f>
        <v>Revenue - LB By Product</v>
      </c>
      <c r="M1553" s="34" t="str">
        <f aca="false">IF(K1553="Neraca",INDEX(I_COA!$E$6:$E$265,MATCH(D1553,I_COA!$A$6:$A$265,0)),"")</f>
        <v/>
      </c>
      <c r="N1553" s="34" t="str">
        <f aca="false">IF(D1553="","",IFERROR(INDEX(I_COA!$G$6:$G$265,MATCH(D1553,I_COA!$A$6:$A$265,0)),"N"))</f>
        <v>N</v>
      </c>
      <c r="O1553" s="11" t="n">
        <f aca="false">IF(N1553="N",ABS(J1553),"")</f>
        <v>2433250</v>
      </c>
      <c r="P1553" s="18" t="str">
        <f aca="false">IF(N1553="N",B1553&amp;"|"&amp;ROUND(O1553,0),"")</f>
        <v>KGR26/0302|2433250</v>
      </c>
      <c r="Q1553" s="18" t="str">
        <f aca="false">IF(N1553&lt;&gt;"Y","",IFERROR(INDEX($D$6:$D$4005,MATCH(B1553&amp;"|"&amp;ROUND(_xlfn.MAXIFS($O$6:$O$4005,$B$6:$B$4005,B1553,$N$6:$N$4005,"N"),0),$P$6:$P$4005,0)),"(tanpa lawan)"))</f>
        <v/>
      </c>
      <c r="R1553" s="44"/>
      <c r="S1553" s="9" t="str">
        <f aca="false">IF(N1553&lt;&gt;"Y","",IF(R1553&lt;&gt;"",R1553,IF(Q1553="(tanpa lawan)","Transfer antar rekening",IFERROR(INDEX(I_COA!$F$6:$F$265,MATCH(Q1553,I_COA!$A$6:$A$265,0)),"?"))))</f>
        <v/>
      </c>
    </row>
    <row r="1554" customFormat="false" ht="15" hidden="false" customHeight="false" outlineLevel="0" collapsed="false">
      <c r="A1554" s="37" t="n">
        <v>46255</v>
      </c>
      <c r="B1554" s="44" t="s">
        <v>1806</v>
      </c>
      <c r="C1554" s="44" t="s">
        <v>617</v>
      </c>
      <c r="D1554" s="44" t="n">
        <v>5100005</v>
      </c>
      <c r="E1554" s="44" t="s">
        <v>986</v>
      </c>
      <c r="F1554" s="44" t="s">
        <v>1807</v>
      </c>
      <c r="G1554" s="42" t="n">
        <v>5393155.2</v>
      </c>
      <c r="H1554" s="42"/>
      <c r="I1554" s="44" t="s">
        <v>440</v>
      </c>
      <c r="J1554" s="11" t="n">
        <f aca="false">IF(D1554="","",N(G1554)-N(H1554))</f>
        <v>5393155.2</v>
      </c>
      <c r="K1554" s="34" t="str">
        <f aca="false">IF(D1554="","",IFERROR(INDEX(I_COA!$C$6:$C$265,MATCH(D1554,I_COA!$A$6:$A$265,0)),"AKUN BARU"))</f>
        <v>LabaRugi</v>
      </c>
      <c r="L1554" s="34" t="str">
        <f aca="false">IF(K1554="LabaRugi",INDEX(I_COA!$D$6:$D$265,MATCH(D1554,I_COA!$A$6:$A$265,0)),"")</f>
        <v>COGS - Live Bird</v>
      </c>
      <c r="M1554" s="34" t="str">
        <f aca="false">IF(K1554="Neraca",INDEX(I_COA!$E$6:$E$265,MATCH(D1554,I_COA!$A$6:$A$265,0)),"")</f>
        <v/>
      </c>
      <c r="N1554" s="34" t="str">
        <f aca="false">IF(D1554="","",IFERROR(INDEX(I_COA!$G$6:$G$265,MATCH(D1554,I_COA!$A$6:$A$265,0)),"N"))</f>
        <v>N</v>
      </c>
      <c r="O1554" s="11" t="n">
        <f aca="false">IF(N1554="N",ABS(J1554),"")</f>
        <v>5393155.2</v>
      </c>
      <c r="P1554" s="18" t="str">
        <f aca="false">IF(N1554="N",B1554&amp;"|"&amp;ROUND(O1554,0),"")</f>
        <v>KGR26/0302|5393155</v>
      </c>
      <c r="Q1554" s="18" t="str">
        <f aca="false">IF(N1554&lt;&gt;"Y","",IFERROR(INDEX($D$6:$D$4005,MATCH(B1554&amp;"|"&amp;ROUND(_xlfn.MAXIFS($O$6:$O$4005,$B$6:$B$4005,B1554,$N$6:$N$4005,"N"),0),$P$6:$P$4005,0)),"(tanpa lawan)"))</f>
        <v/>
      </c>
      <c r="R1554" s="44"/>
      <c r="S1554" s="9" t="str">
        <f aca="false">IF(N1554&lt;&gt;"Y","",IF(R1554&lt;&gt;"",R1554,IF(Q1554="(tanpa lawan)","Transfer antar rekening",IFERROR(INDEX(I_COA!$F$6:$F$265,MATCH(Q1554,I_COA!$A$6:$A$265,0)),"?"))))</f>
        <v/>
      </c>
    </row>
    <row r="1555" customFormat="false" ht="15" hidden="false" customHeight="false" outlineLevel="0" collapsed="false">
      <c r="A1555" s="37" t="n">
        <v>46255</v>
      </c>
      <c r="B1555" s="44" t="s">
        <v>1806</v>
      </c>
      <c r="C1555" s="44" t="s">
        <v>617</v>
      </c>
      <c r="D1555" s="44" t="n">
        <v>1104002</v>
      </c>
      <c r="E1555" s="44" t="s">
        <v>601</v>
      </c>
      <c r="F1555" s="44" t="s">
        <v>1807</v>
      </c>
      <c r="G1555" s="42"/>
      <c r="H1555" s="42" t="n">
        <v>5393155.2</v>
      </c>
      <c r="I1555" s="44" t="s">
        <v>440</v>
      </c>
      <c r="J1555" s="11" t="n">
        <f aca="false">IF(D1555="","",N(G1555)-N(H1555))</f>
        <v>-5393155.2</v>
      </c>
      <c r="K1555" s="34" t="str">
        <f aca="false">IF(D1555="","",IFERROR(INDEX(I_COA!$C$6:$C$265,MATCH(D1555,I_COA!$A$6:$A$265,0)),"AKUN BARU"))</f>
        <v>Neraca</v>
      </c>
      <c r="L1555" s="34" t="str">
        <f aca="false">IF(K1555="LabaRugi",INDEX(I_COA!$D$6:$D$265,MATCH(D1555,I_COA!$A$6:$A$265,0)),"")</f>
        <v/>
      </c>
      <c r="M1555" s="34" t="str">
        <f aca="false">IF(K1555="Neraca",INDEX(I_COA!$E$6:$E$265,MATCH(D1555,I_COA!$A$6:$A$265,0)),"")</f>
        <v>Inventory - Product</v>
      </c>
      <c r="N1555" s="34" t="str">
        <f aca="false">IF(D1555="","",IFERROR(INDEX(I_COA!$G$6:$G$265,MATCH(D1555,I_COA!$A$6:$A$265,0)),"N"))</f>
        <v>N</v>
      </c>
      <c r="O1555" s="11" t="n">
        <f aca="false">IF(N1555="N",ABS(J1555),"")</f>
        <v>5393155.2</v>
      </c>
      <c r="P1555" s="18" t="str">
        <f aca="false">IF(N1555="N",B1555&amp;"|"&amp;ROUND(O1555,0),"")</f>
        <v>KGR26/0302|5393155</v>
      </c>
      <c r="Q1555" s="18" t="str">
        <f aca="false">IF(N1555&lt;&gt;"Y","",IFERROR(INDEX($D$6:$D$4005,MATCH(B1555&amp;"|"&amp;ROUND(_xlfn.MAXIFS($O$6:$O$4005,$B$6:$B$4005,B1555,$N$6:$N$4005,"N"),0),$P$6:$P$4005,0)),"(tanpa lawan)"))</f>
        <v/>
      </c>
      <c r="R1555" s="44"/>
      <c r="S1555" s="9" t="str">
        <f aca="false">IF(N1555&lt;&gt;"Y","",IF(R1555&lt;&gt;"",R1555,IF(Q1555="(tanpa lawan)","Transfer antar rekening",IFERROR(INDEX(I_COA!$F$6:$F$265,MATCH(Q1555,I_COA!$A$6:$A$265,0)),"?"))))</f>
        <v/>
      </c>
    </row>
    <row r="1556" customFormat="false" ht="15" hidden="false" customHeight="false" outlineLevel="0" collapsed="false">
      <c r="A1556" s="37" t="n">
        <v>46255</v>
      </c>
      <c r="B1556" s="44" t="s">
        <v>1808</v>
      </c>
      <c r="C1556" s="44" t="s">
        <v>617</v>
      </c>
      <c r="D1556" s="44" t="n">
        <v>1103101</v>
      </c>
      <c r="E1556" s="44" t="s">
        <v>589</v>
      </c>
      <c r="F1556" s="44" t="s">
        <v>1809</v>
      </c>
      <c r="G1556" s="42" t="n">
        <v>2268550</v>
      </c>
      <c r="H1556" s="42"/>
      <c r="I1556" s="44" t="s">
        <v>440</v>
      </c>
      <c r="J1556" s="11" t="n">
        <f aca="false">IF(D1556="","",N(G1556)-N(H1556))</f>
        <v>2268550</v>
      </c>
      <c r="K1556" s="34" t="str">
        <f aca="false">IF(D1556="","",IFERROR(INDEX(I_COA!$C$6:$C$265,MATCH(D1556,I_COA!$A$6:$A$265,0)),"AKUN BARU"))</f>
        <v>Neraca</v>
      </c>
      <c r="L1556" s="34" t="str">
        <f aca="false">IF(K1556="LabaRugi",INDEX(I_COA!$D$6:$D$265,MATCH(D1556,I_COA!$A$6:$A$265,0)),"")</f>
        <v/>
      </c>
      <c r="M1556" s="34" t="str">
        <f aca="false">IF(K1556="Neraca",INDEX(I_COA!$E$6:$E$265,MATCH(D1556,I_COA!$A$6:$A$265,0)),"")</f>
        <v>Trade Receivables - Third Parties</v>
      </c>
      <c r="N1556" s="34" t="str">
        <f aca="false">IF(D1556="","",IFERROR(INDEX(I_COA!$G$6:$G$265,MATCH(D1556,I_COA!$A$6:$A$265,0)),"N"))</f>
        <v>N</v>
      </c>
      <c r="O1556" s="11" t="n">
        <f aca="false">IF(N1556="N",ABS(J1556),"")</f>
        <v>2268550</v>
      </c>
      <c r="P1556" s="18" t="str">
        <f aca="false">IF(N1556="N",B1556&amp;"|"&amp;ROUND(O1556,0),"")</f>
        <v>KGR26/0303|2268550</v>
      </c>
      <c r="Q1556" s="18" t="str">
        <f aca="false">IF(N1556&lt;&gt;"Y","",IFERROR(INDEX($D$6:$D$4005,MATCH(B1556&amp;"|"&amp;ROUND(_xlfn.MAXIFS($O$6:$O$4005,$B$6:$B$4005,B1556,$N$6:$N$4005,"N"),0),$P$6:$P$4005,0)),"(tanpa lawan)"))</f>
        <v/>
      </c>
      <c r="R1556" s="44"/>
      <c r="S1556" s="9" t="str">
        <f aca="false">IF(N1556&lt;&gt;"Y","",IF(R1556&lt;&gt;"",R1556,IF(Q1556="(tanpa lawan)","Transfer antar rekening",IFERROR(INDEX(I_COA!$F$6:$F$265,MATCH(Q1556,I_COA!$A$6:$A$265,0)),"?"))))</f>
        <v/>
      </c>
    </row>
    <row r="1557" customFormat="false" ht="15" hidden="false" customHeight="false" outlineLevel="0" collapsed="false">
      <c r="A1557" s="37" t="n">
        <v>46255</v>
      </c>
      <c r="B1557" s="44" t="s">
        <v>1808</v>
      </c>
      <c r="C1557" s="44" t="s">
        <v>617</v>
      </c>
      <c r="D1557" s="44" t="n">
        <v>4101007</v>
      </c>
      <c r="E1557" s="44" t="s">
        <v>985</v>
      </c>
      <c r="F1557" s="44" t="s">
        <v>1809</v>
      </c>
      <c r="G1557" s="42"/>
      <c r="H1557" s="42" t="n">
        <v>2268550</v>
      </c>
      <c r="I1557" s="44" t="s">
        <v>440</v>
      </c>
      <c r="J1557" s="11" t="n">
        <f aca="false">IF(D1557="","",N(G1557)-N(H1557))</f>
        <v>-2268550</v>
      </c>
      <c r="K1557" s="34" t="str">
        <f aca="false">IF(D1557="","",IFERROR(INDEX(I_COA!$C$6:$C$265,MATCH(D1557,I_COA!$A$6:$A$265,0)),"AKUN BARU"))</f>
        <v>LabaRugi</v>
      </c>
      <c r="L1557" s="34" t="str">
        <f aca="false">IF(K1557="LabaRugi",INDEX(I_COA!$D$6:$D$265,MATCH(D1557,I_COA!$A$6:$A$265,0)),"")</f>
        <v>Revenue - LB By Product</v>
      </c>
      <c r="M1557" s="34" t="str">
        <f aca="false">IF(K1557="Neraca",INDEX(I_COA!$E$6:$E$265,MATCH(D1557,I_COA!$A$6:$A$265,0)),"")</f>
        <v/>
      </c>
      <c r="N1557" s="34" t="str">
        <f aca="false">IF(D1557="","",IFERROR(INDEX(I_COA!$G$6:$G$265,MATCH(D1557,I_COA!$A$6:$A$265,0)),"N"))</f>
        <v>N</v>
      </c>
      <c r="O1557" s="11" t="n">
        <f aca="false">IF(N1557="N",ABS(J1557),"")</f>
        <v>2268550</v>
      </c>
      <c r="P1557" s="18" t="str">
        <f aca="false">IF(N1557="N",B1557&amp;"|"&amp;ROUND(O1557,0),"")</f>
        <v>KGR26/0303|2268550</v>
      </c>
      <c r="Q1557" s="18" t="str">
        <f aca="false">IF(N1557&lt;&gt;"Y","",IFERROR(INDEX($D$6:$D$4005,MATCH(B1557&amp;"|"&amp;ROUND(_xlfn.MAXIFS($O$6:$O$4005,$B$6:$B$4005,B1557,$N$6:$N$4005,"N"),0),$P$6:$P$4005,0)),"(tanpa lawan)"))</f>
        <v/>
      </c>
      <c r="R1557" s="44"/>
      <c r="S1557" s="9" t="str">
        <f aca="false">IF(N1557&lt;&gt;"Y","",IF(R1557&lt;&gt;"",R1557,IF(Q1557="(tanpa lawan)","Transfer antar rekening",IFERROR(INDEX(I_COA!$F$6:$F$265,MATCH(Q1557,I_COA!$A$6:$A$265,0)),"?"))))</f>
        <v/>
      </c>
    </row>
    <row r="1558" customFormat="false" ht="15" hidden="false" customHeight="false" outlineLevel="0" collapsed="false">
      <c r="A1558" s="37" t="n">
        <v>46255</v>
      </c>
      <c r="B1558" s="44" t="s">
        <v>1808</v>
      </c>
      <c r="C1558" s="44" t="s">
        <v>617</v>
      </c>
      <c r="D1558" s="44" t="n">
        <v>5100005</v>
      </c>
      <c r="E1558" s="44" t="s">
        <v>986</v>
      </c>
      <c r="F1558" s="44" t="s">
        <v>1809</v>
      </c>
      <c r="G1558" s="42" t="n">
        <v>5151732.33</v>
      </c>
      <c r="H1558" s="42"/>
      <c r="I1558" s="44" t="s">
        <v>440</v>
      </c>
      <c r="J1558" s="11" t="n">
        <f aca="false">IF(D1558="","",N(G1558)-N(H1558))</f>
        <v>5151732.33</v>
      </c>
      <c r="K1558" s="34" t="str">
        <f aca="false">IF(D1558="","",IFERROR(INDEX(I_COA!$C$6:$C$265,MATCH(D1558,I_COA!$A$6:$A$265,0)),"AKUN BARU"))</f>
        <v>LabaRugi</v>
      </c>
      <c r="L1558" s="34" t="str">
        <f aca="false">IF(K1558="LabaRugi",INDEX(I_COA!$D$6:$D$265,MATCH(D1558,I_COA!$A$6:$A$265,0)),"")</f>
        <v>COGS - Live Bird</v>
      </c>
      <c r="M1558" s="34" t="str">
        <f aca="false">IF(K1558="Neraca",INDEX(I_COA!$E$6:$E$265,MATCH(D1558,I_COA!$A$6:$A$265,0)),"")</f>
        <v/>
      </c>
      <c r="N1558" s="34" t="str">
        <f aca="false">IF(D1558="","",IFERROR(INDEX(I_COA!$G$6:$G$265,MATCH(D1558,I_COA!$A$6:$A$265,0)),"N"))</f>
        <v>N</v>
      </c>
      <c r="O1558" s="11" t="n">
        <f aca="false">IF(N1558="N",ABS(J1558),"")</f>
        <v>5151732.33</v>
      </c>
      <c r="P1558" s="18" t="str">
        <f aca="false">IF(N1558="N",B1558&amp;"|"&amp;ROUND(O1558,0),"")</f>
        <v>KGR26/0303|5151732</v>
      </c>
      <c r="Q1558" s="18" t="str">
        <f aca="false">IF(N1558&lt;&gt;"Y","",IFERROR(INDEX($D$6:$D$4005,MATCH(B1558&amp;"|"&amp;ROUND(_xlfn.MAXIFS($O$6:$O$4005,$B$6:$B$4005,B1558,$N$6:$N$4005,"N"),0),$P$6:$P$4005,0)),"(tanpa lawan)"))</f>
        <v/>
      </c>
      <c r="R1558" s="44"/>
      <c r="S1558" s="9" t="str">
        <f aca="false">IF(N1558&lt;&gt;"Y","",IF(R1558&lt;&gt;"",R1558,IF(Q1558="(tanpa lawan)","Transfer antar rekening",IFERROR(INDEX(I_COA!$F$6:$F$265,MATCH(Q1558,I_COA!$A$6:$A$265,0)),"?"))))</f>
        <v/>
      </c>
    </row>
    <row r="1559" customFormat="false" ht="15" hidden="false" customHeight="false" outlineLevel="0" collapsed="false">
      <c r="A1559" s="37" t="n">
        <v>46255</v>
      </c>
      <c r="B1559" s="44" t="s">
        <v>1808</v>
      </c>
      <c r="C1559" s="44" t="s">
        <v>617</v>
      </c>
      <c r="D1559" s="44" t="n">
        <v>1104002</v>
      </c>
      <c r="E1559" s="44" t="s">
        <v>601</v>
      </c>
      <c r="F1559" s="44" t="s">
        <v>1809</v>
      </c>
      <c r="G1559" s="42"/>
      <c r="H1559" s="42" t="n">
        <v>5151732.33</v>
      </c>
      <c r="I1559" s="44" t="s">
        <v>440</v>
      </c>
      <c r="J1559" s="11" t="n">
        <f aca="false">IF(D1559="","",N(G1559)-N(H1559))</f>
        <v>-5151732.33</v>
      </c>
      <c r="K1559" s="34" t="str">
        <f aca="false">IF(D1559="","",IFERROR(INDEX(I_COA!$C$6:$C$265,MATCH(D1559,I_COA!$A$6:$A$265,0)),"AKUN BARU"))</f>
        <v>Neraca</v>
      </c>
      <c r="L1559" s="34" t="str">
        <f aca="false">IF(K1559="LabaRugi",INDEX(I_COA!$D$6:$D$265,MATCH(D1559,I_COA!$A$6:$A$265,0)),"")</f>
        <v/>
      </c>
      <c r="M1559" s="34" t="str">
        <f aca="false">IF(K1559="Neraca",INDEX(I_COA!$E$6:$E$265,MATCH(D1559,I_COA!$A$6:$A$265,0)),"")</f>
        <v>Inventory - Product</v>
      </c>
      <c r="N1559" s="34" t="str">
        <f aca="false">IF(D1559="","",IFERROR(INDEX(I_COA!$G$6:$G$265,MATCH(D1559,I_COA!$A$6:$A$265,0)),"N"))</f>
        <v>N</v>
      </c>
      <c r="O1559" s="11" t="n">
        <f aca="false">IF(N1559="N",ABS(J1559),"")</f>
        <v>5151732.33</v>
      </c>
      <c r="P1559" s="18" t="str">
        <f aca="false">IF(N1559="N",B1559&amp;"|"&amp;ROUND(O1559,0),"")</f>
        <v>KGR26/0303|5151732</v>
      </c>
      <c r="Q1559" s="18" t="str">
        <f aca="false">IF(N1559&lt;&gt;"Y","",IFERROR(INDEX($D$6:$D$4005,MATCH(B1559&amp;"|"&amp;ROUND(_xlfn.MAXIFS($O$6:$O$4005,$B$6:$B$4005,B1559,$N$6:$N$4005,"N"),0),$P$6:$P$4005,0)),"(tanpa lawan)"))</f>
        <v/>
      </c>
      <c r="R1559" s="44"/>
      <c r="S1559" s="9" t="str">
        <f aca="false">IF(N1559&lt;&gt;"Y","",IF(R1559&lt;&gt;"",R1559,IF(Q1559="(tanpa lawan)","Transfer antar rekening",IFERROR(INDEX(I_COA!$F$6:$F$265,MATCH(Q1559,I_COA!$A$6:$A$265,0)),"?"))))</f>
        <v/>
      </c>
    </row>
    <row r="1560" customFormat="false" ht="15" hidden="false" customHeight="false" outlineLevel="0" collapsed="false">
      <c r="A1560" s="37" t="n">
        <v>46255</v>
      </c>
      <c r="B1560" s="44" t="s">
        <v>1810</v>
      </c>
      <c r="C1560" s="44" t="s">
        <v>617</v>
      </c>
      <c r="D1560" s="44" t="n">
        <v>1103101</v>
      </c>
      <c r="E1560" s="44" t="s">
        <v>589</v>
      </c>
      <c r="F1560" s="44" t="s">
        <v>1811</v>
      </c>
      <c r="G1560" s="42" t="n">
        <v>2077750</v>
      </c>
      <c r="H1560" s="42"/>
      <c r="I1560" s="44" t="s">
        <v>440</v>
      </c>
      <c r="J1560" s="11" t="n">
        <f aca="false">IF(D1560="","",N(G1560)-N(H1560))</f>
        <v>2077750</v>
      </c>
      <c r="K1560" s="34" t="str">
        <f aca="false">IF(D1560="","",IFERROR(INDEX(I_COA!$C$6:$C$265,MATCH(D1560,I_COA!$A$6:$A$265,0)),"AKUN BARU"))</f>
        <v>Neraca</v>
      </c>
      <c r="L1560" s="34" t="str">
        <f aca="false">IF(K1560="LabaRugi",INDEX(I_COA!$D$6:$D$265,MATCH(D1560,I_COA!$A$6:$A$265,0)),"")</f>
        <v/>
      </c>
      <c r="M1560" s="34" t="str">
        <f aca="false">IF(K1560="Neraca",INDEX(I_COA!$E$6:$E$265,MATCH(D1560,I_COA!$A$6:$A$265,0)),"")</f>
        <v>Trade Receivables - Third Parties</v>
      </c>
      <c r="N1560" s="34" t="str">
        <f aca="false">IF(D1560="","",IFERROR(INDEX(I_COA!$G$6:$G$265,MATCH(D1560,I_COA!$A$6:$A$265,0)),"N"))</f>
        <v>N</v>
      </c>
      <c r="O1560" s="11" t="n">
        <f aca="false">IF(N1560="N",ABS(J1560),"")</f>
        <v>2077750</v>
      </c>
      <c r="P1560" s="18" t="str">
        <f aca="false">IF(N1560="N",B1560&amp;"|"&amp;ROUND(O1560,0),"")</f>
        <v>KGR26/0304|2077750</v>
      </c>
      <c r="Q1560" s="18" t="str">
        <f aca="false">IF(N1560&lt;&gt;"Y","",IFERROR(INDEX($D$6:$D$4005,MATCH(B1560&amp;"|"&amp;ROUND(_xlfn.MAXIFS($O$6:$O$4005,$B$6:$B$4005,B1560,$N$6:$N$4005,"N"),0),$P$6:$P$4005,0)),"(tanpa lawan)"))</f>
        <v/>
      </c>
      <c r="R1560" s="44"/>
      <c r="S1560" s="9" t="str">
        <f aca="false">IF(N1560&lt;&gt;"Y","",IF(R1560&lt;&gt;"",R1560,IF(Q1560="(tanpa lawan)","Transfer antar rekening",IFERROR(INDEX(I_COA!$F$6:$F$265,MATCH(Q1560,I_COA!$A$6:$A$265,0)),"?"))))</f>
        <v/>
      </c>
    </row>
    <row r="1561" customFormat="false" ht="15" hidden="false" customHeight="false" outlineLevel="0" collapsed="false">
      <c r="A1561" s="37" t="n">
        <v>46255</v>
      </c>
      <c r="B1561" s="44" t="s">
        <v>1810</v>
      </c>
      <c r="C1561" s="44" t="s">
        <v>617</v>
      </c>
      <c r="D1561" s="44" t="n">
        <v>4101007</v>
      </c>
      <c r="E1561" s="44" t="s">
        <v>985</v>
      </c>
      <c r="F1561" s="44" t="s">
        <v>1811</v>
      </c>
      <c r="G1561" s="42"/>
      <c r="H1561" s="42" t="n">
        <v>2077750</v>
      </c>
      <c r="I1561" s="44" t="s">
        <v>440</v>
      </c>
      <c r="J1561" s="11" t="n">
        <f aca="false">IF(D1561="","",N(G1561)-N(H1561))</f>
        <v>-2077750</v>
      </c>
      <c r="K1561" s="34" t="str">
        <f aca="false">IF(D1561="","",IFERROR(INDEX(I_COA!$C$6:$C$265,MATCH(D1561,I_COA!$A$6:$A$265,0)),"AKUN BARU"))</f>
        <v>LabaRugi</v>
      </c>
      <c r="L1561" s="34" t="str">
        <f aca="false">IF(K1561="LabaRugi",INDEX(I_COA!$D$6:$D$265,MATCH(D1561,I_COA!$A$6:$A$265,0)),"")</f>
        <v>Revenue - LB By Product</v>
      </c>
      <c r="M1561" s="34" t="str">
        <f aca="false">IF(K1561="Neraca",INDEX(I_COA!$E$6:$E$265,MATCH(D1561,I_COA!$A$6:$A$265,0)),"")</f>
        <v/>
      </c>
      <c r="N1561" s="34" t="str">
        <f aca="false">IF(D1561="","",IFERROR(INDEX(I_COA!$G$6:$G$265,MATCH(D1561,I_COA!$A$6:$A$265,0)),"N"))</f>
        <v>N</v>
      </c>
      <c r="O1561" s="11" t="n">
        <f aca="false">IF(N1561="N",ABS(J1561),"")</f>
        <v>2077750</v>
      </c>
      <c r="P1561" s="18" t="str">
        <f aca="false">IF(N1561="N",B1561&amp;"|"&amp;ROUND(O1561,0),"")</f>
        <v>KGR26/0304|2077750</v>
      </c>
      <c r="Q1561" s="18" t="str">
        <f aca="false">IF(N1561&lt;&gt;"Y","",IFERROR(INDEX($D$6:$D$4005,MATCH(B1561&amp;"|"&amp;ROUND(_xlfn.MAXIFS($O$6:$O$4005,$B$6:$B$4005,B1561,$N$6:$N$4005,"N"),0),$P$6:$P$4005,0)),"(tanpa lawan)"))</f>
        <v/>
      </c>
      <c r="R1561" s="44"/>
      <c r="S1561" s="9" t="str">
        <f aca="false">IF(N1561&lt;&gt;"Y","",IF(R1561&lt;&gt;"",R1561,IF(Q1561="(tanpa lawan)","Transfer antar rekening",IFERROR(INDEX(I_COA!$F$6:$F$265,MATCH(Q1561,I_COA!$A$6:$A$265,0)),"?"))))</f>
        <v/>
      </c>
    </row>
    <row r="1562" customFormat="false" ht="15" hidden="false" customHeight="false" outlineLevel="0" collapsed="false">
      <c r="A1562" s="37" t="n">
        <v>46255</v>
      </c>
      <c r="B1562" s="44" t="s">
        <v>1810</v>
      </c>
      <c r="C1562" s="44" t="s">
        <v>617</v>
      </c>
      <c r="D1562" s="44" t="n">
        <v>5100005</v>
      </c>
      <c r="E1562" s="44" t="s">
        <v>986</v>
      </c>
      <c r="F1562" s="44" t="s">
        <v>1811</v>
      </c>
      <c r="G1562" s="42" t="n">
        <v>4300697.66</v>
      </c>
      <c r="H1562" s="42"/>
      <c r="I1562" s="44" t="s">
        <v>440</v>
      </c>
      <c r="J1562" s="11" t="n">
        <f aca="false">IF(D1562="","",N(G1562)-N(H1562))</f>
        <v>4300697.66</v>
      </c>
      <c r="K1562" s="34" t="str">
        <f aca="false">IF(D1562="","",IFERROR(INDEX(I_COA!$C$6:$C$265,MATCH(D1562,I_COA!$A$6:$A$265,0)),"AKUN BARU"))</f>
        <v>LabaRugi</v>
      </c>
      <c r="L1562" s="34" t="str">
        <f aca="false">IF(K1562="LabaRugi",INDEX(I_COA!$D$6:$D$265,MATCH(D1562,I_COA!$A$6:$A$265,0)),"")</f>
        <v>COGS - Live Bird</v>
      </c>
      <c r="M1562" s="34" t="str">
        <f aca="false">IF(K1562="Neraca",INDEX(I_COA!$E$6:$E$265,MATCH(D1562,I_COA!$A$6:$A$265,0)),"")</f>
        <v/>
      </c>
      <c r="N1562" s="34" t="str">
        <f aca="false">IF(D1562="","",IFERROR(INDEX(I_COA!$G$6:$G$265,MATCH(D1562,I_COA!$A$6:$A$265,0)),"N"))</f>
        <v>N</v>
      </c>
      <c r="O1562" s="11" t="n">
        <f aca="false">IF(N1562="N",ABS(J1562),"")</f>
        <v>4300697.66</v>
      </c>
      <c r="P1562" s="18" t="str">
        <f aca="false">IF(N1562="N",B1562&amp;"|"&amp;ROUND(O1562,0),"")</f>
        <v>KGR26/0304|4300698</v>
      </c>
      <c r="Q1562" s="18" t="str">
        <f aca="false">IF(N1562&lt;&gt;"Y","",IFERROR(INDEX($D$6:$D$4005,MATCH(B1562&amp;"|"&amp;ROUND(_xlfn.MAXIFS($O$6:$O$4005,$B$6:$B$4005,B1562,$N$6:$N$4005,"N"),0),$P$6:$P$4005,0)),"(tanpa lawan)"))</f>
        <v/>
      </c>
      <c r="R1562" s="44"/>
      <c r="S1562" s="9" t="str">
        <f aca="false">IF(N1562&lt;&gt;"Y","",IF(R1562&lt;&gt;"",R1562,IF(Q1562="(tanpa lawan)","Transfer antar rekening",IFERROR(INDEX(I_COA!$F$6:$F$265,MATCH(Q1562,I_COA!$A$6:$A$265,0)),"?"))))</f>
        <v/>
      </c>
    </row>
    <row r="1563" customFormat="false" ht="15" hidden="false" customHeight="false" outlineLevel="0" collapsed="false">
      <c r="A1563" s="37" t="n">
        <v>46255</v>
      </c>
      <c r="B1563" s="44" t="s">
        <v>1810</v>
      </c>
      <c r="C1563" s="44" t="s">
        <v>617</v>
      </c>
      <c r="D1563" s="44" t="n">
        <v>1104002</v>
      </c>
      <c r="E1563" s="44" t="s">
        <v>601</v>
      </c>
      <c r="F1563" s="44" t="s">
        <v>1811</v>
      </c>
      <c r="G1563" s="42"/>
      <c r="H1563" s="42" t="n">
        <v>4300697.66</v>
      </c>
      <c r="I1563" s="44" t="s">
        <v>440</v>
      </c>
      <c r="J1563" s="11" t="n">
        <f aca="false">IF(D1563="","",N(G1563)-N(H1563))</f>
        <v>-4300697.66</v>
      </c>
      <c r="K1563" s="34" t="str">
        <f aca="false">IF(D1563="","",IFERROR(INDEX(I_COA!$C$6:$C$265,MATCH(D1563,I_COA!$A$6:$A$265,0)),"AKUN BARU"))</f>
        <v>Neraca</v>
      </c>
      <c r="L1563" s="34" t="str">
        <f aca="false">IF(K1563="LabaRugi",INDEX(I_COA!$D$6:$D$265,MATCH(D1563,I_COA!$A$6:$A$265,0)),"")</f>
        <v/>
      </c>
      <c r="M1563" s="34" t="str">
        <f aca="false">IF(K1563="Neraca",INDEX(I_COA!$E$6:$E$265,MATCH(D1563,I_COA!$A$6:$A$265,0)),"")</f>
        <v>Inventory - Product</v>
      </c>
      <c r="N1563" s="34" t="str">
        <f aca="false">IF(D1563="","",IFERROR(INDEX(I_COA!$G$6:$G$265,MATCH(D1563,I_COA!$A$6:$A$265,0)),"N"))</f>
        <v>N</v>
      </c>
      <c r="O1563" s="11" t="n">
        <f aca="false">IF(N1563="N",ABS(J1563),"")</f>
        <v>4300697.66</v>
      </c>
      <c r="P1563" s="18" t="str">
        <f aca="false">IF(N1563="N",B1563&amp;"|"&amp;ROUND(O1563,0),"")</f>
        <v>KGR26/0304|4300698</v>
      </c>
      <c r="Q1563" s="18" t="str">
        <f aca="false">IF(N1563&lt;&gt;"Y","",IFERROR(INDEX($D$6:$D$4005,MATCH(B1563&amp;"|"&amp;ROUND(_xlfn.MAXIFS($O$6:$O$4005,$B$6:$B$4005,B1563,$N$6:$N$4005,"N"),0),$P$6:$P$4005,0)),"(tanpa lawan)"))</f>
        <v/>
      </c>
      <c r="R1563" s="44"/>
      <c r="S1563" s="9" t="str">
        <f aca="false">IF(N1563&lt;&gt;"Y","",IF(R1563&lt;&gt;"",R1563,IF(Q1563="(tanpa lawan)","Transfer antar rekening",IFERROR(INDEX(I_COA!$F$6:$F$265,MATCH(Q1563,I_COA!$A$6:$A$265,0)),"?"))))</f>
        <v/>
      </c>
    </row>
    <row r="1564" customFormat="false" ht="15" hidden="false" customHeight="false" outlineLevel="0" collapsed="false">
      <c r="A1564" s="37" t="n">
        <v>46255</v>
      </c>
      <c r="B1564" s="44" t="s">
        <v>1812</v>
      </c>
      <c r="C1564" s="44" t="s">
        <v>617</v>
      </c>
      <c r="D1564" s="44" t="n">
        <v>1103101</v>
      </c>
      <c r="E1564" s="44" t="s">
        <v>589</v>
      </c>
      <c r="F1564" s="44" t="s">
        <v>1813</v>
      </c>
      <c r="G1564" s="42" t="n">
        <v>957600</v>
      </c>
      <c r="H1564" s="42"/>
      <c r="I1564" s="44" t="s">
        <v>440</v>
      </c>
      <c r="J1564" s="11" t="n">
        <f aca="false">IF(D1564="","",N(G1564)-N(H1564))</f>
        <v>957600</v>
      </c>
      <c r="K1564" s="34" t="str">
        <f aca="false">IF(D1564="","",IFERROR(INDEX(I_COA!$C$6:$C$265,MATCH(D1564,I_COA!$A$6:$A$265,0)),"AKUN BARU"))</f>
        <v>Neraca</v>
      </c>
      <c r="L1564" s="34" t="str">
        <f aca="false">IF(K1564="LabaRugi",INDEX(I_COA!$D$6:$D$265,MATCH(D1564,I_COA!$A$6:$A$265,0)),"")</f>
        <v/>
      </c>
      <c r="M1564" s="34" t="str">
        <f aca="false">IF(K1564="Neraca",INDEX(I_COA!$E$6:$E$265,MATCH(D1564,I_COA!$A$6:$A$265,0)),"")</f>
        <v>Trade Receivables - Third Parties</v>
      </c>
      <c r="N1564" s="34" t="str">
        <f aca="false">IF(D1564="","",IFERROR(INDEX(I_COA!$G$6:$G$265,MATCH(D1564,I_COA!$A$6:$A$265,0)),"N"))</f>
        <v>N</v>
      </c>
      <c r="O1564" s="11" t="n">
        <f aca="false">IF(N1564="N",ABS(J1564),"")</f>
        <v>957600</v>
      </c>
      <c r="P1564" s="18" t="str">
        <f aca="false">IF(N1564="N",B1564&amp;"|"&amp;ROUND(O1564,0),"")</f>
        <v>KGR26/0305|957600</v>
      </c>
      <c r="Q1564" s="18" t="str">
        <f aca="false">IF(N1564&lt;&gt;"Y","",IFERROR(INDEX($D$6:$D$4005,MATCH(B1564&amp;"|"&amp;ROUND(_xlfn.MAXIFS($O$6:$O$4005,$B$6:$B$4005,B1564,$N$6:$N$4005,"N"),0),$P$6:$P$4005,0)),"(tanpa lawan)"))</f>
        <v/>
      </c>
      <c r="R1564" s="44"/>
      <c r="S1564" s="9" t="str">
        <f aca="false">IF(N1564&lt;&gt;"Y","",IF(R1564&lt;&gt;"",R1564,IF(Q1564="(tanpa lawan)","Transfer antar rekening",IFERROR(INDEX(I_COA!$F$6:$F$265,MATCH(Q1564,I_COA!$A$6:$A$265,0)),"?"))))</f>
        <v/>
      </c>
    </row>
    <row r="1565" customFormat="false" ht="15" hidden="false" customHeight="false" outlineLevel="0" collapsed="false">
      <c r="A1565" s="37" t="n">
        <v>46255</v>
      </c>
      <c r="B1565" s="44" t="s">
        <v>1812</v>
      </c>
      <c r="C1565" s="44" t="s">
        <v>617</v>
      </c>
      <c r="D1565" s="44" t="n">
        <v>4101006</v>
      </c>
      <c r="E1565" s="44" t="s">
        <v>626</v>
      </c>
      <c r="F1565" s="44" t="s">
        <v>1813</v>
      </c>
      <c r="G1565" s="42"/>
      <c r="H1565" s="42" t="n">
        <v>957600</v>
      </c>
      <c r="I1565" s="44" t="s">
        <v>440</v>
      </c>
      <c r="J1565" s="11" t="n">
        <f aca="false">IF(D1565="","",N(G1565)-N(H1565))</f>
        <v>-957600</v>
      </c>
      <c r="K1565" s="34" t="str">
        <f aca="false">IF(D1565="","",IFERROR(INDEX(I_COA!$C$6:$C$265,MATCH(D1565,I_COA!$A$6:$A$265,0)),"AKUN BARU"))</f>
        <v>LabaRugi</v>
      </c>
      <c r="L1565" s="34" t="str">
        <f aca="false">IF(K1565="LabaRugi",INDEX(I_COA!$D$6:$D$265,MATCH(D1565,I_COA!$A$6:$A$265,0)),"")</f>
        <v>Revenue - LB Main Product</v>
      </c>
      <c r="M1565" s="34" t="str">
        <f aca="false">IF(K1565="Neraca",INDEX(I_COA!$E$6:$E$265,MATCH(D1565,I_COA!$A$6:$A$265,0)),"")</f>
        <v/>
      </c>
      <c r="N1565" s="34" t="str">
        <f aca="false">IF(D1565="","",IFERROR(INDEX(I_COA!$G$6:$G$265,MATCH(D1565,I_COA!$A$6:$A$265,0)),"N"))</f>
        <v>N</v>
      </c>
      <c r="O1565" s="11" t="n">
        <f aca="false">IF(N1565="N",ABS(J1565),"")</f>
        <v>957600</v>
      </c>
      <c r="P1565" s="18" t="str">
        <f aca="false">IF(N1565="N",B1565&amp;"|"&amp;ROUND(O1565,0),"")</f>
        <v>KGR26/0305|957600</v>
      </c>
      <c r="Q1565" s="18" t="str">
        <f aca="false">IF(N1565&lt;&gt;"Y","",IFERROR(INDEX($D$6:$D$4005,MATCH(B1565&amp;"|"&amp;ROUND(_xlfn.MAXIFS($O$6:$O$4005,$B$6:$B$4005,B1565,$N$6:$N$4005,"N"),0),$P$6:$P$4005,0)),"(tanpa lawan)"))</f>
        <v/>
      </c>
      <c r="R1565" s="44"/>
      <c r="S1565" s="9" t="str">
        <f aca="false">IF(N1565&lt;&gt;"Y","",IF(R1565&lt;&gt;"",R1565,IF(Q1565="(tanpa lawan)","Transfer antar rekening",IFERROR(INDEX(I_COA!$F$6:$F$265,MATCH(Q1565,I_COA!$A$6:$A$265,0)),"?"))))</f>
        <v/>
      </c>
    </row>
    <row r="1566" customFormat="false" ht="15" hidden="false" customHeight="false" outlineLevel="0" collapsed="false">
      <c r="A1566" s="37" t="n">
        <v>46255</v>
      </c>
      <c r="B1566" s="44" t="s">
        <v>1812</v>
      </c>
      <c r="C1566" s="44" t="s">
        <v>617</v>
      </c>
      <c r="D1566" s="44" t="n">
        <v>5100004</v>
      </c>
      <c r="E1566" s="44" t="s">
        <v>627</v>
      </c>
      <c r="F1566" s="44" t="s">
        <v>1813</v>
      </c>
      <c r="G1566" s="42" t="n">
        <v>832182.43</v>
      </c>
      <c r="H1566" s="42"/>
      <c r="I1566" s="44" t="s">
        <v>440</v>
      </c>
      <c r="J1566" s="11" t="n">
        <f aca="false">IF(D1566="","",N(G1566)-N(H1566))</f>
        <v>832182.43</v>
      </c>
      <c r="K1566" s="34" t="str">
        <f aca="false">IF(D1566="","",IFERROR(INDEX(I_COA!$C$6:$C$265,MATCH(D1566,I_COA!$A$6:$A$265,0)),"AKUN BARU"))</f>
        <v>LabaRugi</v>
      </c>
      <c r="L1566" s="34" t="str">
        <f aca="false">IF(K1566="LabaRugi",INDEX(I_COA!$D$6:$D$265,MATCH(D1566,I_COA!$A$6:$A$265,0)),"")</f>
        <v>COGS - Live Bird</v>
      </c>
      <c r="M1566" s="34" t="str">
        <f aca="false">IF(K1566="Neraca",INDEX(I_COA!$E$6:$E$265,MATCH(D1566,I_COA!$A$6:$A$265,0)),"")</f>
        <v/>
      </c>
      <c r="N1566" s="34" t="str">
        <f aca="false">IF(D1566="","",IFERROR(INDEX(I_COA!$G$6:$G$265,MATCH(D1566,I_COA!$A$6:$A$265,0)),"N"))</f>
        <v>N</v>
      </c>
      <c r="O1566" s="11" t="n">
        <f aca="false">IF(N1566="N",ABS(J1566),"")</f>
        <v>832182.43</v>
      </c>
      <c r="P1566" s="18" t="str">
        <f aca="false">IF(N1566="N",B1566&amp;"|"&amp;ROUND(O1566,0),"")</f>
        <v>KGR26/0305|832182</v>
      </c>
      <c r="Q1566" s="18" t="str">
        <f aca="false">IF(N1566&lt;&gt;"Y","",IFERROR(INDEX($D$6:$D$4005,MATCH(B1566&amp;"|"&amp;ROUND(_xlfn.MAXIFS($O$6:$O$4005,$B$6:$B$4005,B1566,$N$6:$N$4005,"N"),0),$P$6:$P$4005,0)),"(tanpa lawan)"))</f>
        <v/>
      </c>
      <c r="R1566" s="44"/>
      <c r="S1566" s="9" t="str">
        <f aca="false">IF(N1566&lt;&gt;"Y","",IF(R1566&lt;&gt;"",R1566,IF(Q1566="(tanpa lawan)","Transfer antar rekening",IFERROR(INDEX(I_COA!$F$6:$F$265,MATCH(Q1566,I_COA!$A$6:$A$265,0)),"?"))))</f>
        <v/>
      </c>
    </row>
    <row r="1567" customFormat="false" ht="15" hidden="false" customHeight="false" outlineLevel="0" collapsed="false">
      <c r="A1567" s="37" t="n">
        <v>46255</v>
      </c>
      <c r="B1567" s="44" t="s">
        <v>1812</v>
      </c>
      <c r="C1567" s="44" t="s">
        <v>617</v>
      </c>
      <c r="D1567" s="44" t="n">
        <v>1104002</v>
      </c>
      <c r="E1567" s="44" t="s">
        <v>601</v>
      </c>
      <c r="F1567" s="44" t="s">
        <v>1813</v>
      </c>
      <c r="G1567" s="42"/>
      <c r="H1567" s="42" t="n">
        <v>832182.43</v>
      </c>
      <c r="I1567" s="44" t="s">
        <v>440</v>
      </c>
      <c r="J1567" s="11" t="n">
        <f aca="false">IF(D1567="","",N(G1567)-N(H1567))</f>
        <v>-832182.43</v>
      </c>
      <c r="K1567" s="34" t="str">
        <f aca="false">IF(D1567="","",IFERROR(INDEX(I_COA!$C$6:$C$265,MATCH(D1567,I_COA!$A$6:$A$265,0)),"AKUN BARU"))</f>
        <v>Neraca</v>
      </c>
      <c r="L1567" s="34" t="str">
        <f aca="false">IF(K1567="LabaRugi",INDEX(I_COA!$D$6:$D$265,MATCH(D1567,I_COA!$A$6:$A$265,0)),"")</f>
        <v/>
      </c>
      <c r="M1567" s="34" t="str">
        <f aca="false">IF(K1567="Neraca",INDEX(I_COA!$E$6:$E$265,MATCH(D1567,I_COA!$A$6:$A$265,0)),"")</f>
        <v>Inventory - Product</v>
      </c>
      <c r="N1567" s="34" t="str">
        <f aca="false">IF(D1567="","",IFERROR(INDEX(I_COA!$G$6:$G$265,MATCH(D1567,I_COA!$A$6:$A$265,0)),"N"))</f>
        <v>N</v>
      </c>
      <c r="O1567" s="11" t="n">
        <f aca="false">IF(N1567="N",ABS(J1567),"")</f>
        <v>832182.43</v>
      </c>
      <c r="P1567" s="18" t="str">
        <f aca="false">IF(N1567="N",B1567&amp;"|"&amp;ROUND(O1567,0),"")</f>
        <v>KGR26/0305|832182</v>
      </c>
      <c r="Q1567" s="18" t="str">
        <f aca="false">IF(N1567&lt;&gt;"Y","",IFERROR(INDEX($D$6:$D$4005,MATCH(B1567&amp;"|"&amp;ROUND(_xlfn.MAXIFS($O$6:$O$4005,$B$6:$B$4005,B1567,$N$6:$N$4005,"N"),0),$P$6:$P$4005,0)),"(tanpa lawan)"))</f>
        <v/>
      </c>
      <c r="R1567" s="44"/>
      <c r="S1567" s="9" t="str">
        <f aca="false">IF(N1567&lt;&gt;"Y","",IF(R1567&lt;&gt;"",R1567,IF(Q1567="(tanpa lawan)","Transfer antar rekening",IFERROR(INDEX(I_COA!$F$6:$F$265,MATCH(Q1567,I_COA!$A$6:$A$265,0)),"?"))))</f>
        <v/>
      </c>
    </row>
    <row r="1568" customFormat="false" ht="15" hidden="false" customHeight="false" outlineLevel="0" collapsed="false">
      <c r="A1568" s="37" t="n">
        <v>46255</v>
      </c>
      <c r="B1568" s="44" t="s">
        <v>1814</v>
      </c>
      <c r="C1568" s="44" t="s">
        <v>617</v>
      </c>
      <c r="D1568" s="44" t="n">
        <v>1103101</v>
      </c>
      <c r="E1568" s="44" t="s">
        <v>589</v>
      </c>
      <c r="F1568" s="44" t="s">
        <v>1815</v>
      </c>
      <c r="G1568" s="42" t="n">
        <v>2551150</v>
      </c>
      <c r="H1568" s="42"/>
      <c r="I1568" s="44" t="s">
        <v>440</v>
      </c>
      <c r="J1568" s="11" t="n">
        <f aca="false">IF(D1568="","",N(G1568)-N(H1568))</f>
        <v>2551150</v>
      </c>
      <c r="K1568" s="34" t="str">
        <f aca="false">IF(D1568="","",IFERROR(INDEX(I_COA!$C$6:$C$265,MATCH(D1568,I_COA!$A$6:$A$265,0)),"AKUN BARU"))</f>
        <v>Neraca</v>
      </c>
      <c r="L1568" s="34" t="str">
        <f aca="false">IF(K1568="LabaRugi",INDEX(I_COA!$D$6:$D$265,MATCH(D1568,I_COA!$A$6:$A$265,0)),"")</f>
        <v/>
      </c>
      <c r="M1568" s="34" t="str">
        <f aca="false">IF(K1568="Neraca",INDEX(I_COA!$E$6:$E$265,MATCH(D1568,I_COA!$A$6:$A$265,0)),"")</f>
        <v>Trade Receivables - Third Parties</v>
      </c>
      <c r="N1568" s="34" t="str">
        <f aca="false">IF(D1568="","",IFERROR(INDEX(I_COA!$G$6:$G$265,MATCH(D1568,I_COA!$A$6:$A$265,0)),"N"))</f>
        <v>N</v>
      </c>
      <c r="O1568" s="11" t="n">
        <f aca="false">IF(N1568="N",ABS(J1568),"")</f>
        <v>2551150</v>
      </c>
      <c r="P1568" s="18" t="str">
        <f aca="false">IF(N1568="N",B1568&amp;"|"&amp;ROUND(O1568,0),"")</f>
        <v>KGR26/0306|2551150</v>
      </c>
      <c r="Q1568" s="18" t="str">
        <f aca="false">IF(N1568&lt;&gt;"Y","",IFERROR(INDEX($D$6:$D$4005,MATCH(B1568&amp;"|"&amp;ROUND(_xlfn.MAXIFS($O$6:$O$4005,$B$6:$B$4005,B1568,$N$6:$N$4005,"N"),0),$P$6:$P$4005,0)),"(tanpa lawan)"))</f>
        <v/>
      </c>
      <c r="R1568" s="44"/>
      <c r="S1568" s="9" t="str">
        <f aca="false">IF(N1568&lt;&gt;"Y","",IF(R1568&lt;&gt;"",R1568,IF(Q1568="(tanpa lawan)","Transfer antar rekening",IFERROR(INDEX(I_COA!$F$6:$F$265,MATCH(Q1568,I_COA!$A$6:$A$265,0)),"?"))))</f>
        <v/>
      </c>
    </row>
    <row r="1569" customFormat="false" ht="15" hidden="false" customHeight="false" outlineLevel="0" collapsed="false">
      <c r="A1569" s="37" t="n">
        <v>46255</v>
      </c>
      <c r="B1569" s="44" t="s">
        <v>1814</v>
      </c>
      <c r="C1569" s="44" t="s">
        <v>617</v>
      </c>
      <c r="D1569" s="44" t="n">
        <v>4101007</v>
      </c>
      <c r="E1569" s="44" t="s">
        <v>985</v>
      </c>
      <c r="F1569" s="44" t="s">
        <v>1815</v>
      </c>
      <c r="G1569" s="42"/>
      <c r="H1569" s="42" t="n">
        <v>2551150</v>
      </c>
      <c r="I1569" s="44" t="s">
        <v>440</v>
      </c>
      <c r="J1569" s="11" t="n">
        <f aca="false">IF(D1569="","",N(G1569)-N(H1569))</f>
        <v>-2551150</v>
      </c>
      <c r="K1569" s="34" t="str">
        <f aca="false">IF(D1569="","",IFERROR(INDEX(I_COA!$C$6:$C$265,MATCH(D1569,I_COA!$A$6:$A$265,0)),"AKUN BARU"))</f>
        <v>LabaRugi</v>
      </c>
      <c r="L1569" s="34" t="str">
        <f aca="false">IF(K1569="LabaRugi",INDEX(I_COA!$D$6:$D$265,MATCH(D1569,I_COA!$A$6:$A$265,0)),"")</f>
        <v>Revenue - LB By Product</v>
      </c>
      <c r="M1569" s="34" t="str">
        <f aca="false">IF(K1569="Neraca",INDEX(I_COA!$E$6:$E$265,MATCH(D1569,I_COA!$A$6:$A$265,0)),"")</f>
        <v/>
      </c>
      <c r="N1569" s="34" t="str">
        <f aca="false">IF(D1569="","",IFERROR(INDEX(I_COA!$G$6:$G$265,MATCH(D1569,I_COA!$A$6:$A$265,0)),"N"))</f>
        <v>N</v>
      </c>
      <c r="O1569" s="11" t="n">
        <f aca="false">IF(N1569="N",ABS(J1569),"")</f>
        <v>2551150</v>
      </c>
      <c r="P1569" s="18" t="str">
        <f aca="false">IF(N1569="N",B1569&amp;"|"&amp;ROUND(O1569,0),"")</f>
        <v>KGR26/0306|2551150</v>
      </c>
      <c r="Q1569" s="18" t="str">
        <f aca="false">IF(N1569&lt;&gt;"Y","",IFERROR(INDEX($D$6:$D$4005,MATCH(B1569&amp;"|"&amp;ROUND(_xlfn.MAXIFS($O$6:$O$4005,$B$6:$B$4005,B1569,$N$6:$N$4005,"N"),0),$P$6:$P$4005,0)),"(tanpa lawan)"))</f>
        <v/>
      </c>
      <c r="R1569" s="44"/>
      <c r="S1569" s="9" t="str">
        <f aca="false">IF(N1569&lt;&gt;"Y","",IF(R1569&lt;&gt;"",R1569,IF(Q1569="(tanpa lawan)","Transfer antar rekening",IFERROR(INDEX(I_COA!$F$6:$F$265,MATCH(Q1569,I_COA!$A$6:$A$265,0)),"?"))))</f>
        <v/>
      </c>
    </row>
    <row r="1570" customFormat="false" ht="15" hidden="false" customHeight="false" outlineLevel="0" collapsed="false">
      <c r="A1570" s="37" t="n">
        <v>46255</v>
      </c>
      <c r="B1570" s="44" t="s">
        <v>1814</v>
      </c>
      <c r="C1570" s="44" t="s">
        <v>617</v>
      </c>
      <c r="D1570" s="44" t="n">
        <v>5100005</v>
      </c>
      <c r="E1570" s="44" t="s">
        <v>986</v>
      </c>
      <c r="F1570" s="44" t="s">
        <v>1815</v>
      </c>
      <c r="G1570" s="42" t="n">
        <v>5137130.14</v>
      </c>
      <c r="H1570" s="42"/>
      <c r="I1570" s="44" t="s">
        <v>440</v>
      </c>
      <c r="J1570" s="11" t="n">
        <f aca="false">IF(D1570="","",N(G1570)-N(H1570))</f>
        <v>5137130.14</v>
      </c>
      <c r="K1570" s="34" t="str">
        <f aca="false">IF(D1570="","",IFERROR(INDEX(I_COA!$C$6:$C$265,MATCH(D1570,I_COA!$A$6:$A$265,0)),"AKUN BARU"))</f>
        <v>LabaRugi</v>
      </c>
      <c r="L1570" s="34" t="str">
        <f aca="false">IF(K1570="LabaRugi",INDEX(I_COA!$D$6:$D$265,MATCH(D1570,I_COA!$A$6:$A$265,0)),"")</f>
        <v>COGS - Live Bird</v>
      </c>
      <c r="M1570" s="34" t="str">
        <f aca="false">IF(K1570="Neraca",INDEX(I_COA!$E$6:$E$265,MATCH(D1570,I_COA!$A$6:$A$265,0)),"")</f>
        <v/>
      </c>
      <c r="N1570" s="34" t="str">
        <f aca="false">IF(D1570="","",IFERROR(INDEX(I_COA!$G$6:$G$265,MATCH(D1570,I_COA!$A$6:$A$265,0)),"N"))</f>
        <v>N</v>
      </c>
      <c r="O1570" s="11" t="n">
        <f aca="false">IF(N1570="N",ABS(J1570),"")</f>
        <v>5137130.14</v>
      </c>
      <c r="P1570" s="18" t="str">
        <f aca="false">IF(N1570="N",B1570&amp;"|"&amp;ROUND(O1570,0),"")</f>
        <v>KGR26/0306|5137130</v>
      </c>
      <c r="Q1570" s="18" t="str">
        <f aca="false">IF(N1570&lt;&gt;"Y","",IFERROR(INDEX($D$6:$D$4005,MATCH(B1570&amp;"|"&amp;ROUND(_xlfn.MAXIFS($O$6:$O$4005,$B$6:$B$4005,B1570,$N$6:$N$4005,"N"),0),$P$6:$P$4005,0)),"(tanpa lawan)"))</f>
        <v/>
      </c>
      <c r="R1570" s="44"/>
      <c r="S1570" s="9" t="str">
        <f aca="false">IF(N1570&lt;&gt;"Y","",IF(R1570&lt;&gt;"",R1570,IF(Q1570="(tanpa lawan)","Transfer antar rekening",IFERROR(INDEX(I_COA!$F$6:$F$265,MATCH(Q1570,I_COA!$A$6:$A$265,0)),"?"))))</f>
        <v/>
      </c>
    </row>
    <row r="1571" customFormat="false" ht="15" hidden="false" customHeight="false" outlineLevel="0" collapsed="false">
      <c r="A1571" s="37" t="n">
        <v>46255</v>
      </c>
      <c r="B1571" s="44" t="s">
        <v>1814</v>
      </c>
      <c r="C1571" s="44" t="s">
        <v>617</v>
      </c>
      <c r="D1571" s="44" t="n">
        <v>1104002</v>
      </c>
      <c r="E1571" s="44" t="s">
        <v>601</v>
      </c>
      <c r="F1571" s="44" t="s">
        <v>1815</v>
      </c>
      <c r="G1571" s="42"/>
      <c r="H1571" s="42" t="n">
        <v>5137130.14</v>
      </c>
      <c r="I1571" s="44" t="s">
        <v>440</v>
      </c>
      <c r="J1571" s="11" t="n">
        <f aca="false">IF(D1571="","",N(G1571)-N(H1571))</f>
        <v>-5137130.14</v>
      </c>
      <c r="K1571" s="34" t="str">
        <f aca="false">IF(D1571="","",IFERROR(INDEX(I_COA!$C$6:$C$265,MATCH(D1571,I_COA!$A$6:$A$265,0)),"AKUN BARU"))</f>
        <v>Neraca</v>
      </c>
      <c r="L1571" s="34" t="str">
        <f aca="false">IF(K1571="LabaRugi",INDEX(I_COA!$D$6:$D$265,MATCH(D1571,I_COA!$A$6:$A$265,0)),"")</f>
        <v/>
      </c>
      <c r="M1571" s="34" t="str">
        <f aca="false">IF(K1571="Neraca",INDEX(I_COA!$E$6:$E$265,MATCH(D1571,I_COA!$A$6:$A$265,0)),"")</f>
        <v>Inventory - Product</v>
      </c>
      <c r="N1571" s="34" t="str">
        <f aca="false">IF(D1571="","",IFERROR(INDEX(I_COA!$G$6:$G$265,MATCH(D1571,I_COA!$A$6:$A$265,0)),"N"))</f>
        <v>N</v>
      </c>
      <c r="O1571" s="11" t="n">
        <f aca="false">IF(N1571="N",ABS(J1571),"")</f>
        <v>5137130.14</v>
      </c>
      <c r="P1571" s="18" t="str">
        <f aca="false">IF(N1571="N",B1571&amp;"|"&amp;ROUND(O1571,0),"")</f>
        <v>KGR26/0306|5137130</v>
      </c>
      <c r="Q1571" s="18" t="str">
        <f aca="false">IF(N1571&lt;&gt;"Y","",IFERROR(INDEX($D$6:$D$4005,MATCH(B1571&amp;"|"&amp;ROUND(_xlfn.MAXIFS($O$6:$O$4005,$B$6:$B$4005,B1571,$N$6:$N$4005,"N"),0),$P$6:$P$4005,0)),"(tanpa lawan)"))</f>
        <v/>
      </c>
      <c r="R1571" s="44"/>
      <c r="S1571" s="9" t="str">
        <f aca="false">IF(N1571&lt;&gt;"Y","",IF(R1571&lt;&gt;"",R1571,IF(Q1571="(tanpa lawan)","Transfer antar rekening",IFERROR(INDEX(I_COA!$F$6:$F$265,MATCH(Q1571,I_COA!$A$6:$A$265,0)),"?"))))</f>
        <v/>
      </c>
    </row>
    <row r="1572" customFormat="false" ht="15" hidden="false" customHeight="false" outlineLevel="0" collapsed="false">
      <c r="A1572" s="37" t="n">
        <v>46255</v>
      </c>
      <c r="B1572" s="44" t="s">
        <v>1816</v>
      </c>
      <c r="C1572" s="44" t="s">
        <v>617</v>
      </c>
      <c r="D1572" s="44" t="n">
        <v>1103101</v>
      </c>
      <c r="E1572" s="44" t="s">
        <v>589</v>
      </c>
      <c r="F1572" s="44" t="s">
        <v>1817</v>
      </c>
      <c r="G1572" s="42" t="n">
        <v>2299100</v>
      </c>
      <c r="H1572" s="42"/>
      <c r="I1572" s="44" t="s">
        <v>440</v>
      </c>
      <c r="J1572" s="11" t="n">
        <f aca="false">IF(D1572="","",N(G1572)-N(H1572))</f>
        <v>2299100</v>
      </c>
      <c r="K1572" s="34" t="str">
        <f aca="false">IF(D1572="","",IFERROR(INDEX(I_COA!$C$6:$C$265,MATCH(D1572,I_COA!$A$6:$A$265,0)),"AKUN BARU"))</f>
        <v>Neraca</v>
      </c>
      <c r="L1572" s="34" t="str">
        <f aca="false">IF(K1572="LabaRugi",INDEX(I_COA!$D$6:$D$265,MATCH(D1572,I_COA!$A$6:$A$265,0)),"")</f>
        <v/>
      </c>
      <c r="M1572" s="34" t="str">
        <f aca="false">IF(K1572="Neraca",INDEX(I_COA!$E$6:$E$265,MATCH(D1572,I_COA!$A$6:$A$265,0)),"")</f>
        <v>Trade Receivables - Third Parties</v>
      </c>
      <c r="N1572" s="34" t="str">
        <f aca="false">IF(D1572="","",IFERROR(INDEX(I_COA!$G$6:$G$265,MATCH(D1572,I_COA!$A$6:$A$265,0)),"N"))</f>
        <v>N</v>
      </c>
      <c r="O1572" s="11" t="n">
        <f aca="false">IF(N1572="N",ABS(J1572),"")</f>
        <v>2299100</v>
      </c>
      <c r="P1572" s="18" t="str">
        <f aca="false">IF(N1572="N",B1572&amp;"|"&amp;ROUND(O1572,0),"")</f>
        <v>KGR26/0307|2299100</v>
      </c>
      <c r="Q1572" s="18" t="str">
        <f aca="false">IF(N1572&lt;&gt;"Y","",IFERROR(INDEX($D$6:$D$4005,MATCH(B1572&amp;"|"&amp;ROUND(_xlfn.MAXIFS($O$6:$O$4005,$B$6:$B$4005,B1572,$N$6:$N$4005,"N"),0),$P$6:$P$4005,0)),"(tanpa lawan)"))</f>
        <v/>
      </c>
      <c r="R1572" s="44"/>
      <c r="S1572" s="9" t="str">
        <f aca="false">IF(N1572&lt;&gt;"Y","",IF(R1572&lt;&gt;"",R1572,IF(Q1572="(tanpa lawan)","Transfer antar rekening",IFERROR(INDEX(I_COA!$F$6:$F$265,MATCH(Q1572,I_COA!$A$6:$A$265,0)),"?"))))</f>
        <v/>
      </c>
    </row>
    <row r="1573" customFormat="false" ht="15" hidden="false" customHeight="false" outlineLevel="0" collapsed="false">
      <c r="A1573" s="37" t="n">
        <v>46255</v>
      </c>
      <c r="B1573" s="44" t="s">
        <v>1816</v>
      </c>
      <c r="C1573" s="44" t="s">
        <v>617</v>
      </c>
      <c r="D1573" s="44" t="n">
        <v>4101007</v>
      </c>
      <c r="E1573" s="44" t="s">
        <v>985</v>
      </c>
      <c r="F1573" s="44" t="s">
        <v>1817</v>
      </c>
      <c r="G1573" s="42"/>
      <c r="H1573" s="42" t="n">
        <v>2299100</v>
      </c>
      <c r="I1573" s="44" t="s">
        <v>440</v>
      </c>
      <c r="J1573" s="11" t="n">
        <f aca="false">IF(D1573="","",N(G1573)-N(H1573))</f>
        <v>-2299100</v>
      </c>
      <c r="K1573" s="34" t="str">
        <f aca="false">IF(D1573="","",IFERROR(INDEX(I_COA!$C$6:$C$265,MATCH(D1573,I_COA!$A$6:$A$265,0)),"AKUN BARU"))</f>
        <v>LabaRugi</v>
      </c>
      <c r="L1573" s="34" t="str">
        <f aca="false">IF(K1573="LabaRugi",INDEX(I_COA!$D$6:$D$265,MATCH(D1573,I_COA!$A$6:$A$265,0)),"")</f>
        <v>Revenue - LB By Product</v>
      </c>
      <c r="M1573" s="34" t="str">
        <f aca="false">IF(K1573="Neraca",INDEX(I_COA!$E$6:$E$265,MATCH(D1573,I_COA!$A$6:$A$265,0)),"")</f>
        <v/>
      </c>
      <c r="N1573" s="34" t="str">
        <f aca="false">IF(D1573="","",IFERROR(INDEX(I_COA!$G$6:$G$265,MATCH(D1573,I_COA!$A$6:$A$265,0)),"N"))</f>
        <v>N</v>
      </c>
      <c r="O1573" s="11" t="n">
        <f aca="false">IF(N1573="N",ABS(J1573),"")</f>
        <v>2299100</v>
      </c>
      <c r="P1573" s="18" t="str">
        <f aca="false">IF(N1573="N",B1573&amp;"|"&amp;ROUND(O1573,0),"")</f>
        <v>KGR26/0307|2299100</v>
      </c>
      <c r="Q1573" s="18" t="str">
        <f aca="false">IF(N1573&lt;&gt;"Y","",IFERROR(INDEX($D$6:$D$4005,MATCH(B1573&amp;"|"&amp;ROUND(_xlfn.MAXIFS($O$6:$O$4005,$B$6:$B$4005,B1573,$N$6:$N$4005,"N"),0),$P$6:$P$4005,0)),"(tanpa lawan)"))</f>
        <v/>
      </c>
      <c r="R1573" s="44"/>
      <c r="S1573" s="9" t="str">
        <f aca="false">IF(N1573&lt;&gt;"Y","",IF(R1573&lt;&gt;"",R1573,IF(Q1573="(tanpa lawan)","Transfer antar rekening",IFERROR(INDEX(I_COA!$F$6:$F$265,MATCH(Q1573,I_COA!$A$6:$A$265,0)),"?"))))</f>
        <v/>
      </c>
    </row>
    <row r="1574" customFormat="false" ht="15" hidden="false" customHeight="false" outlineLevel="0" collapsed="false">
      <c r="A1574" s="37" t="n">
        <v>46255</v>
      </c>
      <c r="B1574" s="44" t="s">
        <v>1816</v>
      </c>
      <c r="C1574" s="44" t="s">
        <v>617</v>
      </c>
      <c r="D1574" s="44" t="n">
        <v>5100005</v>
      </c>
      <c r="E1574" s="44" t="s">
        <v>986</v>
      </c>
      <c r="F1574" s="44" t="s">
        <v>1817</v>
      </c>
      <c r="G1574" s="42" t="n">
        <v>4886961.11</v>
      </c>
      <c r="H1574" s="42"/>
      <c r="I1574" s="44" t="s">
        <v>440</v>
      </c>
      <c r="J1574" s="11" t="n">
        <f aca="false">IF(D1574="","",N(G1574)-N(H1574))</f>
        <v>4886961.11</v>
      </c>
      <c r="K1574" s="34" t="str">
        <f aca="false">IF(D1574="","",IFERROR(INDEX(I_COA!$C$6:$C$265,MATCH(D1574,I_COA!$A$6:$A$265,0)),"AKUN BARU"))</f>
        <v>LabaRugi</v>
      </c>
      <c r="L1574" s="34" t="str">
        <f aca="false">IF(K1574="LabaRugi",INDEX(I_COA!$D$6:$D$265,MATCH(D1574,I_COA!$A$6:$A$265,0)),"")</f>
        <v>COGS - Live Bird</v>
      </c>
      <c r="M1574" s="34" t="str">
        <f aca="false">IF(K1574="Neraca",INDEX(I_COA!$E$6:$E$265,MATCH(D1574,I_COA!$A$6:$A$265,0)),"")</f>
        <v/>
      </c>
      <c r="N1574" s="34" t="str">
        <f aca="false">IF(D1574="","",IFERROR(INDEX(I_COA!$G$6:$G$265,MATCH(D1574,I_COA!$A$6:$A$265,0)),"N"))</f>
        <v>N</v>
      </c>
      <c r="O1574" s="11" t="n">
        <f aca="false">IF(N1574="N",ABS(J1574),"")</f>
        <v>4886961.11</v>
      </c>
      <c r="P1574" s="18" t="str">
        <f aca="false">IF(N1574="N",B1574&amp;"|"&amp;ROUND(O1574,0),"")</f>
        <v>KGR26/0307|4886961</v>
      </c>
      <c r="Q1574" s="18" t="str">
        <f aca="false">IF(N1574&lt;&gt;"Y","",IFERROR(INDEX($D$6:$D$4005,MATCH(B1574&amp;"|"&amp;ROUND(_xlfn.MAXIFS($O$6:$O$4005,$B$6:$B$4005,B1574,$N$6:$N$4005,"N"),0),$P$6:$P$4005,0)),"(tanpa lawan)"))</f>
        <v/>
      </c>
      <c r="R1574" s="44"/>
      <c r="S1574" s="9" t="str">
        <f aca="false">IF(N1574&lt;&gt;"Y","",IF(R1574&lt;&gt;"",R1574,IF(Q1574="(tanpa lawan)","Transfer antar rekening",IFERROR(INDEX(I_COA!$F$6:$F$265,MATCH(Q1574,I_COA!$A$6:$A$265,0)),"?"))))</f>
        <v/>
      </c>
    </row>
    <row r="1575" customFormat="false" ht="15" hidden="false" customHeight="false" outlineLevel="0" collapsed="false">
      <c r="A1575" s="37" t="n">
        <v>46255</v>
      </c>
      <c r="B1575" s="44" t="s">
        <v>1816</v>
      </c>
      <c r="C1575" s="44" t="s">
        <v>617</v>
      </c>
      <c r="D1575" s="44" t="n">
        <v>1104002</v>
      </c>
      <c r="E1575" s="44" t="s">
        <v>601</v>
      </c>
      <c r="F1575" s="44" t="s">
        <v>1817</v>
      </c>
      <c r="G1575" s="42"/>
      <c r="H1575" s="42" t="n">
        <v>4886961.11</v>
      </c>
      <c r="I1575" s="44" t="s">
        <v>440</v>
      </c>
      <c r="J1575" s="11" t="n">
        <f aca="false">IF(D1575="","",N(G1575)-N(H1575))</f>
        <v>-4886961.11</v>
      </c>
      <c r="K1575" s="34" t="str">
        <f aca="false">IF(D1575="","",IFERROR(INDEX(I_COA!$C$6:$C$265,MATCH(D1575,I_COA!$A$6:$A$265,0)),"AKUN BARU"))</f>
        <v>Neraca</v>
      </c>
      <c r="L1575" s="34" t="str">
        <f aca="false">IF(K1575="LabaRugi",INDEX(I_COA!$D$6:$D$265,MATCH(D1575,I_COA!$A$6:$A$265,0)),"")</f>
        <v/>
      </c>
      <c r="M1575" s="34" t="str">
        <f aca="false">IF(K1575="Neraca",INDEX(I_COA!$E$6:$E$265,MATCH(D1575,I_COA!$A$6:$A$265,0)),"")</f>
        <v>Inventory - Product</v>
      </c>
      <c r="N1575" s="34" t="str">
        <f aca="false">IF(D1575="","",IFERROR(INDEX(I_COA!$G$6:$G$265,MATCH(D1575,I_COA!$A$6:$A$265,0)),"N"))</f>
        <v>N</v>
      </c>
      <c r="O1575" s="11" t="n">
        <f aca="false">IF(N1575="N",ABS(J1575),"")</f>
        <v>4886961.11</v>
      </c>
      <c r="P1575" s="18" t="str">
        <f aca="false">IF(N1575="N",B1575&amp;"|"&amp;ROUND(O1575,0),"")</f>
        <v>KGR26/0307|4886961</v>
      </c>
      <c r="Q1575" s="18" t="str">
        <f aca="false">IF(N1575&lt;&gt;"Y","",IFERROR(INDEX($D$6:$D$4005,MATCH(B1575&amp;"|"&amp;ROUND(_xlfn.MAXIFS($O$6:$O$4005,$B$6:$B$4005,B1575,$N$6:$N$4005,"N"),0),$P$6:$P$4005,0)),"(tanpa lawan)"))</f>
        <v/>
      </c>
      <c r="R1575" s="44"/>
      <c r="S1575" s="9" t="str">
        <f aca="false">IF(N1575&lt;&gt;"Y","",IF(R1575&lt;&gt;"",R1575,IF(Q1575="(tanpa lawan)","Transfer antar rekening",IFERROR(INDEX(I_COA!$F$6:$F$265,MATCH(Q1575,I_COA!$A$6:$A$265,0)),"?"))))</f>
        <v/>
      </c>
    </row>
    <row r="1576" customFormat="false" ht="15" hidden="false" customHeight="false" outlineLevel="0" collapsed="false">
      <c r="A1576" s="37" t="n">
        <v>46255</v>
      </c>
      <c r="B1576" s="44" t="s">
        <v>1818</v>
      </c>
      <c r="C1576" s="44" t="s">
        <v>617</v>
      </c>
      <c r="D1576" s="44" t="n">
        <v>1103101</v>
      </c>
      <c r="E1576" s="44" t="s">
        <v>589</v>
      </c>
      <c r="F1576" s="44" t="s">
        <v>1819</v>
      </c>
      <c r="G1576" s="42" t="n">
        <v>36006750</v>
      </c>
      <c r="H1576" s="42"/>
      <c r="I1576" s="44" t="s">
        <v>432</v>
      </c>
      <c r="J1576" s="11" t="n">
        <f aca="false">IF(D1576="","",N(G1576)-N(H1576))</f>
        <v>36006750</v>
      </c>
      <c r="K1576" s="34" t="str">
        <f aca="false">IF(D1576="","",IFERROR(INDEX(I_COA!$C$6:$C$265,MATCH(D1576,I_COA!$A$6:$A$265,0)),"AKUN BARU"))</f>
        <v>Neraca</v>
      </c>
      <c r="L1576" s="34" t="str">
        <f aca="false">IF(K1576="LabaRugi",INDEX(I_COA!$D$6:$D$265,MATCH(D1576,I_COA!$A$6:$A$265,0)),"")</f>
        <v/>
      </c>
      <c r="M1576" s="34" t="str">
        <f aca="false">IF(K1576="Neraca",INDEX(I_COA!$E$6:$E$265,MATCH(D1576,I_COA!$A$6:$A$265,0)),"")</f>
        <v>Trade Receivables - Third Parties</v>
      </c>
      <c r="N1576" s="34" t="str">
        <f aca="false">IF(D1576="","",IFERROR(INDEX(I_COA!$G$6:$G$265,MATCH(D1576,I_COA!$A$6:$A$265,0)),"N"))</f>
        <v>N</v>
      </c>
      <c r="O1576" s="11" t="n">
        <f aca="false">IF(N1576="N",ABS(J1576),"")</f>
        <v>36006750</v>
      </c>
      <c r="P1576" s="18" t="str">
        <f aca="false">IF(N1576="N",B1576&amp;"|"&amp;ROUND(O1576,0),"")</f>
        <v>KGR26/0308|36006750</v>
      </c>
      <c r="Q1576" s="18" t="str">
        <f aca="false">IF(N1576&lt;&gt;"Y","",IFERROR(INDEX($D$6:$D$4005,MATCH(B1576&amp;"|"&amp;ROUND(_xlfn.MAXIFS($O$6:$O$4005,$B$6:$B$4005,B1576,$N$6:$N$4005,"N"),0),$P$6:$P$4005,0)),"(tanpa lawan)"))</f>
        <v/>
      </c>
      <c r="R1576" s="44"/>
      <c r="S1576" s="9" t="str">
        <f aca="false">IF(N1576&lt;&gt;"Y","",IF(R1576&lt;&gt;"",R1576,IF(Q1576="(tanpa lawan)","Transfer antar rekening",IFERROR(INDEX(I_COA!$F$6:$F$265,MATCH(Q1576,I_COA!$A$6:$A$265,0)),"?"))))</f>
        <v/>
      </c>
    </row>
    <row r="1577" customFormat="false" ht="15" hidden="false" customHeight="false" outlineLevel="0" collapsed="false">
      <c r="A1577" s="37" t="n">
        <v>46255</v>
      </c>
      <c r="B1577" s="44" t="s">
        <v>1818</v>
      </c>
      <c r="C1577" s="44" t="s">
        <v>617</v>
      </c>
      <c r="D1577" s="44" t="n">
        <v>4101012</v>
      </c>
      <c r="E1577" s="44" t="s">
        <v>619</v>
      </c>
      <c r="F1577" s="44" t="s">
        <v>1819</v>
      </c>
      <c r="G1577" s="42"/>
      <c r="H1577" s="42" t="n">
        <v>36006750</v>
      </c>
      <c r="I1577" s="44" t="s">
        <v>432</v>
      </c>
      <c r="J1577" s="11" t="n">
        <f aca="false">IF(D1577="","",N(G1577)-N(H1577))</f>
        <v>-36006750</v>
      </c>
      <c r="K1577" s="34" t="str">
        <f aca="false">IF(D1577="","",IFERROR(INDEX(I_COA!$C$6:$C$265,MATCH(D1577,I_COA!$A$6:$A$265,0)),"AKUN BARU"))</f>
        <v>LabaRugi</v>
      </c>
      <c r="L1577" s="34" t="str">
        <f aca="false">IF(K1577="LabaRugi",INDEX(I_COA!$D$6:$D$265,MATCH(D1577,I_COA!$A$6:$A$265,0)),"")</f>
        <v>Revenue - Trading</v>
      </c>
      <c r="M1577" s="34" t="str">
        <f aca="false">IF(K1577="Neraca",INDEX(I_COA!$E$6:$E$265,MATCH(D1577,I_COA!$A$6:$A$265,0)),"")</f>
        <v/>
      </c>
      <c r="N1577" s="34" t="str">
        <f aca="false">IF(D1577="","",IFERROR(INDEX(I_COA!$G$6:$G$265,MATCH(D1577,I_COA!$A$6:$A$265,0)),"N"))</f>
        <v>N</v>
      </c>
      <c r="O1577" s="11" t="n">
        <f aca="false">IF(N1577="N",ABS(J1577),"")</f>
        <v>36006750</v>
      </c>
      <c r="P1577" s="18" t="str">
        <f aca="false">IF(N1577="N",B1577&amp;"|"&amp;ROUND(O1577,0),"")</f>
        <v>KGR26/0308|36006750</v>
      </c>
      <c r="Q1577" s="18" t="str">
        <f aca="false">IF(N1577&lt;&gt;"Y","",IFERROR(INDEX($D$6:$D$4005,MATCH(B1577&amp;"|"&amp;ROUND(_xlfn.MAXIFS($O$6:$O$4005,$B$6:$B$4005,B1577,$N$6:$N$4005,"N"),0),$P$6:$P$4005,0)),"(tanpa lawan)"))</f>
        <v/>
      </c>
      <c r="R1577" s="44"/>
      <c r="S1577" s="9" t="str">
        <f aca="false">IF(N1577&lt;&gt;"Y","",IF(R1577&lt;&gt;"",R1577,IF(Q1577="(tanpa lawan)","Transfer antar rekening",IFERROR(INDEX(I_COA!$F$6:$F$265,MATCH(Q1577,I_COA!$A$6:$A$265,0)),"?"))))</f>
        <v/>
      </c>
    </row>
    <row r="1578" customFormat="false" ht="15" hidden="false" customHeight="false" outlineLevel="0" collapsed="false">
      <c r="A1578" s="37" t="n">
        <v>46255</v>
      </c>
      <c r="B1578" s="44" t="s">
        <v>1818</v>
      </c>
      <c r="C1578" s="44" t="s">
        <v>617</v>
      </c>
      <c r="D1578" s="44" t="n">
        <v>5100011</v>
      </c>
      <c r="E1578" s="44" t="s">
        <v>166</v>
      </c>
      <c r="F1578" s="44" t="s">
        <v>1819</v>
      </c>
      <c r="G1578" s="42" t="n">
        <v>35228325.39</v>
      </c>
      <c r="H1578" s="42"/>
      <c r="I1578" s="44" t="s">
        <v>432</v>
      </c>
      <c r="J1578" s="11" t="n">
        <f aca="false">IF(D1578="","",N(G1578)-N(H1578))</f>
        <v>35228325.39</v>
      </c>
      <c r="K1578" s="34" t="str">
        <f aca="false">IF(D1578="","",IFERROR(INDEX(I_COA!$C$6:$C$265,MATCH(D1578,I_COA!$A$6:$A$265,0)),"AKUN BARU"))</f>
        <v>LabaRugi</v>
      </c>
      <c r="L1578" s="34" t="str">
        <f aca="false">IF(K1578="LabaRugi",INDEX(I_COA!$D$6:$D$265,MATCH(D1578,I_COA!$A$6:$A$265,0)),"")</f>
        <v>COGS - Trading</v>
      </c>
      <c r="M1578" s="34" t="str">
        <f aca="false">IF(K1578="Neraca",INDEX(I_COA!$E$6:$E$265,MATCH(D1578,I_COA!$A$6:$A$265,0)),"")</f>
        <v/>
      </c>
      <c r="N1578" s="34" t="str">
        <f aca="false">IF(D1578="","",IFERROR(INDEX(I_COA!$G$6:$G$265,MATCH(D1578,I_COA!$A$6:$A$265,0)),"N"))</f>
        <v>N</v>
      </c>
      <c r="O1578" s="11" t="n">
        <f aca="false">IF(N1578="N",ABS(J1578),"")</f>
        <v>35228325.39</v>
      </c>
      <c r="P1578" s="18" t="str">
        <f aca="false">IF(N1578="N",B1578&amp;"|"&amp;ROUND(O1578,0),"")</f>
        <v>KGR26/0308|35228325</v>
      </c>
      <c r="Q1578" s="18" t="str">
        <f aca="false">IF(N1578&lt;&gt;"Y","",IFERROR(INDEX($D$6:$D$4005,MATCH(B1578&amp;"|"&amp;ROUND(_xlfn.MAXIFS($O$6:$O$4005,$B$6:$B$4005,B1578,$N$6:$N$4005,"N"),0),$P$6:$P$4005,0)),"(tanpa lawan)"))</f>
        <v/>
      </c>
      <c r="R1578" s="44"/>
      <c r="S1578" s="9" t="str">
        <f aca="false">IF(N1578&lt;&gt;"Y","",IF(R1578&lt;&gt;"",R1578,IF(Q1578="(tanpa lawan)","Transfer antar rekening",IFERROR(INDEX(I_COA!$F$6:$F$265,MATCH(Q1578,I_COA!$A$6:$A$265,0)),"?"))))</f>
        <v/>
      </c>
    </row>
    <row r="1579" customFormat="false" ht="15" hidden="false" customHeight="false" outlineLevel="0" collapsed="false">
      <c r="A1579" s="37" t="n">
        <v>46255</v>
      </c>
      <c r="B1579" s="44" t="s">
        <v>1818</v>
      </c>
      <c r="C1579" s="44" t="s">
        <v>617</v>
      </c>
      <c r="D1579" s="44" t="n">
        <v>1104002</v>
      </c>
      <c r="E1579" s="44" t="s">
        <v>601</v>
      </c>
      <c r="F1579" s="44" t="s">
        <v>1819</v>
      </c>
      <c r="G1579" s="42"/>
      <c r="H1579" s="42" t="n">
        <v>35228325.39</v>
      </c>
      <c r="I1579" s="44" t="s">
        <v>432</v>
      </c>
      <c r="J1579" s="11" t="n">
        <f aca="false">IF(D1579="","",N(G1579)-N(H1579))</f>
        <v>-35228325.39</v>
      </c>
      <c r="K1579" s="34" t="str">
        <f aca="false">IF(D1579="","",IFERROR(INDEX(I_COA!$C$6:$C$265,MATCH(D1579,I_COA!$A$6:$A$265,0)),"AKUN BARU"))</f>
        <v>Neraca</v>
      </c>
      <c r="L1579" s="34" t="str">
        <f aca="false">IF(K1579="LabaRugi",INDEX(I_COA!$D$6:$D$265,MATCH(D1579,I_COA!$A$6:$A$265,0)),"")</f>
        <v/>
      </c>
      <c r="M1579" s="34" t="str">
        <f aca="false">IF(K1579="Neraca",INDEX(I_COA!$E$6:$E$265,MATCH(D1579,I_COA!$A$6:$A$265,0)),"")</f>
        <v>Inventory - Product</v>
      </c>
      <c r="N1579" s="34" t="str">
        <f aca="false">IF(D1579="","",IFERROR(INDEX(I_COA!$G$6:$G$265,MATCH(D1579,I_COA!$A$6:$A$265,0)),"N"))</f>
        <v>N</v>
      </c>
      <c r="O1579" s="11" t="n">
        <f aca="false">IF(N1579="N",ABS(J1579),"")</f>
        <v>35228325.39</v>
      </c>
      <c r="P1579" s="18" t="str">
        <f aca="false">IF(N1579="N",B1579&amp;"|"&amp;ROUND(O1579,0),"")</f>
        <v>KGR26/0308|35228325</v>
      </c>
      <c r="Q1579" s="18" t="str">
        <f aca="false">IF(N1579&lt;&gt;"Y","",IFERROR(INDEX($D$6:$D$4005,MATCH(B1579&amp;"|"&amp;ROUND(_xlfn.MAXIFS($O$6:$O$4005,$B$6:$B$4005,B1579,$N$6:$N$4005,"N"),0),$P$6:$P$4005,0)),"(tanpa lawan)"))</f>
        <v/>
      </c>
      <c r="R1579" s="44"/>
      <c r="S1579" s="9" t="str">
        <f aca="false">IF(N1579&lt;&gt;"Y","",IF(R1579&lt;&gt;"",R1579,IF(Q1579="(tanpa lawan)","Transfer antar rekening",IFERROR(INDEX(I_COA!$F$6:$F$265,MATCH(Q1579,I_COA!$A$6:$A$265,0)),"?"))))</f>
        <v/>
      </c>
    </row>
    <row r="1580" customFormat="false" ht="15" hidden="false" customHeight="false" outlineLevel="0" collapsed="false">
      <c r="A1580" s="37" t="n">
        <v>46255</v>
      </c>
      <c r="B1580" s="44" t="s">
        <v>1820</v>
      </c>
      <c r="C1580" s="44" t="s">
        <v>617</v>
      </c>
      <c r="D1580" s="44" t="n">
        <v>1103101</v>
      </c>
      <c r="E1580" s="44" t="s">
        <v>589</v>
      </c>
      <c r="F1580" s="44" t="s">
        <v>1821</v>
      </c>
      <c r="G1580" s="42" t="n">
        <v>77599690</v>
      </c>
      <c r="H1580" s="42"/>
      <c r="I1580" s="44" t="s">
        <v>774</v>
      </c>
      <c r="J1580" s="11" t="n">
        <f aca="false">IF(D1580="","",N(G1580)-N(H1580))</f>
        <v>77599690</v>
      </c>
      <c r="K1580" s="34" t="str">
        <f aca="false">IF(D1580="","",IFERROR(INDEX(I_COA!$C$6:$C$265,MATCH(D1580,I_COA!$A$6:$A$265,0)),"AKUN BARU"))</f>
        <v>Neraca</v>
      </c>
      <c r="L1580" s="34" t="str">
        <f aca="false">IF(K1580="LabaRugi",INDEX(I_COA!$D$6:$D$265,MATCH(D1580,I_COA!$A$6:$A$265,0)),"")</f>
        <v/>
      </c>
      <c r="M1580" s="34" t="str">
        <f aca="false">IF(K1580="Neraca",INDEX(I_COA!$E$6:$E$265,MATCH(D1580,I_COA!$A$6:$A$265,0)),"")</f>
        <v>Trade Receivables - Third Parties</v>
      </c>
      <c r="N1580" s="34" t="str">
        <f aca="false">IF(D1580="","",IFERROR(INDEX(I_COA!$G$6:$G$265,MATCH(D1580,I_COA!$A$6:$A$265,0)),"N"))</f>
        <v>N</v>
      </c>
      <c r="O1580" s="11" t="n">
        <f aca="false">IF(N1580="N",ABS(J1580),"")</f>
        <v>77599690</v>
      </c>
      <c r="P1580" s="18" t="str">
        <f aca="false">IF(N1580="N",B1580&amp;"|"&amp;ROUND(O1580,0),"")</f>
        <v>KGR26/0309|77599690</v>
      </c>
      <c r="Q1580" s="18" t="str">
        <f aca="false">IF(N1580&lt;&gt;"Y","",IFERROR(INDEX($D$6:$D$4005,MATCH(B1580&amp;"|"&amp;ROUND(_xlfn.MAXIFS($O$6:$O$4005,$B$6:$B$4005,B1580,$N$6:$N$4005,"N"),0),$P$6:$P$4005,0)),"(tanpa lawan)"))</f>
        <v/>
      </c>
      <c r="R1580" s="44"/>
      <c r="S1580" s="9" t="str">
        <f aca="false">IF(N1580&lt;&gt;"Y","",IF(R1580&lt;&gt;"",R1580,IF(Q1580="(tanpa lawan)","Transfer antar rekening",IFERROR(INDEX(I_COA!$F$6:$F$265,MATCH(Q1580,I_COA!$A$6:$A$265,0)),"?"))))</f>
        <v/>
      </c>
    </row>
    <row r="1581" customFormat="false" ht="15" hidden="false" customHeight="false" outlineLevel="0" collapsed="false">
      <c r="A1581" s="37" t="n">
        <v>46255</v>
      </c>
      <c r="B1581" s="44" t="s">
        <v>1820</v>
      </c>
      <c r="C1581" s="44" t="s">
        <v>617</v>
      </c>
      <c r="D1581" s="44" t="n">
        <v>4101006</v>
      </c>
      <c r="E1581" s="44" t="s">
        <v>626</v>
      </c>
      <c r="F1581" s="44" t="s">
        <v>1821</v>
      </c>
      <c r="G1581" s="42"/>
      <c r="H1581" s="42" t="n">
        <v>7918540</v>
      </c>
      <c r="I1581" s="44" t="s">
        <v>774</v>
      </c>
      <c r="J1581" s="11" t="n">
        <f aca="false">IF(D1581="","",N(G1581)-N(H1581))</f>
        <v>-7918540</v>
      </c>
      <c r="K1581" s="34" t="str">
        <f aca="false">IF(D1581="","",IFERROR(INDEX(I_COA!$C$6:$C$265,MATCH(D1581,I_COA!$A$6:$A$265,0)),"AKUN BARU"))</f>
        <v>LabaRugi</v>
      </c>
      <c r="L1581" s="34" t="str">
        <f aca="false">IF(K1581="LabaRugi",INDEX(I_COA!$D$6:$D$265,MATCH(D1581,I_COA!$A$6:$A$265,0)),"")</f>
        <v>Revenue - LB Main Product</v>
      </c>
      <c r="M1581" s="34" t="str">
        <f aca="false">IF(K1581="Neraca",INDEX(I_COA!$E$6:$E$265,MATCH(D1581,I_COA!$A$6:$A$265,0)),"")</f>
        <v/>
      </c>
      <c r="N1581" s="34" t="str">
        <f aca="false">IF(D1581="","",IFERROR(INDEX(I_COA!$G$6:$G$265,MATCH(D1581,I_COA!$A$6:$A$265,0)),"N"))</f>
        <v>N</v>
      </c>
      <c r="O1581" s="11" t="n">
        <f aca="false">IF(N1581="N",ABS(J1581),"")</f>
        <v>7918540</v>
      </c>
      <c r="P1581" s="18" t="str">
        <f aca="false">IF(N1581="N",B1581&amp;"|"&amp;ROUND(O1581,0),"")</f>
        <v>KGR26/0309|7918540</v>
      </c>
      <c r="Q1581" s="18" t="str">
        <f aca="false">IF(N1581&lt;&gt;"Y","",IFERROR(INDEX($D$6:$D$4005,MATCH(B1581&amp;"|"&amp;ROUND(_xlfn.MAXIFS($O$6:$O$4005,$B$6:$B$4005,B1581,$N$6:$N$4005,"N"),0),$P$6:$P$4005,0)),"(tanpa lawan)"))</f>
        <v/>
      </c>
      <c r="R1581" s="44"/>
      <c r="S1581" s="9" t="str">
        <f aca="false">IF(N1581&lt;&gt;"Y","",IF(R1581&lt;&gt;"",R1581,IF(Q1581="(tanpa lawan)","Transfer antar rekening",IFERROR(INDEX(I_COA!$F$6:$F$265,MATCH(Q1581,I_COA!$A$6:$A$265,0)),"?"))))</f>
        <v/>
      </c>
    </row>
    <row r="1582" customFormat="false" ht="15" hidden="false" customHeight="false" outlineLevel="0" collapsed="false">
      <c r="A1582" s="37" t="n">
        <v>46255</v>
      </c>
      <c r="B1582" s="44" t="s">
        <v>1820</v>
      </c>
      <c r="C1582" s="44" t="s">
        <v>617</v>
      </c>
      <c r="D1582" s="44" t="n">
        <v>5100004</v>
      </c>
      <c r="E1582" s="44" t="s">
        <v>627</v>
      </c>
      <c r="F1582" s="44" t="s">
        <v>1821</v>
      </c>
      <c r="G1582" s="42" t="n">
        <v>7123569.09</v>
      </c>
      <c r="H1582" s="42"/>
      <c r="I1582" s="44" t="s">
        <v>774</v>
      </c>
      <c r="J1582" s="11" t="n">
        <f aca="false">IF(D1582="","",N(G1582)-N(H1582))</f>
        <v>7123569.09</v>
      </c>
      <c r="K1582" s="34" t="str">
        <f aca="false">IF(D1582="","",IFERROR(INDEX(I_COA!$C$6:$C$265,MATCH(D1582,I_COA!$A$6:$A$265,0)),"AKUN BARU"))</f>
        <v>LabaRugi</v>
      </c>
      <c r="L1582" s="34" t="str">
        <f aca="false">IF(K1582="LabaRugi",INDEX(I_COA!$D$6:$D$265,MATCH(D1582,I_COA!$A$6:$A$265,0)),"")</f>
        <v>COGS - Live Bird</v>
      </c>
      <c r="M1582" s="34" t="str">
        <f aca="false">IF(K1582="Neraca",INDEX(I_COA!$E$6:$E$265,MATCH(D1582,I_COA!$A$6:$A$265,0)),"")</f>
        <v/>
      </c>
      <c r="N1582" s="34" t="str">
        <f aca="false">IF(D1582="","",IFERROR(INDEX(I_COA!$G$6:$G$265,MATCH(D1582,I_COA!$A$6:$A$265,0)),"N"))</f>
        <v>N</v>
      </c>
      <c r="O1582" s="11" t="n">
        <f aca="false">IF(N1582="N",ABS(J1582),"")</f>
        <v>7123569.09</v>
      </c>
      <c r="P1582" s="18" t="str">
        <f aca="false">IF(N1582="N",B1582&amp;"|"&amp;ROUND(O1582,0),"")</f>
        <v>KGR26/0309|7123569</v>
      </c>
      <c r="Q1582" s="18" t="str">
        <f aca="false">IF(N1582&lt;&gt;"Y","",IFERROR(INDEX($D$6:$D$4005,MATCH(B1582&amp;"|"&amp;ROUND(_xlfn.MAXIFS($O$6:$O$4005,$B$6:$B$4005,B1582,$N$6:$N$4005,"N"),0),$P$6:$P$4005,0)),"(tanpa lawan)"))</f>
        <v/>
      </c>
      <c r="R1582" s="44"/>
      <c r="S1582" s="9" t="str">
        <f aca="false">IF(N1582&lt;&gt;"Y","",IF(R1582&lt;&gt;"",R1582,IF(Q1582="(tanpa lawan)","Transfer antar rekening",IFERROR(INDEX(I_COA!$F$6:$F$265,MATCH(Q1582,I_COA!$A$6:$A$265,0)),"?"))))</f>
        <v/>
      </c>
    </row>
    <row r="1583" customFormat="false" ht="15" hidden="false" customHeight="false" outlineLevel="0" collapsed="false">
      <c r="A1583" s="37" t="n">
        <v>46255</v>
      </c>
      <c r="B1583" s="44" t="s">
        <v>1820</v>
      </c>
      <c r="C1583" s="44" t="s">
        <v>617</v>
      </c>
      <c r="D1583" s="44" t="n">
        <v>1104002</v>
      </c>
      <c r="E1583" s="44" t="s">
        <v>601</v>
      </c>
      <c r="F1583" s="44" t="s">
        <v>1821</v>
      </c>
      <c r="G1583" s="42"/>
      <c r="H1583" s="42" t="n">
        <v>69499324.36</v>
      </c>
      <c r="I1583" s="44" t="s">
        <v>774</v>
      </c>
      <c r="J1583" s="11" t="n">
        <f aca="false">IF(D1583="","",N(G1583)-N(H1583))</f>
        <v>-69499324.36</v>
      </c>
      <c r="K1583" s="34" t="str">
        <f aca="false">IF(D1583="","",IFERROR(INDEX(I_COA!$C$6:$C$265,MATCH(D1583,I_COA!$A$6:$A$265,0)),"AKUN BARU"))</f>
        <v>Neraca</v>
      </c>
      <c r="L1583" s="34" t="str">
        <f aca="false">IF(K1583="LabaRugi",INDEX(I_COA!$D$6:$D$265,MATCH(D1583,I_COA!$A$6:$A$265,0)),"")</f>
        <v/>
      </c>
      <c r="M1583" s="34" t="str">
        <f aca="false">IF(K1583="Neraca",INDEX(I_COA!$E$6:$E$265,MATCH(D1583,I_COA!$A$6:$A$265,0)),"")</f>
        <v>Inventory - Product</v>
      </c>
      <c r="N1583" s="34" t="str">
        <f aca="false">IF(D1583="","",IFERROR(INDEX(I_COA!$G$6:$G$265,MATCH(D1583,I_COA!$A$6:$A$265,0)),"N"))</f>
        <v>N</v>
      </c>
      <c r="O1583" s="11" t="n">
        <f aca="false">IF(N1583="N",ABS(J1583),"")</f>
        <v>69499324.36</v>
      </c>
      <c r="P1583" s="18" t="str">
        <f aca="false">IF(N1583="N",B1583&amp;"|"&amp;ROUND(O1583,0),"")</f>
        <v>KGR26/0309|69499324</v>
      </c>
      <c r="Q1583" s="18" t="str">
        <f aca="false">IF(N1583&lt;&gt;"Y","",IFERROR(INDEX($D$6:$D$4005,MATCH(B1583&amp;"|"&amp;ROUND(_xlfn.MAXIFS($O$6:$O$4005,$B$6:$B$4005,B1583,$N$6:$N$4005,"N"),0),$P$6:$P$4005,0)),"(tanpa lawan)"))</f>
        <v/>
      </c>
      <c r="R1583" s="44"/>
      <c r="S1583" s="9" t="str">
        <f aca="false">IF(N1583&lt;&gt;"Y","",IF(R1583&lt;&gt;"",R1583,IF(Q1583="(tanpa lawan)","Transfer antar rekening",IFERROR(INDEX(I_COA!$F$6:$F$265,MATCH(Q1583,I_COA!$A$6:$A$265,0)),"?"))))</f>
        <v/>
      </c>
    </row>
    <row r="1584" customFormat="false" ht="15" hidden="false" customHeight="false" outlineLevel="0" collapsed="false">
      <c r="A1584" s="37" t="n">
        <v>46255</v>
      </c>
      <c r="B1584" s="44" t="s">
        <v>1820</v>
      </c>
      <c r="C1584" s="44" t="s">
        <v>617</v>
      </c>
      <c r="D1584" s="44" t="n">
        <v>4101012</v>
      </c>
      <c r="E1584" s="44" t="s">
        <v>619</v>
      </c>
      <c r="F1584" s="44" t="s">
        <v>1821</v>
      </c>
      <c r="G1584" s="42"/>
      <c r="H1584" s="42" t="n">
        <v>69681150</v>
      </c>
      <c r="I1584" s="44" t="s">
        <v>774</v>
      </c>
      <c r="J1584" s="11" t="n">
        <f aca="false">IF(D1584="","",N(G1584)-N(H1584))</f>
        <v>-69681150</v>
      </c>
      <c r="K1584" s="34" t="str">
        <f aca="false">IF(D1584="","",IFERROR(INDEX(I_COA!$C$6:$C$265,MATCH(D1584,I_COA!$A$6:$A$265,0)),"AKUN BARU"))</f>
        <v>LabaRugi</v>
      </c>
      <c r="L1584" s="34" t="str">
        <f aca="false">IF(K1584="LabaRugi",INDEX(I_COA!$D$6:$D$265,MATCH(D1584,I_COA!$A$6:$A$265,0)),"")</f>
        <v>Revenue - Trading</v>
      </c>
      <c r="M1584" s="34" t="str">
        <f aca="false">IF(K1584="Neraca",INDEX(I_COA!$E$6:$E$265,MATCH(D1584,I_COA!$A$6:$A$265,0)),"")</f>
        <v/>
      </c>
      <c r="N1584" s="34" t="str">
        <f aca="false">IF(D1584="","",IFERROR(INDEX(I_COA!$G$6:$G$265,MATCH(D1584,I_COA!$A$6:$A$265,0)),"N"))</f>
        <v>N</v>
      </c>
      <c r="O1584" s="11" t="n">
        <f aca="false">IF(N1584="N",ABS(J1584),"")</f>
        <v>69681150</v>
      </c>
      <c r="P1584" s="18" t="str">
        <f aca="false">IF(N1584="N",B1584&amp;"|"&amp;ROUND(O1584,0),"")</f>
        <v>KGR26/0309|69681150</v>
      </c>
      <c r="Q1584" s="18" t="str">
        <f aca="false">IF(N1584&lt;&gt;"Y","",IFERROR(INDEX($D$6:$D$4005,MATCH(B1584&amp;"|"&amp;ROUND(_xlfn.MAXIFS($O$6:$O$4005,$B$6:$B$4005,B1584,$N$6:$N$4005,"N"),0),$P$6:$P$4005,0)),"(tanpa lawan)"))</f>
        <v/>
      </c>
      <c r="R1584" s="44"/>
      <c r="S1584" s="9" t="str">
        <f aca="false">IF(N1584&lt;&gt;"Y","",IF(R1584&lt;&gt;"",R1584,IF(Q1584="(tanpa lawan)","Transfer antar rekening",IFERROR(INDEX(I_COA!$F$6:$F$265,MATCH(Q1584,I_COA!$A$6:$A$265,0)),"?"))))</f>
        <v/>
      </c>
    </row>
    <row r="1585" customFormat="false" ht="15" hidden="false" customHeight="false" outlineLevel="0" collapsed="false">
      <c r="A1585" s="37" t="n">
        <v>46255</v>
      </c>
      <c r="B1585" s="44" t="s">
        <v>1820</v>
      </c>
      <c r="C1585" s="44" t="s">
        <v>617</v>
      </c>
      <c r="D1585" s="44" t="n">
        <v>5100011</v>
      </c>
      <c r="E1585" s="44" t="s">
        <v>166</v>
      </c>
      <c r="F1585" s="44" t="s">
        <v>1821</v>
      </c>
      <c r="G1585" s="42" t="n">
        <v>62375755.27</v>
      </c>
      <c r="H1585" s="42"/>
      <c r="I1585" s="44" t="s">
        <v>774</v>
      </c>
      <c r="J1585" s="11" t="n">
        <f aca="false">IF(D1585="","",N(G1585)-N(H1585))</f>
        <v>62375755.27</v>
      </c>
      <c r="K1585" s="34" t="str">
        <f aca="false">IF(D1585="","",IFERROR(INDEX(I_COA!$C$6:$C$265,MATCH(D1585,I_COA!$A$6:$A$265,0)),"AKUN BARU"))</f>
        <v>LabaRugi</v>
      </c>
      <c r="L1585" s="34" t="str">
        <f aca="false">IF(K1585="LabaRugi",INDEX(I_COA!$D$6:$D$265,MATCH(D1585,I_COA!$A$6:$A$265,0)),"")</f>
        <v>COGS - Trading</v>
      </c>
      <c r="M1585" s="34" t="str">
        <f aca="false">IF(K1585="Neraca",INDEX(I_COA!$E$6:$E$265,MATCH(D1585,I_COA!$A$6:$A$265,0)),"")</f>
        <v/>
      </c>
      <c r="N1585" s="34" t="str">
        <f aca="false">IF(D1585="","",IFERROR(INDEX(I_COA!$G$6:$G$265,MATCH(D1585,I_COA!$A$6:$A$265,0)),"N"))</f>
        <v>N</v>
      </c>
      <c r="O1585" s="11" t="n">
        <f aca="false">IF(N1585="N",ABS(J1585),"")</f>
        <v>62375755.27</v>
      </c>
      <c r="P1585" s="18" t="str">
        <f aca="false">IF(N1585="N",B1585&amp;"|"&amp;ROUND(O1585,0),"")</f>
        <v>KGR26/0309|62375755</v>
      </c>
      <c r="Q1585" s="18" t="str">
        <f aca="false">IF(N1585&lt;&gt;"Y","",IFERROR(INDEX($D$6:$D$4005,MATCH(B1585&amp;"|"&amp;ROUND(_xlfn.MAXIFS($O$6:$O$4005,$B$6:$B$4005,B1585,$N$6:$N$4005,"N"),0),$P$6:$P$4005,0)),"(tanpa lawan)"))</f>
        <v/>
      </c>
      <c r="R1585" s="44"/>
      <c r="S1585" s="9" t="str">
        <f aca="false">IF(N1585&lt;&gt;"Y","",IF(R1585&lt;&gt;"",R1585,IF(Q1585="(tanpa lawan)","Transfer antar rekening",IFERROR(INDEX(I_COA!$F$6:$F$265,MATCH(Q1585,I_COA!$A$6:$A$265,0)),"?"))))</f>
        <v/>
      </c>
    </row>
    <row r="1586" customFormat="false" ht="15" hidden="false" customHeight="false" outlineLevel="0" collapsed="false">
      <c r="A1586" s="37" t="n">
        <v>46255</v>
      </c>
      <c r="B1586" s="44" t="s">
        <v>1822</v>
      </c>
      <c r="C1586" s="44" t="s">
        <v>617</v>
      </c>
      <c r="D1586" s="44" t="n">
        <v>1103101</v>
      </c>
      <c r="E1586" s="44" t="s">
        <v>589</v>
      </c>
      <c r="F1586" s="44" t="s">
        <v>1823</v>
      </c>
      <c r="G1586" s="42" t="n">
        <v>40796000</v>
      </c>
      <c r="H1586" s="42"/>
      <c r="I1586" s="44" t="s">
        <v>465</v>
      </c>
      <c r="J1586" s="11" t="n">
        <f aca="false">IF(D1586="","",N(G1586)-N(H1586))</f>
        <v>40796000</v>
      </c>
      <c r="K1586" s="34" t="str">
        <f aca="false">IF(D1586="","",IFERROR(INDEX(I_COA!$C$6:$C$265,MATCH(D1586,I_COA!$A$6:$A$265,0)),"AKUN BARU"))</f>
        <v>Neraca</v>
      </c>
      <c r="L1586" s="34" t="str">
        <f aca="false">IF(K1586="LabaRugi",INDEX(I_COA!$D$6:$D$265,MATCH(D1586,I_COA!$A$6:$A$265,0)),"")</f>
        <v/>
      </c>
      <c r="M1586" s="34" t="str">
        <f aca="false">IF(K1586="Neraca",INDEX(I_COA!$E$6:$E$265,MATCH(D1586,I_COA!$A$6:$A$265,0)),"")</f>
        <v>Trade Receivables - Third Parties</v>
      </c>
      <c r="N1586" s="34" t="str">
        <f aca="false">IF(D1586="","",IFERROR(INDEX(I_COA!$G$6:$G$265,MATCH(D1586,I_COA!$A$6:$A$265,0)),"N"))</f>
        <v>N</v>
      </c>
      <c r="O1586" s="11" t="n">
        <f aca="false">IF(N1586="N",ABS(J1586),"")</f>
        <v>40796000</v>
      </c>
      <c r="P1586" s="18" t="str">
        <f aca="false">IF(N1586="N",B1586&amp;"|"&amp;ROUND(O1586,0),"")</f>
        <v>KGR26/0310|40796000</v>
      </c>
      <c r="Q1586" s="18" t="str">
        <f aca="false">IF(N1586&lt;&gt;"Y","",IFERROR(INDEX($D$6:$D$4005,MATCH(B1586&amp;"|"&amp;ROUND(_xlfn.MAXIFS($O$6:$O$4005,$B$6:$B$4005,B1586,$N$6:$N$4005,"N"),0),$P$6:$P$4005,0)),"(tanpa lawan)"))</f>
        <v/>
      </c>
      <c r="R1586" s="44"/>
      <c r="S1586" s="9" t="str">
        <f aca="false">IF(N1586&lt;&gt;"Y","",IF(R1586&lt;&gt;"",R1586,IF(Q1586="(tanpa lawan)","Transfer antar rekening",IFERROR(INDEX(I_COA!$F$6:$F$265,MATCH(Q1586,I_COA!$A$6:$A$265,0)),"?"))))</f>
        <v/>
      </c>
    </row>
    <row r="1587" customFormat="false" ht="15" hidden="false" customHeight="false" outlineLevel="0" collapsed="false">
      <c r="A1587" s="37" t="n">
        <v>46255</v>
      </c>
      <c r="B1587" s="44" t="s">
        <v>1822</v>
      </c>
      <c r="C1587" s="44" t="s">
        <v>617</v>
      </c>
      <c r="D1587" s="44" t="n">
        <v>4101012</v>
      </c>
      <c r="E1587" s="44" t="s">
        <v>619</v>
      </c>
      <c r="F1587" s="44" t="s">
        <v>1823</v>
      </c>
      <c r="G1587" s="42"/>
      <c r="H1587" s="42" t="n">
        <v>40796000</v>
      </c>
      <c r="I1587" s="44" t="s">
        <v>465</v>
      </c>
      <c r="J1587" s="11" t="n">
        <f aca="false">IF(D1587="","",N(G1587)-N(H1587))</f>
        <v>-40796000</v>
      </c>
      <c r="K1587" s="34" t="str">
        <f aca="false">IF(D1587="","",IFERROR(INDEX(I_COA!$C$6:$C$265,MATCH(D1587,I_COA!$A$6:$A$265,0)),"AKUN BARU"))</f>
        <v>LabaRugi</v>
      </c>
      <c r="L1587" s="34" t="str">
        <f aca="false">IF(K1587="LabaRugi",INDEX(I_COA!$D$6:$D$265,MATCH(D1587,I_COA!$A$6:$A$265,0)),"")</f>
        <v>Revenue - Trading</v>
      </c>
      <c r="M1587" s="34" t="str">
        <f aca="false">IF(K1587="Neraca",INDEX(I_COA!$E$6:$E$265,MATCH(D1587,I_COA!$A$6:$A$265,0)),"")</f>
        <v/>
      </c>
      <c r="N1587" s="34" t="str">
        <f aca="false">IF(D1587="","",IFERROR(INDEX(I_COA!$G$6:$G$265,MATCH(D1587,I_COA!$A$6:$A$265,0)),"N"))</f>
        <v>N</v>
      </c>
      <c r="O1587" s="11" t="n">
        <f aca="false">IF(N1587="N",ABS(J1587),"")</f>
        <v>40796000</v>
      </c>
      <c r="P1587" s="18" t="str">
        <f aca="false">IF(N1587="N",B1587&amp;"|"&amp;ROUND(O1587,0),"")</f>
        <v>KGR26/0310|40796000</v>
      </c>
      <c r="Q1587" s="18" t="str">
        <f aca="false">IF(N1587&lt;&gt;"Y","",IFERROR(INDEX($D$6:$D$4005,MATCH(B1587&amp;"|"&amp;ROUND(_xlfn.MAXIFS($O$6:$O$4005,$B$6:$B$4005,B1587,$N$6:$N$4005,"N"),0),$P$6:$P$4005,0)),"(tanpa lawan)"))</f>
        <v/>
      </c>
      <c r="R1587" s="44"/>
      <c r="S1587" s="9" t="str">
        <f aca="false">IF(N1587&lt;&gt;"Y","",IF(R1587&lt;&gt;"",R1587,IF(Q1587="(tanpa lawan)","Transfer antar rekening",IFERROR(INDEX(I_COA!$F$6:$F$265,MATCH(Q1587,I_COA!$A$6:$A$265,0)),"?"))))</f>
        <v/>
      </c>
    </row>
    <row r="1588" customFormat="false" ht="15" hidden="false" customHeight="false" outlineLevel="0" collapsed="false">
      <c r="A1588" s="37" t="n">
        <v>46255</v>
      </c>
      <c r="B1588" s="44" t="s">
        <v>1822</v>
      </c>
      <c r="C1588" s="44" t="s">
        <v>617</v>
      </c>
      <c r="D1588" s="44" t="n">
        <v>5100011</v>
      </c>
      <c r="E1588" s="44" t="s">
        <v>166</v>
      </c>
      <c r="F1588" s="44" t="s">
        <v>1823</v>
      </c>
      <c r="G1588" s="42" t="n">
        <v>42225389.06</v>
      </c>
      <c r="H1588" s="42"/>
      <c r="I1588" s="44" t="s">
        <v>465</v>
      </c>
      <c r="J1588" s="11" t="n">
        <f aca="false">IF(D1588="","",N(G1588)-N(H1588))</f>
        <v>42225389.06</v>
      </c>
      <c r="K1588" s="34" t="str">
        <f aca="false">IF(D1588="","",IFERROR(INDEX(I_COA!$C$6:$C$265,MATCH(D1588,I_COA!$A$6:$A$265,0)),"AKUN BARU"))</f>
        <v>LabaRugi</v>
      </c>
      <c r="L1588" s="34" t="str">
        <f aca="false">IF(K1588="LabaRugi",INDEX(I_COA!$D$6:$D$265,MATCH(D1588,I_COA!$A$6:$A$265,0)),"")</f>
        <v>COGS - Trading</v>
      </c>
      <c r="M1588" s="34" t="str">
        <f aca="false">IF(K1588="Neraca",INDEX(I_COA!$E$6:$E$265,MATCH(D1588,I_COA!$A$6:$A$265,0)),"")</f>
        <v/>
      </c>
      <c r="N1588" s="34" t="str">
        <f aca="false">IF(D1588="","",IFERROR(INDEX(I_COA!$G$6:$G$265,MATCH(D1588,I_COA!$A$6:$A$265,0)),"N"))</f>
        <v>N</v>
      </c>
      <c r="O1588" s="11" t="n">
        <f aca="false">IF(N1588="N",ABS(J1588),"")</f>
        <v>42225389.06</v>
      </c>
      <c r="P1588" s="18" t="str">
        <f aca="false">IF(N1588="N",B1588&amp;"|"&amp;ROUND(O1588,0),"")</f>
        <v>KGR26/0310|42225389</v>
      </c>
      <c r="Q1588" s="18" t="str">
        <f aca="false">IF(N1588&lt;&gt;"Y","",IFERROR(INDEX($D$6:$D$4005,MATCH(B1588&amp;"|"&amp;ROUND(_xlfn.MAXIFS($O$6:$O$4005,$B$6:$B$4005,B1588,$N$6:$N$4005,"N"),0),$P$6:$P$4005,0)),"(tanpa lawan)"))</f>
        <v/>
      </c>
      <c r="R1588" s="44"/>
      <c r="S1588" s="9" t="str">
        <f aca="false">IF(N1588&lt;&gt;"Y","",IF(R1588&lt;&gt;"",R1588,IF(Q1588="(tanpa lawan)","Transfer antar rekening",IFERROR(INDEX(I_COA!$F$6:$F$265,MATCH(Q1588,I_COA!$A$6:$A$265,0)),"?"))))</f>
        <v/>
      </c>
    </row>
    <row r="1589" customFormat="false" ht="15" hidden="false" customHeight="false" outlineLevel="0" collapsed="false">
      <c r="A1589" s="37" t="n">
        <v>46255</v>
      </c>
      <c r="B1589" s="44" t="s">
        <v>1822</v>
      </c>
      <c r="C1589" s="44" t="s">
        <v>617</v>
      </c>
      <c r="D1589" s="44" t="n">
        <v>1104002</v>
      </c>
      <c r="E1589" s="44" t="s">
        <v>601</v>
      </c>
      <c r="F1589" s="44" t="s">
        <v>1823</v>
      </c>
      <c r="G1589" s="42"/>
      <c r="H1589" s="42" t="n">
        <v>42225389.06</v>
      </c>
      <c r="I1589" s="44" t="s">
        <v>465</v>
      </c>
      <c r="J1589" s="11" t="n">
        <f aca="false">IF(D1589="","",N(G1589)-N(H1589))</f>
        <v>-42225389.06</v>
      </c>
      <c r="K1589" s="34" t="str">
        <f aca="false">IF(D1589="","",IFERROR(INDEX(I_COA!$C$6:$C$265,MATCH(D1589,I_COA!$A$6:$A$265,0)),"AKUN BARU"))</f>
        <v>Neraca</v>
      </c>
      <c r="L1589" s="34" t="str">
        <f aca="false">IF(K1589="LabaRugi",INDEX(I_COA!$D$6:$D$265,MATCH(D1589,I_COA!$A$6:$A$265,0)),"")</f>
        <v/>
      </c>
      <c r="M1589" s="34" t="str">
        <f aca="false">IF(K1589="Neraca",INDEX(I_COA!$E$6:$E$265,MATCH(D1589,I_COA!$A$6:$A$265,0)),"")</f>
        <v>Inventory - Product</v>
      </c>
      <c r="N1589" s="34" t="str">
        <f aca="false">IF(D1589="","",IFERROR(INDEX(I_COA!$G$6:$G$265,MATCH(D1589,I_COA!$A$6:$A$265,0)),"N"))</f>
        <v>N</v>
      </c>
      <c r="O1589" s="11" t="n">
        <f aca="false">IF(N1589="N",ABS(J1589),"")</f>
        <v>42225389.06</v>
      </c>
      <c r="P1589" s="18" t="str">
        <f aca="false">IF(N1589="N",B1589&amp;"|"&amp;ROUND(O1589,0),"")</f>
        <v>KGR26/0310|42225389</v>
      </c>
      <c r="Q1589" s="18" t="str">
        <f aca="false">IF(N1589&lt;&gt;"Y","",IFERROR(INDEX($D$6:$D$4005,MATCH(B1589&amp;"|"&amp;ROUND(_xlfn.MAXIFS($O$6:$O$4005,$B$6:$B$4005,B1589,$N$6:$N$4005,"N"),0),$P$6:$P$4005,0)),"(tanpa lawan)"))</f>
        <v/>
      </c>
      <c r="R1589" s="44"/>
      <c r="S1589" s="9" t="str">
        <f aca="false">IF(N1589&lt;&gt;"Y","",IF(R1589&lt;&gt;"",R1589,IF(Q1589="(tanpa lawan)","Transfer antar rekening",IFERROR(INDEX(I_COA!$F$6:$F$265,MATCH(Q1589,I_COA!$A$6:$A$265,0)),"?"))))</f>
        <v/>
      </c>
    </row>
    <row r="1590" customFormat="false" ht="15" hidden="false" customHeight="false" outlineLevel="0" collapsed="false">
      <c r="A1590" s="37" t="n">
        <v>46255</v>
      </c>
      <c r="B1590" s="44" t="s">
        <v>1824</v>
      </c>
      <c r="C1590" s="44" t="s">
        <v>617</v>
      </c>
      <c r="D1590" s="44" t="n">
        <v>1103101</v>
      </c>
      <c r="E1590" s="44" t="s">
        <v>589</v>
      </c>
      <c r="F1590" s="44" t="s">
        <v>1825</v>
      </c>
      <c r="G1590" s="42" t="n">
        <v>52771840</v>
      </c>
      <c r="H1590" s="42"/>
      <c r="I1590" s="44" t="s">
        <v>432</v>
      </c>
      <c r="J1590" s="11" t="n">
        <f aca="false">IF(D1590="","",N(G1590)-N(H1590))</f>
        <v>52771840</v>
      </c>
      <c r="K1590" s="34" t="str">
        <f aca="false">IF(D1590="","",IFERROR(INDEX(I_COA!$C$6:$C$265,MATCH(D1590,I_COA!$A$6:$A$265,0)),"AKUN BARU"))</f>
        <v>Neraca</v>
      </c>
      <c r="L1590" s="34" t="str">
        <f aca="false">IF(K1590="LabaRugi",INDEX(I_COA!$D$6:$D$265,MATCH(D1590,I_COA!$A$6:$A$265,0)),"")</f>
        <v/>
      </c>
      <c r="M1590" s="34" t="str">
        <f aca="false">IF(K1590="Neraca",INDEX(I_COA!$E$6:$E$265,MATCH(D1590,I_COA!$A$6:$A$265,0)),"")</f>
        <v>Trade Receivables - Third Parties</v>
      </c>
      <c r="N1590" s="34" t="str">
        <f aca="false">IF(D1590="","",IFERROR(INDEX(I_COA!$G$6:$G$265,MATCH(D1590,I_COA!$A$6:$A$265,0)),"N"))</f>
        <v>N</v>
      </c>
      <c r="O1590" s="11" t="n">
        <f aca="false">IF(N1590="N",ABS(J1590),"")</f>
        <v>52771840</v>
      </c>
      <c r="P1590" s="18" t="str">
        <f aca="false">IF(N1590="N",B1590&amp;"|"&amp;ROUND(O1590,0),"")</f>
        <v>KGR26/0312|52771840</v>
      </c>
      <c r="Q1590" s="18" t="str">
        <f aca="false">IF(N1590&lt;&gt;"Y","",IFERROR(INDEX($D$6:$D$4005,MATCH(B1590&amp;"|"&amp;ROUND(_xlfn.MAXIFS($O$6:$O$4005,$B$6:$B$4005,B1590,$N$6:$N$4005,"N"),0),$P$6:$P$4005,0)),"(tanpa lawan)"))</f>
        <v/>
      </c>
      <c r="R1590" s="44"/>
      <c r="S1590" s="9" t="str">
        <f aca="false">IF(N1590&lt;&gt;"Y","",IF(R1590&lt;&gt;"",R1590,IF(Q1590="(tanpa lawan)","Transfer antar rekening",IFERROR(INDEX(I_COA!$F$6:$F$265,MATCH(Q1590,I_COA!$A$6:$A$265,0)),"?"))))</f>
        <v/>
      </c>
    </row>
    <row r="1591" customFormat="false" ht="15" hidden="false" customHeight="false" outlineLevel="0" collapsed="false">
      <c r="A1591" s="37" t="n">
        <v>46255</v>
      </c>
      <c r="B1591" s="44" t="s">
        <v>1824</v>
      </c>
      <c r="C1591" s="44" t="s">
        <v>617</v>
      </c>
      <c r="D1591" s="44" t="n">
        <v>4101006</v>
      </c>
      <c r="E1591" s="44" t="s">
        <v>626</v>
      </c>
      <c r="F1591" s="44" t="s">
        <v>1825</v>
      </c>
      <c r="G1591" s="42"/>
      <c r="H1591" s="42" t="n">
        <v>52771840</v>
      </c>
      <c r="I1591" s="44" t="s">
        <v>432</v>
      </c>
      <c r="J1591" s="11" t="n">
        <f aca="false">IF(D1591="","",N(G1591)-N(H1591))</f>
        <v>-52771840</v>
      </c>
      <c r="K1591" s="34" t="str">
        <f aca="false">IF(D1591="","",IFERROR(INDEX(I_COA!$C$6:$C$265,MATCH(D1591,I_COA!$A$6:$A$265,0)),"AKUN BARU"))</f>
        <v>LabaRugi</v>
      </c>
      <c r="L1591" s="34" t="str">
        <f aca="false">IF(K1591="LabaRugi",INDEX(I_COA!$D$6:$D$265,MATCH(D1591,I_COA!$A$6:$A$265,0)),"")</f>
        <v>Revenue - LB Main Product</v>
      </c>
      <c r="M1591" s="34" t="str">
        <f aca="false">IF(K1591="Neraca",INDEX(I_COA!$E$6:$E$265,MATCH(D1591,I_COA!$A$6:$A$265,0)),"")</f>
        <v/>
      </c>
      <c r="N1591" s="34" t="str">
        <f aca="false">IF(D1591="","",IFERROR(INDEX(I_COA!$G$6:$G$265,MATCH(D1591,I_COA!$A$6:$A$265,0)),"N"))</f>
        <v>N</v>
      </c>
      <c r="O1591" s="11" t="n">
        <f aca="false">IF(N1591="N",ABS(J1591),"")</f>
        <v>52771840</v>
      </c>
      <c r="P1591" s="18" t="str">
        <f aca="false">IF(N1591="N",B1591&amp;"|"&amp;ROUND(O1591,0),"")</f>
        <v>KGR26/0312|52771840</v>
      </c>
      <c r="Q1591" s="18" t="str">
        <f aca="false">IF(N1591&lt;&gt;"Y","",IFERROR(INDEX($D$6:$D$4005,MATCH(B1591&amp;"|"&amp;ROUND(_xlfn.MAXIFS($O$6:$O$4005,$B$6:$B$4005,B1591,$N$6:$N$4005,"N"),0),$P$6:$P$4005,0)),"(tanpa lawan)"))</f>
        <v/>
      </c>
      <c r="R1591" s="44"/>
      <c r="S1591" s="9" t="str">
        <f aca="false">IF(N1591&lt;&gt;"Y","",IF(R1591&lt;&gt;"",R1591,IF(Q1591="(tanpa lawan)","Transfer antar rekening",IFERROR(INDEX(I_COA!$F$6:$F$265,MATCH(Q1591,I_COA!$A$6:$A$265,0)),"?"))))</f>
        <v/>
      </c>
    </row>
    <row r="1592" customFormat="false" ht="15" hidden="false" customHeight="false" outlineLevel="0" collapsed="false">
      <c r="A1592" s="37" t="n">
        <v>46255</v>
      </c>
      <c r="B1592" s="44" t="s">
        <v>1824</v>
      </c>
      <c r="C1592" s="44" t="s">
        <v>617</v>
      </c>
      <c r="D1592" s="44" t="n">
        <v>5100004</v>
      </c>
      <c r="E1592" s="44" t="s">
        <v>627</v>
      </c>
      <c r="F1592" s="44" t="s">
        <v>1825</v>
      </c>
      <c r="G1592" s="42" t="n">
        <v>53305627.75</v>
      </c>
      <c r="H1592" s="42"/>
      <c r="I1592" s="44" t="s">
        <v>432</v>
      </c>
      <c r="J1592" s="11" t="n">
        <f aca="false">IF(D1592="","",N(G1592)-N(H1592))</f>
        <v>53305627.75</v>
      </c>
      <c r="K1592" s="34" t="str">
        <f aca="false">IF(D1592="","",IFERROR(INDEX(I_COA!$C$6:$C$265,MATCH(D1592,I_COA!$A$6:$A$265,0)),"AKUN BARU"))</f>
        <v>LabaRugi</v>
      </c>
      <c r="L1592" s="34" t="str">
        <f aca="false">IF(K1592="LabaRugi",INDEX(I_COA!$D$6:$D$265,MATCH(D1592,I_COA!$A$6:$A$265,0)),"")</f>
        <v>COGS - Live Bird</v>
      </c>
      <c r="M1592" s="34" t="str">
        <f aca="false">IF(K1592="Neraca",INDEX(I_COA!$E$6:$E$265,MATCH(D1592,I_COA!$A$6:$A$265,0)),"")</f>
        <v/>
      </c>
      <c r="N1592" s="34" t="str">
        <f aca="false">IF(D1592="","",IFERROR(INDEX(I_COA!$G$6:$G$265,MATCH(D1592,I_COA!$A$6:$A$265,0)),"N"))</f>
        <v>N</v>
      </c>
      <c r="O1592" s="11" t="n">
        <f aca="false">IF(N1592="N",ABS(J1592),"")</f>
        <v>53305627.75</v>
      </c>
      <c r="P1592" s="18" t="str">
        <f aca="false">IF(N1592="N",B1592&amp;"|"&amp;ROUND(O1592,0),"")</f>
        <v>KGR26/0312|53305628</v>
      </c>
      <c r="Q1592" s="18" t="str">
        <f aca="false">IF(N1592&lt;&gt;"Y","",IFERROR(INDEX($D$6:$D$4005,MATCH(B1592&amp;"|"&amp;ROUND(_xlfn.MAXIFS($O$6:$O$4005,$B$6:$B$4005,B1592,$N$6:$N$4005,"N"),0),$P$6:$P$4005,0)),"(tanpa lawan)"))</f>
        <v/>
      </c>
      <c r="R1592" s="44"/>
      <c r="S1592" s="9" t="str">
        <f aca="false">IF(N1592&lt;&gt;"Y","",IF(R1592&lt;&gt;"",R1592,IF(Q1592="(tanpa lawan)","Transfer antar rekening",IFERROR(INDEX(I_COA!$F$6:$F$265,MATCH(Q1592,I_COA!$A$6:$A$265,0)),"?"))))</f>
        <v/>
      </c>
    </row>
    <row r="1593" customFormat="false" ht="15" hidden="false" customHeight="false" outlineLevel="0" collapsed="false">
      <c r="A1593" s="37" t="n">
        <v>46255</v>
      </c>
      <c r="B1593" s="44" t="s">
        <v>1824</v>
      </c>
      <c r="C1593" s="44" t="s">
        <v>617</v>
      </c>
      <c r="D1593" s="44" t="n">
        <v>1104002</v>
      </c>
      <c r="E1593" s="44" t="s">
        <v>601</v>
      </c>
      <c r="F1593" s="44" t="s">
        <v>1825</v>
      </c>
      <c r="G1593" s="42"/>
      <c r="H1593" s="42" t="n">
        <v>53305627.75</v>
      </c>
      <c r="I1593" s="44" t="s">
        <v>432</v>
      </c>
      <c r="J1593" s="11" t="n">
        <f aca="false">IF(D1593="","",N(G1593)-N(H1593))</f>
        <v>-53305627.75</v>
      </c>
      <c r="K1593" s="34" t="str">
        <f aca="false">IF(D1593="","",IFERROR(INDEX(I_COA!$C$6:$C$265,MATCH(D1593,I_COA!$A$6:$A$265,0)),"AKUN BARU"))</f>
        <v>Neraca</v>
      </c>
      <c r="L1593" s="34" t="str">
        <f aca="false">IF(K1593="LabaRugi",INDEX(I_COA!$D$6:$D$265,MATCH(D1593,I_COA!$A$6:$A$265,0)),"")</f>
        <v/>
      </c>
      <c r="M1593" s="34" t="str">
        <f aca="false">IF(K1593="Neraca",INDEX(I_COA!$E$6:$E$265,MATCH(D1593,I_COA!$A$6:$A$265,0)),"")</f>
        <v>Inventory - Product</v>
      </c>
      <c r="N1593" s="34" t="str">
        <f aca="false">IF(D1593="","",IFERROR(INDEX(I_COA!$G$6:$G$265,MATCH(D1593,I_COA!$A$6:$A$265,0)),"N"))</f>
        <v>N</v>
      </c>
      <c r="O1593" s="11" t="n">
        <f aca="false">IF(N1593="N",ABS(J1593),"")</f>
        <v>53305627.75</v>
      </c>
      <c r="P1593" s="18" t="str">
        <f aca="false">IF(N1593="N",B1593&amp;"|"&amp;ROUND(O1593,0),"")</f>
        <v>KGR26/0312|53305628</v>
      </c>
      <c r="Q1593" s="18" t="str">
        <f aca="false">IF(N1593&lt;&gt;"Y","",IFERROR(INDEX($D$6:$D$4005,MATCH(B1593&amp;"|"&amp;ROUND(_xlfn.MAXIFS($O$6:$O$4005,$B$6:$B$4005,B1593,$N$6:$N$4005,"N"),0),$P$6:$P$4005,0)),"(tanpa lawan)"))</f>
        <v/>
      </c>
      <c r="R1593" s="44"/>
      <c r="S1593" s="9" t="str">
        <f aca="false">IF(N1593&lt;&gt;"Y","",IF(R1593&lt;&gt;"",R1593,IF(Q1593="(tanpa lawan)","Transfer antar rekening",IFERROR(INDEX(I_COA!$F$6:$F$265,MATCH(Q1593,I_COA!$A$6:$A$265,0)),"?"))))</f>
        <v/>
      </c>
    </row>
    <row r="1594" customFormat="false" ht="15" hidden="false" customHeight="false" outlineLevel="0" collapsed="false">
      <c r="A1594" s="37" t="n">
        <v>46255</v>
      </c>
      <c r="B1594" s="44" t="s">
        <v>1826</v>
      </c>
      <c r="C1594" s="44" t="s">
        <v>617</v>
      </c>
      <c r="D1594" s="44" t="n">
        <v>1103101</v>
      </c>
      <c r="E1594" s="44" t="s">
        <v>589</v>
      </c>
      <c r="F1594" s="44" t="s">
        <v>1827</v>
      </c>
      <c r="G1594" s="42" t="n">
        <v>42340500</v>
      </c>
      <c r="H1594" s="42"/>
      <c r="I1594" s="44" t="s">
        <v>437</v>
      </c>
      <c r="J1594" s="11" t="n">
        <f aca="false">IF(D1594="","",N(G1594)-N(H1594))</f>
        <v>42340500</v>
      </c>
      <c r="K1594" s="34" t="str">
        <f aca="false">IF(D1594="","",IFERROR(INDEX(I_COA!$C$6:$C$265,MATCH(D1594,I_COA!$A$6:$A$265,0)),"AKUN BARU"))</f>
        <v>Neraca</v>
      </c>
      <c r="L1594" s="34" t="str">
        <f aca="false">IF(K1594="LabaRugi",INDEX(I_COA!$D$6:$D$265,MATCH(D1594,I_COA!$A$6:$A$265,0)),"")</f>
        <v/>
      </c>
      <c r="M1594" s="34" t="str">
        <f aca="false">IF(K1594="Neraca",INDEX(I_COA!$E$6:$E$265,MATCH(D1594,I_COA!$A$6:$A$265,0)),"")</f>
        <v>Trade Receivables - Third Parties</v>
      </c>
      <c r="N1594" s="34" t="str">
        <f aca="false">IF(D1594="","",IFERROR(INDEX(I_COA!$G$6:$G$265,MATCH(D1594,I_COA!$A$6:$A$265,0)),"N"))</f>
        <v>N</v>
      </c>
      <c r="O1594" s="11" t="n">
        <f aca="false">IF(N1594="N",ABS(J1594),"")</f>
        <v>42340500</v>
      </c>
      <c r="P1594" s="18" t="str">
        <f aca="false">IF(N1594="N",B1594&amp;"|"&amp;ROUND(O1594,0),"")</f>
        <v>KGR26/0313|42340500</v>
      </c>
      <c r="Q1594" s="18" t="str">
        <f aca="false">IF(N1594&lt;&gt;"Y","",IFERROR(INDEX($D$6:$D$4005,MATCH(B1594&amp;"|"&amp;ROUND(_xlfn.MAXIFS($O$6:$O$4005,$B$6:$B$4005,B1594,$N$6:$N$4005,"N"),0),$P$6:$P$4005,0)),"(tanpa lawan)"))</f>
        <v/>
      </c>
      <c r="R1594" s="44"/>
      <c r="S1594" s="9" t="str">
        <f aca="false">IF(N1594&lt;&gt;"Y","",IF(R1594&lt;&gt;"",R1594,IF(Q1594="(tanpa lawan)","Transfer antar rekening",IFERROR(INDEX(I_COA!$F$6:$F$265,MATCH(Q1594,I_COA!$A$6:$A$265,0)),"?"))))</f>
        <v/>
      </c>
    </row>
    <row r="1595" customFormat="false" ht="15" hidden="false" customHeight="false" outlineLevel="0" collapsed="false">
      <c r="A1595" s="37" t="n">
        <v>46255</v>
      </c>
      <c r="B1595" s="44" t="s">
        <v>1826</v>
      </c>
      <c r="C1595" s="44" t="s">
        <v>617</v>
      </c>
      <c r="D1595" s="44" t="n">
        <v>4101012</v>
      </c>
      <c r="E1595" s="44" t="s">
        <v>619</v>
      </c>
      <c r="F1595" s="44" t="s">
        <v>1827</v>
      </c>
      <c r="G1595" s="42"/>
      <c r="H1595" s="42" t="n">
        <v>42340500</v>
      </c>
      <c r="I1595" s="44" t="s">
        <v>437</v>
      </c>
      <c r="J1595" s="11" t="n">
        <f aca="false">IF(D1595="","",N(G1595)-N(H1595))</f>
        <v>-42340500</v>
      </c>
      <c r="K1595" s="34" t="str">
        <f aca="false">IF(D1595="","",IFERROR(INDEX(I_COA!$C$6:$C$265,MATCH(D1595,I_COA!$A$6:$A$265,0)),"AKUN BARU"))</f>
        <v>LabaRugi</v>
      </c>
      <c r="L1595" s="34" t="str">
        <f aca="false">IF(K1595="LabaRugi",INDEX(I_COA!$D$6:$D$265,MATCH(D1595,I_COA!$A$6:$A$265,0)),"")</f>
        <v>Revenue - Trading</v>
      </c>
      <c r="M1595" s="34" t="str">
        <f aca="false">IF(K1595="Neraca",INDEX(I_COA!$E$6:$E$265,MATCH(D1595,I_COA!$A$6:$A$265,0)),"")</f>
        <v/>
      </c>
      <c r="N1595" s="34" t="str">
        <f aca="false">IF(D1595="","",IFERROR(INDEX(I_COA!$G$6:$G$265,MATCH(D1595,I_COA!$A$6:$A$265,0)),"N"))</f>
        <v>N</v>
      </c>
      <c r="O1595" s="11" t="n">
        <f aca="false">IF(N1595="N",ABS(J1595),"")</f>
        <v>42340500</v>
      </c>
      <c r="P1595" s="18" t="str">
        <f aca="false">IF(N1595="N",B1595&amp;"|"&amp;ROUND(O1595,0),"")</f>
        <v>KGR26/0313|42340500</v>
      </c>
      <c r="Q1595" s="18" t="str">
        <f aca="false">IF(N1595&lt;&gt;"Y","",IFERROR(INDEX($D$6:$D$4005,MATCH(B1595&amp;"|"&amp;ROUND(_xlfn.MAXIFS($O$6:$O$4005,$B$6:$B$4005,B1595,$N$6:$N$4005,"N"),0),$P$6:$P$4005,0)),"(tanpa lawan)"))</f>
        <v/>
      </c>
      <c r="R1595" s="44"/>
      <c r="S1595" s="9" t="str">
        <f aca="false">IF(N1595&lt;&gt;"Y","",IF(R1595&lt;&gt;"",R1595,IF(Q1595="(tanpa lawan)","Transfer antar rekening",IFERROR(INDEX(I_COA!$F$6:$F$265,MATCH(Q1595,I_COA!$A$6:$A$265,0)),"?"))))</f>
        <v/>
      </c>
    </row>
    <row r="1596" customFormat="false" ht="15" hidden="false" customHeight="false" outlineLevel="0" collapsed="false">
      <c r="A1596" s="37" t="n">
        <v>46255</v>
      </c>
      <c r="B1596" s="44" t="s">
        <v>1826</v>
      </c>
      <c r="C1596" s="44" t="s">
        <v>617</v>
      </c>
      <c r="D1596" s="44" t="n">
        <v>5100011</v>
      </c>
      <c r="E1596" s="44" t="s">
        <v>166</v>
      </c>
      <c r="F1596" s="44" t="s">
        <v>1827</v>
      </c>
      <c r="G1596" s="42" t="n">
        <v>39190485.46</v>
      </c>
      <c r="H1596" s="42"/>
      <c r="I1596" s="44" t="s">
        <v>437</v>
      </c>
      <c r="J1596" s="11" t="n">
        <f aca="false">IF(D1596="","",N(G1596)-N(H1596))</f>
        <v>39190485.46</v>
      </c>
      <c r="K1596" s="34" t="str">
        <f aca="false">IF(D1596="","",IFERROR(INDEX(I_COA!$C$6:$C$265,MATCH(D1596,I_COA!$A$6:$A$265,0)),"AKUN BARU"))</f>
        <v>LabaRugi</v>
      </c>
      <c r="L1596" s="34" t="str">
        <f aca="false">IF(K1596="LabaRugi",INDEX(I_COA!$D$6:$D$265,MATCH(D1596,I_COA!$A$6:$A$265,0)),"")</f>
        <v>COGS - Trading</v>
      </c>
      <c r="M1596" s="34" t="str">
        <f aca="false">IF(K1596="Neraca",INDEX(I_COA!$E$6:$E$265,MATCH(D1596,I_COA!$A$6:$A$265,0)),"")</f>
        <v/>
      </c>
      <c r="N1596" s="34" t="str">
        <f aca="false">IF(D1596="","",IFERROR(INDEX(I_COA!$G$6:$G$265,MATCH(D1596,I_COA!$A$6:$A$265,0)),"N"))</f>
        <v>N</v>
      </c>
      <c r="O1596" s="11" t="n">
        <f aca="false">IF(N1596="N",ABS(J1596),"")</f>
        <v>39190485.46</v>
      </c>
      <c r="P1596" s="18" t="str">
        <f aca="false">IF(N1596="N",B1596&amp;"|"&amp;ROUND(O1596,0),"")</f>
        <v>KGR26/0313|39190485</v>
      </c>
      <c r="Q1596" s="18" t="str">
        <f aca="false">IF(N1596&lt;&gt;"Y","",IFERROR(INDEX($D$6:$D$4005,MATCH(B1596&amp;"|"&amp;ROUND(_xlfn.MAXIFS($O$6:$O$4005,$B$6:$B$4005,B1596,$N$6:$N$4005,"N"),0),$P$6:$P$4005,0)),"(tanpa lawan)"))</f>
        <v/>
      </c>
      <c r="R1596" s="44"/>
      <c r="S1596" s="9" t="str">
        <f aca="false">IF(N1596&lt;&gt;"Y","",IF(R1596&lt;&gt;"",R1596,IF(Q1596="(tanpa lawan)","Transfer antar rekening",IFERROR(INDEX(I_COA!$F$6:$F$265,MATCH(Q1596,I_COA!$A$6:$A$265,0)),"?"))))</f>
        <v/>
      </c>
    </row>
    <row r="1597" customFormat="false" ht="15" hidden="false" customHeight="false" outlineLevel="0" collapsed="false">
      <c r="A1597" s="37" t="n">
        <v>46255</v>
      </c>
      <c r="B1597" s="44" t="s">
        <v>1826</v>
      </c>
      <c r="C1597" s="44" t="s">
        <v>617</v>
      </c>
      <c r="D1597" s="44" t="n">
        <v>1104002</v>
      </c>
      <c r="E1597" s="44" t="s">
        <v>601</v>
      </c>
      <c r="F1597" s="44" t="s">
        <v>1827</v>
      </c>
      <c r="G1597" s="42"/>
      <c r="H1597" s="42" t="n">
        <v>39190485.46</v>
      </c>
      <c r="I1597" s="44" t="s">
        <v>437</v>
      </c>
      <c r="J1597" s="11" t="n">
        <f aca="false">IF(D1597="","",N(G1597)-N(H1597))</f>
        <v>-39190485.46</v>
      </c>
      <c r="K1597" s="34" t="str">
        <f aca="false">IF(D1597="","",IFERROR(INDEX(I_COA!$C$6:$C$265,MATCH(D1597,I_COA!$A$6:$A$265,0)),"AKUN BARU"))</f>
        <v>Neraca</v>
      </c>
      <c r="L1597" s="34" t="str">
        <f aca="false">IF(K1597="LabaRugi",INDEX(I_COA!$D$6:$D$265,MATCH(D1597,I_COA!$A$6:$A$265,0)),"")</f>
        <v/>
      </c>
      <c r="M1597" s="34" t="str">
        <f aca="false">IF(K1597="Neraca",INDEX(I_COA!$E$6:$E$265,MATCH(D1597,I_COA!$A$6:$A$265,0)),"")</f>
        <v>Inventory - Product</v>
      </c>
      <c r="N1597" s="34" t="str">
        <f aca="false">IF(D1597="","",IFERROR(INDEX(I_COA!$G$6:$G$265,MATCH(D1597,I_COA!$A$6:$A$265,0)),"N"))</f>
        <v>N</v>
      </c>
      <c r="O1597" s="11" t="n">
        <f aca="false">IF(N1597="N",ABS(J1597),"")</f>
        <v>39190485.46</v>
      </c>
      <c r="P1597" s="18" t="str">
        <f aca="false">IF(N1597="N",B1597&amp;"|"&amp;ROUND(O1597,0),"")</f>
        <v>KGR26/0313|39190485</v>
      </c>
      <c r="Q1597" s="18" t="str">
        <f aca="false">IF(N1597&lt;&gt;"Y","",IFERROR(INDEX($D$6:$D$4005,MATCH(B1597&amp;"|"&amp;ROUND(_xlfn.MAXIFS($O$6:$O$4005,$B$6:$B$4005,B1597,$N$6:$N$4005,"N"),0),$P$6:$P$4005,0)),"(tanpa lawan)"))</f>
        <v/>
      </c>
      <c r="R1597" s="44"/>
      <c r="S1597" s="9" t="str">
        <f aca="false">IF(N1597&lt;&gt;"Y","",IF(R1597&lt;&gt;"",R1597,IF(Q1597="(tanpa lawan)","Transfer antar rekening",IFERROR(INDEX(I_COA!$F$6:$F$265,MATCH(Q1597,I_COA!$A$6:$A$265,0)),"?"))))</f>
        <v/>
      </c>
    </row>
    <row r="1598" customFormat="false" ht="15" hidden="false" customHeight="false" outlineLevel="0" collapsed="false">
      <c r="A1598" s="37" t="n">
        <v>46255</v>
      </c>
      <c r="B1598" s="44" t="s">
        <v>1828</v>
      </c>
      <c r="C1598" s="44" t="s">
        <v>580</v>
      </c>
      <c r="D1598" s="44" t="n">
        <v>6200012</v>
      </c>
      <c r="E1598" s="44" t="s">
        <v>737</v>
      </c>
      <c r="F1598" s="44" t="s">
        <v>1829</v>
      </c>
      <c r="G1598" s="42" t="n">
        <v>783000</v>
      </c>
      <c r="H1598" s="42"/>
      <c r="I1598" s="44"/>
      <c r="J1598" s="11" t="n">
        <f aca="false">IF(D1598="","",N(G1598)-N(H1598))</f>
        <v>783000</v>
      </c>
      <c r="K1598" s="34" t="str">
        <f aca="false">IF(D1598="","",IFERROR(INDEX(I_COA!$C$6:$C$265,MATCH(D1598,I_COA!$A$6:$A$265,0)),"AKUN BARU"))</f>
        <v>LabaRugi</v>
      </c>
      <c r="L1598" s="34" t="str">
        <f aca="false">IF(K1598="LabaRugi",INDEX(I_COA!$D$6:$D$265,MATCH(D1598,I_COA!$A$6:$A$265,0)),"")</f>
        <v>Office Supplies &amp; Utilities</v>
      </c>
      <c r="M1598" s="34" t="str">
        <f aca="false">IF(K1598="Neraca",INDEX(I_COA!$E$6:$E$265,MATCH(D1598,I_COA!$A$6:$A$265,0)),"")</f>
        <v/>
      </c>
      <c r="N1598" s="34" t="str">
        <f aca="false">IF(D1598="","",IFERROR(INDEX(I_COA!$G$6:$G$265,MATCH(D1598,I_COA!$A$6:$A$265,0)),"N"))</f>
        <v>N</v>
      </c>
      <c r="O1598" s="11" t="n">
        <f aca="false">IF(N1598="N",ABS(J1598),"")</f>
        <v>783000</v>
      </c>
      <c r="P1598" s="18" t="str">
        <f aca="false">IF(N1598="N",B1598&amp;"|"&amp;ROUND(O1598,0),"")</f>
        <v>MJ26080008|783000</v>
      </c>
      <c r="Q1598" s="18" t="str">
        <f aca="false">IF(N1598&lt;&gt;"Y","",IFERROR(INDEX($D$6:$D$4005,MATCH(B1598&amp;"|"&amp;ROUND(_xlfn.MAXIFS($O$6:$O$4005,$B$6:$B$4005,B1598,$N$6:$N$4005,"N"),0),$P$6:$P$4005,0)),"(tanpa lawan)"))</f>
        <v/>
      </c>
      <c r="R1598" s="44"/>
      <c r="S1598" s="9" t="str">
        <f aca="false">IF(N1598&lt;&gt;"Y","",IF(R1598&lt;&gt;"",R1598,IF(Q1598="(tanpa lawan)","Transfer antar rekening",IFERROR(INDEX(I_COA!$F$6:$F$265,MATCH(Q1598,I_COA!$A$6:$A$265,0)),"?"))))</f>
        <v/>
      </c>
    </row>
    <row r="1599" customFormat="false" ht="15" hidden="false" customHeight="false" outlineLevel="0" collapsed="false">
      <c r="A1599" s="37" t="n">
        <v>46255</v>
      </c>
      <c r="B1599" s="44" t="s">
        <v>1828</v>
      </c>
      <c r="C1599" s="44" t="s">
        <v>580</v>
      </c>
      <c r="D1599" s="44" t="n">
        <v>1103120</v>
      </c>
      <c r="E1599" s="44" t="s">
        <v>640</v>
      </c>
      <c r="F1599" s="44" t="s">
        <v>1829</v>
      </c>
      <c r="G1599" s="42"/>
      <c r="H1599" s="42" t="n">
        <v>783000</v>
      </c>
      <c r="I1599" s="44" t="s">
        <v>642</v>
      </c>
      <c r="J1599" s="11" t="n">
        <f aca="false">IF(D1599="","",N(G1599)-N(H1599))</f>
        <v>-783000</v>
      </c>
      <c r="K1599" s="34" t="str">
        <f aca="false">IF(D1599="","",IFERROR(INDEX(I_COA!$C$6:$C$265,MATCH(D1599,I_COA!$A$6:$A$265,0)),"AKUN BARU"))</f>
        <v>Neraca</v>
      </c>
      <c r="L1599" s="34" t="str">
        <f aca="false">IF(K1599="LabaRugi",INDEX(I_COA!$D$6:$D$265,MATCH(D1599,I_COA!$A$6:$A$265,0)),"")</f>
        <v/>
      </c>
      <c r="M1599" s="34" t="str">
        <f aca="false">IF(K1599="Neraca",INDEX(I_COA!$E$6:$E$265,MATCH(D1599,I_COA!$A$6:$A$265,0)),"")</f>
        <v>Advance Payment</v>
      </c>
      <c r="N1599" s="34" t="str">
        <f aca="false">IF(D1599="","",IFERROR(INDEX(I_COA!$G$6:$G$265,MATCH(D1599,I_COA!$A$6:$A$265,0)),"N"))</f>
        <v>N</v>
      </c>
      <c r="O1599" s="11" t="n">
        <f aca="false">IF(N1599="N",ABS(J1599),"")</f>
        <v>783000</v>
      </c>
      <c r="P1599" s="18" t="str">
        <f aca="false">IF(N1599="N",B1599&amp;"|"&amp;ROUND(O1599,0),"")</f>
        <v>MJ26080008|783000</v>
      </c>
      <c r="Q1599" s="18" t="str">
        <f aca="false">IF(N1599&lt;&gt;"Y","",IFERROR(INDEX($D$6:$D$4005,MATCH(B1599&amp;"|"&amp;ROUND(_xlfn.MAXIFS($O$6:$O$4005,$B$6:$B$4005,B1599,$N$6:$N$4005,"N"),0),$P$6:$P$4005,0)),"(tanpa lawan)"))</f>
        <v/>
      </c>
      <c r="R1599" s="44"/>
      <c r="S1599" s="9" t="str">
        <f aca="false">IF(N1599&lt;&gt;"Y","",IF(R1599&lt;&gt;"",R1599,IF(Q1599="(tanpa lawan)","Transfer antar rekening",IFERROR(INDEX(I_COA!$F$6:$F$265,MATCH(Q1599,I_COA!$A$6:$A$265,0)),"?"))))</f>
        <v/>
      </c>
    </row>
    <row r="1600" customFormat="false" ht="15" hidden="false" customHeight="false" outlineLevel="0" collapsed="false">
      <c r="A1600" s="37" t="n">
        <v>46255</v>
      </c>
      <c r="B1600" s="44" t="s">
        <v>1830</v>
      </c>
      <c r="C1600" s="44" t="s">
        <v>580</v>
      </c>
      <c r="D1600" s="44" t="n">
        <v>5100009</v>
      </c>
      <c r="E1600" s="44" t="s">
        <v>1003</v>
      </c>
      <c r="F1600" s="44" t="s">
        <v>1831</v>
      </c>
      <c r="G1600" s="42" t="n">
        <v>1415125</v>
      </c>
      <c r="H1600" s="42"/>
      <c r="I1600" s="44"/>
      <c r="J1600" s="11" t="n">
        <f aca="false">IF(D1600="","",N(G1600)-N(H1600))</f>
        <v>1415125</v>
      </c>
      <c r="K1600" s="34" t="str">
        <f aca="false">IF(D1600="","",IFERROR(INDEX(I_COA!$C$6:$C$265,MATCH(D1600,I_COA!$A$6:$A$265,0)),"AKUN BARU"))</f>
        <v>LabaRugi</v>
      </c>
      <c r="L1600" s="34" t="str">
        <f aca="false">IF(K1600="LabaRugi",INDEX(I_COA!$D$6:$D$265,MATCH(D1600,I_COA!$A$6:$A$265,0)),"")</f>
        <v>COGS - Blasting</v>
      </c>
      <c r="M1600" s="34" t="str">
        <f aca="false">IF(K1600="Neraca",INDEX(I_COA!$E$6:$E$265,MATCH(D1600,I_COA!$A$6:$A$265,0)),"")</f>
        <v/>
      </c>
      <c r="N1600" s="34" t="str">
        <f aca="false">IF(D1600="","",IFERROR(INDEX(I_COA!$G$6:$G$265,MATCH(D1600,I_COA!$A$6:$A$265,0)),"N"))</f>
        <v>N</v>
      </c>
      <c r="O1600" s="11" t="n">
        <f aca="false">IF(N1600="N",ABS(J1600),"")</f>
        <v>1415125</v>
      </c>
      <c r="P1600" s="18" t="str">
        <f aca="false">IF(N1600="N",B1600&amp;"|"&amp;ROUND(O1600,0),"")</f>
        <v>MJ26080009|1415125</v>
      </c>
      <c r="Q1600" s="18" t="str">
        <f aca="false">IF(N1600&lt;&gt;"Y","",IFERROR(INDEX($D$6:$D$4005,MATCH(B1600&amp;"|"&amp;ROUND(_xlfn.MAXIFS($O$6:$O$4005,$B$6:$B$4005,B1600,$N$6:$N$4005,"N"),0),$P$6:$P$4005,0)),"(tanpa lawan)"))</f>
        <v/>
      </c>
      <c r="R1600" s="44"/>
      <c r="S1600" s="9" t="str">
        <f aca="false">IF(N1600&lt;&gt;"Y","",IF(R1600&lt;&gt;"",R1600,IF(Q1600="(tanpa lawan)","Transfer antar rekening",IFERROR(INDEX(I_COA!$F$6:$F$265,MATCH(Q1600,I_COA!$A$6:$A$265,0)),"?"))))</f>
        <v/>
      </c>
    </row>
    <row r="1601" customFormat="false" ht="15" hidden="false" customHeight="false" outlineLevel="0" collapsed="false">
      <c r="A1601" s="37" t="n">
        <v>46255</v>
      </c>
      <c r="B1601" s="44" t="s">
        <v>1830</v>
      </c>
      <c r="C1601" s="44" t="s">
        <v>580</v>
      </c>
      <c r="D1601" s="44" t="n">
        <v>5100008</v>
      </c>
      <c r="E1601" s="44" t="s">
        <v>713</v>
      </c>
      <c r="F1601" s="44" t="s">
        <v>1006</v>
      </c>
      <c r="G1601" s="42" t="n">
        <v>119600</v>
      </c>
      <c r="H1601" s="42"/>
      <c r="I1601" s="44"/>
      <c r="J1601" s="11" t="n">
        <f aca="false">IF(D1601="","",N(G1601)-N(H1601))</f>
        <v>119600</v>
      </c>
      <c r="K1601" s="34" t="str">
        <f aca="false">IF(D1601="","",IFERROR(INDEX(I_COA!$C$6:$C$265,MATCH(D1601,I_COA!$A$6:$A$265,0)),"AKUN BARU"))</f>
        <v>LabaRugi</v>
      </c>
      <c r="L1601" s="34" t="str">
        <f aca="false">IF(K1601="LabaRugi",INDEX(I_COA!$D$6:$D$265,MATCH(D1601,I_COA!$A$6:$A$265,0)),"")</f>
        <v>Packaging</v>
      </c>
      <c r="M1601" s="34" t="str">
        <f aca="false">IF(K1601="Neraca",INDEX(I_COA!$E$6:$E$265,MATCH(D1601,I_COA!$A$6:$A$265,0)),"")</f>
        <v/>
      </c>
      <c r="N1601" s="34" t="str">
        <f aca="false">IF(D1601="","",IFERROR(INDEX(I_COA!$G$6:$G$265,MATCH(D1601,I_COA!$A$6:$A$265,0)),"N"))</f>
        <v>N</v>
      </c>
      <c r="O1601" s="11" t="n">
        <f aca="false">IF(N1601="N",ABS(J1601),"")</f>
        <v>119600</v>
      </c>
      <c r="P1601" s="18" t="str">
        <f aca="false">IF(N1601="N",B1601&amp;"|"&amp;ROUND(O1601,0),"")</f>
        <v>MJ26080009|119600</v>
      </c>
      <c r="Q1601" s="18" t="str">
        <f aca="false">IF(N1601&lt;&gt;"Y","",IFERROR(INDEX($D$6:$D$4005,MATCH(B1601&amp;"|"&amp;ROUND(_xlfn.MAXIFS($O$6:$O$4005,$B$6:$B$4005,B1601,$N$6:$N$4005,"N"),0),$P$6:$P$4005,0)),"(tanpa lawan)"))</f>
        <v/>
      </c>
      <c r="R1601" s="44"/>
      <c r="S1601" s="9" t="str">
        <f aca="false">IF(N1601&lt;&gt;"Y","",IF(R1601&lt;&gt;"",R1601,IF(Q1601="(tanpa lawan)","Transfer antar rekening",IFERROR(INDEX(I_COA!$F$6:$F$265,MATCH(Q1601,I_COA!$A$6:$A$265,0)),"?"))))</f>
        <v/>
      </c>
    </row>
    <row r="1602" customFormat="false" ht="15" hidden="false" customHeight="false" outlineLevel="0" collapsed="false">
      <c r="A1602" s="37" t="n">
        <v>46255</v>
      </c>
      <c r="B1602" s="44" t="s">
        <v>1830</v>
      </c>
      <c r="C1602" s="44" t="s">
        <v>580</v>
      </c>
      <c r="D1602" s="44" t="n">
        <v>5100008</v>
      </c>
      <c r="E1602" s="44" t="s">
        <v>713</v>
      </c>
      <c r="F1602" s="44" t="s">
        <v>1008</v>
      </c>
      <c r="G1602" s="42" t="n">
        <v>622655</v>
      </c>
      <c r="H1602" s="42"/>
      <c r="I1602" s="44"/>
      <c r="J1602" s="11" t="n">
        <f aca="false">IF(D1602="","",N(G1602)-N(H1602))</f>
        <v>622655</v>
      </c>
      <c r="K1602" s="34" t="str">
        <f aca="false">IF(D1602="","",IFERROR(INDEX(I_COA!$C$6:$C$265,MATCH(D1602,I_COA!$A$6:$A$265,0)),"AKUN BARU"))</f>
        <v>LabaRugi</v>
      </c>
      <c r="L1602" s="34" t="str">
        <f aca="false">IF(K1602="LabaRugi",INDEX(I_COA!$D$6:$D$265,MATCH(D1602,I_COA!$A$6:$A$265,0)),"")</f>
        <v>Packaging</v>
      </c>
      <c r="M1602" s="34" t="str">
        <f aca="false">IF(K1602="Neraca",INDEX(I_COA!$E$6:$E$265,MATCH(D1602,I_COA!$A$6:$A$265,0)),"")</f>
        <v/>
      </c>
      <c r="N1602" s="34" t="str">
        <f aca="false">IF(D1602="","",IFERROR(INDEX(I_COA!$G$6:$G$265,MATCH(D1602,I_COA!$A$6:$A$265,0)),"N"))</f>
        <v>N</v>
      </c>
      <c r="O1602" s="11" t="n">
        <f aca="false">IF(N1602="N",ABS(J1602),"")</f>
        <v>622655</v>
      </c>
      <c r="P1602" s="18" t="str">
        <f aca="false">IF(N1602="N",B1602&amp;"|"&amp;ROUND(O1602,0),"")</f>
        <v>MJ26080009|622655</v>
      </c>
      <c r="Q1602" s="18" t="str">
        <f aca="false">IF(N1602&lt;&gt;"Y","",IFERROR(INDEX($D$6:$D$4005,MATCH(B1602&amp;"|"&amp;ROUND(_xlfn.MAXIFS($O$6:$O$4005,$B$6:$B$4005,B1602,$N$6:$N$4005,"N"),0),$P$6:$P$4005,0)),"(tanpa lawan)"))</f>
        <v/>
      </c>
      <c r="R1602" s="44"/>
      <c r="S1602" s="9" t="str">
        <f aca="false">IF(N1602&lt;&gt;"Y","",IF(R1602&lt;&gt;"",R1602,IF(Q1602="(tanpa lawan)","Transfer antar rekening",IFERROR(INDEX(I_COA!$F$6:$F$265,MATCH(Q1602,I_COA!$A$6:$A$265,0)),"?"))))</f>
        <v/>
      </c>
    </row>
    <row r="1603" customFormat="false" ht="15" hidden="false" customHeight="false" outlineLevel="0" collapsed="false">
      <c r="A1603" s="37" t="n">
        <v>46255</v>
      </c>
      <c r="B1603" s="44" t="s">
        <v>1830</v>
      </c>
      <c r="C1603" s="44" t="s">
        <v>580</v>
      </c>
      <c r="D1603" s="44" t="n">
        <v>2102003</v>
      </c>
      <c r="E1603" s="44" t="s">
        <v>722</v>
      </c>
      <c r="F1603" s="44" t="s">
        <v>1832</v>
      </c>
      <c r="G1603" s="42"/>
      <c r="H1603" s="42" t="n">
        <v>40757</v>
      </c>
      <c r="I1603" s="44"/>
      <c r="J1603" s="11" t="n">
        <f aca="false">IF(D1603="","",N(G1603)-N(H1603))</f>
        <v>-40757</v>
      </c>
      <c r="K1603" s="34" t="str">
        <f aca="false">IF(D1603="","",IFERROR(INDEX(I_COA!$C$6:$C$265,MATCH(D1603,I_COA!$A$6:$A$265,0)),"AKUN BARU"))</f>
        <v>Neraca</v>
      </c>
      <c r="L1603" s="34" t="str">
        <f aca="false">IF(K1603="LabaRugi",INDEX(I_COA!$D$6:$D$265,MATCH(D1603,I_COA!$A$6:$A$265,0)),"")</f>
        <v/>
      </c>
      <c r="M1603" s="34" t="str">
        <f aca="false">IF(K1603="Neraca",INDEX(I_COA!$E$6:$E$265,MATCH(D1603,I_COA!$A$6:$A$265,0)),"")</f>
        <v>Taxes Payable</v>
      </c>
      <c r="N1603" s="34" t="str">
        <f aca="false">IF(D1603="","",IFERROR(INDEX(I_COA!$G$6:$G$265,MATCH(D1603,I_COA!$A$6:$A$265,0)),"N"))</f>
        <v>N</v>
      </c>
      <c r="O1603" s="11" t="n">
        <f aca="false">IF(N1603="N",ABS(J1603),"")</f>
        <v>40757</v>
      </c>
      <c r="P1603" s="18" t="str">
        <f aca="false">IF(N1603="N",B1603&amp;"|"&amp;ROUND(O1603,0),"")</f>
        <v>MJ26080009|40757</v>
      </c>
      <c r="Q1603" s="18" t="str">
        <f aca="false">IF(N1603&lt;&gt;"Y","",IFERROR(INDEX($D$6:$D$4005,MATCH(B1603&amp;"|"&amp;ROUND(_xlfn.MAXIFS($O$6:$O$4005,$B$6:$B$4005,B1603,$N$6:$N$4005,"N"),0),$P$6:$P$4005,0)),"(tanpa lawan)"))</f>
        <v/>
      </c>
      <c r="R1603" s="44"/>
      <c r="S1603" s="9" t="str">
        <f aca="false">IF(N1603&lt;&gt;"Y","",IF(R1603&lt;&gt;"",R1603,IF(Q1603="(tanpa lawan)","Transfer antar rekening",IFERROR(INDEX(I_COA!$F$6:$F$265,MATCH(Q1603,I_COA!$A$6:$A$265,0)),"?"))))</f>
        <v/>
      </c>
    </row>
    <row r="1604" customFormat="false" ht="15" hidden="false" customHeight="false" outlineLevel="0" collapsed="false">
      <c r="A1604" s="37" t="n">
        <v>46255</v>
      </c>
      <c r="B1604" s="44" t="s">
        <v>1830</v>
      </c>
      <c r="C1604" s="44" t="s">
        <v>580</v>
      </c>
      <c r="D1604" s="44" t="n">
        <v>6100006</v>
      </c>
      <c r="E1604" s="44" t="s">
        <v>717</v>
      </c>
      <c r="F1604" s="44" t="s">
        <v>1833</v>
      </c>
      <c r="G1604" s="42" t="n">
        <v>2769230</v>
      </c>
      <c r="H1604" s="42"/>
      <c r="I1604" s="44"/>
      <c r="J1604" s="11" t="n">
        <f aca="false">IF(D1604="","",N(G1604)-N(H1604))</f>
        <v>2769230</v>
      </c>
      <c r="K1604" s="34" t="str">
        <f aca="false">IF(D1604="","",IFERROR(INDEX(I_COA!$C$6:$C$265,MATCH(D1604,I_COA!$A$6:$A$265,0)),"AKUN BARU"))</f>
        <v>LabaRugi</v>
      </c>
      <c r="L1604" s="34" t="str">
        <f aca="false">IF(K1604="LabaRugi",INDEX(I_COA!$D$6:$D$265,MATCH(D1604,I_COA!$A$6:$A$265,0)),"")</f>
        <v>Delivery Expenses</v>
      </c>
      <c r="M1604" s="34" t="str">
        <f aca="false">IF(K1604="Neraca",INDEX(I_COA!$E$6:$E$265,MATCH(D1604,I_COA!$A$6:$A$265,0)),"")</f>
        <v/>
      </c>
      <c r="N1604" s="34" t="str">
        <f aca="false">IF(D1604="","",IFERROR(INDEX(I_COA!$G$6:$G$265,MATCH(D1604,I_COA!$A$6:$A$265,0)),"N"))</f>
        <v>N</v>
      </c>
      <c r="O1604" s="11" t="n">
        <f aca="false">IF(N1604="N",ABS(J1604),"")</f>
        <v>2769230</v>
      </c>
      <c r="P1604" s="18" t="str">
        <f aca="false">IF(N1604="N",B1604&amp;"|"&amp;ROUND(O1604,0),"")</f>
        <v>MJ26080009|2769230</v>
      </c>
      <c r="Q1604" s="18" t="str">
        <f aca="false">IF(N1604&lt;&gt;"Y","",IFERROR(INDEX($D$6:$D$4005,MATCH(B1604&amp;"|"&amp;ROUND(_xlfn.MAXIFS($O$6:$O$4005,$B$6:$B$4005,B1604,$N$6:$N$4005,"N"),0),$P$6:$P$4005,0)),"(tanpa lawan)"))</f>
        <v/>
      </c>
      <c r="R1604" s="44"/>
      <c r="S1604" s="9" t="str">
        <f aca="false">IF(N1604&lt;&gt;"Y","",IF(R1604&lt;&gt;"",R1604,IF(Q1604="(tanpa lawan)","Transfer antar rekening",IFERROR(INDEX(I_COA!$F$6:$F$265,MATCH(Q1604,I_COA!$A$6:$A$265,0)),"?"))))</f>
        <v/>
      </c>
    </row>
    <row r="1605" customFormat="false" ht="15" hidden="false" customHeight="false" outlineLevel="0" collapsed="false">
      <c r="A1605" s="37" t="n">
        <v>46255</v>
      </c>
      <c r="B1605" s="44" t="s">
        <v>1830</v>
      </c>
      <c r="C1605" s="44" t="s">
        <v>580</v>
      </c>
      <c r="D1605" s="44" t="n">
        <v>2102002</v>
      </c>
      <c r="E1605" s="44" t="s">
        <v>633</v>
      </c>
      <c r="F1605" s="44" t="s">
        <v>1834</v>
      </c>
      <c r="G1605" s="42"/>
      <c r="H1605" s="42" t="n">
        <v>69230</v>
      </c>
      <c r="I1605" s="44"/>
      <c r="J1605" s="11" t="n">
        <f aca="false">IF(D1605="","",N(G1605)-N(H1605))</f>
        <v>-69230</v>
      </c>
      <c r="K1605" s="34" t="str">
        <f aca="false">IF(D1605="","",IFERROR(INDEX(I_COA!$C$6:$C$265,MATCH(D1605,I_COA!$A$6:$A$265,0)),"AKUN BARU"))</f>
        <v>Neraca</v>
      </c>
      <c r="L1605" s="34" t="str">
        <f aca="false">IF(K1605="LabaRugi",INDEX(I_COA!$D$6:$D$265,MATCH(D1605,I_COA!$A$6:$A$265,0)),"")</f>
        <v/>
      </c>
      <c r="M1605" s="34" t="str">
        <f aca="false">IF(K1605="Neraca",INDEX(I_COA!$E$6:$E$265,MATCH(D1605,I_COA!$A$6:$A$265,0)),"")</f>
        <v>Taxes Payable</v>
      </c>
      <c r="N1605" s="34" t="str">
        <f aca="false">IF(D1605="","",IFERROR(INDEX(I_COA!$G$6:$G$265,MATCH(D1605,I_COA!$A$6:$A$265,0)),"N"))</f>
        <v>N</v>
      </c>
      <c r="O1605" s="11" t="n">
        <f aca="false">IF(N1605="N",ABS(J1605),"")</f>
        <v>69230</v>
      </c>
      <c r="P1605" s="18" t="str">
        <f aca="false">IF(N1605="N",B1605&amp;"|"&amp;ROUND(O1605,0),"")</f>
        <v>MJ26080009|69230</v>
      </c>
      <c r="Q1605" s="18" t="str">
        <f aca="false">IF(N1605&lt;&gt;"Y","",IFERROR(INDEX($D$6:$D$4005,MATCH(B1605&amp;"|"&amp;ROUND(_xlfn.MAXIFS($O$6:$O$4005,$B$6:$B$4005,B1605,$N$6:$N$4005,"N"),0),$P$6:$P$4005,0)),"(tanpa lawan)"))</f>
        <v/>
      </c>
      <c r="R1605" s="44"/>
      <c r="S1605" s="9" t="str">
        <f aca="false">IF(N1605&lt;&gt;"Y","",IF(R1605&lt;&gt;"",R1605,IF(Q1605="(tanpa lawan)","Transfer antar rekening",IFERROR(INDEX(I_COA!$F$6:$F$265,MATCH(Q1605,I_COA!$A$6:$A$265,0)),"?"))))</f>
        <v/>
      </c>
    </row>
    <row r="1606" customFormat="false" ht="15" hidden="false" customHeight="false" outlineLevel="0" collapsed="false">
      <c r="A1606" s="37" t="n">
        <v>46255</v>
      </c>
      <c r="B1606" s="44" t="s">
        <v>1830</v>
      </c>
      <c r="C1606" s="44" t="s">
        <v>580</v>
      </c>
      <c r="D1606" s="44" t="n">
        <v>5100014</v>
      </c>
      <c r="E1606" s="44" t="s">
        <v>1437</v>
      </c>
      <c r="F1606" s="44" t="s">
        <v>1835</v>
      </c>
      <c r="G1606" s="42" t="n">
        <v>307500</v>
      </c>
      <c r="H1606" s="42"/>
      <c r="I1606" s="44"/>
      <c r="J1606" s="11" t="n">
        <f aca="false">IF(D1606="","",N(G1606)-N(H1606))</f>
        <v>307500</v>
      </c>
      <c r="K1606" s="34" t="str">
        <f aca="false">IF(D1606="","",IFERROR(INDEX(I_COA!$C$6:$C$265,MATCH(D1606,I_COA!$A$6:$A$265,0)),"AKUN BARU"))</f>
        <v>LabaRugi</v>
      </c>
      <c r="L1606" s="34" t="str">
        <f aca="false">IF(K1606="LabaRugi",INDEX(I_COA!$D$6:$D$265,MATCH(D1606,I_COA!$A$6:$A$265,0)),"")</f>
        <v>Storage Expenses</v>
      </c>
      <c r="M1606" s="34" t="str">
        <f aca="false">IF(K1606="Neraca",INDEX(I_COA!$E$6:$E$265,MATCH(D1606,I_COA!$A$6:$A$265,0)),"")</f>
        <v/>
      </c>
      <c r="N1606" s="34" t="str">
        <f aca="false">IF(D1606="","",IFERROR(INDEX(I_COA!$G$6:$G$265,MATCH(D1606,I_COA!$A$6:$A$265,0)),"N"))</f>
        <v>N</v>
      </c>
      <c r="O1606" s="11" t="n">
        <f aca="false">IF(N1606="N",ABS(J1606),"")</f>
        <v>307500</v>
      </c>
      <c r="P1606" s="18" t="str">
        <f aca="false">IF(N1606="N",B1606&amp;"|"&amp;ROUND(O1606,0),"")</f>
        <v>MJ26080009|307500</v>
      </c>
      <c r="Q1606" s="18" t="str">
        <f aca="false">IF(N1606&lt;&gt;"Y","",IFERROR(INDEX($D$6:$D$4005,MATCH(B1606&amp;"|"&amp;ROUND(_xlfn.MAXIFS($O$6:$O$4005,$B$6:$B$4005,B1606,$N$6:$N$4005,"N"),0),$P$6:$P$4005,0)),"(tanpa lawan)"))</f>
        <v/>
      </c>
      <c r="R1606" s="44"/>
      <c r="S1606" s="9" t="str">
        <f aca="false">IF(N1606&lt;&gt;"Y","",IF(R1606&lt;&gt;"",R1606,IF(Q1606="(tanpa lawan)","Transfer antar rekening",IFERROR(INDEX(I_COA!$F$6:$F$265,MATCH(Q1606,I_COA!$A$6:$A$265,0)),"?"))))</f>
        <v/>
      </c>
    </row>
    <row r="1607" customFormat="false" ht="15" hidden="false" customHeight="false" outlineLevel="0" collapsed="false">
      <c r="A1607" s="37" t="n">
        <v>46255</v>
      </c>
      <c r="B1607" s="44" t="s">
        <v>1830</v>
      </c>
      <c r="C1607" s="44" t="s">
        <v>580</v>
      </c>
      <c r="D1607" s="44" t="n">
        <v>2102002</v>
      </c>
      <c r="E1607" s="44" t="s">
        <v>633</v>
      </c>
      <c r="F1607" s="44" t="s">
        <v>1836</v>
      </c>
      <c r="G1607" s="42"/>
      <c r="H1607" s="42" t="n">
        <v>7687</v>
      </c>
      <c r="I1607" s="44"/>
      <c r="J1607" s="11" t="n">
        <f aca="false">IF(D1607="","",N(G1607)-N(H1607))</f>
        <v>-7687</v>
      </c>
      <c r="K1607" s="34" t="str">
        <f aca="false">IF(D1607="","",IFERROR(INDEX(I_COA!$C$6:$C$265,MATCH(D1607,I_COA!$A$6:$A$265,0)),"AKUN BARU"))</f>
        <v>Neraca</v>
      </c>
      <c r="L1607" s="34" t="str">
        <f aca="false">IF(K1607="LabaRugi",INDEX(I_COA!$D$6:$D$265,MATCH(D1607,I_COA!$A$6:$A$265,0)),"")</f>
        <v/>
      </c>
      <c r="M1607" s="34" t="str">
        <f aca="false">IF(K1607="Neraca",INDEX(I_COA!$E$6:$E$265,MATCH(D1607,I_COA!$A$6:$A$265,0)),"")</f>
        <v>Taxes Payable</v>
      </c>
      <c r="N1607" s="34" t="str">
        <f aca="false">IF(D1607="","",IFERROR(INDEX(I_COA!$G$6:$G$265,MATCH(D1607,I_COA!$A$6:$A$265,0)),"N"))</f>
        <v>N</v>
      </c>
      <c r="O1607" s="11" t="n">
        <f aca="false">IF(N1607="N",ABS(J1607),"")</f>
        <v>7687</v>
      </c>
      <c r="P1607" s="18" t="str">
        <f aca="false">IF(N1607="N",B1607&amp;"|"&amp;ROUND(O1607,0),"")</f>
        <v>MJ26080009|7687</v>
      </c>
      <c r="Q1607" s="18" t="str">
        <f aca="false">IF(N1607&lt;&gt;"Y","",IFERROR(INDEX($D$6:$D$4005,MATCH(B1607&amp;"|"&amp;ROUND(_xlfn.MAXIFS($O$6:$O$4005,$B$6:$B$4005,B1607,$N$6:$N$4005,"N"),0),$P$6:$P$4005,0)),"(tanpa lawan)"))</f>
        <v/>
      </c>
      <c r="R1607" s="44"/>
      <c r="S1607" s="9" t="str">
        <f aca="false">IF(N1607&lt;&gt;"Y","",IF(R1607&lt;&gt;"",R1607,IF(Q1607="(tanpa lawan)","Transfer antar rekening",IFERROR(INDEX(I_COA!$F$6:$F$265,MATCH(Q1607,I_COA!$A$6:$A$265,0)),"?"))))</f>
        <v/>
      </c>
    </row>
    <row r="1608" customFormat="false" ht="15" hidden="false" customHeight="false" outlineLevel="0" collapsed="false">
      <c r="A1608" s="37" t="n">
        <v>46255</v>
      </c>
      <c r="B1608" s="44" t="s">
        <v>1830</v>
      </c>
      <c r="C1608" s="44" t="s">
        <v>580</v>
      </c>
      <c r="D1608" s="44" t="n">
        <v>6100006</v>
      </c>
      <c r="E1608" s="44" t="s">
        <v>717</v>
      </c>
      <c r="F1608" s="44" t="s">
        <v>1837</v>
      </c>
      <c r="G1608" s="42" t="n">
        <v>900000</v>
      </c>
      <c r="H1608" s="42"/>
      <c r="I1608" s="44"/>
      <c r="J1608" s="11" t="n">
        <f aca="false">IF(D1608="","",N(G1608)-N(H1608))</f>
        <v>900000</v>
      </c>
      <c r="K1608" s="34" t="str">
        <f aca="false">IF(D1608="","",IFERROR(INDEX(I_COA!$C$6:$C$265,MATCH(D1608,I_COA!$A$6:$A$265,0)),"AKUN BARU"))</f>
        <v>LabaRugi</v>
      </c>
      <c r="L1608" s="34" t="str">
        <f aca="false">IF(K1608="LabaRugi",INDEX(I_COA!$D$6:$D$265,MATCH(D1608,I_COA!$A$6:$A$265,0)),"")</f>
        <v>Delivery Expenses</v>
      </c>
      <c r="M1608" s="34" t="str">
        <f aca="false">IF(K1608="Neraca",INDEX(I_COA!$E$6:$E$265,MATCH(D1608,I_COA!$A$6:$A$265,0)),"")</f>
        <v/>
      </c>
      <c r="N1608" s="34" t="str">
        <f aca="false">IF(D1608="","",IFERROR(INDEX(I_COA!$G$6:$G$265,MATCH(D1608,I_COA!$A$6:$A$265,0)),"N"))</f>
        <v>N</v>
      </c>
      <c r="O1608" s="11" t="n">
        <f aca="false">IF(N1608="N",ABS(J1608),"")</f>
        <v>900000</v>
      </c>
      <c r="P1608" s="18" t="str">
        <f aca="false">IF(N1608="N",B1608&amp;"|"&amp;ROUND(O1608,0),"")</f>
        <v>MJ26080009|900000</v>
      </c>
      <c r="Q1608" s="18" t="str">
        <f aca="false">IF(N1608&lt;&gt;"Y","",IFERROR(INDEX($D$6:$D$4005,MATCH(B1608&amp;"|"&amp;ROUND(_xlfn.MAXIFS($O$6:$O$4005,$B$6:$B$4005,B1608,$N$6:$N$4005,"N"),0),$P$6:$P$4005,0)),"(tanpa lawan)"))</f>
        <v/>
      </c>
      <c r="R1608" s="44"/>
      <c r="S1608" s="9" t="str">
        <f aca="false">IF(N1608&lt;&gt;"Y","",IF(R1608&lt;&gt;"",R1608,IF(Q1608="(tanpa lawan)","Transfer antar rekening",IFERROR(INDEX(I_COA!$F$6:$F$265,MATCH(Q1608,I_COA!$A$6:$A$265,0)),"?"))))</f>
        <v/>
      </c>
    </row>
    <row r="1609" customFormat="false" ht="15" hidden="false" customHeight="false" outlineLevel="0" collapsed="false">
      <c r="A1609" s="37" t="n">
        <v>46255</v>
      </c>
      <c r="B1609" s="44" t="s">
        <v>1830</v>
      </c>
      <c r="C1609" s="44" t="s">
        <v>580</v>
      </c>
      <c r="D1609" s="44" t="n">
        <v>2102003</v>
      </c>
      <c r="E1609" s="44" t="s">
        <v>722</v>
      </c>
      <c r="F1609" s="44" t="s">
        <v>1838</v>
      </c>
      <c r="G1609" s="42"/>
      <c r="H1609" s="42" t="n">
        <v>18000</v>
      </c>
      <c r="I1609" s="44"/>
      <c r="J1609" s="11" t="n">
        <f aca="false">IF(D1609="","",N(G1609)-N(H1609))</f>
        <v>-18000</v>
      </c>
      <c r="K1609" s="34" t="str">
        <f aca="false">IF(D1609="","",IFERROR(INDEX(I_COA!$C$6:$C$265,MATCH(D1609,I_COA!$A$6:$A$265,0)),"AKUN BARU"))</f>
        <v>Neraca</v>
      </c>
      <c r="L1609" s="34" t="str">
        <f aca="false">IF(K1609="LabaRugi",INDEX(I_COA!$D$6:$D$265,MATCH(D1609,I_COA!$A$6:$A$265,0)),"")</f>
        <v/>
      </c>
      <c r="M1609" s="34" t="str">
        <f aca="false">IF(K1609="Neraca",INDEX(I_COA!$E$6:$E$265,MATCH(D1609,I_COA!$A$6:$A$265,0)),"")</f>
        <v>Taxes Payable</v>
      </c>
      <c r="N1609" s="34" t="str">
        <f aca="false">IF(D1609="","",IFERROR(INDEX(I_COA!$G$6:$G$265,MATCH(D1609,I_COA!$A$6:$A$265,0)),"N"))</f>
        <v>N</v>
      </c>
      <c r="O1609" s="11" t="n">
        <f aca="false">IF(N1609="N",ABS(J1609),"")</f>
        <v>18000</v>
      </c>
      <c r="P1609" s="18" t="str">
        <f aca="false">IF(N1609="N",B1609&amp;"|"&amp;ROUND(O1609,0),"")</f>
        <v>MJ26080009|18000</v>
      </c>
      <c r="Q1609" s="18" t="str">
        <f aca="false">IF(N1609&lt;&gt;"Y","",IFERROR(INDEX($D$6:$D$4005,MATCH(B1609&amp;"|"&amp;ROUND(_xlfn.MAXIFS($O$6:$O$4005,$B$6:$B$4005,B1609,$N$6:$N$4005,"N"),0),$P$6:$P$4005,0)),"(tanpa lawan)"))</f>
        <v/>
      </c>
      <c r="R1609" s="44"/>
      <c r="S1609" s="9" t="str">
        <f aca="false">IF(N1609&lt;&gt;"Y","",IF(R1609&lt;&gt;"",R1609,IF(Q1609="(tanpa lawan)","Transfer antar rekening",IFERROR(INDEX(I_COA!$F$6:$F$265,MATCH(Q1609,I_COA!$A$6:$A$265,0)),"?"))))</f>
        <v/>
      </c>
    </row>
    <row r="1610" customFormat="false" ht="15" hidden="false" customHeight="false" outlineLevel="0" collapsed="false">
      <c r="A1610" s="37" t="n">
        <v>46255</v>
      </c>
      <c r="B1610" s="44" t="s">
        <v>1830</v>
      </c>
      <c r="C1610" s="44" t="s">
        <v>580</v>
      </c>
      <c r="D1610" s="44" t="n">
        <v>6100006</v>
      </c>
      <c r="E1610" s="44" t="s">
        <v>717</v>
      </c>
      <c r="F1610" s="44" t="s">
        <v>1837</v>
      </c>
      <c r="G1610" s="42" t="n">
        <v>519930</v>
      </c>
      <c r="H1610" s="42"/>
      <c r="I1610" s="44"/>
      <c r="J1610" s="11" t="n">
        <f aca="false">IF(D1610="","",N(G1610)-N(H1610))</f>
        <v>519930</v>
      </c>
      <c r="K1610" s="34" t="str">
        <f aca="false">IF(D1610="","",IFERROR(INDEX(I_COA!$C$6:$C$265,MATCH(D1610,I_COA!$A$6:$A$265,0)),"AKUN BARU"))</f>
        <v>LabaRugi</v>
      </c>
      <c r="L1610" s="34" t="str">
        <f aca="false">IF(K1610="LabaRugi",INDEX(I_COA!$D$6:$D$265,MATCH(D1610,I_COA!$A$6:$A$265,0)),"")</f>
        <v>Delivery Expenses</v>
      </c>
      <c r="M1610" s="34" t="str">
        <f aca="false">IF(K1610="Neraca",INDEX(I_COA!$E$6:$E$265,MATCH(D1610,I_COA!$A$6:$A$265,0)),"")</f>
        <v/>
      </c>
      <c r="N1610" s="34" t="str">
        <f aca="false">IF(D1610="","",IFERROR(INDEX(I_COA!$G$6:$G$265,MATCH(D1610,I_COA!$A$6:$A$265,0)),"N"))</f>
        <v>N</v>
      </c>
      <c r="O1610" s="11" t="n">
        <f aca="false">IF(N1610="N",ABS(J1610),"")</f>
        <v>519930</v>
      </c>
      <c r="P1610" s="18" t="str">
        <f aca="false">IF(N1610="N",B1610&amp;"|"&amp;ROUND(O1610,0),"")</f>
        <v>MJ26080009|519930</v>
      </c>
      <c r="Q1610" s="18" t="str">
        <f aca="false">IF(N1610&lt;&gt;"Y","",IFERROR(INDEX($D$6:$D$4005,MATCH(B1610&amp;"|"&amp;ROUND(_xlfn.MAXIFS($O$6:$O$4005,$B$6:$B$4005,B1610,$N$6:$N$4005,"N"),0),$P$6:$P$4005,0)),"(tanpa lawan)"))</f>
        <v/>
      </c>
      <c r="R1610" s="44"/>
      <c r="S1610" s="9" t="str">
        <f aca="false">IF(N1610&lt;&gt;"Y","",IF(R1610&lt;&gt;"",R1610,IF(Q1610="(tanpa lawan)","Transfer antar rekening",IFERROR(INDEX(I_COA!$F$6:$F$265,MATCH(Q1610,I_COA!$A$6:$A$265,0)),"?"))))</f>
        <v/>
      </c>
    </row>
    <row r="1611" customFormat="false" ht="15" hidden="false" customHeight="false" outlineLevel="0" collapsed="false">
      <c r="A1611" s="37" t="n">
        <v>46255</v>
      </c>
      <c r="B1611" s="44" t="s">
        <v>1830</v>
      </c>
      <c r="C1611" s="44" t="s">
        <v>580</v>
      </c>
      <c r="D1611" s="44" t="n">
        <v>2102003</v>
      </c>
      <c r="E1611" s="44" t="s">
        <v>722</v>
      </c>
      <c r="F1611" s="44" t="s">
        <v>1838</v>
      </c>
      <c r="G1611" s="42"/>
      <c r="H1611" s="42" t="n">
        <v>10399</v>
      </c>
      <c r="I1611" s="44"/>
      <c r="J1611" s="11" t="n">
        <f aca="false">IF(D1611="","",N(G1611)-N(H1611))</f>
        <v>-10399</v>
      </c>
      <c r="K1611" s="34" t="str">
        <f aca="false">IF(D1611="","",IFERROR(INDEX(I_COA!$C$6:$C$265,MATCH(D1611,I_COA!$A$6:$A$265,0)),"AKUN BARU"))</f>
        <v>Neraca</v>
      </c>
      <c r="L1611" s="34" t="str">
        <f aca="false">IF(K1611="LabaRugi",INDEX(I_COA!$D$6:$D$265,MATCH(D1611,I_COA!$A$6:$A$265,0)),"")</f>
        <v/>
      </c>
      <c r="M1611" s="34" t="str">
        <f aca="false">IF(K1611="Neraca",INDEX(I_COA!$E$6:$E$265,MATCH(D1611,I_COA!$A$6:$A$265,0)),"")</f>
        <v>Taxes Payable</v>
      </c>
      <c r="N1611" s="34" t="str">
        <f aca="false">IF(D1611="","",IFERROR(INDEX(I_COA!$G$6:$G$265,MATCH(D1611,I_COA!$A$6:$A$265,0)),"N"))</f>
        <v>N</v>
      </c>
      <c r="O1611" s="11" t="n">
        <f aca="false">IF(N1611="N",ABS(J1611),"")</f>
        <v>10399</v>
      </c>
      <c r="P1611" s="18" t="str">
        <f aca="false">IF(N1611="N",B1611&amp;"|"&amp;ROUND(O1611,0),"")</f>
        <v>MJ26080009|10399</v>
      </c>
      <c r="Q1611" s="18" t="str">
        <f aca="false">IF(N1611&lt;&gt;"Y","",IFERROR(INDEX($D$6:$D$4005,MATCH(B1611&amp;"|"&amp;ROUND(_xlfn.MAXIFS($O$6:$O$4005,$B$6:$B$4005,B1611,$N$6:$N$4005,"N"),0),$P$6:$P$4005,0)),"(tanpa lawan)"))</f>
        <v/>
      </c>
      <c r="R1611" s="44"/>
      <c r="S1611" s="9" t="str">
        <f aca="false">IF(N1611&lt;&gt;"Y","",IF(R1611&lt;&gt;"",R1611,IF(Q1611="(tanpa lawan)","Transfer antar rekening",IFERROR(INDEX(I_COA!$F$6:$F$265,MATCH(Q1611,I_COA!$A$6:$A$265,0)),"?"))))</f>
        <v/>
      </c>
    </row>
    <row r="1612" customFormat="false" ht="15" hidden="false" customHeight="false" outlineLevel="0" collapsed="false">
      <c r="A1612" s="37" t="n">
        <v>46255</v>
      </c>
      <c r="B1612" s="44" t="s">
        <v>1830</v>
      </c>
      <c r="C1612" s="44" t="s">
        <v>580</v>
      </c>
      <c r="D1612" s="44" t="n">
        <v>1103120</v>
      </c>
      <c r="E1612" s="44" t="s">
        <v>640</v>
      </c>
      <c r="F1612" s="44" t="s">
        <v>1839</v>
      </c>
      <c r="G1612" s="42"/>
      <c r="H1612" s="42" t="n">
        <v>6507967</v>
      </c>
      <c r="I1612" s="44" t="s">
        <v>642</v>
      </c>
      <c r="J1612" s="11" t="n">
        <f aca="false">IF(D1612="","",N(G1612)-N(H1612))</f>
        <v>-6507967</v>
      </c>
      <c r="K1612" s="34" t="str">
        <f aca="false">IF(D1612="","",IFERROR(INDEX(I_COA!$C$6:$C$265,MATCH(D1612,I_COA!$A$6:$A$265,0)),"AKUN BARU"))</f>
        <v>Neraca</v>
      </c>
      <c r="L1612" s="34" t="str">
        <f aca="false">IF(K1612="LabaRugi",INDEX(I_COA!$D$6:$D$265,MATCH(D1612,I_COA!$A$6:$A$265,0)),"")</f>
        <v/>
      </c>
      <c r="M1612" s="34" t="str">
        <f aca="false">IF(K1612="Neraca",INDEX(I_COA!$E$6:$E$265,MATCH(D1612,I_COA!$A$6:$A$265,0)),"")</f>
        <v>Advance Payment</v>
      </c>
      <c r="N1612" s="34" t="str">
        <f aca="false">IF(D1612="","",IFERROR(INDEX(I_COA!$G$6:$G$265,MATCH(D1612,I_COA!$A$6:$A$265,0)),"N"))</f>
        <v>N</v>
      </c>
      <c r="O1612" s="11" t="n">
        <f aca="false">IF(N1612="N",ABS(J1612),"")</f>
        <v>6507967</v>
      </c>
      <c r="P1612" s="18" t="str">
        <f aca="false">IF(N1612="N",B1612&amp;"|"&amp;ROUND(O1612,0),"")</f>
        <v>MJ26080009|6507967</v>
      </c>
      <c r="Q1612" s="18" t="str">
        <f aca="false">IF(N1612&lt;&gt;"Y","",IFERROR(INDEX($D$6:$D$4005,MATCH(B1612&amp;"|"&amp;ROUND(_xlfn.MAXIFS($O$6:$O$4005,$B$6:$B$4005,B1612,$N$6:$N$4005,"N"),0),$P$6:$P$4005,0)),"(tanpa lawan)"))</f>
        <v/>
      </c>
      <c r="R1612" s="44"/>
      <c r="S1612" s="9" t="str">
        <f aca="false">IF(N1612&lt;&gt;"Y","",IF(R1612&lt;&gt;"",R1612,IF(Q1612="(tanpa lawan)","Transfer antar rekening",IFERROR(INDEX(I_COA!$F$6:$F$265,MATCH(Q1612,I_COA!$A$6:$A$265,0)),"?"))))</f>
        <v/>
      </c>
    </row>
    <row r="1613" customFormat="false" ht="15" hidden="false" customHeight="false" outlineLevel="0" collapsed="false">
      <c r="A1613" s="37" t="n">
        <v>46255</v>
      </c>
      <c r="B1613" s="44" t="s">
        <v>1840</v>
      </c>
      <c r="C1613" s="44" t="s">
        <v>707</v>
      </c>
      <c r="D1613" s="44" t="n">
        <v>5100007</v>
      </c>
      <c r="E1613" s="44" t="s">
        <v>708</v>
      </c>
      <c r="F1613" s="44" t="s">
        <v>1841</v>
      </c>
      <c r="G1613" s="42" t="n">
        <v>11000000</v>
      </c>
      <c r="H1613" s="42"/>
      <c r="I1613" s="44" t="s">
        <v>681</v>
      </c>
      <c r="J1613" s="11" t="n">
        <f aca="false">IF(D1613="","",N(G1613)-N(H1613))</f>
        <v>11000000</v>
      </c>
      <c r="K1613" s="34" t="str">
        <f aca="false">IF(D1613="","",IFERROR(INDEX(I_COA!$C$6:$C$265,MATCH(D1613,I_COA!$A$6:$A$265,0)),"AKUN BARU"))</f>
        <v>LabaRugi</v>
      </c>
      <c r="L1613" s="34" t="str">
        <f aca="false">IF(K1613="LabaRugi",INDEX(I_COA!$D$6:$D$265,MATCH(D1613,I_COA!$A$6:$A$265,0)),"")</f>
        <v>Other COGS - Expedition</v>
      </c>
      <c r="M1613" s="34" t="str">
        <f aca="false">IF(K1613="Neraca",INDEX(I_COA!$E$6:$E$265,MATCH(D1613,I_COA!$A$6:$A$265,0)),"")</f>
        <v/>
      </c>
      <c r="N1613" s="34" t="str">
        <f aca="false">IF(D1613="","",IFERROR(INDEX(I_COA!$G$6:$G$265,MATCH(D1613,I_COA!$A$6:$A$265,0)),"N"))</f>
        <v>N</v>
      </c>
      <c r="O1613" s="11" t="n">
        <f aca="false">IF(N1613="N",ABS(J1613),"")</f>
        <v>11000000</v>
      </c>
      <c r="P1613" s="18" t="str">
        <f aca="false">IF(N1613="N",B1613&amp;"|"&amp;ROUND(O1613,0),"")</f>
        <v>PI26080055|11000000</v>
      </c>
      <c r="Q1613" s="18" t="str">
        <f aca="false">IF(N1613&lt;&gt;"Y","",IFERROR(INDEX($D$6:$D$4005,MATCH(B1613&amp;"|"&amp;ROUND(_xlfn.MAXIFS($O$6:$O$4005,$B$6:$B$4005,B1613,$N$6:$N$4005,"N"),0),$P$6:$P$4005,0)),"(tanpa lawan)"))</f>
        <v/>
      </c>
      <c r="R1613" s="44"/>
      <c r="S1613" s="9" t="str">
        <f aca="false">IF(N1613&lt;&gt;"Y","",IF(R1613&lt;&gt;"",R1613,IF(Q1613="(tanpa lawan)","Transfer antar rekening",IFERROR(INDEX(I_COA!$F$6:$F$265,MATCH(Q1613,I_COA!$A$6:$A$265,0)),"?"))))</f>
        <v/>
      </c>
    </row>
    <row r="1614" customFormat="false" ht="15" hidden="false" customHeight="false" outlineLevel="0" collapsed="false">
      <c r="A1614" s="37" t="n">
        <v>46255</v>
      </c>
      <c r="B1614" s="44" t="s">
        <v>1840</v>
      </c>
      <c r="C1614" s="44" t="s">
        <v>707</v>
      </c>
      <c r="D1614" s="44" t="n">
        <v>2102002</v>
      </c>
      <c r="E1614" s="44" t="s">
        <v>633</v>
      </c>
      <c r="F1614" s="44" t="s">
        <v>1401</v>
      </c>
      <c r="G1614" s="42"/>
      <c r="H1614" s="42" t="n">
        <v>275000</v>
      </c>
      <c r="I1614" s="44" t="s">
        <v>681</v>
      </c>
      <c r="J1614" s="11" t="n">
        <f aca="false">IF(D1614="","",N(G1614)-N(H1614))</f>
        <v>-275000</v>
      </c>
      <c r="K1614" s="34" t="str">
        <f aca="false">IF(D1614="","",IFERROR(INDEX(I_COA!$C$6:$C$265,MATCH(D1614,I_COA!$A$6:$A$265,0)),"AKUN BARU"))</f>
        <v>Neraca</v>
      </c>
      <c r="L1614" s="34" t="str">
        <f aca="false">IF(K1614="LabaRugi",INDEX(I_COA!$D$6:$D$265,MATCH(D1614,I_COA!$A$6:$A$265,0)),"")</f>
        <v/>
      </c>
      <c r="M1614" s="34" t="str">
        <f aca="false">IF(K1614="Neraca",INDEX(I_COA!$E$6:$E$265,MATCH(D1614,I_COA!$A$6:$A$265,0)),"")</f>
        <v>Taxes Payable</v>
      </c>
      <c r="N1614" s="34" t="str">
        <f aca="false">IF(D1614="","",IFERROR(INDEX(I_COA!$G$6:$G$265,MATCH(D1614,I_COA!$A$6:$A$265,0)),"N"))</f>
        <v>N</v>
      </c>
      <c r="O1614" s="11" t="n">
        <f aca="false">IF(N1614="N",ABS(J1614),"")</f>
        <v>275000</v>
      </c>
      <c r="P1614" s="18" t="str">
        <f aca="false">IF(N1614="N",B1614&amp;"|"&amp;ROUND(O1614,0),"")</f>
        <v>PI26080055|275000</v>
      </c>
      <c r="Q1614" s="18" t="str">
        <f aca="false">IF(N1614&lt;&gt;"Y","",IFERROR(INDEX($D$6:$D$4005,MATCH(B1614&amp;"|"&amp;ROUND(_xlfn.MAXIFS($O$6:$O$4005,$B$6:$B$4005,B1614,$N$6:$N$4005,"N"),0),$P$6:$P$4005,0)),"(tanpa lawan)"))</f>
        <v/>
      </c>
      <c r="R1614" s="44"/>
      <c r="S1614" s="9" t="str">
        <f aca="false">IF(N1614&lt;&gt;"Y","",IF(R1614&lt;&gt;"",R1614,IF(Q1614="(tanpa lawan)","Transfer antar rekening",IFERROR(INDEX(I_COA!$F$6:$F$265,MATCH(Q1614,I_COA!$A$6:$A$265,0)),"?"))))</f>
        <v/>
      </c>
    </row>
    <row r="1615" customFormat="false" ht="15" hidden="false" customHeight="false" outlineLevel="0" collapsed="false">
      <c r="A1615" s="37" t="n">
        <v>46255</v>
      </c>
      <c r="B1615" s="44" t="s">
        <v>1840</v>
      </c>
      <c r="C1615" s="44" t="s">
        <v>707</v>
      </c>
      <c r="D1615" s="44" t="n">
        <v>2101003</v>
      </c>
      <c r="E1615" s="44" t="s">
        <v>679</v>
      </c>
      <c r="F1615" s="44" t="s">
        <v>1841</v>
      </c>
      <c r="G1615" s="42"/>
      <c r="H1615" s="42" t="n">
        <v>10725000</v>
      </c>
      <c r="I1615" s="44" t="s">
        <v>681</v>
      </c>
      <c r="J1615" s="11" t="n">
        <f aca="false">IF(D1615="","",N(G1615)-N(H1615))</f>
        <v>-10725000</v>
      </c>
      <c r="K1615" s="34" t="str">
        <f aca="false">IF(D1615="","",IFERROR(INDEX(I_COA!$C$6:$C$265,MATCH(D1615,I_COA!$A$6:$A$265,0)),"AKUN BARU"))</f>
        <v>Neraca</v>
      </c>
      <c r="L1615" s="34" t="str">
        <f aca="false">IF(K1615="LabaRugi",INDEX(I_COA!$D$6:$D$265,MATCH(D1615,I_COA!$A$6:$A$265,0)),"")</f>
        <v/>
      </c>
      <c r="M1615" s="34" t="str">
        <f aca="false">IF(K1615="Neraca",INDEX(I_COA!$E$6:$E$265,MATCH(D1615,I_COA!$A$6:$A$265,0)),"")</f>
        <v>Other Payable - Third Parties</v>
      </c>
      <c r="N1615" s="34" t="str">
        <f aca="false">IF(D1615="","",IFERROR(INDEX(I_COA!$G$6:$G$265,MATCH(D1615,I_COA!$A$6:$A$265,0)),"N"))</f>
        <v>N</v>
      </c>
      <c r="O1615" s="11" t="n">
        <f aca="false">IF(N1615="N",ABS(J1615),"")</f>
        <v>10725000</v>
      </c>
      <c r="P1615" s="18" t="str">
        <f aca="false">IF(N1615="N",B1615&amp;"|"&amp;ROUND(O1615,0),"")</f>
        <v>PI26080055|10725000</v>
      </c>
      <c r="Q1615" s="18" t="str">
        <f aca="false">IF(N1615&lt;&gt;"Y","",IFERROR(INDEX($D$6:$D$4005,MATCH(B1615&amp;"|"&amp;ROUND(_xlfn.MAXIFS($O$6:$O$4005,$B$6:$B$4005,B1615,$N$6:$N$4005,"N"),0),$P$6:$P$4005,0)),"(tanpa lawan)"))</f>
        <v/>
      </c>
      <c r="R1615" s="44"/>
      <c r="S1615" s="9" t="str">
        <f aca="false">IF(N1615&lt;&gt;"Y","",IF(R1615&lt;&gt;"",R1615,IF(Q1615="(tanpa lawan)","Transfer antar rekening",IFERROR(INDEX(I_COA!$F$6:$F$265,MATCH(Q1615,I_COA!$A$6:$A$265,0)),"?"))))</f>
        <v/>
      </c>
    </row>
    <row r="1616" customFormat="false" ht="15" hidden="false" customHeight="false" outlineLevel="0" collapsed="false">
      <c r="A1616" s="37" t="n">
        <v>46255</v>
      </c>
      <c r="B1616" s="44" t="s">
        <v>1842</v>
      </c>
      <c r="C1616" s="44" t="s">
        <v>707</v>
      </c>
      <c r="D1616" s="44" t="n">
        <v>5100007</v>
      </c>
      <c r="E1616" s="44" t="s">
        <v>708</v>
      </c>
      <c r="F1616" s="44" t="s">
        <v>1843</v>
      </c>
      <c r="G1616" s="42" t="n">
        <v>9000000</v>
      </c>
      <c r="H1616" s="42"/>
      <c r="I1616" s="44" t="s">
        <v>681</v>
      </c>
      <c r="J1616" s="11" t="n">
        <f aca="false">IF(D1616="","",N(G1616)-N(H1616))</f>
        <v>9000000</v>
      </c>
      <c r="K1616" s="34" t="str">
        <f aca="false">IF(D1616="","",IFERROR(INDEX(I_COA!$C$6:$C$265,MATCH(D1616,I_COA!$A$6:$A$265,0)),"AKUN BARU"))</f>
        <v>LabaRugi</v>
      </c>
      <c r="L1616" s="34" t="str">
        <f aca="false">IF(K1616="LabaRugi",INDEX(I_COA!$D$6:$D$265,MATCH(D1616,I_COA!$A$6:$A$265,0)),"")</f>
        <v>Other COGS - Expedition</v>
      </c>
      <c r="M1616" s="34" t="str">
        <f aca="false">IF(K1616="Neraca",INDEX(I_COA!$E$6:$E$265,MATCH(D1616,I_COA!$A$6:$A$265,0)),"")</f>
        <v/>
      </c>
      <c r="N1616" s="34" t="str">
        <f aca="false">IF(D1616="","",IFERROR(INDEX(I_COA!$G$6:$G$265,MATCH(D1616,I_COA!$A$6:$A$265,0)),"N"))</f>
        <v>N</v>
      </c>
      <c r="O1616" s="11" t="n">
        <f aca="false">IF(N1616="N",ABS(J1616),"")</f>
        <v>9000000</v>
      </c>
      <c r="P1616" s="18" t="str">
        <f aca="false">IF(N1616="N",B1616&amp;"|"&amp;ROUND(O1616,0),"")</f>
        <v>PI26080066|9000000</v>
      </c>
      <c r="Q1616" s="18" t="str">
        <f aca="false">IF(N1616&lt;&gt;"Y","",IFERROR(INDEX($D$6:$D$4005,MATCH(B1616&amp;"|"&amp;ROUND(_xlfn.MAXIFS($O$6:$O$4005,$B$6:$B$4005,B1616,$N$6:$N$4005,"N"),0),$P$6:$P$4005,0)),"(tanpa lawan)"))</f>
        <v/>
      </c>
      <c r="R1616" s="44"/>
      <c r="S1616" s="9" t="str">
        <f aca="false">IF(N1616&lt;&gt;"Y","",IF(R1616&lt;&gt;"",R1616,IF(Q1616="(tanpa lawan)","Transfer antar rekening",IFERROR(INDEX(I_COA!$F$6:$F$265,MATCH(Q1616,I_COA!$A$6:$A$265,0)),"?"))))</f>
        <v/>
      </c>
    </row>
    <row r="1617" customFormat="false" ht="15" hidden="false" customHeight="false" outlineLevel="0" collapsed="false">
      <c r="A1617" s="37" t="n">
        <v>46255</v>
      </c>
      <c r="B1617" s="44" t="s">
        <v>1842</v>
      </c>
      <c r="C1617" s="44" t="s">
        <v>707</v>
      </c>
      <c r="D1617" s="44" t="n">
        <v>2102002</v>
      </c>
      <c r="E1617" s="44" t="s">
        <v>633</v>
      </c>
      <c r="F1617" s="44" t="s">
        <v>1844</v>
      </c>
      <c r="G1617" s="42"/>
      <c r="H1617" s="42" t="n">
        <v>225000</v>
      </c>
      <c r="I1617" s="44" t="s">
        <v>681</v>
      </c>
      <c r="J1617" s="11" t="n">
        <f aca="false">IF(D1617="","",N(G1617)-N(H1617))</f>
        <v>-225000</v>
      </c>
      <c r="K1617" s="34" t="str">
        <f aca="false">IF(D1617="","",IFERROR(INDEX(I_COA!$C$6:$C$265,MATCH(D1617,I_COA!$A$6:$A$265,0)),"AKUN BARU"))</f>
        <v>Neraca</v>
      </c>
      <c r="L1617" s="34" t="str">
        <f aca="false">IF(K1617="LabaRugi",INDEX(I_COA!$D$6:$D$265,MATCH(D1617,I_COA!$A$6:$A$265,0)),"")</f>
        <v/>
      </c>
      <c r="M1617" s="34" t="str">
        <f aca="false">IF(K1617="Neraca",INDEX(I_COA!$E$6:$E$265,MATCH(D1617,I_COA!$A$6:$A$265,0)),"")</f>
        <v>Taxes Payable</v>
      </c>
      <c r="N1617" s="34" t="str">
        <f aca="false">IF(D1617="","",IFERROR(INDEX(I_COA!$G$6:$G$265,MATCH(D1617,I_COA!$A$6:$A$265,0)),"N"))</f>
        <v>N</v>
      </c>
      <c r="O1617" s="11" t="n">
        <f aca="false">IF(N1617="N",ABS(J1617),"")</f>
        <v>225000</v>
      </c>
      <c r="P1617" s="18" t="str">
        <f aca="false">IF(N1617="N",B1617&amp;"|"&amp;ROUND(O1617,0),"")</f>
        <v>PI26080066|225000</v>
      </c>
      <c r="Q1617" s="18" t="str">
        <f aca="false">IF(N1617&lt;&gt;"Y","",IFERROR(INDEX($D$6:$D$4005,MATCH(B1617&amp;"|"&amp;ROUND(_xlfn.MAXIFS($O$6:$O$4005,$B$6:$B$4005,B1617,$N$6:$N$4005,"N"),0),$P$6:$P$4005,0)),"(tanpa lawan)"))</f>
        <v/>
      </c>
      <c r="R1617" s="44"/>
      <c r="S1617" s="9" t="str">
        <f aca="false">IF(N1617&lt;&gt;"Y","",IF(R1617&lt;&gt;"",R1617,IF(Q1617="(tanpa lawan)","Transfer antar rekening",IFERROR(INDEX(I_COA!$F$6:$F$265,MATCH(Q1617,I_COA!$A$6:$A$265,0)),"?"))))</f>
        <v/>
      </c>
    </row>
    <row r="1618" customFormat="false" ht="15" hidden="false" customHeight="false" outlineLevel="0" collapsed="false">
      <c r="A1618" s="37" t="n">
        <v>46255</v>
      </c>
      <c r="B1618" s="44" t="s">
        <v>1842</v>
      </c>
      <c r="C1618" s="44" t="s">
        <v>707</v>
      </c>
      <c r="D1618" s="44" t="n">
        <v>2101003</v>
      </c>
      <c r="E1618" s="44" t="s">
        <v>679</v>
      </c>
      <c r="F1618" s="44" t="s">
        <v>1843</v>
      </c>
      <c r="G1618" s="42"/>
      <c r="H1618" s="42" t="n">
        <v>8775000</v>
      </c>
      <c r="I1618" s="44" t="s">
        <v>681</v>
      </c>
      <c r="J1618" s="11" t="n">
        <f aca="false">IF(D1618="","",N(G1618)-N(H1618))</f>
        <v>-8775000</v>
      </c>
      <c r="K1618" s="34" t="str">
        <f aca="false">IF(D1618="","",IFERROR(INDEX(I_COA!$C$6:$C$265,MATCH(D1618,I_COA!$A$6:$A$265,0)),"AKUN BARU"))</f>
        <v>Neraca</v>
      </c>
      <c r="L1618" s="34" t="str">
        <f aca="false">IF(K1618="LabaRugi",INDEX(I_COA!$D$6:$D$265,MATCH(D1618,I_COA!$A$6:$A$265,0)),"")</f>
        <v/>
      </c>
      <c r="M1618" s="34" t="str">
        <f aca="false">IF(K1618="Neraca",INDEX(I_COA!$E$6:$E$265,MATCH(D1618,I_COA!$A$6:$A$265,0)),"")</f>
        <v>Other Payable - Third Parties</v>
      </c>
      <c r="N1618" s="34" t="str">
        <f aca="false">IF(D1618="","",IFERROR(INDEX(I_COA!$G$6:$G$265,MATCH(D1618,I_COA!$A$6:$A$265,0)),"N"))</f>
        <v>N</v>
      </c>
      <c r="O1618" s="11" t="n">
        <f aca="false">IF(N1618="N",ABS(J1618),"")</f>
        <v>8775000</v>
      </c>
      <c r="P1618" s="18" t="str">
        <f aca="false">IF(N1618="N",B1618&amp;"|"&amp;ROUND(O1618,0),"")</f>
        <v>PI26080066|8775000</v>
      </c>
      <c r="Q1618" s="18" t="str">
        <f aca="false">IF(N1618&lt;&gt;"Y","",IFERROR(INDEX($D$6:$D$4005,MATCH(B1618&amp;"|"&amp;ROUND(_xlfn.MAXIFS($O$6:$O$4005,$B$6:$B$4005,B1618,$N$6:$N$4005,"N"),0),$P$6:$P$4005,0)),"(tanpa lawan)"))</f>
        <v/>
      </c>
      <c r="R1618" s="44"/>
      <c r="S1618" s="9" t="str">
        <f aca="false">IF(N1618&lt;&gt;"Y","",IF(R1618&lt;&gt;"",R1618,IF(Q1618="(tanpa lawan)","Transfer antar rekening",IFERROR(INDEX(I_COA!$F$6:$F$265,MATCH(Q1618,I_COA!$A$6:$A$265,0)),"?"))))</f>
        <v/>
      </c>
    </row>
    <row r="1619" customFormat="false" ht="15" hidden="false" customHeight="false" outlineLevel="0" collapsed="false">
      <c r="A1619" s="37" t="n">
        <v>46255</v>
      </c>
      <c r="B1619" s="44" t="s">
        <v>1845</v>
      </c>
      <c r="C1619" s="44" t="s">
        <v>707</v>
      </c>
      <c r="D1619" s="44" t="n">
        <v>5100006</v>
      </c>
      <c r="E1619" s="44" t="s">
        <v>950</v>
      </c>
      <c r="F1619" s="44" t="s">
        <v>1846</v>
      </c>
      <c r="G1619" s="42" t="n">
        <v>11685760</v>
      </c>
      <c r="H1619" s="42"/>
      <c r="I1619" s="44" t="s">
        <v>440</v>
      </c>
      <c r="J1619" s="11" t="n">
        <f aca="false">IF(D1619="","",N(G1619)-N(H1619))</f>
        <v>11685760</v>
      </c>
      <c r="K1619" s="34" t="str">
        <f aca="false">IF(D1619="","",IFERROR(INDEX(I_COA!$C$6:$C$265,MATCH(D1619,I_COA!$A$6:$A$265,0)),"AKUN BARU"))</f>
        <v>LabaRugi</v>
      </c>
      <c r="L1619" s="34" t="str">
        <f aca="false">IF(K1619="LabaRugi",INDEX(I_COA!$D$6:$D$265,MATCH(D1619,I_COA!$A$6:$A$265,0)),"")</f>
        <v>COGS - Live Bird</v>
      </c>
      <c r="M1619" s="34" t="str">
        <f aca="false">IF(K1619="Neraca",INDEX(I_COA!$E$6:$E$265,MATCH(D1619,I_COA!$A$6:$A$265,0)),"")</f>
        <v/>
      </c>
      <c r="N1619" s="34" t="str">
        <f aca="false">IF(D1619="","",IFERROR(INDEX(I_COA!$G$6:$G$265,MATCH(D1619,I_COA!$A$6:$A$265,0)),"N"))</f>
        <v>N</v>
      </c>
      <c r="O1619" s="11" t="n">
        <f aca="false">IF(N1619="N",ABS(J1619),"")</f>
        <v>11685760</v>
      </c>
      <c r="P1619" s="18" t="str">
        <f aca="false">IF(N1619="N",B1619&amp;"|"&amp;ROUND(O1619,0),"")</f>
        <v>PI26080067|11685760</v>
      </c>
      <c r="Q1619" s="18" t="str">
        <f aca="false">IF(N1619&lt;&gt;"Y","",IFERROR(INDEX($D$6:$D$4005,MATCH(B1619&amp;"|"&amp;ROUND(_xlfn.MAXIFS($O$6:$O$4005,$B$6:$B$4005,B1619,$N$6:$N$4005,"N"),0),$P$6:$P$4005,0)),"(tanpa lawan)"))</f>
        <v/>
      </c>
      <c r="R1619" s="44"/>
      <c r="S1619" s="9" t="str">
        <f aca="false">IF(N1619&lt;&gt;"Y","",IF(R1619&lt;&gt;"",R1619,IF(Q1619="(tanpa lawan)","Transfer antar rekening",IFERROR(INDEX(I_COA!$F$6:$F$265,MATCH(Q1619,I_COA!$A$6:$A$265,0)),"?"))))</f>
        <v/>
      </c>
    </row>
    <row r="1620" customFormat="false" ht="15" hidden="false" customHeight="false" outlineLevel="0" collapsed="false">
      <c r="A1620" s="37" t="n">
        <v>46255</v>
      </c>
      <c r="B1620" s="44" t="s">
        <v>1845</v>
      </c>
      <c r="C1620" s="44" t="s">
        <v>707</v>
      </c>
      <c r="D1620" s="44" t="n">
        <v>5100009</v>
      </c>
      <c r="E1620" s="44" t="s">
        <v>1003</v>
      </c>
      <c r="F1620" s="44" t="s">
        <v>1847</v>
      </c>
      <c r="G1620" s="42" t="n">
        <v>3258880</v>
      </c>
      <c r="H1620" s="42"/>
      <c r="I1620" s="44" t="s">
        <v>440</v>
      </c>
      <c r="J1620" s="11" t="n">
        <f aca="false">IF(D1620="","",N(G1620)-N(H1620))</f>
        <v>3258880</v>
      </c>
      <c r="K1620" s="34" t="str">
        <f aca="false">IF(D1620="","",IFERROR(INDEX(I_COA!$C$6:$C$265,MATCH(D1620,I_COA!$A$6:$A$265,0)),"AKUN BARU"))</f>
        <v>LabaRugi</v>
      </c>
      <c r="L1620" s="34" t="str">
        <f aca="false">IF(K1620="LabaRugi",INDEX(I_COA!$D$6:$D$265,MATCH(D1620,I_COA!$A$6:$A$265,0)),"")</f>
        <v>COGS - Blasting</v>
      </c>
      <c r="M1620" s="34" t="str">
        <f aca="false">IF(K1620="Neraca",INDEX(I_COA!$E$6:$E$265,MATCH(D1620,I_COA!$A$6:$A$265,0)),"")</f>
        <v/>
      </c>
      <c r="N1620" s="34" t="str">
        <f aca="false">IF(D1620="","",IFERROR(INDEX(I_COA!$G$6:$G$265,MATCH(D1620,I_COA!$A$6:$A$265,0)),"N"))</f>
        <v>N</v>
      </c>
      <c r="O1620" s="11" t="n">
        <f aca="false">IF(N1620="N",ABS(J1620),"")</f>
        <v>3258880</v>
      </c>
      <c r="P1620" s="18" t="str">
        <f aca="false">IF(N1620="N",B1620&amp;"|"&amp;ROUND(O1620,0),"")</f>
        <v>PI26080067|3258880</v>
      </c>
      <c r="Q1620" s="18" t="str">
        <f aca="false">IF(N1620&lt;&gt;"Y","",IFERROR(INDEX($D$6:$D$4005,MATCH(B1620&amp;"|"&amp;ROUND(_xlfn.MAXIFS($O$6:$O$4005,$B$6:$B$4005,B1620,$N$6:$N$4005,"N"),0),$P$6:$P$4005,0)),"(tanpa lawan)"))</f>
        <v/>
      </c>
      <c r="R1620" s="44"/>
      <c r="S1620" s="9" t="str">
        <f aca="false">IF(N1620&lt;&gt;"Y","",IF(R1620&lt;&gt;"",R1620,IF(Q1620="(tanpa lawan)","Transfer antar rekening",IFERROR(INDEX(I_COA!$F$6:$F$265,MATCH(Q1620,I_COA!$A$6:$A$265,0)),"?"))))</f>
        <v/>
      </c>
    </row>
    <row r="1621" customFormat="false" ht="15" hidden="false" customHeight="false" outlineLevel="0" collapsed="false">
      <c r="A1621" s="37" t="n">
        <v>46255</v>
      </c>
      <c r="B1621" s="44" t="s">
        <v>1845</v>
      </c>
      <c r="C1621" s="44" t="s">
        <v>707</v>
      </c>
      <c r="D1621" s="44" t="n">
        <v>2102003</v>
      </c>
      <c r="E1621" s="44" t="s">
        <v>722</v>
      </c>
      <c r="F1621" s="44" t="s">
        <v>1118</v>
      </c>
      <c r="G1621" s="42"/>
      <c r="H1621" s="42" t="n">
        <v>298892.8</v>
      </c>
      <c r="I1621" s="44" t="s">
        <v>440</v>
      </c>
      <c r="J1621" s="11" t="n">
        <f aca="false">IF(D1621="","",N(G1621)-N(H1621))</f>
        <v>-298892.8</v>
      </c>
      <c r="K1621" s="34" t="str">
        <f aca="false">IF(D1621="","",IFERROR(INDEX(I_COA!$C$6:$C$265,MATCH(D1621,I_COA!$A$6:$A$265,0)),"AKUN BARU"))</f>
        <v>Neraca</v>
      </c>
      <c r="L1621" s="34" t="str">
        <f aca="false">IF(K1621="LabaRugi",INDEX(I_COA!$D$6:$D$265,MATCH(D1621,I_COA!$A$6:$A$265,0)),"")</f>
        <v/>
      </c>
      <c r="M1621" s="34" t="str">
        <f aca="false">IF(K1621="Neraca",INDEX(I_COA!$E$6:$E$265,MATCH(D1621,I_COA!$A$6:$A$265,0)),"")</f>
        <v>Taxes Payable</v>
      </c>
      <c r="N1621" s="34" t="str">
        <f aca="false">IF(D1621="","",IFERROR(INDEX(I_COA!$G$6:$G$265,MATCH(D1621,I_COA!$A$6:$A$265,0)),"N"))</f>
        <v>N</v>
      </c>
      <c r="O1621" s="11" t="n">
        <f aca="false">IF(N1621="N",ABS(J1621),"")</f>
        <v>298892.8</v>
      </c>
      <c r="P1621" s="18" t="str">
        <f aca="false">IF(N1621="N",B1621&amp;"|"&amp;ROUND(O1621,0),"")</f>
        <v>PI26080067|298893</v>
      </c>
      <c r="Q1621" s="18" t="str">
        <f aca="false">IF(N1621&lt;&gt;"Y","",IFERROR(INDEX($D$6:$D$4005,MATCH(B1621&amp;"|"&amp;ROUND(_xlfn.MAXIFS($O$6:$O$4005,$B$6:$B$4005,B1621,$N$6:$N$4005,"N"),0),$P$6:$P$4005,0)),"(tanpa lawan)"))</f>
        <v/>
      </c>
      <c r="R1621" s="44"/>
      <c r="S1621" s="9" t="str">
        <f aca="false">IF(N1621&lt;&gt;"Y","",IF(R1621&lt;&gt;"",R1621,IF(Q1621="(tanpa lawan)","Transfer antar rekening",IFERROR(INDEX(I_COA!$F$6:$F$265,MATCH(Q1621,I_COA!$A$6:$A$265,0)),"?"))))</f>
        <v/>
      </c>
    </row>
    <row r="1622" customFormat="false" ht="15" hidden="false" customHeight="false" outlineLevel="0" collapsed="false">
      <c r="A1622" s="37" t="n">
        <v>46255</v>
      </c>
      <c r="B1622" s="44" t="s">
        <v>1845</v>
      </c>
      <c r="C1622" s="44" t="s">
        <v>707</v>
      </c>
      <c r="D1622" s="44" t="n">
        <v>1106001</v>
      </c>
      <c r="E1622" s="44" t="s">
        <v>720</v>
      </c>
      <c r="F1622" s="44" t="s">
        <v>721</v>
      </c>
      <c r="G1622" s="42" t="n">
        <v>1643910</v>
      </c>
      <c r="H1622" s="42"/>
      <c r="I1622" s="44" t="s">
        <v>440</v>
      </c>
      <c r="J1622" s="11" t="n">
        <f aca="false">IF(D1622="","",N(G1622)-N(H1622))</f>
        <v>1643910</v>
      </c>
      <c r="K1622" s="34" t="str">
        <f aca="false">IF(D1622="","",IFERROR(INDEX(I_COA!$C$6:$C$265,MATCH(D1622,I_COA!$A$6:$A$265,0)),"AKUN BARU"))</f>
        <v>Neraca</v>
      </c>
      <c r="L1622" s="34" t="str">
        <f aca="false">IF(K1622="LabaRugi",INDEX(I_COA!$D$6:$D$265,MATCH(D1622,I_COA!$A$6:$A$265,0)),"")</f>
        <v/>
      </c>
      <c r="M1622" s="34" t="str">
        <f aca="false">IF(K1622="Neraca",INDEX(I_COA!$E$6:$E$265,MATCH(D1622,I_COA!$A$6:$A$265,0)),"")</f>
        <v>Prepaid Tax</v>
      </c>
      <c r="N1622" s="34" t="str">
        <f aca="false">IF(D1622="","",IFERROR(INDEX(I_COA!$G$6:$G$265,MATCH(D1622,I_COA!$A$6:$A$265,0)),"N"))</f>
        <v>N</v>
      </c>
      <c r="O1622" s="11" t="n">
        <f aca="false">IF(N1622="N",ABS(J1622),"")</f>
        <v>1643910</v>
      </c>
      <c r="P1622" s="18" t="str">
        <f aca="false">IF(N1622="N",B1622&amp;"|"&amp;ROUND(O1622,0),"")</f>
        <v>PI26080067|1643910</v>
      </c>
      <c r="Q1622" s="18" t="str">
        <f aca="false">IF(N1622&lt;&gt;"Y","",IFERROR(INDEX($D$6:$D$4005,MATCH(B1622&amp;"|"&amp;ROUND(_xlfn.MAXIFS($O$6:$O$4005,$B$6:$B$4005,B1622,$N$6:$N$4005,"N"),0),$P$6:$P$4005,0)),"(tanpa lawan)"))</f>
        <v/>
      </c>
      <c r="R1622" s="44"/>
      <c r="S1622" s="9" t="str">
        <f aca="false">IF(N1622&lt;&gt;"Y","",IF(R1622&lt;&gt;"",R1622,IF(Q1622="(tanpa lawan)","Transfer antar rekening",IFERROR(INDEX(I_COA!$F$6:$F$265,MATCH(Q1622,I_COA!$A$6:$A$265,0)),"?"))))</f>
        <v/>
      </c>
    </row>
    <row r="1623" customFormat="false" ht="15" hidden="false" customHeight="false" outlineLevel="0" collapsed="false">
      <c r="A1623" s="37" t="n">
        <v>46255</v>
      </c>
      <c r="B1623" s="44" t="s">
        <v>1845</v>
      </c>
      <c r="C1623" s="44" t="s">
        <v>707</v>
      </c>
      <c r="D1623" s="44" t="n">
        <v>2101003</v>
      </c>
      <c r="E1623" s="44" t="s">
        <v>679</v>
      </c>
      <c r="F1623" s="44" t="s">
        <v>1848</v>
      </c>
      <c r="G1623" s="42"/>
      <c r="H1623" s="42" t="n">
        <v>16289657.2</v>
      </c>
      <c r="I1623" s="44" t="s">
        <v>440</v>
      </c>
      <c r="J1623" s="11" t="n">
        <f aca="false">IF(D1623="","",N(G1623)-N(H1623))</f>
        <v>-16289657.2</v>
      </c>
      <c r="K1623" s="34" t="str">
        <f aca="false">IF(D1623="","",IFERROR(INDEX(I_COA!$C$6:$C$265,MATCH(D1623,I_COA!$A$6:$A$265,0)),"AKUN BARU"))</f>
        <v>Neraca</v>
      </c>
      <c r="L1623" s="34" t="str">
        <f aca="false">IF(K1623="LabaRugi",INDEX(I_COA!$D$6:$D$265,MATCH(D1623,I_COA!$A$6:$A$265,0)),"")</f>
        <v/>
      </c>
      <c r="M1623" s="34" t="str">
        <f aca="false">IF(K1623="Neraca",INDEX(I_COA!$E$6:$E$265,MATCH(D1623,I_COA!$A$6:$A$265,0)),"")</f>
        <v>Other Payable - Third Parties</v>
      </c>
      <c r="N1623" s="34" t="str">
        <f aca="false">IF(D1623="","",IFERROR(INDEX(I_COA!$G$6:$G$265,MATCH(D1623,I_COA!$A$6:$A$265,0)),"N"))</f>
        <v>N</v>
      </c>
      <c r="O1623" s="11" t="n">
        <f aca="false">IF(N1623="N",ABS(J1623),"")</f>
        <v>16289657.2</v>
      </c>
      <c r="P1623" s="18" t="str">
        <f aca="false">IF(N1623="N",B1623&amp;"|"&amp;ROUND(O1623,0),"")</f>
        <v>PI26080067|16289657</v>
      </c>
      <c r="Q1623" s="18" t="str">
        <f aca="false">IF(N1623&lt;&gt;"Y","",IFERROR(INDEX($D$6:$D$4005,MATCH(B1623&amp;"|"&amp;ROUND(_xlfn.MAXIFS($O$6:$O$4005,$B$6:$B$4005,B1623,$N$6:$N$4005,"N"),0),$P$6:$P$4005,0)),"(tanpa lawan)"))</f>
        <v/>
      </c>
      <c r="R1623" s="44"/>
      <c r="S1623" s="9" t="str">
        <f aca="false">IF(N1623&lt;&gt;"Y","",IF(R1623&lt;&gt;"",R1623,IF(Q1623="(tanpa lawan)","Transfer antar rekening",IFERROR(INDEX(I_COA!$F$6:$F$265,MATCH(Q1623,I_COA!$A$6:$A$265,0)),"?"))))</f>
        <v/>
      </c>
    </row>
    <row r="1624" customFormat="false" ht="15" hidden="false" customHeight="false" outlineLevel="0" collapsed="false">
      <c r="A1624" s="37" t="n">
        <v>46255</v>
      </c>
      <c r="B1624" s="44" t="s">
        <v>1849</v>
      </c>
      <c r="C1624" s="44" t="s">
        <v>707</v>
      </c>
      <c r="D1624" s="44" t="n">
        <v>6100006</v>
      </c>
      <c r="E1624" s="44" t="s">
        <v>717</v>
      </c>
      <c r="F1624" s="44" t="s">
        <v>1850</v>
      </c>
      <c r="G1624" s="42" t="n">
        <v>2500000</v>
      </c>
      <c r="H1624" s="42"/>
      <c r="I1624" s="44" t="s">
        <v>719</v>
      </c>
      <c r="J1624" s="11" t="n">
        <f aca="false">IF(D1624="","",N(G1624)-N(H1624))</f>
        <v>2500000</v>
      </c>
      <c r="K1624" s="34" t="str">
        <f aca="false">IF(D1624="","",IFERROR(INDEX(I_COA!$C$6:$C$265,MATCH(D1624,I_COA!$A$6:$A$265,0)),"AKUN BARU"))</f>
        <v>LabaRugi</v>
      </c>
      <c r="L1624" s="34" t="str">
        <f aca="false">IF(K1624="LabaRugi",INDEX(I_COA!$D$6:$D$265,MATCH(D1624,I_COA!$A$6:$A$265,0)),"")</f>
        <v>Delivery Expenses</v>
      </c>
      <c r="M1624" s="34" t="str">
        <f aca="false">IF(K1624="Neraca",INDEX(I_COA!$E$6:$E$265,MATCH(D1624,I_COA!$A$6:$A$265,0)),"")</f>
        <v/>
      </c>
      <c r="N1624" s="34" t="str">
        <f aca="false">IF(D1624="","",IFERROR(INDEX(I_COA!$G$6:$G$265,MATCH(D1624,I_COA!$A$6:$A$265,0)),"N"))</f>
        <v>N</v>
      </c>
      <c r="O1624" s="11" t="n">
        <f aca="false">IF(N1624="N",ABS(J1624),"")</f>
        <v>2500000</v>
      </c>
      <c r="P1624" s="18" t="str">
        <f aca="false">IF(N1624="N",B1624&amp;"|"&amp;ROUND(O1624,0),"")</f>
        <v>PI26080073|2500000</v>
      </c>
      <c r="Q1624" s="18" t="str">
        <f aca="false">IF(N1624&lt;&gt;"Y","",IFERROR(INDEX($D$6:$D$4005,MATCH(B1624&amp;"|"&amp;ROUND(_xlfn.MAXIFS($O$6:$O$4005,$B$6:$B$4005,B1624,$N$6:$N$4005,"N"),0),$P$6:$P$4005,0)),"(tanpa lawan)"))</f>
        <v/>
      </c>
      <c r="R1624" s="44"/>
      <c r="S1624" s="9" t="str">
        <f aca="false">IF(N1624&lt;&gt;"Y","",IF(R1624&lt;&gt;"",R1624,IF(Q1624="(tanpa lawan)","Transfer antar rekening",IFERROR(INDEX(I_COA!$F$6:$F$265,MATCH(Q1624,I_COA!$A$6:$A$265,0)),"?"))))</f>
        <v/>
      </c>
    </row>
    <row r="1625" customFormat="false" ht="15" hidden="false" customHeight="false" outlineLevel="0" collapsed="false">
      <c r="A1625" s="37" t="n">
        <v>46255</v>
      </c>
      <c r="B1625" s="44" t="s">
        <v>1849</v>
      </c>
      <c r="C1625" s="44" t="s">
        <v>707</v>
      </c>
      <c r="D1625" s="44" t="n">
        <v>1106001</v>
      </c>
      <c r="E1625" s="44" t="s">
        <v>720</v>
      </c>
      <c r="F1625" s="44" t="s">
        <v>721</v>
      </c>
      <c r="G1625" s="42" t="n">
        <v>275000</v>
      </c>
      <c r="H1625" s="42"/>
      <c r="I1625" s="44" t="s">
        <v>719</v>
      </c>
      <c r="J1625" s="11" t="n">
        <f aca="false">IF(D1625="","",N(G1625)-N(H1625))</f>
        <v>275000</v>
      </c>
      <c r="K1625" s="34" t="str">
        <f aca="false">IF(D1625="","",IFERROR(INDEX(I_COA!$C$6:$C$265,MATCH(D1625,I_COA!$A$6:$A$265,0)),"AKUN BARU"))</f>
        <v>Neraca</v>
      </c>
      <c r="L1625" s="34" t="str">
        <f aca="false">IF(K1625="LabaRugi",INDEX(I_COA!$D$6:$D$265,MATCH(D1625,I_COA!$A$6:$A$265,0)),"")</f>
        <v/>
      </c>
      <c r="M1625" s="34" t="str">
        <f aca="false">IF(K1625="Neraca",INDEX(I_COA!$E$6:$E$265,MATCH(D1625,I_COA!$A$6:$A$265,0)),"")</f>
        <v>Prepaid Tax</v>
      </c>
      <c r="N1625" s="34" t="str">
        <f aca="false">IF(D1625="","",IFERROR(INDEX(I_COA!$G$6:$G$265,MATCH(D1625,I_COA!$A$6:$A$265,0)),"N"))</f>
        <v>N</v>
      </c>
      <c r="O1625" s="11" t="n">
        <f aca="false">IF(N1625="N",ABS(J1625),"")</f>
        <v>275000</v>
      </c>
      <c r="P1625" s="18" t="str">
        <f aca="false">IF(N1625="N",B1625&amp;"|"&amp;ROUND(O1625,0),"")</f>
        <v>PI26080073|275000</v>
      </c>
      <c r="Q1625" s="18" t="str">
        <f aca="false">IF(N1625&lt;&gt;"Y","",IFERROR(INDEX($D$6:$D$4005,MATCH(B1625&amp;"|"&amp;ROUND(_xlfn.MAXIFS($O$6:$O$4005,$B$6:$B$4005,B1625,$N$6:$N$4005,"N"),0),$P$6:$P$4005,0)),"(tanpa lawan)"))</f>
        <v/>
      </c>
      <c r="R1625" s="44"/>
      <c r="S1625" s="9" t="str">
        <f aca="false">IF(N1625&lt;&gt;"Y","",IF(R1625&lt;&gt;"",R1625,IF(Q1625="(tanpa lawan)","Transfer antar rekening",IFERROR(INDEX(I_COA!$F$6:$F$265,MATCH(Q1625,I_COA!$A$6:$A$265,0)),"?"))))</f>
        <v/>
      </c>
    </row>
    <row r="1626" customFormat="false" ht="15" hidden="false" customHeight="false" outlineLevel="0" collapsed="false">
      <c r="A1626" s="37" t="n">
        <v>46255</v>
      </c>
      <c r="B1626" s="44" t="s">
        <v>1849</v>
      </c>
      <c r="C1626" s="44" t="s">
        <v>707</v>
      </c>
      <c r="D1626" s="44" t="n">
        <v>2102003</v>
      </c>
      <c r="E1626" s="44" t="s">
        <v>722</v>
      </c>
      <c r="F1626" s="44" t="s">
        <v>1851</v>
      </c>
      <c r="G1626" s="42"/>
      <c r="H1626" s="42" t="n">
        <v>50000</v>
      </c>
      <c r="I1626" s="44" t="s">
        <v>719</v>
      </c>
      <c r="J1626" s="11" t="n">
        <f aca="false">IF(D1626="","",N(G1626)-N(H1626))</f>
        <v>-50000</v>
      </c>
      <c r="K1626" s="34" t="str">
        <f aca="false">IF(D1626="","",IFERROR(INDEX(I_COA!$C$6:$C$265,MATCH(D1626,I_COA!$A$6:$A$265,0)),"AKUN BARU"))</f>
        <v>Neraca</v>
      </c>
      <c r="L1626" s="34" t="str">
        <f aca="false">IF(K1626="LabaRugi",INDEX(I_COA!$D$6:$D$265,MATCH(D1626,I_COA!$A$6:$A$265,0)),"")</f>
        <v/>
      </c>
      <c r="M1626" s="34" t="str">
        <f aca="false">IF(K1626="Neraca",INDEX(I_COA!$E$6:$E$265,MATCH(D1626,I_COA!$A$6:$A$265,0)),"")</f>
        <v>Taxes Payable</v>
      </c>
      <c r="N1626" s="34" t="str">
        <f aca="false">IF(D1626="","",IFERROR(INDEX(I_COA!$G$6:$G$265,MATCH(D1626,I_COA!$A$6:$A$265,0)),"N"))</f>
        <v>N</v>
      </c>
      <c r="O1626" s="11" t="n">
        <f aca="false">IF(N1626="N",ABS(J1626),"")</f>
        <v>50000</v>
      </c>
      <c r="P1626" s="18" t="str">
        <f aca="false">IF(N1626="N",B1626&amp;"|"&amp;ROUND(O1626,0),"")</f>
        <v>PI26080073|50000</v>
      </c>
      <c r="Q1626" s="18" t="str">
        <f aca="false">IF(N1626&lt;&gt;"Y","",IFERROR(INDEX($D$6:$D$4005,MATCH(B1626&amp;"|"&amp;ROUND(_xlfn.MAXIFS($O$6:$O$4005,$B$6:$B$4005,B1626,$N$6:$N$4005,"N"),0),$P$6:$P$4005,0)),"(tanpa lawan)"))</f>
        <v/>
      </c>
      <c r="R1626" s="44"/>
      <c r="S1626" s="9" t="str">
        <f aca="false">IF(N1626&lt;&gt;"Y","",IF(R1626&lt;&gt;"",R1626,IF(Q1626="(tanpa lawan)","Transfer antar rekening",IFERROR(INDEX(I_COA!$F$6:$F$265,MATCH(Q1626,I_COA!$A$6:$A$265,0)),"?"))))</f>
        <v/>
      </c>
    </row>
    <row r="1627" customFormat="false" ht="15" hidden="false" customHeight="false" outlineLevel="0" collapsed="false">
      <c r="A1627" s="37" t="n">
        <v>46255</v>
      </c>
      <c r="B1627" s="44" t="s">
        <v>1849</v>
      </c>
      <c r="C1627" s="44" t="s">
        <v>707</v>
      </c>
      <c r="D1627" s="44" t="n">
        <v>2101003</v>
      </c>
      <c r="E1627" s="44" t="s">
        <v>679</v>
      </c>
      <c r="F1627" s="44" t="s">
        <v>1850</v>
      </c>
      <c r="G1627" s="42"/>
      <c r="H1627" s="42" t="n">
        <v>2725000</v>
      </c>
      <c r="I1627" s="44" t="s">
        <v>719</v>
      </c>
      <c r="J1627" s="11" t="n">
        <f aca="false">IF(D1627="","",N(G1627)-N(H1627))</f>
        <v>-2725000</v>
      </c>
      <c r="K1627" s="34" t="str">
        <f aca="false">IF(D1627="","",IFERROR(INDEX(I_COA!$C$6:$C$265,MATCH(D1627,I_COA!$A$6:$A$265,0)),"AKUN BARU"))</f>
        <v>Neraca</v>
      </c>
      <c r="L1627" s="34" t="str">
        <f aca="false">IF(K1627="LabaRugi",INDEX(I_COA!$D$6:$D$265,MATCH(D1627,I_COA!$A$6:$A$265,0)),"")</f>
        <v/>
      </c>
      <c r="M1627" s="34" t="str">
        <f aca="false">IF(K1627="Neraca",INDEX(I_COA!$E$6:$E$265,MATCH(D1627,I_COA!$A$6:$A$265,0)),"")</f>
        <v>Other Payable - Third Parties</v>
      </c>
      <c r="N1627" s="34" t="str">
        <f aca="false">IF(D1627="","",IFERROR(INDEX(I_COA!$G$6:$G$265,MATCH(D1627,I_COA!$A$6:$A$265,0)),"N"))</f>
        <v>N</v>
      </c>
      <c r="O1627" s="11" t="n">
        <f aca="false">IF(N1627="N",ABS(J1627),"")</f>
        <v>2725000</v>
      </c>
      <c r="P1627" s="18" t="str">
        <f aca="false">IF(N1627="N",B1627&amp;"|"&amp;ROUND(O1627,0),"")</f>
        <v>PI26080073|2725000</v>
      </c>
      <c r="Q1627" s="18" t="str">
        <f aca="false">IF(N1627&lt;&gt;"Y","",IFERROR(INDEX($D$6:$D$4005,MATCH(B1627&amp;"|"&amp;ROUND(_xlfn.MAXIFS($O$6:$O$4005,$B$6:$B$4005,B1627,$N$6:$N$4005,"N"),0),$P$6:$P$4005,0)),"(tanpa lawan)"))</f>
        <v/>
      </c>
      <c r="R1627" s="44"/>
      <c r="S1627" s="9" t="str">
        <f aca="false">IF(N1627&lt;&gt;"Y","",IF(R1627&lt;&gt;"",R1627,IF(Q1627="(tanpa lawan)","Transfer antar rekening",IFERROR(INDEX(I_COA!$F$6:$F$265,MATCH(Q1627,I_COA!$A$6:$A$265,0)),"?"))))</f>
        <v/>
      </c>
    </row>
    <row r="1628" customFormat="false" ht="15" hidden="false" customHeight="false" outlineLevel="0" collapsed="false">
      <c r="A1628" s="37" t="n">
        <v>46255</v>
      </c>
      <c r="B1628" s="44" t="s">
        <v>1852</v>
      </c>
      <c r="C1628" s="44" t="s">
        <v>707</v>
      </c>
      <c r="D1628" s="44" t="n">
        <v>2103011</v>
      </c>
      <c r="E1628" s="44" t="s">
        <v>693</v>
      </c>
      <c r="F1628" s="44" t="s">
        <v>1770</v>
      </c>
      <c r="G1628" s="42" t="n">
        <v>215978820.11</v>
      </c>
      <c r="H1628" s="42"/>
      <c r="I1628" s="44" t="s">
        <v>597</v>
      </c>
      <c r="J1628" s="11" t="n">
        <f aca="false">IF(D1628="","",N(G1628)-N(H1628))</f>
        <v>215978820.11</v>
      </c>
      <c r="K1628" s="34" t="str">
        <f aca="false">IF(D1628="","",IFERROR(INDEX(I_COA!$C$6:$C$265,MATCH(D1628,I_COA!$A$6:$A$265,0)),"AKUN BARU"))</f>
        <v>Neraca</v>
      </c>
      <c r="L1628" s="34" t="str">
        <f aca="false">IF(K1628="LabaRugi",INDEX(I_COA!$D$6:$D$265,MATCH(D1628,I_COA!$A$6:$A$265,0)),"")</f>
        <v/>
      </c>
      <c r="M1628" s="34" t="str">
        <f aca="false">IF(K1628="Neraca",INDEX(I_COA!$E$6:$E$265,MATCH(D1628,I_COA!$A$6:$A$265,0)),"")</f>
        <v>Accrued Expenses - Third Parties</v>
      </c>
      <c r="N1628" s="34" t="str">
        <f aca="false">IF(D1628="","",IFERROR(INDEX(I_COA!$G$6:$G$265,MATCH(D1628,I_COA!$A$6:$A$265,0)),"N"))</f>
        <v>N</v>
      </c>
      <c r="O1628" s="11" t="n">
        <f aca="false">IF(N1628="N",ABS(J1628),"")</f>
        <v>215978820.11</v>
      </c>
      <c r="P1628" s="18" t="str">
        <f aca="false">IF(N1628="N",B1628&amp;"|"&amp;ROUND(O1628,0),"")</f>
        <v>PI26080083|215978820</v>
      </c>
      <c r="Q1628" s="18" t="str">
        <f aca="false">IF(N1628&lt;&gt;"Y","",IFERROR(INDEX($D$6:$D$4005,MATCH(B1628&amp;"|"&amp;ROUND(_xlfn.MAXIFS($O$6:$O$4005,$B$6:$B$4005,B1628,$N$6:$N$4005,"N"),0),$P$6:$P$4005,0)),"(tanpa lawan)"))</f>
        <v/>
      </c>
      <c r="R1628" s="44"/>
      <c r="S1628" s="9" t="str">
        <f aca="false">IF(N1628&lt;&gt;"Y","",IF(R1628&lt;&gt;"",R1628,IF(Q1628="(tanpa lawan)","Transfer antar rekening",IFERROR(INDEX(I_COA!$F$6:$F$265,MATCH(Q1628,I_COA!$A$6:$A$265,0)),"?"))))</f>
        <v/>
      </c>
    </row>
    <row r="1629" customFormat="false" ht="15" hidden="false" customHeight="false" outlineLevel="0" collapsed="false">
      <c r="A1629" s="37" t="n">
        <v>46255</v>
      </c>
      <c r="B1629" s="44" t="s">
        <v>1852</v>
      </c>
      <c r="C1629" s="44" t="s">
        <v>707</v>
      </c>
      <c r="D1629" s="44" t="n">
        <v>5100007</v>
      </c>
      <c r="E1629" s="44" t="s">
        <v>708</v>
      </c>
      <c r="F1629" s="44" t="s">
        <v>1842</v>
      </c>
      <c r="G1629" s="42"/>
      <c r="H1629" s="42" t="n">
        <v>9000000</v>
      </c>
      <c r="I1629" s="44" t="s">
        <v>597</v>
      </c>
      <c r="J1629" s="11" t="n">
        <f aca="false">IF(D1629="","",N(G1629)-N(H1629))</f>
        <v>-9000000</v>
      </c>
      <c r="K1629" s="34" t="str">
        <f aca="false">IF(D1629="","",IFERROR(INDEX(I_COA!$C$6:$C$265,MATCH(D1629,I_COA!$A$6:$A$265,0)),"AKUN BARU"))</f>
        <v>LabaRugi</v>
      </c>
      <c r="L1629" s="34" t="str">
        <f aca="false">IF(K1629="LabaRugi",INDEX(I_COA!$D$6:$D$265,MATCH(D1629,I_COA!$A$6:$A$265,0)),"")</f>
        <v>Other COGS - Expedition</v>
      </c>
      <c r="M1629" s="34" t="str">
        <f aca="false">IF(K1629="Neraca",INDEX(I_COA!$E$6:$E$265,MATCH(D1629,I_COA!$A$6:$A$265,0)),"")</f>
        <v/>
      </c>
      <c r="N1629" s="34" t="str">
        <f aca="false">IF(D1629="","",IFERROR(INDEX(I_COA!$G$6:$G$265,MATCH(D1629,I_COA!$A$6:$A$265,0)),"N"))</f>
        <v>N</v>
      </c>
      <c r="O1629" s="11" t="n">
        <f aca="false">IF(N1629="N",ABS(J1629),"")</f>
        <v>9000000</v>
      </c>
      <c r="P1629" s="18" t="str">
        <f aca="false">IF(N1629="N",B1629&amp;"|"&amp;ROUND(O1629,0),"")</f>
        <v>PI26080083|9000000</v>
      </c>
      <c r="Q1629" s="18" t="str">
        <f aca="false">IF(N1629&lt;&gt;"Y","",IFERROR(INDEX($D$6:$D$4005,MATCH(B1629&amp;"|"&amp;ROUND(_xlfn.MAXIFS($O$6:$O$4005,$B$6:$B$4005,B1629,$N$6:$N$4005,"N"),0),$P$6:$P$4005,0)),"(tanpa lawan)"))</f>
        <v/>
      </c>
      <c r="R1629" s="44"/>
      <c r="S1629" s="9" t="str">
        <f aca="false">IF(N1629&lt;&gt;"Y","",IF(R1629&lt;&gt;"",R1629,IF(Q1629="(tanpa lawan)","Transfer antar rekening",IFERROR(INDEX(I_COA!$F$6:$F$265,MATCH(Q1629,I_COA!$A$6:$A$265,0)),"?"))))</f>
        <v/>
      </c>
    </row>
    <row r="1630" customFormat="false" ht="15" hidden="false" customHeight="false" outlineLevel="0" collapsed="false">
      <c r="A1630" s="37" t="n">
        <v>46255</v>
      </c>
      <c r="B1630" s="44" t="s">
        <v>1852</v>
      </c>
      <c r="C1630" s="44" t="s">
        <v>707</v>
      </c>
      <c r="D1630" s="44" t="n">
        <v>5100006</v>
      </c>
      <c r="E1630" s="44" t="s">
        <v>950</v>
      </c>
      <c r="F1630" s="44" t="s">
        <v>1845</v>
      </c>
      <c r="G1630" s="42"/>
      <c r="H1630" s="42" t="n">
        <v>11685760</v>
      </c>
      <c r="I1630" s="44" t="s">
        <v>597</v>
      </c>
      <c r="J1630" s="11" t="n">
        <f aca="false">IF(D1630="","",N(G1630)-N(H1630))</f>
        <v>-11685760</v>
      </c>
      <c r="K1630" s="34" t="str">
        <f aca="false">IF(D1630="","",IFERROR(INDEX(I_COA!$C$6:$C$265,MATCH(D1630,I_COA!$A$6:$A$265,0)),"AKUN BARU"))</f>
        <v>LabaRugi</v>
      </c>
      <c r="L1630" s="34" t="str">
        <f aca="false">IF(K1630="LabaRugi",INDEX(I_COA!$D$6:$D$265,MATCH(D1630,I_COA!$A$6:$A$265,0)),"")</f>
        <v>COGS - Live Bird</v>
      </c>
      <c r="M1630" s="34" t="str">
        <f aca="false">IF(K1630="Neraca",INDEX(I_COA!$E$6:$E$265,MATCH(D1630,I_COA!$A$6:$A$265,0)),"")</f>
        <v/>
      </c>
      <c r="N1630" s="34" t="str">
        <f aca="false">IF(D1630="","",IFERROR(INDEX(I_COA!$G$6:$G$265,MATCH(D1630,I_COA!$A$6:$A$265,0)),"N"))</f>
        <v>N</v>
      </c>
      <c r="O1630" s="11" t="n">
        <f aca="false">IF(N1630="N",ABS(J1630),"")</f>
        <v>11685760</v>
      </c>
      <c r="P1630" s="18" t="str">
        <f aca="false">IF(N1630="N",B1630&amp;"|"&amp;ROUND(O1630,0),"")</f>
        <v>PI26080083|11685760</v>
      </c>
      <c r="Q1630" s="18" t="str">
        <f aca="false">IF(N1630&lt;&gt;"Y","",IFERROR(INDEX($D$6:$D$4005,MATCH(B1630&amp;"|"&amp;ROUND(_xlfn.MAXIFS($O$6:$O$4005,$B$6:$B$4005,B1630,$N$6:$N$4005,"N"),0),$P$6:$P$4005,0)),"(tanpa lawan)"))</f>
        <v/>
      </c>
      <c r="R1630" s="44"/>
      <c r="S1630" s="9" t="str">
        <f aca="false">IF(N1630&lt;&gt;"Y","",IF(R1630&lt;&gt;"",R1630,IF(Q1630="(tanpa lawan)","Transfer antar rekening",IFERROR(INDEX(I_COA!$F$6:$F$265,MATCH(Q1630,I_COA!$A$6:$A$265,0)),"?"))))</f>
        <v/>
      </c>
    </row>
    <row r="1631" customFormat="false" ht="15" hidden="false" customHeight="false" outlineLevel="0" collapsed="false">
      <c r="A1631" s="37" t="n">
        <v>46255</v>
      </c>
      <c r="B1631" s="44" t="s">
        <v>1852</v>
      </c>
      <c r="C1631" s="44" t="s">
        <v>707</v>
      </c>
      <c r="D1631" s="44" t="n">
        <v>7100008</v>
      </c>
      <c r="E1631" s="44" t="s">
        <v>952</v>
      </c>
      <c r="F1631" s="44" t="s">
        <v>1770</v>
      </c>
      <c r="G1631" s="42"/>
      <c r="H1631" s="42" t="n">
        <v>0.11</v>
      </c>
      <c r="I1631" s="44" t="s">
        <v>597</v>
      </c>
      <c r="J1631" s="11" t="n">
        <f aca="false">IF(D1631="","",N(G1631)-N(H1631))</f>
        <v>-0.11</v>
      </c>
      <c r="K1631" s="34" t="str">
        <f aca="false">IF(D1631="","",IFERROR(INDEX(I_COA!$C$6:$C$265,MATCH(D1631,I_COA!$A$6:$A$265,0)),"AKUN BARU"))</f>
        <v>LabaRugi</v>
      </c>
      <c r="L1631" s="34" t="str">
        <f aca="false">IF(K1631="LabaRugi",INDEX(I_COA!$D$6:$D$265,MATCH(D1631,I_COA!$A$6:$A$265,0)),"")</f>
        <v>Other Income</v>
      </c>
      <c r="M1631" s="34" t="str">
        <f aca="false">IF(K1631="Neraca",INDEX(I_COA!$E$6:$E$265,MATCH(D1631,I_COA!$A$6:$A$265,0)),"")</f>
        <v/>
      </c>
      <c r="N1631" s="34" t="str">
        <f aca="false">IF(D1631="","",IFERROR(INDEX(I_COA!$G$6:$G$265,MATCH(D1631,I_COA!$A$6:$A$265,0)),"N"))</f>
        <v>N</v>
      </c>
      <c r="O1631" s="11" t="n">
        <f aca="false">IF(N1631="N",ABS(J1631),"")</f>
        <v>0.11</v>
      </c>
      <c r="P1631" s="18" t="str">
        <f aca="false">IF(N1631="N",B1631&amp;"|"&amp;ROUND(O1631,0),"")</f>
        <v>PI26080083|0</v>
      </c>
      <c r="Q1631" s="18" t="str">
        <f aca="false">IF(N1631&lt;&gt;"Y","",IFERROR(INDEX($D$6:$D$4005,MATCH(B1631&amp;"|"&amp;ROUND(_xlfn.MAXIFS($O$6:$O$4005,$B$6:$B$4005,B1631,$N$6:$N$4005,"N"),0),$P$6:$P$4005,0)),"(tanpa lawan)"))</f>
        <v/>
      </c>
      <c r="R1631" s="44"/>
      <c r="S1631" s="9" t="str">
        <f aca="false">IF(N1631&lt;&gt;"Y","",IF(R1631&lt;&gt;"",R1631,IF(Q1631="(tanpa lawan)","Transfer antar rekening",IFERROR(INDEX(I_COA!$F$6:$F$265,MATCH(Q1631,I_COA!$A$6:$A$265,0)),"?"))))</f>
        <v/>
      </c>
    </row>
    <row r="1632" customFormat="false" ht="15" hidden="false" customHeight="false" outlineLevel="0" collapsed="false">
      <c r="A1632" s="37" t="n">
        <v>46255</v>
      </c>
      <c r="B1632" s="44" t="s">
        <v>1852</v>
      </c>
      <c r="C1632" s="44" t="s">
        <v>707</v>
      </c>
      <c r="D1632" s="44" t="n">
        <v>7200010</v>
      </c>
      <c r="E1632" s="44" t="s">
        <v>953</v>
      </c>
      <c r="F1632" s="44" t="s">
        <v>1853</v>
      </c>
      <c r="G1632" s="42" t="n">
        <v>488232</v>
      </c>
      <c r="H1632" s="42"/>
      <c r="I1632" s="44" t="s">
        <v>597</v>
      </c>
      <c r="J1632" s="11" t="n">
        <f aca="false">IF(D1632="","",N(G1632)-N(H1632))</f>
        <v>488232</v>
      </c>
      <c r="K1632" s="34" t="str">
        <f aca="false">IF(D1632="","",IFERROR(INDEX(I_COA!$C$6:$C$265,MATCH(D1632,I_COA!$A$6:$A$265,0)),"AKUN BARU"))</f>
        <v>LabaRugi</v>
      </c>
      <c r="L1632" s="34" t="str">
        <f aca="false">IF(K1632="LabaRugi",INDEX(I_COA!$D$6:$D$265,MATCH(D1632,I_COA!$A$6:$A$265,0)),"")</f>
        <v>Tax expenses</v>
      </c>
      <c r="M1632" s="34" t="str">
        <f aca="false">IF(K1632="Neraca",INDEX(I_COA!$E$6:$E$265,MATCH(D1632,I_COA!$A$6:$A$265,0)),"")</f>
        <v/>
      </c>
      <c r="N1632" s="34" t="str">
        <f aca="false">IF(D1632="","",IFERROR(INDEX(I_COA!$G$6:$G$265,MATCH(D1632,I_COA!$A$6:$A$265,0)),"N"))</f>
        <v>N</v>
      </c>
      <c r="O1632" s="11" t="n">
        <f aca="false">IF(N1632="N",ABS(J1632),"")</f>
        <v>488232</v>
      </c>
      <c r="P1632" s="18" t="str">
        <f aca="false">IF(N1632="N",B1632&amp;"|"&amp;ROUND(O1632,0),"")</f>
        <v>PI26080083|488232</v>
      </c>
      <c r="Q1632" s="18" t="str">
        <f aca="false">IF(N1632&lt;&gt;"Y","",IFERROR(INDEX($D$6:$D$4005,MATCH(B1632&amp;"|"&amp;ROUND(_xlfn.MAXIFS($O$6:$O$4005,$B$6:$B$4005,B1632,$N$6:$N$4005,"N"),0),$P$6:$P$4005,0)),"(tanpa lawan)"))</f>
        <v/>
      </c>
      <c r="R1632" s="44"/>
      <c r="S1632" s="9" t="str">
        <f aca="false">IF(N1632&lt;&gt;"Y","",IF(R1632&lt;&gt;"",R1632,IF(Q1632="(tanpa lawan)","Transfer antar rekening",IFERROR(INDEX(I_COA!$F$6:$F$265,MATCH(Q1632,I_COA!$A$6:$A$265,0)),"?"))))</f>
        <v/>
      </c>
    </row>
    <row r="1633" customFormat="false" ht="15" hidden="false" customHeight="false" outlineLevel="0" collapsed="false">
      <c r="A1633" s="37" t="n">
        <v>46255</v>
      </c>
      <c r="B1633" s="44" t="s">
        <v>1852</v>
      </c>
      <c r="C1633" s="44" t="s">
        <v>707</v>
      </c>
      <c r="D1633" s="44" t="n">
        <v>2102007</v>
      </c>
      <c r="E1633" s="44" t="s">
        <v>955</v>
      </c>
      <c r="F1633" s="44" t="s">
        <v>1853</v>
      </c>
      <c r="G1633" s="42"/>
      <c r="H1633" s="42" t="n">
        <v>488232</v>
      </c>
      <c r="I1633" s="44" t="s">
        <v>597</v>
      </c>
      <c r="J1633" s="11" t="n">
        <f aca="false">IF(D1633="","",N(G1633)-N(H1633))</f>
        <v>-488232</v>
      </c>
      <c r="K1633" s="34" t="str">
        <f aca="false">IF(D1633="","",IFERROR(INDEX(I_COA!$C$6:$C$265,MATCH(D1633,I_COA!$A$6:$A$265,0)),"AKUN BARU"))</f>
        <v>Neraca</v>
      </c>
      <c r="L1633" s="34" t="str">
        <f aca="false">IF(K1633="LabaRugi",INDEX(I_COA!$D$6:$D$265,MATCH(D1633,I_COA!$A$6:$A$265,0)),"")</f>
        <v/>
      </c>
      <c r="M1633" s="34" t="str">
        <f aca="false">IF(K1633="Neraca",INDEX(I_COA!$E$6:$E$265,MATCH(D1633,I_COA!$A$6:$A$265,0)),"")</f>
        <v>Taxes Payable</v>
      </c>
      <c r="N1633" s="34" t="str">
        <f aca="false">IF(D1633="","",IFERROR(INDEX(I_COA!$G$6:$G$265,MATCH(D1633,I_COA!$A$6:$A$265,0)),"N"))</f>
        <v>N</v>
      </c>
      <c r="O1633" s="11" t="n">
        <f aca="false">IF(N1633="N",ABS(J1633),"")</f>
        <v>488232</v>
      </c>
      <c r="P1633" s="18" t="str">
        <f aca="false">IF(N1633="N",B1633&amp;"|"&amp;ROUND(O1633,0),"")</f>
        <v>PI26080083|488232</v>
      </c>
      <c r="Q1633" s="18" t="str">
        <f aca="false">IF(N1633&lt;&gt;"Y","",IFERROR(INDEX($D$6:$D$4005,MATCH(B1633&amp;"|"&amp;ROUND(_xlfn.MAXIFS($O$6:$O$4005,$B$6:$B$4005,B1633,$N$6:$N$4005,"N"),0),$P$6:$P$4005,0)),"(tanpa lawan)"))</f>
        <v/>
      </c>
      <c r="R1633" s="44"/>
      <c r="S1633" s="9" t="str">
        <f aca="false">IF(N1633&lt;&gt;"Y","",IF(R1633&lt;&gt;"",R1633,IF(Q1633="(tanpa lawan)","Transfer antar rekening",IFERROR(INDEX(I_COA!$F$6:$F$265,MATCH(Q1633,I_COA!$A$6:$A$265,0)),"?"))))</f>
        <v/>
      </c>
    </row>
    <row r="1634" customFormat="false" ht="15" hidden="false" customHeight="false" outlineLevel="0" collapsed="false">
      <c r="A1634" s="37" t="n">
        <v>46255</v>
      </c>
      <c r="B1634" s="44" t="s">
        <v>1852</v>
      </c>
      <c r="C1634" s="44" t="s">
        <v>707</v>
      </c>
      <c r="D1634" s="44" t="n">
        <v>2101001</v>
      </c>
      <c r="E1634" s="44" t="s">
        <v>595</v>
      </c>
      <c r="F1634" s="44" t="s">
        <v>1770</v>
      </c>
      <c r="G1634" s="42"/>
      <c r="H1634" s="42" t="n">
        <v>195293060</v>
      </c>
      <c r="I1634" s="44" t="s">
        <v>597</v>
      </c>
      <c r="J1634" s="11" t="n">
        <f aca="false">IF(D1634="","",N(G1634)-N(H1634))</f>
        <v>-195293060</v>
      </c>
      <c r="K1634" s="34" t="str">
        <f aca="false">IF(D1634="","",IFERROR(INDEX(I_COA!$C$6:$C$265,MATCH(D1634,I_COA!$A$6:$A$265,0)),"AKUN BARU"))</f>
        <v>Neraca</v>
      </c>
      <c r="L1634" s="34" t="str">
        <f aca="false">IF(K1634="LabaRugi",INDEX(I_COA!$D$6:$D$265,MATCH(D1634,I_COA!$A$6:$A$265,0)),"")</f>
        <v/>
      </c>
      <c r="M1634" s="34" t="str">
        <f aca="false">IF(K1634="Neraca",INDEX(I_COA!$E$6:$E$265,MATCH(D1634,I_COA!$A$6:$A$265,0)),"")</f>
        <v>Trade Payables - Third Parties</v>
      </c>
      <c r="N1634" s="34" t="str">
        <f aca="false">IF(D1634="","",IFERROR(INDEX(I_COA!$G$6:$G$265,MATCH(D1634,I_COA!$A$6:$A$265,0)),"N"))</f>
        <v>N</v>
      </c>
      <c r="O1634" s="11" t="n">
        <f aca="false">IF(N1634="N",ABS(J1634),"")</f>
        <v>195293060</v>
      </c>
      <c r="P1634" s="18" t="str">
        <f aca="false">IF(N1634="N",B1634&amp;"|"&amp;ROUND(O1634,0),"")</f>
        <v>PI26080083|195293060</v>
      </c>
      <c r="Q1634" s="18" t="str">
        <f aca="false">IF(N1634&lt;&gt;"Y","",IFERROR(INDEX($D$6:$D$4005,MATCH(B1634&amp;"|"&amp;ROUND(_xlfn.MAXIFS($O$6:$O$4005,$B$6:$B$4005,B1634,$N$6:$N$4005,"N"),0),$P$6:$P$4005,0)),"(tanpa lawan)"))</f>
        <v/>
      </c>
      <c r="R1634" s="44"/>
      <c r="S1634" s="9" t="str">
        <f aca="false">IF(N1634&lt;&gt;"Y","",IF(R1634&lt;&gt;"",R1634,IF(Q1634="(tanpa lawan)","Transfer antar rekening",IFERROR(INDEX(I_COA!$F$6:$F$265,MATCH(Q1634,I_COA!$A$6:$A$265,0)),"?"))))</f>
        <v/>
      </c>
    </row>
    <row r="1635" customFormat="false" ht="15" hidden="false" customHeight="false" outlineLevel="0" collapsed="false">
      <c r="A1635" s="37" t="n">
        <v>46256</v>
      </c>
      <c r="B1635" s="44" t="s">
        <v>1854</v>
      </c>
      <c r="C1635" s="44" t="s">
        <v>585</v>
      </c>
      <c r="D1635" s="44" t="n">
        <v>1102001</v>
      </c>
      <c r="E1635" s="44" t="s">
        <v>586</v>
      </c>
      <c r="F1635" s="44" t="s">
        <v>1855</v>
      </c>
      <c r="G1635" s="42" t="n">
        <v>77598040</v>
      </c>
      <c r="H1635" s="42"/>
      <c r="I1635" s="44" t="s">
        <v>774</v>
      </c>
      <c r="J1635" s="11" t="n">
        <f aca="false">IF(D1635="","",N(G1635)-N(H1635))</f>
        <v>77598040</v>
      </c>
      <c r="K1635" s="34" t="str">
        <f aca="false">IF(D1635="","",IFERROR(INDEX(I_COA!$C$6:$C$265,MATCH(D1635,I_COA!$A$6:$A$265,0)),"AKUN BARU"))</f>
        <v>Neraca</v>
      </c>
      <c r="L1635" s="34" t="str">
        <f aca="false">IF(K1635="LabaRugi",INDEX(I_COA!$D$6:$D$265,MATCH(D1635,I_COA!$A$6:$A$265,0)),"")</f>
        <v/>
      </c>
      <c r="M1635" s="34" t="str">
        <f aca="false">IF(K1635="Neraca",INDEX(I_COA!$E$6:$E$265,MATCH(D1635,I_COA!$A$6:$A$265,0)),"")</f>
        <v>Cash and cash equivalents</v>
      </c>
      <c r="N1635" s="34" t="str">
        <f aca="false">IF(D1635="","",IFERROR(INDEX(I_COA!$G$6:$G$265,MATCH(D1635,I_COA!$A$6:$A$265,0)),"N"))</f>
        <v>Y</v>
      </c>
      <c r="O1635" s="11" t="str">
        <f aca="false">IF(N1635="N",ABS(J1635),"")</f>
        <v/>
      </c>
      <c r="P1635" s="18" t="str">
        <f aca="false">IF(N1635="N",B1635&amp;"|"&amp;ROUND(O1635,0),"")</f>
        <v/>
      </c>
      <c r="Q1635" s="18" t="n">
        <f aca="false">IF(N1635&lt;&gt;"Y","",IFERROR(INDEX($D$6:$D$4005,MATCH(B1635&amp;"|"&amp;ROUND(_xlfn.MAXIFS($O$6:$O$4005,$B$6:$B$4005,B1635,$N$6:$N$4005,"N"),0),$P$6:$P$4005,0)),"(tanpa lawan)"))</f>
        <v>1103101</v>
      </c>
      <c r="R1635" s="44"/>
      <c r="S1635" s="9" t="str">
        <f aca="false">IF(N1635&lt;&gt;"Y","",IF(R1635&lt;&gt;"",R1635,IF(Q1635="(tanpa lawan)","Transfer antar rekening",IFERROR(INDEX(I_COA!$F$6:$F$265,MATCH(Q1635,I_COA!$A$6:$A$265,0)),"?"))))</f>
        <v>Penerimaan dari pelanggan</v>
      </c>
    </row>
    <row r="1636" customFormat="false" ht="15" hidden="false" customHeight="false" outlineLevel="0" collapsed="false">
      <c r="A1636" s="37" t="n">
        <v>46256</v>
      </c>
      <c r="B1636" s="44" t="s">
        <v>1854</v>
      </c>
      <c r="C1636" s="44" t="s">
        <v>585</v>
      </c>
      <c r="D1636" s="44" t="n">
        <v>7200008</v>
      </c>
      <c r="E1636" s="44" t="s">
        <v>683</v>
      </c>
      <c r="F1636" s="44" t="s">
        <v>1855</v>
      </c>
      <c r="G1636" s="42" t="n">
        <v>1650</v>
      </c>
      <c r="H1636" s="42"/>
      <c r="I1636" s="44" t="s">
        <v>774</v>
      </c>
      <c r="J1636" s="11" t="n">
        <f aca="false">IF(D1636="","",N(G1636)-N(H1636))</f>
        <v>1650</v>
      </c>
      <c r="K1636" s="34" t="str">
        <f aca="false">IF(D1636="","",IFERROR(INDEX(I_COA!$C$6:$C$265,MATCH(D1636,I_COA!$A$6:$A$265,0)),"AKUN BARU"))</f>
        <v>LabaRugi</v>
      </c>
      <c r="L1636" s="34" t="str">
        <f aca="false">IF(K1636="LabaRugi",INDEX(I_COA!$D$6:$D$265,MATCH(D1636,I_COA!$A$6:$A$265,0)),"")</f>
        <v>Other Expense</v>
      </c>
      <c r="M1636" s="34" t="str">
        <f aca="false">IF(K1636="Neraca",INDEX(I_COA!$E$6:$E$265,MATCH(D1636,I_COA!$A$6:$A$265,0)),"")</f>
        <v/>
      </c>
      <c r="N1636" s="34" t="str">
        <f aca="false">IF(D1636="","",IFERROR(INDEX(I_COA!$G$6:$G$265,MATCH(D1636,I_COA!$A$6:$A$265,0)),"N"))</f>
        <v>N</v>
      </c>
      <c r="O1636" s="11" t="n">
        <f aca="false">IF(N1636="N",ABS(J1636),"")</f>
        <v>1650</v>
      </c>
      <c r="P1636" s="18" t="str">
        <f aca="false">IF(N1636="N",B1636&amp;"|"&amp;ROUND(O1636,0),"")</f>
        <v>B76260800101|1650</v>
      </c>
      <c r="Q1636" s="18" t="str">
        <f aca="false">IF(N1636&lt;&gt;"Y","",IFERROR(INDEX($D$6:$D$4005,MATCH(B1636&amp;"|"&amp;ROUND(_xlfn.MAXIFS($O$6:$O$4005,$B$6:$B$4005,B1636,$N$6:$N$4005,"N"),0),$P$6:$P$4005,0)),"(tanpa lawan)"))</f>
        <v/>
      </c>
      <c r="R1636" s="44"/>
      <c r="S1636" s="9" t="str">
        <f aca="false">IF(N1636&lt;&gt;"Y","",IF(R1636&lt;&gt;"",R1636,IF(Q1636="(tanpa lawan)","Transfer antar rekening",IFERROR(INDEX(I_COA!$F$6:$F$265,MATCH(Q1636,I_COA!$A$6:$A$265,0)),"?"))))</f>
        <v/>
      </c>
    </row>
    <row r="1637" customFormat="false" ht="15" hidden="false" customHeight="false" outlineLevel="0" collapsed="false">
      <c r="A1637" s="37" t="n">
        <v>46256</v>
      </c>
      <c r="B1637" s="44" t="s">
        <v>1854</v>
      </c>
      <c r="C1637" s="44" t="s">
        <v>585</v>
      </c>
      <c r="D1637" s="44" t="n">
        <v>1103101</v>
      </c>
      <c r="E1637" s="44" t="s">
        <v>589</v>
      </c>
      <c r="F1637" s="44" t="s">
        <v>1855</v>
      </c>
      <c r="G1637" s="42"/>
      <c r="H1637" s="42" t="n">
        <v>77599690</v>
      </c>
      <c r="I1637" s="44" t="s">
        <v>774</v>
      </c>
      <c r="J1637" s="11" t="n">
        <f aca="false">IF(D1637="","",N(G1637)-N(H1637))</f>
        <v>-77599690</v>
      </c>
      <c r="K1637" s="34" t="str">
        <f aca="false">IF(D1637="","",IFERROR(INDEX(I_COA!$C$6:$C$265,MATCH(D1637,I_COA!$A$6:$A$265,0)),"AKUN BARU"))</f>
        <v>Neraca</v>
      </c>
      <c r="L1637" s="34" t="str">
        <f aca="false">IF(K1637="LabaRugi",INDEX(I_COA!$D$6:$D$265,MATCH(D1637,I_COA!$A$6:$A$265,0)),"")</f>
        <v/>
      </c>
      <c r="M1637" s="34" t="str">
        <f aca="false">IF(K1637="Neraca",INDEX(I_COA!$E$6:$E$265,MATCH(D1637,I_COA!$A$6:$A$265,0)),"")</f>
        <v>Trade Receivables - Third Parties</v>
      </c>
      <c r="N1637" s="34" t="str">
        <f aca="false">IF(D1637="","",IFERROR(INDEX(I_COA!$G$6:$G$265,MATCH(D1637,I_COA!$A$6:$A$265,0)),"N"))</f>
        <v>N</v>
      </c>
      <c r="O1637" s="11" t="n">
        <f aca="false">IF(N1637="N",ABS(J1637),"")</f>
        <v>77599690</v>
      </c>
      <c r="P1637" s="18" t="str">
        <f aca="false">IF(N1637="N",B1637&amp;"|"&amp;ROUND(O1637,0),"")</f>
        <v>B76260800101|77599690</v>
      </c>
      <c r="Q1637" s="18" t="str">
        <f aca="false">IF(N1637&lt;&gt;"Y","",IFERROR(INDEX($D$6:$D$4005,MATCH(B1637&amp;"|"&amp;ROUND(_xlfn.MAXIFS($O$6:$O$4005,$B$6:$B$4005,B1637,$N$6:$N$4005,"N"),0),$P$6:$P$4005,0)),"(tanpa lawan)"))</f>
        <v/>
      </c>
      <c r="R1637" s="44"/>
      <c r="S1637" s="9" t="str">
        <f aca="false">IF(N1637&lt;&gt;"Y","",IF(R1637&lt;&gt;"",R1637,IF(Q1637="(tanpa lawan)","Transfer antar rekening",IFERROR(INDEX(I_COA!$F$6:$F$265,MATCH(Q1637,I_COA!$A$6:$A$265,0)),"?"))))</f>
        <v/>
      </c>
    </row>
    <row r="1638" customFormat="false" ht="15" hidden="false" customHeight="false" outlineLevel="0" collapsed="false">
      <c r="A1638" s="37" t="n">
        <v>46256</v>
      </c>
      <c r="B1638" s="44" t="s">
        <v>1856</v>
      </c>
      <c r="C1638" s="44" t="s">
        <v>585</v>
      </c>
      <c r="D1638" s="44" t="n">
        <v>1102001</v>
      </c>
      <c r="E1638" s="44" t="s">
        <v>586</v>
      </c>
      <c r="F1638" s="44" t="s">
        <v>1857</v>
      </c>
      <c r="G1638" s="42" t="n">
        <v>57858750</v>
      </c>
      <c r="H1638" s="42"/>
      <c r="I1638" s="44" t="s">
        <v>774</v>
      </c>
      <c r="J1638" s="11" t="n">
        <f aca="false">IF(D1638="","",N(G1638)-N(H1638))</f>
        <v>57858750</v>
      </c>
      <c r="K1638" s="34" t="str">
        <f aca="false">IF(D1638="","",IFERROR(INDEX(I_COA!$C$6:$C$265,MATCH(D1638,I_COA!$A$6:$A$265,0)),"AKUN BARU"))</f>
        <v>Neraca</v>
      </c>
      <c r="L1638" s="34" t="str">
        <f aca="false">IF(K1638="LabaRugi",INDEX(I_COA!$D$6:$D$265,MATCH(D1638,I_COA!$A$6:$A$265,0)),"")</f>
        <v/>
      </c>
      <c r="M1638" s="34" t="str">
        <f aca="false">IF(K1638="Neraca",INDEX(I_COA!$E$6:$E$265,MATCH(D1638,I_COA!$A$6:$A$265,0)),"")</f>
        <v>Cash and cash equivalents</v>
      </c>
      <c r="N1638" s="34" t="str">
        <f aca="false">IF(D1638="","",IFERROR(INDEX(I_COA!$G$6:$G$265,MATCH(D1638,I_COA!$A$6:$A$265,0)),"N"))</f>
        <v>Y</v>
      </c>
      <c r="O1638" s="11" t="str">
        <f aca="false">IF(N1638="N",ABS(J1638),"")</f>
        <v/>
      </c>
      <c r="P1638" s="18" t="str">
        <f aca="false">IF(N1638="N",B1638&amp;"|"&amp;ROUND(O1638,0),"")</f>
        <v/>
      </c>
      <c r="Q1638" s="18" t="n">
        <f aca="false">IF(N1638&lt;&gt;"Y","",IFERROR(INDEX($D$6:$D$4005,MATCH(B1638&amp;"|"&amp;ROUND(_xlfn.MAXIFS($O$6:$O$4005,$B$6:$B$4005,B1638,$N$6:$N$4005,"N"),0),$P$6:$P$4005,0)),"(tanpa lawan)"))</f>
        <v>1103101</v>
      </c>
      <c r="R1638" s="44"/>
      <c r="S1638" s="9" t="str">
        <f aca="false">IF(N1638&lt;&gt;"Y","",IF(R1638&lt;&gt;"",R1638,IF(Q1638="(tanpa lawan)","Transfer antar rekening",IFERROR(INDEX(I_COA!$F$6:$F$265,MATCH(Q1638,I_COA!$A$6:$A$265,0)),"?"))))</f>
        <v>Penerimaan dari pelanggan</v>
      </c>
    </row>
    <row r="1639" customFormat="false" ht="15" hidden="false" customHeight="false" outlineLevel="0" collapsed="false">
      <c r="A1639" s="37" t="n">
        <v>46256</v>
      </c>
      <c r="B1639" s="44" t="s">
        <v>1856</v>
      </c>
      <c r="C1639" s="44" t="s">
        <v>585</v>
      </c>
      <c r="D1639" s="44" t="n">
        <v>1103101</v>
      </c>
      <c r="E1639" s="44" t="s">
        <v>589</v>
      </c>
      <c r="F1639" s="44" t="s">
        <v>1857</v>
      </c>
      <c r="G1639" s="42"/>
      <c r="H1639" s="42" t="n">
        <v>57858750</v>
      </c>
      <c r="I1639" s="44" t="s">
        <v>774</v>
      </c>
      <c r="J1639" s="11" t="n">
        <f aca="false">IF(D1639="","",N(G1639)-N(H1639))</f>
        <v>-57858750</v>
      </c>
      <c r="K1639" s="34" t="str">
        <f aca="false">IF(D1639="","",IFERROR(INDEX(I_COA!$C$6:$C$265,MATCH(D1639,I_COA!$A$6:$A$265,0)),"AKUN BARU"))</f>
        <v>Neraca</v>
      </c>
      <c r="L1639" s="34" t="str">
        <f aca="false">IF(K1639="LabaRugi",INDEX(I_COA!$D$6:$D$265,MATCH(D1639,I_COA!$A$6:$A$265,0)),"")</f>
        <v/>
      </c>
      <c r="M1639" s="34" t="str">
        <f aca="false">IF(K1639="Neraca",INDEX(I_COA!$E$6:$E$265,MATCH(D1639,I_COA!$A$6:$A$265,0)),"")</f>
        <v>Trade Receivables - Third Parties</v>
      </c>
      <c r="N1639" s="34" t="str">
        <f aca="false">IF(D1639="","",IFERROR(INDEX(I_COA!$G$6:$G$265,MATCH(D1639,I_COA!$A$6:$A$265,0)),"N"))</f>
        <v>N</v>
      </c>
      <c r="O1639" s="11" t="n">
        <f aca="false">IF(N1639="N",ABS(J1639),"")</f>
        <v>57858750</v>
      </c>
      <c r="P1639" s="18" t="str">
        <f aca="false">IF(N1639="N",B1639&amp;"|"&amp;ROUND(O1639,0),"")</f>
        <v>B7626080100|57858750</v>
      </c>
      <c r="Q1639" s="18" t="str">
        <f aca="false">IF(N1639&lt;&gt;"Y","",IFERROR(INDEX($D$6:$D$4005,MATCH(B1639&amp;"|"&amp;ROUND(_xlfn.MAXIFS($O$6:$O$4005,$B$6:$B$4005,B1639,$N$6:$N$4005,"N"),0),$P$6:$P$4005,0)),"(tanpa lawan)"))</f>
        <v/>
      </c>
      <c r="R1639" s="44"/>
      <c r="S1639" s="9" t="str">
        <f aca="false">IF(N1639&lt;&gt;"Y","",IF(R1639&lt;&gt;"",R1639,IF(Q1639="(tanpa lawan)","Transfer antar rekening",IFERROR(INDEX(I_COA!$F$6:$F$265,MATCH(Q1639,I_COA!$A$6:$A$265,0)),"?"))))</f>
        <v/>
      </c>
    </row>
    <row r="1640" customFormat="false" ht="15" hidden="false" customHeight="false" outlineLevel="0" collapsed="false">
      <c r="A1640" s="37" t="n">
        <v>46256</v>
      </c>
      <c r="B1640" s="44" t="s">
        <v>1858</v>
      </c>
      <c r="C1640" s="44" t="s">
        <v>585</v>
      </c>
      <c r="D1640" s="44" t="n">
        <v>1102001</v>
      </c>
      <c r="E1640" s="44" t="s">
        <v>586</v>
      </c>
      <c r="F1640" s="44" t="s">
        <v>1859</v>
      </c>
      <c r="G1640" s="42" t="n">
        <v>40796000</v>
      </c>
      <c r="H1640" s="42"/>
      <c r="I1640" s="44" t="s">
        <v>465</v>
      </c>
      <c r="J1640" s="11" t="n">
        <f aca="false">IF(D1640="","",N(G1640)-N(H1640))</f>
        <v>40796000</v>
      </c>
      <c r="K1640" s="34" t="str">
        <f aca="false">IF(D1640="","",IFERROR(INDEX(I_COA!$C$6:$C$265,MATCH(D1640,I_COA!$A$6:$A$265,0)),"AKUN BARU"))</f>
        <v>Neraca</v>
      </c>
      <c r="L1640" s="34" t="str">
        <f aca="false">IF(K1640="LabaRugi",INDEX(I_COA!$D$6:$D$265,MATCH(D1640,I_COA!$A$6:$A$265,0)),"")</f>
        <v/>
      </c>
      <c r="M1640" s="34" t="str">
        <f aca="false">IF(K1640="Neraca",INDEX(I_COA!$E$6:$E$265,MATCH(D1640,I_COA!$A$6:$A$265,0)),"")</f>
        <v>Cash and cash equivalents</v>
      </c>
      <c r="N1640" s="34" t="str">
        <f aca="false">IF(D1640="","",IFERROR(INDEX(I_COA!$G$6:$G$265,MATCH(D1640,I_COA!$A$6:$A$265,0)),"N"))</f>
        <v>Y</v>
      </c>
      <c r="O1640" s="11" t="str">
        <f aca="false">IF(N1640="N",ABS(J1640),"")</f>
        <v/>
      </c>
      <c r="P1640" s="18" t="str">
        <f aca="false">IF(N1640="N",B1640&amp;"|"&amp;ROUND(O1640,0),"")</f>
        <v/>
      </c>
      <c r="Q1640" s="18" t="n">
        <f aca="false">IF(N1640&lt;&gt;"Y","",IFERROR(INDEX($D$6:$D$4005,MATCH(B1640&amp;"|"&amp;ROUND(_xlfn.MAXIFS($O$6:$O$4005,$B$6:$B$4005,B1640,$N$6:$N$4005,"N"),0),$P$6:$P$4005,0)),"(tanpa lawan)"))</f>
        <v>1103101</v>
      </c>
      <c r="R1640" s="44"/>
      <c r="S1640" s="9" t="str">
        <f aca="false">IF(N1640&lt;&gt;"Y","",IF(R1640&lt;&gt;"",R1640,IF(Q1640="(tanpa lawan)","Transfer antar rekening",IFERROR(INDEX(I_COA!$F$6:$F$265,MATCH(Q1640,I_COA!$A$6:$A$265,0)),"?"))))</f>
        <v>Penerimaan dari pelanggan</v>
      </c>
    </row>
    <row r="1641" customFormat="false" ht="15" hidden="false" customHeight="false" outlineLevel="0" collapsed="false">
      <c r="A1641" s="37" t="n">
        <v>46256</v>
      </c>
      <c r="B1641" s="44" t="s">
        <v>1858</v>
      </c>
      <c r="C1641" s="44" t="s">
        <v>585</v>
      </c>
      <c r="D1641" s="44" t="n">
        <v>1103101</v>
      </c>
      <c r="E1641" s="44" t="s">
        <v>589</v>
      </c>
      <c r="F1641" s="44" t="s">
        <v>1859</v>
      </c>
      <c r="G1641" s="42"/>
      <c r="H1641" s="42" t="n">
        <v>40796000</v>
      </c>
      <c r="I1641" s="44" t="s">
        <v>465</v>
      </c>
      <c r="J1641" s="11" t="n">
        <f aca="false">IF(D1641="","",N(G1641)-N(H1641))</f>
        <v>-40796000</v>
      </c>
      <c r="K1641" s="34" t="str">
        <f aca="false">IF(D1641="","",IFERROR(INDEX(I_COA!$C$6:$C$265,MATCH(D1641,I_COA!$A$6:$A$265,0)),"AKUN BARU"))</f>
        <v>Neraca</v>
      </c>
      <c r="L1641" s="34" t="str">
        <f aca="false">IF(K1641="LabaRugi",INDEX(I_COA!$D$6:$D$265,MATCH(D1641,I_COA!$A$6:$A$265,0)),"")</f>
        <v/>
      </c>
      <c r="M1641" s="34" t="str">
        <f aca="false">IF(K1641="Neraca",INDEX(I_COA!$E$6:$E$265,MATCH(D1641,I_COA!$A$6:$A$265,0)),"")</f>
        <v>Trade Receivables - Third Parties</v>
      </c>
      <c r="N1641" s="34" t="str">
        <f aca="false">IF(D1641="","",IFERROR(INDEX(I_COA!$G$6:$G$265,MATCH(D1641,I_COA!$A$6:$A$265,0)),"N"))</f>
        <v>N</v>
      </c>
      <c r="O1641" s="11" t="n">
        <f aca="false">IF(N1641="N",ABS(J1641),"")</f>
        <v>40796000</v>
      </c>
      <c r="P1641" s="18" t="str">
        <f aca="false">IF(N1641="N",B1641&amp;"|"&amp;ROUND(O1641,0),"")</f>
        <v>B7626080102|40796000</v>
      </c>
      <c r="Q1641" s="18" t="str">
        <f aca="false">IF(N1641&lt;&gt;"Y","",IFERROR(INDEX($D$6:$D$4005,MATCH(B1641&amp;"|"&amp;ROUND(_xlfn.MAXIFS($O$6:$O$4005,$B$6:$B$4005,B1641,$N$6:$N$4005,"N"),0),$P$6:$P$4005,0)),"(tanpa lawan)"))</f>
        <v/>
      </c>
      <c r="R1641" s="44"/>
      <c r="S1641" s="9" t="str">
        <f aca="false">IF(N1641&lt;&gt;"Y","",IF(R1641&lt;&gt;"",R1641,IF(Q1641="(tanpa lawan)","Transfer antar rekening",IFERROR(INDEX(I_COA!$F$6:$F$265,MATCH(Q1641,I_COA!$A$6:$A$265,0)),"?"))))</f>
        <v/>
      </c>
    </row>
    <row r="1642" customFormat="false" ht="15" hidden="false" customHeight="false" outlineLevel="0" collapsed="false">
      <c r="A1642" s="37" t="n">
        <v>46256</v>
      </c>
      <c r="B1642" s="44" t="s">
        <v>1860</v>
      </c>
      <c r="C1642" s="44" t="s">
        <v>580</v>
      </c>
      <c r="D1642" s="44" t="n">
        <v>1102001</v>
      </c>
      <c r="E1642" s="44" t="s">
        <v>586</v>
      </c>
      <c r="F1642" s="44" t="s">
        <v>1861</v>
      </c>
      <c r="G1642" s="42" t="n">
        <v>20989500</v>
      </c>
      <c r="H1642" s="42"/>
      <c r="I1642" s="44"/>
      <c r="J1642" s="11" t="n">
        <f aca="false">IF(D1642="","",N(G1642)-N(H1642))</f>
        <v>20989500</v>
      </c>
      <c r="K1642" s="34" t="str">
        <f aca="false">IF(D1642="","",IFERROR(INDEX(I_COA!$C$6:$C$265,MATCH(D1642,I_COA!$A$6:$A$265,0)),"AKUN BARU"))</f>
        <v>Neraca</v>
      </c>
      <c r="L1642" s="34" t="str">
        <f aca="false">IF(K1642="LabaRugi",INDEX(I_COA!$D$6:$D$265,MATCH(D1642,I_COA!$A$6:$A$265,0)),"")</f>
        <v/>
      </c>
      <c r="M1642" s="34" t="str">
        <f aca="false">IF(K1642="Neraca",INDEX(I_COA!$E$6:$E$265,MATCH(D1642,I_COA!$A$6:$A$265,0)),"")</f>
        <v>Cash and cash equivalents</v>
      </c>
      <c r="N1642" s="34" t="str">
        <f aca="false">IF(D1642="","",IFERROR(INDEX(I_COA!$G$6:$G$265,MATCH(D1642,I_COA!$A$6:$A$265,0)),"N"))</f>
        <v>Y</v>
      </c>
      <c r="O1642" s="11" t="str">
        <f aca="false">IF(N1642="N",ABS(J1642),"")</f>
        <v/>
      </c>
      <c r="P1642" s="18" t="str">
        <f aca="false">IF(N1642="N",B1642&amp;"|"&amp;ROUND(O1642,0),"")</f>
        <v/>
      </c>
      <c r="Q1642" s="18" t="n">
        <f aca="false">IF(N1642&lt;&gt;"Y","",IFERROR(INDEX($D$6:$D$4005,MATCH(B1642&amp;"|"&amp;ROUND(_xlfn.MAXIFS($O$6:$O$4005,$B$6:$B$4005,B1642,$N$6:$N$4005,"N"),0),$P$6:$P$4005,0)),"(tanpa lawan)"))</f>
        <v>2101020</v>
      </c>
      <c r="R1642" s="44"/>
      <c r="S1642" s="9" t="str">
        <f aca="false">IF(N1642&lt;&gt;"Y","",IF(R1642&lt;&gt;"",R1642,IF(Q1642="(tanpa lawan)","Transfer antar rekening",IFERROR(INDEX(I_COA!$F$6:$F$265,MATCH(Q1642,I_COA!$A$6:$A$265,0)),"?"))))</f>
        <v>Penerimaan dari pelanggan</v>
      </c>
    </row>
    <row r="1643" customFormat="false" ht="15" hidden="false" customHeight="false" outlineLevel="0" collapsed="false">
      <c r="A1643" s="37" t="n">
        <v>46256</v>
      </c>
      <c r="B1643" s="44" t="s">
        <v>1860</v>
      </c>
      <c r="C1643" s="44" t="s">
        <v>580</v>
      </c>
      <c r="D1643" s="44" t="n">
        <v>2101020</v>
      </c>
      <c r="E1643" s="44" t="s">
        <v>653</v>
      </c>
      <c r="F1643" s="44" t="s">
        <v>1861</v>
      </c>
      <c r="G1643" s="42"/>
      <c r="H1643" s="42" t="n">
        <v>20989500</v>
      </c>
      <c r="I1643" s="44" t="s">
        <v>432</v>
      </c>
      <c r="J1643" s="11" t="n">
        <f aca="false">IF(D1643="","",N(G1643)-N(H1643))</f>
        <v>-20989500</v>
      </c>
      <c r="K1643" s="34" t="str">
        <f aca="false">IF(D1643="","",IFERROR(INDEX(I_COA!$C$6:$C$265,MATCH(D1643,I_COA!$A$6:$A$265,0)),"AKUN BARU"))</f>
        <v>Neraca</v>
      </c>
      <c r="L1643" s="34" t="str">
        <f aca="false">IF(K1643="LabaRugi",INDEX(I_COA!$D$6:$D$265,MATCH(D1643,I_COA!$A$6:$A$265,0)),"")</f>
        <v/>
      </c>
      <c r="M1643" s="34" t="str">
        <f aca="false">IF(K1643="Neraca",INDEX(I_COA!$E$6:$E$265,MATCH(D1643,I_COA!$A$6:$A$265,0)),"")</f>
        <v>Unearned Revenue</v>
      </c>
      <c r="N1643" s="34" t="str">
        <f aca="false">IF(D1643="","",IFERROR(INDEX(I_COA!$G$6:$G$265,MATCH(D1643,I_COA!$A$6:$A$265,0)),"N"))</f>
        <v>N</v>
      </c>
      <c r="O1643" s="11" t="n">
        <f aca="false">IF(N1643="N",ABS(J1643),"")</f>
        <v>20989500</v>
      </c>
      <c r="P1643" s="18" t="str">
        <f aca="false">IF(N1643="N",B1643&amp;"|"&amp;ROUND(O1643,0),"")</f>
        <v>B7626080103|20989500</v>
      </c>
      <c r="Q1643" s="18" t="str">
        <f aca="false">IF(N1643&lt;&gt;"Y","",IFERROR(INDEX($D$6:$D$4005,MATCH(B1643&amp;"|"&amp;ROUND(_xlfn.MAXIFS($O$6:$O$4005,$B$6:$B$4005,B1643,$N$6:$N$4005,"N"),0),$P$6:$P$4005,0)),"(tanpa lawan)"))</f>
        <v/>
      </c>
      <c r="R1643" s="44"/>
      <c r="S1643" s="9" t="str">
        <f aca="false">IF(N1643&lt;&gt;"Y","",IF(R1643&lt;&gt;"",R1643,IF(Q1643="(tanpa lawan)","Transfer antar rekening",IFERROR(INDEX(I_COA!$F$6:$F$265,MATCH(Q1643,I_COA!$A$6:$A$265,0)),"?"))))</f>
        <v/>
      </c>
    </row>
    <row r="1644" customFormat="false" ht="15" hidden="false" customHeight="false" outlineLevel="0" collapsed="false">
      <c r="A1644" s="37" t="n">
        <v>46256</v>
      </c>
      <c r="B1644" s="44" t="s">
        <v>1862</v>
      </c>
      <c r="C1644" s="44" t="s">
        <v>585</v>
      </c>
      <c r="D1644" s="44" t="n">
        <v>1102001</v>
      </c>
      <c r="E1644" s="44" t="s">
        <v>586</v>
      </c>
      <c r="F1644" s="44" t="s">
        <v>1863</v>
      </c>
      <c r="G1644" s="42" t="n">
        <v>52771840</v>
      </c>
      <c r="H1644" s="42"/>
      <c r="I1644" s="44" t="s">
        <v>432</v>
      </c>
      <c r="J1644" s="11" t="n">
        <f aca="false">IF(D1644="","",N(G1644)-N(H1644))</f>
        <v>52771840</v>
      </c>
      <c r="K1644" s="34" t="str">
        <f aca="false">IF(D1644="","",IFERROR(INDEX(I_COA!$C$6:$C$265,MATCH(D1644,I_COA!$A$6:$A$265,0)),"AKUN BARU"))</f>
        <v>Neraca</v>
      </c>
      <c r="L1644" s="34" t="str">
        <f aca="false">IF(K1644="LabaRugi",INDEX(I_COA!$D$6:$D$265,MATCH(D1644,I_COA!$A$6:$A$265,0)),"")</f>
        <v/>
      </c>
      <c r="M1644" s="34" t="str">
        <f aca="false">IF(K1644="Neraca",INDEX(I_COA!$E$6:$E$265,MATCH(D1644,I_COA!$A$6:$A$265,0)),"")</f>
        <v>Cash and cash equivalents</v>
      </c>
      <c r="N1644" s="34" t="str">
        <f aca="false">IF(D1644="","",IFERROR(INDEX(I_COA!$G$6:$G$265,MATCH(D1644,I_COA!$A$6:$A$265,0)),"N"))</f>
        <v>Y</v>
      </c>
      <c r="O1644" s="11" t="str">
        <f aca="false">IF(N1644="N",ABS(J1644),"")</f>
        <v/>
      </c>
      <c r="P1644" s="18" t="str">
        <f aca="false">IF(N1644="N",B1644&amp;"|"&amp;ROUND(O1644,0),"")</f>
        <v/>
      </c>
      <c r="Q1644" s="18" t="n">
        <f aca="false">IF(N1644&lt;&gt;"Y","",IFERROR(INDEX($D$6:$D$4005,MATCH(B1644&amp;"|"&amp;ROUND(_xlfn.MAXIFS($O$6:$O$4005,$B$6:$B$4005,B1644,$N$6:$N$4005,"N"),0),$P$6:$P$4005,0)),"(tanpa lawan)"))</f>
        <v>2101020</v>
      </c>
      <c r="R1644" s="44"/>
      <c r="S1644" s="9" t="str">
        <f aca="false">IF(N1644&lt;&gt;"Y","",IF(R1644&lt;&gt;"",R1644,IF(Q1644="(tanpa lawan)","Transfer antar rekening",IFERROR(INDEX(I_COA!$F$6:$F$265,MATCH(Q1644,I_COA!$A$6:$A$265,0)),"?"))))</f>
        <v>Penerimaan dari pelanggan</v>
      </c>
    </row>
    <row r="1645" customFormat="false" ht="15" hidden="false" customHeight="false" outlineLevel="0" collapsed="false">
      <c r="A1645" s="37" t="n">
        <v>46256</v>
      </c>
      <c r="B1645" s="44" t="s">
        <v>1862</v>
      </c>
      <c r="C1645" s="44" t="s">
        <v>585</v>
      </c>
      <c r="D1645" s="44" t="n">
        <v>1103101</v>
      </c>
      <c r="E1645" s="44" t="s">
        <v>589</v>
      </c>
      <c r="F1645" s="44" t="s">
        <v>1863</v>
      </c>
      <c r="G1645" s="42"/>
      <c r="H1645" s="42" t="n">
        <v>52771840</v>
      </c>
      <c r="I1645" s="44" t="s">
        <v>432</v>
      </c>
      <c r="J1645" s="11" t="n">
        <f aca="false">IF(D1645="","",N(G1645)-N(H1645))</f>
        <v>-52771840</v>
      </c>
      <c r="K1645" s="34" t="str">
        <f aca="false">IF(D1645="","",IFERROR(INDEX(I_COA!$C$6:$C$265,MATCH(D1645,I_COA!$A$6:$A$265,0)),"AKUN BARU"))</f>
        <v>Neraca</v>
      </c>
      <c r="L1645" s="34" t="str">
        <f aca="false">IF(K1645="LabaRugi",INDEX(I_COA!$D$6:$D$265,MATCH(D1645,I_COA!$A$6:$A$265,0)),"")</f>
        <v/>
      </c>
      <c r="M1645" s="34" t="str">
        <f aca="false">IF(K1645="Neraca",INDEX(I_COA!$E$6:$E$265,MATCH(D1645,I_COA!$A$6:$A$265,0)),"")</f>
        <v>Trade Receivables - Third Parties</v>
      </c>
      <c r="N1645" s="34" t="str">
        <f aca="false">IF(D1645="","",IFERROR(INDEX(I_COA!$G$6:$G$265,MATCH(D1645,I_COA!$A$6:$A$265,0)),"N"))</f>
        <v>N</v>
      </c>
      <c r="O1645" s="11" t="n">
        <f aca="false">IF(N1645="N",ABS(J1645),"")</f>
        <v>52771840</v>
      </c>
      <c r="P1645" s="18" t="str">
        <f aca="false">IF(N1645="N",B1645&amp;"|"&amp;ROUND(O1645,0),"")</f>
        <v>B7626080104|52771840</v>
      </c>
      <c r="Q1645" s="18" t="str">
        <f aca="false">IF(N1645&lt;&gt;"Y","",IFERROR(INDEX($D$6:$D$4005,MATCH(B1645&amp;"|"&amp;ROUND(_xlfn.MAXIFS($O$6:$O$4005,$B$6:$B$4005,B1645,$N$6:$N$4005,"N"),0),$P$6:$P$4005,0)),"(tanpa lawan)"))</f>
        <v/>
      </c>
      <c r="R1645" s="44"/>
      <c r="S1645" s="9" t="str">
        <f aca="false">IF(N1645&lt;&gt;"Y","",IF(R1645&lt;&gt;"",R1645,IF(Q1645="(tanpa lawan)","Transfer antar rekening",IFERROR(INDEX(I_COA!$F$6:$F$265,MATCH(Q1645,I_COA!$A$6:$A$265,0)),"?"))))</f>
        <v/>
      </c>
    </row>
    <row r="1646" customFormat="false" ht="15" hidden="false" customHeight="false" outlineLevel="0" collapsed="false">
      <c r="A1646" s="37" t="n">
        <v>46256</v>
      </c>
      <c r="B1646" s="44" t="s">
        <v>1864</v>
      </c>
      <c r="C1646" s="44" t="s">
        <v>585</v>
      </c>
      <c r="D1646" s="44" t="n">
        <v>1102001</v>
      </c>
      <c r="E1646" s="44" t="s">
        <v>586</v>
      </c>
      <c r="F1646" s="44" t="s">
        <v>1865</v>
      </c>
      <c r="G1646" s="42" t="n">
        <v>48210100</v>
      </c>
      <c r="H1646" s="42"/>
      <c r="I1646" s="44" t="s">
        <v>437</v>
      </c>
      <c r="J1646" s="11" t="n">
        <f aca="false">IF(D1646="","",N(G1646)-N(H1646))</f>
        <v>48210100</v>
      </c>
      <c r="K1646" s="34" t="str">
        <f aca="false">IF(D1646="","",IFERROR(INDEX(I_COA!$C$6:$C$265,MATCH(D1646,I_COA!$A$6:$A$265,0)),"AKUN BARU"))</f>
        <v>Neraca</v>
      </c>
      <c r="L1646" s="34" t="str">
        <f aca="false">IF(K1646="LabaRugi",INDEX(I_COA!$D$6:$D$265,MATCH(D1646,I_COA!$A$6:$A$265,0)),"")</f>
        <v/>
      </c>
      <c r="M1646" s="34" t="str">
        <f aca="false">IF(K1646="Neraca",INDEX(I_COA!$E$6:$E$265,MATCH(D1646,I_COA!$A$6:$A$265,0)),"")</f>
        <v>Cash and cash equivalents</v>
      </c>
      <c r="N1646" s="34" t="str">
        <f aca="false">IF(D1646="","",IFERROR(INDEX(I_COA!$G$6:$G$265,MATCH(D1646,I_COA!$A$6:$A$265,0)),"N"))</f>
        <v>Y</v>
      </c>
      <c r="O1646" s="11" t="str">
        <f aca="false">IF(N1646="N",ABS(J1646),"")</f>
        <v/>
      </c>
      <c r="P1646" s="18" t="str">
        <f aca="false">IF(N1646="N",B1646&amp;"|"&amp;ROUND(O1646,0),"")</f>
        <v/>
      </c>
      <c r="Q1646" s="18" t="n">
        <f aca="false">IF(N1646&lt;&gt;"Y","",IFERROR(INDEX($D$6:$D$4005,MATCH(B1646&amp;"|"&amp;ROUND(_xlfn.MAXIFS($O$6:$O$4005,$B$6:$B$4005,B1646,$N$6:$N$4005,"N"),0),$P$6:$P$4005,0)),"(tanpa lawan)"))</f>
        <v>1103101</v>
      </c>
      <c r="R1646" s="44"/>
      <c r="S1646" s="9" t="str">
        <f aca="false">IF(N1646&lt;&gt;"Y","",IF(R1646&lt;&gt;"",R1646,IF(Q1646="(tanpa lawan)","Transfer antar rekening",IFERROR(INDEX(I_COA!$F$6:$F$265,MATCH(Q1646,I_COA!$A$6:$A$265,0)),"?"))))</f>
        <v>Penerimaan dari pelanggan</v>
      </c>
    </row>
    <row r="1647" customFormat="false" ht="15" hidden="false" customHeight="false" outlineLevel="0" collapsed="false">
      <c r="A1647" s="37" t="n">
        <v>46256</v>
      </c>
      <c r="B1647" s="44" t="s">
        <v>1864</v>
      </c>
      <c r="C1647" s="44" t="s">
        <v>585</v>
      </c>
      <c r="D1647" s="44" t="n">
        <v>2101020</v>
      </c>
      <c r="E1647" s="44" t="s">
        <v>653</v>
      </c>
      <c r="F1647" s="44" t="s">
        <v>1865</v>
      </c>
      <c r="G1647" s="42"/>
      <c r="H1647" s="42" t="n">
        <v>5869600</v>
      </c>
      <c r="I1647" s="44" t="s">
        <v>437</v>
      </c>
      <c r="J1647" s="11" t="n">
        <f aca="false">IF(D1647="","",N(G1647)-N(H1647))</f>
        <v>-5869600</v>
      </c>
      <c r="K1647" s="34" t="str">
        <f aca="false">IF(D1647="","",IFERROR(INDEX(I_COA!$C$6:$C$265,MATCH(D1647,I_COA!$A$6:$A$265,0)),"AKUN BARU"))</f>
        <v>Neraca</v>
      </c>
      <c r="L1647" s="34" t="str">
        <f aca="false">IF(K1647="LabaRugi",INDEX(I_COA!$D$6:$D$265,MATCH(D1647,I_COA!$A$6:$A$265,0)),"")</f>
        <v/>
      </c>
      <c r="M1647" s="34" t="str">
        <f aca="false">IF(K1647="Neraca",INDEX(I_COA!$E$6:$E$265,MATCH(D1647,I_COA!$A$6:$A$265,0)),"")</f>
        <v>Unearned Revenue</v>
      </c>
      <c r="N1647" s="34" t="str">
        <f aca="false">IF(D1647="","",IFERROR(INDEX(I_COA!$G$6:$G$265,MATCH(D1647,I_COA!$A$6:$A$265,0)),"N"))</f>
        <v>N</v>
      </c>
      <c r="O1647" s="11" t="n">
        <f aca="false">IF(N1647="N",ABS(J1647),"")</f>
        <v>5869600</v>
      </c>
      <c r="P1647" s="18" t="str">
        <f aca="false">IF(N1647="N",B1647&amp;"|"&amp;ROUND(O1647,0),"")</f>
        <v>B7626080105|5869600</v>
      </c>
      <c r="Q1647" s="18" t="str">
        <f aca="false">IF(N1647&lt;&gt;"Y","",IFERROR(INDEX($D$6:$D$4005,MATCH(B1647&amp;"|"&amp;ROUND(_xlfn.MAXIFS($O$6:$O$4005,$B$6:$B$4005,B1647,$N$6:$N$4005,"N"),0),$P$6:$P$4005,0)),"(tanpa lawan)"))</f>
        <v/>
      </c>
      <c r="R1647" s="44"/>
      <c r="S1647" s="9" t="str">
        <f aca="false">IF(N1647&lt;&gt;"Y","",IF(R1647&lt;&gt;"",R1647,IF(Q1647="(tanpa lawan)","Transfer antar rekening",IFERROR(INDEX(I_COA!$F$6:$F$265,MATCH(Q1647,I_COA!$A$6:$A$265,0)),"?"))))</f>
        <v/>
      </c>
    </row>
    <row r="1648" customFormat="false" ht="15" hidden="false" customHeight="false" outlineLevel="0" collapsed="false">
      <c r="A1648" s="37" t="n">
        <v>46256</v>
      </c>
      <c r="B1648" s="44" t="s">
        <v>1864</v>
      </c>
      <c r="C1648" s="44" t="s">
        <v>585</v>
      </c>
      <c r="D1648" s="44" t="n">
        <v>1103101</v>
      </c>
      <c r="E1648" s="44" t="s">
        <v>589</v>
      </c>
      <c r="F1648" s="44" t="s">
        <v>1865</v>
      </c>
      <c r="G1648" s="42"/>
      <c r="H1648" s="42" t="n">
        <v>42340500</v>
      </c>
      <c r="I1648" s="44" t="s">
        <v>437</v>
      </c>
      <c r="J1648" s="11" t="n">
        <f aca="false">IF(D1648="","",N(G1648)-N(H1648))</f>
        <v>-42340500</v>
      </c>
      <c r="K1648" s="34" t="str">
        <f aca="false">IF(D1648="","",IFERROR(INDEX(I_COA!$C$6:$C$265,MATCH(D1648,I_COA!$A$6:$A$265,0)),"AKUN BARU"))</f>
        <v>Neraca</v>
      </c>
      <c r="L1648" s="34" t="str">
        <f aca="false">IF(K1648="LabaRugi",INDEX(I_COA!$D$6:$D$265,MATCH(D1648,I_COA!$A$6:$A$265,0)),"")</f>
        <v/>
      </c>
      <c r="M1648" s="34" t="str">
        <f aca="false">IF(K1648="Neraca",INDEX(I_COA!$E$6:$E$265,MATCH(D1648,I_COA!$A$6:$A$265,0)),"")</f>
        <v>Trade Receivables - Third Parties</v>
      </c>
      <c r="N1648" s="34" t="str">
        <f aca="false">IF(D1648="","",IFERROR(INDEX(I_COA!$G$6:$G$265,MATCH(D1648,I_COA!$A$6:$A$265,0)),"N"))</f>
        <v>N</v>
      </c>
      <c r="O1648" s="11" t="n">
        <f aca="false">IF(N1648="N",ABS(J1648),"")</f>
        <v>42340500</v>
      </c>
      <c r="P1648" s="18" t="str">
        <f aca="false">IF(N1648="N",B1648&amp;"|"&amp;ROUND(O1648,0),"")</f>
        <v>B7626080105|42340500</v>
      </c>
      <c r="Q1648" s="18" t="str">
        <f aca="false">IF(N1648&lt;&gt;"Y","",IFERROR(INDEX($D$6:$D$4005,MATCH(B1648&amp;"|"&amp;ROUND(_xlfn.MAXIFS($O$6:$O$4005,$B$6:$B$4005,B1648,$N$6:$N$4005,"N"),0),$P$6:$P$4005,0)),"(tanpa lawan)"))</f>
        <v/>
      </c>
      <c r="R1648" s="44"/>
      <c r="S1648" s="9" t="str">
        <f aca="false">IF(N1648&lt;&gt;"Y","",IF(R1648&lt;&gt;"",R1648,IF(Q1648="(tanpa lawan)","Transfer antar rekening",IFERROR(INDEX(I_COA!$F$6:$F$265,MATCH(Q1648,I_COA!$A$6:$A$265,0)),"?"))))</f>
        <v/>
      </c>
    </row>
    <row r="1649" customFormat="false" ht="15" hidden="false" customHeight="false" outlineLevel="0" collapsed="false">
      <c r="A1649" s="37" t="n">
        <v>46256</v>
      </c>
      <c r="B1649" s="44" t="s">
        <v>1866</v>
      </c>
      <c r="C1649" s="44" t="s">
        <v>585</v>
      </c>
      <c r="D1649" s="44" t="n">
        <v>1102001</v>
      </c>
      <c r="E1649" s="44" t="s">
        <v>586</v>
      </c>
      <c r="F1649" s="44" t="s">
        <v>1867</v>
      </c>
      <c r="G1649" s="42" t="n">
        <v>28942400</v>
      </c>
      <c r="H1649" s="42"/>
      <c r="I1649" s="44" t="s">
        <v>432</v>
      </c>
      <c r="J1649" s="11" t="n">
        <f aca="false">IF(D1649="","",N(G1649)-N(H1649))</f>
        <v>28942400</v>
      </c>
      <c r="K1649" s="34" t="str">
        <f aca="false">IF(D1649="","",IFERROR(INDEX(I_COA!$C$6:$C$265,MATCH(D1649,I_COA!$A$6:$A$265,0)),"AKUN BARU"))</f>
        <v>Neraca</v>
      </c>
      <c r="L1649" s="34" t="str">
        <f aca="false">IF(K1649="LabaRugi",INDEX(I_COA!$D$6:$D$265,MATCH(D1649,I_COA!$A$6:$A$265,0)),"")</f>
        <v/>
      </c>
      <c r="M1649" s="34" t="str">
        <f aca="false">IF(K1649="Neraca",INDEX(I_COA!$E$6:$E$265,MATCH(D1649,I_COA!$A$6:$A$265,0)),"")</f>
        <v>Cash and cash equivalents</v>
      </c>
      <c r="N1649" s="34" t="str">
        <f aca="false">IF(D1649="","",IFERROR(INDEX(I_COA!$G$6:$G$265,MATCH(D1649,I_COA!$A$6:$A$265,0)),"N"))</f>
        <v>Y</v>
      </c>
      <c r="O1649" s="11" t="str">
        <f aca="false">IF(N1649="N",ABS(J1649),"")</f>
        <v/>
      </c>
      <c r="P1649" s="18" t="str">
        <f aca="false">IF(N1649="N",B1649&amp;"|"&amp;ROUND(O1649,0),"")</f>
        <v/>
      </c>
      <c r="Q1649" s="18" t="n">
        <f aca="false">IF(N1649&lt;&gt;"Y","",IFERROR(INDEX($D$6:$D$4005,MATCH(B1649&amp;"|"&amp;ROUND(_xlfn.MAXIFS($O$6:$O$4005,$B$6:$B$4005,B1649,$N$6:$N$4005,"N"),0),$P$6:$P$4005,0)),"(tanpa lawan)"))</f>
        <v>1103101</v>
      </c>
      <c r="R1649" s="44"/>
      <c r="S1649" s="9" t="str">
        <f aca="false">IF(N1649&lt;&gt;"Y","",IF(R1649&lt;&gt;"",R1649,IF(Q1649="(tanpa lawan)","Transfer antar rekening",IFERROR(INDEX(I_COA!$F$6:$F$265,MATCH(Q1649,I_COA!$A$6:$A$265,0)),"?"))))</f>
        <v>Penerimaan dari pelanggan</v>
      </c>
    </row>
    <row r="1650" customFormat="false" ht="15" hidden="false" customHeight="false" outlineLevel="0" collapsed="false">
      <c r="A1650" s="37" t="n">
        <v>46256</v>
      </c>
      <c r="B1650" s="44" t="s">
        <v>1866</v>
      </c>
      <c r="C1650" s="44" t="s">
        <v>585</v>
      </c>
      <c r="D1650" s="44" t="n">
        <v>1103101</v>
      </c>
      <c r="E1650" s="44" t="s">
        <v>589</v>
      </c>
      <c r="F1650" s="44" t="s">
        <v>1867</v>
      </c>
      <c r="G1650" s="42"/>
      <c r="H1650" s="42" t="n">
        <v>28942400</v>
      </c>
      <c r="I1650" s="44" t="s">
        <v>432</v>
      </c>
      <c r="J1650" s="11" t="n">
        <f aca="false">IF(D1650="","",N(G1650)-N(H1650))</f>
        <v>-28942400</v>
      </c>
      <c r="K1650" s="34" t="str">
        <f aca="false">IF(D1650="","",IFERROR(INDEX(I_COA!$C$6:$C$265,MATCH(D1650,I_COA!$A$6:$A$265,0)),"AKUN BARU"))</f>
        <v>Neraca</v>
      </c>
      <c r="L1650" s="34" t="str">
        <f aca="false">IF(K1650="LabaRugi",INDEX(I_COA!$D$6:$D$265,MATCH(D1650,I_COA!$A$6:$A$265,0)),"")</f>
        <v/>
      </c>
      <c r="M1650" s="34" t="str">
        <f aca="false">IF(K1650="Neraca",INDEX(I_COA!$E$6:$E$265,MATCH(D1650,I_COA!$A$6:$A$265,0)),"")</f>
        <v>Trade Receivables - Third Parties</v>
      </c>
      <c r="N1650" s="34" t="str">
        <f aca="false">IF(D1650="","",IFERROR(INDEX(I_COA!$G$6:$G$265,MATCH(D1650,I_COA!$A$6:$A$265,0)),"N"))</f>
        <v>N</v>
      </c>
      <c r="O1650" s="11" t="n">
        <f aca="false">IF(N1650="N",ABS(J1650),"")</f>
        <v>28942400</v>
      </c>
      <c r="P1650" s="18" t="str">
        <f aca="false">IF(N1650="N",B1650&amp;"|"&amp;ROUND(O1650,0),"")</f>
        <v>B7626080106|28942400</v>
      </c>
      <c r="Q1650" s="18" t="str">
        <f aca="false">IF(N1650&lt;&gt;"Y","",IFERROR(INDEX($D$6:$D$4005,MATCH(B1650&amp;"|"&amp;ROUND(_xlfn.MAXIFS($O$6:$O$4005,$B$6:$B$4005,B1650,$N$6:$N$4005,"N"),0),$P$6:$P$4005,0)),"(tanpa lawan)"))</f>
        <v/>
      </c>
      <c r="R1650" s="44"/>
      <c r="S1650" s="9" t="str">
        <f aca="false">IF(N1650&lt;&gt;"Y","",IF(R1650&lt;&gt;"",R1650,IF(Q1650="(tanpa lawan)","Transfer antar rekening",IFERROR(INDEX(I_COA!$F$6:$F$265,MATCH(Q1650,I_COA!$A$6:$A$265,0)),"?"))))</f>
        <v/>
      </c>
    </row>
    <row r="1651" customFormat="false" ht="15" hidden="false" customHeight="false" outlineLevel="0" collapsed="false">
      <c r="A1651" s="37" t="n">
        <v>46256</v>
      </c>
      <c r="B1651" s="44" t="s">
        <v>1868</v>
      </c>
      <c r="C1651" s="44" t="s">
        <v>585</v>
      </c>
      <c r="D1651" s="44" t="n">
        <v>1102001</v>
      </c>
      <c r="E1651" s="44" t="s">
        <v>586</v>
      </c>
      <c r="F1651" s="44" t="s">
        <v>1867</v>
      </c>
      <c r="G1651" s="42" t="n">
        <v>1004020</v>
      </c>
      <c r="H1651" s="42"/>
      <c r="I1651" s="44" t="s">
        <v>432</v>
      </c>
      <c r="J1651" s="11" t="n">
        <f aca="false">IF(D1651="","",N(G1651)-N(H1651))</f>
        <v>1004020</v>
      </c>
      <c r="K1651" s="34" t="str">
        <f aca="false">IF(D1651="","",IFERROR(INDEX(I_COA!$C$6:$C$265,MATCH(D1651,I_COA!$A$6:$A$265,0)),"AKUN BARU"))</f>
        <v>Neraca</v>
      </c>
      <c r="L1651" s="34" t="str">
        <f aca="false">IF(K1651="LabaRugi",INDEX(I_COA!$D$6:$D$265,MATCH(D1651,I_COA!$A$6:$A$265,0)),"")</f>
        <v/>
      </c>
      <c r="M1651" s="34" t="str">
        <f aca="false">IF(K1651="Neraca",INDEX(I_COA!$E$6:$E$265,MATCH(D1651,I_COA!$A$6:$A$265,0)),"")</f>
        <v>Cash and cash equivalents</v>
      </c>
      <c r="N1651" s="34" t="str">
        <f aca="false">IF(D1651="","",IFERROR(INDEX(I_COA!$G$6:$G$265,MATCH(D1651,I_COA!$A$6:$A$265,0)),"N"))</f>
        <v>Y</v>
      </c>
      <c r="O1651" s="11" t="str">
        <f aca="false">IF(N1651="N",ABS(J1651),"")</f>
        <v/>
      </c>
      <c r="P1651" s="18" t="str">
        <f aca="false">IF(N1651="N",B1651&amp;"|"&amp;ROUND(O1651,0),"")</f>
        <v/>
      </c>
      <c r="Q1651" s="18" t="n">
        <f aca="false">IF(N1651&lt;&gt;"Y","",IFERROR(INDEX($D$6:$D$4005,MATCH(B1651&amp;"|"&amp;ROUND(_xlfn.MAXIFS($O$6:$O$4005,$B$6:$B$4005,B1651,$N$6:$N$4005,"N"),0),$P$6:$P$4005,0)),"(tanpa lawan)"))</f>
        <v>1103101</v>
      </c>
      <c r="R1651" s="44"/>
      <c r="S1651" s="9" t="str">
        <f aca="false">IF(N1651&lt;&gt;"Y","",IF(R1651&lt;&gt;"",R1651,IF(Q1651="(tanpa lawan)","Transfer antar rekening",IFERROR(INDEX(I_COA!$F$6:$F$265,MATCH(Q1651,I_COA!$A$6:$A$265,0)),"?"))))</f>
        <v>Penerimaan dari pelanggan</v>
      </c>
    </row>
    <row r="1652" customFormat="false" ht="15" hidden="false" customHeight="false" outlineLevel="0" collapsed="false">
      <c r="A1652" s="37" t="n">
        <v>46256</v>
      </c>
      <c r="B1652" s="44" t="s">
        <v>1868</v>
      </c>
      <c r="C1652" s="44" t="s">
        <v>585</v>
      </c>
      <c r="D1652" s="44" t="n">
        <v>1103101</v>
      </c>
      <c r="E1652" s="44" t="s">
        <v>589</v>
      </c>
      <c r="F1652" s="44" t="s">
        <v>1867</v>
      </c>
      <c r="G1652" s="42"/>
      <c r="H1652" s="42" t="n">
        <v>1004020</v>
      </c>
      <c r="I1652" s="44" t="s">
        <v>432</v>
      </c>
      <c r="J1652" s="11" t="n">
        <f aca="false">IF(D1652="","",N(G1652)-N(H1652))</f>
        <v>-1004020</v>
      </c>
      <c r="K1652" s="34" t="str">
        <f aca="false">IF(D1652="","",IFERROR(INDEX(I_COA!$C$6:$C$265,MATCH(D1652,I_COA!$A$6:$A$265,0)),"AKUN BARU"))</f>
        <v>Neraca</v>
      </c>
      <c r="L1652" s="34" t="str">
        <f aca="false">IF(K1652="LabaRugi",INDEX(I_COA!$D$6:$D$265,MATCH(D1652,I_COA!$A$6:$A$265,0)),"")</f>
        <v/>
      </c>
      <c r="M1652" s="34" t="str">
        <f aca="false">IF(K1652="Neraca",INDEX(I_COA!$E$6:$E$265,MATCH(D1652,I_COA!$A$6:$A$265,0)),"")</f>
        <v>Trade Receivables - Third Parties</v>
      </c>
      <c r="N1652" s="34" t="str">
        <f aca="false">IF(D1652="","",IFERROR(INDEX(I_COA!$G$6:$G$265,MATCH(D1652,I_COA!$A$6:$A$265,0)),"N"))</f>
        <v>N</v>
      </c>
      <c r="O1652" s="11" t="n">
        <f aca="false">IF(N1652="N",ABS(J1652),"")</f>
        <v>1004020</v>
      </c>
      <c r="P1652" s="18" t="str">
        <f aca="false">IF(N1652="N",B1652&amp;"|"&amp;ROUND(O1652,0),"")</f>
        <v>B7626080107|1004020</v>
      </c>
      <c r="Q1652" s="18" t="str">
        <f aca="false">IF(N1652&lt;&gt;"Y","",IFERROR(INDEX($D$6:$D$4005,MATCH(B1652&amp;"|"&amp;ROUND(_xlfn.MAXIFS($O$6:$O$4005,$B$6:$B$4005,B1652,$N$6:$N$4005,"N"),0),$P$6:$P$4005,0)),"(tanpa lawan)"))</f>
        <v/>
      </c>
      <c r="R1652" s="44"/>
      <c r="S1652" s="9" t="str">
        <f aca="false">IF(N1652&lt;&gt;"Y","",IF(R1652&lt;&gt;"",R1652,IF(Q1652="(tanpa lawan)","Transfer antar rekening",IFERROR(INDEX(I_COA!$F$6:$F$265,MATCH(Q1652,I_COA!$A$6:$A$265,0)),"?"))))</f>
        <v/>
      </c>
    </row>
    <row r="1653" customFormat="false" ht="15" hidden="false" customHeight="false" outlineLevel="0" collapsed="false">
      <c r="A1653" s="37" t="n">
        <v>46256</v>
      </c>
      <c r="B1653" s="44" t="s">
        <v>1869</v>
      </c>
      <c r="C1653" s="44" t="s">
        <v>600</v>
      </c>
      <c r="D1653" s="44" t="n">
        <v>1104002</v>
      </c>
      <c r="E1653" s="44" t="s">
        <v>601</v>
      </c>
      <c r="F1653" s="44" t="s">
        <v>1870</v>
      </c>
      <c r="G1653" s="42" t="n">
        <v>33119215.22</v>
      </c>
      <c r="H1653" s="42"/>
      <c r="I1653" s="44" t="s">
        <v>432</v>
      </c>
      <c r="J1653" s="11" t="n">
        <f aca="false">IF(D1653="","",N(G1653)-N(H1653))</f>
        <v>33119215.22</v>
      </c>
      <c r="K1653" s="34" t="str">
        <f aca="false">IF(D1653="","",IFERROR(INDEX(I_COA!$C$6:$C$265,MATCH(D1653,I_COA!$A$6:$A$265,0)),"AKUN BARU"))</f>
        <v>Neraca</v>
      </c>
      <c r="L1653" s="34" t="str">
        <f aca="false">IF(K1653="LabaRugi",INDEX(I_COA!$D$6:$D$265,MATCH(D1653,I_COA!$A$6:$A$265,0)),"")</f>
        <v/>
      </c>
      <c r="M1653" s="34" t="str">
        <f aca="false">IF(K1653="Neraca",INDEX(I_COA!$E$6:$E$265,MATCH(D1653,I_COA!$A$6:$A$265,0)),"")</f>
        <v>Inventory - Product</v>
      </c>
      <c r="N1653" s="34" t="str">
        <f aca="false">IF(D1653="","",IFERROR(INDEX(I_COA!$G$6:$G$265,MATCH(D1653,I_COA!$A$6:$A$265,0)),"N"))</f>
        <v>N</v>
      </c>
      <c r="O1653" s="11" t="n">
        <f aca="false">IF(N1653="N",ABS(J1653),"")</f>
        <v>33119215.22</v>
      </c>
      <c r="P1653" s="18" t="str">
        <f aca="false">IF(N1653="N",B1653&amp;"|"&amp;ROUND(O1653,0),"")</f>
        <v>KGR26.00314|33119215</v>
      </c>
      <c r="Q1653" s="18" t="str">
        <f aca="false">IF(N1653&lt;&gt;"Y","",IFERROR(INDEX($D$6:$D$4005,MATCH(B1653&amp;"|"&amp;ROUND(_xlfn.MAXIFS($O$6:$O$4005,$B$6:$B$4005,B1653,$N$6:$N$4005,"N"),0),$P$6:$P$4005,0)),"(tanpa lawan)"))</f>
        <v/>
      </c>
      <c r="R1653" s="44"/>
      <c r="S1653" s="9" t="str">
        <f aca="false">IF(N1653&lt;&gt;"Y","",IF(R1653&lt;&gt;"",R1653,IF(Q1653="(tanpa lawan)","Transfer antar rekening",IFERROR(INDEX(I_COA!$F$6:$F$265,MATCH(Q1653,I_COA!$A$6:$A$265,0)),"?"))))</f>
        <v/>
      </c>
    </row>
    <row r="1654" customFormat="false" ht="15" hidden="false" customHeight="false" outlineLevel="0" collapsed="false">
      <c r="A1654" s="37" t="n">
        <v>46256</v>
      </c>
      <c r="B1654" s="44" t="s">
        <v>1869</v>
      </c>
      <c r="C1654" s="44" t="s">
        <v>600</v>
      </c>
      <c r="D1654" s="44" t="n">
        <v>1104003</v>
      </c>
      <c r="E1654" s="44" t="s">
        <v>613</v>
      </c>
      <c r="F1654" s="44" t="s">
        <v>1870</v>
      </c>
      <c r="G1654" s="42"/>
      <c r="H1654" s="42" t="n">
        <v>33119215.22</v>
      </c>
      <c r="I1654" s="44" t="s">
        <v>432</v>
      </c>
      <c r="J1654" s="11" t="n">
        <f aca="false">IF(D1654="","",N(G1654)-N(H1654))</f>
        <v>-33119215.22</v>
      </c>
      <c r="K1654" s="34" t="str">
        <f aca="false">IF(D1654="","",IFERROR(INDEX(I_COA!$C$6:$C$265,MATCH(D1654,I_COA!$A$6:$A$265,0)),"AKUN BARU"))</f>
        <v>Neraca</v>
      </c>
      <c r="L1654" s="34" t="str">
        <f aca="false">IF(K1654="LabaRugi",INDEX(I_COA!$D$6:$D$265,MATCH(D1654,I_COA!$A$6:$A$265,0)),"")</f>
        <v/>
      </c>
      <c r="M1654" s="34" t="str">
        <f aca="false">IF(K1654="Neraca",INDEX(I_COA!$E$6:$E$265,MATCH(D1654,I_COA!$A$6:$A$265,0)),"")</f>
        <v>Inventory - Product</v>
      </c>
      <c r="N1654" s="34" t="str">
        <f aca="false">IF(D1654="","",IFERROR(INDEX(I_COA!$G$6:$G$265,MATCH(D1654,I_COA!$A$6:$A$265,0)),"N"))</f>
        <v>N</v>
      </c>
      <c r="O1654" s="11" t="n">
        <f aca="false">IF(N1654="N",ABS(J1654),"")</f>
        <v>33119215.22</v>
      </c>
      <c r="P1654" s="18" t="str">
        <f aca="false">IF(N1654="N",B1654&amp;"|"&amp;ROUND(O1654,0),"")</f>
        <v>KGR26.00314|33119215</v>
      </c>
      <c r="Q1654" s="18" t="str">
        <f aca="false">IF(N1654&lt;&gt;"Y","",IFERROR(INDEX($D$6:$D$4005,MATCH(B1654&amp;"|"&amp;ROUND(_xlfn.MAXIFS($O$6:$O$4005,$B$6:$B$4005,B1654,$N$6:$N$4005,"N"),0),$P$6:$P$4005,0)),"(tanpa lawan)"))</f>
        <v/>
      </c>
      <c r="R1654" s="44"/>
      <c r="S1654" s="9" t="str">
        <f aca="false">IF(N1654&lt;&gt;"Y","",IF(R1654&lt;&gt;"",R1654,IF(Q1654="(tanpa lawan)","Transfer antar rekening",IFERROR(INDEX(I_COA!$F$6:$F$265,MATCH(Q1654,I_COA!$A$6:$A$265,0)),"?"))))</f>
        <v/>
      </c>
    </row>
    <row r="1655" customFormat="false" ht="15" hidden="false" customHeight="false" outlineLevel="0" collapsed="false">
      <c r="A1655" s="37" t="n">
        <v>46256</v>
      </c>
      <c r="B1655" s="44" t="s">
        <v>1871</v>
      </c>
      <c r="C1655" s="44" t="s">
        <v>600</v>
      </c>
      <c r="D1655" s="44" t="n">
        <v>1104002</v>
      </c>
      <c r="E1655" s="44" t="s">
        <v>601</v>
      </c>
      <c r="F1655" s="44" t="s">
        <v>1872</v>
      </c>
      <c r="G1655" s="42" t="n">
        <v>46253354.26</v>
      </c>
      <c r="H1655" s="42"/>
      <c r="I1655" s="44" t="s">
        <v>774</v>
      </c>
      <c r="J1655" s="11" t="n">
        <f aca="false">IF(D1655="","",N(G1655)-N(H1655))</f>
        <v>46253354.26</v>
      </c>
      <c r="K1655" s="34" t="str">
        <f aca="false">IF(D1655="","",IFERROR(INDEX(I_COA!$C$6:$C$265,MATCH(D1655,I_COA!$A$6:$A$265,0)),"AKUN BARU"))</f>
        <v>Neraca</v>
      </c>
      <c r="L1655" s="34" t="str">
        <f aca="false">IF(K1655="LabaRugi",INDEX(I_COA!$D$6:$D$265,MATCH(D1655,I_COA!$A$6:$A$265,0)),"")</f>
        <v/>
      </c>
      <c r="M1655" s="34" t="str">
        <f aca="false">IF(K1655="Neraca",INDEX(I_COA!$E$6:$E$265,MATCH(D1655,I_COA!$A$6:$A$265,0)),"")</f>
        <v>Inventory - Product</v>
      </c>
      <c r="N1655" s="34" t="str">
        <f aca="false">IF(D1655="","",IFERROR(INDEX(I_COA!$G$6:$G$265,MATCH(D1655,I_COA!$A$6:$A$265,0)),"N"))</f>
        <v>N</v>
      </c>
      <c r="O1655" s="11" t="n">
        <f aca="false">IF(N1655="N",ABS(J1655),"")</f>
        <v>46253354.26</v>
      </c>
      <c r="P1655" s="18" t="str">
        <f aca="false">IF(N1655="N",B1655&amp;"|"&amp;ROUND(O1655,0),"")</f>
        <v>KGR26.00315|46253354</v>
      </c>
      <c r="Q1655" s="18" t="str">
        <f aca="false">IF(N1655&lt;&gt;"Y","",IFERROR(INDEX($D$6:$D$4005,MATCH(B1655&amp;"|"&amp;ROUND(_xlfn.MAXIFS($O$6:$O$4005,$B$6:$B$4005,B1655,$N$6:$N$4005,"N"),0),$P$6:$P$4005,0)),"(tanpa lawan)"))</f>
        <v/>
      </c>
      <c r="R1655" s="44"/>
      <c r="S1655" s="9" t="str">
        <f aca="false">IF(N1655&lt;&gt;"Y","",IF(R1655&lt;&gt;"",R1655,IF(Q1655="(tanpa lawan)","Transfer antar rekening",IFERROR(INDEX(I_COA!$F$6:$F$265,MATCH(Q1655,I_COA!$A$6:$A$265,0)),"?"))))</f>
        <v/>
      </c>
    </row>
    <row r="1656" customFormat="false" ht="15" hidden="false" customHeight="false" outlineLevel="0" collapsed="false">
      <c r="A1656" s="37" t="n">
        <v>46256</v>
      </c>
      <c r="B1656" s="44" t="s">
        <v>1871</v>
      </c>
      <c r="C1656" s="44" t="s">
        <v>600</v>
      </c>
      <c r="D1656" s="44" t="n">
        <v>1104003</v>
      </c>
      <c r="E1656" s="44" t="s">
        <v>613</v>
      </c>
      <c r="F1656" s="44" t="s">
        <v>1872</v>
      </c>
      <c r="G1656" s="42"/>
      <c r="H1656" s="42" t="n">
        <v>46253354.26</v>
      </c>
      <c r="I1656" s="44" t="s">
        <v>774</v>
      </c>
      <c r="J1656" s="11" t="n">
        <f aca="false">IF(D1656="","",N(G1656)-N(H1656))</f>
        <v>-46253354.26</v>
      </c>
      <c r="K1656" s="34" t="str">
        <f aca="false">IF(D1656="","",IFERROR(INDEX(I_COA!$C$6:$C$265,MATCH(D1656,I_COA!$A$6:$A$265,0)),"AKUN BARU"))</f>
        <v>Neraca</v>
      </c>
      <c r="L1656" s="34" t="str">
        <f aca="false">IF(K1656="LabaRugi",INDEX(I_COA!$D$6:$D$265,MATCH(D1656,I_COA!$A$6:$A$265,0)),"")</f>
        <v/>
      </c>
      <c r="M1656" s="34" t="str">
        <f aca="false">IF(K1656="Neraca",INDEX(I_COA!$E$6:$E$265,MATCH(D1656,I_COA!$A$6:$A$265,0)),"")</f>
        <v>Inventory - Product</v>
      </c>
      <c r="N1656" s="34" t="str">
        <f aca="false">IF(D1656="","",IFERROR(INDEX(I_COA!$G$6:$G$265,MATCH(D1656,I_COA!$A$6:$A$265,0)),"N"))</f>
        <v>N</v>
      </c>
      <c r="O1656" s="11" t="n">
        <f aca="false">IF(N1656="N",ABS(J1656),"")</f>
        <v>46253354.26</v>
      </c>
      <c r="P1656" s="18" t="str">
        <f aca="false">IF(N1656="N",B1656&amp;"|"&amp;ROUND(O1656,0),"")</f>
        <v>KGR26.00315|46253354</v>
      </c>
      <c r="Q1656" s="18" t="str">
        <f aca="false">IF(N1656&lt;&gt;"Y","",IFERROR(INDEX($D$6:$D$4005,MATCH(B1656&amp;"|"&amp;ROUND(_xlfn.MAXIFS($O$6:$O$4005,$B$6:$B$4005,B1656,$N$6:$N$4005,"N"),0),$P$6:$P$4005,0)),"(tanpa lawan)"))</f>
        <v/>
      </c>
      <c r="R1656" s="44"/>
      <c r="S1656" s="9" t="str">
        <f aca="false">IF(N1656&lt;&gt;"Y","",IF(R1656&lt;&gt;"",R1656,IF(Q1656="(tanpa lawan)","Transfer antar rekening",IFERROR(INDEX(I_COA!$F$6:$F$265,MATCH(Q1656,I_COA!$A$6:$A$265,0)),"?"))))</f>
        <v/>
      </c>
    </row>
    <row r="1657" customFormat="false" ht="15" hidden="false" customHeight="false" outlineLevel="0" collapsed="false">
      <c r="A1657" s="37" t="n">
        <v>46256</v>
      </c>
      <c r="B1657" s="44" t="s">
        <v>1873</v>
      </c>
      <c r="C1657" s="44" t="s">
        <v>617</v>
      </c>
      <c r="D1657" s="44" t="n">
        <v>1103101</v>
      </c>
      <c r="E1657" s="44" t="s">
        <v>589</v>
      </c>
      <c r="F1657" s="44" t="s">
        <v>1874</v>
      </c>
      <c r="G1657" s="42" t="n">
        <v>36090420</v>
      </c>
      <c r="H1657" s="42"/>
      <c r="I1657" s="44" t="s">
        <v>432</v>
      </c>
      <c r="J1657" s="11" t="n">
        <f aca="false">IF(D1657="","",N(G1657)-N(H1657))</f>
        <v>36090420</v>
      </c>
      <c r="K1657" s="34" t="str">
        <f aca="false">IF(D1657="","",IFERROR(INDEX(I_COA!$C$6:$C$265,MATCH(D1657,I_COA!$A$6:$A$265,0)),"AKUN BARU"))</f>
        <v>Neraca</v>
      </c>
      <c r="L1657" s="34" t="str">
        <f aca="false">IF(K1657="LabaRugi",INDEX(I_COA!$D$6:$D$265,MATCH(D1657,I_COA!$A$6:$A$265,0)),"")</f>
        <v/>
      </c>
      <c r="M1657" s="34" t="str">
        <f aca="false">IF(K1657="Neraca",INDEX(I_COA!$E$6:$E$265,MATCH(D1657,I_COA!$A$6:$A$265,0)),"")</f>
        <v>Trade Receivables - Third Parties</v>
      </c>
      <c r="N1657" s="34" t="str">
        <f aca="false">IF(D1657="","",IFERROR(INDEX(I_COA!$G$6:$G$265,MATCH(D1657,I_COA!$A$6:$A$265,0)),"N"))</f>
        <v>N</v>
      </c>
      <c r="O1657" s="11" t="n">
        <f aca="false">IF(N1657="N",ABS(J1657),"")</f>
        <v>36090420</v>
      </c>
      <c r="P1657" s="18" t="str">
        <f aca="false">IF(N1657="N",B1657&amp;"|"&amp;ROUND(O1657,0),"")</f>
        <v>KGR26/0314|36090420</v>
      </c>
      <c r="Q1657" s="18" t="str">
        <f aca="false">IF(N1657&lt;&gt;"Y","",IFERROR(INDEX($D$6:$D$4005,MATCH(B1657&amp;"|"&amp;ROUND(_xlfn.MAXIFS($O$6:$O$4005,$B$6:$B$4005,B1657,$N$6:$N$4005,"N"),0),$P$6:$P$4005,0)),"(tanpa lawan)"))</f>
        <v/>
      </c>
      <c r="R1657" s="44"/>
      <c r="S1657" s="9" t="str">
        <f aca="false">IF(N1657&lt;&gt;"Y","",IF(R1657&lt;&gt;"",R1657,IF(Q1657="(tanpa lawan)","Transfer antar rekening",IFERROR(INDEX(I_COA!$F$6:$F$265,MATCH(Q1657,I_COA!$A$6:$A$265,0)),"?"))))</f>
        <v/>
      </c>
    </row>
    <row r="1658" customFormat="false" ht="15" hidden="false" customHeight="false" outlineLevel="0" collapsed="false">
      <c r="A1658" s="37" t="n">
        <v>46256</v>
      </c>
      <c r="B1658" s="44" t="s">
        <v>1873</v>
      </c>
      <c r="C1658" s="44" t="s">
        <v>617</v>
      </c>
      <c r="D1658" s="44" t="n">
        <v>4101006</v>
      </c>
      <c r="E1658" s="44" t="s">
        <v>626</v>
      </c>
      <c r="F1658" s="44" t="s">
        <v>1874</v>
      </c>
      <c r="G1658" s="42"/>
      <c r="H1658" s="42" t="n">
        <v>36090420</v>
      </c>
      <c r="I1658" s="44" t="s">
        <v>432</v>
      </c>
      <c r="J1658" s="11" t="n">
        <f aca="false">IF(D1658="","",N(G1658)-N(H1658))</f>
        <v>-36090420</v>
      </c>
      <c r="K1658" s="34" t="str">
        <f aca="false">IF(D1658="","",IFERROR(INDEX(I_COA!$C$6:$C$265,MATCH(D1658,I_COA!$A$6:$A$265,0)),"AKUN BARU"))</f>
        <v>LabaRugi</v>
      </c>
      <c r="L1658" s="34" t="str">
        <f aca="false">IF(K1658="LabaRugi",INDEX(I_COA!$D$6:$D$265,MATCH(D1658,I_COA!$A$6:$A$265,0)),"")</f>
        <v>Revenue - LB Main Product</v>
      </c>
      <c r="M1658" s="34" t="str">
        <f aca="false">IF(K1658="Neraca",INDEX(I_COA!$E$6:$E$265,MATCH(D1658,I_COA!$A$6:$A$265,0)),"")</f>
        <v/>
      </c>
      <c r="N1658" s="34" t="str">
        <f aca="false">IF(D1658="","",IFERROR(INDEX(I_COA!$G$6:$G$265,MATCH(D1658,I_COA!$A$6:$A$265,0)),"N"))</f>
        <v>N</v>
      </c>
      <c r="O1658" s="11" t="n">
        <f aca="false">IF(N1658="N",ABS(J1658),"")</f>
        <v>36090420</v>
      </c>
      <c r="P1658" s="18" t="str">
        <f aca="false">IF(N1658="N",B1658&amp;"|"&amp;ROUND(O1658,0),"")</f>
        <v>KGR26/0314|36090420</v>
      </c>
      <c r="Q1658" s="18" t="str">
        <f aca="false">IF(N1658&lt;&gt;"Y","",IFERROR(INDEX($D$6:$D$4005,MATCH(B1658&amp;"|"&amp;ROUND(_xlfn.MAXIFS($O$6:$O$4005,$B$6:$B$4005,B1658,$N$6:$N$4005,"N"),0),$P$6:$P$4005,0)),"(tanpa lawan)"))</f>
        <v/>
      </c>
      <c r="R1658" s="44"/>
      <c r="S1658" s="9" t="str">
        <f aca="false">IF(N1658&lt;&gt;"Y","",IF(R1658&lt;&gt;"",R1658,IF(Q1658="(tanpa lawan)","Transfer antar rekening",IFERROR(INDEX(I_COA!$F$6:$F$265,MATCH(Q1658,I_COA!$A$6:$A$265,0)),"?"))))</f>
        <v/>
      </c>
    </row>
    <row r="1659" customFormat="false" ht="15" hidden="false" customHeight="false" outlineLevel="0" collapsed="false">
      <c r="A1659" s="37" t="n">
        <v>46256</v>
      </c>
      <c r="B1659" s="44" t="s">
        <v>1873</v>
      </c>
      <c r="C1659" s="44" t="s">
        <v>617</v>
      </c>
      <c r="D1659" s="44" t="n">
        <v>5100004</v>
      </c>
      <c r="E1659" s="44" t="s">
        <v>627</v>
      </c>
      <c r="F1659" s="44" t="s">
        <v>1874</v>
      </c>
      <c r="G1659" s="42" t="n">
        <v>33119215.22</v>
      </c>
      <c r="H1659" s="42"/>
      <c r="I1659" s="44" t="s">
        <v>432</v>
      </c>
      <c r="J1659" s="11" t="n">
        <f aca="false">IF(D1659="","",N(G1659)-N(H1659))</f>
        <v>33119215.22</v>
      </c>
      <c r="K1659" s="34" t="str">
        <f aca="false">IF(D1659="","",IFERROR(INDEX(I_COA!$C$6:$C$265,MATCH(D1659,I_COA!$A$6:$A$265,0)),"AKUN BARU"))</f>
        <v>LabaRugi</v>
      </c>
      <c r="L1659" s="34" t="str">
        <f aca="false">IF(K1659="LabaRugi",INDEX(I_COA!$D$6:$D$265,MATCH(D1659,I_COA!$A$6:$A$265,0)),"")</f>
        <v>COGS - Live Bird</v>
      </c>
      <c r="M1659" s="34" t="str">
        <f aca="false">IF(K1659="Neraca",INDEX(I_COA!$E$6:$E$265,MATCH(D1659,I_COA!$A$6:$A$265,0)),"")</f>
        <v/>
      </c>
      <c r="N1659" s="34" t="str">
        <f aca="false">IF(D1659="","",IFERROR(INDEX(I_COA!$G$6:$G$265,MATCH(D1659,I_COA!$A$6:$A$265,0)),"N"))</f>
        <v>N</v>
      </c>
      <c r="O1659" s="11" t="n">
        <f aca="false">IF(N1659="N",ABS(J1659),"")</f>
        <v>33119215.22</v>
      </c>
      <c r="P1659" s="18" t="str">
        <f aca="false">IF(N1659="N",B1659&amp;"|"&amp;ROUND(O1659,0),"")</f>
        <v>KGR26/0314|33119215</v>
      </c>
      <c r="Q1659" s="18" t="str">
        <f aca="false">IF(N1659&lt;&gt;"Y","",IFERROR(INDEX($D$6:$D$4005,MATCH(B1659&amp;"|"&amp;ROUND(_xlfn.MAXIFS($O$6:$O$4005,$B$6:$B$4005,B1659,$N$6:$N$4005,"N"),0),$P$6:$P$4005,0)),"(tanpa lawan)"))</f>
        <v/>
      </c>
      <c r="R1659" s="44"/>
      <c r="S1659" s="9" t="str">
        <f aca="false">IF(N1659&lt;&gt;"Y","",IF(R1659&lt;&gt;"",R1659,IF(Q1659="(tanpa lawan)","Transfer antar rekening",IFERROR(INDEX(I_COA!$F$6:$F$265,MATCH(Q1659,I_COA!$A$6:$A$265,0)),"?"))))</f>
        <v/>
      </c>
    </row>
    <row r="1660" customFormat="false" ht="15" hidden="false" customHeight="false" outlineLevel="0" collapsed="false">
      <c r="A1660" s="37" t="n">
        <v>46256</v>
      </c>
      <c r="B1660" s="44" t="s">
        <v>1873</v>
      </c>
      <c r="C1660" s="44" t="s">
        <v>617</v>
      </c>
      <c r="D1660" s="44" t="n">
        <v>1104002</v>
      </c>
      <c r="E1660" s="44" t="s">
        <v>601</v>
      </c>
      <c r="F1660" s="44" t="s">
        <v>1874</v>
      </c>
      <c r="G1660" s="42"/>
      <c r="H1660" s="42" t="n">
        <v>33119215.22</v>
      </c>
      <c r="I1660" s="44" t="s">
        <v>432</v>
      </c>
      <c r="J1660" s="11" t="n">
        <f aca="false">IF(D1660="","",N(G1660)-N(H1660))</f>
        <v>-33119215.22</v>
      </c>
      <c r="K1660" s="34" t="str">
        <f aca="false">IF(D1660="","",IFERROR(INDEX(I_COA!$C$6:$C$265,MATCH(D1660,I_COA!$A$6:$A$265,0)),"AKUN BARU"))</f>
        <v>Neraca</v>
      </c>
      <c r="L1660" s="34" t="str">
        <f aca="false">IF(K1660="LabaRugi",INDEX(I_COA!$D$6:$D$265,MATCH(D1660,I_COA!$A$6:$A$265,0)),"")</f>
        <v/>
      </c>
      <c r="M1660" s="34" t="str">
        <f aca="false">IF(K1660="Neraca",INDEX(I_COA!$E$6:$E$265,MATCH(D1660,I_COA!$A$6:$A$265,0)),"")</f>
        <v>Inventory - Product</v>
      </c>
      <c r="N1660" s="34" t="str">
        <f aca="false">IF(D1660="","",IFERROR(INDEX(I_COA!$G$6:$G$265,MATCH(D1660,I_COA!$A$6:$A$265,0)),"N"))</f>
        <v>N</v>
      </c>
      <c r="O1660" s="11" t="n">
        <f aca="false">IF(N1660="N",ABS(J1660),"")</f>
        <v>33119215.22</v>
      </c>
      <c r="P1660" s="18" t="str">
        <f aca="false">IF(N1660="N",B1660&amp;"|"&amp;ROUND(O1660,0),"")</f>
        <v>KGR26/0314|33119215</v>
      </c>
      <c r="Q1660" s="18" t="str">
        <f aca="false">IF(N1660&lt;&gt;"Y","",IFERROR(INDEX($D$6:$D$4005,MATCH(B1660&amp;"|"&amp;ROUND(_xlfn.MAXIFS($O$6:$O$4005,$B$6:$B$4005,B1660,$N$6:$N$4005,"N"),0),$P$6:$P$4005,0)),"(tanpa lawan)"))</f>
        <v/>
      </c>
      <c r="R1660" s="44"/>
      <c r="S1660" s="9" t="str">
        <f aca="false">IF(N1660&lt;&gt;"Y","",IF(R1660&lt;&gt;"",R1660,IF(Q1660="(tanpa lawan)","Transfer antar rekening",IFERROR(INDEX(I_COA!$F$6:$F$265,MATCH(Q1660,I_COA!$A$6:$A$265,0)),"?"))))</f>
        <v/>
      </c>
    </row>
    <row r="1661" customFormat="false" ht="15" hidden="false" customHeight="false" outlineLevel="0" collapsed="false">
      <c r="A1661" s="37" t="n">
        <v>46256</v>
      </c>
      <c r="B1661" s="44" t="s">
        <v>1875</v>
      </c>
      <c r="C1661" s="44" t="s">
        <v>617</v>
      </c>
      <c r="D1661" s="44" t="n">
        <v>1103101</v>
      </c>
      <c r="E1661" s="44" t="s">
        <v>589</v>
      </c>
      <c r="F1661" s="44" t="s">
        <v>1876</v>
      </c>
      <c r="G1661" s="42" t="n">
        <v>46233750</v>
      </c>
      <c r="H1661" s="42"/>
      <c r="I1661" s="44" t="s">
        <v>774</v>
      </c>
      <c r="J1661" s="11" t="n">
        <f aca="false">IF(D1661="","",N(G1661)-N(H1661))</f>
        <v>46233750</v>
      </c>
      <c r="K1661" s="34" t="str">
        <f aca="false">IF(D1661="","",IFERROR(INDEX(I_COA!$C$6:$C$265,MATCH(D1661,I_COA!$A$6:$A$265,0)),"AKUN BARU"))</f>
        <v>Neraca</v>
      </c>
      <c r="L1661" s="34" t="str">
        <f aca="false">IF(K1661="LabaRugi",INDEX(I_COA!$D$6:$D$265,MATCH(D1661,I_COA!$A$6:$A$265,0)),"")</f>
        <v/>
      </c>
      <c r="M1661" s="34" t="str">
        <f aca="false">IF(K1661="Neraca",INDEX(I_COA!$E$6:$E$265,MATCH(D1661,I_COA!$A$6:$A$265,0)),"")</f>
        <v>Trade Receivables - Third Parties</v>
      </c>
      <c r="N1661" s="34" t="str">
        <f aca="false">IF(D1661="","",IFERROR(INDEX(I_COA!$G$6:$G$265,MATCH(D1661,I_COA!$A$6:$A$265,0)),"N"))</f>
        <v>N</v>
      </c>
      <c r="O1661" s="11" t="n">
        <f aca="false">IF(N1661="N",ABS(J1661),"")</f>
        <v>46233750</v>
      </c>
      <c r="P1661" s="18" t="str">
        <f aca="false">IF(N1661="N",B1661&amp;"|"&amp;ROUND(O1661,0),"")</f>
        <v>KGR26/0315|46233750</v>
      </c>
      <c r="Q1661" s="18" t="str">
        <f aca="false">IF(N1661&lt;&gt;"Y","",IFERROR(INDEX($D$6:$D$4005,MATCH(B1661&amp;"|"&amp;ROUND(_xlfn.MAXIFS($O$6:$O$4005,$B$6:$B$4005,B1661,$N$6:$N$4005,"N"),0),$P$6:$P$4005,0)),"(tanpa lawan)"))</f>
        <v/>
      </c>
      <c r="R1661" s="44"/>
      <c r="S1661" s="9" t="str">
        <f aca="false">IF(N1661&lt;&gt;"Y","",IF(R1661&lt;&gt;"",R1661,IF(Q1661="(tanpa lawan)","Transfer antar rekening",IFERROR(INDEX(I_COA!$F$6:$F$265,MATCH(Q1661,I_COA!$A$6:$A$265,0)),"?"))))</f>
        <v/>
      </c>
    </row>
    <row r="1662" customFormat="false" ht="15" hidden="false" customHeight="false" outlineLevel="0" collapsed="false">
      <c r="A1662" s="37" t="n">
        <v>46256</v>
      </c>
      <c r="B1662" s="44" t="s">
        <v>1875</v>
      </c>
      <c r="C1662" s="44" t="s">
        <v>617</v>
      </c>
      <c r="D1662" s="44" t="n">
        <v>4101006</v>
      </c>
      <c r="E1662" s="44" t="s">
        <v>626</v>
      </c>
      <c r="F1662" s="44" t="s">
        <v>1876</v>
      </c>
      <c r="G1662" s="42"/>
      <c r="H1662" s="42" t="n">
        <v>46233750</v>
      </c>
      <c r="I1662" s="44" t="s">
        <v>774</v>
      </c>
      <c r="J1662" s="11" t="n">
        <f aca="false">IF(D1662="","",N(G1662)-N(H1662))</f>
        <v>-46233750</v>
      </c>
      <c r="K1662" s="34" t="str">
        <f aca="false">IF(D1662="","",IFERROR(INDEX(I_COA!$C$6:$C$265,MATCH(D1662,I_COA!$A$6:$A$265,0)),"AKUN BARU"))</f>
        <v>LabaRugi</v>
      </c>
      <c r="L1662" s="34" t="str">
        <f aca="false">IF(K1662="LabaRugi",INDEX(I_COA!$D$6:$D$265,MATCH(D1662,I_COA!$A$6:$A$265,0)),"")</f>
        <v>Revenue - LB Main Product</v>
      </c>
      <c r="M1662" s="34" t="str">
        <f aca="false">IF(K1662="Neraca",INDEX(I_COA!$E$6:$E$265,MATCH(D1662,I_COA!$A$6:$A$265,0)),"")</f>
        <v/>
      </c>
      <c r="N1662" s="34" t="str">
        <f aca="false">IF(D1662="","",IFERROR(INDEX(I_COA!$G$6:$G$265,MATCH(D1662,I_COA!$A$6:$A$265,0)),"N"))</f>
        <v>N</v>
      </c>
      <c r="O1662" s="11" t="n">
        <f aca="false">IF(N1662="N",ABS(J1662),"")</f>
        <v>46233750</v>
      </c>
      <c r="P1662" s="18" t="str">
        <f aca="false">IF(N1662="N",B1662&amp;"|"&amp;ROUND(O1662,0),"")</f>
        <v>KGR26/0315|46233750</v>
      </c>
      <c r="Q1662" s="18" t="str">
        <f aca="false">IF(N1662&lt;&gt;"Y","",IFERROR(INDEX($D$6:$D$4005,MATCH(B1662&amp;"|"&amp;ROUND(_xlfn.MAXIFS($O$6:$O$4005,$B$6:$B$4005,B1662,$N$6:$N$4005,"N"),0),$P$6:$P$4005,0)),"(tanpa lawan)"))</f>
        <v/>
      </c>
      <c r="R1662" s="44"/>
      <c r="S1662" s="9" t="str">
        <f aca="false">IF(N1662&lt;&gt;"Y","",IF(R1662&lt;&gt;"",R1662,IF(Q1662="(tanpa lawan)","Transfer antar rekening",IFERROR(INDEX(I_COA!$F$6:$F$265,MATCH(Q1662,I_COA!$A$6:$A$265,0)),"?"))))</f>
        <v/>
      </c>
    </row>
    <row r="1663" customFormat="false" ht="15" hidden="false" customHeight="false" outlineLevel="0" collapsed="false">
      <c r="A1663" s="37" t="n">
        <v>46256</v>
      </c>
      <c r="B1663" s="44" t="s">
        <v>1875</v>
      </c>
      <c r="C1663" s="44" t="s">
        <v>617</v>
      </c>
      <c r="D1663" s="44" t="n">
        <v>5100004</v>
      </c>
      <c r="E1663" s="44" t="s">
        <v>627</v>
      </c>
      <c r="F1663" s="44" t="s">
        <v>1876</v>
      </c>
      <c r="G1663" s="42" t="n">
        <v>46253354.26</v>
      </c>
      <c r="H1663" s="42"/>
      <c r="I1663" s="44" t="s">
        <v>774</v>
      </c>
      <c r="J1663" s="11" t="n">
        <f aca="false">IF(D1663="","",N(G1663)-N(H1663))</f>
        <v>46253354.26</v>
      </c>
      <c r="K1663" s="34" t="str">
        <f aca="false">IF(D1663="","",IFERROR(INDEX(I_COA!$C$6:$C$265,MATCH(D1663,I_COA!$A$6:$A$265,0)),"AKUN BARU"))</f>
        <v>LabaRugi</v>
      </c>
      <c r="L1663" s="34" t="str">
        <f aca="false">IF(K1663="LabaRugi",INDEX(I_COA!$D$6:$D$265,MATCH(D1663,I_COA!$A$6:$A$265,0)),"")</f>
        <v>COGS - Live Bird</v>
      </c>
      <c r="M1663" s="34" t="str">
        <f aca="false">IF(K1663="Neraca",INDEX(I_COA!$E$6:$E$265,MATCH(D1663,I_COA!$A$6:$A$265,0)),"")</f>
        <v/>
      </c>
      <c r="N1663" s="34" t="str">
        <f aca="false">IF(D1663="","",IFERROR(INDEX(I_COA!$G$6:$G$265,MATCH(D1663,I_COA!$A$6:$A$265,0)),"N"))</f>
        <v>N</v>
      </c>
      <c r="O1663" s="11" t="n">
        <f aca="false">IF(N1663="N",ABS(J1663),"")</f>
        <v>46253354.26</v>
      </c>
      <c r="P1663" s="18" t="str">
        <f aca="false">IF(N1663="N",B1663&amp;"|"&amp;ROUND(O1663,0),"")</f>
        <v>KGR26/0315|46253354</v>
      </c>
      <c r="Q1663" s="18" t="str">
        <f aca="false">IF(N1663&lt;&gt;"Y","",IFERROR(INDEX($D$6:$D$4005,MATCH(B1663&amp;"|"&amp;ROUND(_xlfn.MAXIFS($O$6:$O$4005,$B$6:$B$4005,B1663,$N$6:$N$4005,"N"),0),$P$6:$P$4005,0)),"(tanpa lawan)"))</f>
        <v/>
      </c>
      <c r="R1663" s="44"/>
      <c r="S1663" s="9" t="str">
        <f aca="false">IF(N1663&lt;&gt;"Y","",IF(R1663&lt;&gt;"",R1663,IF(Q1663="(tanpa lawan)","Transfer antar rekening",IFERROR(INDEX(I_COA!$F$6:$F$265,MATCH(Q1663,I_COA!$A$6:$A$265,0)),"?"))))</f>
        <v/>
      </c>
    </row>
    <row r="1664" customFormat="false" ht="15" hidden="false" customHeight="false" outlineLevel="0" collapsed="false">
      <c r="A1664" s="37" t="n">
        <v>46256</v>
      </c>
      <c r="B1664" s="44" t="s">
        <v>1875</v>
      </c>
      <c r="C1664" s="44" t="s">
        <v>617</v>
      </c>
      <c r="D1664" s="44" t="n">
        <v>1104002</v>
      </c>
      <c r="E1664" s="44" t="s">
        <v>601</v>
      </c>
      <c r="F1664" s="44" t="s">
        <v>1876</v>
      </c>
      <c r="G1664" s="42"/>
      <c r="H1664" s="42" t="n">
        <v>46253354.26</v>
      </c>
      <c r="I1664" s="44" t="s">
        <v>774</v>
      </c>
      <c r="J1664" s="11" t="n">
        <f aca="false">IF(D1664="","",N(G1664)-N(H1664))</f>
        <v>-46253354.26</v>
      </c>
      <c r="K1664" s="34" t="str">
        <f aca="false">IF(D1664="","",IFERROR(INDEX(I_COA!$C$6:$C$265,MATCH(D1664,I_COA!$A$6:$A$265,0)),"AKUN BARU"))</f>
        <v>Neraca</v>
      </c>
      <c r="L1664" s="34" t="str">
        <f aca="false">IF(K1664="LabaRugi",INDEX(I_COA!$D$6:$D$265,MATCH(D1664,I_COA!$A$6:$A$265,0)),"")</f>
        <v/>
      </c>
      <c r="M1664" s="34" t="str">
        <f aca="false">IF(K1664="Neraca",INDEX(I_COA!$E$6:$E$265,MATCH(D1664,I_COA!$A$6:$A$265,0)),"")</f>
        <v>Inventory - Product</v>
      </c>
      <c r="N1664" s="34" t="str">
        <f aca="false">IF(D1664="","",IFERROR(INDEX(I_COA!$G$6:$G$265,MATCH(D1664,I_COA!$A$6:$A$265,0)),"N"))</f>
        <v>N</v>
      </c>
      <c r="O1664" s="11" t="n">
        <f aca="false">IF(N1664="N",ABS(J1664),"")</f>
        <v>46253354.26</v>
      </c>
      <c r="P1664" s="18" t="str">
        <f aca="false">IF(N1664="N",B1664&amp;"|"&amp;ROUND(O1664,0),"")</f>
        <v>KGR26/0315|46253354</v>
      </c>
      <c r="Q1664" s="18" t="str">
        <f aca="false">IF(N1664&lt;&gt;"Y","",IFERROR(INDEX($D$6:$D$4005,MATCH(B1664&amp;"|"&amp;ROUND(_xlfn.MAXIFS($O$6:$O$4005,$B$6:$B$4005,B1664,$N$6:$N$4005,"N"),0),$P$6:$P$4005,0)),"(tanpa lawan)"))</f>
        <v/>
      </c>
      <c r="R1664" s="44"/>
      <c r="S1664" s="9" t="str">
        <f aca="false">IF(N1664&lt;&gt;"Y","",IF(R1664&lt;&gt;"",R1664,IF(Q1664="(tanpa lawan)","Transfer antar rekening",IFERROR(INDEX(I_COA!$F$6:$F$265,MATCH(Q1664,I_COA!$A$6:$A$265,0)),"?"))))</f>
        <v/>
      </c>
    </row>
    <row r="1665" customFormat="false" ht="15" hidden="false" customHeight="false" outlineLevel="0" collapsed="false">
      <c r="A1665" s="37" t="n">
        <v>46257</v>
      </c>
      <c r="B1665" s="44" t="s">
        <v>1877</v>
      </c>
      <c r="C1665" s="44" t="s">
        <v>707</v>
      </c>
      <c r="D1665" s="44" t="n">
        <v>5100009</v>
      </c>
      <c r="E1665" s="44" t="s">
        <v>1003</v>
      </c>
      <c r="F1665" s="44" t="s">
        <v>1878</v>
      </c>
      <c r="G1665" s="42" t="n">
        <v>416000</v>
      </c>
      <c r="H1665" s="42"/>
      <c r="I1665" s="44" t="s">
        <v>440</v>
      </c>
      <c r="J1665" s="11" t="n">
        <f aca="false">IF(D1665="","",N(G1665)-N(H1665))</f>
        <v>416000</v>
      </c>
      <c r="K1665" s="34" t="str">
        <f aca="false">IF(D1665="","",IFERROR(INDEX(I_COA!$C$6:$C$265,MATCH(D1665,I_COA!$A$6:$A$265,0)),"AKUN BARU"))</f>
        <v>LabaRugi</v>
      </c>
      <c r="L1665" s="34" t="str">
        <f aca="false">IF(K1665="LabaRugi",INDEX(I_COA!$D$6:$D$265,MATCH(D1665,I_COA!$A$6:$A$265,0)),"")</f>
        <v>COGS - Blasting</v>
      </c>
      <c r="M1665" s="34" t="str">
        <f aca="false">IF(K1665="Neraca",INDEX(I_COA!$E$6:$E$265,MATCH(D1665,I_COA!$A$6:$A$265,0)),"")</f>
        <v/>
      </c>
      <c r="N1665" s="34" t="str">
        <f aca="false">IF(D1665="","",IFERROR(INDEX(I_COA!$G$6:$G$265,MATCH(D1665,I_COA!$A$6:$A$265,0)),"N"))</f>
        <v>N</v>
      </c>
      <c r="O1665" s="11" t="n">
        <f aca="false">IF(N1665="N",ABS(J1665),"")</f>
        <v>416000</v>
      </c>
      <c r="P1665" s="18" t="str">
        <f aca="false">IF(N1665="N",B1665&amp;"|"&amp;ROUND(O1665,0),"")</f>
        <v>PI26080074|416000</v>
      </c>
      <c r="Q1665" s="18" t="str">
        <f aca="false">IF(N1665&lt;&gt;"Y","",IFERROR(INDEX($D$6:$D$4005,MATCH(B1665&amp;"|"&amp;ROUND(_xlfn.MAXIFS($O$6:$O$4005,$B$6:$B$4005,B1665,$N$6:$N$4005,"N"),0),$P$6:$P$4005,0)),"(tanpa lawan)"))</f>
        <v/>
      </c>
      <c r="R1665" s="44"/>
      <c r="S1665" s="9" t="str">
        <f aca="false">IF(N1665&lt;&gt;"Y","",IF(R1665&lt;&gt;"",R1665,IF(Q1665="(tanpa lawan)","Transfer antar rekening",IFERROR(INDEX(I_COA!$F$6:$F$265,MATCH(Q1665,I_COA!$A$6:$A$265,0)),"?"))))</f>
        <v/>
      </c>
    </row>
    <row r="1666" customFormat="false" ht="15" hidden="false" customHeight="false" outlineLevel="0" collapsed="false">
      <c r="A1666" s="37" t="n">
        <v>46257</v>
      </c>
      <c r="B1666" s="44" t="s">
        <v>1877</v>
      </c>
      <c r="C1666" s="44" t="s">
        <v>707</v>
      </c>
      <c r="D1666" s="44" t="n">
        <v>2102003</v>
      </c>
      <c r="E1666" s="44" t="s">
        <v>722</v>
      </c>
      <c r="F1666" s="44" t="s">
        <v>1879</v>
      </c>
      <c r="G1666" s="42"/>
      <c r="H1666" s="42" t="n">
        <v>8320</v>
      </c>
      <c r="I1666" s="44" t="s">
        <v>440</v>
      </c>
      <c r="J1666" s="11" t="n">
        <f aca="false">IF(D1666="","",N(G1666)-N(H1666))</f>
        <v>-8320</v>
      </c>
      <c r="K1666" s="34" t="str">
        <f aca="false">IF(D1666="","",IFERROR(INDEX(I_COA!$C$6:$C$265,MATCH(D1666,I_COA!$A$6:$A$265,0)),"AKUN BARU"))</f>
        <v>Neraca</v>
      </c>
      <c r="L1666" s="34" t="str">
        <f aca="false">IF(K1666="LabaRugi",INDEX(I_COA!$D$6:$D$265,MATCH(D1666,I_COA!$A$6:$A$265,0)),"")</f>
        <v/>
      </c>
      <c r="M1666" s="34" t="str">
        <f aca="false">IF(K1666="Neraca",INDEX(I_COA!$E$6:$E$265,MATCH(D1666,I_COA!$A$6:$A$265,0)),"")</f>
        <v>Taxes Payable</v>
      </c>
      <c r="N1666" s="34" t="str">
        <f aca="false">IF(D1666="","",IFERROR(INDEX(I_COA!$G$6:$G$265,MATCH(D1666,I_COA!$A$6:$A$265,0)),"N"))</f>
        <v>N</v>
      </c>
      <c r="O1666" s="11" t="n">
        <f aca="false">IF(N1666="N",ABS(J1666),"")</f>
        <v>8320</v>
      </c>
      <c r="P1666" s="18" t="str">
        <f aca="false">IF(N1666="N",B1666&amp;"|"&amp;ROUND(O1666,0),"")</f>
        <v>PI26080074|8320</v>
      </c>
      <c r="Q1666" s="18" t="str">
        <f aca="false">IF(N1666&lt;&gt;"Y","",IFERROR(INDEX($D$6:$D$4005,MATCH(B1666&amp;"|"&amp;ROUND(_xlfn.MAXIFS($O$6:$O$4005,$B$6:$B$4005,B1666,$N$6:$N$4005,"N"),0),$P$6:$P$4005,0)),"(tanpa lawan)"))</f>
        <v/>
      </c>
      <c r="R1666" s="44"/>
      <c r="S1666" s="9" t="str">
        <f aca="false">IF(N1666&lt;&gt;"Y","",IF(R1666&lt;&gt;"",R1666,IF(Q1666="(tanpa lawan)","Transfer antar rekening",IFERROR(INDEX(I_COA!$F$6:$F$265,MATCH(Q1666,I_COA!$A$6:$A$265,0)),"?"))))</f>
        <v/>
      </c>
    </row>
    <row r="1667" customFormat="false" ht="15" hidden="false" customHeight="false" outlineLevel="0" collapsed="false">
      <c r="A1667" s="37" t="n">
        <v>46257</v>
      </c>
      <c r="B1667" s="44" t="s">
        <v>1877</v>
      </c>
      <c r="C1667" s="44" t="s">
        <v>707</v>
      </c>
      <c r="D1667" s="44" t="n">
        <v>1106001</v>
      </c>
      <c r="E1667" s="44" t="s">
        <v>720</v>
      </c>
      <c r="F1667" s="44" t="s">
        <v>721</v>
      </c>
      <c r="G1667" s="42" t="n">
        <v>45760</v>
      </c>
      <c r="H1667" s="42"/>
      <c r="I1667" s="44" t="s">
        <v>440</v>
      </c>
      <c r="J1667" s="11" t="n">
        <f aca="false">IF(D1667="","",N(G1667)-N(H1667))</f>
        <v>45760</v>
      </c>
      <c r="K1667" s="34" t="str">
        <f aca="false">IF(D1667="","",IFERROR(INDEX(I_COA!$C$6:$C$265,MATCH(D1667,I_COA!$A$6:$A$265,0)),"AKUN BARU"))</f>
        <v>Neraca</v>
      </c>
      <c r="L1667" s="34" t="str">
        <f aca="false">IF(K1667="LabaRugi",INDEX(I_COA!$D$6:$D$265,MATCH(D1667,I_COA!$A$6:$A$265,0)),"")</f>
        <v/>
      </c>
      <c r="M1667" s="34" t="str">
        <f aca="false">IF(K1667="Neraca",INDEX(I_COA!$E$6:$E$265,MATCH(D1667,I_COA!$A$6:$A$265,0)),"")</f>
        <v>Prepaid Tax</v>
      </c>
      <c r="N1667" s="34" t="str">
        <f aca="false">IF(D1667="","",IFERROR(INDEX(I_COA!$G$6:$G$265,MATCH(D1667,I_COA!$A$6:$A$265,0)),"N"))</f>
        <v>N</v>
      </c>
      <c r="O1667" s="11" t="n">
        <f aca="false">IF(N1667="N",ABS(J1667),"")</f>
        <v>45760</v>
      </c>
      <c r="P1667" s="18" t="str">
        <f aca="false">IF(N1667="N",B1667&amp;"|"&amp;ROUND(O1667,0),"")</f>
        <v>PI26080074|45760</v>
      </c>
      <c r="Q1667" s="18" t="str">
        <f aca="false">IF(N1667&lt;&gt;"Y","",IFERROR(INDEX($D$6:$D$4005,MATCH(B1667&amp;"|"&amp;ROUND(_xlfn.MAXIFS($O$6:$O$4005,$B$6:$B$4005,B1667,$N$6:$N$4005,"N"),0),$P$6:$P$4005,0)),"(tanpa lawan)"))</f>
        <v/>
      </c>
      <c r="R1667" s="44"/>
      <c r="S1667" s="9" t="str">
        <f aca="false">IF(N1667&lt;&gt;"Y","",IF(R1667&lt;&gt;"",R1667,IF(Q1667="(tanpa lawan)","Transfer antar rekening",IFERROR(INDEX(I_COA!$F$6:$F$265,MATCH(Q1667,I_COA!$A$6:$A$265,0)),"?"))))</f>
        <v/>
      </c>
    </row>
    <row r="1668" customFormat="false" ht="15" hidden="false" customHeight="false" outlineLevel="0" collapsed="false">
      <c r="A1668" s="37" t="n">
        <v>46257</v>
      </c>
      <c r="B1668" s="44" t="s">
        <v>1877</v>
      </c>
      <c r="C1668" s="44" t="s">
        <v>707</v>
      </c>
      <c r="D1668" s="44" t="n">
        <v>2101003</v>
      </c>
      <c r="E1668" s="44" t="s">
        <v>679</v>
      </c>
      <c r="F1668" s="44" t="s">
        <v>1878</v>
      </c>
      <c r="G1668" s="42"/>
      <c r="H1668" s="42" t="n">
        <v>453440</v>
      </c>
      <c r="I1668" s="44" t="s">
        <v>440</v>
      </c>
      <c r="J1668" s="11" t="n">
        <f aca="false">IF(D1668="","",N(G1668)-N(H1668))</f>
        <v>-453440</v>
      </c>
      <c r="K1668" s="34" t="str">
        <f aca="false">IF(D1668="","",IFERROR(INDEX(I_COA!$C$6:$C$265,MATCH(D1668,I_COA!$A$6:$A$265,0)),"AKUN BARU"))</f>
        <v>Neraca</v>
      </c>
      <c r="L1668" s="34" t="str">
        <f aca="false">IF(K1668="LabaRugi",INDEX(I_COA!$D$6:$D$265,MATCH(D1668,I_COA!$A$6:$A$265,0)),"")</f>
        <v/>
      </c>
      <c r="M1668" s="34" t="str">
        <f aca="false">IF(K1668="Neraca",INDEX(I_COA!$E$6:$E$265,MATCH(D1668,I_COA!$A$6:$A$265,0)),"")</f>
        <v>Other Payable - Third Parties</v>
      </c>
      <c r="N1668" s="34" t="str">
        <f aca="false">IF(D1668="","",IFERROR(INDEX(I_COA!$G$6:$G$265,MATCH(D1668,I_COA!$A$6:$A$265,0)),"N"))</f>
        <v>N</v>
      </c>
      <c r="O1668" s="11" t="n">
        <f aca="false">IF(N1668="N",ABS(J1668),"")</f>
        <v>453440</v>
      </c>
      <c r="P1668" s="18" t="str">
        <f aca="false">IF(N1668="N",B1668&amp;"|"&amp;ROUND(O1668,0),"")</f>
        <v>PI26080074|453440</v>
      </c>
      <c r="Q1668" s="18" t="str">
        <f aca="false">IF(N1668&lt;&gt;"Y","",IFERROR(INDEX($D$6:$D$4005,MATCH(B1668&amp;"|"&amp;ROUND(_xlfn.MAXIFS($O$6:$O$4005,$B$6:$B$4005,B1668,$N$6:$N$4005,"N"),0),$P$6:$P$4005,0)),"(tanpa lawan)"))</f>
        <v/>
      </c>
      <c r="R1668" s="44"/>
      <c r="S1668" s="9" t="str">
        <f aca="false">IF(N1668&lt;&gt;"Y","",IF(R1668&lt;&gt;"",R1668,IF(Q1668="(tanpa lawan)","Transfer antar rekening",IFERROR(INDEX(I_COA!$F$6:$F$265,MATCH(Q1668,I_COA!$A$6:$A$265,0)),"?"))))</f>
        <v/>
      </c>
    </row>
    <row r="1669" customFormat="false" ht="15" hidden="false" customHeight="false" outlineLevel="0" collapsed="false">
      <c r="A1669" s="37" t="n">
        <v>46258</v>
      </c>
      <c r="B1669" s="44" t="s">
        <v>1862</v>
      </c>
      <c r="C1669" s="44" t="s">
        <v>580</v>
      </c>
      <c r="D1669" s="44" t="n">
        <v>1102001</v>
      </c>
      <c r="E1669" s="44" t="s">
        <v>586</v>
      </c>
      <c r="F1669" s="44" t="s">
        <v>1880</v>
      </c>
      <c r="G1669" s="42" t="n">
        <v>122383100</v>
      </c>
      <c r="H1669" s="42"/>
      <c r="I1669" s="44"/>
      <c r="J1669" s="11" t="n">
        <f aca="false">IF(D1669="","",N(G1669)-N(H1669))</f>
        <v>122383100</v>
      </c>
      <c r="K1669" s="34" t="str">
        <f aca="false">IF(D1669="","",IFERROR(INDEX(I_COA!$C$6:$C$265,MATCH(D1669,I_COA!$A$6:$A$265,0)),"AKUN BARU"))</f>
        <v>Neraca</v>
      </c>
      <c r="L1669" s="34" t="str">
        <f aca="false">IF(K1669="LabaRugi",INDEX(I_COA!$D$6:$D$265,MATCH(D1669,I_COA!$A$6:$A$265,0)),"")</f>
        <v/>
      </c>
      <c r="M1669" s="34" t="str">
        <f aca="false">IF(K1669="Neraca",INDEX(I_COA!$E$6:$E$265,MATCH(D1669,I_COA!$A$6:$A$265,0)),"")</f>
        <v>Cash and cash equivalents</v>
      </c>
      <c r="N1669" s="34" t="str">
        <f aca="false">IF(D1669="","",IFERROR(INDEX(I_COA!$G$6:$G$265,MATCH(D1669,I_COA!$A$6:$A$265,0)),"N"))</f>
        <v>Y</v>
      </c>
      <c r="O1669" s="11" t="str">
        <f aca="false">IF(N1669="N",ABS(J1669),"")</f>
        <v/>
      </c>
      <c r="P1669" s="18" t="str">
        <f aca="false">IF(N1669="N",B1669&amp;"|"&amp;ROUND(O1669,0),"")</f>
        <v/>
      </c>
      <c r="Q1669" s="18" t="n">
        <f aca="false">IF(N1669&lt;&gt;"Y","",IFERROR(INDEX($D$6:$D$4005,MATCH(B1669&amp;"|"&amp;ROUND(_xlfn.MAXIFS($O$6:$O$4005,$B$6:$B$4005,B1669,$N$6:$N$4005,"N"),0),$P$6:$P$4005,0)),"(tanpa lawan)"))</f>
        <v>2101020</v>
      </c>
      <c r="R1669" s="44"/>
      <c r="S1669" s="9" t="str">
        <f aca="false">IF(N1669&lt;&gt;"Y","",IF(R1669&lt;&gt;"",R1669,IF(Q1669="(tanpa lawan)","Transfer antar rekening",IFERROR(INDEX(I_COA!$F$6:$F$265,MATCH(Q1669,I_COA!$A$6:$A$265,0)),"?"))))</f>
        <v>Penerimaan dari pelanggan</v>
      </c>
    </row>
    <row r="1670" customFormat="false" ht="15" hidden="false" customHeight="false" outlineLevel="0" collapsed="false">
      <c r="A1670" s="37" t="n">
        <v>46258</v>
      </c>
      <c r="B1670" s="44" t="s">
        <v>1862</v>
      </c>
      <c r="C1670" s="44" t="s">
        <v>580</v>
      </c>
      <c r="D1670" s="44" t="n">
        <v>2101020</v>
      </c>
      <c r="E1670" s="44" t="s">
        <v>653</v>
      </c>
      <c r="F1670" s="44" t="s">
        <v>1880</v>
      </c>
      <c r="G1670" s="42"/>
      <c r="H1670" s="42" t="n">
        <v>122383100</v>
      </c>
      <c r="I1670" s="44" t="s">
        <v>465</v>
      </c>
      <c r="J1670" s="11" t="n">
        <f aca="false">IF(D1670="","",N(G1670)-N(H1670))</f>
        <v>-122383100</v>
      </c>
      <c r="K1670" s="34" t="str">
        <f aca="false">IF(D1670="","",IFERROR(INDEX(I_COA!$C$6:$C$265,MATCH(D1670,I_COA!$A$6:$A$265,0)),"AKUN BARU"))</f>
        <v>Neraca</v>
      </c>
      <c r="L1670" s="34" t="str">
        <f aca="false">IF(K1670="LabaRugi",INDEX(I_COA!$D$6:$D$265,MATCH(D1670,I_COA!$A$6:$A$265,0)),"")</f>
        <v/>
      </c>
      <c r="M1670" s="34" t="str">
        <f aca="false">IF(K1670="Neraca",INDEX(I_COA!$E$6:$E$265,MATCH(D1670,I_COA!$A$6:$A$265,0)),"")</f>
        <v>Unearned Revenue</v>
      </c>
      <c r="N1670" s="34" t="str">
        <f aca="false">IF(D1670="","",IFERROR(INDEX(I_COA!$G$6:$G$265,MATCH(D1670,I_COA!$A$6:$A$265,0)),"N"))</f>
        <v>N</v>
      </c>
      <c r="O1670" s="11" t="n">
        <f aca="false">IF(N1670="N",ABS(J1670),"")</f>
        <v>122383100</v>
      </c>
      <c r="P1670" s="18" t="str">
        <f aca="false">IF(N1670="N",B1670&amp;"|"&amp;ROUND(O1670,0),"")</f>
        <v>B7626080104|122383100</v>
      </c>
      <c r="Q1670" s="18" t="str">
        <f aca="false">IF(N1670&lt;&gt;"Y","",IFERROR(INDEX($D$6:$D$4005,MATCH(B1670&amp;"|"&amp;ROUND(_xlfn.MAXIFS($O$6:$O$4005,$B$6:$B$4005,B1670,$N$6:$N$4005,"N"),0),$P$6:$P$4005,0)),"(tanpa lawan)"))</f>
        <v/>
      </c>
      <c r="R1670" s="44"/>
      <c r="S1670" s="9" t="str">
        <f aca="false">IF(N1670&lt;&gt;"Y","",IF(R1670&lt;&gt;"",R1670,IF(Q1670="(tanpa lawan)","Transfer antar rekening",IFERROR(INDEX(I_COA!$F$6:$F$265,MATCH(Q1670,I_COA!$A$6:$A$265,0)),"?"))))</f>
        <v/>
      </c>
    </row>
    <row r="1671" customFormat="false" ht="15" hidden="false" customHeight="false" outlineLevel="0" collapsed="false">
      <c r="A1671" s="37" t="n">
        <v>46258</v>
      </c>
      <c r="B1671" s="44" t="s">
        <v>1881</v>
      </c>
      <c r="C1671" s="44" t="s">
        <v>585</v>
      </c>
      <c r="D1671" s="44" t="n">
        <v>1102001</v>
      </c>
      <c r="E1671" s="44" t="s">
        <v>586</v>
      </c>
      <c r="F1671" s="44" t="s">
        <v>1882</v>
      </c>
      <c r="G1671" s="42" t="n">
        <v>7340550</v>
      </c>
      <c r="H1671" s="42"/>
      <c r="I1671" s="44" t="s">
        <v>429</v>
      </c>
      <c r="J1671" s="11" t="n">
        <f aca="false">IF(D1671="","",N(G1671)-N(H1671))</f>
        <v>7340550</v>
      </c>
      <c r="K1671" s="34" t="str">
        <f aca="false">IF(D1671="","",IFERROR(INDEX(I_COA!$C$6:$C$265,MATCH(D1671,I_COA!$A$6:$A$265,0)),"AKUN BARU"))</f>
        <v>Neraca</v>
      </c>
      <c r="L1671" s="34" t="str">
        <f aca="false">IF(K1671="LabaRugi",INDEX(I_COA!$D$6:$D$265,MATCH(D1671,I_COA!$A$6:$A$265,0)),"")</f>
        <v/>
      </c>
      <c r="M1671" s="34" t="str">
        <f aca="false">IF(K1671="Neraca",INDEX(I_COA!$E$6:$E$265,MATCH(D1671,I_COA!$A$6:$A$265,0)),"")</f>
        <v>Cash and cash equivalents</v>
      </c>
      <c r="N1671" s="34" t="str">
        <f aca="false">IF(D1671="","",IFERROR(INDEX(I_COA!$G$6:$G$265,MATCH(D1671,I_COA!$A$6:$A$265,0)),"N"))</f>
        <v>Y</v>
      </c>
      <c r="O1671" s="11" t="str">
        <f aca="false">IF(N1671="N",ABS(J1671),"")</f>
        <v/>
      </c>
      <c r="P1671" s="18" t="str">
        <f aca="false">IF(N1671="N",B1671&amp;"|"&amp;ROUND(O1671,0),"")</f>
        <v/>
      </c>
      <c r="Q1671" s="18" t="n">
        <f aca="false">IF(N1671&lt;&gt;"Y","",IFERROR(INDEX($D$6:$D$4005,MATCH(B1671&amp;"|"&amp;ROUND(_xlfn.MAXIFS($O$6:$O$4005,$B$6:$B$4005,B1671,$N$6:$N$4005,"N"),0),$P$6:$P$4005,0)),"(tanpa lawan)"))</f>
        <v>1103101</v>
      </c>
      <c r="R1671" s="44"/>
      <c r="S1671" s="9" t="str">
        <f aca="false">IF(N1671&lt;&gt;"Y","",IF(R1671&lt;&gt;"",R1671,IF(Q1671="(tanpa lawan)","Transfer antar rekening",IFERROR(INDEX(I_COA!$F$6:$F$265,MATCH(Q1671,I_COA!$A$6:$A$265,0)),"?"))))</f>
        <v>Penerimaan dari pelanggan</v>
      </c>
    </row>
    <row r="1672" customFormat="false" ht="15" hidden="false" customHeight="false" outlineLevel="0" collapsed="false">
      <c r="A1672" s="37" t="n">
        <v>46258</v>
      </c>
      <c r="B1672" s="44" t="s">
        <v>1881</v>
      </c>
      <c r="C1672" s="44" t="s">
        <v>585</v>
      </c>
      <c r="D1672" s="44" t="n">
        <v>1103101</v>
      </c>
      <c r="E1672" s="44" t="s">
        <v>589</v>
      </c>
      <c r="F1672" s="44" t="s">
        <v>1882</v>
      </c>
      <c r="G1672" s="42"/>
      <c r="H1672" s="42" t="n">
        <v>7340550</v>
      </c>
      <c r="I1672" s="44" t="s">
        <v>429</v>
      </c>
      <c r="J1672" s="11" t="n">
        <f aca="false">IF(D1672="","",N(G1672)-N(H1672))</f>
        <v>-7340550</v>
      </c>
      <c r="K1672" s="34" t="str">
        <f aca="false">IF(D1672="","",IFERROR(INDEX(I_COA!$C$6:$C$265,MATCH(D1672,I_COA!$A$6:$A$265,0)),"AKUN BARU"))</f>
        <v>Neraca</v>
      </c>
      <c r="L1672" s="34" t="str">
        <f aca="false">IF(K1672="LabaRugi",INDEX(I_COA!$D$6:$D$265,MATCH(D1672,I_COA!$A$6:$A$265,0)),"")</f>
        <v/>
      </c>
      <c r="M1672" s="34" t="str">
        <f aca="false">IF(K1672="Neraca",INDEX(I_COA!$E$6:$E$265,MATCH(D1672,I_COA!$A$6:$A$265,0)),"")</f>
        <v>Trade Receivables - Third Parties</v>
      </c>
      <c r="N1672" s="34" t="str">
        <f aca="false">IF(D1672="","",IFERROR(INDEX(I_COA!$G$6:$G$265,MATCH(D1672,I_COA!$A$6:$A$265,0)),"N"))</f>
        <v>N</v>
      </c>
      <c r="O1672" s="11" t="n">
        <f aca="false">IF(N1672="N",ABS(J1672),"")</f>
        <v>7340550</v>
      </c>
      <c r="P1672" s="18" t="str">
        <f aca="false">IF(N1672="N",B1672&amp;"|"&amp;ROUND(O1672,0),"")</f>
        <v>B7626080109|7340550</v>
      </c>
      <c r="Q1672" s="18" t="str">
        <f aca="false">IF(N1672&lt;&gt;"Y","",IFERROR(INDEX($D$6:$D$4005,MATCH(B1672&amp;"|"&amp;ROUND(_xlfn.MAXIFS($O$6:$O$4005,$B$6:$B$4005,B1672,$N$6:$N$4005,"N"),0),$P$6:$P$4005,0)),"(tanpa lawan)"))</f>
        <v/>
      </c>
      <c r="R1672" s="44"/>
      <c r="S1672" s="9" t="str">
        <f aca="false">IF(N1672&lt;&gt;"Y","",IF(R1672&lt;&gt;"",R1672,IF(Q1672="(tanpa lawan)","Transfer antar rekening",IFERROR(INDEX(I_COA!$F$6:$F$265,MATCH(Q1672,I_COA!$A$6:$A$265,0)),"?"))))</f>
        <v/>
      </c>
    </row>
    <row r="1673" customFormat="false" ht="15" hidden="false" customHeight="false" outlineLevel="0" collapsed="false">
      <c r="A1673" s="37" t="n">
        <v>46258</v>
      </c>
      <c r="B1673" s="44" t="s">
        <v>1883</v>
      </c>
      <c r="C1673" s="44" t="s">
        <v>585</v>
      </c>
      <c r="D1673" s="44" t="n">
        <v>1102001</v>
      </c>
      <c r="E1673" s="44" t="s">
        <v>586</v>
      </c>
      <c r="F1673" s="44" t="s">
        <v>1884</v>
      </c>
      <c r="G1673" s="42" t="n">
        <v>46233750</v>
      </c>
      <c r="H1673" s="42"/>
      <c r="I1673" s="44" t="s">
        <v>774</v>
      </c>
      <c r="J1673" s="11" t="n">
        <f aca="false">IF(D1673="","",N(G1673)-N(H1673))</f>
        <v>46233750</v>
      </c>
      <c r="K1673" s="34" t="str">
        <f aca="false">IF(D1673="","",IFERROR(INDEX(I_COA!$C$6:$C$265,MATCH(D1673,I_COA!$A$6:$A$265,0)),"AKUN BARU"))</f>
        <v>Neraca</v>
      </c>
      <c r="L1673" s="34" t="str">
        <f aca="false">IF(K1673="LabaRugi",INDEX(I_COA!$D$6:$D$265,MATCH(D1673,I_COA!$A$6:$A$265,0)),"")</f>
        <v/>
      </c>
      <c r="M1673" s="34" t="str">
        <f aca="false">IF(K1673="Neraca",INDEX(I_COA!$E$6:$E$265,MATCH(D1673,I_COA!$A$6:$A$265,0)),"")</f>
        <v>Cash and cash equivalents</v>
      </c>
      <c r="N1673" s="34" t="str">
        <f aca="false">IF(D1673="","",IFERROR(INDEX(I_COA!$G$6:$G$265,MATCH(D1673,I_COA!$A$6:$A$265,0)),"N"))</f>
        <v>Y</v>
      </c>
      <c r="O1673" s="11" t="str">
        <f aca="false">IF(N1673="N",ABS(J1673),"")</f>
        <v/>
      </c>
      <c r="P1673" s="18" t="str">
        <f aca="false">IF(N1673="N",B1673&amp;"|"&amp;ROUND(O1673,0),"")</f>
        <v/>
      </c>
      <c r="Q1673" s="18" t="n">
        <f aca="false">IF(N1673&lt;&gt;"Y","",IFERROR(INDEX($D$6:$D$4005,MATCH(B1673&amp;"|"&amp;ROUND(_xlfn.MAXIFS($O$6:$O$4005,$B$6:$B$4005,B1673,$N$6:$N$4005,"N"),0),$P$6:$P$4005,0)),"(tanpa lawan)"))</f>
        <v>1103101</v>
      </c>
      <c r="R1673" s="44"/>
      <c r="S1673" s="9" t="str">
        <f aca="false">IF(N1673&lt;&gt;"Y","",IF(R1673&lt;&gt;"",R1673,IF(Q1673="(tanpa lawan)","Transfer antar rekening",IFERROR(INDEX(I_COA!$F$6:$F$265,MATCH(Q1673,I_COA!$A$6:$A$265,0)),"?"))))</f>
        <v>Penerimaan dari pelanggan</v>
      </c>
    </row>
    <row r="1674" customFormat="false" ht="15" hidden="false" customHeight="false" outlineLevel="0" collapsed="false">
      <c r="A1674" s="37" t="n">
        <v>46258</v>
      </c>
      <c r="B1674" s="44" t="s">
        <v>1883</v>
      </c>
      <c r="C1674" s="44" t="s">
        <v>585</v>
      </c>
      <c r="D1674" s="44" t="n">
        <v>1103101</v>
      </c>
      <c r="E1674" s="44" t="s">
        <v>589</v>
      </c>
      <c r="F1674" s="44" t="s">
        <v>1884</v>
      </c>
      <c r="G1674" s="42"/>
      <c r="H1674" s="42" t="n">
        <v>46233750</v>
      </c>
      <c r="I1674" s="44" t="s">
        <v>774</v>
      </c>
      <c r="J1674" s="11" t="n">
        <f aca="false">IF(D1674="","",N(G1674)-N(H1674))</f>
        <v>-46233750</v>
      </c>
      <c r="K1674" s="34" t="str">
        <f aca="false">IF(D1674="","",IFERROR(INDEX(I_COA!$C$6:$C$265,MATCH(D1674,I_COA!$A$6:$A$265,0)),"AKUN BARU"))</f>
        <v>Neraca</v>
      </c>
      <c r="L1674" s="34" t="str">
        <f aca="false">IF(K1674="LabaRugi",INDEX(I_COA!$D$6:$D$265,MATCH(D1674,I_COA!$A$6:$A$265,0)),"")</f>
        <v/>
      </c>
      <c r="M1674" s="34" t="str">
        <f aca="false">IF(K1674="Neraca",INDEX(I_COA!$E$6:$E$265,MATCH(D1674,I_COA!$A$6:$A$265,0)),"")</f>
        <v>Trade Receivables - Third Parties</v>
      </c>
      <c r="N1674" s="34" t="str">
        <f aca="false">IF(D1674="","",IFERROR(INDEX(I_COA!$G$6:$G$265,MATCH(D1674,I_COA!$A$6:$A$265,0)),"N"))</f>
        <v>N</v>
      </c>
      <c r="O1674" s="11" t="n">
        <f aca="false">IF(N1674="N",ABS(J1674),"")</f>
        <v>46233750</v>
      </c>
      <c r="P1674" s="18" t="str">
        <f aca="false">IF(N1674="N",B1674&amp;"|"&amp;ROUND(O1674,0),"")</f>
        <v>B7626080110|46233750</v>
      </c>
      <c r="Q1674" s="18" t="str">
        <f aca="false">IF(N1674&lt;&gt;"Y","",IFERROR(INDEX($D$6:$D$4005,MATCH(B1674&amp;"|"&amp;ROUND(_xlfn.MAXIFS($O$6:$O$4005,$B$6:$B$4005,B1674,$N$6:$N$4005,"N"),0),$P$6:$P$4005,0)),"(tanpa lawan)"))</f>
        <v/>
      </c>
      <c r="R1674" s="44"/>
      <c r="S1674" s="9" t="str">
        <f aca="false">IF(N1674&lt;&gt;"Y","",IF(R1674&lt;&gt;"",R1674,IF(Q1674="(tanpa lawan)","Transfer antar rekening",IFERROR(INDEX(I_COA!$F$6:$F$265,MATCH(Q1674,I_COA!$A$6:$A$265,0)),"?"))))</f>
        <v/>
      </c>
    </row>
    <row r="1675" customFormat="false" ht="15" hidden="false" customHeight="false" outlineLevel="0" collapsed="false">
      <c r="A1675" s="37" t="n">
        <v>46258</v>
      </c>
      <c r="B1675" s="44" t="s">
        <v>1885</v>
      </c>
      <c r="C1675" s="44" t="s">
        <v>690</v>
      </c>
      <c r="D1675" s="44" t="n">
        <v>1104006</v>
      </c>
      <c r="E1675" s="44" t="s">
        <v>212</v>
      </c>
      <c r="F1675" s="44" t="s">
        <v>1886</v>
      </c>
      <c r="G1675" s="42" t="n">
        <v>286317199.97</v>
      </c>
      <c r="H1675" s="42"/>
      <c r="I1675" s="44" t="s">
        <v>597</v>
      </c>
      <c r="J1675" s="11" t="n">
        <f aca="false">IF(D1675="","",N(G1675)-N(H1675))</f>
        <v>286317199.97</v>
      </c>
      <c r="K1675" s="34" t="str">
        <f aca="false">IF(D1675="","",IFERROR(INDEX(I_COA!$C$6:$C$265,MATCH(D1675,I_COA!$A$6:$A$265,0)),"AKUN BARU"))</f>
        <v>Neraca</v>
      </c>
      <c r="L1675" s="34" t="str">
        <f aca="false">IF(K1675="LabaRugi",INDEX(I_COA!$D$6:$D$265,MATCH(D1675,I_COA!$A$6:$A$265,0)),"")</f>
        <v/>
      </c>
      <c r="M1675" s="34" t="str">
        <f aca="false">IF(K1675="Neraca",INDEX(I_COA!$E$6:$E$265,MATCH(D1675,I_COA!$A$6:$A$265,0)),"")</f>
        <v>Inventory - Trading</v>
      </c>
      <c r="N1675" s="34" t="str">
        <f aca="false">IF(D1675="","",IFERROR(INDEX(I_COA!$G$6:$G$265,MATCH(D1675,I_COA!$A$6:$A$265,0)),"N"))</f>
        <v>N</v>
      </c>
      <c r="O1675" s="11" t="n">
        <f aca="false">IF(N1675="N",ABS(J1675),"")</f>
        <v>286317199.97</v>
      </c>
      <c r="P1675" s="18" t="str">
        <f aca="false">IF(N1675="N",B1675&amp;"|"&amp;ROUND(O1675,0),"")</f>
        <v>GR26080016|286317200</v>
      </c>
      <c r="Q1675" s="18" t="str">
        <f aca="false">IF(N1675&lt;&gt;"Y","",IFERROR(INDEX($D$6:$D$4005,MATCH(B1675&amp;"|"&amp;ROUND(_xlfn.MAXIFS($O$6:$O$4005,$B$6:$B$4005,B1675,$N$6:$N$4005,"N"),0),$P$6:$P$4005,0)),"(tanpa lawan)"))</f>
        <v/>
      </c>
      <c r="R1675" s="44"/>
      <c r="S1675" s="9" t="str">
        <f aca="false">IF(N1675&lt;&gt;"Y","",IF(R1675&lt;&gt;"",R1675,IF(Q1675="(tanpa lawan)","Transfer antar rekening",IFERROR(INDEX(I_COA!$F$6:$F$265,MATCH(Q1675,I_COA!$A$6:$A$265,0)),"?"))))</f>
        <v/>
      </c>
    </row>
    <row r="1676" customFormat="false" ht="15" hidden="false" customHeight="false" outlineLevel="0" collapsed="false">
      <c r="A1676" s="37" t="n">
        <v>46258</v>
      </c>
      <c r="B1676" s="44" t="s">
        <v>1885</v>
      </c>
      <c r="C1676" s="44" t="s">
        <v>690</v>
      </c>
      <c r="D1676" s="44" t="n">
        <v>2103011</v>
      </c>
      <c r="E1676" s="44" t="s">
        <v>693</v>
      </c>
      <c r="F1676" s="44" t="s">
        <v>1886</v>
      </c>
      <c r="G1676" s="42"/>
      <c r="H1676" s="42" t="n">
        <v>286317199.97</v>
      </c>
      <c r="I1676" s="44" t="s">
        <v>597</v>
      </c>
      <c r="J1676" s="11" t="n">
        <f aca="false">IF(D1676="","",N(G1676)-N(H1676))</f>
        <v>-286317199.97</v>
      </c>
      <c r="K1676" s="34" t="str">
        <f aca="false">IF(D1676="","",IFERROR(INDEX(I_COA!$C$6:$C$265,MATCH(D1676,I_COA!$A$6:$A$265,0)),"AKUN BARU"))</f>
        <v>Neraca</v>
      </c>
      <c r="L1676" s="34" t="str">
        <f aca="false">IF(K1676="LabaRugi",INDEX(I_COA!$D$6:$D$265,MATCH(D1676,I_COA!$A$6:$A$265,0)),"")</f>
        <v/>
      </c>
      <c r="M1676" s="34" t="str">
        <f aca="false">IF(K1676="Neraca",INDEX(I_COA!$E$6:$E$265,MATCH(D1676,I_COA!$A$6:$A$265,0)),"")</f>
        <v>Accrued Expenses - Third Parties</v>
      </c>
      <c r="N1676" s="34" t="str">
        <f aca="false">IF(D1676="","",IFERROR(INDEX(I_COA!$G$6:$G$265,MATCH(D1676,I_COA!$A$6:$A$265,0)),"N"))</f>
        <v>N</v>
      </c>
      <c r="O1676" s="11" t="n">
        <f aca="false">IF(N1676="N",ABS(J1676),"")</f>
        <v>286317199.97</v>
      </c>
      <c r="P1676" s="18" t="str">
        <f aca="false">IF(N1676="N",B1676&amp;"|"&amp;ROUND(O1676,0),"")</f>
        <v>GR26080016|286317200</v>
      </c>
      <c r="Q1676" s="18" t="str">
        <f aca="false">IF(N1676&lt;&gt;"Y","",IFERROR(INDEX($D$6:$D$4005,MATCH(B1676&amp;"|"&amp;ROUND(_xlfn.MAXIFS($O$6:$O$4005,$B$6:$B$4005,B1676,$N$6:$N$4005,"N"),0),$P$6:$P$4005,0)),"(tanpa lawan)"))</f>
        <v/>
      </c>
      <c r="R1676" s="44"/>
      <c r="S1676" s="9" t="str">
        <f aca="false">IF(N1676&lt;&gt;"Y","",IF(R1676&lt;&gt;"",R1676,IF(Q1676="(tanpa lawan)","Transfer antar rekening",IFERROR(INDEX(I_COA!$F$6:$F$265,MATCH(Q1676,I_COA!$A$6:$A$265,0)),"?"))))</f>
        <v/>
      </c>
    </row>
    <row r="1677" customFormat="false" ht="15" hidden="false" customHeight="false" outlineLevel="0" collapsed="false">
      <c r="A1677" s="37" t="n">
        <v>46258</v>
      </c>
      <c r="B1677" s="44" t="s">
        <v>428</v>
      </c>
      <c r="C1677" s="44" t="s">
        <v>600</v>
      </c>
      <c r="D1677" s="44" t="n">
        <v>1104002</v>
      </c>
      <c r="E1677" s="44" t="s">
        <v>601</v>
      </c>
      <c r="F1677" s="44" t="s">
        <v>1887</v>
      </c>
      <c r="G1677" s="42" t="n">
        <v>6316056.58</v>
      </c>
      <c r="H1677" s="42"/>
      <c r="I1677" s="44" t="s">
        <v>429</v>
      </c>
      <c r="J1677" s="11" t="n">
        <f aca="false">IF(D1677="","",N(G1677)-N(H1677))</f>
        <v>6316056.58</v>
      </c>
      <c r="K1677" s="34" t="str">
        <f aca="false">IF(D1677="","",IFERROR(INDEX(I_COA!$C$6:$C$265,MATCH(D1677,I_COA!$A$6:$A$265,0)),"AKUN BARU"))</f>
        <v>Neraca</v>
      </c>
      <c r="L1677" s="34" t="str">
        <f aca="false">IF(K1677="LabaRugi",INDEX(I_COA!$D$6:$D$265,MATCH(D1677,I_COA!$A$6:$A$265,0)),"")</f>
        <v/>
      </c>
      <c r="M1677" s="34" t="str">
        <f aca="false">IF(K1677="Neraca",INDEX(I_COA!$E$6:$E$265,MATCH(D1677,I_COA!$A$6:$A$265,0)),"")</f>
        <v>Inventory - Product</v>
      </c>
      <c r="N1677" s="34" t="str">
        <f aca="false">IF(D1677="","",IFERROR(INDEX(I_COA!$G$6:$G$265,MATCH(D1677,I_COA!$A$6:$A$265,0)),"N"))</f>
        <v>N</v>
      </c>
      <c r="O1677" s="11" t="n">
        <f aca="false">IF(N1677="N",ABS(J1677),"")</f>
        <v>6316056.58</v>
      </c>
      <c r="P1677" s="18" t="str">
        <f aca="false">IF(N1677="N",B1677&amp;"|"&amp;ROUND(O1677,0),"")</f>
        <v>KGR26.00317|6316057</v>
      </c>
      <c r="Q1677" s="18" t="str">
        <f aca="false">IF(N1677&lt;&gt;"Y","",IFERROR(INDEX($D$6:$D$4005,MATCH(B1677&amp;"|"&amp;ROUND(_xlfn.MAXIFS($O$6:$O$4005,$B$6:$B$4005,B1677,$N$6:$N$4005,"N"),0),$P$6:$P$4005,0)),"(tanpa lawan)"))</f>
        <v/>
      </c>
      <c r="R1677" s="44"/>
      <c r="S1677" s="9" t="str">
        <f aca="false">IF(N1677&lt;&gt;"Y","",IF(R1677&lt;&gt;"",R1677,IF(Q1677="(tanpa lawan)","Transfer antar rekening",IFERROR(INDEX(I_COA!$F$6:$F$265,MATCH(Q1677,I_COA!$A$6:$A$265,0)),"?"))))</f>
        <v/>
      </c>
    </row>
    <row r="1678" customFormat="false" ht="15" hidden="false" customHeight="false" outlineLevel="0" collapsed="false">
      <c r="A1678" s="37" t="n">
        <v>46258</v>
      </c>
      <c r="B1678" s="44" t="s">
        <v>428</v>
      </c>
      <c r="C1678" s="44" t="s">
        <v>600</v>
      </c>
      <c r="D1678" s="44" t="n">
        <v>1104006</v>
      </c>
      <c r="E1678" s="44" t="s">
        <v>212</v>
      </c>
      <c r="F1678" s="44" t="s">
        <v>1887</v>
      </c>
      <c r="G1678" s="42"/>
      <c r="H1678" s="42" t="n">
        <v>6316056.58</v>
      </c>
      <c r="I1678" s="44" t="s">
        <v>429</v>
      </c>
      <c r="J1678" s="11" t="n">
        <f aca="false">IF(D1678="","",N(G1678)-N(H1678))</f>
        <v>-6316056.58</v>
      </c>
      <c r="K1678" s="34" t="str">
        <f aca="false">IF(D1678="","",IFERROR(INDEX(I_COA!$C$6:$C$265,MATCH(D1678,I_COA!$A$6:$A$265,0)),"AKUN BARU"))</f>
        <v>Neraca</v>
      </c>
      <c r="L1678" s="34" t="str">
        <f aca="false">IF(K1678="LabaRugi",INDEX(I_COA!$D$6:$D$265,MATCH(D1678,I_COA!$A$6:$A$265,0)),"")</f>
        <v/>
      </c>
      <c r="M1678" s="34" t="str">
        <f aca="false">IF(K1678="Neraca",INDEX(I_COA!$E$6:$E$265,MATCH(D1678,I_COA!$A$6:$A$265,0)),"")</f>
        <v>Inventory - Trading</v>
      </c>
      <c r="N1678" s="34" t="str">
        <f aca="false">IF(D1678="","",IFERROR(INDEX(I_COA!$G$6:$G$265,MATCH(D1678,I_COA!$A$6:$A$265,0)),"N"))</f>
        <v>N</v>
      </c>
      <c r="O1678" s="11" t="n">
        <f aca="false">IF(N1678="N",ABS(J1678),"")</f>
        <v>6316056.58</v>
      </c>
      <c r="P1678" s="18" t="str">
        <f aca="false">IF(N1678="N",B1678&amp;"|"&amp;ROUND(O1678,0),"")</f>
        <v>KGR26.00317|6316057</v>
      </c>
      <c r="Q1678" s="18" t="str">
        <f aca="false">IF(N1678&lt;&gt;"Y","",IFERROR(INDEX($D$6:$D$4005,MATCH(B1678&amp;"|"&amp;ROUND(_xlfn.MAXIFS($O$6:$O$4005,$B$6:$B$4005,B1678,$N$6:$N$4005,"N"),0),$P$6:$P$4005,0)),"(tanpa lawan)"))</f>
        <v/>
      </c>
      <c r="R1678" s="44"/>
      <c r="S1678" s="9" t="str">
        <f aca="false">IF(N1678&lt;&gt;"Y","",IF(R1678&lt;&gt;"",R1678,IF(Q1678="(tanpa lawan)","Transfer antar rekening",IFERROR(INDEX(I_COA!$F$6:$F$265,MATCH(Q1678,I_COA!$A$6:$A$265,0)),"?"))))</f>
        <v/>
      </c>
    </row>
    <row r="1679" customFormat="false" ht="15" hidden="false" customHeight="false" outlineLevel="0" collapsed="false">
      <c r="A1679" s="37" t="n">
        <v>46258</v>
      </c>
      <c r="B1679" s="44" t="s">
        <v>431</v>
      </c>
      <c r="C1679" s="44" t="s">
        <v>600</v>
      </c>
      <c r="D1679" s="44" t="n">
        <v>1104002</v>
      </c>
      <c r="E1679" s="44" t="s">
        <v>601</v>
      </c>
      <c r="F1679" s="44" t="s">
        <v>1888</v>
      </c>
      <c r="G1679" s="42" t="n">
        <v>87498374.16</v>
      </c>
      <c r="H1679" s="42"/>
      <c r="I1679" s="44" t="s">
        <v>432</v>
      </c>
      <c r="J1679" s="11" t="n">
        <f aca="false">IF(D1679="","",N(G1679)-N(H1679))</f>
        <v>87498374.16</v>
      </c>
      <c r="K1679" s="34" t="str">
        <f aca="false">IF(D1679="","",IFERROR(INDEX(I_COA!$C$6:$C$265,MATCH(D1679,I_COA!$A$6:$A$265,0)),"AKUN BARU"))</f>
        <v>Neraca</v>
      </c>
      <c r="L1679" s="34" t="str">
        <f aca="false">IF(K1679="LabaRugi",INDEX(I_COA!$D$6:$D$265,MATCH(D1679,I_COA!$A$6:$A$265,0)),"")</f>
        <v/>
      </c>
      <c r="M1679" s="34" t="str">
        <f aca="false">IF(K1679="Neraca",INDEX(I_COA!$E$6:$E$265,MATCH(D1679,I_COA!$A$6:$A$265,0)),"")</f>
        <v>Inventory - Product</v>
      </c>
      <c r="N1679" s="34" t="str">
        <f aca="false">IF(D1679="","",IFERROR(INDEX(I_COA!$G$6:$G$265,MATCH(D1679,I_COA!$A$6:$A$265,0)),"N"))</f>
        <v>N</v>
      </c>
      <c r="O1679" s="11" t="n">
        <f aca="false">IF(N1679="N",ABS(J1679),"")</f>
        <v>87498374.16</v>
      </c>
      <c r="P1679" s="18" t="str">
        <f aca="false">IF(N1679="N",B1679&amp;"|"&amp;ROUND(O1679,0),"")</f>
        <v>KGR26.00318|87498374</v>
      </c>
      <c r="Q1679" s="18" t="str">
        <f aca="false">IF(N1679&lt;&gt;"Y","",IFERROR(INDEX($D$6:$D$4005,MATCH(B1679&amp;"|"&amp;ROUND(_xlfn.MAXIFS($O$6:$O$4005,$B$6:$B$4005,B1679,$N$6:$N$4005,"N"),0),$P$6:$P$4005,0)),"(tanpa lawan)"))</f>
        <v/>
      </c>
      <c r="R1679" s="44"/>
      <c r="S1679" s="9" t="str">
        <f aca="false">IF(N1679&lt;&gt;"Y","",IF(R1679&lt;&gt;"",R1679,IF(Q1679="(tanpa lawan)","Transfer antar rekening",IFERROR(INDEX(I_COA!$F$6:$F$265,MATCH(Q1679,I_COA!$A$6:$A$265,0)),"?"))))</f>
        <v/>
      </c>
    </row>
    <row r="1680" customFormat="false" ht="15" hidden="false" customHeight="false" outlineLevel="0" collapsed="false">
      <c r="A1680" s="37" t="n">
        <v>46258</v>
      </c>
      <c r="B1680" s="44" t="s">
        <v>431</v>
      </c>
      <c r="C1680" s="44" t="s">
        <v>600</v>
      </c>
      <c r="D1680" s="44" t="n">
        <v>1104006</v>
      </c>
      <c r="E1680" s="44" t="s">
        <v>212</v>
      </c>
      <c r="F1680" s="44" t="s">
        <v>1888</v>
      </c>
      <c r="G1680" s="42"/>
      <c r="H1680" s="42" t="n">
        <v>58443400.5</v>
      </c>
      <c r="I1680" s="44" t="s">
        <v>432</v>
      </c>
      <c r="J1680" s="11" t="n">
        <f aca="false">IF(D1680="","",N(G1680)-N(H1680))</f>
        <v>-58443400.5</v>
      </c>
      <c r="K1680" s="34" t="str">
        <f aca="false">IF(D1680="","",IFERROR(INDEX(I_COA!$C$6:$C$265,MATCH(D1680,I_COA!$A$6:$A$265,0)),"AKUN BARU"))</f>
        <v>Neraca</v>
      </c>
      <c r="L1680" s="34" t="str">
        <f aca="false">IF(K1680="LabaRugi",INDEX(I_COA!$D$6:$D$265,MATCH(D1680,I_COA!$A$6:$A$265,0)),"")</f>
        <v/>
      </c>
      <c r="M1680" s="34" t="str">
        <f aca="false">IF(K1680="Neraca",INDEX(I_COA!$E$6:$E$265,MATCH(D1680,I_COA!$A$6:$A$265,0)),"")</f>
        <v>Inventory - Trading</v>
      </c>
      <c r="N1680" s="34" t="str">
        <f aca="false">IF(D1680="","",IFERROR(INDEX(I_COA!$G$6:$G$265,MATCH(D1680,I_COA!$A$6:$A$265,0)),"N"))</f>
        <v>N</v>
      </c>
      <c r="O1680" s="11" t="n">
        <f aca="false">IF(N1680="N",ABS(J1680),"")</f>
        <v>58443400.5</v>
      </c>
      <c r="P1680" s="18" t="str">
        <f aca="false">IF(N1680="N",B1680&amp;"|"&amp;ROUND(O1680,0),"")</f>
        <v>KGR26.00318|58443401</v>
      </c>
      <c r="Q1680" s="18" t="str">
        <f aca="false">IF(N1680&lt;&gt;"Y","",IFERROR(INDEX($D$6:$D$4005,MATCH(B1680&amp;"|"&amp;ROUND(_xlfn.MAXIFS($O$6:$O$4005,$B$6:$B$4005,B1680,$N$6:$N$4005,"N"),0),$P$6:$P$4005,0)),"(tanpa lawan)"))</f>
        <v/>
      </c>
      <c r="R1680" s="44"/>
      <c r="S1680" s="9" t="str">
        <f aca="false">IF(N1680&lt;&gt;"Y","",IF(R1680&lt;&gt;"",R1680,IF(Q1680="(tanpa lawan)","Transfer antar rekening",IFERROR(INDEX(I_COA!$F$6:$F$265,MATCH(Q1680,I_COA!$A$6:$A$265,0)),"?"))))</f>
        <v/>
      </c>
    </row>
    <row r="1681" customFormat="false" ht="15" hidden="false" customHeight="false" outlineLevel="0" collapsed="false">
      <c r="A1681" s="37" t="n">
        <v>46258</v>
      </c>
      <c r="B1681" s="44" t="s">
        <v>431</v>
      </c>
      <c r="C1681" s="44" t="s">
        <v>600</v>
      </c>
      <c r="D1681" s="44" t="n">
        <v>1104003</v>
      </c>
      <c r="E1681" s="44" t="s">
        <v>613</v>
      </c>
      <c r="F1681" s="44" t="s">
        <v>1888</v>
      </c>
      <c r="G1681" s="42"/>
      <c r="H1681" s="42" t="n">
        <v>29054973.67</v>
      </c>
      <c r="I1681" s="44" t="s">
        <v>432</v>
      </c>
      <c r="J1681" s="11" t="n">
        <f aca="false">IF(D1681="","",N(G1681)-N(H1681))</f>
        <v>-29054973.67</v>
      </c>
      <c r="K1681" s="34" t="str">
        <f aca="false">IF(D1681="","",IFERROR(INDEX(I_COA!$C$6:$C$265,MATCH(D1681,I_COA!$A$6:$A$265,0)),"AKUN BARU"))</f>
        <v>Neraca</v>
      </c>
      <c r="L1681" s="34" t="str">
        <f aca="false">IF(K1681="LabaRugi",INDEX(I_COA!$D$6:$D$265,MATCH(D1681,I_COA!$A$6:$A$265,0)),"")</f>
        <v/>
      </c>
      <c r="M1681" s="34" t="str">
        <f aca="false">IF(K1681="Neraca",INDEX(I_COA!$E$6:$E$265,MATCH(D1681,I_COA!$A$6:$A$265,0)),"")</f>
        <v>Inventory - Product</v>
      </c>
      <c r="N1681" s="34" t="str">
        <f aca="false">IF(D1681="","",IFERROR(INDEX(I_COA!$G$6:$G$265,MATCH(D1681,I_COA!$A$6:$A$265,0)),"N"))</f>
        <v>N</v>
      </c>
      <c r="O1681" s="11" t="n">
        <f aca="false">IF(N1681="N",ABS(J1681),"")</f>
        <v>29054973.67</v>
      </c>
      <c r="P1681" s="18" t="str">
        <f aca="false">IF(N1681="N",B1681&amp;"|"&amp;ROUND(O1681,0),"")</f>
        <v>KGR26.00318|29054974</v>
      </c>
      <c r="Q1681" s="18" t="str">
        <f aca="false">IF(N1681&lt;&gt;"Y","",IFERROR(INDEX($D$6:$D$4005,MATCH(B1681&amp;"|"&amp;ROUND(_xlfn.MAXIFS($O$6:$O$4005,$B$6:$B$4005,B1681,$N$6:$N$4005,"N"),0),$P$6:$P$4005,0)),"(tanpa lawan)"))</f>
        <v/>
      </c>
      <c r="R1681" s="44"/>
      <c r="S1681" s="9" t="str">
        <f aca="false">IF(N1681&lt;&gt;"Y","",IF(R1681&lt;&gt;"",R1681,IF(Q1681="(tanpa lawan)","Transfer antar rekening",IFERROR(INDEX(I_COA!$F$6:$F$265,MATCH(Q1681,I_COA!$A$6:$A$265,0)),"?"))))</f>
        <v/>
      </c>
    </row>
    <row r="1682" customFormat="false" ht="15" hidden="false" customHeight="false" outlineLevel="0" collapsed="false">
      <c r="A1682" s="37" t="n">
        <v>46258</v>
      </c>
      <c r="B1682" s="44" t="s">
        <v>1889</v>
      </c>
      <c r="C1682" s="44" t="s">
        <v>617</v>
      </c>
      <c r="D1682" s="44" t="n">
        <v>1103101</v>
      </c>
      <c r="E1682" s="44" t="s">
        <v>589</v>
      </c>
      <c r="F1682" s="44" t="s">
        <v>1890</v>
      </c>
      <c r="G1682" s="42" t="n">
        <v>7340550</v>
      </c>
      <c r="H1682" s="42"/>
      <c r="I1682" s="44" t="s">
        <v>429</v>
      </c>
      <c r="J1682" s="11" t="n">
        <f aca="false">IF(D1682="","",N(G1682)-N(H1682))</f>
        <v>7340550</v>
      </c>
      <c r="K1682" s="34" t="str">
        <f aca="false">IF(D1682="","",IFERROR(INDEX(I_COA!$C$6:$C$265,MATCH(D1682,I_COA!$A$6:$A$265,0)),"AKUN BARU"))</f>
        <v>Neraca</v>
      </c>
      <c r="L1682" s="34" t="str">
        <f aca="false">IF(K1682="LabaRugi",INDEX(I_COA!$D$6:$D$265,MATCH(D1682,I_COA!$A$6:$A$265,0)),"")</f>
        <v/>
      </c>
      <c r="M1682" s="34" t="str">
        <f aca="false">IF(K1682="Neraca",INDEX(I_COA!$E$6:$E$265,MATCH(D1682,I_COA!$A$6:$A$265,0)),"")</f>
        <v>Trade Receivables - Third Parties</v>
      </c>
      <c r="N1682" s="34" t="str">
        <f aca="false">IF(D1682="","",IFERROR(INDEX(I_COA!$G$6:$G$265,MATCH(D1682,I_COA!$A$6:$A$265,0)),"N"))</f>
        <v>N</v>
      </c>
      <c r="O1682" s="11" t="n">
        <f aca="false">IF(N1682="N",ABS(J1682),"")</f>
        <v>7340550</v>
      </c>
      <c r="P1682" s="18" t="str">
        <f aca="false">IF(N1682="N",B1682&amp;"|"&amp;ROUND(O1682,0),"")</f>
        <v>KGR26/0317|7340550</v>
      </c>
      <c r="Q1682" s="18" t="str">
        <f aca="false">IF(N1682&lt;&gt;"Y","",IFERROR(INDEX($D$6:$D$4005,MATCH(B1682&amp;"|"&amp;ROUND(_xlfn.MAXIFS($O$6:$O$4005,$B$6:$B$4005,B1682,$N$6:$N$4005,"N"),0),$P$6:$P$4005,0)),"(tanpa lawan)"))</f>
        <v/>
      </c>
      <c r="R1682" s="44"/>
      <c r="S1682" s="9" t="str">
        <f aca="false">IF(N1682&lt;&gt;"Y","",IF(R1682&lt;&gt;"",R1682,IF(Q1682="(tanpa lawan)","Transfer antar rekening",IFERROR(INDEX(I_COA!$F$6:$F$265,MATCH(Q1682,I_COA!$A$6:$A$265,0)),"?"))))</f>
        <v/>
      </c>
    </row>
    <row r="1683" customFormat="false" ht="15" hidden="false" customHeight="false" outlineLevel="0" collapsed="false">
      <c r="A1683" s="37" t="n">
        <v>46258</v>
      </c>
      <c r="B1683" s="44" t="s">
        <v>1889</v>
      </c>
      <c r="C1683" s="44" t="s">
        <v>617</v>
      </c>
      <c r="D1683" s="44" t="n">
        <v>4101012</v>
      </c>
      <c r="E1683" s="44" t="s">
        <v>619</v>
      </c>
      <c r="F1683" s="44" t="s">
        <v>1890</v>
      </c>
      <c r="G1683" s="42"/>
      <c r="H1683" s="42" t="n">
        <v>7340550</v>
      </c>
      <c r="I1683" s="44" t="s">
        <v>429</v>
      </c>
      <c r="J1683" s="11" t="n">
        <f aca="false">IF(D1683="","",N(G1683)-N(H1683))</f>
        <v>-7340550</v>
      </c>
      <c r="K1683" s="34" t="str">
        <f aca="false">IF(D1683="","",IFERROR(INDEX(I_COA!$C$6:$C$265,MATCH(D1683,I_COA!$A$6:$A$265,0)),"AKUN BARU"))</f>
        <v>LabaRugi</v>
      </c>
      <c r="L1683" s="34" t="str">
        <f aca="false">IF(K1683="LabaRugi",INDEX(I_COA!$D$6:$D$265,MATCH(D1683,I_COA!$A$6:$A$265,0)),"")</f>
        <v>Revenue - Trading</v>
      </c>
      <c r="M1683" s="34" t="str">
        <f aca="false">IF(K1683="Neraca",INDEX(I_COA!$E$6:$E$265,MATCH(D1683,I_COA!$A$6:$A$265,0)),"")</f>
        <v/>
      </c>
      <c r="N1683" s="34" t="str">
        <f aca="false">IF(D1683="","",IFERROR(INDEX(I_COA!$G$6:$G$265,MATCH(D1683,I_COA!$A$6:$A$265,0)),"N"))</f>
        <v>N</v>
      </c>
      <c r="O1683" s="11" t="n">
        <f aca="false">IF(N1683="N",ABS(J1683),"")</f>
        <v>7340550</v>
      </c>
      <c r="P1683" s="18" t="str">
        <f aca="false">IF(N1683="N",B1683&amp;"|"&amp;ROUND(O1683,0),"")</f>
        <v>KGR26/0317|7340550</v>
      </c>
      <c r="Q1683" s="18" t="str">
        <f aca="false">IF(N1683&lt;&gt;"Y","",IFERROR(INDEX($D$6:$D$4005,MATCH(B1683&amp;"|"&amp;ROUND(_xlfn.MAXIFS($O$6:$O$4005,$B$6:$B$4005,B1683,$N$6:$N$4005,"N"),0),$P$6:$P$4005,0)),"(tanpa lawan)"))</f>
        <v/>
      </c>
      <c r="R1683" s="44"/>
      <c r="S1683" s="9" t="str">
        <f aca="false">IF(N1683&lt;&gt;"Y","",IF(R1683&lt;&gt;"",R1683,IF(Q1683="(tanpa lawan)","Transfer antar rekening",IFERROR(INDEX(I_COA!$F$6:$F$265,MATCH(Q1683,I_COA!$A$6:$A$265,0)),"?"))))</f>
        <v/>
      </c>
    </row>
    <row r="1684" customFormat="false" ht="15" hidden="false" customHeight="false" outlineLevel="0" collapsed="false">
      <c r="A1684" s="37" t="n">
        <v>46258</v>
      </c>
      <c r="B1684" s="44" t="s">
        <v>1889</v>
      </c>
      <c r="C1684" s="44" t="s">
        <v>617</v>
      </c>
      <c r="D1684" s="44" t="n">
        <v>5100011</v>
      </c>
      <c r="E1684" s="44" t="s">
        <v>166</v>
      </c>
      <c r="F1684" s="44" t="s">
        <v>1890</v>
      </c>
      <c r="G1684" s="42" t="n">
        <v>6316056.58</v>
      </c>
      <c r="H1684" s="42"/>
      <c r="I1684" s="44" t="s">
        <v>429</v>
      </c>
      <c r="J1684" s="11" t="n">
        <f aca="false">IF(D1684="","",N(G1684)-N(H1684))</f>
        <v>6316056.58</v>
      </c>
      <c r="K1684" s="34" t="str">
        <f aca="false">IF(D1684="","",IFERROR(INDEX(I_COA!$C$6:$C$265,MATCH(D1684,I_COA!$A$6:$A$265,0)),"AKUN BARU"))</f>
        <v>LabaRugi</v>
      </c>
      <c r="L1684" s="34" t="str">
        <f aca="false">IF(K1684="LabaRugi",INDEX(I_COA!$D$6:$D$265,MATCH(D1684,I_COA!$A$6:$A$265,0)),"")</f>
        <v>COGS - Trading</v>
      </c>
      <c r="M1684" s="34" t="str">
        <f aca="false">IF(K1684="Neraca",INDEX(I_COA!$E$6:$E$265,MATCH(D1684,I_COA!$A$6:$A$265,0)),"")</f>
        <v/>
      </c>
      <c r="N1684" s="34" t="str">
        <f aca="false">IF(D1684="","",IFERROR(INDEX(I_COA!$G$6:$G$265,MATCH(D1684,I_COA!$A$6:$A$265,0)),"N"))</f>
        <v>N</v>
      </c>
      <c r="O1684" s="11" t="n">
        <f aca="false">IF(N1684="N",ABS(J1684),"")</f>
        <v>6316056.58</v>
      </c>
      <c r="P1684" s="18" t="str">
        <f aca="false">IF(N1684="N",B1684&amp;"|"&amp;ROUND(O1684,0),"")</f>
        <v>KGR26/0317|6316057</v>
      </c>
      <c r="Q1684" s="18" t="str">
        <f aca="false">IF(N1684&lt;&gt;"Y","",IFERROR(INDEX($D$6:$D$4005,MATCH(B1684&amp;"|"&amp;ROUND(_xlfn.MAXIFS($O$6:$O$4005,$B$6:$B$4005,B1684,$N$6:$N$4005,"N"),0),$P$6:$P$4005,0)),"(tanpa lawan)"))</f>
        <v/>
      </c>
      <c r="R1684" s="44"/>
      <c r="S1684" s="9" t="str">
        <f aca="false">IF(N1684&lt;&gt;"Y","",IF(R1684&lt;&gt;"",R1684,IF(Q1684="(tanpa lawan)","Transfer antar rekening",IFERROR(INDEX(I_COA!$F$6:$F$265,MATCH(Q1684,I_COA!$A$6:$A$265,0)),"?"))))</f>
        <v/>
      </c>
    </row>
    <row r="1685" customFormat="false" ht="15" hidden="false" customHeight="false" outlineLevel="0" collapsed="false">
      <c r="A1685" s="37" t="n">
        <v>46258</v>
      </c>
      <c r="B1685" s="44" t="s">
        <v>1889</v>
      </c>
      <c r="C1685" s="44" t="s">
        <v>617</v>
      </c>
      <c r="D1685" s="44" t="n">
        <v>1104002</v>
      </c>
      <c r="E1685" s="44" t="s">
        <v>601</v>
      </c>
      <c r="F1685" s="44" t="s">
        <v>1890</v>
      </c>
      <c r="G1685" s="42"/>
      <c r="H1685" s="42" t="n">
        <v>6316056.58</v>
      </c>
      <c r="I1685" s="44" t="s">
        <v>429</v>
      </c>
      <c r="J1685" s="11" t="n">
        <f aca="false">IF(D1685="","",N(G1685)-N(H1685))</f>
        <v>-6316056.58</v>
      </c>
      <c r="K1685" s="34" t="str">
        <f aca="false">IF(D1685="","",IFERROR(INDEX(I_COA!$C$6:$C$265,MATCH(D1685,I_COA!$A$6:$A$265,0)),"AKUN BARU"))</f>
        <v>Neraca</v>
      </c>
      <c r="L1685" s="34" t="str">
        <f aca="false">IF(K1685="LabaRugi",INDEX(I_COA!$D$6:$D$265,MATCH(D1685,I_COA!$A$6:$A$265,0)),"")</f>
        <v/>
      </c>
      <c r="M1685" s="34" t="str">
        <f aca="false">IF(K1685="Neraca",INDEX(I_COA!$E$6:$E$265,MATCH(D1685,I_COA!$A$6:$A$265,0)),"")</f>
        <v>Inventory - Product</v>
      </c>
      <c r="N1685" s="34" t="str">
        <f aca="false">IF(D1685="","",IFERROR(INDEX(I_COA!$G$6:$G$265,MATCH(D1685,I_COA!$A$6:$A$265,0)),"N"))</f>
        <v>N</v>
      </c>
      <c r="O1685" s="11" t="n">
        <f aca="false">IF(N1685="N",ABS(J1685),"")</f>
        <v>6316056.58</v>
      </c>
      <c r="P1685" s="18" t="str">
        <f aca="false">IF(N1685="N",B1685&amp;"|"&amp;ROUND(O1685,0),"")</f>
        <v>KGR26/0317|6316057</v>
      </c>
      <c r="Q1685" s="18" t="str">
        <f aca="false">IF(N1685&lt;&gt;"Y","",IFERROR(INDEX($D$6:$D$4005,MATCH(B1685&amp;"|"&amp;ROUND(_xlfn.MAXIFS($O$6:$O$4005,$B$6:$B$4005,B1685,$N$6:$N$4005,"N"),0),$P$6:$P$4005,0)),"(tanpa lawan)"))</f>
        <v/>
      </c>
      <c r="R1685" s="44"/>
      <c r="S1685" s="9" t="str">
        <f aca="false">IF(N1685&lt;&gt;"Y","",IF(R1685&lt;&gt;"",R1685,IF(Q1685="(tanpa lawan)","Transfer antar rekening",IFERROR(INDEX(I_COA!$F$6:$F$265,MATCH(Q1685,I_COA!$A$6:$A$265,0)),"?"))))</f>
        <v/>
      </c>
    </row>
    <row r="1686" customFormat="false" ht="15" hidden="false" customHeight="false" outlineLevel="0" collapsed="false">
      <c r="A1686" s="37" t="n">
        <v>46258</v>
      </c>
      <c r="B1686" s="44" t="s">
        <v>1891</v>
      </c>
      <c r="C1686" s="44" t="s">
        <v>617</v>
      </c>
      <c r="D1686" s="44" t="n">
        <v>1103101</v>
      </c>
      <c r="E1686" s="44" t="s">
        <v>589</v>
      </c>
      <c r="F1686" s="44" t="s">
        <v>1892</v>
      </c>
      <c r="G1686" s="42" t="n">
        <v>96935420</v>
      </c>
      <c r="H1686" s="42"/>
      <c r="I1686" s="44" t="s">
        <v>432</v>
      </c>
      <c r="J1686" s="11" t="n">
        <f aca="false">IF(D1686="","",N(G1686)-N(H1686))</f>
        <v>96935420</v>
      </c>
      <c r="K1686" s="34" t="str">
        <f aca="false">IF(D1686="","",IFERROR(INDEX(I_COA!$C$6:$C$265,MATCH(D1686,I_COA!$A$6:$A$265,0)),"AKUN BARU"))</f>
        <v>Neraca</v>
      </c>
      <c r="L1686" s="34" t="str">
        <f aca="false">IF(K1686="LabaRugi",INDEX(I_COA!$D$6:$D$265,MATCH(D1686,I_COA!$A$6:$A$265,0)),"")</f>
        <v/>
      </c>
      <c r="M1686" s="34" t="str">
        <f aca="false">IF(K1686="Neraca",INDEX(I_COA!$E$6:$E$265,MATCH(D1686,I_COA!$A$6:$A$265,0)),"")</f>
        <v>Trade Receivables - Third Parties</v>
      </c>
      <c r="N1686" s="34" t="str">
        <f aca="false">IF(D1686="","",IFERROR(INDEX(I_COA!$G$6:$G$265,MATCH(D1686,I_COA!$A$6:$A$265,0)),"N"))</f>
        <v>N</v>
      </c>
      <c r="O1686" s="11" t="n">
        <f aca="false">IF(N1686="N",ABS(J1686),"")</f>
        <v>96935420</v>
      </c>
      <c r="P1686" s="18" t="str">
        <f aca="false">IF(N1686="N",B1686&amp;"|"&amp;ROUND(O1686,0),"")</f>
        <v>KGR26/0318|96935420</v>
      </c>
      <c r="Q1686" s="18" t="str">
        <f aca="false">IF(N1686&lt;&gt;"Y","",IFERROR(INDEX($D$6:$D$4005,MATCH(B1686&amp;"|"&amp;ROUND(_xlfn.MAXIFS($O$6:$O$4005,$B$6:$B$4005,B1686,$N$6:$N$4005,"N"),0),$P$6:$P$4005,0)),"(tanpa lawan)"))</f>
        <v/>
      </c>
      <c r="R1686" s="44"/>
      <c r="S1686" s="9" t="str">
        <f aca="false">IF(N1686&lt;&gt;"Y","",IF(R1686&lt;&gt;"",R1686,IF(Q1686="(tanpa lawan)","Transfer antar rekening",IFERROR(INDEX(I_COA!$F$6:$F$265,MATCH(Q1686,I_COA!$A$6:$A$265,0)),"?"))))</f>
        <v/>
      </c>
    </row>
    <row r="1687" customFormat="false" ht="15" hidden="false" customHeight="false" outlineLevel="0" collapsed="false">
      <c r="A1687" s="37" t="n">
        <v>46258</v>
      </c>
      <c r="B1687" s="44" t="s">
        <v>1891</v>
      </c>
      <c r="C1687" s="44" t="s">
        <v>617</v>
      </c>
      <c r="D1687" s="44" t="n">
        <v>4101012</v>
      </c>
      <c r="E1687" s="44" t="s">
        <v>619</v>
      </c>
      <c r="F1687" s="44" t="s">
        <v>1892</v>
      </c>
      <c r="G1687" s="42"/>
      <c r="H1687" s="42" t="n">
        <v>65128700</v>
      </c>
      <c r="I1687" s="44" t="s">
        <v>432</v>
      </c>
      <c r="J1687" s="11" t="n">
        <f aca="false">IF(D1687="","",N(G1687)-N(H1687))</f>
        <v>-65128700</v>
      </c>
      <c r="K1687" s="34" t="str">
        <f aca="false">IF(D1687="","",IFERROR(INDEX(I_COA!$C$6:$C$265,MATCH(D1687,I_COA!$A$6:$A$265,0)),"AKUN BARU"))</f>
        <v>LabaRugi</v>
      </c>
      <c r="L1687" s="34" t="str">
        <f aca="false">IF(K1687="LabaRugi",INDEX(I_COA!$D$6:$D$265,MATCH(D1687,I_COA!$A$6:$A$265,0)),"")</f>
        <v>Revenue - Trading</v>
      </c>
      <c r="M1687" s="34" t="str">
        <f aca="false">IF(K1687="Neraca",INDEX(I_COA!$E$6:$E$265,MATCH(D1687,I_COA!$A$6:$A$265,0)),"")</f>
        <v/>
      </c>
      <c r="N1687" s="34" t="str">
        <f aca="false">IF(D1687="","",IFERROR(INDEX(I_COA!$G$6:$G$265,MATCH(D1687,I_COA!$A$6:$A$265,0)),"N"))</f>
        <v>N</v>
      </c>
      <c r="O1687" s="11" t="n">
        <f aca="false">IF(N1687="N",ABS(J1687),"")</f>
        <v>65128700</v>
      </c>
      <c r="P1687" s="18" t="str">
        <f aca="false">IF(N1687="N",B1687&amp;"|"&amp;ROUND(O1687,0),"")</f>
        <v>KGR26/0318|65128700</v>
      </c>
      <c r="Q1687" s="18" t="str">
        <f aca="false">IF(N1687&lt;&gt;"Y","",IFERROR(INDEX($D$6:$D$4005,MATCH(B1687&amp;"|"&amp;ROUND(_xlfn.MAXIFS($O$6:$O$4005,$B$6:$B$4005,B1687,$N$6:$N$4005,"N"),0),$P$6:$P$4005,0)),"(tanpa lawan)"))</f>
        <v/>
      </c>
      <c r="R1687" s="44"/>
      <c r="S1687" s="9" t="str">
        <f aca="false">IF(N1687&lt;&gt;"Y","",IF(R1687&lt;&gt;"",R1687,IF(Q1687="(tanpa lawan)","Transfer antar rekening",IFERROR(INDEX(I_COA!$F$6:$F$265,MATCH(Q1687,I_COA!$A$6:$A$265,0)),"?"))))</f>
        <v/>
      </c>
    </row>
    <row r="1688" customFormat="false" ht="15" hidden="false" customHeight="false" outlineLevel="0" collapsed="false">
      <c r="A1688" s="37" t="n">
        <v>46258</v>
      </c>
      <c r="B1688" s="44" t="s">
        <v>1891</v>
      </c>
      <c r="C1688" s="44" t="s">
        <v>617</v>
      </c>
      <c r="D1688" s="44" t="n">
        <v>5100011</v>
      </c>
      <c r="E1688" s="44" t="s">
        <v>166</v>
      </c>
      <c r="F1688" s="44" t="s">
        <v>1892</v>
      </c>
      <c r="G1688" s="42" t="n">
        <v>58443400.49</v>
      </c>
      <c r="H1688" s="42"/>
      <c r="I1688" s="44" t="s">
        <v>432</v>
      </c>
      <c r="J1688" s="11" t="n">
        <f aca="false">IF(D1688="","",N(G1688)-N(H1688))</f>
        <v>58443400.49</v>
      </c>
      <c r="K1688" s="34" t="str">
        <f aca="false">IF(D1688="","",IFERROR(INDEX(I_COA!$C$6:$C$265,MATCH(D1688,I_COA!$A$6:$A$265,0)),"AKUN BARU"))</f>
        <v>LabaRugi</v>
      </c>
      <c r="L1688" s="34" t="str">
        <f aca="false">IF(K1688="LabaRugi",INDEX(I_COA!$D$6:$D$265,MATCH(D1688,I_COA!$A$6:$A$265,0)),"")</f>
        <v>COGS - Trading</v>
      </c>
      <c r="M1688" s="34" t="str">
        <f aca="false">IF(K1688="Neraca",INDEX(I_COA!$E$6:$E$265,MATCH(D1688,I_COA!$A$6:$A$265,0)),"")</f>
        <v/>
      </c>
      <c r="N1688" s="34" t="str">
        <f aca="false">IF(D1688="","",IFERROR(INDEX(I_COA!$G$6:$G$265,MATCH(D1688,I_COA!$A$6:$A$265,0)),"N"))</f>
        <v>N</v>
      </c>
      <c r="O1688" s="11" t="n">
        <f aca="false">IF(N1688="N",ABS(J1688),"")</f>
        <v>58443400.49</v>
      </c>
      <c r="P1688" s="18" t="str">
        <f aca="false">IF(N1688="N",B1688&amp;"|"&amp;ROUND(O1688,0),"")</f>
        <v>KGR26/0318|58443400</v>
      </c>
      <c r="Q1688" s="18" t="str">
        <f aca="false">IF(N1688&lt;&gt;"Y","",IFERROR(INDEX($D$6:$D$4005,MATCH(B1688&amp;"|"&amp;ROUND(_xlfn.MAXIFS($O$6:$O$4005,$B$6:$B$4005,B1688,$N$6:$N$4005,"N"),0),$P$6:$P$4005,0)),"(tanpa lawan)"))</f>
        <v/>
      </c>
      <c r="R1688" s="44"/>
      <c r="S1688" s="9" t="str">
        <f aca="false">IF(N1688&lt;&gt;"Y","",IF(R1688&lt;&gt;"",R1688,IF(Q1688="(tanpa lawan)","Transfer antar rekening",IFERROR(INDEX(I_COA!$F$6:$F$265,MATCH(Q1688,I_COA!$A$6:$A$265,0)),"?"))))</f>
        <v/>
      </c>
    </row>
    <row r="1689" customFormat="false" ht="15" hidden="false" customHeight="false" outlineLevel="0" collapsed="false">
      <c r="A1689" s="37" t="n">
        <v>46258</v>
      </c>
      <c r="B1689" s="44" t="s">
        <v>1891</v>
      </c>
      <c r="C1689" s="44" t="s">
        <v>617</v>
      </c>
      <c r="D1689" s="44" t="n">
        <v>1104002</v>
      </c>
      <c r="E1689" s="44" t="s">
        <v>601</v>
      </c>
      <c r="F1689" s="44" t="s">
        <v>1892</v>
      </c>
      <c r="G1689" s="42"/>
      <c r="H1689" s="42" t="n">
        <v>87498374.16</v>
      </c>
      <c r="I1689" s="44" t="s">
        <v>432</v>
      </c>
      <c r="J1689" s="11" t="n">
        <f aca="false">IF(D1689="","",N(G1689)-N(H1689))</f>
        <v>-87498374.16</v>
      </c>
      <c r="K1689" s="34" t="str">
        <f aca="false">IF(D1689="","",IFERROR(INDEX(I_COA!$C$6:$C$265,MATCH(D1689,I_COA!$A$6:$A$265,0)),"AKUN BARU"))</f>
        <v>Neraca</v>
      </c>
      <c r="L1689" s="34" t="str">
        <f aca="false">IF(K1689="LabaRugi",INDEX(I_COA!$D$6:$D$265,MATCH(D1689,I_COA!$A$6:$A$265,0)),"")</f>
        <v/>
      </c>
      <c r="M1689" s="34" t="str">
        <f aca="false">IF(K1689="Neraca",INDEX(I_COA!$E$6:$E$265,MATCH(D1689,I_COA!$A$6:$A$265,0)),"")</f>
        <v>Inventory - Product</v>
      </c>
      <c r="N1689" s="34" t="str">
        <f aca="false">IF(D1689="","",IFERROR(INDEX(I_COA!$G$6:$G$265,MATCH(D1689,I_COA!$A$6:$A$265,0)),"N"))</f>
        <v>N</v>
      </c>
      <c r="O1689" s="11" t="n">
        <f aca="false">IF(N1689="N",ABS(J1689),"")</f>
        <v>87498374.16</v>
      </c>
      <c r="P1689" s="18" t="str">
        <f aca="false">IF(N1689="N",B1689&amp;"|"&amp;ROUND(O1689,0),"")</f>
        <v>KGR26/0318|87498374</v>
      </c>
      <c r="Q1689" s="18" t="str">
        <f aca="false">IF(N1689&lt;&gt;"Y","",IFERROR(INDEX($D$6:$D$4005,MATCH(B1689&amp;"|"&amp;ROUND(_xlfn.MAXIFS($O$6:$O$4005,$B$6:$B$4005,B1689,$N$6:$N$4005,"N"),0),$P$6:$P$4005,0)),"(tanpa lawan)"))</f>
        <v/>
      </c>
      <c r="R1689" s="44"/>
      <c r="S1689" s="9" t="str">
        <f aca="false">IF(N1689&lt;&gt;"Y","",IF(R1689&lt;&gt;"",R1689,IF(Q1689="(tanpa lawan)","Transfer antar rekening",IFERROR(INDEX(I_COA!$F$6:$F$265,MATCH(Q1689,I_COA!$A$6:$A$265,0)),"?"))))</f>
        <v/>
      </c>
    </row>
    <row r="1690" customFormat="false" ht="15" hidden="false" customHeight="false" outlineLevel="0" collapsed="false">
      <c r="A1690" s="37" t="n">
        <v>46258</v>
      </c>
      <c r="B1690" s="44" t="s">
        <v>1891</v>
      </c>
      <c r="C1690" s="44" t="s">
        <v>617</v>
      </c>
      <c r="D1690" s="44" t="n">
        <v>4101006</v>
      </c>
      <c r="E1690" s="44" t="s">
        <v>626</v>
      </c>
      <c r="F1690" s="44" t="s">
        <v>1892</v>
      </c>
      <c r="G1690" s="42"/>
      <c r="H1690" s="42" t="n">
        <v>31806720</v>
      </c>
      <c r="I1690" s="44" t="s">
        <v>432</v>
      </c>
      <c r="J1690" s="11" t="n">
        <f aca="false">IF(D1690="","",N(G1690)-N(H1690))</f>
        <v>-31806720</v>
      </c>
      <c r="K1690" s="34" t="str">
        <f aca="false">IF(D1690="","",IFERROR(INDEX(I_COA!$C$6:$C$265,MATCH(D1690,I_COA!$A$6:$A$265,0)),"AKUN BARU"))</f>
        <v>LabaRugi</v>
      </c>
      <c r="L1690" s="34" t="str">
        <f aca="false">IF(K1690="LabaRugi",INDEX(I_COA!$D$6:$D$265,MATCH(D1690,I_COA!$A$6:$A$265,0)),"")</f>
        <v>Revenue - LB Main Product</v>
      </c>
      <c r="M1690" s="34" t="str">
        <f aca="false">IF(K1690="Neraca",INDEX(I_COA!$E$6:$E$265,MATCH(D1690,I_COA!$A$6:$A$265,0)),"")</f>
        <v/>
      </c>
      <c r="N1690" s="34" t="str">
        <f aca="false">IF(D1690="","",IFERROR(INDEX(I_COA!$G$6:$G$265,MATCH(D1690,I_COA!$A$6:$A$265,0)),"N"))</f>
        <v>N</v>
      </c>
      <c r="O1690" s="11" t="n">
        <f aca="false">IF(N1690="N",ABS(J1690),"")</f>
        <v>31806720</v>
      </c>
      <c r="P1690" s="18" t="str">
        <f aca="false">IF(N1690="N",B1690&amp;"|"&amp;ROUND(O1690,0),"")</f>
        <v>KGR26/0318|31806720</v>
      </c>
      <c r="Q1690" s="18" t="str">
        <f aca="false">IF(N1690&lt;&gt;"Y","",IFERROR(INDEX($D$6:$D$4005,MATCH(B1690&amp;"|"&amp;ROUND(_xlfn.MAXIFS($O$6:$O$4005,$B$6:$B$4005,B1690,$N$6:$N$4005,"N"),0),$P$6:$P$4005,0)),"(tanpa lawan)"))</f>
        <v/>
      </c>
      <c r="R1690" s="44"/>
      <c r="S1690" s="9" t="str">
        <f aca="false">IF(N1690&lt;&gt;"Y","",IF(R1690&lt;&gt;"",R1690,IF(Q1690="(tanpa lawan)","Transfer antar rekening",IFERROR(INDEX(I_COA!$F$6:$F$265,MATCH(Q1690,I_COA!$A$6:$A$265,0)),"?"))))</f>
        <v/>
      </c>
    </row>
    <row r="1691" customFormat="false" ht="15" hidden="false" customHeight="false" outlineLevel="0" collapsed="false">
      <c r="A1691" s="37" t="n">
        <v>46258</v>
      </c>
      <c r="B1691" s="44" t="s">
        <v>1891</v>
      </c>
      <c r="C1691" s="44" t="s">
        <v>617</v>
      </c>
      <c r="D1691" s="44" t="n">
        <v>5100004</v>
      </c>
      <c r="E1691" s="44" t="s">
        <v>627</v>
      </c>
      <c r="F1691" s="44" t="s">
        <v>1892</v>
      </c>
      <c r="G1691" s="42" t="n">
        <v>29054973.67</v>
      </c>
      <c r="H1691" s="42"/>
      <c r="I1691" s="44" t="s">
        <v>432</v>
      </c>
      <c r="J1691" s="11" t="n">
        <f aca="false">IF(D1691="","",N(G1691)-N(H1691))</f>
        <v>29054973.67</v>
      </c>
      <c r="K1691" s="34" t="str">
        <f aca="false">IF(D1691="","",IFERROR(INDEX(I_COA!$C$6:$C$265,MATCH(D1691,I_COA!$A$6:$A$265,0)),"AKUN BARU"))</f>
        <v>LabaRugi</v>
      </c>
      <c r="L1691" s="34" t="str">
        <f aca="false">IF(K1691="LabaRugi",INDEX(I_COA!$D$6:$D$265,MATCH(D1691,I_COA!$A$6:$A$265,0)),"")</f>
        <v>COGS - Live Bird</v>
      </c>
      <c r="M1691" s="34" t="str">
        <f aca="false">IF(K1691="Neraca",INDEX(I_COA!$E$6:$E$265,MATCH(D1691,I_COA!$A$6:$A$265,0)),"")</f>
        <v/>
      </c>
      <c r="N1691" s="34" t="str">
        <f aca="false">IF(D1691="","",IFERROR(INDEX(I_COA!$G$6:$G$265,MATCH(D1691,I_COA!$A$6:$A$265,0)),"N"))</f>
        <v>N</v>
      </c>
      <c r="O1691" s="11" t="n">
        <f aca="false">IF(N1691="N",ABS(J1691),"")</f>
        <v>29054973.67</v>
      </c>
      <c r="P1691" s="18" t="str">
        <f aca="false">IF(N1691="N",B1691&amp;"|"&amp;ROUND(O1691,0),"")</f>
        <v>KGR26/0318|29054974</v>
      </c>
      <c r="Q1691" s="18" t="str">
        <f aca="false">IF(N1691&lt;&gt;"Y","",IFERROR(INDEX($D$6:$D$4005,MATCH(B1691&amp;"|"&amp;ROUND(_xlfn.MAXIFS($O$6:$O$4005,$B$6:$B$4005,B1691,$N$6:$N$4005,"N"),0),$P$6:$P$4005,0)),"(tanpa lawan)"))</f>
        <v/>
      </c>
      <c r="R1691" s="44"/>
      <c r="S1691" s="9" t="str">
        <f aca="false">IF(N1691&lt;&gt;"Y","",IF(R1691&lt;&gt;"",R1691,IF(Q1691="(tanpa lawan)","Transfer antar rekening",IFERROR(INDEX(I_COA!$F$6:$F$265,MATCH(Q1691,I_COA!$A$6:$A$265,0)),"?"))))</f>
        <v/>
      </c>
    </row>
    <row r="1692" customFormat="false" ht="15" hidden="false" customHeight="false" outlineLevel="0" collapsed="false">
      <c r="A1692" s="37" t="n">
        <v>46258</v>
      </c>
      <c r="B1692" s="44" t="s">
        <v>1893</v>
      </c>
      <c r="C1692" s="44" t="s">
        <v>580</v>
      </c>
      <c r="D1692" s="44" t="n">
        <v>1103123</v>
      </c>
      <c r="E1692" s="44" t="s">
        <v>1288</v>
      </c>
      <c r="F1692" s="44" t="s">
        <v>1894</v>
      </c>
      <c r="G1692" s="42" t="n">
        <v>122383100</v>
      </c>
      <c r="H1692" s="42"/>
      <c r="I1692" s="44" t="s">
        <v>465</v>
      </c>
      <c r="J1692" s="11" t="n">
        <f aca="false">IF(D1692="","",N(G1692)-N(H1692))</f>
        <v>122383100</v>
      </c>
      <c r="K1692" s="34" t="str">
        <f aca="false">IF(D1692="","",IFERROR(INDEX(I_COA!$C$6:$C$265,MATCH(D1692,I_COA!$A$6:$A$265,0)),"AKUN BARU"))</f>
        <v>Neraca</v>
      </c>
      <c r="L1692" s="34" t="str">
        <f aca="false">IF(K1692="LabaRugi",INDEX(I_COA!$D$6:$D$265,MATCH(D1692,I_COA!$A$6:$A$265,0)),"")</f>
        <v/>
      </c>
      <c r="M1692" s="34" t="str">
        <f aca="false">IF(K1692="Neraca",INDEX(I_COA!$E$6:$E$265,MATCH(D1692,I_COA!$A$6:$A$265,0)),"")</f>
        <v>Trade Receivables - Third Parties</v>
      </c>
      <c r="N1692" s="34" t="str">
        <f aca="false">IF(D1692="","",IFERROR(INDEX(I_COA!$G$6:$G$265,MATCH(D1692,I_COA!$A$6:$A$265,0)),"N"))</f>
        <v>N</v>
      </c>
      <c r="O1692" s="11" t="n">
        <f aca="false">IF(N1692="N",ABS(J1692),"")</f>
        <v>122383100</v>
      </c>
      <c r="P1692" s="18" t="str">
        <f aca="false">IF(N1692="N",B1692&amp;"|"&amp;ROUND(O1692,0),"")</f>
        <v>MJ26080016|122383100</v>
      </c>
      <c r="Q1692" s="18" t="str">
        <f aca="false">IF(N1692&lt;&gt;"Y","",IFERROR(INDEX($D$6:$D$4005,MATCH(B1692&amp;"|"&amp;ROUND(_xlfn.MAXIFS($O$6:$O$4005,$B$6:$B$4005,B1692,$N$6:$N$4005,"N"),0),$P$6:$P$4005,0)),"(tanpa lawan)"))</f>
        <v/>
      </c>
      <c r="R1692" s="44"/>
      <c r="S1692" s="9" t="str">
        <f aca="false">IF(N1692&lt;&gt;"Y","",IF(R1692&lt;&gt;"",R1692,IF(Q1692="(tanpa lawan)","Transfer antar rekening",IFERROR(INDEX(I_COA!$F$6:$F$265,MATCH(Q1692,I_COA!$A$6:$A$265,0)),"?"))))</f>
        <v/>
      </c>
    </row>
    <row r="1693" customFormat="false" ht="15" hidden="false" customHeight="false" outlineLevel="0" collapsed="false">
      <c r="A1693" s="37" t="n">
        <v>46258</v>
      </c>
      <c r="B1693" s="44" t="s">
        <v>1893</v>
      </c>
      <c r="C1693" s="44" t="s">
        <v>580</v>
      </c>
      <c r="D1693" s="44" t="n">
        <v>4101013</v>
      </c>
      <c r="E1693" s="44" t="s">
        <v>1290</v>
      </c>
      <c r="F1693" s="44" t="s">
        <v>1894</v>
      </c>
      <c r="G1693" s="42"/>
      <c r="H1693" s="42" t="n">
        <v>122383100</v>
      </c>
      <c r="I1693" s="44"/>
      <c r="J1693" s="11" t="n">
        <f aca="false">IF(D1693="","",N(G1693)-N(H1693))</f>
        <v>-122383100</v>
      </c>
      <c r="K1693" s="34" t="str">
        <f aca="false">IF(D1693="","",IFERROR(INDEX(I_COA!$C$6:$C$265,MATCH(D1693,I_COA!$A$6:$A$265,0)),"AKUN BARU"))</f>
        <v>LabaRugi</v>
      </c>
      <c r="L1693" s="34" t="str">
        <f aca="false">IF(K1693="LabaRugi",INDEX(I_COA!$D$6:$D$265,MATCH(D1693,I_COA!$A$6:$A$265,0)),"")</f>
        <v>Revenue - LB Main Product</v>
      </c>
      <c r="M1693" s="34" t="str">
        <f aca="false">IF(K1693="Neraca",INDEX(I_COA!$E$6:$E$265,MATCH(D1693,I_COA!$A$6:$A$265,0)),"")</f>
        <v/>
      </c>
      <c r="N1693" s="34" t="str">
        <f aca="false">IF(D1693="","",IFERROR(INDEX(I_COA!$G$6:$G$265,MATCH(D1693,I_COA!$A$6:$A$265,0)),"N"))</f>
        <v>N</v>
      </c>
      <c r="O1693" s="11" t="n">
        <f aca="false">IF(N1693="N",ABS(J1693),"")</f>
        <v>122383100</v>
      </c>
      <c r="P1693" s="18" t="str">
        <f aca="false">IF(N1693="N",B1693&amp;"|"&amp;ROUND(O1693,0),"")</f>
        <v>MJ26080016|122383100</v>
      </c>
      <c r="Q1693" s="18" t="str">
        <f aca="false">IF(N1693&lt;&gt;"Y","",IFERROR(INDEX($D$6:$D$4005,MATCH(B1693&amp;"|"&amp;ROUND(_xlfn.MAXIFS($O$6:$O$4005,$B$6:$B$4005,B1693,$N$6:$N$4005,"N"),0),$P$6:$P$4005,0)),"(tanpa lawan)"))</f>
        <v/>
      </c>
      <c r="R1693" s="44"/>
      <c r="S1693" s="9" t="str">
        <f aca="false">IF(N1693&lt;&gt;"Y","",IF(R1693&lt;&gt;"",R1693,IF(Q1693="(tanpa lawan)","Transfer antar rekening",IFERROR(INDEX(I_COA!$F$6:$F$265,MATCH(Q1693,I_COA!$A$6:$A$265,0)),"?"))))</f>
        <v/>
      </c>
    </row>
    <row r="1694" customFormat="false" ht="15" hidden="false" customHeight="false" outlineLevel="0" collapsed="false">
      <c r="A1694" s="37" t="n">
        <v>46258</v>
      </c>
      <c r="B1694" s="44" t="s">
        <v>1893</v>
      </c>
      <c r="C1694" s="44" t="s">
        <v>580</v>
      </c>
      <c r="D1694" s="44" t="n">
        <v>5100004</v>
      </c>
      <c r="E1694" s="44" t="s">
        <v>627</v>
      </c>
      <c r="F1694" s="44" t="s">
        <v>1894</v>
      </c>
      <c r="G1694" s="42" t="n">
        <v>119111139</v>
      </c>
      <c r="H1694" s="42"/>
      <c r="I1694" s="44"/>
      <c r="J1694" s="11" t="n">
        <f aca="false">IF(D1694="","",N(G1694)-N(H1694))</f>
        <v>119111139</v>
      </c>
      <c r="K1694" s="34" t="str">
        <f aca="false">IF(D1694="","",IFERROR(INDEX(I_COA!$C$6:$C$265,MATCH(D1694,I_COA!$A$6:$A$265,0)),"AKUN BARU"))</f>
        <v>LabaRugi</v>
      </c>
      <c r="L1694" s="34" t="str">
        <f aca="false">IF(K1694="LabaRugi",INDEX(I_COA!$D$6:$D$265,MATCH(D1694,I_COA!$A$6:$A$265,0)),"")</f>
        <v>COGS - Live Bird</v>
      </c>
      <c r="M1694" s="34" t="str">
        <f aca="false">IF(K1694="Neraca",INDEX(I_COA!$E$6:$E$265,MATCH(D1694,I_COA!$A$6:$A$265,0)),"")</f>
        <v/>
      </c>
      <c r="N1694" s="34" t="str">
        <f aca="false">IF(D1694="","",IFERROR(INDEX(I_COA!$G$6:$G$265,MATCH(D1694,I_COA!$A$6:$A$265,0)),"N"))</f>
        <v>N</v>
      </c>
      <c r="O1694" s="11" t="n">
        <f aca="false">IF(N1694="N",ABS(J1694),"")</f>
        <v>119111139</v>
      </c>
      <c r="P1694" s="18" t="str">
        <f aca="false">IF(N1694="N",B1694&amp;"|"&amp;ROUND(O1694,0),"")</f>
        <v>MJ26080016|119111139</v>
      </c>
      <c r="Q1694" s="18" t="str">
        <f aca="false">IF(N1694&lt;&gt;"Y","",IFERROR(INDEX($D$6:$D$4005,MATCH(B1694&amp;"|"&amp;ROUND(_xlfn.MAXIFS($O$6:$O$4005,$B$6:$B$4005,B1694,$N$6:$N$4005,"N"),0),$P$6:$P$4005,0)),"(tanpa lawan)"))</f>
        <v/>
      </c>
      <c r="R1694" s="44"/>
      <c r="S1694" s="9" t="str">
        <f aca="false">IF(N1694&lt;&gt;"Y","",IF(R1694&lt;&gt;"",R1694,IF(Q1694="(tanpa lawan)","Transfer antar rekening",IFERROR(INDEX(I_COA!$F$6:$F$265,MATCH(Q1694,I_COA!$A$6:$A$265,0)),"?"))))</f>
        <v/>
      </c>
    </row>
    <row r="1695" customFormat="false" ht="15" hidden="false" customHeight="false" outlineLevel="0" collapsed="false">
      <c r="A1695" s="37" t="n">
        <v>46258</v>
      </c>
      <c r="B1695" s="44" t="s">
        <v>1893</v>
      </c>
      <c r="C1695" s="44" t="s">
        <v>580</v>
      </c>
      <c r="D1695" s="44" t="n">
        <v>1104003</v>
      </c>
      <c r="E1695" s="44" t="s">
        <v>613</v>
      </c>
      <c r="F1695" s="44" t="s">
        <v>1894</v>
      </c>
      <c r="G1695" s="42"/>
      <c r="H1695" s="42" t="n">
        <v>119111139</v>
      </c>
      <c r="I1695" s="44"/>
      <c r="J1695" s="11" t="n">
        <f aca="false">IF(D1695="","",N(G1695)-N(H1695))</f>
        <v>-119111139</v>
      </c>
      <c r="K1695" s="34" t="str">
        <f aca="false">IF(D1695="","",IFERROR(INDEX(I_COA!$C$6:$C$265,MATCH(D1695,I_COA!$A$6:$A$265,0)),"AKUN BARU"))</f>
        <v>Neraca</v>
      </c>
      <c r="L1695" s="34" t="str">
        <f aca="false">IF(K1695="LabaRugi",INDEX(I_COA!$D$6:$D$265,MATCH(D1695,I_COA!$A$6:$A$265,0)),"")</f>
        <v/>
      </c>
      <c r="M1695" s="34" t="str">
        <f aca="false">IF(K1695="Neraca",INDEX(I_COA!$E$6:$E$265,MATCH(D1695,I_COA!$A$6:$A$265,0)),"")</f>
        <v>Inventory - Product</v>
      </c>
      <c r="N1695" s="34" t="str">
        <f aca="false">IF(D1695="","",IFERROR(INDEX(I_COA!$G$6:$G$265,MATCH(D1695,I_COA!$A$6:$A$265,0)),"N"))</f>
        <v>N</v>
      </c>
      <c r="O1695" s="11" t="n">
        <f aca="false">IF(N1695="N",ABS(J1695),"")</f>
        <v>119111139</v>
      </c>
      <c r="P1695" s="18" t="str">
        <f aca="false">IF(N1695="N",B1695&amp;"|"&amp;ROUND(O1695,0),"")</f>
        <v>MJ26080016|119111139</v>
      </c>
      <c r="Q1695" s="18" t="str">
        <f aca="false">IF(N1695&lt;&gt;"Y","",IFERROR(INDEX($D$6:$D$4005,MATCH(B1695&amp;"|"&amp;ROUND(_xlfn.MAXIFS($O$6:$O$4005,$B$6:$B$4005,B1695,$N$6:$N$4005,"N"),0),$P$6:$P$4005,0)),"(tanpa lawan)"))</f>
        <v/>
      </c>
      <c r="R1695" s="44"/>
      <c r="S1695" s="9" t="str">
        <f aca="false">IF(N1695&lt;&gt;"Y","",IF(R1695&lt;&gt;"",R1695,IF(Q1695="(tanpa lawan)","Transfer antar rekening",IFERROR(INDEX(I_COA!$F$6:$F$265,MATCH(Q1695,I_COA!$A$6:$A$265,0)),"?"))))</f>
        <v/>
      </c>
    </row>
    <row r="1696" customFormat="false" ht="15" hidden="false" customHeight="false" outlineLevel="0" collapsed="false">
      <c r="A1696" s="37" t="n">
        <v>46258</v>
      </c>
      <c r="B1696" s="44" t="s">
        <v>1895</v>
      </c>
      <c r="C1696" s="44" t="s">
        <v>707</v>
      </c>
      <c r="D1696" s="44" t="n">
        <v>5100002</v>
      </c>
      <c r="E1696" s="44" t="s">
        <v>1399</v>
      </c>
      <c r="F1696" s="44" t="s">
        <v>1896</v>
      </c>
      <c r="G1696" s="42" t="n">
        <v>17000000</v>
      </c>
      <c r="H1696" s="42"/>
      <c r="I1696" s="44" t="s">
        <v>1751</v>
      </c>
      <c r="J1696" s="11" t="n">
        <f aca="false">IF(D1696="","",N(G1696)-N(H1696))</f>
        <v>17000000</v>
      </c>
      <c r="K1696" s="34" t="str">
        <f aca="false">IF(D1696="","",IFERROR(INDEX(I_COA!$C$6:$C$265,MATCH(D1696,I_COA!$A$6:$A$265,0)),"AKUN BARU"))</f>
        <v>LabaRugi</v>
      </c>
      <c r="L1696" s="34" t="str">
        <f aca="false">IF(K1696="LabaRugi",INDEX(I_COA!$D$6:$D$265,MATCH(D1696,I_COA!$A$6:$A$265,0)),"")</f>
        <v>Other COGS - Expedition</v>
      </c>
      <c r="M1696" s="34" t="str">
        <f aca="false">IF(K1696="Neraca",INDEX(I_COA!$E$6:$E$265,MATCH(D1696,I_COA!$A$6:$A$265,0)),"")</f>
        <v/>
      </c>
      <c r="N1696" s="34" t="str">
        <f aca="false">IF(D1696="","",IFERROR(INDEX(I_COA!$G$6:$G$265,MATCH(D1696,I_COA!$A$6:$A$265,0)),"N"))</f>
        <v>N</v>
      </c>
      <c r="O1696" s="11" t="n">
        <f aca="false">IF(N1696="N",ABS(J1696),"")</f>
        <v>17000000</v>
      </c>
      <c r="P1696" s="18" t="str">
        <f aca="false">IF(N1696="N",B1696&amp;"|"&amp;ROUND(O1696,0),"")</f>
        <v>PI26080006|17000000</v>
      </c>
      <c r="Q1696" s="18" t="str">
        <f aca="false">IF(N1696&lt;&gt;"Y","",IFERROR(INDEX($D$6:$D$4005,MATCH(B1696&amp;"|"&amp;ROUND(_xlfn.MAXIFS($O$6:$O$4005,$B$6:$B$4005,B1696,$N$6:$N$4005,"N"),0),$P$6:$P$4005,0)),"(tanpa lawan)"))</f>
        <v/>
      </c>
      <c r="R1696" s="44"/>
      <c r="S1696" s="9" t="str">
        <f aca="false">IF(N1696&lt;&gt;"Y","",IF(R1696&lt;&gt;"",R1696,IF(Q1696="(tanpa lawan)","Transfer antar rekening",IFERROR(INDEX(I_COA!$F$6:$F$265,MATCH(Q1696,I_COA!$A$6:$A$265,0)),"?"))))</f>
        <v/>
      </c>
    </row>
    <row r="1697" customFormat="false" ht="15" hidden="false" customHeight="false" outlineLevel="0" collapsed="false">
      <c r="A1697" s="37" t="n">
        <v>46258</v>
      </c>
      <c r="B1697" s="44" t="s">
        <v>1895</v>
      </c>
      <c r="C1697" s="44" t="s">
        <v>707</v>
      </c>
      <c r="D1697" s="44" t="n">
        <v>1106001</v>
      </c>
      <c r="E1697" s="44" t="s">
        <v>720</v>
      </c>
      <c r="F1697" s="44" t="s">
        <v>1896</v>
      </c>
      <c r="G1697" s="42" t="n">
        <v>1870000</v>
      </c>
      <c r="H1697" s="42"/>
      <c r="I1697" s="44" t="s">
        <v>1751</v>
      </c>
      <c r="J1697" s="11" t="n">
        <f aca="false">IF(D1697="","",N(G1697)-N(H1697))</f>
        <v>1870000</v>
      </c>
      <c r="K1697" s="34" t="str">
        <f aca="false">IF(D1697="","",IFERROR(INDEX(I_COA!$C$6:$C$265,MATCH(D1697,I_COA!$A$6:$A$265,0)),"AKUN BARU"))</f>
        <v>Neraca</v>
      </c>
      <c r="L1697" s="34" t="str">
        <f aca="false">IF(K1697="LabaRugi",INDEX(I_COA!$D$6:$D$265,MATCH(D1697,I_COA!$A$6:$A$265,0)),"")</f>
        <v/>
      </c>
      <c r="M1697" s="34" t="str">
        <f aca="false">IF(K1697="Neraca",INDEX(I_COA!$E$6:$E$265,MATCH(D1697,I_COA!$A$6:$A$265,0)),"")</f>
        <v>Prepaid Tax</v>
      </c>
      <c r="N1697" s="34" t="str">
        <f aca="false">IF(D1697="","",IFERROR(INDEX(I_COA!$G$6:$G$265,MATCH(D1697,I_COA!$A$6:$A$265,0)),"N"))</f>
        <v>N</v>
      </c>
      <c r="O1697" s="11" t="n">
        <f aca="false">IF(N1697="N",ABS(J1697),"")</f>
        <v>1870000</v>
      </c>
      <c r="P1697" s="18" t="str">
        <f aca="false">IF(N1697="N",B1697&amp;"|"&amp;ROUND(O1697,0),"")</f>
        <v>PI26080006|1870000</v>
      </c>
      <c r="Q1697" s="18" t="str">
        <f aca="false">IF(N1697&lt;&gt;"Y","",IFERROR(INDEX($D$6:$D$4005,MATCH(B1697&amp;"|"&amp;ROUND(_xlfn.MAXIFS($O$6:$O$4005,$B$6:$B$4005,B1697,$N$6:$N$4005,"N"),0),$P$6:$P$4005,0)),"(tanpa lawan)"))</f>
        <v/>
      </c>
      <c r="R1697" s="44"/>
      <c r="S1697" s="9" t="str">
        <f aca="false">IF(N1697&lt;&gt;"Y","",IF(R1697&lt;&gt;"",R1697,IF(Q1697="(tanpa lawan)","Transfer antar rekening",IFERROR(INDEX(I_COA!$F$6:$F$265,MATCH(Q1697,I_COA!$A$6:$A$265,0)),"?"))))</f>
        <v/>
      </c>
    </row>
    <row r="1698" customFormat="false" ht="15" hidden="false" customHeight="false" outlineLevel="0" collapsed="false">
      <c r="A1698" s="37" t="n">
        <v>46258</v>
      </c>
      <c r="B1698" s="44" t="s">
        <v>1895</v>
      </c>
      <c r="C1698" s="44" t="s">
        <v>707</v>
      </c>
      <c r="D1698" s="44" t="n">
        <v>2102003</v>
      </c>
      <c r="E1698" s="44" t="s">
        <v>722</v>
      </c>
      <c r="F1698" s="44" t="s">
        <v>1897</v>
      </c>
      <c r="G1698" s="42"/>
      <c r="H1698" s="42" t="n">
        <v>340000</v>
      </c>
      <c r="I1698" s="44" t="s">
        <v>1751</v>
      </c>
      <c r="J1698" s="11" t="n">
        <f aca="false">IF(D1698="","",N(G1698)-N(H1698))</f>
        <v>-340000</v>
      </c>
      <c r="K1698" s="34" t="str">
        <f aca="false">IF(D1698="","",IFERROR(INDEX(I_COA!$C$6:$C$265,MATCH(D1698,I_COA!$A$6:$A$265,0)),"AKUN BARU"))</f>
        <v>Neraca</v>
      </c>
      <c r="L1698" s="34" t="str">
        <f aca="false">IF(K1698="LabaRugi",INDEX(I_COA!$D$6:$D$265,MATCH(D1698,I_COA!$A$6:$A$265,0)),"")</f>
        <v/>
      </c>
      <c r="M1698" s="34" t="str">
        <f aca="false">IF(K1698="Neraca",INDEX(I_COA!$E$6:$E$265,MATCH(D1698,I_COA!$A$6:$A$265,0)),"")</f>
        <v>Taxes Payable</v>
      </c>
      <c r="N1698" s="34" t="str">
        <f aca="false">IF(D1698="","",IFERROR(INDEX(I_COA!$G$6:$G$265,MATCH(D1698,I_COA!$A$6:$A$265,0)),"N"))</f>
        <v>N</v>
      </c>
      <c r="O1698" s="11" t="n">
        <f aca="false">IF(N1698="N",ABS(J1698),"")</f>
        <v>340000</v>
      </c>
      <c r="P1698" s="18" t="str">
        <f aca="false">IF(N1698="N",B1698&amp;"|"&amp;ROUND(O1698,0),"")</f>
        <v>PI26080006|340000</v>
      </c>
      <c r="Q1698" s="18" t="str">
        <f aca="false">IF(N1698&lt;&gt;"Y","",IFERROR(INDEX($D$6:$D$4005,MATCH(B1698&amp;"|"&amp;ROUND(_xlfn.MAXIFS($O$6:$O$4005,$B$6:$B$4005,B1698,$N$6:$N$4005,"N"),0),$P$6:$P$4005,0)),"(tanpa lawan)"))</f>
        <v/>
      </c>
      <c r="R1698" s="44"/>
      <c r="S1698" s="9" t="str">
        <f aca="false">IF(N1698&lt;&gt;"Y","",IF(R1698&lt;&gt;"",R1698,IF(Q1698="(tanpa lawan)","Transfer antar rekening",IFERROR(INDEX(I_COA!$F$6:$F$265,MATCH(Q1698,I_COA!$A$6:$A$265,0)),"?"))))</f>
        <v/>
      </c>
    </row>
    <row r="1699" customFormat="false" ht="15" hidden="false" customHeight="false" outlineLevel="0" collapsed="false">
      <c r="A1699" s="37" t="n">
        <v>46258</v>
      </c>
      <c r="B1699" s="44" t="s">
        <v>1895</v>
      </c>
      <c r="C1699" s="44" t="s">
        <v>707</v>
      </c>
      <c r="D1699" s="44" t="n">
        <v>2101003</v>
      </c>
      <c r="E1699" s="44" t="s">
        <v>679</v>
      </c>
      <c r="F1699" s="44" t="s">
        <v>1896</v>
      </c>
      <c r="G1699" s="42"/>
      <c r="H1699" s="42" t="n">
        <v>18530000</v>
      </c>
      <c r="I1699" s="44" t="s">
        <v>1751</v>
      </c>
      <c r="J1699" s="11" t="n">
        <f aca="false">IF(D1699="","",N(G1699)-N(H1699))</f>
        <v>-18530000</v>
      </c>
      <c r="K1699" s="34" t="str">
        <f aca="false">IF(D1699="","",IFERROR(INDEX(I_COA!$C$6:$C$265,MATCH(D1699,I_COA!$A$6:$A$265,0)),"AKUN BARU"))</f>
        <v>Neraca</v>
      </c>
      <c r="L1699" s="34" t="str">
        <f aca="false">IF(K1699="LabaRugi",INDEX(I_COA!$D$6:$D$265,MATCH(D1699,I_COA!$A$6:$A$265,0)),"")</f>
        <v/>
      </c>
      <c r="M1699" s="34" t="str">
        <f aca="false">IF(K1699="Neraca",INDEX(I_COA!$E$6:$E$265,MATCH(D1699,I_COA!$A$6:$A$265,0)),"")</f>
        <v>Other Payable - Third Parties</v>
      </c>
      <c r="N1699" s="34" t="str">
        <f aca="false">IF(D1699="","",IFERROR(INDEX(I_COA!$G$6:$G$265,MATCH(D1699,I_COA!$A$6:$A$265,0)),"N"))</f>
        <v>N</v>
      </c>
      <c r="O1699" s="11" t="n">
        <f aca="false">IF(N1699="N",ABS(J1699),"")</f>
        <v>18530000</v>
      </c>
      <c r="P1699" s="18" t="str">
        <f aca="false">IF(N1699="N",B1699&amp;"|"&amp;ROUND(O1699,0),"")</f>
        <v>PI26080006|18530000</v>
      </c>
      <c r="Q1699" s="18" t="str">
        <f aca="false">IF(N1699&lt;&gt;"Y","",IFERROR(INDEX($D$6:$D$4005,MATCH(B1699&amp;"|"&amp;ROUND(_xlfn.MAXIFS($O$6:$O$4005,$B$6:$B$4005,B1699,$N$6:$N$4005,"N"),0),$P$6:$P$4005,0)),"(tanpa lawan)"))</f>
        <v/>
      </c>
      <c r="R1699" s="44"/>
      <c r="S1699" s="9" t="str">
        <f aca="false">IF(N1699&lt;&gt;"Y","",IF(R1699&lt;&gt;"",R1699,IF(Q1699="(tanpa lawan)","Transfer antar rekening",IFERROR(INDEX(I_COA!$F$6:$F$265,MATCH(Q1699,I_COA!$A$6:$A$265,0)),"?"))))</f>
        <v/>
      </c>
    </row>
    <row r="1700" customFormat="false" ht="15" hidden="false" customHeight="false" outlineLevel="0" collapsed="false">
      <c r="A1700" s="37" t="n">
        <v>46258</v>
      </c>
      <c r="B1700" s="44" t="s">
        <v>1898</v>
      </c>
      <c r="C1700" s="44" t="s">
        <v>707</v>
      </c>
      <c r="D1700" s="44" t="n">
        <v>1105001</v>
      </c>
      <c r="E1700" s="44" t="s">
        <v>1899</v>
      </c>
      <c r="F1700" s="44" t="s">
        <v>1900</v>
      </c>
      <c r="G1700" s="42" t="n">
        <v>1133790000</v>
      </c>
      <c r="H1700" s="42"/>
      <c r="I1700" s="44" t="s">
        <v>1901</v>
      </c>
      <c r="J1700" s="11" t="n">
        <f aca="false">IF(D1700="","",N(G1700)-N(H1700))</f>
        <v>1133790000</v>
      </c>
      <c r="K1700" s="34" t="str">
        <f aca="false">IF(D1700="","",IFERROR(INDEX(I_COA!$C$6:$C$265,MATCH(D1700,I_COA!$A$6:$A$265,0)),"AKUN BARU"))</f>
        <v>Neraca</v>
      </c>
      <c r="L1700" s="34" t="str">
        <f aca="false">IF(K1700="LabaRugi",INDEX(I_COA!$D$6:$D$265,MATCH(D1700,I_COA!$A$6:$A$265,0)),"")</f>
        <v/>
      </c>
      <c r="M1700" s="34" t="str">
        <f aca="false">IF(K1700="Neraca",INDEX(I_COA!$E$6:$E$265,MATCH(D1700,I_COA!$A$6:$A$265,0)),"")</f>
        <v>Prepaid Expenses</v>
      </c>
      <c r="N1700" s="34" t="str">
        <f aca="false">IF(D1700="","",IFERROR(INDEX(I_COA!$G$6:$G$265,MATCH(D1700,I_COA!$A$6:$A$265,0)),"N"))</f>
        <v>N</v>
      </c>
      <c r="O1700" s="11" t="n">
        <f aca="false">IF(N1700="N",ABS(J1700),"")</f>
        <v>1133790000</v>
      </c>
      <c r="P1700" s="18" t="str">
        <f aca="false">IF(N1700="N",B1700&amp;"|"&amp;ROUND(O1700,0),"")</f>
        <v>PI26080025|1133790000</v>
      </c>
      <c r="Q1700" s="18" t="str">
        <f aca="false">IF(N1700&lt;&gt;"Y","",IFERROR(INDEX($D$6:$D$4005,MATCH(B1700&amp;"|"&amp;ROUND(_xlfn.MAXIFS($O$6:$O$4005,$B$6:$B$4005,B1700,$N$6:$N$4005,"N"),0),$P$6:$P$4005,0)),"(tanpa lawan)"))</f>
        <v/>
      </c>
      <c r="R1700" s="44"/>
      <c r="S1700" s="9" t="str">
        <f aca="false">IF(N1700&lt;&gt;"Y","",IF(R1700&lt;&gt;"",R1700,IF(Q1700="(tanpa lawan)","Transfer antar rekening",IFERROR(INDEX(I_COA!$F$6:$F$265,MATCH(Q1700,I_COA!$A$6:$A$265,0)),"?"))))</f>
        <v/>
      </c>
    </row>
    <row r="1701" customFormat="false" ht="15" hidden="false" customHeight="false" outlineLevel="0" collapsed="false">
      <c r="A1701" s="37" t="n">
        <v>46258</v>
      </c>
      <c r="B1701" s="44" t="s">
        <v>1898</v>
      </c>
      <c r="C1701" s="44" t="s">
        <v>707</v>
      </c>
      <c r="D1701" s="44" t="n">
        <v>2101003</v>
      </c>
      <c r="E1701" s="44" t="s">
        <v>679</v>
      </c>
      <c r="F1701" s="44" t="s">
        <v>1900</v>
      </c>
      <c r="G1701" s="42"/>
      <c r="H1701" s="42" t="n">
        <v>1133790000</v>
      </c>
      <c r="I1701" s="44" t="s">
        <v>1901</v>
      </c>
      <c r="J1701" s="11" t="n">
        <f aca="false">IF(D1701="","",N(G1701)-N(H1701))</f>
        <v>-1133790000</v>
      </c>
      <c r="K1701" s="34" t="str">
        <f aca="false">IF(D1701="","",IFERROR(INDEX(I_COA!$C$6:$C$265,MATCH(D1701,I_COA!$A$6:$A$265,0)),"AKUN BARU"))</f>
        <v>Neraca</v>
      </c>
      <c r="L1701" s="34" t="str">
        <f aca="false">IF(K1701="LabaRugi",INDEX(I_COA!$D$6:$D$265,MATCH(D1701,I_COA!$A$6:$A$265,0)),"")</f>
        <v/>
      </c>
      <c r="M1701" s="34" t="str">
        <f aca="false">IF(K1701="Neraca",INDEX(I_COA!$E$6:$E$265,MATCH(D1701,I_COA!$A$6:$A$265,0)),"")</f>
        <v>Other Payable - Third Parties</v>
      </c>
      <c r="N1701" s="34" t="str">
        <f aca="false">IF(D1701="","",IFERROR(INDEX(I_COA!$G$6:$G$265,MATCH(D1701,I_COA!$A$6:$A$265,0)),"N"))</f>
        <v>N</v>
      </c>
      <c r="O1701" s="11" t="n">
        <f aca="false">IF(N1701="N",ABS(J1701),"")</f>
        <v>1133790000</v>
      </c>
      <c r="P1701" s="18" t="str">
        <f aca="false">IF(N1701="N",B1701&amp;"|"&amp;ROUND(O1701,0),"")</f>
        <v>PI26080025|1133790000</v>
      </c>
      <c r="Q1701" s="18" t="str">
        <f aca="false">IF(N1701&lt;&gt;"Y","",IFERROR(INDEX($D$6:$D$4005,MATCH(B1701&amp;"|"&amp;ROUND(_xlfn.MAXIFS($O$6:$O$4005,$B$6:$B$4005,B1701,$N$6:$N$4005,"N"),0),$P$6:$P$4005,0)),"(tanpa lawan)"))</f>
        <v/>
      </c>
      <c r="R1701" s="44"/>
      <c r="S1701" s="9" t="str">
        <f aca="false">IF(N1701&lt;&gt;"Y","",IF(R1701&lt;&gt;"",R1701,IF(Q1701="(tanpa lawan)","Transfer antar rekening",IFERROR(INDEX(I_COA!$F$6:$F$265,MATCH(Q1701,I_COA!$A$6:$A$265,0)),"?"))))</f>
        <v/>
      </c>
    </row>
    <row r="1702" customFormat="false" ht="15" hidden="false" customHeight="false" outlineLevel="0" collapsed="false">
      <c r="A1702" s="37" t="n">
        <v>46258</v>
      </c>
      <c r="B1702" s="44" t="s">
        <v>1902</v>
      </c>
      <c r="C1702" s="44" t="s">
        <v>707</v>
      </c>
      <c r="D1702" s="44" t="n">
        <v>6100006</v>
      </c>
      <c r="E1702" s="44" t="s">
        <v>717</v>
      </c>
      <c r="F1702" s="44" t="s">
        <v>1903</v>
      </c>
      <c r="G1702" s="42" t="n">
        <v>1400000</v>
      </c>
      <c r="H1702" s="42"/>
      <c r="I1702" s="44" t="s">
        <v>719</v>
      </c>
      <c r="J1702" s="11" t="n">
        <f aca="false">IF(D1702="","",N(G1702)-N(H1702))</f>
        <v>1400000</v>
      </c>
      <c r="K1702" s="34" t="str">
        <f aca="false">IF(D1702="","",IFERROR(INDEX(I_COA!$C$6:$C$265,MATCH(D1702,I_COA!$A$6:$A$265,0)),"AKUN BARU"))</f>
        <v>LabaRugi</v>
      </c>
      <c r="L1702" s="34" t="str">
        <f aca="false">IF(K1702="LabaRugi",INDEX(I_COA!$D$6:$D$265,MATCH(D1702,I_COA!$A$6:$A$265,0)),"")</f>
        <v>Delivery Expenses</v>
      </c>
      <c r="M1702" s="34" t="str">
        <f aca="false">IF(K1702="Neraca",INDEX(I_COA!$E$6:$E$265,MATCH(D1702,I_COA!$A$6:$A$265,0)),"")</f>
        <v/>
      </c>
      <c r="N1702" s="34" t="str">
        <f aca="false">IF(D1702="","",IFERROR(INDEX(I_COA!$G$6:$G$265,MATCH(D1702,I_COA!$A$6:$A$265,0)),"N"))</f>
        <v>N</v>
      </c>
      <c r="O1702" s="11" t="n">
        <f aca="false">IF(N1702="N",ABS(J1702),"")</f>
        <v>1400000</v>
      </c>
      <c r="P1702" s="18" t="str">
        <f aca="false">IF(N1702="N",B1702&amp;"|"&amp;ROUND(O1702,0),"")</f>
        <v>PI26080047|1400000</v>
      </c>
      <c r="Q1702" s="18" t="str">
        <f aca="false">IF(N1702&lt;&gt;"Y","",IFERROR(INDEX($D$6:$D$4005,MATCH(B1702&amp;"|"&amp;ROUND(_xlfn.MAXIFS($O$6:$O$4005,$B$6:$B$4005,B1702,$N$6:$N$4005,"N"),0),$P$6:$P$4005,0)),"(tanpa lawan)"))</f>
        <v/>
      </c>
      <c r="R1702" s="44"/>
      <c r="S1702" s="9" t="str">
        <f aca="false">IF(N1702&lt;&gt;"Y","",IF(R1702&lt;&gt;"",R1702,IF(Q1702="(tanpa lawan)","Transfer antar rekening",IFERROR(INDEX(I_COA!$F$6:$F$265,MATCH(Q1702,I_COA!$A$6:$A$265,0)),"?"))))</f>
        <v/>
      </c>
    </row>
    <row r="1703" customFormat="false" ht="15" hidden="false" customHeight="false" outlineLevel="0" collapsed="false">
      <c r="A1703" s="37" t="n">
        <v>46258</v>
      </c>
      <c r="B1703" s="44" t="s">
        <v>1902</v>
      </c>
      <c r="C1703" s="44" t="s">
        <v>707</v>
      </c>
      <c r="D1703" s="44" t="n">
        <v>1106001</v>
      </c>
      <c r="E1703" s="44" t="s">
        <v>720</v>
      </c>
      <c r="F1703" s="44" t="s">
        <v>721</v>
      </c>
      <c r="G1703" s="42" t="n">
        <v>154000</v>
      </c>
      <c r="H1703" s="42"/>
      <c r="I1703" s="44" t="s">
        <v>719</v>
      </c>
      <c r="J1703" s="11" t="n">
        <f aca="false">IF(D1703="","",N(G1703)-N(H1703))</f>
        <v>154000</v>
      </c>
      <c r="K1703" s="34" t="str">
        <f aca="false">IF(D1703="","",IFERROR(INDEX(I_COA!$C$6:$C$265,MATCH(D1703,I_COA!$A$6:$A$265,0)),"AKUN BARU"))</f>
        <v>Neraca</v>
      </c>
      <c r="L1703" s="34" t="str">
        <f aca="false">IF(K1703="LabaRugi",INDEX(I_COA!$D$6:$D$265,MATCH(D1703,I_COA!$A$6:$A$265,0)),"")</f>
        <v/>
      </c>
      <c r="M1703" s="34" t="str">
        <f aca="false">IF(K1703="Neraca",INDEX(I_COA!$E$6:$E$265,MATCH(D1703,I_COA!$A$6:$A$265,0)),"")</f>
        <v>Prepaid Tax</v>
      </c>
      <c r="N1703" s="34" t="str">
        <f aca="false">IF(D1703="","",IFERROR(INDEX(I_COA!$G$6:$G$265,MATCH(D1703,I_COA!$A$6:$A$265,0)),"N"))</f>
        <v>N</v>
      </c>
      <c r="O1703" s="11" t="n">
        <f aca="false">IF(N1703="N",ABS(J1703),"")</f>
        <v>154000</v>
      </c>
      <c r="P1703" s="18" t="str">
        <f aca="false">IF(N1703="N",B1703&amp;"|"&amp;ROUND(O1703,0),"")</f>
        <v>PI26080047|154000</v>
      </c>
      <c r="Q1703" s="18" t="str">
        <f aca="false">IF(N1703&lt;&gt;"Y","",IFERROR(INDEX($D$6:$D$4005,MATCH(B1703&amp;"|"&amp;ROUND(_xlfn.MAXIFS($O$6:$O$4005,$B$6:$B$4005,B1703,$N$6:$N$4005,"N"),0),$P$6:$P$4005,0)),"(tanpa lawan)"))</f>
        <v/>
      </c>
      <c r="R1703" s="44"/>
      <c r="S1703" s="9" t="str">
        <f aca="false">IF(N1703&lt;&gt;"Y","",IF(R1703&lt;&gt;"",R1703,IF(Q1703="(tanpa lawan)","Transfer antar rekening",IFERROR(INDEX(I_COA!$F$6:$F$265,MATCH(Q1703,I_COA!$A$6:$A$265,0)),"?"))))</f>
        <v/>
      </c>
    </row>
    <row r="1704" customFormat="false" ht="15" hidden="false" customHeight="false" outlineLevel="0" collapsed="false">
      <c r="A1704" s="37" t="n">
        <v>46258</v>
      </c>
      <c r="B1704" s="44" t="s">
        <v>1902</v>
      </c>
      <c r="C1704" s="44" t="s">
        <v>707</v>
      </c>
      <c r="D1704" s="44" t="n">
        <v>2102003</v>
      </c>
      <c r="E1704" s="44" t="s">
        <v>722</v>
      </c>
      <c r="F1704" s="44" t="s">
        <v>1904</v>
      </c>
      <c r="G1704" s="42"/>
      <c r="H1704" s="42" t="n">
        <v>28000</v>
      </c>
      <c r="I1704" s="44" t="s">
        <v>719</v>
      </c>
      <c r="J1704" s="11" t="n">
        <f aca="false">IF(D1704="","",N(G1704)-N(H1704))</f>
        <v>-28000</v>
      </c>
      <c r="K1704" s="34" t="str">
        <f aca="false">IF(D1704="","",IFERROR(INDEX(I_COA!$C$6:$C$265,MATCH(D1704,I_COA!$A$6:$A$265,0)),"AKUN BARU"))</f>
        <v>Neraca</v>
      </c>
      <c r="L1704" s="34" t="str">
        <f aca="false">IF(K1704="LabaRugi",INDEX(I_COA!$D$6:$D$265,MATCH(D1704,I_COA!$A$6:$A$265,0)),"")</f>
        <v/>
      </c>
      <c r="M1704" s="34" t="str">
        <f aca="false">IF(K1704="Neraca",INDEX(I_COA!$E$6:$E$265,MATCH(D1704,I_COA!$A$6:$A$265,0)),"")</f>
        <v>Taxes Payable</v>
      </c>
      <c r="N1704" s="34" t="str">
        <f aca="false">IF(D1704="","",IFERROR(INDEX(I_COA!$G$6:$G$265,MATCH(D1704,I_COA!$A$6:$A$265,0)),"N"))</f>
        <v>N</v>
      </c>
      <c r="O1704" s="11" t="n">
        <f aca="false">IF(N1704="N",ABS(J1704),"")</f>
        <v>28000</v>
      </c>
      <c r="P1704" s="18" t="str">
        <f aca="false">IF(N1704="N",B1704&amp;"|"&amp;ROUND(O1704,0),"")</f>
        <v>PI26080047|28000</v>
      </c>
      <c r="Q1704" s="18" t="str">
        <f aca="false">IF(N1704&lt;&gt;"Y","",IFERROR(INDEX($D$6:$D$4005,MATCH(B1704&amp;"|"&amp;ROUND(_xlfn.MAXIFS($O$6:$O$4005,$B$6:$B$4005,B1704,$N$6:$N$4005,"N"),0),$P$6:$P$4005,0)),"(tanpa lawan)"))</f>
        <v/>
      </c>
      <c r="R1704" s="44"/>
      <c r="S1704" s="9" t="str">
        <f aca="false">IF(N1704&lt;&gt;"Y","",IF(R1704&lt;&gt;"",R1704,IF(Q1704="(tanpa lawan)","Transfer antar rekening",IFERROR(INDEX(I_COA!$F$6:$F$265,MATCH(Q1704,I_COA!$A$6:$A$265,0)),"?"))))</f>
        <v/>
      </c>
    </row>
    <row r="1705" customFormat="false" ht="15" hidden="false" customHeight="false" outlineLevel="0" collapsed="false">
      <c r="A1705" s="37" t="n">
        <v>46258</v>
      </c>
      <c r="B1705" s="44" t="s">
        <v>1902</v>
      </c>
      <c r="C1705" s="44" t="s">
        <v>707</v>
      </c>
      <c r="D1705" s="44" t="n">
        <v>2101003</v>
      </c>
      <c r="E1705" s="44" t="s">
        <v>679</v>
      </c>
      <c r="F1705" s="44" t="s">
        <v>1903</v>
      </c>
      <c r="G1705" s="42"/>
      <c r="H1705" s="42" t="n">
        <v>1526000</v>
      </c>
      <c r="I1705" s="44" t="s">
        <v>719</v>
      </c>
      <c r="J1705" s="11" t="n">
        <f aca="false">IF(D1705="","",N(G1705)-N(H1705))</f>
        <v>-1526000</v>
      </c>
      <c r="K1705" s="34" t="str">
        <f aca="false">IF(D1705="","",IFERROR(INDEX(I_COA!$C$6:$C$265,MATCH(D1705,I_COA!$A$6:$A$265,0)),"AKUN BARU"))</f>
        <v>Neraca</v>
      </c>
      <c r="L1705" s="34" t="str">
        <f aca="false">IF(K1705="LabaRugi",INDEX(I_COA!$D$6:$D$265,MATCH(D1705,I_COA!$A$6:$A$265,0)),"")</f>
        <v/>
      </c>
      <c r="M1705" s="34" t="str">
        <f aca="false">IF(K1705="Neraca",INDEX(I_COA!$E$6:$E$265,MATCH(D1705,I_COA!$A$6:$A$265,0)),"")</f>
        <v>Other Payable - Third Parties</v>
      </c>
      <c r="N1705" s="34" t="str">
        <f aca="false">IF(D1705="","",IFERROR(INDEX(I_COA!$G$6:$G$265,MATCH(D1705,I_COA!$A$6:$A$265,0)),"N"))</f>
        <v>N</v>
      </c>
      <c r="O1705" s="11" t="n">
        <f aca="false">IF(N1705="N",ABS(J1705),"")</f>
        <v>1526000</v>
      </c>
      <c r="P1705" s="18" t="str">
        <f aca="false">IF(N1705="N",B1705&amp;"|"&amp;ROUND(O1705,0),"")</f>
        <v>PI26080047|1526000</v>
      </c>
      <c r="Q1705" s="18" t="str">
        <f aca="false">IF(N1705&lt;&gt;"Y","",IFERROR(INDEX($D$6:$D$4005,MATCH(B1705&amp;"|"&amp;ROUND(_xlfn.MAXIFS($O$6:$O$4005,$B$6:$B$4005,B1705,$N$6:$N$4005,"N"),0),$P$6:$P$4005,0)),"(tanpa lawan)"))</f>
        <v/>
      </c>
      <c r="R1705" s="44"/>
      <c r="S1705" s="9" t="str">
        <f aca="false">IF(N1705&lt;&gt;"Y","",IF(R1705&lt;&gt;"",R1705,IF(Q1705="(tanpa lawan)","Transfer antar rekening",IFERROR(INDEX(I_COA!$F$6:$F$265,MATCH(Q1705,I_COA!$A$6:$A$265,0)),"?"))))</f>
        <v/>
      </c>
    </row>
    <row r="1706" customFormat="false" ht="15" hidden="false" customHeight="false" outlineLevel="0" collapsed="false">
      <c r="A1706" s="37" t="n">
        <v>46258</v>
      </c>
      <c r="B1706" s="44" t="s">
        <v>1905</v>
      </c>
      <c r="C1706" s="44" t="s">
        <v>707</v>
      </c>
      <c r="D1706" s="44" t="n">
        <v>2103011</v>
      </c>
      <c r="E1706" s="44" t="s">
        <v>693</v>
      </c>
      <c r="F1706" s="44" t="s">
        <v>1886</v>
      </c>
      <c r="G1706" s="42" t="n">
        <v>286317199.97</v>
      </c>
      <c r="H1706" s="42"/>
      <c r="I1706" s="44" t="s">
        <v>597</v>
      </c>
      <c r="J1706" s="11" t="n">
        <f aca="false">IF(D1706="","",N(G1706)-N(H1706))</f>
        <v>286317199.97</v>
      </c>
      <c r="K1706" s="34" t="str">
        <f aca="false">IF(D1706="","",IFERROR(INDEX(I_COA!$C$6:$C$265,MATCH(D1706,I_COA!$A$6:$A$265,0)),"AKUN BARU"))</f>
        <v>Neraca</v>
      </c>
      <c r="L1706" s="34" t="str">
        <f aca="false">IF(K1706="LabaRugi",INDEX(I_COA!$D$6:$D$265,MATCH(D1706,I_COA!$A$6:$A$265,0)),"")</f>
        <v/>
      </c>
      <c r="M1706" s="34" t="str">
        <f aca="false">IF(K1706="Neraca",INDEX(I_COA!$E$6:$E$265,MATCH(D1706,I_COA!$A$6:$A$265,0)),"")</f>
        <v>Accrued Expenses - Third Parties</v>
      </c>
      <c r="N1706" s="34" t="str">
        <f aca="false">IF(D1706="","",IFERROR(INDEX(I_COA!$G$6:$G$265,MATCH(D1706,I_COA!$A$6:$A$265,0)),"N"))</f>
        <v>N</v>
      </c>
      <c r="O1706" s="11" t="n">
        <f aca="false">IF(N1706="N",ABS(J1706),"")</f>
        <v>286317199.97</v>
      </c>
      <c r="P1706" s="18" t="str">
        <f aca="false">IF(N1706="N",B1706&amp;"|"&amp;ROUND(O1706,0),"")</f>
        <v>PI26080080|286317200</v>
      </c>
      <c r="Q1706" s="18" t="str">
        <f aca="false">IF(N1706&lt;&gt;"Y","",IFERROR(INDEX($D$6:$D$4005,MATCH(B1706&amp;"|"&amp;ROUND(_xlfn.MAXIFS($O$6:$O$4005,$B$6:$B$4005,B1706,$N$6:$N$4005,"N"),0),$P$6:$P$4005,0)),"(tanpa lawan)"))</f>
        <v/>
      </c>
      <c r="R1706" s="44"/>
      <c r="S1706" s="9" t="str">
        <f aca="false">IF(N1706&lt;&gt;"Y","",IF(R1706&lt;&gt;"",R1706,IF(Q1706="(tanpa lawan)","Transfer antar rekening",IFERROR(INDEX(I_COA!$F$6:$F$265,MATCH(Q1706,I_COA!$A$6:$A$265,0)),"?"))))</f>
        <v/>
      </c>
    </row>
    <row r="1707" customFormat="false" ht="15" hidden="false" customHeight="false" outlineLevel="0" collapsed="false">
      <c r="A1707" s="37" t="n">
        <v>46258</v>
      </c>
      <c r="B1707" s="44" t="s">
        <v>1905</v>
      </c>
      <c r="C1707" s="44" t="s">
        <v>707</v>
      </c>
      <c r="D1707" s="44" t="n">
        <v>5100007</v>
      </c>
      <c r="E1707" s="44" t="s">
        <v>708</v>
      </c>
      <c r="F1707" s="44" t="s">
        <v>1840</v>
      </c>
      <c r="G1707" s="42"/>
      <c r="H1707" s="42" t="n">
        <v>11000000</v>
      </c>
      <c r="I1707" s="44" t="s">
        <v>597</v>
      </c>
      <c r="J1707" s="11" t="n">
        <f aca="false">IF(D1707="","",N(G1707)-N(H1707))</f>
        <v>-11000000</v>
      </c>
      <c r="K1707" s="34" t="str">
        <f aca="false">IF(D1707="","",IFERROR(INDEX(I_COA!$C$6:$C$265,MATCH(D1707,I_COA!$A$6:$A$265,0)),"AKUN BARU"))</f>
        <v>LabaRugi</v>
      </c>
      <c r="L1707" s="34" t="str">
        <f aca="false">IF(K1707="LabaRugi",INDEX(I_COA!$D$6:$D$265,MATCH(D1707,I_COA!$A$6:$A$265,0)),"")</f>
        <v>Other COGS - Expedition</v>
      </c>
      <c r="M1707" s="34" t="str">
        <f aca="false">IF(K1707="Neraca",INDEX(I_COA!$E$6:$E$265,MATCH(D1707,I_COA!$A$6:$A$265,0)),"")</f>
        <v/>
      </c>
      <c r="N1707" s="34" t="str">
        <f aca="false">IF(D1707="","",IFERROR(INDEX(I_COA!$G$6:$G$265,MATCH(D1707,I_COA!$A$6:$A$265,0)),"N"))</f>
        <v>N</v>
      </c>
      <c r="O1707" s="11" t="n">
        <f aca="false">IF(N1707="N",ABS(J1707),"")</f>
        <v>11000000</v>
      </c>
      <c r="P1707" s="18" t="str">
        <f aca="false">IF(N1707="N",B1707&amp;"|"&amp;ROUND(O1707,0),"")</f>
        <v>PI26080080|11000000</v>
      </c>
      <c r="Q1707" s="18" t="str">
        <f aca="false">IF(N1707&lt;&gt;"Y","",IFERROR(INDEX($D$6:$D$4005,MATCH(B1707&amp;"|"&amp;ROUND(_xlfn.MAXIFS($O$6:$O$4005,$B$6:$B$4005,B1707,$N$6:$N$4005,"N"),0),$P$6:$P$4005,0)),"(tanpa lawan)"))</f>
        <v/>
      </c>
      <c r="R1707" s="44"/>
      <c r="S1707" s="9" t="str">
        <f aca="false">IF(N1707&lt;&gt;"Y","",IF(R1707&lt;&gt;"",R1707,IF(Q1707="(tanpa lawan)","Transfer antar rekening",IFERROR(INDEX(I_COA!$F$6:$F$265,MATCH(Q1707,I_COA!$A$6:$A$265,0)),"?"))))</f>
        <v/>
      </c>
    </row>
    <row r="1708" customFormat="false" ht="15" hidden="false" customHeight="false" outlineLevel="0" collapsed="false">
      <c r="A1708" s="37" t="n">
        <v>46258</v>
      </c>
      <c r="B1708" s="44" t="s">
        <v>1905</v>
      </c>
      <c r="C1708" s="44" t="s">
        <v>707</v>
      </c>
      <c r="D1708" s="44" t="n">
        <v>7100008</v>
      </c>
      <c r="E1708" s="44" t="s">
        <v>952</v>
      </c>
      <c r="F1708" s="44" t="s">
        <v>1886</v>
      </c>
      <c r="G1708" s="42" t="n">
        <v>0.03</v>
      </c>
      <c r="H1708" s="42"/>
      <c r="I1708" s="44" t="s">
        <v>597</v>
      </c>
      <c r="J1708" s="11" t="n">
        <f aca="false">IF(D1708="","",N(G1708)-N(H1708))</f>
        <v>0.03</v>
      </c>
      <c r="K1708" s="34" t="str">
        <f aca="false">IF(D1708="","",IFERROR(INDEX(I_COA!$C$6:$C$265,MATCH(D1708,I_COA!$A$6:$A$265,0)),"AKUN BARU"))</f>
        <v>LabaRugi</v>
      </c>
      <c r="L1708" s="34" t="str">
        <f aca="false">IF(K1708="LabaRugi",INDEX(I_COA!$D$6:$D$265,MATCH(D1708,I_COA!$A$6:$A$265,0)),"")</f>
        <v>Other Income</v>
      </c>
      <c r="M1708" s="34" t="str">
        <f aca="false">IF(K1708="Neraca",INDEX(I_COA!$E$6:$E$265,MATCH(D1708,I_COA!$A$6:$A$265,0)),"")</f>
        <v/>
      </c>
      <c r="N1708" s="34" t="str">
        <f aca="false">IF(D1708="","",IFERROR(INDEX(I_COA!$G$6:$G$265,MATCH(D1708,I_COA!$A$6:$A$265,0)),"N"))</f>
        <v>N</v>
      </c>
      <c r="O1708" s="11" t="n">
        <f aca="false">IF(N1708="N",ABS(J1708),"")</f>
        <v>0.03</v>
      </c>
      <c r="P1708" s="18" t="str">
        <f aca="false">IF(N1708="N",B1708&amp;"|"&amp;ROUND(O1708,0),"")</f>
        <v>PI26080080|0</v>
      </c>
      <c r="Q1708" s="18" t="str">
        <f aca="false">IF(N1708&lt;&gt;"Y","",IFERROR(INDEX($D$6:$D$4005,MATCH(B1708&amp;"|"&amp;ROUND(_xlfn.MAXIFS($O$6:$O$4005,$B$6:$B$4005,B1708,$N$6:$N$4005,"N"),0),$P$6:$P$4005,0)),"(tanpa lawan)"))</f>
        <v/>
      </c>
      <c r="R1708" s="44"/>
      <c r="S1708" s="9" t="str">
        <f aca="false">IF(N1708&lt;&gt;"Y","",IF(R1708&lt;&gt;"",R1708,IF(Q1708="(tanpa lawan)","Transfer antar rekening",IFERROR(INDEX(I_COA!$F$6:$F$265,MATCH(Q1708,I_COA!$A$6:$A$265,0)),"?"))))</f>
        <v/>
      </c>
    </row>
    <row r="1709" customFormat="false" ht="15" hidden="false" customHeight="false" outlineLevel="0" collapsed="false">
      <c r="A1709" s="37" t="n">
        <v>46258</v>
      </c>
      <c r="B1709" s="44" t="s">
        <v>1905</v>
      </c>
      <c r="C1709" s="44" t="s">
        <v>707</v>
      </c>
      <c r="D1709" s="44" t="n">
        <v>2101001</v>
      </c>
      <c r="E1709" s="44" t="s">
        <v>595</v>
      </c>
      <c r="F1709" s="44" t="s">
        <v>1886</v>
      </c>
      <c r="G1709" s="42"/>
      <c r="H1709" s="42" t="n">
        <v>275317200</v>
      </c>
      <c r="I1709" s="44" t="s">
        <v>597</v>
      </c>
      <c r="J1709" s="11" t="n">
        <f aca="false">IF(D1709="","",N(G1709)-N(H1709))</f>
        <v>-275317200</v>
      </c>
      <c r="K1709" s="34" t="str">
        <f aca="false">IF(D1709="","",IFERROR(INDEX(I_COA!$C$6:$C$265,MATCH(D1709,I_COA!$A$6:$A$265,0)),"AKUN BARU"))</f>
        <v>Neraca</v>
      </c>
      <c r="L1709" s="34" t="str">
        <f aca="false">IF(K1709="LabaRugi",INDEX(I_COA!$D$6:$D$265,MATCH(D1709,I_COA!$A$6:$A$265,0)),"")</f>
        <v/>
      </c>
      <c r="M1709" s="34" t="str">
        <f aca="false">IF(K1709="Neraca",INDEX(I_COA!$E$6:$E$265,MATCH(D1709,I_COA!$A$6:$A$265,0)),"")</f>
        <v>Trade Payables - Third Parties</v>
      </c>
      <c r="N1709" s="34" t="str">
        <f aca="false">IF(D1709="","",IFERROR(INDEX(I_COA!$G$6:$G$265,MATCH(D1709,I_COA!$A$6:$A$265,0)),"N"))</f>
        <v>N</v>
      </c>
      <c r="O1709" s="11" t="n">
        <f aca="false">IF(N1709="N",ABS(J1709),"")</f>
        <v>275317200</v>
      </c>
      <c r="P1709" s="18" t="str">
        <f aca="false">IF(N1709="N",B1709&amp;"|"&amp;ROUND(O1709,0),"")</f>
        <v>PI26080080|275317200</v>
      </c>
      <c r="Q1709" s="18" t="str">
        <f aca="false">IF(N1709&lt;&gt;"Y","",IFERROR(INDEX($D$6:$D$4005,MATCH(B1709&amp;"|"&amp;ROUND(_xlfn.MAXIFS($O$6:$O$4005,$B$6:$B$4005,B1709,$N$6:$N$4005,"N"),0),$P$6:$P$4005,0)),"(tanpa lawan)"))</f>
        <v/>
      </c>
      <c r="R1709" s="44"/>
      <c r="S1709" s="9" t="str">
        <f aca="false">IF(N1709&lt;&gt;"Y","",IF(R1709&lt;&gt;"",R1709,IF(Q1709="(tanpa lawan)","Transfer antar rekening",IFERROR(INDEX(I_COA!$F$6:$F$265,MATCH(Q1709,I_COA!$A$6:$A$265,0)),"?"))))</f>
        <v/>
      </c>
    </row>
    <row r="1710" customFormat="false" ht="15" hidden="false" customHeight="false" outlineLevel="0" collapsed="false">
      <c r="A1710" s="37" t="n">
        <v>46259</v>
      </c>
      <c r="B1710" s="44" t="s">
        <v>1906</v>
      </c>
      <c r="C1710" s="44" t="s">
        <v>585</v>
      </c>
      <c r="D1710" s="44" t="n">
        <v>1102001</v>
      </c>
      <c r="E1710" s="44" t="s">
        <v>586</v>
      </c>
      <c r="F1710" s="44" t="s">
        <v>1907</v>
      </c>
      <c r="G1710" s="42" t="n">
        <v>96934100</v>
      </c>
      <c r="H1710" s="42"/>
      <c r="I1710" s="44" t="s">
        <v>432</v>
      </c>
      <c r="J1710" s="11" t="n">
        <f aca="false">IF(D1710="","",N(G1710)-N(H1710))</f>
        <v>96934100</v>
      </c>
      <c r="K1710" s="34" t="str">
        <f aca="false">IF(D1710="","",IFERROR(INDEX(I_COA!$C$6:$C$265,MATCH(D1710,I_COA!$A$6:$A$265,0)),"AKUN BARU"))</f>
        <v>Neraca</v>
      </c>
      <c r="L1710" s="34" t="str">
        <f aca="false">IF(K1710="LabaRugi",INDEX(I_COA!$D$6:$D$265,MATCH(D1710,I_COA!$A$6:$A$265,0)),"")</f>
        <v/>
      </c>
      <c r="M1710" s="34" t="str">
        <f aca="false">IF(K1710="Neraca",INDEX(I_COA!$E$6:$E$265,MATCH(D1710,I_COA!$A$6:$A$265,0)),"")</f>
        <v>Cash and cash equivalents</v>
      </c>
      <c r="N1710" s="34" t="str">
        <f aca="false">IF(D1710="","",IFERROR(INDEX(I_COA!$G$6:$G$265,MATCH(D1710,I_COA!$A$6:$A$265,0)),"N"))</f>
        <v>Y</v>
      </c>
      <c r="O1710" s="11" t="str">
        <f aca="false">IF(N1710="N",ABS(J1710),"")</f>
        <v/>
      </c>
      <c r="P1710" s="18" t="str">
        <f aca="false">IF(N1710="N",B1710&amp;"|"&amp;ROUND(O1710,0),"")</f>
        <v/>
      </c>
      <c r="Q1710" s="18" t="n">
        <f aca="false">IF(N1710&lt;&gt;"Y","",IFERROR(INDEX($D$6:$D$4005,MATCH(B1710&amp;"|"&amp;ROUND(_xlfn.MAXIFS($O$6:$O$4005,$B$6:$B$4005,B1710,$N$6:$N$4005,"N"),0),$P$6:$P$4005,0)),"(tanpa lawan)"))</f>
        <v>1103101</v>
      </c>
      <c r="R1710" s="44"/>
      <c r="S1710" s="9" t="str">
        <f aca="false">IF(N1710&lt;&gt;"Y","",IF(R1710&lt;&gt;"",R1710,IF(Q1710="(tanpa lawan)","Transfer antar rekening",IFERROR(INDEX(I_COA!$F$6:$F$265,MATCH(Q1710,I_COA!$A$6:$A$265,0)),"?"))))</f>
        <v>Penerimaan dari pelanggan</v>
      </c>
    </row>
    <row r="1711" customFormat="false" ht="15" hidden="false" customHeight="false" outlineLevel="0" collapsed="false">
      <c r="A1711" s="37" t="n">
        <v>46259</v>
      </c>
      <c r="B1711" s="44" t="s">
        <v>1906</v>
      </c>
      <c r="C1711" s="44" t="s">
        <v>585</v>
      </c>
      <c r="D1711" s="44" t="n">
        <v>1103101</v>
      </c>
      <c r="E1711" s="44" t="s">
        <v>589</v>
      </c>
      <c r="F1711" s="44" t="s">
        <v>1907</v>
      </c>
      <c r="G1711" s="42"/>
      <c r="H1711" s="42" t="n">
        <v>96934100</v>
      </c>
      <c r="I1711" s="44" t="s">
        <v>432</v>
      </c>
      <c r="J1711" s="11" t="n">
        <f aca="false">IF(D1711="","",N(G1711)-N(H1711))</f>
        <v>-96934100</v>
      </c>
      <c r="K1711" s="34" t="str">
        <f aca="false">IF(D1711="","",IFERROR(INDEX(I_COA!$C$6:$C$265,MATCH(D1711,I_COA!$A$6:$A$265,0)),"AKUN BARU"))</f>
        <v>Neraca</v>
      </c>
      <c r="L1711" s="34" t="str">
        <f aca="false">IF(K1711="LabaRugi",INDEX(I_COA!$D$6:$D$265,MATCH(D1711,I_COA!$A$6:$A$265,0)),"")</f>
        <v/>
      </c>
      <c r="M1711" s="34" t="str">
        <f aca="false">IF(K1711="Neraca",INDEX(I_COA!$E$6:$E$265,MATCH(D1711,I_COA!$A$6:$A$265,0)),"")</f>
        <v>Trade Receivables - Third Parties</v>
      </c>
      <c r="N1711" s="34" t="str">
        <f aca="false">IF(D1711="","",IFERROR(INDEX(I_COA!$G$6:$G$265,MATCH(D1711,I_COA!$A$6:$A$265,0)),"N"))</f>
        <v>N</v>
      </c>
      <c r="O1711" s="11" t="n">
        <f aca="false">IF(N1711="N",ABS(J1711),"")</f>
        <v>96934100</v>
      </c>
      <c r="P1711" s="18" t="str">
        <f aca="false">IF(N1711="N",B1711&amp;"|"&amp;ROUND(O1711,0),"")</f>
        <v>B7626080111|96934100</v>
      </c>
      <c r="Q1711" s="18" t="str">
        <f aca="false">IF(N1711&lt;&gt;"Y","",IFERROR(INDEX($D$6:$D$4005,MATCH(B1711&amp;"|"&amp;ROUND(_xlfn.MAXIFS($O$6:$O$4005,$B$6:$B$4005,B1711,$N$6:$N$4005,"N"),0),$P$6:$P$4005,0)),"(tanpa lawan)"))</f>
        <v/>
      </c>
      <c r="R1711" s="44"/>
      <c r="S1711" s="9" t="str">
        <f aca="false">IF(N1711&lt;&gt;"Y","",IF(R1711&lt;&gt;"",R1711,IF(Q1711="(tanpa lawan)","Transfer antar rekening",IFERROR(INDEX(I_COA!$F$6:$F$265,MATCH(Q1711,I_COA!$A$6:$A$265,0)),"?"))))</f>
        <v/>
      </c>
    </row>
    <row r="1712" customFormat="false" ht="15" hidden="false" customHeight="false" outlineLevel="0" collapsed="false">
      <c r="A1712" s="37" t="n">
        <v>46259</v>
      </c>
      <c r="B1712" s="44" t="s">
        <v>1908</v>
      </c>
      <c r="C1712" s="44" t="s">
        <v>690</v>
      </c>
      <c r="D1712" s="44" t="n">
        <v>1104003</v>
      </c>
      <c r="E1712" s="44" t="s">
        <v>613</v>
      </c>
      <c r="F1712" s="44" t="s">
        <v>1909</v>
      </c>
      <c r="G1712" s="42" t="n">
        <v>313811476.93</v>
      </c>
      <c r="H1712" s="42"/>
      <c r="I1712" s="44" t="s">
        <v>597</v>
      </c>
      <c r="J1712" s="11" t="n">
        <f aca="false">IF(D1712="","",N(G1712)-N(H1712))</f>
        <v>313811476.93</v>
      </c>
      <c r="K1712" s="34" t="str">
        <f aca="false">IF(D1712="","",IFERROR(INDEX(I_COA!$C$6:$C$265,MATCH(D1712,I_COA!$A$6:$A$265,0)),"AKUN BARU"))</f>
        <v>Neraca</v>
      </c>
      <c r="L1712" s="34" t="str">
        <f aca="false">IF(K1712="LabaRugi",INDEX(I_COA!$D$6:$D$265,MATCH(D1712,I_COA!$A$6:$A$265,0)),"")</f>
        <v/>
      </c>
      <c r="M1712" s="34" t="str">
        <f aca="false">IF(K1712="Neraca",INDEX(I_COA!$E$6:$E$265,MATCH(D1712,I_COA!$A$6:$A$265,0)),"")</f>
        <v>Inventory - Product</v>
      </c>
      <c r="N1712" s="34" t="str">
        <f aca="false">IF(D1712="","",IFERROR(INDEX(I_COA!$G$6:$G$265,MATCH(D1712,I_COA!$A$6:$A$265,0)),"N"))</f>
        <v>N</v>
      </c>
      <c r="O1712" s="11" t="n">
        <f aca="false">IF(N1712="N",ABS(J1712),"")</f>
        <v>313811476.93</v>
      </c>
      <c r="P1712" s="18" t="str">
        <f aca="false">IF(N1712="N",B1712&amp;"|"&amp;ROUND(O1712,0),"")</f>
        <v>GR26080020|313811477</v>
      </c>
      <c r="Q1712" s="18" t="str">
        <f aca="false">IF(N1712&lt;&gt;"Y","",IFERROR(INDEX($D$6:$D$4005,MATCH(B1712&amp;"|"&amp;ROUND(_xlfn.MAXIFS($O$6:$O$4005,$B$6:$B$4005,B1712,$N$6:$N$4005,"N"),0),$P$6:$P$4005,0)),"(tanpa lawan)"))</f>
        <v/>
      </c>
      <c r="R1712" s="44"/>
      <c r="S1712" s="9" t="str">
        <f aca="false">IF(N1712&lt;&gt;"Y","",IF(R1712&lt;&gt;"",R1712,IF(Q1712="(tanpa lawan)","Transfer antar rekening",IFERROR(INDEX(I_COA!$F$6:$F$265,MATCH(Q1712,I_COA!$A$6:$A$265,0)),"?"))))</f>
        <v/>
      </c>
    </row>
    <row r="1713" customFormat="false" ht="15" hidden="false" customHeight="false" outlineLevel="0" collapsed="false">
      <c r="A1713" s="37" t="n">
        <v>46259</v>
      </c>
      <c r="B1713" s="44" t="s">
        <v>1908</v>
      </c>
      <c r="C1713" s="44" t="s">
        <v>690</v>
      </c>
      <c r="D1713" s="44" t="n">
        <v>2103011</v>
      </c>
      <c r="E1713" s="44" t="s">
        <v>693</v>
      </c>
      <c r="F1713" s="44" t="s">
        <v>1909</v>
      </c>
      <c r="G1713" s="42"/>
      <c r="H1713" s="42" t="n">
        <v>333092240.08</v>
      </c>
      <c r="I1713" s="44" t="s">
        <v>597</v>
      </c>
      <c r="J1713" s="11" t="n">
        <f aca="false">IF(D1713="","",N(G1713)-N(H1713))</f>
        <v>-333092240.08</v>
      </c>
      <c r="K1713" s="34" t="str">
        <f aca="false">IF(D1713="","",IFERROR(INDEX(I_COA!$C$6:$C$265,MATCH(D1713,I_COA!$A$6:$A$265,0)),"AKUN BARU"))</f>
        <v>Neraca</v>
      </c>
      <c r="L1713" s="34" t="str">
        <f aca="false">IF(K1713="LabaRugi",INDEX(I_COA!$D$6:$D$265,MATCH(D1713,I_COA!$A$6:$A$265,0)),"")</f>
        <v/>
      </c>
      <c r="M1713" s="34" t="str">
        <f aca="false">IF(K1713="Neraca",INDEX(I_COA!$E$6:$E$265,MATCH(D1713,I_COA!$A$6:$A$265,0)),"")</f>
        <v>Accrued Expenses - Third Parties</v>
      </c>
      <c r="N1713" s="34" t="str">
        <f aca="false">IF(D1713="","",IFERROR(INDEX(I_COA!$G$6:$G$265,MATCH(D1713,I_COA!$A$6:$A$265,0)),"N"))</f>
        <v>N</v>
      </c>
      <c r="O1713" s="11" t="n">
        <f aca="false">IF(N1713="N",ABS(J1713),"")</f>
        <v>333092240.08</v>
      </c>
      <c r="P1713" s="18" t="str">
        <f aca="false">IF(N1713="N",B1713&amp;"|"&amp;ROUND(O1713,0),"")</f>
        <v>GR26080020|333092240</v>
      </c>
      <c r="Q1713" s="18" t="str">
        <f aca="false">IF(N1713&lt;&gt;"Y","",IFERROR(INDEX($D$6:$D$4005,MATCH(B1713&amp;"|"&amp;ROUND(_xlfn.MAXIFS($O$6:$O$4005,$B$6:$B$4005,B1713,$N$6:$N$4005,"N"),0),$P$6:$P$4005,0)),"(tanpa lawan)"))</f>
        <v/>
      </c>
      <c r="R1713" s="44"/>
      <c r="S1713" s="9" t="str">
        <f aca="false">IF(N1713&lt;&gt;"Y","",IF(R1713&lt;&gt;"",R1713,IF(Q1713="(tanpa lawan)","Transfer antar rekening",IFERROR(INDEX(I_COA!$F$6:$F$265,MATCH(Q1713,I_COA!$A$6:$A$265,0)),"?"))))</f>
        <v/>
      </c>
    </row>
    <row r="1714" customFormat="false" ht="15" hidden="false" customHeight="false" outlineLevel="0" collapsed="false">
      <c r="A1714" s="37" t="n">
        <v>46259</v>
      </c>
      <c r="B1714" s="44" t="s">
        <v>1908</v>
      </c>
      <c r="C1714" s="44" t="s">
        <v>690</v>
      </c>
      <c r="D1714" s="44" t="n">
        <v>1104004</v>
      </c>
      <c r="E1714" s="44" t="s">
        <v>917</v>
      </c>
      <c r="F1714" s="44" t="s">
        <v>1909</v>
      </c>
      <c r="G1714" s="42" t="n">
        <v>19280763.16</v>
      </c>
      <c r="H1714" s="42"/>
      <c r="I1714" s="44" t="s">
        <v>597</v>
      </c>
      <c r="J1714" s="11" t="n">
        <f aca="false">IF(D1714="","",N(G1714)-N(H1714))</f>
        <v>19280763.16</v>
      </c>
      <c r="K1714" s="34" t="str">
        <f aca="false">IF(D1714="","",IFERROR(INDEX(I_COA!$C$6:$C$265,MATCH(D1714,I_COA!$A$6:$A$265,0)),"AKUN BARU"))</f>
        <v>Neraca</v>
      </c>
      <c r="L1714" s="34" t="str">
        <f aca="false">IF(K1714="LabaRugi",INDEX(I_COA!$D$6:$D$265,MATCH(D1714,I_COA!$A$6:$A$265,0)),"")</f>
        <v/>
      </c>
      <c r="M1714" s="34" t="str">
        <f aca="false">IF(K1714="Neraca",INDEX(I_COA!$E$6:$E$265,MATCH(D1714,I_COA!$A$6:$A$265,0)),"")</f>
        <v>Inventory - Product</v>
      </c>
      <c r="N1714" s="34" t="str">
        <f aca="false">IF(D1714="","",IFERROR(INDEX(I_COA!$G$6:$G$265,MATCH(D1714,I_COA!$A$6:$A$265,0)),"N"))</f>
        <v>N</v>
      </c>
      <c r="O1714" s="11" t="n">
        <f aca="false">IF(N1714="N",ABS(J1714),"")</f>
        <v>19280763.16</v>
      </c>
      <c r="P1714" s="18" t="str">
        <f aca="false">IF(N1714="N",B1714&amp;"|"&amp;ROUND(O1714,0),"")</f>
        <v>GR26080020|19280763</v>
      </c>
      <c r="Q1714" s="18" t="str">
        <f aca="false">IF(N1714&lt;&gt;"Y","",IFERROR(INDEX($D$6:$D$4005,MATCH(B1714&amp;"|"&amp;ROUND(_xlfn.MAXIFS($O$6:$O$4005,$B$6:$B$4005,B1714,$N$6:$N$4005,"N"),0),$P$6:$P$4005,0)),"(tanpa lawan)"))</f>
        <v/>
      </c>
      <c r="R1714" s="44"/>
      <c r="S1714" s="9" t="str">
        <f aca="false">IF(N1714&lt;&gt;"Y","",IF(R1714&lt;&gt;"",R1714,IF(Q1714="(tanpa lawan)","Transfer antar rekening",IFERROR(INDEX(I_COA!$F$6:$F$265,MATCH(Q1714,I_COA!$A$6:$A$265,0)),"?"))))</f>
        <v/>
      </c>
    </row>
    <row r="1715" customFormat="false" ht="15" hidden="false" customHeight="false" outlineLevel="0" collapsed="false">
      <c r="A1715" s="37" t="n">
        <v>46259</v>
      </c>
      <c r="B1715" s="44" t="s">
        <v>1910</v>
      </c>
      <c r="C1715" s="44" t="s">
        <v>707</v>
      </c>
      <c r="D1715" s="44" t="n">
        <v>5100007</v>
      </c>
      <c r="E1715" s="44" t="s">
        <v>708</v>
      </c>
      <c r="F1715" s="44" t="s">
        <v>1911</v>
      </c>
      <c r="G1715" s="42" t="n">
        <v>11000000</v>
      </c>
      <c r="H1715" s="42"/>
      <c r="I1715" s="44" t="s">
        <v>681</v>
      </c>
      <c r="J1715" s="11" t="n">
        <f aca="false">IF(D1715="","",N(G1715)-N(H1715))</f>
        <v>11000000</v>
      </c>
      <c r="K1715" s="34" t="str">
        <f aca="false">IF(D1715="","",IFERROR(INDEX(I_COA!$C$6:$C$265,MATCH(D1715,I_COA!$A$6:$A$265,0)),"AKUN BARU"))</f>
        <v>LabaRugi</v>
      </c>
      <c r="L1715" s="34" t="str">
        <f aca="false">IF(K1715="LabaRugi",INDEX(I_COA!$D$6:$D$265,MATCH(D1715,I_COA!$A$6:$A$265,0)),"")</f>
        <v>Other COGS - Expedition</v>
      </c>
      <c r="M1715" s="34" t="str">
        <f aca="false">IF(K1715="Neraca",INDEX(I_COA!$E$6:$E$265,MATCH(D1715,I_COA!$A$6:$A$265,0)),"")</f>
        <v/>
      </c>
      <c r="N1715" s="34" t="str">
        <f aca="false">IF(D1715="","",IFERROR(INDEX(I_COA!$G$6:$G$265,MATCH(D1715,I_COA!$A$6:$A$265,0)),"N"))</f>
        <v>N</v>
      </c>
      <c r="O1715" s="11" t="n">
        <f aca="false">IF(N1715="N",ABS(J1715),"")</f>
        <v>11000000</v>
      </c>
      <c r="P1715" s="18" t="str">
        <f aca="false">IF(N1715="N",B1715&amp;"|"&amp;ROUND(O1715,0),"")</f>
        <v>PI26080051|11000000</v>
      </c>
      <c r="Q1715" s="18" t="str">
        <f aca="false">IF(N1715&lt;&gt;"Y","",IFERROR(INDEX($D$6:$D$4005,MATCH(B1715&amp;"|"&amp;ROUND(_xlfn.MAXIFS($O$6:$O$4005,$B$6:$B$4005,B1715,$N$6:$N$4005,"N"),0),$P$6:$P$4005,0)),"(tanpa lawan)"))</f>
        <v/>
      </c>
      <c r="R1715" s="44"/>
      <c r="S1715" s="9" t="str">
        <f aca="false">IF(N1715&lt;&gt;"Y","",IF(R1715&lt;&gt;"",R1715,IF(Q1715="(tanpa lawan)","Transfer antar rekening",IFERROR(INDEX(I_COA!$F$6:$F$265,MATCH(Q1715,I_COA!$A$6:$A$265,0)),"?"))))</f>
        <v/>
      </c>
    </row>
    <row r="1716" customFormat="false" ht="15" hidden="false" customHeight="false" outlineLevel="0" collapsed="false">
      <c r="A1716" s="37" t="n">
        <v>46259</v>
      </c>
      <c r="B1716" s="44" t="s">
        <v>1910</v>
      </c>
      <c r="C1716" s="44" t="s">
        <v>707</v>
      </c>
      <c r="D1716" s="44" t="n">
        <v>2102002</v>
      </c>
      <c r="E1716" s="44" t="s">
        <v>633</v>
      </c>
      <c r="F1716" s="44" t="s">
        <v>1912</v>
      </c>
      <c r="G1716" s="42"/>
      <c r="H1716" s="42" t="n">
        <v>275000</v>
      </c>
      <c r="I1716" s="44" t="s">
        <v>681</v>
      </c>
      <c r="J1716" s="11" t="n">
        <f aca="false">IF(D1716="","",N(G1716)-N(H1716))</f>
        <v>-275000</v>
      </c>
      <c r="K1716" s="34" t="str">
        <f aca="false">IF(D1716="","",IFERROR(INDEX(I_COA!$C$6:$C$265,MATCH(D1716,I_COA!$A$6:$A$265,0)),"AKUN BARU"))</f>
        <v>Neraca</v>
      </c>
      <c r="L1716" s="34" t="str">
        <f aca="false">IF(K1716="LabaRugi",INDEX(I_COA!$D$6:$D$265,MATCH(D1716,I_COA!$A$6:$A$265,0)),"")</f>
        <v/>
      </c>
      <c r="M1716" s="34" t="str">
        <f aca="false">IF(K1716="Neraca",INDEX(I_COA!$E$6:$E$265,MATCH(D1716,I_COA!$A$6:$A$265,0)),"")</f>
        <v>Taxes Payable</v>
      </c>
      <c r="N1716" s="34" t="str">
        <f aca="false">IF(D1716="","",IFERROR(INDEX(I_COA!$G$6:$G$265,MATCH(D1716,I_COA!$A$6:$A$265,0)),"N"))</f>
        <v>N</v>
      </c>
      <c r="O1716" s="11" t="n">
        <f aca="false">IF(N1716="N",ABS(J1716),"")</f>
        <v>275000</v>
      </c>
      <c r="P1716" s="18" t="str">
        <f aca="false">IF(N1716="N",B1716&amp;"|"&amp;ROUND(O1716,0),"")</f>
        <v>PI26080051|275000</v>
      </c>
      <c r="Q1716" s="18" t="str">
        <f aca="false">IF(N1716&lt;&gt;"Y","",IFERROR(INDEX($D$6:$D$4005,MATCH(B1716&amp;"|"&amp;ROUND(_xlfn.MAXIFS($O$6:$O$4005,$B$6:$B$4005,B1716,$N$6:$N$4005,"N"),0),$P$6:$P$4005,0)),"(tanpa lawan)"))</f>
        <v/>
      </c>
      <c r="R1716" s="44"/>
      <c r="S1716" s="9" t="str">
        <f aca="false">IF(N1716&lt;&gt;"Y","",IF(R1716&lt;&gt;"",R1716,IF(Q1716="(tanpa lawan)","Transfer antar rekening",IFERROR(INDEX(I_COA!$F$6:$F$265,MATCH(Q1716,I_COA!$A$6:$A$265,0)),"?"))))</f>
        <v/>
      </c>
    </row>
    <row r="1717" customFormat="false" ht="15" hidden="false" customHeight="false" outlineLevel="0" collapsed="false">
      <c r="A1717" s="37" t="n">
        <v>46259</v>
      </c>
      <c r="B1717" s="44" t="s">
        <v>1910</v>
      </c>
      <c r="C1717" s="44" t="s">
        <v>707</v>
      </c>
      <c r="D1717" s="44" t="n">
        <v>2101003</v>
      </c>
      <c r="E1717" s="44" t="s">
        <v>679</v>
      </c>
      <c r="F1717" s="44" t="s">
        <v>1911</v>
      </c>
      <c r="G1717" s="42"/>
      <c r="H1717" s="42" t="n">
        <v>10725000</v>
      </c>
      <c r="I1717" s="44" t="s">
        <v>681</v>
      </c>
      <c r="J1717" s="11" t="n">
        <f aca="false">IF(D1717="","",N(G1717)-N(H1717))</f>
        <v>-10725000</v>
      </c>
      <c r="K1717" s="34" t="str">
        <f aca="false">IF(D1717="","",IFERROR(INDEX(I_COA!$C$6:$C$265,MATCH(D1717,I_COA!$A$6:$A$265,0)),"AKUN BARU"))</f>
        <v>Neraca</v>
      </c>
      <c r="L1717" s="34" t="str">
        <f aca="false">IF(K1717="LabaRugi",INDEX(I_COA!$D$6:$D$265,MATCH(D1717,I_COA!$A$6:$A$265,0)),"")</f>
        <v/>
      </c>
      <c r="M1717" s="34" t="str">
        <f aca="false">IF(K1717="Neraca",INDEX(I_COA!$E$6:$E$265,MATCH(D1717,I_COA!$A$6:$A$265,0)),"")</f>
        <v>Other Payable - Third Parties</v>
      </c>
      <c r="N1717" s="34" t="str">
        <f aca="false">IF(D1717="","",IFERROR(INDEX(I_COA!$G$6:$G$265,MATCH(D1717,I_COA!$A$6:$A$265,0)),"N"))</f>
        <v>N</v>
      </c>
      <c r="O1717" s="11" t="n">
        <f aca="false">IF(N1717="N",ABS(J1717),"")</f>
        <v>10725000</v>
      </c>
      <c r="P1717" s="18" t="str">
        <f aca="false">IF(N1717="N",B1717&amp;"|"&amp;ROUND(O1717,0),"")</f>
        <v>PI26080051|10725000</v>
      </c>
      <c r="Q1717" s="18" t="str">
        <f aca="false">IF(N1717&lt;&gt;"Y","",IFERROR(INDEX($D$6:$D$4005,MATCH(B1717&amp;"|"&amp;ROUND(_xlfn.MAXIFS($O$6:$O$4005,$B$6:$B$4005,B1717,$N$6:$N$4005,"N"),0),$P$6:$P$4005,0)),"(tanpa lawan)"))</f>
        <v/>
      </c>
      <c r="R1717" s="44"/>
      <c r="S1717" s="9" t="str">
        <f aca="false">IF(N1717&lt;&gt;"Y","",IF(R1717&lt;&gt;"",R1717,IF(Q1717="(tanpa lawan)","Transfer antar rekening",IFERROR(INDEX(I_COA!$F$6:$F$265,MATCH(Q1717,I_COA!$A$6:$A$265,0)),"?"))))</f>
        <v/>
      </c>
    </row>
    <row r="1718" customFormat="false" ht="15" hidden="false" customHeight="false" outlineLevel="0" collapsed="false">
      <c r="A1718" s="37" t="n">
        <v>46259</v>
      </c>
      <c r="B1718" s="44" t="s">
        <v>1913</v>
      </c>
      <c r="C1718" s="44" t="s">
        <v>707</v>
      </c>
      <c r="D1718" s="44" t="n">
        <v>5100007</v>
      </c>
      <c r="E1718" s="44" t="s">
        <v>708</v>
      </c>
      <c r="F1718" s="44" t="s">
        <v>1841</v>
      </c>
      <c r="G1718" s="42" t="n">
        <v>39000000</v>
      </c>
      <c r="H1718" s="42"/>
      <c r="I1718" s="44" t="s">
        <v>681</v>
      </c>
      <c r="J1718" s="11" t="n">
        <f aca="false">IF(D1718="","",N(G1718)-N(H1718))</f>
        <v>39000000</v>
      </c>
      <c r="K1718" s="34" t="str">
        <f aca="false">IF(D1718="","",IFERROR(INDEX(I_COA!$C$6:$C$265,MATCH(D1718,I_COA!$A$6:$A$265,0)),"AKUN BARU"))</f>
        <v>LabaRugi</v>
      </c>
      <c r="L1718" s="34" t="str">
        <f aca="false">IF(K1718="LabaRugi",INDEX(I_COA!$D$6:$D$265,MATCH(D1718,I_COA!$A$6:$A$265,0)),"")</f>
        <v>Other COGS - Expedition</v>
      </c>
      <c r="M1718" s="34" t="str">
        <f aca="false">IF(K1718="Neraca",INDEX(I_COA!$E$6:$E$265,MATCH(D1718,I_COA!$A$6:$A$265,0)),"")</f>
        <v/>
      </c>
      <c r="N1718" s="34" t="str">
        <f aca="false">IF(D1718="","",IFERROR(INDEX(I_COA!$G$6:$G$265,MATCH(D1718,I_COA!$A$6:$A$265,0)),"N"))</f>
        <v>N</v>
      </c>
      <c r="O1718" s="11" t="n">
        <f aca="false">IF(N1718="N",ABS(J1718),"")</f>
        <v>39000000</v>
      </c>
      <c r="P1718" s="18" t="str">
        <f aca="false">IF(N1718="N",B1718&amp;"|"&amp;ROUND(O1718,0),"")</f>
        <v>PI26080063|39000000</v>
      </c>
      <c r="Q1718" s="18" t="str">
        <f aca="false">IF(N1718&lt;&gt;"Y","",IFERROR(INDEX($D$6:$D$4005,MATCH(B1718&amp;"|"&amp;ROUND(_xlfn.MAXIFS($O$6:$O$4005,$B$6:$B$4005,B1718,$N$6:$N$4005,"N"),0),$P$6:$P$4005,0)),"(tanpa lawan)"))</f>
        <v/>
      </c>
      <c r="R1718" s="44"/>
      <c r="S1718" s="9" t="str">
        <f aca="false">IF(N1718&lt;&gt;"Y","",IF(R1718&lt;&gt;"",R1718,IF(Q1718="(tanpa lawan)","Transfer antar rekening",IFERROR(INDEX(I_COA!$F$6:$F$265,MATCH(Q1718,I_COA!$A$6:$A$265,0)),"?"))))</f>
        <v/>
      </c>
    </row>
    <row r="1719" customFormat="false" ht="15" hidden="false" customHeight="false" outlineLevel="0" collapsed="false">
      <c r="A1719" s="37" t="n">
        <v>46259</v>
      </c>
      <c r="B1719" s="44" t="s">
        <v>1913</v>
      </c>
      <c r="C1719" s="44" t="s">
        <v>707</v>
      </c>
      <c r="D1719" s="44" t="n">
        <v>2102002</v>
      </c>
      <c r="E1719" s="44" t="s">
        <v>633</v>
      </c>
      <c r="F1719" s="44" t="s">
        <v>1401</v>
      </c>
      <c r="G1719" s="42"/>
      <c r="H1719" s="42" t="n">
        <v>975000</v>
      </c>
      <c r="I1719" s="44" t="s">
        <v>681</v>
      </c>
      <c r="J1719" s="11" t="n">
        <f aca="false">IF(D1719="","",N(G1719)-N(H1719))</f>
        <v>-975000</v>
      </c>
      <c r="K1719" s="34" t="str">
        <f aca="false">IF(D1719="","",IFERROR(INDEX(I_COA!$C$6:$C$265,MATCH(D1719,I_COA!$A$6:$A$265,0)),"AKUN BARU"))</f>
        <v>Neraca</v>
      </c>
      <c r="L1719" s="34" t="str">
        <f aca="false">IF(K1719="LabaRugi",INDEX(I_COA!$D$6:$D$265,MATCH(D1719,I_COA!$A$6:$A$265,0)),"")</f>
        <v/>
      </c>
      <c r="M1719" s="34" t="str">
        <f aca="false">IF(K1719="Neraca",INDEX(I_COA!$E$6:$E$265,MATCH(D1719,I_COA!$A$6:$A$265,0)),"")</f>
        <v>Taxes Payable</v>
      </c>
      <c r="N1719" s="34" t="str">
        <f aca="false">IF(D1719="","",IFERROR(INDEX(I_COA!$G$6:$G$265,MATCH(D1719,I_COA!$A$6:$A$265,0)),"N"))</f>
        <v>N</v>
      </c>
      <c r="O1719" s="11" t="n">
        <f aca="false">IF(N1719="N",ABS(J1719),"")</f>
        <v>975000</v>
      </c>
      <c r="P1719" s="18" t="str">
        <f aca="false">IF(N1719="N",B1719&amp;"|"&amp;ROUND(O1719,0),"")</f>
        <v>PI26080063|975000</v>
      </c>
      <c r="Q1719" s="18" t="str">
        <f aca="false">IF(N1719&lt;&gt;"Y","",IFERROR(INDEX($D$6:$D$4005,MATCH(B1719&amp;"|"&amp;ROUND(_xlfn.MAXIFS($O$6:$O$4005,$B$6:$B$4005,B1719,$N$6:$N$4005,"N"),0),$P$6:$P$4005,0)),"(tanpa lawan)"))</f>
        <v/>
      </c>
      <c r="R1719" s="44"/>
      <c r="S1719" s="9" t="str">
        <f aca="false">IF(N1719&lt;&gt;"Y","",IF(R1719&lt;&gt;"",R1719,IF(Q1719="(tanpa lawan)","Transfer antar rekening",IFERROR(INDEX(I_COA!$F$6:$F$265,MATCH(Q1719,I_COA!$A$6:$A$265,0)),"?"))))</f>
        <v/>
      </c>
    </row>
    <row r="1720" customFormat="false" ht="15" hidden="false" customHeight="false" outlineLevel="0" collapsed="false">
      <c r="A1720" s="37" t="n">
        <v>46259</v>
      </c>
      <c r="B1720" s="44" t="s">
        <v>1913</v>
      </c>
      <c r="C1720" s="44" t="s">
        <v>707</v>
      </c>
      <c r="D1720" s="44" t="n">
        <v>2101003</v>
      </c>
      <c r="E1720" s="44" t="s">
        <v>679</v>
      </c>
      <c r="F1720" s="44" t="s">
        <v>1841</v>
      </c>
      <c r="G1720" s="42"/>
      <c r="H1720" s="42" t="n">
        <v>38025000</v>
      </c>
      <c r="I1720" s="44" t="s">
        <v>681</v>
      </c>
      <c r="J1720" s="11" t="n">
        <f aca="false">IF(D1720="","",N(G1720)-N(H1720))</f>
        <v>-38025000</v>
      </c>
      <c r="K1720" s="34" t="str">
        <f aca="false">IF(D1720="","",IFERROR(INDEX(I_COA!$C$6:$C$265,MATCH(D1720,I_COA!$A$6:$A$265,0)),"AKUN BARU"))</f>
        <v>Neraca</v>
      </c>
      <c r="L1720" s="34" t="str">
        <f aca="false">IF(K1720="LabaRugi",INDEX(I_COA!$D$6:$D$265,MATCH(D1720,I_COA!$A$6:$A$265,0)),"")</f>
        <v/>
      </c>
      <c r="M1720" s="34" t="str">
        <f aca="false">IF(K1720="Neraca",INDEX(I_COA!$E$6:$E$265,MATCH(D1720,I_COA!$A$6:$A$265,0)),"")</f>
        <v>Other Payable - Third Parties</v>
      </c>
      <c r="N1720" s="34" t="str">
        <f aca="false">IF(D1720="","",IFERROR(INDEX(I_COA!$G$6:$G$265,MATCH(D1720,I_COA!$A$6:$A$265,0)),"N"))</f>
        <v>N</v>
      </c>
      <c r="O1720" s="11" t="n">
        <f aca="false">IF(N1720="N",ABS(J1720),"")</f>
        <v>38025000</v>
      </c>
      <c r="P1720" s="18" t="str">
        <f aca="false">IF(N1720="N",B1720&amp;"|"&amp;ROUND(O1720,0),"")</f>
        <v>PI26080063|38025000</v>
      </c>
      <c r="Q1720" s="18" t="str">
        <f aca="false">IF(N1720&lt;&gt;"Y","",IFERROR(INDEX($D$6:$D$4005,MATCH(B1720&amp;"|"&amp;ROUND(_xlfn.MAXIFS($O$6:$O$4005,$B$6:$B$4005,B1720,$N$6:$N$4005,"N"),0),$P$6:$P$4005,0)),"(tanpa lawan)"))</f>
        <v/>
      </c>
      <c r="R1720" s="44"/>
      <c r="S1720" s="9" t="str">
        <f aca="false">IF(N1720&lt;&gt;"Y","",IF(R1720&lt;&gt;"",R1720,IF(Q1720="(tanpa lawan)","Transfer antar rekening",IFERROR(INDEX(I_COA!$F$6:$F$265,MATCH(Q1720,I_COA!$A$6:$A$265,0)),"?"))))</f>
        <v/>
      </c>
    </row>
    <row r="1721" customFormat="false" ht="15" hidden="false" customHeight="false" outlineLevel="0" collapsed="false">
      <c r="A1721" s="37" t="n">
        <v>46259</v>
      </c>
      <c r="B1721" s="44" t="s">
        <v>1914</v>
      </c>
      <c r="C1721" s="44" t="s">
        <v>707</v>
      </c>
      <c r="D1721" s="44" t="n">
        <v>5100006</v>
      </c>
      <c r="E1721" s="44" t="s">
        <v>950</v>
      </c>
      <c r="F1721" s="44" t="s">
        <v>1915</v>
      </c>
      <c r="G1721" s="42" t="n">
        <v>18666880</v>
      </c>
      <c r="H1721" s="42"/>
      <c r="I1721" s="44" t="s">
        <v>440</v>
      </c>
      <c r="J1721" s="11" t="n">
        <f aca="false">IF(D1721="","",N(G1721)-N(H1721))</f>
        <v>18666880</v>
      </c>
      <c r="K1721" s="34" t="str">
        <f aca="false">IF(D1721="","",IFERROR(INDEX(I_COA!$C$6:$C$265,MATCH(D1721,I_COA!$A$6:$A$265,0)),"AKUN BARU"))</f>
        <v>LabaRugi</v>
      </c>
      <c r="L1721" s="34" t="str">
        <f aca="false">IF(K1721="LabaRugi",INDEX(I_COA!$D$6:$D$265,MATCH(D1721,I_COA!$A$6:$A$265,0)),"")</f>
        <v>COGS - Live Bird</v>
      </c>
      <c r="M1721" s="34" t="str">
        <f aca="false">IF(K1721="Neraca",INDEX(I_COA!$E$6:$E$265,MATCH(D1721,I_COA!$A$6:$A$265,0)),"")</f>
        <v/>
      </c>
      <c r="N1721" s="34" t="str">
        <f aca="false">IF(D1721="","",IFERROR(INDEX(I_COA!$G$6:$G$265,MATCH(D1721,I_COA!$A$6:$A$265,0)),"N"))</f>
        <v>N</v>
      </c>
      <c r="O1721" s="11" t="n">
        <f aca="false">IF(N1721="N",ABS(J1721),"")</f>
        <v>18666880</v>
      </c>
      <c r="P1721" s="18" t="str">
        <f aca="false">IF(N1721="N",B1721&amp;"|"&amp;ROUND(O1721,0),"")</f>
        <v>PI26080064|18666880</v>
      </c>
      <c r="Q1721" s="18" t="str">
        <f aca="false">IF(N1721&lt;&gt;"Y","",IFERROR(INDEX($D$6:$D$4005,MATCH(B1721&amp;"|"&amp;ROUND(_xlfn.MAXIFS($O$6:$O$4005,$B$6:$B$4005,B1721,$N$6:$N$4005,"N"),0),$P$6:$P$4005,0)),"(tanpa lawan)"))</f>
        <v/>
      </c>
      <c r="R1721" s="44"/>
      <c r="S1721" s="9" t="str">
        <f aca="false">IF(N1721&lt;&gt;"Y","",IF(R1721&lt;&gt;"",R1721,IF(Q1721="(tanpa lawan)","Transfer antar rekening",IFERROR(INDEX(I_COA!$F$6:$F$265,MATCH(Q1721,I_COA!$A$6:$A$265,0)),"?"))))</f>
        <v/>
      </c>
    </row>
    <row r="1722" customFormat="false" ht="15" hidden="false" customHeight="false" outlineLevel="0" collapsed="false">
      <c r="A1722" s="37" t="n">
        <v>46259</v>
      </c>
      <c r="B1722" s="44" t="s">
        <v>1914</v>
      </c>
      <c r="C1722" s="44" t="s">
        <v>707</v>
      </c>
      <c r="D1722" s="44" t="n">
        <v>5100009</v>
      </c>
      <c r="E1722" s="44" t="s">
        <v>1003</v>
      </c>
      <c r="F1722" s="44" t="s">
        <v>1916</v>
      </c>
      <c r="G1722" s="42" t="n">
        <v>1938320</v>
      </c>
      <c r="H1722" s="42"/>
      <c r="I1722" s="44" t="s">
        <v>440</v>
      </c>
      <c r="J1722" s="11" t="n">
        <f aca="false">IF(D1722="","",N(G1722)-N(H1722))</f>
        <v>1938320</v>
      </c>
      <c r="K1722" s="34" t="str">
        <f aca="false">IF(D1722="","",IFERROR(INDEX(I_COA!$C$6:$C$265,MATCH(D1722,I_COA!$A$6:$A$265,0)),"AKUN BARU"))</f>
        <v>LabaRugi</v>
      </c>
      <c r="L1722" s="34" t="str">
        <f aca="false">IF(K1722="LabaRugi",INDEX(I_COA!$D$6:$D$265,MATCH(D1722,I_COA!$A$6:$A$265,0)),"")</f>
        <v>COGS - Blasting</v>
      </c>
      <c r="M1722" s="34" t="str">
        <f aca="false">IF(K1722="Neraca",INDEX(I_COA!$E$6:$E$265,MATCH(D1722,I_COA!$A$6:$A$265,0)),"")</f>
        <v/>
      </c>
      <c r="N1722" s="34" t="str">
        <f aca="false">IF(D1722="","",IFERROR(INDEX(I_COA!$G$6:$G$265,MATCH(D1722,I_COA!$A$6:$A$265,0)),"N"))</f>
        <v>N</v>
      </c>
      <c r="O1722" s="11" t="n">
        <f aca="false">IF(N1722="N",ABS(J1722),"")</f>
        <v>1938320</v>
      </c>
      <c r="P1722" s="18" t="str">
        <f aca="false">IF(N1722="N",B1722&amp;"|"&amp;ROUND(O1722,0),"")</f>
        <v>PI26080064|1938320</v>
      </c>
      <c r="Q1722" s="18" t="str">
        <f aca="false">IF(N1722&lt;&gt;"Y","",IFERROR(INDEX($D$6:$D$4005,MATCH(B1722&amp;"|"&amp;ROUND(_xlfn.MAXIFS($O$6:$O$4005,$B$6:$B$4005,B1722,$N$6:$N$4005,"N"),0),$P$6:$P$4005,0)),"(tanpa lawan)"))</f>
        <v/>
      </c>
      <c r="R1722" s="44"/>
      <c r="S1722" s="9" t="str">
        <f aca="false">IF(N1722&lt;&gt;"Y","",IF(R1722&lt;&gt;"",R1722,IF(Q1722="(tanpa lawan)","Transfer antar rekening",IFERROR(INDEX(I_COA!$F$6:$F$265,MATCH(Q1722,I_COA!$A$6:$A$265,0)),"?"))))</f>
        <v/>
      </c>
    </row>
    <row r="1723" customFormat="false" ht="15" hidden="false" customHeight="false" outlineLevel="0" collapsed="false">
      <c r="A1723" s="37" t="n">
        <v>46259</v>
      </c>
      <c r="B1723" s="44" t="s">
        <v>1914</v>
      </c>
      <c r="C1723" s="44" t="s">
        <v>707</v>
      </c>
      <c r="D1723" s="44" t="n">
        <v>2102003</v>
      </c>
      <c r="E1723" s="44" t="s">
        <v>722</v>
      </c>
      <c r="F1723" s="44" t="s">
        <v>1118</v>
      </c>
      <c r="G1723" s="42"/>
      <c r="H1723" s="42" t="n">
        <v>412104</v>
      </c>
      <c r="I1723" s="44" t="s">
        <v>440</v>
      </c>
      <c r="J1723" s="11" t="n">
        <f aca="false">IF(D1723="","",N(G1723)-N(H1723))</f>
        <v>-412104</v>
      </c>
      <c r="K1723" s="34" t="str">
        <f aca="false">IF(D1723="","",IFERROR(INDEX(I_COA!$C$6:$C$265,MATCH(D1723,I_COA!$A$6:$A$265,0)),"AKUN BARU"))</f>
        <v>Neraca</v>
      </c>
      <c r="L1723" s="34" t="str">
        <f aca="false">IF(K1723="LabaRugi",INDEX(I_COA!$D$6:$D$265,MATCH(D1723,I_COA!$A$6:$A$265,0)),"")</f>
        <v/>
      </c>
      <c r="M1723" s="34" t="str">
        <f aca="false">IF(K1723="Neraca",INDEX(I_COA!$E$6:$E$265,MATCH(D1723,I_COA!$A$6:$A$265,0)),"")</f>
        <v>Taxes Payable</v>
      </c>
      <c r="N1723" s="34" t="str">
        <f aca="false">IF(D1723="","",IFERROR(INDEX(I_COA!$G$6:$G$265,MATCH(D1723,I_COA!$A$6:$A$265,0)),"N"))</f>
        <v>N</v>
      </c>
      <c r="O1723" s="11" t="n">
        <f aca="false">IF(N1723="N",ABS(J1723),"")</f>
        <v>412104</v>
      </c>
      <c r="P1723" s="18" t="str">
        <f aca="false">IF(N1723="N",B1723&amp;"|"&amp;ROUND(O1723,0),"")</f>
        <v>PI26080064|412104</v>
      </c>
      <c r="Q1723" s="18" t="str">
        <f aca="false">IF(N1723&lt;&gt;"Y","",IFERROR(INDEX($D$6:$D$4005,MATCH(B1723&amp;"|"&amp;ROUND(_xlfn.MAXIFS($O$6:$O$4005,$B$6:$B$4005,B1723,$N$6:$N$4005,"N"),0),$P$6:$P$4005,0)),"(tanpa lawan)"))</f>
        <v/>
      </c>
      <c r="R1723" s="44"/>
      <c r="S1723" s="9" t="str">
        <f aca="false">IF(N1723&lt;&gt;"Y","",IF(R1723&lt;&gt;"",R1723,IF(Q1723="(tanpa lawan)","Transfer antar rekening",IFERROR(INDEX(I_COA!$F$6:$F$265,MATCH(Q1723,I_COA!$A$6:$A$265,0)),"?"))))</f>
        <v/>
      </c>
    </row>
    <row r="1724" customFormat="false" ht="15" hidden="false" customHeight="false" outlineLevel="0" collapsed="false">
      <c r="A1724" s="37" t="n">
        <v>46259</v>
      </c>
      <c r="B1724" s="44" t="s">
        <v>1914</v>
      </c>
      <c r="C1724" s="44" t="s">
        <v>707</v>
      </c>
      <c r="D1724" s="44" t="n">
        <v>1106001</v>
      </c>
      <c r="E1724" s="44" t="s">
        <v>720</v>
      </c>
      <c r="F1724" s="44" t="s">
        <v>721</v>
      </c>
      <c r="G1724" s="42" t="n">
        <v>2266572</v>
      </c>
      <c r="H1724" s="42"/>
      <c r="I1724" s="44" t="s">
        <v>440</v>
      </c>
      <c r="J1724" s="11" t="n">
        <f aca="false">IF(D1724="","",N(G1724)-N(H1724))</f>
        <v>2266572</v>
      </c>
      <c r="K1724" s="34" t="str">
        <f aca="false">IF(D1724="","",IFERROR(INDEX(I_COA!$C$6:$C$265,MATCH(D1724,I_COA!$A$6:$A$265,0)),"AKUN BARU"))</f>
        <v>Neraca</v>
      </c>
      <c r="L1724" s="34" t="str">
        <f aca="false">IF(K1724="LabaRugi",INDEX(I_COA!$D$6:$D$265,MATCH(D1724,I_COA!$A$6:$A$265,0)),"")</f>
        <v/>
      </c>
      <c r="M1724" s="34" t="str">
        <f aca="false">IF(K1724="Neraca",INDEX(I_COA!$E$6:$E$265,MATCH(D1724,I_COA!$A$6:$A$265,0)),"")</f>
        <v>Prepaid Tax</v>
      </c>
      <c r="N1724" s="34" t="str">
        <f aca="false">IF(D1724="","",IFERROR(INDEX(I_COA!$G$6:$G$265,MATCH(D1724,I_COA!$A$6:$A$265,0)),"N"))</f>
        <v>N</v>
      </c>
      <c r="O1724" s="11" t="n">
        <f aca="false">IF(N1724="N",ABS(J1724),"")</f>
        <v>2266572</v>
      </c>
      <c r="P1724" s="18" t="str">
        <f aca="false">IF(N1724="N",B1724&amp;"|"&amp;ROUND(O1724,0),"")</f>
        <v>PI26080064|2266572</v>
      </c>
      <c r="Q1724" s="18" t="str">
        <f aca="false">IF(N1724&lt;&gt;"Y","",IFERROR(INDEX($D$6:$D$4005,MATCH(B1724&amp;"|"&amp;ROUND(_xlfn.MAXIFS($O$6:$O$4005,$B$6:$B$4005,B1724,$N$6:$N$4005,"N"),0),$P$6:$P$4005,0)),"(tanpa lawan)"))</f>
        <v/>
      </c>
      <c r="R1724" s="44"/>
      <c r="S1724" s="9" t="str">
        <f aca="false">IF(N1724&lt;&gt;"Y","",IF(R1724&lt;&gt;"",R1724,IF(Q1724="(tanpa lawan)","Transfer antar rekening",IFERROR(INDEX(I_COA!$F$6:$F$265,MATCH(Q1724,I_COA!$A$6:$A$265,0)),"?"))))</f>
        <v/>
      </c>
    </row>
    <row r="1725" customFormat="false" ht="15" hidden="false" customHeight="false" outlineLevel="0" collapsed="false">
      <c r="A1725" s="37" t="n">
        <v>46259</v>
      </c>
      <c r="B1725" s="44" t="s">
        <v>1914</v>
      </c>
      <c r="C1725" s="44" t="s">
        <v>707</v>
      </c>
      <c r="D1725" s="44" t="n">
        <v>2101003</v>
      </c>
      <c r="E1725" s="44" t="s">
        <v>679</v>
      </c>
      <c r="F1725" s="44" t="s">
        <v>1917</v>
      </c>
      <c r="G1725" s="42"/>
      <c r="H1725" s="42" t="n">
        <v>22459668</v>
      </c>
      <c r="I1725" s="44" t="s">
        <v>440</v>
      </c>
      <c r="J1725" s="11" t="n">
        <f aca="false">IF(D1725="","",N(G1725)-N(H1725))</f>
        <v>-22459668</v>
      </c>
      <c r="K1725" s="34" t="str">
        <f aca="false">IF(D1725="","",IFERROR(INDEX(I_COA!$C$6:$C$265,MATCH(D1725,I_COA!$A$6:$A$265,0)),"AKUN BARU"))</f>
        <v>Neraca</v>
      </c>
      <c r="L1725" s="34" t="str">
        <f aca="false">IF(K1725="LabaRugi",INDEX(I_COA!$D$6:$D$265,MATCH(D1725,I_COA!$A$6:$A$265,0)),"")</f>
        <v/>
      </c>
      <c r="M1725" s="34" t="str">
        <f aca="false">IF(K1725="Neraca",INDEX(I_COA!$E$6:$E$265,MATCH(D1725,I_COA!$A$6:$A$265,0)),"")</f>
        <v>Other Payable - Third Parties</v>
      </c>
      <c r="N1725" s="34" t="str">
        <f aca="false">IF(D1725="","",IFERROR(INDEX(I_COA!$G$6:$G$265,MATCH(D1725,I_COA!$A$6:$A$265,0)),"N"))</f>
        <v>N</v>
      </c>
      <c r="O1725" s="11" t="n">
        <f aca="false">IF(N1725="N",ABS(J1725),"")</f>
        <v>22459668</v>
      </c>
      <c r="P1725" s="18" t="str">
        <f aca="false">IF(N1725="N",B1725&amp;"|"&amp;ROUND(O1725,0),"")</f>
        <v>PI26080064|22459668</v>
      </c>
      <c r="Q1725" s="18" t="str">
        <f aca="false">IF(N1725&lt;&gt;"Y","",IFERROR(INDEX($D$6:$D$4005,MATCH(B1725&amp;"|"&amp;ROUND(_xlfn.MAXIFS($O$6:$O$4005,$B$6:$B$4005,B1725,$N$6:$N$4005,"N"),0),$P$6:$P$4005,0)),"(tanpa lawan)"))</f>
        <v/>
      </c>
      <c r="R1725" s="44"/>
      <c r="S1725" s="9" t="str">
        <f aca="false">IF(N1725&lt;&gt;"Y","",IF(R1725&lt;&gt;"",R1725,IF(Q1725="(tanpa lawan)","Transfer antar rekening",IFERROR(INDEX(I_COA!$F$6:$F$265,MATCH(Q1725,I_COA!$A$6:$A$265,0)),"?"))))</f>
        <v/>
      </c>
    </row>
    <row r="1726" customFormat="false" ht="15" hidden="false" customHeight="false" outlineLevel="0" collapsed="false">
      <c r="A1726" s="37" t="n">
        <v>46259</v>
      </c>
      <c r="B1726" s="44" t="s">
        <v>1918</v>
      </c>
      <c r="C1726" s="44" t="s">
        <v>707</v>
      </c>
      <c r="D1726" s="44" t="n">
        <v>5100006</v>
      </c>
      <c r="E1726" s="44" t="s">
        <v>950</v>
      </c>
      <c r="F1726" s="44" t="s">
        <v>1919</v>
      </c>
      <c r="G1726" s="42" t="n">
        <v>4000000</v>
      </c>
      <c r="H1726" s="42"/>
      <c r="I1726" s="44" t="s">
        <v>440</v>
      </c>
      <c r="J1726" s="11" t="n">
        <f aca="false">IF(D1726="","",N(G1726)-N(H1726))</f>
        <v>4000000</v>
      </c>
      <c r="K1726" s="34" t="str">
        <f aca="false">IF(D1726="","",IFERROR(INDEX(I_COA!$C$6:$C$265,MATCH(D1726,I_COA!$A$6:$A$265,0)),"AKUN BARU"))</f>
        <v>LabaRugi</v>
      </c>
      <c r="L1726" s="34" t="str">
        <f aca="false">IF(K1726="LabaRugi",INDEX(I_COA!$D$6:$D$265,MATCH(D1726,I_COA!$A$6:$A$265,0)),"")</f>
        <v>COGS - Live Bird</v>
      </c>
      <c r="M1726" s="34" t="str">
        <f aca="false">IF(K1726="Neraca",INDEX(I_COA!$E$6:$E$265,MATCH(D1726,I_COA!$A$6:$A$265,0)),"")</f>
        <v/>
      </c>
      <c r="N1726" s="34" t="str">
        <f aca="false">IF(D1726="","",IFERROR(INDEX(I_COA!$G$6:$G$265,MATCH(D1726,I_COA!$A$6:$A$265,0)),"N"))</f>
        <v>N</v>
      </c>
      <c r="O1726" s="11" t="n">
        <f aca="false">IF(N1726="N",ABS(J1726),"")</f>
        <v>4000000</v>
      </c>
      <c r="P1726" s="18" t="str">
        <f aca="false">IF(N1726="N",B1726&amp;"|"&amp;ROUND(O1726,0),"")</f>
        <v>PI26080078|4000000</v>
      </c>
      <c r="Q1726" s="18" t="str">
        <f aca="false">IF(N1726&lt;&gt;"Y","",IFERROR(INDEX($D$6:$D$4005,MATCH(B1726&amp;"|"&amp;ROUND(_xlfn.MAXIFS($O$6:$O$4005,$B$6:$B$4005,B1726,$N$6:$N$4005,"N"),0),$P$6:$P$4005,0)),"(tanpa lawan)"))</f>
        <v/>
      </c>
      <c r="R1726" s="44"/>
      <c r="S1726" s="9" t="str">
        <f aca="false">IF(N1726&lt;&gt;"Y","",IF(R1726&lt;&gt;"",R1726,IF(Q1726="(tanpa lawan)","Transfer antar rekening",IFERROR(INDEX(I_COA!$F$6:$F$265,MATCH(Q1726,I_COA!$A$6:$A$265,0)),"?"))))</f>
        <v/>
      </c>
    </row>
    <row r="1727" customFormat="false" ht="15" hidden="false" customHeight="false" outlineLevel="0" collapsed="false">
      <c r="A1727" s="37" t="n">
        <v>46259</v>
      </c>
      <c r="B1727" s="44" t="s">
        <v>1918</v>
      </c>
      <c r="C1727" s="44" t="s">
        <v>707</v>
      </c>
      <c r="D1727" s="44" t="n">
        <v>2102003</v>
      </c>
      <c r="E1727" s="44" t="s">
        <v>722</v>
      </c>
      <c r="F1727" s="44" t="s">
        <v>1920</v>
      </c>
      <c r="G1727" s="42"/>
      <c r="H1727" s="42" t="n">
        <v>80000</v>
      </c>
      <c r="I1727" s="44" t="s">
        <v>440</v>
      </c>
      <c r="J1727" s="11" t="n">
        <f aca="false">IF(D1727="","",N(G1727)-N(H1727))</f>
        <v>-80000</v>
      </c>
      <c r="K1727" s="34" t="str">
        <f aca="false">IF(D1727="","",IFERROR(INDEX(I_COA!$C$6:$C$265,MATCH(D1727,I_COA!$A$6:$A$265,0)),"AKUN BARU"))</f>
        <v>Neraca</v>
      </c>
      <c r="L1727" s="34" t="str">
        <f aca="false">IF(K1727="LabaRugi",INDEX(I_COA!$D$6:$D$265,MATCH(D1727,I_COA!$A$6:$A$265,0)),"")</f>
        <v/>
      </c>
      <c r="M1727" s="34" t="str">
        <f aca="false">IF(K1727="Neraca",INDEX(I_COA!$E$6:$E$265,MATCH(D1727,I_COA!$A$6:$A$265,0)),"")</f>
        <v>Taxes Payable</v>
      </c>
      <c r="N1727" s="34" t="str">
        <f aca="false">IF(D1727="","",IFERROR(INDEX(I_COA!$G$6:$G$265,MATCH(D1727,I_COA!$A$6:$A$265,0)),"N"))</f>
        <v>N</v>
      </c>
      <c r="O1727" s="11" t="n">
        <f aca="false">IF(N1727="N",ABS(J1727),"")</f>
        <v>80000</v>
      </c>
      <c r="P1727" s="18" t="str">
        <f aca="false">IF(N1727="N",B1727&amp;"|"&amp;ROUND(O1727,0),"")</f>
        <v>PI26080078|80000</v>
      </c>
      <c r="Q1727" s="18" t="str">
        <f aca="false">IF(N1727&lt;&gt;"Y","",IFERROR(INDEX($D$6:$D$4005,MATCH(B1727&amp;"|"&amp;ROUND(_xlfn.MAXIFS($O$6:$O$4005,$B$6:$B$4005,B1727,$N$6:$N$4005,"N"),0),$P$6:$P$4005,0)),"(tanpa lawan)"))</f>
        <v/>
      </c>
      <c r="R1727" s="44"/>
      <c r="S1727" s="9" t="str">
        <f aca="false">IF(N1727&lt;&gt;"Y","",IF(R1727&lt;&gt;"",R1727,IF(Q1727="(tanpa lawan)","Transfer antar rekening",IFERROR(INDEX(I_COA!$F$6:$F$265,MATCH(Q1727,I_COA!$A$6:$A$265,0)),"?"))))</f>
        <v/>
      </c>
    </row>
    <row r="1728" customFormat="false" ht="15" hidden="false" customHeight="false" outlineLevel="0" collapsed="false">
      <c r="A1728" s="37" t="n">
        <v>46259</v>
      </c>
      <c r="B1728" s="44" t="s">
        <v>1918</v>
      </c>
      <c r="C1728" s="44" t="s">
        <v>707</v>
      </c>
      <c r="D1728" s="44" t="n">
        <v>1106001</v>
      </c>
      <c r="E1728" s="44" t="s">
        <v>720</v>
      </c>
      <c r="F1728" s="44" t="s">
        <v>1921</v>
      </c>
      <c r="G1728" s="42" t="n">
        <v>440000</v>
      </c>
      <c r="H1728" s="42"/>
      <c r="I1728" s="44" t="s">
        <v>440</v>
      </c>
      <c r="J1728" s="11" t="n">
        <f aca="false">IF(D1728="","",N(G1728)-N(H1728))</f>
        <v>440000</v>
      </c>
      <c r="K1728" s="34" t="str">
        <f aca="false">IF(D1728="","",IFERROR(INDEX(I_COA!$C$6:$C$265,MATCH(D1728,I_COA!$A$6:$A$265,0)),"AKUN BARU"))</f>
        <v>Neraca</v>
      </c>
      <c r="L1728" s="34" t="str">
        <f aca="false">IF(K1728="LabaRugi",INDEX(I_COA!$D$6:$D$265,MATCH(D1728,I_COA!$A$6:$A$265,0)),"")</f>
        <v/>
      </c>
      <c r="M1728" s="34" t="str">
        <f aca="false">IF(K1728="Neraca",INDEX(I_COA!$E$6:$E$265,MATCH(D1728,I_COA!$A$6:$A$265,0)),"")</f>
        <v>Prepaid Tax</v>
      </c>
      <c r="N1728" s="34" t="str">
        <f aca="false">IF(D1728="","",IFERROR(INDEX(I_COA!$G$6:$G$265,MATCH(D1728,I_COA!$A$6:$A$265,0)),"N"))</f>
        <v>N</v>
      </c>
      <c r="O1728" s="11" t="n">
        <f aca="false">IF(N1728="N",ABS(J1728),"")</f>
        <v>440000</v>
      </c>
      <c r="P1728" s="18" t="str">
        <f aca="false">IF(N1728="N",B1728&amp;"|"&amp;ROUND(O1728,0),"")</f>
        <v>PI26080078|440000</v>
      </c>
      <c r="Q1728" s="18" t="str">
        <f aca="false">IF(N1728&lt;&gt;"Y","",IFERROR(INDEX($D$6:$D$4005,MATCH(B1728&amp;"|"&amp;ROUND(_xlfn.MAXIFS($O$6:$O$4005,$B$6:$B$4005,B1728,$N$6:$N$4005,"N"),0),$P$6:$P$4005,0)),"(tanpa lawan)"))</f>
        <v/>
      </c>
      <c r="R1728" s="44"/>
      <c r="S1728" s="9" t="str">
        <f aca="false">IF(N1728&lt;&gt;"Y","",IF(R1728&lt;&gt;"",R1728,IF(Q1728="(tanpa lawan)","Transfer antar rekening",IFERROR(INDEX(I_COA!$F$6:$F$265,MATCH(Q1728,I_COA!$A$6:$A$265,0)),"?"))))</f>
        <v/>
      </c>
    </row>
    <row r="1729" customFormat="false" ht="15" hidden="false" customHeight="false" outlineLevel="0" collapsed="false">
      <c r="A1729" s="37" t="n">
        <v>46259</v>
      </c>
      <c r="B1729" s="44" t="s">
        <v>1918</v>
      </c>
      <c r="C1729" s="44" t="s">
        <v>707</v>
      </c>
      <c r="D1729" s="44" t="n">
        <v>2101003</v>
      </c>
      <c r="E1729" s="44" t="s">
        <v>679</v>
      </c>
      <c r="F1729" s="44" t="s">
        <v>1919</v>
      </c>
      <c r="G1729" s="42"/>
      <c r="H1729" s="42" t="n">
        <v>4360000</v>
      </c>
      <c r="I1729" s="44" t="s">
        <v>440</v>
      </c>
      <c r="J1729" s="11" t="n">
        <f aca="false">IF(D1729="","",N(G1729)-N(H1729))</f>
        <v>-4360000</v>
      </c>
      <c r="K1729" s="34" t="str">
        <f aca="false">IF(D1729="","",IFERROR(INDEX(I_COA!$C$6:$C$265,MATCH(D1729,I_COA!$A$6:$A$265,0)),"AKUN BARU"))</f>
        <v>Neraca</v>
      </c>
      <c r="L1729" s="34" t="str">
        <f aca="false">IF(K1729="LabaRugi",INDEX(I_COA!$D$6:$D$265,MATCH(D1729,I_COA!$A$6:$A$265,0)),"")</f>
        <v/>
      </c>
      <c r="M1729" s="34" t="str">
        <f aca="false">IF(K1729="Neraca",INDEX(I_COA!$E$6:$E$265,MATCH(D1729,I_COA!$A$6:$A$265,0)),"")</f>
        <v>Other Payable - Third Parties</v>
      </c>
      <c r="N1729" s="34" t="str">
        <f aca="false">IF(D1729="","",IFERROR(INDEX(I_COA!$G$6:$G$265,MATCH(D1729,I_COA!$A$6:$A$265,0)),"N"))</f>
        <v>N</v>
      </c>
      <c r="O1729" s="11" t="n">
        <f aca="false">IF(N1729="N",ABS(J1729),"")</f>
        <v>4360000</v>
      </c>
      <c r="P1729" s="18" t="str">
        <f aca="false">IF(N1729="N",B1729&amp;"|"&amp;ROUND(O1729,0),"")</f>
        <v>PI26080078|4360000</v>
      </c>
      <c r="Q1729" s="18" t="str">
        <f aca="false">IF(N1729&lt;&gt;"Y","",IFERROR(INDEX($D$6:$D$4005,MATCH(B1729&amp;"|"&amp;ROUND(_xlfn.MAXIFS($O$6:$O$4005,$B$6:$B$4005,B1729,$N$6:$N$4005,"N"),0),$P$6:$P$4005,0)),"(tanpa lawan)"))</f>
        <v/>
      </c>
      <c r="R1729" s="44"/>
      <c r="S1729" s="9" t="str">
        <f aca="false">IF(N1729&lt;&gt;"Y","",IF(R1729&lt;&gt;"",R1729,IF(Q1729="(tanpa lawan)","Transfer antar rekening",IFERROR(INDEX(I_COA!$F$6:$F$265,MATCH(Q1729,I_COA!$A$6:$A$265,0)),"?"))))</f>
        <v/>
      </c>
    </row>
    <row r="1730" customFormat="false" ht="15" hidden="false" customHeight="false" outlineLevel="0" collapsed="false">
      <c r="A1730" s="37" t="n">
        <v>46259</v>
      </c>
      <c r="B1730" s="44" t="s">
        <v>1922</v>
      </c>
      <c r="C1730" s="44" t="s">
        <v>707</v>
      </c>
      <c r="D1730" s="44" t="n">
        <v>2103011</v>
      </c>
      <c r="E1730" s="44" t="s">
        <v>693</v>
      </c>
      <c r="F1730" s="44" t="s">
        <v>1909</v>
      </c>
      <c r="G1730" s="42" t="n">
        <v>333092240.08</v>
      </c>
      <c r="H1730" s="42"/>
      <c r="I1730" s="44" t="s">
        <v>597</v>
      </c>
      <c r="J1730" s="11" t="n">
        <f aca="false">IF(D1730="","",N(G1730)-N(H1730))</f>
        <v>333092240.08</v>
      </c>
      <c r="K1730" s="34" t="str">
        <f aca="false">IF(D1730="","",IFERROR(INDEX(I_COA!$C$6:$C$265,MATCH(D1730,I_COA!$A$6:$A$265,0)),"AKUN BARU"))</f>
        <v>Neraca</v>
      </c>
      <c r="L1730" s="34" t="str">
        <f aca="false">IF(K1730="LabaRugi",INDEX(I_COA!$D$6:$D$265,MATCH(D1730,I_COA!$A$6:$A$265,0)),"")</f>
        <v/>
      </c>
      <c r="M1730" s="34" t="str">
        <f aca="false">IF(K1730="Neraca",INDEX(I_COA!$E$6:$E$265,MATCH(D1730,I_COA!$A$6:$A$265,0)),"")</f>
        <v>Accrued Expenses - Third Parties</v>
      </c>
      <c r="N1730" s="34" t="str">
        <f aca="false">IF(D1730="","",IFERROR(INDEX(I_COA!$G$6:$G$265,MATCH(D1730,I_COA!$A$6:$A$265,0)),"N"))</f>
        <v>N</v>
      </c>
      <c r="O1730" s="11" t="n">
        <f aca="false">IF(N1730="N",ABS(J1730),"")</f>
        <v>333092240.08</v>
      </c>
      <c r="P1730" s="18" t="str">
        <f aca="false">IF(N1730="N",B1730&amp;"|"&amp;ROUND(O1730,0),"")</f>
        <v>PI26080084|333092240</v>
      </c>
      <c r="Q1730" s="18" t="str">
        <f aca="false">IF(N1730&lt;&gt;"Y","",IFERROR(INDEX($D$6:$D$4005,MATCH(B1730&amp;"|"&amp;ROUND(_xlfn.MAXIFS($O$6:$O$4005,$B$6:$B$4005,B1730,$N$6:$N$4005,"N"),0),$P$6:$P$4005,0)),"(tanpa lawan)"))</f>
        <v/>
      </c>
      <c r="R1730" s="44"/>
      <c r="S1730" s="9" t="str">
        <f aca="false">IF(N1730&lt;&gt;"Y","",IF(R1730&lt;&gt;"",R1730,IF(Q1730="(tanpa lawan)","Transfer antar rekening",IFERROR(INDEX(I_COA!$F$6:$F$265,MATCH(Q1730,I_COA!$A$6:$A$265,0)),"?"))))</f>
        <v/>
      </c>
    </row>
    <row r="1731" customFormat="false" ht="15" hidden="false" customHeight="false" outlineLevel="0" collapsed="false">
      <c r="A1731" s="37" t="n">
        <v>46259</v>
      </c>
      <c r="B1731" s="44" t="s">
        <v>1922</v>
      </c>
      <c r="C1731" s="44" t="s">
        <v>707</v>
      </c>
      <c r="D1731" s="44" t="n">
        <v>5100007</v>
      </c>
      <c r="E1731" s="44" t="s">
        <v>708</v>
      </c>
      <c r="F1731" s="44" t="s">
        <v>1913</v>
      </c>
      <c r="G1731" s="42"/>
      <c r="H1731" s="42" t="n">
        <v>25500000</v>
      </c>
      <c r="I1731" s="44" t="s">
        <v>597</v>
      </c>
      <c r="J1731" s="11" t="n">
        <f aca="false">IF(D1731="","",N(G1731)-N(H1731))</f>
        <v>-25500000</v>
      </c>
      <c r="K1731" s="34" t="str">
        <f aca="false">IF(D1731="","",IFERROR(INDEX(I_COA!$C$6:$C$265,MATCH(D1731,I_COA!$A$6:$A$265,0)),"AKUN BARU"))</f>
        <v>LabaRugi</v>
      </c>
      <c r="L1731" s="34" t="str">
        <f aca="false">IF(K1731="LabaRugi",INDEX(I_COA!$D$6:$D$265,MATCH(D1731,I_COA!$A$6:$A$265,0)),"")</f>
        <v>Other COGS - Expedition</v>
      </c>
      <c r="M1731" s="34" t="str">
        <f aca="false">IF(K1731="Neraca",INDEX(I_COA!$E$6:$E$265,MATCH(D1731,I_COA!$A$6:$A$265,0)),"")</f>
        <v/>
      </c>
      <c r="N1731" s="34" t="str">
        <f aca="false">IF(D1731="","",IFERROR(INDEX(I_COA!$G$6:$G$265,MATCH(D1731,I_COA!$A$6:$A$265,0)),"N"))</f>
        <v>N</v>
      </c>
      <c r="O1731" s="11" t="n">
        <f aca="false">IF(N1731="N",ABS(J1731),"")</f>
        <v>25500000</v>
      </c>
      <c r="P1731" s="18" t="str">
        <f aca="false">IF(N1731="N",B1731&amp;"|"&amp;ROUND(O1731,0),"")</f>
        <v>PI26080084|25500000</v>
      </c>
      <c r="Q1731" s="18" t="str">
        <f aca="false">IF(N1731&lt;&gt;"Y","",IFERROR(INDEX($D$6:$D$4005,MATCH(B1731&amp;"|"&amp;ROUND(_xlfn.MAXIFS($O$6:$O$4005,$B$6:$B$4005,B1731,$N$6:$N$4005,"N"),0),$P$6:$P$4005,0)),"(tanpa lawan)"))</f>
        <v/>
      </c>
      <c r="R1731" s="44"/>
      <c r="S1731" s="9" t="str">
        <f aca="false">IF(N1731&lt;&gt;"Y","",IF(R1731&lt;&gt;"",R1731,IF(Q1731="(tanpa lawan)","Transfer antar rekening",IFERROR(INDEX(I_COA!$F$6:$F$265,MATCH(Q1731,I_COA!$A$6:$A$265,0)),"?"))))</f>
        <v/>
      </c>
    </row>
    <row r="1732" customFormat="false" ht="15" hidden="false" customHeight="false" outlineLevel="0" collapsed="false">
      <c r="A1732" s="37" t="n">
        <v>46259</v>
      </c>
      <c r="B1732" s="44" t="s">
        <v>1922</v>
      </c>
      <c r="C1732" s="44" t="s">
        <v>707</v>
      </c>
      <c r="D1732" s="44" t="n">
        <v>5100006</v>
      </c>
      <c r="E1732" s="44" t="s">
        <v>950</v>
      </c>
      <c r="F1732" s="44" t="s">
        <v>1914</v>
      </c>
      <c r="G1732" s="42"/>
      <c r="H1732" s="42" t="n">
        <v>18666880</v>
      </c>
      <c r="I1732" s="44" t="s">
        <v>597</v>
      </c>
      <c r="J1732" s="11" t="n">
        <f aca="false">IF(D1732="","",N(G1732)-N(H1732))</f>
        <v>-18666880</v>
      </c>
      <c r="K1732" s="34" t="str">
        <f aca="false">IF(D1732="","",IFERROR(INDEX(I_COA!$C$6:$C$265,MATCH(D1732,I_COA!$A$6:$A$265,0)),"AKUN BARU"))</f>
        <v>LabaRugi</v>
      </c>
      <c r="L1732" s="34" t="str">
        <f aca="false">IF(K1732="LabaRugi",INDEX(I_COA!$D$6:$D$265,MATCH(D1732,I_COA!$A$6:$A$265,0)),"")</f>
        <v>COGS - Live Bird</v>
      </c>
      <c r="M1732" s="34" t="str">
        <f aca="false">IF(K1732="Neraca",INDEX(I_COA!$E$6:$E$265,MATCH(D1732,I_COA!$A$6:$A$265,0)),"")</f>
        <v/>
      </c>
      <c r="N1732" s="34" t="str">
        <f aca="false">IF(D1732="","",IFERROR(INDEX(I_COA!$G$6:$G$265,MATCH(D1732,I_COA!$A$6:$A$265,0)),"N"))</f>
        <v>N</v>
      </c>
      <c r="O1732" s="11" t="n">
        <f aca="false">IF(N1732="N",ABS(J1732),"")</f>
        <v>18666880</v>
      </c>
      <c r="P1732" s="18" t="str">
        <f aca="false">IF(N1732="N",B1732&amp;"|"&amp;ROUND(O1732,0),"")</f>
        <v>PI26080084|18666880</v>
      </c>
      <c r="Q1732" s="18" t="str">
        <f aca="false">IF(N1732&lt;&gt;"Y","",IFERROR(INDEX($D$6:$D$4005,MATCH(B1732&amp;"|"&amp;ROUND(_xlfn.MAXIFS($O$6:$O$4005,$B$6:$B$4005,B1732,$N$6:$N$4005,"N"),0),$P$6:$P$4005,0)),"(tanpa lawan)"))</f>
        <v/>
      </c>
      <c r="R1732" s="44"/>
      <c r="S1732" s="9" t="str">
        <f aca="false">IF(N1732&lt;&gt;"Y","",IF(R1732&lt;&gt;"",R1732,IF(Q1732="(tanpa lawan)","Transfer antar rekening",IFERROR(INDEX(I_COA!$F$6:$F$265,MATCH(Q1732,I_COA!$A$6:$A$265,0)),"?"))))</f>
        <v/>
      </c>
    </row>
    <row r="1733" customFormat="false" ht="15" hidden="false" customHeight="false" outlineLevel="0" collapsed="false">
      <c r="A1733" s="37" t="n">
        <v>46259</v>
      </c>
      <c r="B1733" s="44" t="s">
        <v>1922</v>
      </c>
      <c r="C1733" s="44" t="s">
        <v>707</v>
      </c>
      <c r="D1733" s="44" t="n">
        <v>7100008</v>
      </c>
      <c r="E1733" s="44" t="s">
        <v>952</v>
      </c>
      <c r="F1733" s="44" t="s">
        <v>1909</v>
      </c>
      <c r="G1733" s="42"/>
      <c r="H1733" s="42" t="n">
        <v>0.08</v>
      </c>
      <c r="I1733" s="44" t="s">
        <v>597</v>
      </c>
      <c r="J1733" s="11" t="n">
        <f aca="false">IF(D1733="","",N(G1733)-N(H1733))</f>
        <v>-0.08</v>
      </c>
      <c r="K1733" s="34" t="str">
        <f aca="false">IF(D1733="","",IFERROR(INDEX(I_COA!$C$6:$C$265,MATCH(D1733,I_COA!$A$6:$A$265,0)),"AKUN BARU"))</f>
        <v>LabaRugi</v>
      </c>
      <c r="L1733" s="34" t="str">
        <f aca="false">IF(K1733="LabaRugi",INDEX(I_COA!$D$6:$D$265,MATCH(D1733,I_COA!$A$6:$A$265,0)),"")</f>
        <v>Other Income</v>
      </c>
      <c r="M1733" s="34" t="str">
        <f aca="false">IF(K1733="Neraca",INDEX(I_COA!$E$6:$E$265,MATCH(D1733,I_COA!$A$6:$A$265,0)),"")</f>
        <v/>
      </c>
      <c r="N1733" s="34" t="str">
        <f aca="false">IF(D1733="","",IFERROR(INDEX(I_COA!$G$6:$G$265,MATCH(D1733,I_COA!$A$6:$A$265,0)),"N"))</f>
        <v>N</v>
      </c>
      <c r="O1733" s="11" t="n">
        <f aca="false">IF(N1733="N",ABS(J1733),"")</f>
        <v>0.08</v>
      </c>
      <c r="P1733" s="18" t="str">
        <f aca="false">IF(N1733="N",B1733&amp;"|"&amp;ROUND(O1733,0),"")</f>
        <v>PI26080084|0</v>
      </c>
      <c r="Q1733" s="18" t="str">
        <f aca="false">IF(N1733&lt;&gt;"Y","",IFERROR(INDEX($D$6:$D$4005,MATCH(B1733&amp;"|"&amp;ROUND(_xlfn.MAXIFS($O$6:$O$4005,$B$6:$B$4005,B1733,$N$6:$N$4005,"N"),0),$P$6:$P$4005,0)),"(tanpa lawan)"))</f>
        <v/>
      </c>
      <c r="R1733" s="44"/>
      <c r="S1733" s="9" t="str">
        <f aca="false">IF(N1733&lt;&gt;"Y","",IF(R1733&lt;&gt;"",R1733,IF(Q1733="(tanpa lawan)","Transfer antar rekening",IFERROR(INDEX(I_COA!$F$6:$F$265,MATCH(Q1733,I_COA!$A$6:$A$265,0)),"?"))))</f>
        <v/>
      </c>
    </row>
    <row r="1734" customFormat="false" ht="15" hidden="false" customHeight="false" outlineLevel="0" collapsed="false">
      <c r="A1734" s="37" t="n">
        <v>46259</v>
      </c>
      <c r="B1734" s="44" t="s">
        <v>1922</v>
      </c>
      <c r="C1734" s="44" t="s">
        <v>707</v>
      </c>
      <c r="D1734" s="44" t="n">
        <v>7200010</v>
      </c>
      <c r="E1734" s="44" t="s">
        <v>953</v>
      </c>
      <c r="F1734" s="44" t="s">
        <v>1923</v>
      </c>
      <c r="G1734" s="42" t="n">
        <v>722313</v>
      </c>
      <c r="H1734" s="42"/>
      <c r="I1734" s="44" t="s">
        <v>597</v>
      </c>
      <c r="J1734" s="11" t="n">
        <f aca="false">IF(D1734="","",N(G1734)-N(H1734))</f>
        <v>722313</v>
      </c>
      <c r="K1734" s="34" t="str">
        <f aca="false">IF(D1734="","",IFERROR(INDEX(I_COA!$C$6:$C$265,MATCH(D1734,I_COA!$A$6:$A$265,0)),"AKUN BARU"))</f>
        <v>LabaRugi</v>
      </c>
      <c r="L1734" s="34" t="str">
        <f aca="false">IF(K1734="LabaRugi",INDEX(I_COA!$D$6:$D$265,MATCH(D1734,I_COA!$A$6:$A$265,0)),"")</f>
        <v>Tax expenses</v>
      </c>
      <c r="M1734" s="34" t="str">
        <f aca="false">IF(K1734="Neraca",INDEX(I_COA!$E$6:$E$265,MATCH(D1734,I_COA!$A$6:$A$265,0)),"")</f>
        <v/>
      </c>
      <c r="N1734" s="34" t="str">
        <f aca="false">IF(D1734="","",IFERROR(INDEX(I_COA!$G$6:$G$265,MATCH(D1734,I_COA!$A$6:$A$265,0)),"N"))</f>
        <v>N</v>
      </c>
      <c r="O1734" s="11" t="n">
        <f aca="false">IF(N1734="N",ABS(J1734),"")</f>
        <v>722313</v>
      </c>
      <c r="P1734" s="18" t="str">
        <f aca="false">IF(N1734="N",B1734&amp;"|"&amp;ROUND(O1734,0),"")</f>
        <v>PI26080084|722313</v>
      </c>
      <c r="Q1734" s="18" t="str">
        <f aca="false">IF(N1734&lt;&gt;"Y","",IFERROR(INDEX($D$6:$D$4005,MATCH(B1734&amp;"|"&amp;ROUND(_xlfn.MAXIFS($O$6:$O$4005,$B$6:$B$4005,B1734,$N$6:$N$4005,"N"),0),$P$6:$P$4005,0)),"(tanpa lawan)"))</f>
        <v/>
      </c>
      <c r="R1734" s="44"/>
      <c r="S1734" s="9" t="str">
        <f aca="false">IF(N1734&lt;&gt;"Y","",IF(R1734&lt;&gt;"",R1734,IF(Q1734="(tanpa lawan)","Transfer antar rekening",IFERROR(INDEX(I_COA!$F$6:$F$265,MATCH(Q1734,I_COA!$A$6:$A$265,0)),"?"))))</f>
        <v/>
      </c>
    </row>
    <row r="1735" customFormat="false" ht="15" hidden="false" customHeight="false" outlineLevel="0" collapsed="false">
      <c r="A1735" s="37" t="n">
        <v>46259</v>
      </c>
      <c r="B1735" s="44" t="s">
        <v>1922</v>
      </c>
      <c r="C1735" s="44" t="s">
        <v>707</v>
      </c>
      <c r="D1735" s="44" t="n">
        <v>2102007</v>
      </c>
      <c r="E1735" s="44" t="s">
        <v>955</v>
      </c>
      <c r="F1735" s="44" t="s">
        <v>1923</v>
      </c>
      <c r="G1735" s="42"/>
      <c r="H1735" s="42" t="n">
        <v>722313</v>
      </c>
      <c r="I1735" s="44" t="s">
        <v>597</v>
      </c>
      <c r="J1735" s="11" t="n">
        <f aca="false">IF(D1735="","",N(G1735)-N(H1735))</f>
        <v>-722313</v>
      </c>
      <c r="K1735" s="34" t="str">
        <f aca="false">IF(D1735="","",IFERROR(INDEX(I_COA!$C$6:$C$265,MATCH(D1735,I_COA!$A$6:$A$265,0)),"AKUN BARU"))</f>
        <v>Neraca</v>
      </c>
      <c r="L1735" s="34" t="str">
        <f aca="false">IF(K1735="LabaRugi",INDEX(I_COA!$D$6:$D$265,MATCH(D1735,I_COA!$A$6:$A$265,0)),"")</f>
        <v/>
      </c>
      <c r="M1735" s="34" t="str">
        <f aca="false">IF(K1735="Neraca",INDEX(I_COA!$E$6:$E$265,MATCH(D1735,I_COA!$A$6:$A$265,0)),"")</f>
        <v>Taxes Payable</v>
      </c>
      <c r="N1735" s="34" t="str">
        <f aca="false">IF(D1735="","",IFERROR(INDEX(I_COA!$G$6:$G$265,MATCH(D1735,I_COA!$A$6:$A$265,0)),"N"))</f>
        <v>N</v>
      </c>
      <c r="O1735" s="11" t="n">
        <f aca="false">IF(N1735="N",ABS(J1735),"")</f>
        <v>722313</v>
      </c>
      <c r="P1735" s="18" t="str">
        <f aca="false">IF(N1735="N",B1735&amp;"|"&amp;ROUND(O1735,0),"")</f>
        <v>PI26080084|722313</v>
      </c>
      <c r="Q1735" s="18" t="str">
        <f aca="false">IF(N1735&lt;&gt;"Y","",IFERROR(INDEX($D$6:$D$4005,MATCH(B1735&amp;"|"&amp;ROUND(_xlfn.MAXIFS($O$6:$O$4005,$B$6:$B$4005,B1735,$N$6:$N$4005,"N"),0),$P$6:$P$4005,0)),"(tanpa lawan)"))</f>
        <v/>
      </c>
      <c r="R1735" s="44"/>
      <c r="S1735" s="9" t="str">
        <f aca="false">IF(N1735&lt;&gt;"Y","",IF(R1735&lt;&gt;"",R1735,IF(Q1735="(tanpa lawan)","Transfer antar rekening",IFERROR(INDEX(I_COA!$F$6:$F$265,MATCH(Q1735,I_COA!$A$6:$A$265,0)),"?"))))</f>
        <v/>
      </c>
    </row>
    <row r="1736" customFormat="false" ht="15" hidden="false" customHeight="false" outlineLevel="0" collapsed="false">
      <c r="A1736" s="37" t="n">
        <v>46259</v>
      </c>
      <c r="B1736" s="44" t="s">
        <v>1922</v>
      </c>
      <c r="C1736" s="44" t="s">
        <v>707</v>
      </c>
      <c r="D1736" s="44" t="n">
        <v>2101001</v>
      </c>
      <c r="E1736" s="44" t="s">
        <v>595</v>
      </c>
      <c r="F1736" s="44" t="s">
        <v>1909</v>
      </c>
      <c r="G1736" s="42"/>
      <c r="H1736" s="42" t="n">
        <v>288925360</v>
      </c>
      <c r="I1736" s="44" t="s">
        <v>597</v>
      </c>
      <c r="J1736" s="11" t="n">
        <f aca="false">IF(D1736="","",N(G1736)-N(H1736))</f>
        <v>-288925360</v>
      </c>
      <c r="K1736" s="34" t="str">
        <f aca="false">IF(D1736="","",IFERROR(INDEX(I_COA!$C$6:$C$265,MATCH(D1736,I_COA!$A$6:$A$265,0)),"AKUN BARU"))</f>
        <v>Neraca</v>
      </c>
      <c r="L1736" s="34" t="str">
        <f aca="false">IF(K1736="LabaRugi",INDEX(I_COA!$D$6:$D$265,MATCH(D1736,I_COA!$A$6:$A$265,0)),"")</f>
        <v/>
      </c>
      <c r="M1736" s="34" t="str">
        <f aca="false">IF(K1736="Neraca",INDEX(I_COA!$E$6:$E$265,MATCH(D1736,I_COA!$A$6:$A$265,0)),"")</f>
        <v>Trade Payables - Third Parties</v>
      </c>
      <c r="N1736" s="34" t="str">
        <f aca="false">IF(D1736="","",IFERROR(INDEX(I_COA!$G$6:$G$265,MATCH(D1736,I_COA!$A$6:$A$265,0)),"N"))</f>
        <v>N</v>
      </c>
      <c r="O1736" s="11" t="n">
        <f aca="false">IF(N1736="N",ABS(J1736),"")</f>
        <v>288925360</v>
      </c>
      <c r="P1736" s="18" t="str">
        <f aca="false">IF(N1736="N",B1736&amp;"|"&amp;ROUND(O1736,0),"")</f>
        <v>PI26080084|288925360</v>
      </c>
      <c r="Q1736" s="18" t="str">
        <f aca="false">IF(N1736&lt;&gt;"Y","",IFERROR(INDEX($D$6:$D$4005,MATCH(B1736&amp;"|"&amp;ROUND(_xlfn.MAXIFS($O$6:$O$4005,$B$6:$B$4005,B1736,$N$6:$N$4005,"N"),0),$P$6:$P$4005,0)),"(tanpa lawan)"))</f>
        <v/>
      </c>
      <c r="R1736" s="44"/>
      <c r="S1736" s="9" t="str">
        <f aca="false">IF(N1736&lt;&gt;"Y","",IF(R1736&lt;&gt;"",R1736,IF(Q1736="(tanpa lawan)","Transfer antar rekening",IFERROR(INDEX(I_COA!$F$6:$F$265,MATCH(Q1736,I_COA!$A$6:$A$265,0)),"?"))))</f>
        <v/>
      </c>
    </row>
    <row r="1737" customFormat="false" ht="15" hidden="false" customHeight="false" outlineLevel="0" collapsed="false">
      <c r="A1737" s="37" t="n">
        <v>46260</v>
      </c>
      <c r="B1737" s="44" t="s">
        <v>1924</v>
      </c>
      <c r="C1737" s="44" t="s">
        <v>585</v>
      </c>
      <c r="D1737" s="44" t="n">
        <v>1102001</v>
      </c>
      <c r="E1737" s="44" t="s">
        <v>586</v>
      </c>
      <c r="F1737" s="44" t="s">
        <v>1925</v>
      </c>
      <c r="G1737" s="42" t="n">
        <v>50380000</v>
      </c>
      <c r="H1737" s="42"/>
      <c r="I1737" s="44" t="s">
        <v>437</v>
      </c>
      <c r="J1737" s="11" t="n">
        <f aca="false">IF(D1737="","",N(G1737)-N(H1737))</f>
        <v>50380000</v>
      </c>
      <c r="K1737" s="34" t="str">
        <f aca="false">IF(D1737="","",IFERROR(INDEX(I_COA!$C$6:$C$265,MATCH(D1737,I_COA!$A$6:$A$265,0)),"AKUN BARU"))</f>
        <v>Neraca</v>
      </c>
      <c r="L1737" s="34" t="str">
        <f aca="false">IF(K1737="LabaRugi",INDEX(I_COA!$D$6:$D$265,MATCH(D1737,I_COA!$A$6:$A$265,0)),"")</f>
        <v/>
      </c>
      <c r="M1737" s="34" t="str">
        <f aca="false">IF(K1737="Neraca",INDEX(I_COA!$E$6:$E$265,MATCH(D1737,I_COA!$A$6:$A$265,0)),"")</f>
        <v>Cash and cash equivalents</v>
      </c>
      <c r="N1737" s="34" t="str">
        <f aca="false">IF(D1737="","",IFERROR(INDEX(I_COA!$G$6:$G$265,MATCH(D1737,I_COA!$A$6:$A$265,0)),"N"))</f>
        <v>Y</v>
      </c>
      <c r="O1737" s="11" t="str">
        <f aca="false">IF(N1737="N",ABS(J1737),"")</f>
        <v/>
      </c>
      <c r="P1737" s="18" t="str">
        <f aca="false">IF(N1737="N",B1737&amp;"|"&amp;ROUND(O1737,0),"")</f>
        <v/>
      </c>
      <c r="Q1737" s="18" t="n">
        <f aca="false">IF(N1737&lt;&gt;"Y","",IFERROR(INDEX($D$6:$D$4005,MATCH(B1737&amp;"|"&amp;ROUND(_xlfn.MAXIFS($O$6:$O$4005,$B$6:$B$4005,B1737,$N$6:$N$4005,"N"),0),$P$6:$P$4005,0)),"(tanpa lawan)"))</f>
        <v>1103101</v>
      </c>
      <c r="R1737" s="44"/>
      <c r="S1737" s="9" t="str">
        <f aca="false">IF(N1737&lt;&gt;"Y","",IF(R1737&lt;&gt;"",R1737,IF(Q1737="(tanpa lawan)","Transfer antar rekening",IFERROR(INDEX(I_COA!$F$6:$F$265,MATCH(Q1737,I_COA!$A$6:$A$265,0)),"?"))))</f>
        <v>Penerimaan dari pelanggan</v>
      </c>
    </row>
    <row r="1738" customFormat="false" ht="15" hidden="false" customHeight="false" outlineLevel="0" collapsed="false">
      <c r="A1738" s="37" t="n">
        <v>46260</v>
      </c>
      <c r="B1738" s="44" t="s">
        <v>1924</v>
      </c>
      <c r="C1738" s="44" t="s">
        <v>585</v>
      </c>
      <c r="D1738" s="44" t="n">
        <v>1103101</v>
      </c>
      <c r="E1738" s="44" t="s">
        <v>589</v>
      </c>
      <c r="F1738" s="44" t="s">
        <v>1925</v>
      </c>
      <c r="G1738" s="42"/>
      <c r="H1738" s="42" t="n">
        <v>50380000</v>
      </c>
      <c r="I1738" s="44" t="s">
        <v>437</v>
      </c>
      <c r="J1738" s="11" t="n">
        <f aca="false">IF(D1738="","",N(G1738)-N(H1738))</f>
        <v>-50380000</v>
      </c>
      <c r="K1738" s="34" t="str">
        <f aca="false">IF(D1738="","",IFERROR(INDEX(I_COA!$C$6:$C$265,MATCH(D1738,I_COA!$A$6:$A$265,0)),"AKUN BARU"))</f>
        <v>Neraca</v>
      </c>
      <c r="L1738" s="34" t="str">
        <f aca="false">IF(K1738="LabaRugi",INDEX(I_COA!$D$6:$D$265,MATCH(D1738,I_COA!$A$6:$A$265,0)),"")</f>
        <v/>
      </c>
      <c r="M1738" s="34" t="str">
        <f aca="false">IF(K1738="Neraca",INDEX(I_COA!$E$6:$E$265,MATCH(D1738,I_COA!$A$6:$A$265,0)),"")</f>
        <v>Trade Receivables - Third Parties</v>
      </c>
      <c r="N1738" s="34" t="str">
        <f aca="false">IF(D1738="","",IFERROR(INDEX(I_COA!$G$6:$G$265,MATCH(D1738,I_COA!$A$6:$A$265,0)),"N"))</f>
        <v>N</v>
      </c>
      <c r="O1738" s="11" t="n">
        <f aca="false">IF(N1738="N",ABS(J1738),"")</f>
        <v>50380000</v>
      </c>
      <c r="P1738" s="18" t="str">
        <f aca="false">IF(N1738="N",B1738&amp;"|"&amp;ROUND(O1738,0),"")</f>
        <v>B7626080113|50380000</v>
      </c>
      <c r="Q1738" s="18" t="str">
        <f aca="false">IF(N1738&lt;&gt;"Y","",IFERROR(INDEX($D$6:$D$4005,MATCH(B1738&amp;"|"&amp;ROUND(_xlfn.MAXIFS($O$6:$O$4005,$B$6:$B$4005,B1738,$N$6:$N$4005,"N"),0),$P$6:$P$4005,0)),"(tanpa lawan)"))</f>
        <v/>
      </c>
      <c r="R1738" s="44"/>
      <c r="S1738" s="9" t="str">
        <f aca="false">IF(N1738&lt;&gt;"Y","",IF(R1738&lt;&gt;"",R1738,IF(Q1738="(tanpa lawan)","Transfer antar rekening",IFERROR(INDEX(I_COA!$F$6:$F$265,MATCH(Q1738,I_COA!$A$6:$A$265,0)),"?"))))</f>
        <v/>
      </c>
    </row>
    <row r="1739" customFormat="false" ht="15" hidden="false" customHeight="false" outlineLevel="0" collapsed="false">
      <c r="A1739" s="37" t="n">
        <v>46260</v>
      </c>
      <c r="B1739" s="44" t="s">
        <v>1926</v>
      </c>
      <c r="C1739" s="44" t="s">
        <v>585</v>
      </c>
      <c r="D1739" s="44" t="n">
        <v>1102001</v>
      </c>
      <c r="E1739" s="44" t="s">
        <v>586</v>
      </c>
      <c r="F1739" s="44" t="s">
        <v>1927</v>
      </c>
      <c r="G1739" s="42" t="n">
        <v>35100400</v>
      </c>
      <c r="H1739" s="42"/>
      <c r="I1739" s="44" t="s">
        <v>432</v>
      </c>
      <c r="J1739" s="11" t="n">
        <f aca="false">IF(D1739="","",N(G1739)-N(H1739))</f>
        <v>35100400</v>
      </c>
      <c r="K1739" s="34" t="str">
        <f aca="false">IF(D1739="","",IFERROR(INDEX(I_COA!$C$6:$C$265,MATCH(D1739,I_COA!$A$6:$A$265,0)),"AKUN BARU"))</f>
        <v>Neraca</v>
      </c>
      <c r="L1739" s="34" t="str">
        <f aca="false">IF(K1739="LabaRugi",INDEX(I_COA!$D$6:$D$265,MATCH(D1739,I_COA!$A$6:$A$265,0)),"")</f>
        <v/>
      </c>
      <c r="M1739" s="34" t="str">
        <f aca="false">IF(K1739="Neraca",INDEX(I_COA!$E$6:$E$265,MATCH(D1739,I_COA!$A$6:$A$265,0)),"")</f>
        <v>Cash and cash equivalents</v>
      </c>
      <c r="N1739" s="34" t="str">
        <f aca="false">IF(D1739="","",IFERROR(INDEX(I_COA!$G$6:$G$265,MATCH(D1739,I_COA!$A$6:$A$265,0)),"N"))</f>
        <v>Y</v>
      </c>
      <c r="O1739" s="11" t="str">
        <f aca="false">IF(N1739="N",ABS(J1739),"")</f>
        <v/>
      </c>
      <c r="P1739" s="18" t="str">
        <f aca="false">IF(N1739="N",B1739&amp;"|"&amp;ROUND(O1739,0),"")</f>
        <v/>
      </c>
      <c r="Q1739" s="18" t="n">
        <f aca="false">IF(N1739&lt;&gt;"Y","",IFERROR(INDEX($D$6:$D$4005,MATCH(B1739&amp;"|"&amp;ROUND(_xlfn.MAXIFS($O$6:$O$4005,$B$6:$B$4005,B1739,$N$6:$N$4005,"N"),0),$P$6:$P$4005,0)),"(tanpa lawan)"))</f>
        <v>1103101</v>
      </c>
      <c r="R1739" s="44"/>
      <c r="S1739" s="9" t="str">
        <f aca="false">IF(N1739&lt;&gt;"Y","",IF(R1739&lt;&gt;"",R1739,IF(Q1739="(tanpa lawan)","Transfer antar rekening",IFERROR(INDEX(I_COA!$F$6:$F$265,MATCH(Q1739,I_COA!$A$6:$A$265,0)),"?"))))</f>
        <v>Penerimaan dari pelanggan</v>
      </c>
    </row>
    <row r="1740" customFormat="false" ht="15" hidden="false" customHeight="false" outlineLevel="0" collapsed="false">
      <c r="A1740" s="37" t="n">
        <v>46260</v>
      </c>
      <c r="B1740" s="44" t="s">
        <v>1926</v>
      </c>
      <c r="C1740" s="44" t="s">
        <v>585</v>
      </c>
      <c r="D1740" s="44" t="n">
        <v>2101020</v>
      </c>
      <c r="E1740" s="44" t="s">
        <v>653</v>
      </c>
      <c r="F1740" s="44" t="s">
        <v>1927</v>
      </c>
      <c r="G1740" s="42"/>
      <c r="H1740" s="42" t="n">
        <v>808000</v>
      </c>
      <c r="I1740" s="44" t="s">
        <v>432</v>
      </c>
      <c r="J1740" s="11" t="n">
        <f aca="false">IF(D1740="","",N(G1740)-N(H1740))</f>
        <v>-808000</v>
      </c>
      <c r="K1740" s="34" t="str">
        <f aca="false">IF(D1740="","",IFERROR(INDEX(I_COA!$C$6:$C$265,MATCH(D1740,I_COA!$A$6:$A$265,0)),"AKUN BARU"))</f>
        <v>Neraca</v>
      </c>
      <c r="L1740" s="34" t="str">
        <f aca="false">IF(K1740="LabaRugi",INDEX(I_COA!$D$6:$D$265,MATCH(D1740,I_COA!$A$6:$A$265,0)),"")</f>
        <v/>
      </c>
      <c r="M1740" s="34" t="str">
        <f aca="false">IF(K1740="Neraca",INDEX(I_COA!$E$6:$E$265,MATCH(D1740,I_COA!$A$6:$A$265,0)),"")</f>
        <v>Unearned Revenue</v>
      </c>
      <c r="N1740" s="34" t="str">
        <f aca="false">IF(D1740="","",IFERROR(INDEX(I_COA!$G$6:$G$265,MATCH(D1740,I_COA!$A$6:$A$265,0)),"N"))</f>
        <v>N</v>
      </c>
      <c r="O1740" s="11" t="n">
        <f aca="false">IF(N1740="N",ABS(J1740),"")</f>
        <v>808000</v>
      </c>
      <c r="P1740" s="18" t="str">
        <f aca="false">IF(N1740="N",B1740&amp;"|"&amp;ROUND(O1740,0),"")</f>
        <v>B7626080114|808000</v>
      </c>
      <c r="Q1740" s="18" t="str">
        <f aca="false">IF(N1740&lt;&gt;"Y","",IFERROR(INDEX($D$6:$D$4005,MATCH(B1740&amp;"|"&amp;ROUND(_xlfn.MAXIFS($O$6:$O$4005,$B$6:$B$4005,B1740,$N$6:$N$4005,"N"),0),$P$6:$P$4005,0)),"(tanpa lawan)"))</f>
        <v/>
      </c>
      <c r="R1740" s="44"/>
      <c r="S1740" s="9" t="str">
        <f aca="false">IF(N1740&lt;&gt;"Y","",IF(R1740&lt;&gt;"",R1740,IF(Q1740="(tanpa lawan)","Transfer antar rekening",IFERROR(INDEX(I_COA!$F$6:$F$265,MATCH(Q1740,I_COA!$A$6:$A$265,0)),"?"))))</f>
        <v/>
      </c>
    </row>
    <row r="1741" customFormat="false" ht="15" hidden="false" customHeight="false" outlineLevel="0" collapsed="false">
      <c r="A1741" s="37" t="n">
        <v>46260</v>
      </c>
      <c r="B1741" s="44" t="s">
        <v>1926</v>
      </c>
      <c r="C1741" s="44" t="s">
        <v>585</v>
      </c>
      <c r="D1741" s="44" t="n">
        <v>1103101</v>
      </c>
      <c r="E1741" s="44" t="s">
        <v>589</v>
      </c>
      <c r="F1741" s="44" t="s">
        <v>1927</v>
      </c>
      <c r="G1741" s="42"/>
      <c r="H1741" s="42" t="n">
        <v>34292400</v>
      </c>
      <c r="I1741" s="44" t="s">
        <v>432</v>
      </c>
      <c r="J1741" s="11" t="n">
        <f aca="false">IF(D1741="","",N(G1741)-N(H1741))</f>
        <v>-34292400</v>
      </c>
      <c r="K1741" s="34" t="str">
        <f aca="false">IF(D1741="","",IFERROR(INDEX(I_COA!$C$6:$C$265,MATCH(D1741,I_COA!$A$6:$A$265,0)),"AKUN BARU"))</f>
        <v>Neraca</v>
      </c>
      <c r="L1741" s="34" t="str">
        <f aca="false">IF(K1741="LabaRugi",INDEX(I_COA!$D$6:$D$265,MATCH(D1741,I_COA!$A$6:$A$265,0)),"")</f>
        <v/>
      </c>
      <c r="M1741" s="34" t="str">
        <f aca="false">IF(K1741="Neraca",INDEX(I_COA!$E$6:$E$265,MATCH(D1741,I_COA!$A$6:$A$265,0)),"")</f>
        <v>Trade Receivables - Third Parties</v>
      </c>
      <c r="N1741" s="34" t="str">
        <f aca="false">IF(D1741="","",IFERROR(INDEX(I_COA!$G$6:$G$265,MATCH(D1741,I_COA!$A$6:$A$265,0)),"N"))</f>
        <v>N</v>
      </c>
      <c r="O1741" s="11" t="n">
        <f aca="false">IF(N1741="N",ABS(J1741),"")</f>
        <v>34292400</v>
      </c>
      <c r="P1741" s="18" t="str">
        <f aca="false">IF(N1741="N",B1741&amp;"|"&amp;ROUND(O1741,0),"")</f>
        <v>B7626080114|34292400</v>
      </c>
      <c r="Q1741" s="18" t="str">
        <f aca="false">IF(N1741&lt;&gt;"Y","",IFERROR(INDEX($D$6:$D$4005,MATCH(B1741&amp;"|"&amp;ROUND(_xlfn.MAXIFS($O$6:$O$4005,$B$6:$B$4005,B1741,$N$6:$N$4005,"N"),0),$P$6:$P$4005,0)),"(tanpa lawan)"))</f>
        <v/>
      </c>
      <c r="R1741" s="44"/>
      <c r="S1741" s="9" t="str">
        <f aca="false">IF(N1741&lt;&gt;"Y","",IF(R1741&lt;&gt;"",R1741,IF(Q1741="(tanpa lawan)","Transfer antar rekening",IFERROR(INDEX(I_COA!$F$6:$F$265,MATCH(Q1741,I_COA!$A$6:$A$265,0)),"?"))))</f>
        <v/>
      </c>
    </row>
    <row r="1742" customFormat="false" ht="15" hidden="false" customHeight="false" outlineLevel="0" collapsed="false">
      <c r="A1742" s="37" t="n">
        <v>46260</v>
      </c>
      <c r="B1742" s="44" t="s">
        <v>1928</v>
      </c>
      <c r="C1742" s="44" t="s">
        <v>580</v>
      </c>
      <c r="D1742" s="44" t="n">
        <v>1102001</v>
      </c>
      <c r="E1742" s="44" t="s">
        <v>586</v>
      </c>
      <c r="F1742" s="44" t="s">
        <v>1929</v>
      </c>
      <c r="G1742" s="42" t="n">
        <v>1200000000</v>
      </c>
      <c r="H1742" s="42"/>
      <c r="I1742" s="44"/>
      <c r="J1742" s="11" t="n">
        <f aca="false">IF(D1742="","",N(G1742)-N(H1742))</f>
        <v>1200000000</v>
      </c>
      <c r="K1742" s="34" t="str">
        <f aca="false">IF(D1742="","",IFERROR(INDEX(I_COA!$C$6:$C$265,MATCH(D1742,I_COA!$A$6:$A$265,0)),"AKUN BARU"))</f>
        <v>Neraca</v>
      </c>
      <c r="L1742" s="34" t="str">
        <f aca="false">IF(K1742="LabaRugi",INDEX(I_COA!$D$6:$D$265,MATCH(D1742,I_COA!$A$6:$A$265,0)),"")</f>
        <v/>
      </c>
      <c r="M1742" s="34" t="str">
        <f aca="false">IF(K1742="Neraca",INDEX(I_COA!$E$6:$E$265,MATCH(D1742,I_COA!$A$6:$A$265,0)),"")</f>
        <v>Cash and cash equivalents</v>
      </c>
      <c r="N1742" s="34" t="str">
        <f aca="false">IF(D1742="","",IFERROR(INDEX(I_COA!$G$6:$G$265,MATCH(D1742,I_COA!$A$6:$A$265,0)),"N"))</f>
        <v>Y</v>
      </c>
      <c r="O1742" s="11" t="str">
        <f aca="false">IF(N1742="N",ABS(J1742),"")</f>
        <v/>
      </c>
      <c r="P1742" s="18" t="str">
        <f aca="false">IF(N1742="N",B1742&amp;"|"&amp;ROUND(O1742,0),"")</f>
        <v/>
      </c>
      <c r="Q1742" s="18" t="n">
        <f aca="false">IF(N1742&lt;&gt;"Y","",IFERROR(INDEX($D$6:$D$4005,MATCH(B1742&amp;"|"&amp;ROUND(_xlfn.MAXIFS($O$6:$O$4005,$B$6:$B$4005,B1742,$N$6:$N$4005,"N"),0),$P$6:$P$4005,0)),"(tanpa lawan)"))</f>
        <v>910004</v>
      </c>
      <c r="R1742" s="44"/>
      <c r="S1742" s="9" t="str">
        <f aca="false">IF(N1742&lt;&gt;"Y","",IF(R1742&lt;&gt;"",R1742,IF(Q1742="(tanpa lawan)","Transfer antar rekening",IFERROR(INDEX(I_COA!$F$6:$F$265,MATCH(Q1742,I_COA!$A$6:$A$265,0)),"?"))))</f>
        <v>Pinjaman afiliasi (net)</v>
      </c>
    </row>
    <row r="1743" customFormat="false" ht="15" hidden="false" customHeight="false" outlineLevel="0" collapsed="false">
      <c r="A1743" s="37" t="n">
        <v>46260</v>
      </c>
      <c r="B1743" s="44" t="s">
        <v>1928</v>
      </c>
      <c r="C1743" s="44" t="s">
        <v>580</v>
      </c>
      <c r="D1743" s="44" t="n">
        <v>910004</v>
      </c>
      <c r="E1743" s="44" t="s">
        <v>781</v>
      </c>
      <c r="F1743" s="44" t="s">
        <v>1929</v>
      </c>
      <c r="G1743" s="42"/>
      <c r="H1743" s="42" t="n">
        <v>1200000000</v>
      </c>
      <c r="I1743" s="44"/>
      <c r="J1743" s="11" t="n">
        <f aca="false">IF(D1743="","",N(G1743)-N(H1743))</f>
        <v>-1200000000</v>
      </c>
      <c r="K1743" s="34" t="str">
        <f aca="false">IF(D1743="","",IFERROR(INDEX(I_COA!$C$6:$C$265,MATCH(D1743,I_COA!$A$6:$A$265,0)),"AKUN BARU"))</f>
        <v>Neraca</v>
      </c>
      <c r="L1743" s="34" t="str">
        <f aca="false">IF(K1743="LabaRugi",INDEX(I_COA!$D$6:$D$265,MATCH(D1743,I_COA!$A$6:$A$265,0)),"")</f>
        <v/>
      </c>
      <c r="M1743" s="34" t="str">
        <f aca="false">IF(K1743="Neraca",INDEX(I_COA!$E$6:$E$265,MATCH(D1743,I_COA!$A$6:$A$265,0)),"")</f>
        <v>Temporary account (to reclassify)</v>
      </c>
      <c r="N1743" s="34" t="str">
        <f aca="false">IF(D1743="","",IFERROR(INDEX(I_COA!$G$6:$G$265,MATCH(D1743,I_COA!$A$6:$A$265,0)),"N"))</f>
        <v>N</v>
      </c>
      <c r="O1743" s="11" t="n">
        <f aca="false">IF(N1743="N",ABS(J1743),"")</f>
        <v>1200000000</v>
      </c>
      <c r="P1743" s="18" t="str">
        <f aca="false">IF(N1743="N",B1743&amp;"|"&amp;ROUND(O1743,0),"")</f>
        <v>B762608112|1200000000</v>
      </c>
      <c r="Q1743" s="18" t="str">
        <f aca="false">IF(N1743&lt;&gt;"Y","",IFERROR(INDEX($D$6:$D$4005,MATCH(B1743&amp;"|"&amp;ROUND(_xlfn.MAXIFS($O$6:$O$4005,$B$6:$B$4005,B1743,$N$6:$N$4005,"N"),0),$P$6:$P$4005,0)),"(tanpa lawan)"))</f>
        <v/>
      </c>
      <c r="R1743" s="44"/>
      <c r="S1743" s="9" t="str">
        <f aca="false">IF(N1743&lt;&gt;"Y","",IF(R1743&lt;&gt;"",R1743,IF(Q1743="(tanpa lawan)","Transfer antar rekening",IFERROR(INDEX(I_COA!$F$6:$F$265,MATCH(Q1743,I_COA!$A$6:$A$265,0)),"?"))))</f>
        <v/>
      </c>
    </row>
    <row r="1744" customFormat="false" ht="15" hidden="false" customHeight="false" outlineLevel="0" collapsed="false">
      <c r="A1744" s="37" t="n">
        <v>46260</v>
      </c>
      <c r="B1744" s="44" t="s">
        <v>1930</v>
      </c>
      <c r="C1744" s="44" t="s">
        <v>580</v>
      </c>
      <c r="D1744" s="44" t="n">
        <v>1102008</v>
      </c>
      <c r="E1744" s="44" t="s">
        <v>781</v>
      </c>
      <c r="F1744" s="44" t="s">
        <v>782</v>
      </c>
      <c r="G1744" s="42" t="n">
        <v>1700000000</v>
      </c>
      <c r="H1744" s="42"/>
      <c r="I1744" s="44"/>
      <c r="J1744" s="11" t="n">
        <f aca="false">IF(D1744="","",N(G1744)-N(H1744))</f>
        <v>1700000000</v>
      </c>
      <c r="K1744" s="34" t="str">
        <f aca="false">IF(D1744="","",IFERROR(INDEX(I_COA!$C$6:$C$265,MATCH(D1744,I_COA!$A$6:$A$265,0)),"AKUN BARU"))</f>
        <v>Neraca</v>
      </c>
      <c r="L1744" s="34" t="str">
        <f aca="false">IF(K1744="LabaRugi",INDEX(I_COA!$D$6:$D$265,MATCH(D1744,I_COA!$A$6:$A$265,0)),"")</f>
        <v/>
      </c>
      <c r="M1744" s="34" t="str">
        <f aca="false">IF(K1744="Neraca",INDEX(I_COA!$E$6:$E$265,MATCH(D1744,I_COA!$A$6:$A$265,0)),"")</f>
        <v>Advance Payment</v>
      </c>
      <c r="N1744" s="34" t="str">
        <f aca="false">IF(D1744="","",IFERROR(INDEX(I_COA!$G$6:$G$265,MATCH(D1744,I_COA!$A$6:$A$265,0)),"N"))</f>
        <v>N</v>
      </c>
      <c r="O1744" s="11" t="n">
        <f aca="false">IF(N1744="N",ABS(J1744),"")</f>
        <v>1700000000</v>
      </c>
      <c r="P1744" s="18" t="str">
        <f aca="false">IF(N1744="N",B1744&amp;"|"&amp;ROUND(O1744,0),"")</f>
        <v>B7726080014|1700000000</v>
      </c>
      <c r="Q1744" s="18" t="str">
        <f aca="false">IF(N1744&lt;&gt;"Y","",IFERROR(INDEX($D$6:$D$4005,MATCH(B1744&amp;"|"&amp;ROUND(_xlfn.MAXIFS($O$6:$O$4005,$B$6:$B$4005,B1744,$N$6:$N$4005,"N"),0),$P$6:$P$4005,0)),"(tanpa lawan)"))</f>
        <v/>
      </c>
      <c r="R1744" s="44"/>
      <c r="S1744" s="9" t="str">
        <f aca="false">IF(N1744&lt;&gt;"Y","",IF(R1744&lt;&gt;"",R1744,IF(Q1744="(tanpa lawan)","Transfer antar rekening",IFERROR(INDEX(I_COA!$F$6:$F$265,MATCH(Q1744,I_COA!$A$6:$A$265,0)),"?"))))</f>
        <v/>
      </c>
    </row>
    <row r="1745" customFormat="false" ht="15" hidden="false" customHeight="false" outlineLevel="0" collapsed="false">
      <c r="A1745" s="37" t="n">
        <v>46260</v>
      </c>
      <c r="B1745" s="44" t="s">
        <v>1930</v>
      </c>
      <c r="C1745" s="44" t="s">
        <v>580</v>
      </c>
      <c r="D1745" s="44" t="n">
        <v>1102001</v>
      </c>
      <c r="E1745" s="44" t="s">
        <v>586</v>
      </c>
      <c r="F1745" s="44" t="s">
        <v>782</v>
      </c>
      <c r="G1745" s="42"/>
      <c r="H1745" s="42" t="n">
        <v>1700000000</v>
      </c>
      <c r="I1745" s="44"/>
      <c r="J1745" s="11" t="n">
        <f aca="false">IF(D1745="","",N(G1745)-N(H1745))</f>
        <v>-1700000000</v>
      </c>
      <c r="K1745" s="34" t="str">
        <f aca="false">IF(D1745="","",IFERROR(INDEX(I_COA!$C$6:$C$265,MATCH(D1745,I_COA!$A$6:$A$265,0)),"AKUN BARU"))</f>
        <v>Neraca</v>
      </c>
      <c r="L1745" s="34" t="str">
        <f aca="false">IF(K1745="LabaRugi",INDEX(I_COA!$D$6:$D$265,MATCH(D1745,I_COA!$A$6:$A$265,0)),"")</f>
        <v/>
      </c>
      <c r="M1745" s="34" t="str">
        <f aca="false">IF(K1745="Neraca",INDEX(I_COA!$E$6:$E$265,MATCH(D1745,I_COA!$A$6:$A$265,0)),"")</f>
        <v>Cash and cash equivalents</v>
      </c>
      <c r="N1745" s="34" t="str">
        <f aca="false">IF(D1745="","",IFERROR(INDEX(I_COA!$G$6:$G$265,MATCH(D1745,I_COA!$A$6:$A$265,0)),"N"))</f>
        <v>Y</v>
      </c>
      <c r="O1745" s="11" t="str">
        <f aca="false">IF(N1745="N",ABS(J1745),"")</f>
        <v/>
      </c>
      <c r="P1745" s="18" t="str">
        <f aca="false">IF(N1745="N",B1745&amp;"|"&amp;ROUND(O1745,0),"")</f>
        <v/>
      </c>
      <c r="Q1745" s="18" t="n">
        <f aca="false">IF(N1745&lt;&gt;"Y","",IFERROR(INDEX($D$6:$D$4005,MATCH(B1745&amp;"|"&amp;ROUND(_xlfn.MAXIFS($O$6:$O$4005,$B$6:$B$4005,B1745,$N$6:$N$4005,"N"),0),$P$6:$P$4005,0)),"(tanpa lawan)"))</f>
        <v>1102008</v>
      </c>
      <c r="R1745" s="44"/>
      <c r="S1745" s="9" t="str">
        <f aca="false">IF(N1745&lt;&gt;"Y","",IF(R1745&lt;&gt;"",R1745,IF(Q1745="(tanpa lawan)","Transfer antar rekening",IFERROR(INDEX(I_COA!$F$6:$F$265,MATCH(Q1745,I_COA!$A$6:$A$265,0)),"?"))))</f>
        <v>Transfer antar rekening</v>
      </c>
    </row>
    <row r="1746" customFormat="false" ht="15" hidden="false" customHeight="false" outlineLevel="0" collapsed="false">
      <c r="A1746" s="37" t="n">
        <v>46260</v>
      </c>
      <c r="B1746" s="44" t="s">
        <v>1931</v>
      </c>
      <c r="C1746" s="44" t="s">
        <v>580</v>
      </c>
      <c r="D1746" s="44" t="n">
        <v>1102008</v>
      </c>
      <c r="E1746" s="44" t="s">
        <v>781</v>
      </c>
      <c r="F1746" s="44" t="s">
        <v>782</v>
      </c>
      <c r="G1746" s="42" t="n">
        <v>200000000</v>
      </c>
      <c r="H1746" s="42"/>
      <c r="I1746" s="44"/>
      <c r="J1746" s="11" t="n">
        <f aca="false">IF(D1746="","",N(G1746)-N(H1746))</f>
        <v>200000000</v>
      </c>
      <c r="K1746" s="34" t="str">
        <f aca="false">IF(D1746="","",IFERROR(INDEX(I_COA!$C$6:$C$265,MATCH(D1746,I_COA!$A$6:$A$265,0)),"AKUN BARU"))</f>
        <v>Neraca</v>
      </c>
      <c r="L1746" s="34" t="str">
        <f aca="false">IF(K1746="LabaRugi",INDEX(I_COA!$D$6:$D$265,MATCH(D1746,I_COA!$A$6:$A$265,0)),"")</f>
        <v/>
      </c>
      <c r="M1746" s="34" t="str">
        <f aca="false">IF(K1746="Neraca",INDEX(I_COA!$E$6:$E$265,MATCH(D1746,I_COA!$A$6:$A$265,0)),"")</f>
        <v>Advance Payment</v>
      </c>
      <c r="N1746" s="34" t="str">
        <f aca="false">IF(D1746="","",IFERROR(INDEX(I_COA!$G$6:$G$265,MATCH(D1746,I_COA!$A$6:$A$265,0)),"N"))</f>
        <v>N</v>
      </c>
      <c r="O1746" s="11" t="n">
        <f aca="false">IF(N1746="N",ABS(J1746),"")</f>
        <v>200000000</v>
      </c>
      <c r="P1746" s="18" t="str">
        <f aca="false">IF(N1746="N",B1746&amp;"|"&amp;ROUND(O1746,0),"")</f>
        <v>B7726080015|200000000</v>
      </c>
      <c r="Q1746" s="18" t="str">
        <f aca="false">IF(N1746&lt;&gt;"Y","",IFERROR(INDEX($D$6:$D$4005,MATCH(B1746&amp;"|"&amp;ROUND(_xlfn.MAXIFS($O$6:$O$4005,$B$6:$B$4005,B1746,$N$6:$N$4005,"N"),0),$P$6:$P$4005,0)),"(tanpa lawan)"))</f>
        <v/>
      </c>
      <c r="R1746" s="44"/>
      <c r="S1746" s="9" t="str">
        <f aca="false">IF(N1746&lt;&gt;"Y","",IF(R1746&lt;&gt;"",R1746,IF(Q1746="(tanpa lawan)","Transfer antar rekening",IFERROR(INDEX(I_COA!$F$6:$F$265,MATCH(Q1746,I_COA!$A$6:$A$265,0)),"?"))))</f>
        <v/>
      </c>
    </row>
    <row r="1747" customFormat="false" ht="15" hidden="false" customHeight="false" outlineLevel="0" collapsed="false">
      <c r="A1747" s="37" t="n">
        <v>46260</v>
      </c>
      <c r="B1747" s="44" t="s">
        <v>1931</v>
      </c>
      <c r="C1747" s="44" t="s">
        <v>580</v>
      </c>
      <c r="D1747" s="44" t="n">
        <v>1102001</v>
      </c>
      <c r="E1747" s="44" t="s">
        <v>586</v>
      </c>
      <c r="F1747" s="44" t="s">
        <v>782</v>
      </c>
      <c r="G1747" s="42"/>
      <c r="H1747" s="42" t="n">
        <v>200000000</v>
      </c>
      <c r="I1747" s="44"/>
      <c r="J1747" s="11" t="n">
        <f aca="false">IF(D1747="","",N(G1747)-N(H1747))</f>
        <v>-200000000</v>
      </c>
      <c r="K1747" s="34" t="str">
        <f aca="false">IF(D1747="","",IFERROR(INDEX(I_COA!$C$6:$C$265,MATCH(D1747,I_COA!$A$6:$A$265,0)),"AKUN BARU"))</f>
        <v>Neraca</v>
      </c>
      <c r="L1747" s="34" t="str">
        <f aca="false">IF(K1747="LabaRugi",INDEX(I_COA!$D$6:$D$265,MATCH(D1747,I_COA!$A$6:$A$265,0)),"")</f>
        <v/>
      </c>
      <c r="M1747" s="34" t="str">
        <f aca="false">IF(K1747="Neraca",INDEX(I_COA!$E$6:$E$265,MATCH(D1747,I_COA!$A$6:$A$265,0)),"")</f>
        <v>Cash and cash equivalents</v>
      </c>
      <c r="N1747" s="34" t="str">
        <f aca="false">IF(D1747="","",IFERROR(INDEX(I_COA!$G$6:$G$265,MATCH(D1747,I_COA!$A$6:$A$265,0)),"N"))</f>
        <v>Y</v>
      </c>
      <c r="O1747" s="11" t="str">
        <f aca="false">IF(N1747="N",ABS(J1747),"")</f>
        <v/>
      </c>
      <c r="P1747" s="18" t="str">
        <f aca="false">IF(N1747="N",B1747&amp;"|"&amp;ROUND(O1747,0),"")</f>
        <v/>
      </c>
      <c r="Q1747" s="18" t="n">
        <f aca="false">IF(N1747&lt;&gt;"Y","",IFERROR(INDEX($D$6:$D$4005,MATCH(B1747&amp;"|"&amp;ROUND(_xlfn.MAXIFS($O$6:$O$4005,$B$6:$B$4005,B1747,$N$6:$N$4005,"N"),0),$P$6:$P$4005,0)),"(tanpa lawan)"))</f>
        <v>1102008</v>
      </c>
      <c r="R1747" s="44"/>
      <c r="S1747" s="9" t="str">
        <f aca="false">IF(N1747&lt;&gt;"Y","",IF(R1747&lt;&gt;"",R1747,IF(Q1747="(tanpa lawan)","Transfer antar rekening",IFERROR(INDEX(I_COA!$F$6:$F$265,MATCH(Q1747,I_COA!$A$6:$A$265,0)),"?"))))</f>
        <v>Transfer antar rekening</v>
      </c>
    </row>
    <row r="1748" customFormat="false" ht="15" hidden="false" customHeight="false" outlineLevel="0" collapsed="false">
      <c r="A1748" s="37" t="n">
        <v>46260</v>
      </c>
      <c r="B1748" s="44" t="s">
        <v>1932</v>
      </c>
      <c r="C1748" s="44" t="s">
        <v>580</v>
      </c>
      <c r="D1748" s="44" t="n">
        <v>1102002</v>
      </c>
      <c r="E1748" s="44" t="s">
        <v>598</v>
      </c>
      <c r="F1748" s="44" t="s">
        <v>784</v>
      </c>
      <c r="G1748" s="42" t="n">
        <v>1700000000</v>
      </c>
      <c r="H1748" s="42"/>
      <c r="I1748" s="44"/>
      <c r="J1748" s="11" t="n">
        <f aca="false">IF(D1748="","",N(G1748)-N(H1748))</f>
        <v>1700000000</v>
      </c>
      <c r="K1748" s="34" t="str">
        <f aca="false">IF(D1748="","",IFERROR(INDEX(I_COA!$C$6:$C$265,MATCH(D1748,I_COA!$A$6:$A$265,0)),"AKUN BARU"))</f>
        <v>Neraca</v>
      </c>
      <c r="L1748" s="34" t="str">
        <f aca="false">IF(K1748="LabaRugi",INDEX(I_COA!$D$6:$D$265,MATCH(D1748,I_COA!$A$6:$A$265,0)),"")</f>
        <v/>
      </c>
      <c r="M1748" s="34" t="str">
        <f aca="false">IF(K1748="Neraca",INDEX(I_COA!$E$6:$E$265,MATCH(D1748,I_COA!$A$6:$A$265,0)),"")</f>
        <v>Cash and cash equivalents</v>
      </c>
      <c r="N1748" s="34" t="str">
        <f aca="false">IF(D1748="","",IFERROR(INDEX(I_COA!$G$6:$G$265,MATCH(D1748,I_COA!$A$6:$A$265,0)),"N"))</f>
        <v>Y</v>
      </c>
      <c r="O1748" s="11" t="str">
        <f aca="false">IF(N1748="N",ABS(J1748),"")</f>
        <v/>
      </c>
      <c r="P1748" s="18" t="str">
        <f aca="false">IF(N1748="N",B1748&amp;"|"&amp;ROUND(O1748,0),"")</f>
        <v/>
      </c>
      <c r="Q1748" s="18" t="n">
        <f aca="false">IF(N1748&lt;&gt;"Y","",IFERROR(INDEX($D$6:$D$4005,MATCH(B1748&amp;"|"&amp;ROUND(_xlfn.MAXIFS($O$6:$O$4005,$B$6:$B$4005,B1748,$N$6:$N$4005,"N"),0),$P$6:$P$4005,0)),"(tanpa lawan)"))</f>
        <v>1102008</v>
      </c>
      <c r="R1748" s="44"/>
      <c r="S1748" s="9" t="str">
        <f aca="false">IF(N1748&lt;&gt;"Y","",IF(R1748&lt;&gt;"",R1748,IF(Q1748="(tanpa lawan)","Transfer antar rekening",IFERROR(INDEX(I_COA!$F$6:$F$265,MATCH(Q1748,I_COA!$A$6:$A$265,0)),"?"))))</f>
        <v>Transfer antar rekening</v>
      </c>
    </row>
    <row r="1749" customFormat="false" ht="15" hidden="false" customHeight="false" outlineLevel="0" collapsed="false">
      <c r="A1749" s="37" t="n">
        <v>46260</v>
      </c>
      <c r="B1749" s="44" t="s">
        <v>1932</v>
      </c>
      <c r="C1749" s="44" t="s">
        <v>580</v>
      </c>
      <c r="D1749" s="44" t="n">
        <v>1102008</v>
      </c>
      <c r="E1749" s="44" t="s">
        <v>781</v>
      </c>
      <c r="F1749" s="44" t="s">
        <v>784</v>
      </c>
      <c r="G1749" s="42"/>
      <c r="H1749" s="42" t="n">
        <v>1700000000</v>
      </c>
      <c r="I1749" s="44"/>
      <c r="J1749" s="11" t="n">
        <f aca="false">IF(D1749="","",N(G1749)-N(H1749))</f>
        <v>-1700000000</v>
      </c>
      <c r="K1749" s="34" t="str">
        <f aca="false">IF(D1749="","",IFERROR(INDEX(I_COA!$C$6:$C$265,MATCH(D1749,I_COA!$A$6:$A$265,0)),"AKUN BARU"))</f>
        <v>Neraca</v>
      </c>
      <c r="L1749" s="34" t="str">
        <f aca="false">IF(K1749="LabaRugi",INDEX(I_COA!$D$6:$D$265,MATCH(D1749,I_COA!$A$6:$A$265,0)),"")</f>
        <v/>
      </c>
      <c r="M1749" s="34" t="str">
        <f aca="false">IF(K1749="Neraca",INDEX(I_COA!$E$6:$E$265,MATCH(D1749,I_COA!$A$6:$A$265,0)),"")</f>
        <v>Advance Payment</v>
      </c>
      <c r="N1749" s="34" t="str">
        <f aca="false">IF(D1749="","",IFERROR(INDEX(I_COA!$G$6:$G$265,MATCH(D1749,I_COA!$A$6:$A$265,0)),"N"))</f>
        <v>N</v>
      </c>
      <c r="O1749" s="11" t="n">
        <f aca="false">IF(N1749="N",ABS(J1749),"")</f>
        <v>1700000000</v>
      </c>
      <c r="P1749" s="18" t="str">
        <f aca="false">IF(N1749="N",B1749&amp;"|"&amp;ROUND(O1749,0),"")</f>
        <v>B8426080015|1700000000</v>
      </c>
      <c r="Q1749" s="18" t="str">
        <f aca="false">IF(N1749&lt;&gt;"Y","",IFERROR(INDEX($D$6:$D$4005,MATCH(B1749&amp;"|"&amp;ROUND(_xlfn.MAXIFS($O$6:$O$4005,$B$6:$B$4005,B1749,$N$6:$N$4005,"N"),0),$P$6:$P$4005,0)),"(tanpa lawan)"))</f>
        <v/>
      </c>
      <c r="R1749" s="44"/>
      <c r="S1749" s="9" t="str">
        <f aca="false">IF(N1749&lt;&gt;"Y","",IF(R1749&lt;&gt;"",R1749,IF(Q1749="(tanpa lawan)","Transfer antar rekening",IFERROR(INDEX(I_COA!$F$6:$F$265,MATCH(Q1749,I_COA!$A$6:$A$265,0)),"?"))))</f>
        <v/>
      </c>
    </row>
    <row r="1750" customFormat="false" ht="15" hidden="false" customHeight="false" outlineLevel="0" collapsed="false">
      <c r="A1750" s="37" t="n">
        <v>46260</v>
      </c>
      <c r="B1750" s="44" t="s">
        <v>1933</v>
      </c>
      <c r="C1750" s="44" t="s">
        <v>580</v>
      </c>
      <c r="D1750" s="44" t="n">
        <v>1102002</v>
      </c>
      <c r="E1750" s="44" t="s">
        <v>598</v>
      </c>
      <c r="F1750" s="44" t="s">
        <v>784</v>
      </c>
      <c r="G1750" s="42" t="n">
        <v>200000000</v>
      </c>
      <c r="H1750" s="42"/>
      <c r="I1750" s="44"/>
      <c r="J1750" s="11" t="n">
        <f aca="false">IF(D1750="","",N(G1750)-N(H1750))</f>
        <v>200000000</v>
      </c>
      <c r="K1750" s="34" t="str">
        <f aca="false">IF(D1750="","",IFERROR(INDEX(I_COA!$C$6:$C$265,MATCH(D1750,I_COA!$A$6:$A$265,0)),"AKUN BARU"))</f>
        <v>Neraca</v>
      </c>
      <c r="L1750" s="34" t="str">
        <f aca="false">IF(K1750="LabaRugi",INDEX(I_COA!$D$6:$D$265,MATCH(D1750,I_COA!$A$6:$A$265,0)),"")</f>
        <v/>
      </c>
      <c r="M1750" s="34" t="str">
        <f aca="false">IF(K1750="Neraca",INDEX(I_COA!$E$6:$E$265,MATCH(D1750,I_COA!$A$6:$A$265,0)),"")</f>
        <v>Cash and cash equivalents</v>
      </c>
      <c r="N1750" s="34" t="str">
        <f aca="false">IF(D1750="","",IFERROR(INDEX(I_COA!$G$6:$G$265,MATCH(D1750,I_COA!$A$6:$A$265,0)),"N"))</f>
        <v>Y</v>
      </c>
      <c r="O1750" s="11" t="str">
        <f aca="false">IF(N1750="N",ABS(J1750),"")</f>
        <v/>
      </c>
      <c r="P1750" s="18" t="str">
        <f aca="false">IF(N1750="N",B1750&amp;"|"&amp;ROUND(O1750,0),"")</f>
        <v/>
      </c>
      <c r="Q1750" s="18" t="n">
        <f aca="false">IF(N1750&lt;&gt;"Y","",IFERROR(INDEX($D$6:$D$4005,MATCH(B1750&amp;"|"&amp;ROUND(_xlfn.MAXIFS($O$6:$O$4005,$B$6:$B$4005,B1750,$N$6:$N$4005,"N"),0),$P$6:$P$4005,0)),"(tanpa lawan)"))</f>
        <v>1102008</v>
      </c>
      <c r="R1750" s="44"/>
      <c r="S1750" s="9" t="str">
        <f aca="false">IF(N1750&lt;&gt;"Y","",IF(R1750&lt;&gt;"",R1750,IF(Q1750="(tanpa lawan)","Transfer antar rekening",IFERROR(INDEX(I_COA!$F$6:$F$265,MATCH(Q1750,I_COA!$A$6:$A$265,0)),"?"))))</f>
        <v>Transfer antar rekening</v>
      </c>
    </row>
    <row r="1751" customFormat="false" ht="15" hidden="false" customHeight="false" outlineLevel="0" collapsed="false">
      <c r="A1751" s="37" t="n">
        <v>46260</v>
      </c>
      <c r="B1751" s="44" t="s">
        <v>1933</v>
      </c>
      <c r="C1751" s="44" t="s">
        <v>580</v>
      </c>
      <c r="D1751" s="44" t="n">
        <v>1102008</v>
      </c>
      <c r="E1751" s="44" t="s">
        <v>781</v>
      </c>
      <c r="F1751" s="44" t="s">
        <v>784</v>
      </c>
      <c r="G1751" s="42"/>
      <c r="H1751" s="42" t="n">
        <v>200000000</v>
      </c>
      <c r="I1751" s="44"/>
      <c r="J1751" s="11" t="n">
        <f aca="false">IF(D1751="","",N(G1751)-N(H1751))</f>
        <v>-200000000</v>
      </c>
      <c r="K1751" s="34" t="str">
        <f aca="false">IF(D1751="","",IFERROR(INDEX(I_COA!$C$6:$C$265,MATCH(D1751,I_COA!$A$6:$A$265,0)),"AKUN BARU"))</f>
        <v>Neraca</v>
      </c>
      <c r="L1751" s="34" t="str">
        <f aca="false">IF(K1751="LabaRugi",INDEX(I_COA!$D$6:$D$265,MATCH(D1751,I_COA!$A$6:$A$265,0)),"")</f>
        <v/>
      </c>
      <c r="M1751" s="34" t="str">
        <f aca="false">IF(K1751="Neraca",INDEX(I_COA!$E$6:$E$265,MATCH(D1751,I_COA!$A$6:$A$265,0)),"")</f>
        <v>Advance Payment</v>
      </c>
      <c r="N1751" s="34" t="str">
        <f aca="false">IF(D1751="","",IFERROR(INDEX(I_COA!$G$6:$G$265,MATCH(D1751,I_COA!$A$6:$A$265,0)),"N"))</f>
        <v>N</v>
      </c>
      <c r="O1751" s="11" t="n">
        <f aca="false">IF(N1751="N",ABS(J1751),"")</f>
        <v>200000000</v>
      </c>
      <c r="P1751" s="18" t="str">
        <f aca="false">IF(N1751="N",B1751&amp;"|"&amp;ROUND(O1751,0),"")</f>
        <v>B8426080016|200000000</v>
      </c>
      <c r="Q1751" s="18" t="str">
        <f aca="false">IF(N1751&lt;&gt;"Y","",IFERROR(INDEX($D$6:$D$4005,MATCH(B1751&amp;"|"&amp;ROUND(_xlfn.MAXIFS($O$6:$O$4005,$B$6:$B$4005,B1751,$N$6:$N$4005,"N"),0),$P$6:$P$4005,0)),"(tanpa lawan)"))</f>
        <v/>
      </c>
      <c r="R1751" s="44"/>
      <c r="S1751" s="9" t="str">
        <f aca="false">IF(N1751&lt;&gt;"Y","",IF(R1751&lt;&gt;"",R1751,IF(Q1751="(tanpa lawan)","Transfer antar rekening",IFERROR(INDEX(I_COA!$F$6:$F$265,MATCH(Q1751,I_COA!$A$6:$A$265,0)),"?"))))</f>
        <v/>
      </c>
    </row>
    <row r="1752" customFormat="false" ht="15" hidden="false" customHeight="false" outlineLevel="0" collapsed="false">
      <c r="A1752" s="37" t="n">
        <v>46260</v>
      </c>
      <c r="B1752" s="44" t="s">
        <v>1934</v>
      </c>
      <c r="C1752" s="44" t="s">
        <v>594</v>
      </c>
      <c r="D1752" s="44" t="n">
        <v>2101001</v>
      </c>
      <c r="E1752" s="44" t="s">
        <v>595</v>
      </c>
      <c r="F1752" s="44" t="s">
        <v>1935</v>
      </c>
      <c r="G1752" s="42" t="n">
        <v>144190000</v>
      </c>
      <c r="H1752" s="42"/>
      <c r="I1752" s="44" t="s">
        <v>597</v>
      </c>
      <c r="J1752" s="11" t="n">
        <f aca="false">IF(D1752="","",N(G1752)-N(H1752))</f>
        <v>144190000</v>
      </c>
      <c r="K1752" s="34" t="str">
        <f aca="false">IF(D1752="","",IFERROR(INDEX(I_COA!$C$6:$C$265,MATCH(D1752,I_COA!$A$6:$A$265,0)),"AKUN BARU"))</f>
        <v>Neraca</v>
      </c>
      <c r="L1752" s="34" t="str">
        <f aca="false">IF(K1752="LabaRugi",INDEX(I_COA!$D$6:$D$265,MATCH(D1752,I_COA!$A$6:$A$265,0)),"")</f>
        <v/>
      </c>
      <c r="M1752" s="34" t="str">
        <f aca="false">IF(K1752="Neraca",INDEX(I_COA!$E$6:$E$265,MATCH(D1752,I_COA!$A$6:$A$265,0)),"")</f>
        <v>Trade Payables - Third Parties</v>
      </c>
      <c r="N1752" s="34" t="str">
        <f aca="false">IF(D1752="","",IFERROR(INDEX(I_COA!$G$6:$G$265,MATCH(D1752,I_COA!$A$6:$A$265,0)),"N"))</f>
        <v>N</v>
      </c>
      <c r="O1752" s="11" t="n">
        <f aca="false">IF(N1752="N",ABS(J1752),"")</f>
        <v>144190000</v>
      </c>
      <c r="P1752" s="18" t="str">
        <f aca="false">IF(N1752="N",B1752&amp;"|"&amp;ROUND(O1752,0),"")</f>
        <v>B8526080093|144190000</v>
      </c>
      <c r="Q1752" s="18" t="str">
        <f aca="false">IF(N1752&lt;&gt;"Y","",IFERROR(INDEX($D$6:$D$4005,MATCH(B1752&amp;"|"&amp;ROUND(_xlfn.MAXIFS($O$6:$O$4005,$B$6:$B$4005,B1752,$N$6:$N$4005,"N"),0),$P$6:$P$4005,0)),"(tanpa lawan)"))</f>
        <v/>
      </c>
      <c r="R1752" s="44"/>
      <c r="S1752" s="9" t="str">
        <f aca="false">IF(N1752&lt;&gt;"Y","",IF(R1752&lt;&gt;"",R1752,IF(Q1752="(tanpa lawan)","Transfer antar rekening",IFERROR(INDEX(I_COA!$F$6:$F$265,MATCH(Q1752,I_COA!$A$6:$A$265,0)),"?"))))</f>
        <v/>
      </c>
    </row>
    <row r="1753" customFormat="false" ht="15" hidden="false" customHeight="false" outlineLevel="0" collapsed="false">
      <c r="A1753" s="37" t="n">
        <v>46260</v>
      </c>
      <c r="B1753" s="44" t="s">
        <v>1934</v>
      </c>
      <c r="C1753" s="44" t="s">
        <v>594</v>
      </c>
      <c r="D1753" s="44" t="n">
        <v>6200023</v>
      </c>
      <c r="E1753" s="44" t="s">
        <v>688</v>
      </c>
      <c r="F1753" s="44" t="s">
        <v>1935</v>
      </c>
      <c r="G1753" s="42"/>
      <c r="H1753" s="42" t="n">
        <v>10000</v>
      </c>
      <c r="I1753" s="44" t="s">
        <v>597</v>
      </c>
      <c r="J1753" s="11" t="n">
        <f aca="false">IF(D1753="","",N(G1753)-N(H1753))</f>
        <v>-10000</v>
      </c>
      <c r="K1753" s="34" t="str">
        <f aca="false">IF(D1753="","",IFERROR(INDEX(I_COA!$C$6:$C$265,MATCH(D1753,I_COA!$A$6:$A$265,0)),"AKUN BARU"))</f>
        <v>LabaRugi</v>
      </c>
      <c r="L1753" s="34" t="str">
        <f aca="false">IF(K1753="LabaRugi",INDEX(I_COA!$D$6:$D$265,MATCH(D1753,I_COA!$A$6:$A$265,0)),"")</f>
        <v>Tax expenses</v>
      </c>
      <c r="M1753" s="34" t="str">
        <f aca="false">IF(K1753="Neraca",INDEX(I_COA!$E$6:$E$265,MATCH(D1753,I_COA!$A$6:$A$265,0)),"")</f>
        <v/>
      </c>
      <c r="N1753" s="34" t="str">
        <f aca="false">IF(D1753="","",IFERROR(INDEX(I_COA!$G$6:$G$265,MATCH(D1753,I_COA!$A$6:$A$265,0)),"N"))</f>
        <v>N</v>
      </c>
      <c r="O1753" s="11" t="n">
        <f aca="false">IF(N1753="N",ABS(J1753),"")</f>
        <v>10000</v>
      </c>
      <c r="P1753" s="18" t="str">
        <f aca="false">IF(N1753="N",B1753&amp;"|"&amp;ROUND(O1753,0),"")</f>
        <v>B8526080093|10000</v>
      </c>
      <c r="Q1753" s="18" t="str">
        <f aca="false">IF(N1753&lt;&gt;"Y","",IFERROR(INDEX($D$6:$D$4005,MATCH(B1753&amp;"|"&amp;ROUND(_xlfn.MAXIFS($O$6:$O$4005,$B$6:$B$4005,B1753,$N$6:$N$4005,"N"),0),$P$6:$P$4005,0)),"(tanpa lawan)"))</f>
        <v/>
      </c>
      <c r="R1753" s="44"/>
      <c r="S1753" s="9" t="str">
        <f aca="false">IF(N1753&lt;&gt;"Y","",IF(R1753&lt;&gt;"",R1753,IF(Q1753="(tanpa lawan)","Transfer antar rekening",IFERROR(INDEX(I_COA!$F$6:$F$265,MATCH(Q1753,I_COA!$A$6:$A$265,0)),"?"))))</f>
        <v/>
      </c>
    </row>
    <row r="1754" customFormat="false" ht="15" hidden="false" customHeight="false" outlineLevel="0" collapsed="false">
      <c r="A1754" s="37" t="n">
        <v>46260</v>
      </c>
      <c r="B1754" s="44" t="s">
        <v>1934</v>
      </c>
      <c r="C1754" s="44" t="s">
        <v>594</v>
      </c>
      <c r="D1754" s="44" t="n">
        <v>1102002</v>
      </c>
      <c r="E1754" s="44" t="s">
        <v>598</v>
      </c>
      <c r="F1754" s="44" t="s">
        <v>1935</v>
      </c>
      <c r="G1754" s="42"/>
      <c r="H1754" s="42" t="n">
        <v>144180000</v>
      </c>
      <c r="I1754" s="44" t="s">
        <v>597</v>
      </c>
      <c r="J1754" s="11" t="n">
        <f aca="false">IF(D1754="","",N(G1754)-N(H1754))</f>
        <v>-144180000</v>
      </c>
      <c r="K1754" s="34" t="str">
        <f aca="false">IF(D1754="","",IFERROR(INDEX(I_COA!$C$6:$C$265,MATCH(D1754,I_COA!$A$6:$A$265,0)),"AKUN BARU"))</f>
        <v>Neraca</v>
      </c>
      <c r="L1754" s="34" t="str">
        <f aca="false">IF(K1754="LabaRugi",INDEX(I_COA!$D$6:$D$265,MATCH(D1754,I_COA!$A$6:$A$265,0)),"")</f>
        <v/>
      </c>
      <c r="M1754" s="34" t="str">
        <f aca="false">IF(K1754="Neraca",INDEX(I_COA!$E$6:$E$265,MATCH(D1754,I_COA!$A$6:$A$265,0)),"")</f>
        <v>Cash and cash equivalents</v>
      </c>
      <c r="N1754" s="34" t="str">
        <f aca="false">IF(D1754="","",IFERROR(INDEX(I_COA!$G$6:$G$265,MATCH(D1754,I_COA!$A$6:$A$265,0)),"N"))</f>
        <v>Y</v>
      </c>
      <c r="O1754" s="11" t="str">
        <f aca="false">IF(N1754="N",ABS(J1754),"")</f>
        <v/>
      </c>
      <c r="P1754" s="18" t="str">
        <f aca="false">IF(N1754="N",B1754&amp;"|"&amp;ROUND(O1754,0),"")</f>
        <v/>
      </c>
      <c r="Q1754" s="18" t="n">
        <f aca="false">IF(N1754&lt;&gt;"Y","",IFERROR(INDEX($D$6:$D$4005,MATCH(B1754&amp;"|"&amp;ROUND(_xlfn.MAXIFS($O$6:$O$4005,$B$6:$B$4005,B1754,$N$6:$N$4005,"N"),0),$P$6:$P$4005,0)),"(tanpa lawan)"))</f>
        <v>2101001</v>
      </c>
      <c r="R1754" s="44"/>
      <c r="S1754" s="9" t="str">
        <f aca="false">IF(N1754&lt;&gt;"Y","",IF(R1754&lt;&gt;"",R1754,IF(Q1754="(tanpa lawan)","Transfer antar rekening",IFERROR(INDEX(I_COA!$F$6:$F$265,MATCH(Q1754,I_COA!$A$6:$A$265,0)),"?"))))</f>
        <v>Bayar pemasok barang (live bird &amp; trading)</v>
      </c>
    </row>
    <row r="1755" customFormat="false" ht="15" hidden="false" customHeight="false" outlineLevel="0" collapsed="false">
      <c r="A1755" s="37" t="n">
        <v>46260</v>
      </c>
      <c r="B1755" s="44" t="s">
        <v>1936</v>
      </c>
      <c r="C1755" s="44" t="s">
        <v>594</v>
      </c>
      <c r="D1755" s="44" t="n">
        <v>2101003</v>
      </c>
      <c r="E1755" s="44" t="s">
        <v>679</v>
      </c>
      <c r="F1755" s="44" t="s">
        <v>1937</v>
      </c>
      <c r="G1755" s="42" t="n">
        <v>10725000</v>
      </c>
      <c r="H1755" s="42"/>
      <c r="I1755" s="44" t="s">
        <v>681</v>
      </c>
      <c r="J1755" s="11" t="n">
        <f aca="false">IF(D1755="","",N(G1755)-N(H1755))</f>
        <v>10725000</v>
      </c>
      <c r="K1755" s="34" t="str">
        <f aca="false">IF(D1755="","",IFERROR(INDEX(I_COA!$C$6:$C$265,MATCH(D1755,I_COA!$A$6:$A$265,0)),"AKUN BARU"))</f>
        <v>Neraca</v>
      </c>
      <c r="L1755" s="34" t="str">
        <f aca="false">IF(K1755="LabaRugi",INDEX(I_COA!$D$6:$D$265,MATCH(D1755,I_COA!$A$6:$A$265,0)),"")</f>
        <v/>
      </c>
      <c r="M1755" s="34" t="str">
        <f aca="false">IF(K1755="Neraca",INDEX(I_COA!$E$6:$E$265,MATCH(D1755,I_COA!$A$6:$A$265,0)),"")</f>
        <v>Other Payable - Third Parties</v>
      </c>
      <c r="N1755" s="34" t="str">
        <f aca="false">IF(D1755="","",IFERROR(INDEX(I_COA!$G$6:$G$265,MATCH(D1755,I_COA!$A$6:$A$265,0)),"N"))</f>
        <v>N</v>
      </c>
      <c r="O1755" s="11" t="n">
        <f aca="false">IF(N1755="N",ABS(J1755),"")</f>
        <v>10725000</v>
      </c>
      <c r="P1755" s="18" t="str">
        <f aca="false">IF(N1755="N",B1755&amp;"|"&amp;ROUND(O1755,0),"")</f>
        <v>B8526080094|10725000</v>
      </c>
      <c r="Q1755" s="18" t="str">
        <f aca="false">IF(N1755&lt;&gt;"Y","",IFERROR(INDEX($D$6:$D$4005,MATCH(B1755&amp;"|"&amp;ROUND(_xlfn.MAXIFS($O$6:$O$4005,$B$6:$B$4005,B1755,$N$6:$N$4005,"N"),0),$P$6:$P$4005,0)),"(tanpa lawan)"))</f>
        <v/>
      </c>
      <c r="R1755" s="44"/>
      <c r="S1755" s="9" t="str">
        <f aca="false">IF(N1755&lt;&gt;"Y","",IF(R1755&lt;&gt;"",R1755,IF(Q1755="(tanpa lawan)","Transfer antar rekening",IFERROR(INDEX(I_COA!$F$6:$F$265,MATCH(Q1755,I_COA!$A$6:$A$265,0)),"?"))))</f>
        <v/>
      </c>
    </row>
    <row r="1756" customFormat="false" ht="15" hidden="false" customHeight="false" outlineLevel="0" collapsed="false">
      <c r="A1756" s="37" t="n">
        <v>46260</v>
      </c>
      <c r="B1756" s="44" t="s">
        <v>1936</v>
      </c>
      <c r="C1756" s="44" t="s">
        <v>594</v>
      </c>
      <c r="D1756" s="44" t="n">
        <v>6200023</v>
      </c>
      <c r="E1756" s="44" t="s">
        <v>688</v>
      </c>
      <c r="F1756" s="44" t="s">
        <v>1937</v>
      </c>
      <c r="G1756" s="42"/>
      <c r="H1756" s="42" t="n">
        <v>10000</v>
      </c>
      <c r="I1756" s="44" t="s">
        <v>681</v>
      </c>
      <c r="J1756" s="11" t="n">
        <f aca="false">IF(D1756="","",N(G1756)-N(H1756))</f>
        <v>-10000</v>
      </c>
      <c r="K1756" s="34" t="str">
        <f aca="false">IF(D1756="","",IFERROR(INDEX(I_COA!$C$6:$C$265,MATCH(D1756,I_COA!$A$6:$A$265,0)),"AKUN BARU"))</f>
        <v>LabaRugi</v>
      </c>
      <c r="L1756" s="34" t="str">
        <f aca="false">IF(K1756="LabaRugi",INDEX(I_COA!$D$6:$D$265,MATCH(D1756,I_COA!$A$6:$A$265,0)),"")</f>
        <v>Tax expenses</v>
      </c>
      <c r="M1756" s="34" t="str">
        <f aca="false">IF(K1756="Neraca",INDEX(I_COA!$E$6:$E$265,MATCH(D1756,I_COA!$A$6:$A$265,0)),"")</f>
        <v/>
      </c>
      <c r="N1756" s="34" t="str">
        <f aca="false">IF(D1756="","",IFERROR(INDEX(I_COA!$G$6:$G$265,MATCH(D1756,I_COA!$A$6:$A$265,0)),"N"))</f>
        <v>N</v>
      </c>
      <c r="O1756" s="11" t="n">
        <f aca="false">IF(N1756="N",ABS(J1756),"")</f>
        <v>10000</v>
      </c>
      <c r="P1756" s="18" t="str">
        <f aca="false">IF(N1756="N",B1756&amp;"|"&amp;ROUND(O1756,0),"")</f>
        <v>B8526080094|10000</v>
      </c>
      <c r="Q1756" s="18" t="str">
        <f aca="false">IF(N1756&lt;&gt;"Y","",IFERROR(INDEX($D$6:$D$4005,MATCH(B1756&amp;"|"&amp;ROUND(_xlfn.MAXIFS($O$6:$O$4005,$B$6:$B$4005,B1756,$N$6:$N$4005,"N"),0),$P$6:$P$4005,0)),"(tanpa lawan)"))</f>
        <v/>
      </c>
      <c r="R1756" s="44"/>
      <c r="S1756" s="9" t="str">
        <f aca="false">IF(N1756&lt;&gt;"Y","",IF(R1756&lt;&gt;"",R1756,IF(Q1756="(tanpa lawan)","Transfer antar rekening",IFERROR(INDEX(I_COA!$F$6:$F$265,MATCH(Q1756,I_COA!$A$6:$A$265,0)),"?"))))</f>
        <v/>
      </c>
    </row>
    <row r="1757" customFormat="false" ht="15" hidden="false" customHeight="false" outlineLevel="0" collapsed="false">
      <c r="A1757" s="37" t="n">
        <v>46260</v>
      </c>
      <c r="B1757" s="44" t="s">
        <v>1936</v>
      </c>
      <c r="C1757" s="44" t="s">
        <v>594</v>
      </c>
      <c r="D1757" s="44" t="n">
        <v>1102002</v>
      </c>
      <c r="E1757" s="44" t="s">
        <v>598</v>
      </c>
      <c r="F1757" s="44" t="s">
        <v>1937</v>
      </c>
      <c r="G1757" s="42"/>
      <c r="H1757" s="42" t="n">
        <v>10715000</v>
      </c>
      <c r="I1757" s="44" t="s">
        <v>681</v>
      </c>
      <c r="J1757" s="11" t="n">
        <f aca="false">IF(D1757="","",N(G1757)-N(H1757))</f>
        <v>-10715000</v>
      </c>
      <c r="K1757" s="34" t="str">
        <f aca="false">IF(D1757="","",IFERROR(INDEX(I_COA!$C$6:$C$265,MATCH(D1757,I_COA!$A$6:$A$265,0)),"AKUN BARU"))</f>
        <v>Neraca</v>
      </c>
      <c r="L1757" s="34" t="str">
        <f aca="false">IF(K1757="LabaRugi",INDEX(I_COA!$D$6:$D$265,MATCH(D1757,I_COA!$A$6:$A$265,0)),"")</f>
        <v/>
      </c>
      <c r="M1757" s="34" t="str">
        <f aca="false">IF(K1757="Neraca",INDEX(I_COA!$E$6:$E$265,MATCH(D1757,I_COA!$A$6:$A$265,0)),"")</f>
        <v>Cash and cash equivalents</v>
      </c>
      <c r="N1757" s="34" t="str">
        <f aca="false">IF(D1757="","",IFERROR(INDEX(I_COA!$G$6:$G$265,MATCH(D1757,I_COA!$A$6:$A$265,0)),"N"))</f>
        <v>Y</v>
      </c>
      <c r="O1757" s="11" t="str">
        <f aca="false">IF(N1757="N",ABS(J1757),"")</f>
        <v/>
      </c>
      <c r="P1757" s="18" t="str">
        <f aca="false">IF(N1757="N",B1757&amp;"|"&amp;ROUND(O1757,0),"")</f>
        <v/>
      </c>
      <c r="Q1757" s="18" t="n">
        <f aca="false">IF(N1757&lt;&gt;"Y","",IFERROR(INDEX($D$6:$D$4005,MATCH(B1757&amp;"|"&amp;ROUND(_xlfn.MAXIFS($O$6:$O$4005,$B$6:$B$4005,B1757,$N$6:$N$4005,"N"),0),$P$6:$P$4005,0)),"(tanpa lawan)"))</f>
        <v>2101003</v>
      </c>
      <c r="R1757" s="44"/>
      <c r="S1757" s="9" t="str">
        <f aca="false">IF(N1757&lt;&gt;"Y","",IF(R1757&lt;&gt;"",R1757,IF(Q1757="(tanpa lawan)","Transfer antar rekening",IFERROR(INDEX(I_COA!$F$6:$F$265,MATCH(Q1757,I_COA!$A$6:$A$265,0)),"?"))))</f>
        <v>Bayar jasa (maklon, angkut, cold storage, sewa)</v>
      </c>
    </row>
    <row r="1758" customFormat="false" ht="15" hidden="false" customHeight="false" outlineLevel="0" collapsed="false">
      <c r="A1758" s="37" t="n">
        <v>46260</v>
      </c>
      <c r="B1758" s="44" t="s">
        <v>1938</v>
      </c>
      <c r="C1758" s="44" t="s">
        <v>594</v>
      </c>
      <c r="D1758" s="44" t="n">
        <v>2101003</v>
      </c>
      <c r="E1758" s="44" t="s">
        <v>679</v>
      </c>
      <c r="F1758" s="44" t="s">
        <v>1939</v>
      </c>
      <c r="G1758" s="42" t="n">
        <v>10725000</v>
      </c>
      <c r="H1758" s="42"/>
      <c r="I1758" s="44" t="s">
        <v>681</v>
      </c>
      <c r="J1758" s="11" t="n">
        <f aca="false">IF(D1758="","",N(G1758)-N(H1758))</f>
        <v>10725000</v>
      </c>
      <c r="K1758" s="34" t="str">
        <f aca="false">IF(D1758="","",IFERROR(INDEX(I_COA!$C$6:$C$265,MATCH(D1758,I_COA!$A$6:$A$265,0)),"AKUN BARU"))</f>
        <v>Neraca</v>
      </c>
      <c r="L1758" s="34" t="str">
        <f aca="false">IF(K1758="LabaRugi",INDEX(I_COA!$D$6:$D$265,MATCH(D1758,I_COA!$A$6:$A$265,0)),"")</f>
        <v/>
      </c>
      <c r="M1758" s="34" t="str">
        <f aca="false">IF(K1758="Neraca",INDEX(I_COA!$E$6:$E$265,MATCH(D1758,I_COA!$A$6:$A$265,0)),"")</f>
        <v>Other Payable - Third Parties</v>
      </c>
      <c r="N1758" s="34" t="str">
        <f aca="false">IF(D1758="","",IFERROR(INDEX(I_COA!$G$6:$G$265,MATCH(D1758,I_COA!$A$6:$A$265,0)),"N"))</f>
        <v>N</v>
      </c>
      <c r="O1758" s="11" t="n">
        <f aca="false">IF(N1758="N",ABS(J1758),"")</f>
        <v>10725000</v>
      </c>
      <c r="P1758" s="18" t="str">
        <f aca="false">IF(N1758="N",B1758&amp;"|"&amp;ROUND(O1758,0),"")</f>
        <v>B8526080095|10725000</v>
      </c>
      <c r="Q1758" s="18" t="str">
        <f aca="false">IF(N1758&lt;&gt;"Y","",IFERROR(INDEX($D$6:$D$4005,MATCH(B1758&amp;"|"&amp;ROUND(_xlfn.MAXIFS($O$6:$O$4005,$B$6:$B$4005,B1758,$N$6:$N$4005,"N"),0),$P$6:$P$4005,0)),"(tanpa lawan)"))</f>
        <v/>
      </c>
      <c r="R1758" s="44"/>
      <c r="S1758" s="9" t="str">
        <f aca="false">IF(N1758&lt;&gt;"Y","",IF(R1758&lt;&gt;"",R1758,IF(Q1758="(tanpa lawan)","Transfer antar rekening",IFERROR(INDEX(I_COA!$F$6:$F$265,MATCH(Q1758,I_COA!$A$6:$A$265,0)),"?"))))</f>
        <v/>
      </c>
    </row>
    <row r="1759" customFormat="false" ht="15" hidden="false" customHeight="false" outlineLevel="0" collapsed="false">
      <c r="A1759" s="37" t="n">
        <v>46260</v>
      </c>
      <c r="B1759" s="44" t="s">
        <v>1938</v>
      </c>
      <c r="C1759" s="44" t="s">
        <v>594</v>
      </c>
      <c r="D1759" s="44" t="n">
        <v>6200023</v>
      </c>
      <c r="E1759" s="44" t="s">
        <v>688</v>
      </c>
      <c r="F1759" s="44" t="s">
        <v>1939</v>
      </c>
      <c r="G1759" s="42"/>
      <c r="H1759" s="42" t="n">
        <v>10000</v>
      </c>
      <c r="I1759" s="44" t="s">
        <v>681</v>
      </c>
      <c r="J1759" s="11" t="n">
        <f aca="false">IF(D1759="","",N(G1759)-N(H1759))</f>
        <v>-10000</v>
      </c>
      <c r="K1759" s="34" t="str">
        <f aca="false">IF(D1759="","",IFERROR(INDEX(I_COA!$C$6:$C$265,MATCH(D1759,I_COA!$A$6:$A$265,0)),"AKUN BARU"))</f>
        <v>LabaRugi</v>
      </c>
      <c r="L1759" s="34" t="str">
        <f aca="false">IF(K1759="LabaRugi",INDEX(I_COA!$D$6:$D$265,MATCH(D1759,I_COA!$A$6:$A$265,0)),"")</f>
        <v>Tax expenses</v>
      </c>
      <c r="M1759" s="34" t="str">
        <f aca="false">IF(K1759="Neraca",INDEX(I_COA!$E$6:$E$265,MATCH(D1759,I_COA!$A$6:$A$265,0)),"")</f>
        <v/>
      </c>
      <c r="N1759" s="34" t="str">
        <f aca="false">IF(D1759="","",IFERROR(INDEX(I_COA!$G$6:$G$265,MATCH(D1759,I_COA!$A$6:$A$265,0)),"N"))</f>
        <v>N</v>
      </c>
      <c r="O1759" s="11" t="n">
        <f aca="false">IF(N1759="N",ABS(J1759),"")</f>
        <v>10000</v>
      </c>
      <c r="P1759" s="18" t="str">
        <f aca="false">IF(N1759="N",B1759&amp;"|"&amp;ROUND(O1759,0),"")</f>
        <v>B8526080095|10000</v>
      </c>
      <c r="Q1759" s="18" t="str">
        <f aca="false">IF(N1759&lt;&gt;"Y","",IFERROR(INDEX($D$6:$D$4005,MATCH(B1759&amp;"|"&amp;ROUND(_xlfn.MAXIFS($O$6:$O$4005,$B$6:$B$4005,B1759,$N$6:$N$4005,"N"),0),$P$6:$P$4005,0)),"(tanpa lawan)"))</f>
        <v/>
      </c>
      <c r="R1759" s="44"/>
      <c r="S1759" s="9" t="str">
        <f aca="false">IF(N1759&lt;&gt;"Y","",IF(R1759&lt;&gt;"",R1759,IF(Q1759="(tanpa lawan)","Transfer antar rekening",IFERROR(INDEX(I_COA!$F$6:$F$265,MATCH(Q1759,I_COA!$A$6:$A$265,0)),"?"))))</f>
        <v/>
      </c>
    </row>
    <row r="1760" customFormat="false" ht="15" hidden="false" customHeight="false" outlineLevel="0" collapsed="false">
      <c r="A1760" s="37" t="n">
        <v>46260</v>
      </c>
      <c r="B1760" s="44" t="s">
        <v>1938</v>
      </c>
      <c r="C1760" s="44" t="s">
        <v>594</v>
      </c>
      <c r="D1760" s="44" t="n">
        <v>1102002</v>
      </c>
      <c r="E1760" s="44" t="s">
        <v>598</v>
      </c>
      <c r="F1760" s="44" t="s">
        <v>1939</v>
      </c>
      <c r="G1760" s="42"/>
      <c r="H1760" s="42" t="n">
        <v>10715000</v>
      </c>
      <c r="I1760" s="44" t="s">
        <v>681</v>
      </c>
      <c r="J1760" s="11" t="n">
        <f aca="false">IF(D1760="","",N(G1760)-N(H1760))</f>
        <v>-10715000</v>
      </c>
      <c r="K1760" s="34" t="str">
        <f aca="false">IF(D1760="","",IFERROR(INDEX(I_COA!$C$6:$C$265,MATCH(D1760,I_COA!$A$6:$A$265,0)),"AKUN BARU"))</f>
        <v>Neraca</v>
      </c>
      <c r="L1760" s="34" t="str">
        <f aca="false">IF(K1760="LabaRugi",INDEX(I_COA!$D$6:$D$265,MATCH(D1760,I_COA!$A$6:$A$265,0)),"")</f>
        <v/>
      </c>
      <c r="M1760" s="34" t="str">
        <f aca="false">IF(K1760="Neraca",INDEX(I_COA!$E$6:$E$265,MATCH(D1760,I_COA!$A$6:$A$265,0)),"")</f>
        <v>Cash and cash equivalents</v>
      </c>
      <c r="N1760" s="34" t="str">
        <f aca="false">IF(D1760="","",IFERROR(INDEX(I_COA!$G$6:$G$265,MATCH(D1760,I_COA!$A$6:$A$265,0)),"N"))</f>
        <v>Y</v>
      </c>
      <c r="O1760" s="11" t="str">
        <f aca="false">IF(N1760="N",ABS(J1760),"")</f>
        <v/>
      </c>
      <c r="P1760" s="18" t="str">
        <f aca="false">IF(N1760="N",B1760&amp;"|"&amp;ROUND(O1760,0),"")</f>
        <v/>
      </c>
      <c r="Q1760" s="18" t="n">
        <f aca="false">IF(N1760&lt;&gt;"Y","",IFERROR(INDEX($D$6:$D$4005,MATCH(B1760&amp;"|"&amp;ROUND(_xlfn.MAXIFS($O$6:$O$4005,$B$6:$B$4005,B1760,$N$6:$N$4005,"N"),0),$P$6:$P$4005,0)),"(tanpa lawan)"))</f>
        <v>2101003</v>
      </c>
      <c r="R1760" s="44"/>
      <c r="S1760" s="9" t="str">
        <f aca="false">IF(N1760&lt;&gt;"Y","",IF(R1760&lt;&gt;"",R1760,IF(Q1760="(tanpa lawan)","Transfer antar rekening",IFERROR(INDEX(I_COA!$F$6:$F$265,MATCH(Q1760,I_COA!$A$6:$A$265,0)),"?"))))</f>
        <v>Bayar jasa (maklon, angkut, cold storage, sewa)</v>
      </c>
    </row>
    <row r="1761" customFormat="false" ht="15" hidden="false" customHeight="false" outlineLevel="0" collapsed="false">
      <c r="A1761" s="37" t="n">
        <v>46260</v>
      </c>
      <c r="B1761" s="44" t="s">
        <v>1940</v>
      </c>
      <c r="C1761" s="44" t="s">
        <v>594</v>
      </c>
      <c r="D1761" s="44" t="n">
        <v>2101001</v>
      </c>
      <c r="E1761" s="44" t="s">
        <v>595</v>
      </c>
      <c r="F1761" s="44" t="s">
        <v>1941</v>
      </c>
      <c r="G1761" s="42" t="n">
        <v>137156720</v>
      </c>
      <c r="H1761" s="42"/>
      <c r="I1761" s="44" t="s">
        <v>597</v>
      </c>
      <c r="J1761" s="11" t="n">
        <f aca="false">IF(D1761="","",N(G1761)-N(H1761))</f>
        <v>137156720</v>
      </c>
      <c r="K1761" s="34" t="str">
        <f aca="false">IF(D1761="","",IFERROR(INDEX(I_COA!$C$6:$C$265,MATCH(D1761,I_COA!$A$6:$A$265,0)),"AKUN BARU"))</f>
        <v>Neraca</v>
      </c>
      <c r="L1761" s="34" t="str">
        <f aca="false">IF(K1761="LabaRugi",INDEX(I_COA!$D$6:$D$265,MATCH(D1761,I_COA!$A$6:$A$265,0)),"")</f>
        <v/>
      </c>
      <c r="M1761" s="34" t="str">
        <f aca="false">IF(K1761="Neraca",INDEX(I_COA!$E$6:$E$265,MATCH(D1761,I_COA!$A$6:$A$265,0)),"")</f>
        <v>Trade Payables - Third Parties</v>
      </c>
      <c r="N1761" s="34" t="str">
        <f aca="false">IF(D1761="","",IFERROR(INDEX(I_COA!$G$6:$G$265,MATCH(D1761,I_COA!$A$6:$A$265,0)),"N"))</f>
        <v>N</v>
      </c>
      <c r="O1761" s="11" t="n">
        <f aca="false">IF(N1761="N",ABS(J1761),"")</f>
        <v>137156720</v>
      </c>
      <c r="P1761" s="18" t="str">
        <f aca="false">IF(N1761="N",B1761&amp;"|"&amp;ROUND(O1761,0),"")</f>
        <v>B8526080096|137156720</v>
      </c>
      <c r="Q1761" s="18" t="str">
        <f aca="false">IF(N1761&lt;&gt;"Y","",IFERROR(INDEX($D$6:$D$4005,MATCH(B1761&amp;"|"&amp;ROUND(_xlfn.MAXIFS($O$6:$O$4005,$B$6:$B$4005,B1761,$N$6:$N$4005,"N"),0),$P$6:$P$4005,0)),"(tanpa lawan)"))</f>
        <v/>
      </c>
      <c r="R1761" s="44"/>
      <c r="S1761" s="9" t="str">
        <f aca="false">IF(N1761&lt;&gt;"Y","",IF(R1761&lt;&gt;"",R1761,IF(Q1761="(tanpa lawan)","Transfer antar rekening",IFERROR(INDEX(I_COA!$F$6:$F$265,MATCH(Q1761,I_COA!$A$6:$A$265,0)),"?"))))</f>
        <v/>
      </c>
    </row>
    <row r="1762" customFormat="false" ht="15" hidden="false" customHeight="false" outlineLevel="0" collapsed="false">
      <c r="A1762" s="37" t="n">
        <v>46260</v>
      </c>
      <c r="B1762" s="44" t="s">
        <v>1940</v>
      </c>
      <c r="C1762" s="44" t="s">
        <v>594</v>
      </c>
      <c r="D1762" s="44" t="n">
        <v>6200023</v>
      </c>
      <c r="E1762" s="44" t="s">
        <v>688</v>
      </c>
      <c r="F1762" s="44" t="s">
        <v>1941</v>
      </c>
      <c r="G1762" s="42"/>
      <c r="H1762" s="42" t="n">
        <v>10000</v>
      </c>
      <c r="I1762" s="44" t="s">
        <v>597</v>
      </c>
      <c r="J1762" s="11" t="n">
        <f aca="false">IF(D1762="","",N(G1762)-N(H1762))</f>
        <v>-10000</v>
      </c>
      <c r="K1762" s="34" t="str">
        <f aca="false">IF(D1762="","",IFERROR(INDEX(I_COA!$C$6:$C$265,MATCH(D1762,I_COA!$A$6:$A$265,0)),"AKUN BARU"))</f>
        <v>LabaRugi</v>
      </c>
      <c r="L1762" s="34" t="str">
        <f aca="false">IF(K1762="LabaRugi",INDEX(I_COA!$D$6:$D$265,MATCH(D1762,I_COA!$A$6:$A$265,0)),"")</f>
        <v>Tax expenses</v>
      </c>
      <c r="M1762" s="34" t="str">
        <f aca="false">IF(K1762="Neraca",INDEX(I_COA!$E$6:$E$265,MATCH(D1762,I_COA!$A$6:$A$265,0)),"")</f>
        <v/>
      </c>
      <c r="N1762" s="34" t="str">
        <f aca="false">IF(D1762="","",IFERROR(INDEX(I_COA!$G$6:$G$265,MATCH(D1762,I_COA!$A$6:$A$265,0)),"N"))</f>
        <v>N</v>
      </c>
      <c r="O1762" s="11" t="n">
        <f aca="false">IF(N1762="N",ABS(J1762),"")</f>
        <v>10000</v>
      </c>
      <c r="P1762" s="18" t="str">
        <f aca="false">IF(N1762="N",B1762&amp;"|"&amp;ROUND(O1762,0),"")</f>
        <v>B8526080096|10000</v>
      </c>
      <c r="Q1762" s="18" t="str">
        <f aca="false">IF(N1762&lt;&gt;"Y","",IFERROR(INDEX($D$6:$D$4005,MATCH(B1762&amp;"|"&amp;ROUND(_xlfn.MAXIFS($O$6:$O$4005,$B$6:$B$4005,B1762,$N$6:$N$4005,"N"),0),$P$6:$P$4005,0)),"(tanpa lawan)"))</f>
        <v/>
      </c>
      <c r="R1762" s="44"/>
      <c r="S1762" s="9" t="str">
        <f aca="false">IF(N1762&lt;&gt;"Y","",IF(R1762&lt;&gt;"",R1762,IF(Q1762="(tanpa lawan)","Transfer antar rekening",IFERROR(INDEX(I_COA!$F$6:$F$265,MATCH(Q1762,I_COA!$A$6:$A$265,0)),"?"))))</f>
        <v/>
      </c>
    </row>
    <row r="1763" customFormat="false" ht="15" hidden="false" customHeight="false" outlineLevel="0" collapsed="false">
      <c r="A1763" s="37" t="n">
        <v>46260</v>
      </c>
      <c r="B1763" s="44" t="s">
        <v>1940</v>
      </c>
      <c r="C1763" s="44" t="s">
        <v>594</v>
      </c>
      <c r="D1763" s="44" t="n">
        <v>1102002</v>
      </c>
      <c r="E1763" s="44" t="s">
        <v>598</v>
      </c>
      <c r="F1763" s="44" t="s">
        <v>1941</v>
      </c>
      <c r="G1763" s="42"/>
      <c r="H1763" s="42" t="n">
        <v>137146720</v>
      </c>
      <c r="I1763" s="44" t="s">
        <v>597</v>
      </c>
      <c r="J1763" s="11" t="n">
        <f aca="false">IF(D1763="","",N(G1763)-N(H1763))</f>
        <v>-137146720</v>
      </c>
      <c r="K1763" s="34" t="str">
        <f aca="false">IF(D1763="","",IFERROR(INDEX(I_COA!$C$6:$C$265,MATCH(D1763,I_COA!$A$6:$A$265,0)),"AKUN BARU"))</f>
        <v>Neraca</v>
      </c>
      <c r="L1763" s="34" t="str">
        <f aca="false">IF(K1763="LabaRugi",INDEX(I_COA!$D$6:$D$265,MATCH(D1763,I_COA!$A$6:$A$265,0)),"")</f>
        <v/>
      </c>
      <c r="M1763" s="34" t="str">
        <f aca="false">IF(K1763="Neraca",INDEX(I_COA!$E$6:$E$265,MATCH(D1763,I_COA!$A$6:$A$265,0)),"")</f>
        <v>Cash and cash equivalents</v>
      </c>
      <c r="N1763" s="34" t="str">
        <f aca="false">IF(D1763="","",IFERROR(INDEX(I_COA!$G$6:$G$265,MATCH(D1763,I_COA!$A$6:$A$265,0)),"N"))</f>
        <v>Y</v>
      </c>
      <c r="O1763" s="11" t="str">
        <f aca="false">IF(N1763="N",ABS(J1763),"")</f>
        <v/>
      </c>
      <c r="P1763" s="18" t="str">
        <f aca="false">IF(N1763="N",B1763&amp;"|"&amp;ROUND(O1763,0),"")</f>
        <v/>
      </c>
      <c r="Q1763" s="18" t="n">
        <f aca="false">IF(N1763&lt;&gt;"Y","",IFERROR(INDEX($D$6:$D$4005,MATCH(B1763&amp;"|"&amp;ROUND(_xlfn.MAXIFS($O$6:$O$4005,$B$6:$B$4005,B1763,$N$6:$N$4005,"N"),0),$P$6:$P$4005,0)),"(tanpa lawan)"))</f>
        <v>2101001</v>
      </c>
      <c r="R1763" s="44"/>
      <c r="S1763" s="9" t="str">
        <f aca="false">IF(N1763&lt;&gt;"Y","",IF(R1763&lt;&gt;"",R1763,IF(Q1763="(tanpa lawan)","Transfer antar rekening",IFERROR(INDEX(I_COA!$F$6:$F$265,MATCH(Q1763,I_COA!$A$6:$A$265,0)),"?"))))</f>
        <v>Bayar pemasok barang (live bird &amp; trading)</v>
      </c>
    </row>
    <row r="1764" customFormat="false" ht="15" hidden="false" customHeight="false" outlineLevel="0" collapsed="false">
      <c r="A1764" s="37" t="n">
        <v>46260</v>
      </c>
      <c r="B1764" s="44" t="s">
        <v>1942</v>
      </c>
      <c r="C1764" s="44" t="s">
        <v>594</v>
      </c>
      <c r="D1764" s="44" t="n">
        <v>2101001</v>
      </c>
      <c r="E1764" s="44" t="s">
        <v>595</v>
      </c>
      <c r="F1764" s="44" t="s">
        <v>1943</v>
      </c>
      <c r="G1764" s="42" t="n">
        <v>287362440</v>
      </c>
      <c r="H1764" s="42"/>
      <c r="I1764" s="44" t="s">
        <v>597</v>
      </c>
      <c r="J1764" s="11" t="n">
        <f aca="false">IF(D1764="","",N(G1764)-N(H1764))</f>
        <v>287362440</v>
      </c>
      <c r="K1764" s="34" t="str">
        <f aca="false">IF(D1764="","",IFERROR(INDEX(I_COA!$C$6:$C$265,MATCH(D1764,I_COA!$A$6:$A$265,0)),"AKUN BARU"))</f>
        <v>Neraca</v>
      </c>
      <c r="L1764" s="34" t="str">
        <f aca="false">IF(K1764="LabaRugi",INDEX(I_COA!$D$6:$D$265,MATCH(D1764,I_COA!$A$6:$A$265,0)),"")</f>
        <v/>
      </c>
      <c r="M1764" s="34" t="str">
        <f aca="false">IF(K1764="Neraca",INDEX(I_COA!$E$6:$E$265,MATCH(D1764,I_COA!$A$6:$A$265,0)),"")</f>
        <v>Trade Payables - Third Parties</v>
      </c>
      <c r="N1764" s="34" t="str">
        <f aca="false">IF(D1764="","",IFERROR(INDEX(I_COA!$G$6:$G$265,MATCH(D1764,I_COA!$A$6:$A$265,0)),"N"))</f>
        <v>N</v>
      </c>
      <c r="O1764" s="11" t="n">
        <f aca="false">IF(N1764="N",ABS(J1764),"")</f>
        <v>287362440</v>
      </c>
      <c r="P1764" s="18" t="str">
        <f aca="false">IF(N1764="N",B1764&amp;"|"&amp;ROUND(O1764,0),"")</f>
        <v>B8526080097A|287362440</v>
      </c>
      <c r="Q1764" s="18" t="str">
        <f aca="false">IF(N1764&lt;&gt;"Y","",IFERROR(INDEX($D$6:$D$4005,MATCH(B1764&amp;"|"&amp;ROUND(_xlfn.MAXIFS($O$6:$O$4005,$B$6:$B$4005,B1764,$N$6:$N$4005,"N"),0),$P$6:$P$4005,0)),"(tanpa lawan)"))</f>
        <v/>
      </c>
      <c r="R1764" s="44"/>
      <c r="S1764" s="9" t="str">
        <f aca="false">IF(N1764&lt;&gt;"Y","",IF(R1764&lt;&gt;"",R1764,IF(Q1764="(tanpa lawan)","Transfer antar rekening",IFERROR(INDEX(I_COA!$F$6:$F$265,MATCH(Q1764,I_COA!$A$6:$A$265,0)),"?"))))</f>
        <v/>
      </c>
    </row>
    <row r="1765" customFormat="false" ht="15" hidden="false" customHeight="false" outlineLevel="0" collapsed="false">
      <c r="A1765" s="37" t="n">
        <v>46260</v>
      </c>
      <c r="B1765" s="44" t="s">
        <v>1942</v>
      </c>
      <c r="C1765" s="44" t="s">
        <v>594</v>
      </c>
      <c r="D1765" s="44" t="n">
        <v>6200023</v>
      </c>
      <c r="E1765" s="44" t="s">
        <v>688</v>
      </c>
      <c r="F1765" s="44" t="s">
        <v>1943</v>
      </c>
      <c r="G1765" s="42"/>
      <c r="H1765" s="42" t="n">
        <v>10000</v>
      </c>
      <c r="I1765" s="44" t="s">
        <v>597</v>
      </c>
      <c r="J1765" s="11" t="n">
        <f aca="false">IF(D1765="","",N(G1765)-N(H1765))</f>
        <v>-10000</v>
      </c>
      <c r="K1765" s="34" t="str">
        <f aca="false">IF(D1765="","",IFERROR(INDEX(I_COA!$C$6:$C$265,MATCH(D1765,I_COA!$A$6:$A$265,0)),"AKUN BARU"))</f>
        <v>LabaRugi</v>
      </c>
      <c r="L1765" s="34" t="str">
        <f aca="false">IF(K1765="LabaRugi",INDEX(I_COA!$D$6:$D$265,MATCH(D1765,I_COA!$A$6:$A$265,0)),"")</f>
        <v>Tax expenses</v>
      </c>
      <c r="M1765" s="34" t="str">
        <f aca="false">IF(K1765="Neraca",INDEX(I_COA!$E$6:$E$265,MATCH(D1765,I_COA!$A$6:$A$265,0)),"")</f>
        <v/>
      </c>
      <c r="N1765" s="34" t="str">
        <f aca="false">IF(D1765="","",IFERROR(INDEX(I_COA!$G$6:$G$265,MATCH(D1765,I_COA!$A$6:$A$265,0)),"N"))</f>
        <v>N</v>
      </c>
      <c r="O1765" s="11" t="n">
        <f aca="false">IF(N1765="N",ABS(J1765),"")</f>
        <v>10000</v>
      </c>
      <c r="P1765" s="18" t="str">
        <f aca="false">IF(N1765="N",B1765&amp;"|"&amp;ROUND(O1765,0),"")</f>
        <v>B8526080097A|10000</v>
      </c>
      <c r="Q1765" s="18" t="str">
        <f aca="false">IF(N1765&lt;&gt;"Y","",IFERROR(INDEX($D$6:$D$4005,MATCH(B1765&amp;"|"&amp;ROUND(_xlfn.MAXIFS($O$6:$O$4005,$B$6:$B$4005,B1765,$N$6:$N$4005,"N"),0),$P$6:$P$4005,0)),"(tanpa lawan)"))</f>
        <v/>
      </c>
      <c r="R1765" s="44"/>
      <c r="S1765" s="9" t="str">
        <f aca="false">IF(N1765&lt;&gt;"Y","",IF(R1765&lt;&gt;"",R1765,IF(Q1765="(tanpa lawan)","Transfer antar rekening",IFERROR(INDEX(I_COA!$F$6:$F$265,MATCH(Q1765,I_COA!$A$6:$A$265,0)),"?"))))</f>
        <v/>
      </c>
    </row>
    <row r="1766" customFormat="false" ht="15" hidden="false" customHeight="false" outlineLevel="0" collapsed="false">
      <c r="A1766" s="37" t="n">
        <v>46260</v>
      </c>
      <c r="B1766" s="44" t="s">
        <v>1942</v>
      </c>
      <c r="C1766" s="44" t="s">
        <v>594</v>
      </c>
      <c r="D1766" s="44" t="n">
        <v>1102002</v>
      </c>
      <c r="E1766" s="44" t="s">
        <v>598</v>
      </c>
      <c r="F1766" s="44" t="s">
        <v>1943</v>
      </c>
      <c r="G1766" s="42"/>
      <c r="H1766" s="42" t="n">
        <v>287352440</v>
      </c>
      <c r="I1766" s="44" t="s">
        <v>597</v>
      </c>
      <c r="J1766" s="11" t="n">
        <f aca="false">IF(D1766="","",N(G1766)-N(H1766))</f>
        <v>-287352440</v>
      </c>
      <c r="K1766" s="34" t="str">
        <f aca="false">IF(D1766="","",IFERROR(INDEX(I_COA!$C$6:$C$265,MATCH(D1766,I_COA!$A$6:$A$265,0)),"AKUN BARU"))</f>
        <v>Neraca</v>
      </c>
      <c r="L1766" s="34" t="str">
        <f aca="false">IF(K1766="LabaRugi",INDEX(I_COA!$D$6:$D$265,MATCH(D1766,I_COA!$A$6:$A$265,0)),"")</f>
        <v/>
      </c>
      <c r="M1766" s="34" t="str">
        <f aca="false">IF(K1766="Neraca",INDEX(I_COA!$E$6:$E$265,MATCH(D1766,I_COA!$A$6:$A$265,0)),"")</f>
        <v>Cash and cash equivalents</v>
      </c>
      <c r="N1766" s="34" t="str">
        <f aca="false">IF(D1766="","",IFERROR(INDEX(I_COA!$G$6:$G$265,MATCH(D1766,I_COA!$A$6:$A$265,0)),"N"))</f>
        <v>Y</v>
      </c>
      <c r="O1766" s="11" t="str">
        <f aca="false">IF(N1766="N",ABS(J1766),"")</f>
        <v/>
      </c>
      <c r="P1766" s="18" t="str">
        <f aca="false">IF(N1766="N",B1766&amp;"|"&amp;ROUND(O1766,0),"")</f>
        <v/>
      </c>
      <c r="Q1766" s="18" t="n">
        <f aca="false">IF(N1766&lt;&gt;"Y","",IFERROR(INDEX($D$6:$D$4005,MATCH(B1766&amp;"|"&amp;ROUND(_xlfn.MAXIFS($O$6:$O$4005,$B$6:$B$4005,B1766,$N$6:$N$4005,"N"),0),$P$6:$P$4005,0)),"(tanpa lawan)"))</f>
        <v>2101001</v>
      </c>
      <c r="R1766" s="44"/>
      <c r="S1766" s="9" t="str">
        <f aca="false">IF(N1766&lt;&gt;"Y","",IF(R1766&lt;&gt;"",R1766,IF(Q1766="(tanpa lawan)","Transfer antar rekening",IFERROR(INDEX(I_COA!$F$6:$F$265,MATCH(Q1766,I_COA!$A$6:$A$265,0)),"?"))))</f>
        <v>Bayar pemasok barang (live bird &amp; trading)</v>
      </c>
    </row>
    <row r="1767" customFormat="false" ht="15" hidden="false" customHeight="false" outlineLevel="0" collapsed="false">
      <c r="A1767" s="37" t="n">
        <v>46260</v>
      </c>
      <c r="B1767" s="44" t="s">
        <v>1944</v>
      </c>
      <c r="C1767" s="44" t="s">
        <v>580</v>
      </c>
      <c r="D1767" s="44" t="n">
        <v>1103121</v>
      </c>
      <c r="E1767" s="44" t="s">
        <v>685</v>
      </c>
      <c r="F1767" s="44" t="s">
        <v>1945</v>
      </c>
      <c r="G1767" s="42" t="n">
        <v>20087560</v>
      </c>
      <c r="H1767" s="42"/>
      <c r="I1767" s="44" t="s">
        <v>660</v>
      </c>
      <c r="J1767" s="11" t="n">
        <f aca="false">IF(D1767="","",N(G1767)-N(H1767))</f>
        <v>20087560</v>
      </c>
      <c r="K1767" s="34" t="str">
        <f aca="false">IF(D1767="","",IFERROR(INDEX(I_COA!$C$6:$C$265,MATCH(D1767,I_COA!$A$6:$A$265,0)),"AKUN BARU"))</f>
        <v>Neraca</v>
      </c>
      <c r="L1767" s="34" t="str">
        <f aca="false">IF(K1767="LabaRugi",INDEX(I_COA!$D$6:$D$265,MATCH(D1767,I_COA!$A$6:$A$265,0)),"")</f>
        <v/>
      </c>
      <c r="M1767" s="34" t="str">
        <f aca="false">IF(K1767="Neraca",INDEX(I_COA!$E$6:$E$265,MATCH(D1767,I_COA!$A$6:$A$265,0)),"")</f>
        <v>Advance Payment</v>
      </c>
      <c r="N1767" s="34" t="str">
        <f aca="false">IF(D1767="","",IFERROR(INDEX(I_COA!$G$6:$G$265,MATCH(D1767,I_COA!$A$6:$A$265,0)),"N"))</f>
        <v>N</v>
      </c>
      <c r="O1767" s="11" t="n">
        <f aca="false">IF(N1767="N",ABS(J1767),"")</f>
        <v>20087560</v>
      </c>
      <c r="P1767" s="18" t="str">
        <f aca="false">IF(N1767="N",B1767&amp;"|"&amp;ROUND(O1767,0),"")</f>
        <v>B8526080097B|20087560</v>
      </c>
      <c r="Q1767" s="18" t="str">
        <f aca="false">IF(N1767&lt;&gt;"Y","",IFERROR(INDEX($D$6:$D$4005,MATCH(B1767&amp;"|"&amp;ROUND(_xlfn.MAXIFS($O$6:$O$4005,$B$6:$B$4005,B1767,$N$6:$N$4005,"N"),0),$P$6:$P$4005,0)),"(tanpa lawan)"))</f>
        <v/>
      </c>
      <c r="R1767" s="44"/>
      <c r="S1767" s="9" t="str">
        <f aca="false">IF(N1767&lt;&gt;"Y","",IF(R1767&lt;&gt;"",R1767,IF(Q1767="(tanpa lawan)","Transfer antar rekening",IFERROR(INDEX(I_COA!$F$6:$F$265,MATCH(Q1767,I_COA!$A$6:$A$265,0)),"?"))))</f>
        <v/>
      </c>
    </row>
    <row r="1768" customFormat="false" ht="15" hidden="false" customHeight="false" outlineLevel="0" collapsed="false">
      <c r="A1768" s="37" t="n">
        <v>46260</v>
      </c>
      <c r="B1768" s="44" t="s">
        <v>1944</v>
      </c>
      <c r="C1768" s="44" t="s">
        <v>580</v>
      </c>
      <c r="D1768" s="44" t="n">
        <v>1102002</v>
      </c>
      <c r="E1768" s="44" t="s">
        <v>598</v>
      </c>
      <c r="F1768" s="44" t="s">
        <v>1946</v>
      </c>
      <c r="G1768" s="42"/>
      <c r="H1768" s="42" t="n">
        <v>20087560</v>
      </c>
      <c r="I1768" s="44"/>
      <c r="J1768" s="11" t="n">
        <f aca="false">IF(D1768="","",N(G1768)-N(H1768))</f>
        <v>-20087560</v>
      </c>
      <c r="K1768" s="34" t="str">
        <f aca="false">IF(D1768="","",IFERROR(INDEX(I_COA!$C$6:$C$265,MATCH(D1768,I_COA!$A$6:$A$265,0)),"AKUN BARU"))</f>
        <v>Neraca</v>
      </c>
      <c r="L1768" s="34" t="str">
        <f aca="false">IF(K1768="LabaRugi",INDEX(I_COA!$D$6:$D$265,MATCH(D1768,I_COA!$A$6:$A$265,0)),"")</f>
        <v/>
      </c>
      <c r="M1768" s="34" t="str">
        <f aca="false">IF(K1768="Neraca",INDEX(I_COA!$E$6:$E$265,MATCH(D1768,I_COA!$A$6:$A$265,0)),"")</f>
        <v>Cash and cash equivalents</v>
      </c>
      <c r="N1768" s="34" t="str">
        <f aca="false">IF(D1768="","",IFERROR(INDEX(I_COA!$G$6:$G$265,MATCH(D1768,I_COA!$A$6:$A$265,0)),"N"))</f>
        <v>Y</v>
      </c>
      <c r="O1768" s="11" t="str">
        <f aca="false">IF(N1768="N",ABS(J1768),"")</f>
        <v/>
      </c>
      <c r="P1768" s="18" t="str">
        <f aca="false">IF(N1768="N",B1768&amp;"|"&amp;ROUND(O1768,0),"")</f>
        <v/>
      </c>
      <c r="Q1768" s="18" t="n">
        <f aca="false">IF(N1768&lt;&gt;"Y","",IFERROR(INDEX($D$6:$D$4005,MATCH(B1768&amp;"|"&amp;ROUND(_xlfn.MAXIFS($O$6:$O$4005,$B$6:$B$4005,B1768,$N$6:$N$4005,"N"),0),$P$6:$P$4005,0)),"(tanpa lawan)"))</f>
        <v>1103121</v>
      </c>
      <c r="R1768" s="44"/>
      <c r="S1768" s="9" t="str">
        <f aca="false">IF(N1768&lt;&gt;"Y","",IF(R1768&lt;&gt;"",R1768,IF(Q1768="(tanpa lawan)","Transfer antar rekening",IFERROR(INDEX(I_COA!$F$6:$F$265,MATCH(Q1768,I_COA!$A$6:$A$265,0)),"?"))))</f>
        <v>Bayar pemasok barang (live bird &amp; trading)</v>
      </c>
    </row>
    <row r="1769" customFormat="false" ht="15" hidden="false" customHeight="false" outlineLevel="0" collapsed="false">
      <c r="A1769" s="37" t="n">
        <v>46260</v>
      </c>
      <c r="B1769" s="44" t="s">
        <v>1947</v>
      </c>
      <c r="C1769" s="44" t="s">
        <v>594</v>
      </c>
      <c r="D1769" s="44" t="n">
        <v>2101003</v>
      </c>
      <c r="E1769" s="44" t="s">
        <v>679</v>
      </c>
      <c r="F1769" s="44" t="s">
        <v>1948</v>
      </c>
      <c r="G1769" s="42" t="n">
        <v>38025000</v>
      </c>
      <c r="H1769" s="42"/>
      <c r="I1769" s="44" t="s">
        <v>681</v>
      </c>
      <c r="J1769" s="11" t="n">
        <f aca="false">IF(D1769="","",N(G1769)-N(H1769))</f>
        <v>38025000</v>
      </c>
      <c r="K1769" s="34" t="str">
        <f aca="false">IF(D1769="","",IFERROR(INDEX(I_COA!$C$6:$C$265,MATCH(D1769,I_COA!$A$6:$A$265,0)),"AKUN BARU"))</f>
        <v>Neraca</v>
      </c>
      <c r="L1769" s="34" t="str">
        <f aca="false">IF(K1769="LabaRugi",INDEX(I_COA!$D$6:$D$265,MATCH(D1769,I_COA!$A$6:$A$265,0)),"")</f>
        <v/>
      </c>
      <c r="M1769" s="34" t="str">
        <f aca="false">IF(K1769="Neraca",INDEX(I_COA!$E$6:$E$265,MATCH(D1769,I_COA!$A$6:$A$265,0)),"")</f>
        <v>Other Payable - Third Parties</v>
      </c>
      <c r="N1769" s="34" t="str">
        <f aca="false">IF(D1769="","",IFERROR(INDEX(I_COA!$G$6:$G$265,MATCH(D1769,I_COA!$A$6:$A$265,0)),"N"))</f>
        <v>N</v>
      </c>
      <c r="O1769" s="11" t="n">
        <f aca="false">IF(N1769="N",ABS(J1769),"")</f>
        <v>38025000</v>
      </c>
      <c r="P1769" s="18" t="str">
        <f aca="false">IF(N1769="N",B1769&amp;"|"&amp;ROUND(O1769,0),"")</f>
        <v>B8526080098|38025000</v>
      </c>
      <c r="Q1769" s="18" t="str">
        <f aca="false">IF(N1769&lt;&gt;"Y","",IFERROR(INDEX($D$6:$D$4005,MATCH(B1769&amp;"|"&amp;ROUND(_xlfn.MAXIFS($O$6:$O$4005,$B$6:$B$4005,B1769,$N$6:$N$4005,"N"),0),$P$6:$P$4005,0)),"(tanpa lawan)"))</f>
        <v/>
      </c>
      <c r="R1769" s="44"/>
      <c r="S1769" s="9" t="str">
        <f aca="false">IF(N1769&lt;&gt;"Y","",IF(R1769&lt;&gt;"",R1769,IF(Q1769="(tanpa lawan)","Transfer antar rekening",IFERROR(INDEX(I_COA!$F$6:$F$265,MATCH(Q1769,I_COA!$A$6:$A$265,0)),"?"))))</f>
        <v/>
      </c>
    </row>
    <row r="1770" customFormat="false" ht="15" hidden="false" customHeight="false" outlineLevel="0" collapsed="false">
      <c r="A1770" s="37" t="n">
        <v>46260</v>
      </c>
      <c r="B1770" s="44" t="s">
        <v>1947</v>
      </c>
      <c r="C1770" s="44" t="s">
        <v>594</v>
      </c>
      <c r="D1770" s="44" t="n">
        <v>6200023</v>
      </c>
      <c r="E1770" s="44" t="s">
        <v>688</v>
      </c>
      <c r="F1770" s="44" t="s">
        <v>1948</v>
      </c>
      <c r="G1770" s="42"/>
      <c r="H1770" s="42" t="n">
        <v>10000</v>
      </c>
      <c r="I1770" s="44" t="s">
        <v>681</v>
      </c>
      <c r="J1770" s="11" t="n">
        <f aca="false">IF(D1770="","",N(G1770)-N(H1770))</f>
        <v>-10000</v>
      </c>
      <c r="K1770" s="34" t="str">
        <f aca="false">IF(D1770="","",IFERROR(INDEX(I_COA!$C$6:$C$265,MATCH(D1770,I_COA!$A$6:$A$265,0)),"AKUN BARU"))</f>
        <v>LabaRugi</v>
      </c>
      <c r="L1770" s="34" t="str">
        <f aca="false">IF(K1770="LabaRugi",INDEX(I_COA!$D$6:$D$265,MATCH(D1770,I_COA!$A$6:$A$265,0)),"")</f>
        <v>Tax expenses</v>
      </c>
      <c r="M1770" s="34" t="str">
        <f aca="false">IF(K1770="Neraca",INDEX(I_COA!$E$6:$E$265,MATCH(D1770,I_COA!$A$6:$A$265,0)),"")</f>
        <v/>
      </c>
      <c r="N1770" s="34" t="str">
        <f aca="false">IF(D1770="","",IFERROR(INDEX(I_COA!$G$6:$G$265,MATCH(D1770,I_COA!$A$6:$A$265,0)),"N"))</f>
        <v>N</v>
      </c>
      <c r="O1770" s="11" t="n">
        <f aca="false">IF(N1770="N",ABS(J1770),"")</f>
        <v>10000</v>
      </c>
      <c r="P1770" s="18" t="str">
        <f aca="false">IF(N1770="N",B1770&amp;"|"&amp;ROUND(O1770,0),"")</f>
        <v>B8526080098|10000</v>
      </c>
      <c r="Q1770" s="18" t="str">
        <f aca="false">IF(N1770&lt;&gt;"Y","",IFERROR(INDEX($D$6:$D$4005,MATCH(B1770&amp;"|"&amp;ROUND(_xlfn.MAXIFS($O$6:$O$4005,$B$6:$B$4005,B1770,$N$6:$N$4005,"N"),0),$P$6:$P$4005,0)),"(tanpa lawan)"))</f>
        <v/>
      </c>
      <c r="R1770" s="44"/>
      <c r="S1770" s="9" t="str">
        <f aca="false">IF(N1770&lt;&gt;"Y","",IF(R1770&lt;&gt;"",R1770,IF(Q1770="(tanpa lawan)","Transfer antar rekening",IFERROR(INDEX(I_COA!$F$6:$F$265,MATCH(Q1770,I_COA!$A$6:$A$265,0)),"?"))))</f>
        <v/>
      </c>
    </row>
    <row r="1771" customFormat="false" ht="15" hidden="false" customHeight="false" outlineLevel="0" collapsed="false">
      <c r="A1771" s="37" t="n">
        <v>46260</v>
      </c>
      <c r="B1771" s="44" t="s">
        <v>1947</v>
      </c>
      <c r="C1771" s="44" t="s">
        <v>594</v>
      </c>
      <c r="D1771" s="44" t="n">
        <v>1102002</v>
      </c>
      <c r="E1771" s="44" t="s">
        <v>598</v>
      </c>
      <c r="F1771" s="44" t="s">
        <v>1948</v>
      </c>
      <c r="G1771" s="42"/>
      <c r="H1771" s="42" t="n">
        <v>38015000</v>
      </c>
      <c r="I1771" s="44" t="s">
        <v>681</v>
      </c>
      <c r="J1771" s="11" t="n">
        <f aca="false">IF(D1771="","",N(G1771)-N(H1771))</f>
        <v>-38015000</v>
      </c>
      <c r="K1771" s="34" t="str">
        <f aca="false">IF(D1771="","",IFERROR(INDEX(I_COA!$C$6:$C$265,MATCH(D1771,I_COA!$A$6:$A$265,0)),"AKUN BARU"))</f>
        <v>Neraca</v>
      </c>
      <c r="L1771" s="34" t="str">
        <f aca="false">IF(K1771="LabaRugi",INDEX(I_COA!$D$6:$D$265,MATCH(D1771,I_COA!$A$6:$A$265,0)),"")</f>
        <v/>
      </c>
      <c r="M1771" s="34" t="str">
        <f aca="false">IF(K1771="Neraca",INDEX(I_COA!$E$6:$E$265,MATCH(D1771,I_COA!$A$6:$A$265,0)),"")</f>
        <v>Cash and cash equivalents</v>
      </c>
      <c r="N1771" s="34" t="str">
        <f aca="false">IF(D1771="","",IFERROR(INDEX(I_COA!$G$6:$G$265,MATCH(D1771,I_COA!$A$6:$A$265,0)),"N"))</f>
        <v>Y</v>
      </c>
      <c r="O1771" s="11" t="str">
        <f aca="false">IF(N1771="N",ABS(J1771),"")</f>
        <v/>
      </c>
      <c r="P1771" s="18" t="str">
        <f aca="false">IF(N1771="N",B1771&amp;"|"&amp;ROUND(O1771,0),"")</f>
        <v/>
      </c>
      <c r="Q1771" s="18" t="n">
        <f aca="false">IF(N1771&lt;&gt;"Y","",IFERROR(INDEX($D$6:$D$4005,MATCH(B1771&amp;"|"&amp;ROUND(_xlfn.MAXIFS($O$6:$O$4005,$B$6:$B$4005,B1771,$N$6:$N$4005,"N"),0),$P$6:$P$4005,0)),"(tanpa lawan)"))</f>
        <v>2101003</v>
      </c>
      <c r="R1771" s="44"/>
      <c r="S1771" s="9" t="str">
        <f aca="false">IF(N1771&lt;&gt;"Y","",IF(R1771&lt;&gt;"",R1771,IF(Q1771="(tanpa lawan)","Transfer antar rekening",IFERROR(INDEX(I_COA!$F$6:$F$265,MATCH(Q1771,I_COA!$A$6:$A$265,0)),"?"))))</f>
        <v>Bayar jasa (maklon, angkut, cold storage, sewa)</v>
      </c>
    </row>
    <row r="1772" customFormat="false" ht="15" hidden="false" customHeight="false" outlineLevel="0" collapsed="false">
      <c r="A1772" s="37" t="n">
        <v>46260</v>
      </c>
      <c r="B1772" s="44" t="s">
        <v>1949</v>
      </c>
      <c r="C1772" s="44" t="s">
        <v>690</v>
      </c>
      <c r="D1772" s="44" t="n">
        <v>1104003</v>
      </c>
      <c r="E1772" s="44" t="s">
        <v>613</v>
      </c>
      <c r="F1772" s="44" t="s">
        <v>1950</v>
      </c>
      <c r="G1772" s="42" t="n">
        <v>306876121.09</v>
      </c>
      <c r="H1772" s="42"/>
      <c r="I1772" s="44" t="s">
        <v>597</v>
      </c>
      <c r="J1772" s="11" t="n">
        <f aca="false">IF(D1772="","",N(G1772)-N(H1772))</f>
        <v>306876121.09</v>
      </c>
      <c r="K1772" s="34" t="str">
        <f aca="false">IF(D1772="","",IFERROR(INDEX(I_COA!$C$6:$C$265,MATCH(D1772,I_COA!$A$6:$A$265,0)),"AKUN BARU"))</f>
        <v>Neraca</v>
      </c>
      <c r="L1772" s="34" t="str">
        <f aca="false">IF(K1772="LabaRugi",INDEX(I_COA!$D$6:$D$265,MATCH(D1772,I_COA!$A$6:$A$265,0)),"")</f>
        <v/>
      </c>
      <c r="M1772" s="34" t="str">
        <f aca="false">IF(K1772="Neraca",INDEX(I_COA!$E$6:$E$265,MATCH(D1772,I_COA!$A$6:$A$265,0)),"")</f>
        <v>Inventory - Product</v>
      </c>
      <c r="N1772" s="34" t="str">
        <f aca="false">IF(D1772="","",IFERROR(INDEX(I_COA!$G$6:$G$265,MATCH(D1772,I_COA!$A$6:$A$265,0)),"N"))</f>
        <v>N</v>
      </c>
      <c r="O1772" s="11" t="n">
        <f aca="false">IF(N1772="N",ABS(J1772),"")</f>
        <v>306876121.09</v>
      </c>
      <c r="P1772" s="18" t="str">
        <f aca="false">IF(N1772="N",B1772&amp;"|"&amp;ROUND(O1772,0),"")</f>
        <v>GR26080021|306876121</v>
      </c>
      <c r="Q1772" s="18" t="str">
        <f aca="false">IF(N1772&lt;&gt;"Y","",IFERROR(INDEX($D$6:$D$4005,MATCH(B1772&amp;"|"&amp;ROUND(_xlfn.MAXIFS($O$6:$O$4005,$B$6:$B$4005,B1772,$N$6:$N$4005,"N"),0),$P$6:$P$4005,0)),"(tanpa lawan)"))</f>
        <v/>
      </c>
      <c r="R1772" s="44"/>
      <c r="S1772" s="9" t="str">
        <f aca="false">IF(N1772&lt;&gt;"Y","",IF(R1772&lt;&gt;"",R1772,IF(Q1772="(tanpa lawan)","Transfer antar rekening",IFERROR(INDEX(I_COA!$F$6:$F$265,MATCH(Q1772,I_COA!$A$6:$A$265,0)),"?"))))</f>
        <v/>
      </c>
    </row>
    <row r="1773" customFormat="false" ht="15" hidden="false" customHeight="false" outlineLevel="0" collapsed="false">
      <c r="A1773" s="37" t="n">
        <v>46260</v>
      </c>
      <c r="B1773" s="44" t="s">
        <v>1949</v>
      </c>
      <c r="C1773" s="44" t="s">
        <v>690</v>
      </c>
      <c r="D1773" s="44" t="n">
        <v>2103011</v>
      </c>
      <c r="E1773" s="44" t="s">
        <v>693</v>
      </c>
      <c r="F1773" s="44" t="s">
        <v>1950</v>
      </c>
      <c r="G1773" s="42"/>
      <c r="H1773" s="42" t="n">
        <v>327203439.74</v>
      </c>
      <c r="I1773" s="44" t="s">
        <v>597</v>
      </c>
      <c r="J1773" s="11" t="n">
        <f aca="false">IF(D1773="","",N(G1773)-N(H1773))</f>
        <v>-327203439.74</v>
      </c>
      <c r="K1773" s="34" t="str">
        <f aca="false">IF(D1773="","",IFERROR(INDEX(I_COA!$C$6:$C$265,MATCH(D1773,I_COA!$A$6:$A$265,0)),"AKUN BARU"))</f>
        <v>Neraca</v>
      </c>
      <c r="L1773" s="34" t="str">
        <f aca="false">IF(K1773="LabaRugi",INDEX(I_COA!$D$6:$D$265,MATCH(D1773,I_COA!$A$6:$A$265,0)),"")</f>
        <v/>
      </c>
      <c r="M1773" s="34" t="str">
        <f aca="false">IF(K1773="Neraca",INDEX(I_COA!$E$6:$E$265,MATCH(D1773,I_COA!$A$6:$A$265,0)),"")</f>
        <v>Accrued Expenses - Third Parties</v>
      </c>
      <c r="N1773" s="34" t="str">
        <f aca="false">IF(D1773="","",IFERROR(INDEX(I_COA!$G$6:$G$265,MATCH(D1773,I_COA!$A$6:$A$265,0)),"N"))</f>
        <v>N</v>
      </c>
      <c r="O1773" s="11" t="n">
        <f aca="false">IF(N1773="N",ABS(J1773),"")</f>
        <v>327203439.74</v>
      </c>
      <c r="P1773" s="18" t="str">
        <f aca="false">IF(N1773="N",B1773&amp;"|"&amp;ROUND(O1773,0),"")</f>
        <v>GR26080021|327203440</v>
      </c>
      <c r="Q1773" s="18" t="str">
        <f aca="false">IF(N1773&lt;&gt;"Y","",IFERROR(INDEX($D$6:$D$4005,MATCH(B1773&amp;"|"&amp;ROUND(_xlfn.MAXIFS($O$6:$O$4005,$B$6:$B$4005,B1773,$N$6:$N$4005,"N"),0),$P$6:$P$4005,0)),"(tanpa lawan)"))</f>
        <v/>
      </c>
      <c r="R1773" s="44"/>
      <c r="S1773" s="9" t="str">
        <f aca="false">IF(N1773&lt;&gt;"Y","",IF(R1773&lt;&gt;"",R1773,IF(Q1773="(tanpa lawan)","Transfer antar rekening",IFERROR(INDEX(I_COA!$F$6:$F$265,MATCH(Q1773,I_COA!$A$6:$A$265,0)),"?"))))</f>
        <v/>
      </c>
    </row>
    <row r="1774" customFormat="false" ht="15" hidden="false" customHeight="false" outlineLevel="0" collapsed="false">
      <c r="A1774" s="37" t="n">
        <v>46260</v>
      </c>
      <c r="B1774" s="44" t="s">
        <v>1949</v>
      </c>
      <c r="C1774" s="44" t="s">
        <v>690</v>
      </c>
      <c r="D1774" s="44" t="n">
        <v>1104004</v>
      </c>
      <c r="E1774" s="44" t="s">
        <v>917</v>
      </c>
      <c r="F1774" s="44" t="s">
        <v>1950</v>
      </c>
      <c r="G1774" s="42" t="n">
        <v>20327318.65</v>
      </c>
      <c r="H1774" s="42"/>
      <c r="I1774" s="44" t="s">
        <v>597</v>
      </c>
      <c r="J1774" s="11" t="n">
        <f aca="false">IF(D1774="","",N(G1774)-N(H1774))</f>
        <v>20327318.65</v>
      </c>
      <c r="K1774" s="34" t="str">
        <f aca="false">IF(D1774="","",IFERROR(INDEX(I_COA!$C$6:$C$265,MATCH(D1774,I_COA!$A$6:$A$265,0)),"AKUN BARU"))</f>
        <v>Neraca</v>
      </c>
      <c r="L1774" s="34" t="str">
        <f aca="false">IF(K1774="LabaRugi",INDEX(I_COA!$D$6:$D$265,MATCH(D1774,I_COA!$A$6:$A$265,0)),"")</f>
        <v/>
      </c>
      <c r="M1774" s="34" t="str">
        <f aca="false">IF(K1774="Neraca",INDEX(I_COA!$E$6:$E$265,MATCH(D1774,I_COA!$A$6:$A$265,0)),"")</f>
        <v>Inventory - Product</v>
      </c>
      <c r="N1774" s="34" t="str">
        <f aca="false">IF(D1774="","",IFERROR(INDEX(I_COA!$G$6:$G$265,MATCH(D1774,I_COA!$A$6:$A$265,0)),"N"))</f>
        <v>N</v>
      </c>
      <c r="O1774" s="11" t="n">
        <f aca="false">IF(N1774="N",ABS(J1774),"")</f>
        <v>20327318.65</v>
      </c>
      <c r="P1774" s="18" t="str">
        <f aca="false">IF(N1774="N",B1774&amp;"|"&amp;ROUND(O1774,0),"")</f>
        <v>GR26080021|20327319</v>
      </c>
      <c r="Q1774" s="18" t="str">
        <f aca="false">IF(N1774&lt;&gt;"Y","",IFERROR(INDEX($D$6:$D$4005,MATCH(B1774&amp;"|"&amp;ROUND(_xlfn.MAXIFS($O$6:$O$4005,$B$6:$B$4005,B1774,$N$6:$N$4005,"N"),0),$P$6:$P$4005,0)),"(tanpa lawan)"))</f>
        <v/>
      </c>
      <c r="R1774" s="44"/>
      <c r="S1774" s="9" t="str">
        <f aca="false">IF(N1774&lt;&gt;"Y","",IF(R1774&lt;&gt;"",R1774,IF(Q1774="(tanpa lawan)","Transfer antar rekening",IFERROR(INDEX(I_COA!$F$6:$F$265,MATCH(Q1774,I_COA!$A$6:$A$265,0)),"?"))))</f>
        <v/>
      </c>
    </row>
    <row r="1775" customFormat="false" ht="15" hidden="false" customHeight="false" outlineLevel="0" collapsed="false">
      <c r="A1775" s="37" t="n">
        <v>46260</v>
      </c>
      <c r="B1775" s="44" t="s">
        <v>436</v>
      </c>
      <c r="C1775" s="44" t="s">
        <v>600</v>
      </c>
      <c r="D1775" s="44" t="n">
        <v>1104002</v>
      </c>
      <c r="E1775" s="44" t="s">
        <v>601</v>
      </c>
      <c r="F1775" s="44" t="s">
        <v>1951</v>
      </c>
      <c r="G1775" s="42" t="n">
        <v>39394218.41</v>
      </c>
      <c r="H1775" s="42"/>
      <c r="I1775" s="44" t="s">
        <v>437</v>
      </c>
      <c r="J1775" s="11" t="n">
        <f aca="false">IF(D1775="","",N(G1775)-N(H1775))</f>
        <v>39394218.41</v>
      </c>
      <c r="K1775" s="34" t="str">
        <f aca="false">IF(D1775="","",IFERROR(INDEX(I_COA!$C$6:$C$265,MATCH(D1775,I_COA!$A$6:$A$265,0)),"AKUN BARU"))</f>
        <v>Neraca</v>
      </c>
      <c r="L1775" s="34" t="str">
        <f aca="false">IF(K1775="LabaRugi",INDEX(I_COA!$D$6:$D$265,MATCH(D1775,I_COA!$A$6:$A$265,0)),"")</f>
        <v/>
      </c>
      <c r="M1775" s="34" t="str">
        <f aca="false">IF(K1775="Neraca",INDEX(I_COA!$E$6:$E$265,MATCH(D1775,I_COA!$A$6:$A$265,0)),"")</f>
        <v>Inventory - Product</v>
      </c>
      <c r="N1775" s="34" t="str">
        <f aca="false">IF(D1775="","",IFERROR(INDEX(I_COA!$G$6:$G$265,MATCH(D1775,I_COA!$A$6:$A$265,0)),"N"))</f>
        <v>N</v>
      </c>
      <c r="O1775" s="11" t="n">
        <f aca="false">IF(N1775="N",ABS(J1775),"")</f>
        <v>39394218.41</v>
      </c>
      <c r="P1775" s="18" t="str">
        <f aca="false">IF(N1775="N",B1775&amp;"|"&amp;ROUND(O1775,0),"")</f>
        <v>KGR26.00319|39394218</v>
      </c>
      <c r="Q1775" s="18" t="str">
        <f aca="false">IF(N1775&lt;&gt;"Y","",IFERROR(INDEX($D$6:$D$4005,MATCH(B1775&amp;"|"&amp;ROUND(_xlfn.MAXIFS($O$6:$O$4005,$B$6:$B$4005,B1775,$N$6:$N$4005,"N"),0),$P$6:$P$4005,0)),"(tanpa lawan)"))</f>
        <v/>
      </c>
      <c r="R1775" s="44"/>
      <c r="S1775" s="9" t="str">
        <f aca="false">IF(N1775&lt;&gt;"Y","",IF(R1775&lt;&gt;"",R1775,IF(Q1775="(tanpa lawan)","Transfer antar rekening",IFERROR(INDEX(I_COA!$F$6:$F$265,MATCH(Q1775,I_COA!$A$6:$A$265,0)),"?"))))</f>
        <v/>
      </c>
    </row>
    <row r="1776" customFormat="false" ht="15" hidden="false" customHeight="false" outlineLevel="0" collapsed="false">
      <c r="A1776" s="37" t="n">
        <v>46260</v>
      </c>
      <c r="B1776" s="44" t="s">
        <v>436</v>
      </c>
      <c r="C1776" s="44" t="s">
        <v>600</v>
      </c>
      <c r="D1776" s="44" t="n">
        <v>1104006</v>
      </c>
      <c r="E1776" s="44" t="s">
        <v>212</v>
      </c>
      <c r="F1776" s="44" t="s">
        <v>1951</v>
      </c>
      <c r="G1776" s="42"/>
      <c r="H1776" s="42" t="n">
        <v>39394218.41</v>
      </c>
      <c r="I1776" s="44" t="s">
        <v>437</v>
      </c>
      <c r="J1776" s="11" t="n">
        <f aca="false">IF(D1776="","",N(G1776)-N(H1776))</f>
        <v>-39394218.41</v>
      </c>
      <c r="K1776" s="34" t="str">
        <f aca="false">IF(D1776="","",IFERROR(INDEX(I_COA!$C$6:$C$265,MATCH(D1776,I_COA!$A$6:$A$265,0)),"AKUN BARU"))</f>
        <v>Neraca</v>
      </c>
      <c r="L1776" s="34" t="str">
        <f aca="false">IF(K1776="LabaRugi",INDEX(I_COA!$D$6:$D$265,MATCH(D1776,I_COA!$A$6:$A$265,0)),"")</f>
        <v/>
      </c>
      <c r="M1776" s="34" t="str">
        <f aca="false">IF(K1776="Neraca",INDEX(I_COA!$E$6:$E$265,MATCH(D1776,I_COA!$A$6:$A$265,0)),"")</f>
        <v>Inventory - Trading</v>
      </c>
      <c r="N1776" s="34" t="str">
        <f aca="false">IF(D1776="","",IFERROR(INDEX(I_COA!$G$6:$G$265,MATCH(D1776,I_COA!$A$6:$A$265,0)),"N"))</f>
        <v>N</v>
      </c>
      <c r="O1776" s="11" t="n">
        <f aca="false">IF(N1776="N",ABS(J1776),"")</f>
        <v>39394218.41</v>
      </c>
      <c r="P1776" s="18" t="str">
        <f aca="false">IF(N1776="N",B1776&amp;"|"&amp;ROUND(O1776,0),"")</f>
        <v>KGR26.00319|39394218</v>
      </c>
      <c r="Q1776" s="18" t="str">
        <f aca="false">IF(N1776&lt;&gt;"Y","",IFERROR(INDEX($D$6:$D$4005,MATCH(B1776&amp;"|"&amp;ROUND(_xlfn.MAXIFS($O$6:$O$4005,$B$6:$B$4005,B1776,$N$6:$N$4005,"N"),0),$P$6:$P$4005,0)),"(tanpa lawan)"))</f>
        <v/>
      </c>
      <c r="R1776" s="44"/>
      <c r="S1776" s="9" t="str">
        <f aca="false">IF(N1776&lt;&gt;"Y","",IF(R1776&lt;&gt;"",R1776,IF(Q1776="(tanpa lawan)","Transfer antar rekening",IFERROR(INDEX(I_COA!$F$6:$F$265,MATCH(Q1776,I_COA!$A$6:$A$265,0)),"?"))))</f>
        <v/>
      </c>
    </row>
    <row r="1777" customFormat="false" ht="15" hidden="false" customHeight="false" outlineLevel="0" collapsed="false">
      <c r="A1777" s="37" t="n">
        <v>46260</v>
      </c>
      <c r="B1777" s="44" t="s">
        <v>439</v>
      </c>
      <c r="C1777" s="44" t="s">
        <v>600</v>
      </c>
      <c r="D1777" s="44" t="n">
        <v>1104002</v>
      </c>
      <c r="E1777" s="44" t="s">
        <v>601</v>
      </c>
      <c r="F1777" s="44" t="s">
        <v>1952</v>
      </c>
      <c r="G1777" s="42" t="n">
        <v>5225865.54</v>
      </c>
      <c r="H1777" s="42"/>
      <c r="I1777" s="44" t="s">
        <v>440</v>
      </c>
      <c r="J1777" s="11" t="n">
        <f aca="false">IF(D1777="","",N(G1777)-N(H1777))</f>
        <v>5225865.54</v>
      </c>
      <c r="K1777" s="34" t="str">
        <f aca="false">IF(D1777="","",IFERROR(INDEX(I_COA!$C$6:$C$265,MATCH(D1777,I_COA!$A$6:$A$265,0)),"AKUN BARU"))</f>
        <v>Neraca</v>
      </c>
      <c r="L1777" s="34" t="str">
        <f aca="false">IF(K1777="LabaRugi",INDEX(I_COA!$D$6:$D$265,MATCH(D1777,I_COA!$A$6:$A$265,0)),"")</f>
        <v/>
      </c>
      <c r="M1777" s="34" t="str">
        <f aca="false">IF(K1777="Neraca",INDEX(I_COA!$E$6:$E$265,MATCH(D1777,I_COA!$A$6:$A$265,0)),"")</f>
        <v>Inventory - Product</v>
      </c>
      <c r="N1777" s="34" t="str">
        <f aca="false">IF(D1777="","",IFERROR(INDEX(I_COA!$G$6:$G$265,MATCH(D1777,I_COA!$A$6:$A$265,0)),"N"))</f>
        <v>N</v>
      </c>
      <c r="O1777" s="11" t="n">
        <f aca="false">IF(N1777="N",ABS(J1777),"")</f>
        <v>5225865.54</v>
      </c>
      <c r="P1777" s="18" t="str">
        <f aca="false">IF(N1777="N",B1777&amp;"|"&amp;ROUND(O1777,0),"")</f>
        <v>KGR26.00320|5225866</v>
      </c>
      <c r="Q1777" s="18" t="str">
        <f aca="false">IF(N1777&lt;&gt;"Y","",IFERROR(INDEX($D$6:$D$4005,MATCH(B1777&amp;"|"&amp;ROUND(_xlfn.MAXIFS($O$6:$O$4005,$B$6:$B$4005,B1777,$N$6:$N$4005,"N"),0),$P$6:$P$4005,0)),"(tanpa lawan)"))</f>
        <v/>
      </c>
      <c r="R1777" s="44"/>
      <c r="S1777" s="9" t="str">
        <f aca="false">IF(N1777&lt;&gt;"Y","",IF(R1777&lt;&gt;"",R1777,IF(Q1777="(tanpa lawan)","Transfer antar rekening",IFERROR(INDEX(I_COA!$F$6:$F$265,MATCH(Q1777,I_COA!$A$6:$A$265,0)),"?"))))</f>
        <v/>
      </c>
    </row>
    <row r="1778" customFormat="false" ht="15" hidden="false" customHeight="false" outlineLevel="0" collapsed="false">
      <c r="A1778" s="37" t="n">
        <v>46260</v>
      </c>
      <c r="B1778" s="44" t="s">
        <v>439</v>
      </c>
      <c r="C1778" s="44" t="s">
        <v>600</v>
      </c>
      <c r="D1778" s="44" t="n">
        <v>1104004</v>
      </c>
      <c r="E1778" s="44" t="s">
        <v>917</v>
      </c>
      <c r="F1778" s="44" t="s">
        <v>1952</v>
      </c>
      <c r="G1778" s="42"/>
      <c r="H1778" s="42" t="n">
        <v>5225865.54</v>
      </c>
      <c r="I1778" s="44" t="s">
        <v>440</v>
      </c>
      <c r="J1778" s="11" t="n">
        <f aca="false">IF(D1778="","",N(G1778)-N(H1778))</f>
        <v>-5225865.54</v>
      </c>
      <c r="K1778" s="34" t="str">
        <f aca="false">IF(D1778="","",IFERROR(INDEX(I_COA!$C$6:$C$265,MATCH(D1778,I_COA!$A$6:$A$265,0)),"AKUN BARU"))</f>
        <v>Neraca</v>
      </c>
      <c r="L1778" s="34" t="str">
        <f aca="false">IF(K1778="LabaRugi",INDEX(I_COA!$D$6:$D$265,MATCH(D1778,I_COA!$A$6:$A$265,0)),"")</f>
        <v/>
      </c>
      <c r="M1778" s="34" t="str">
        <f aca="false">IF(K1778="Neraca",INDEX(I_COA!$E$6:$E$265,MATCH(D1778,I_COA!$A$6:$A$265,0)),"")</f>
        <v>Inventory - Product</v>
      </c>
      <c r="N1778" s="34" t="str">
        <f aca="false">IF(D1778="","",IFERROR(INDEX(I_COA!$G$6:$G$265,MATCH(D1778,I_COA!$A$6:$A$265,0)),"N"))</f>
        <v>N</v>
      </c>
      <c r="O1778" s="11" t="n">
        <f aca="false">IF(N1778="N",ABS(J1778),"")</f>
        <v>5225865.54</v>
      </c>
      <c r="P1778" s="18" t="str">
        <f aca="false">IF(N1778="N",B1778&amp;"|"&amp;ROUND(O1778,0),"")</f>
        <v>KGR26.00320|5225866</v>
      </c>
      <c r="Q1778" s="18" t="str">
        <f aca="false">IF(N1778&lt;&gt;"Y","",IFERROR(INDEX($D$6:$D$4005,MATCH(B1778&amp;"|"&amp;ROUND(_xlfn.MAXIFS($O$6:$O$4005,$B$6:$B$4005,B1778,$N$6:$N$4005,"N"),0),$P$6:$P$4005,0)),"(tanpa lawan)"))</f>
        <v/>
      </c>
      <c r="R1778" s="44"/>
      <c r="S1778" s="9" t="str">
        <f aca="false">IF(N1778&lt;&gt;"Y","",IF(R1778&lt;&gt;"",R1778,IF(Q1778="(tanpa lawan)","Transfer antar rekening",IFERROR(INDEX(I_COA!$F$6:$F$265,MATCH(Q1778,I_COA!$A$6:$A$265,0)),"?"))))</f>
        <v/>
      </c>
    </row>
    <row r="1779" customFormat="false" ht="15" hidden="false" customHeight="false" outlineLevel="0" collapsed="false">
      <c r="A1779" s="37" t="n">
        <v>46260</v>
      </c>
      <c r="B1779" s="44" t="s">
        <v>445</v>
      </c>
      <c r="C1779" s="44" t="s">
        <v>600</v>
      </c>
      <c r="D1779" s="44" t="n">
        <v>1104002</v>
      </c>
      <c r="E1779" s="44" t="s">
        <v>601</v>
      </c>
      <c r="F1779" s="44" t="s">
        <v>1953</v>
      </c>
      <c r="G1779" s="42" t="n">
        <v>4669521.4</v>
      </c>
      <c r="H1779" s="42"/>
      <c r="I1779" s="44" t="s">
        <v>440</v>
      </c>
      <c r="J1779" s="11" t="n">
        <f aca="false">IF(D1779="","",N(G1779)-N(H1779))</f>
        <v>4669521.4</v>
      </c>
      <c r="K1779" s="34" t="str">
        <f aca="false">IF(D1779="","",IFERROR(INDEX(I_COA!$C$6:$C$265,MATCH(D1779,I_COA!$A$6:$A$265,0)),"AKUN BARU"))</f>
        <v>Neraca</v>
      </c>
      <c r="L1779" s="34" t="str">
        <f aca="false">IF(K1779="LabaRugi",INDEX(I_COA!$D$6:$D$265,MATCH(D1779,I_COA!$A$6:$A$265,0)),"")</f>
        <v/>
      </c>
      <c r="M1779" s="34" t="str">
        <f aca="false">IF(K1779="Neraca",INDEX(I_COA!$E$6:$E$265,MATCH(D1779,I_COA!$A$6:$A$265,0)),"")</f>
        <v>Inventory - Product</v>
      </c>
      <c r="N1779" s="34" t="str">
        <f aca="false">IF(D1779="","",IFERROR(INDEX(I_COA!$G$6:$G$265,MATCH(D1779,I_COA!$A$6:$A$265,0)),"N"))</f>
        <v>N</v>
      </c>
      <c r="O1779" s="11" t="n">
        <f aca="false">IF(N1779="N",ABS(J1779),"")</f>
        <v>4669521.4</v>
      </c>
      <c r="P1779" s="18" t="str">
        <f aca="false">IF(N1779="N",B1779&amp;"|"&amp;ROUND(O1779,0),"")</f>
        <v>KGR26.00321|4669521</v>
      </c>
      <c r="Q1779" s="18" t="str">
        <f aca="false">IF(N1779&lt;&gt;"Y","",IFERROR(INDEX($D$6:$D$4005,MATCH(B1779&amp;"|"&amp;ROUND(_xlfn.MAXIFS($O$6:$O$4005,$B$6:$B$4005,B1779,$N$6:$N$4005,"N"),0),$P$6:$P$4005,0)),"(tanpa lawan)"))</f>
        <v/>
      </c>
      <c r="R1779" s="44"/>
      <c r="S1779" s="9" t="str">
        <f aca="false">IF(N1779&lt;&gt;"Y","",IF(R1779&lt;&gt;"",R1779,IF(Q1779="(tanpa lawan)","Transfer antar rekening",IFERROR(INDEX(I_COA!$F$6:$F$265,MATCH(Q1779,I_COA!$A$6:$A$265,0)),"?"))))</f>
        <v/>
      </c>
    </row>
    <row r="1780" customFormat="false" ht="15" hidden="false" customHeight="false" outlineLevel="0" collapsed="false">
      <c r="A1780" s="37" t="n">
        <v>46260</v>
      </c>
      <c r="B1780" s="44" t="s">
        <v>445</v>
      </c>
      <c r="C1780" s="44" t="s">
        <v>600</v>
      </c>
      <c r="D1780" s="44" t="n">
        <v>1104004</v>
      </c>
      <c r="E1780" s="44" t="s">
        <v>917</v>
      </c>
      <c r="F1780" s="44" t="s">
        <v>1953</v>
      </c>
      <c r="G1780" s="42"/>
      <c r="H1780" s="42" t="n">
        <v>4669521.4</v>
      </c>
      <c r="I1780" s="44" t="s">
        <v>440</v>
      </c>
      <c r="J1780" s="11" t="n">
        <f aca="false">IF(D1780="","",N(G1780)-N(H1780))</f>
        <v>-4669521.4</v>
      </c>
      <c r="K1780" s="34" t="str">
        <f aca="false">IF(D1780="","",IFERROR(INDEX(I_COA!$C$6:$C$265,MATCH(D1780,I_COA!$A$6:$A$265,0)),"AKUN BARU"))</f>
        <v>Neraca</v>
      </c>
      <c r="L1780" s="34" t="str">
        <f aca="false">IF(K1780="LabaRugi",INDEX(I_COA!$D$6:$D$265,MATCH(D1780,I_COA!$A$6:$A$265,0)),"")</f>
        <v/>
      </c>
      <c r="M1780" s="34" t="str">
        <f aca="false">IF(K1780="Neraca",INDEX(I_COA!$E$6:$E$265,MATCH(D1780,I_COA!$A$6:$A$265,0)),"")</f>
        <v>Inventory - Product</v>
      </c>
      <c r="N1780" s="34" t="str">
        <f aca="false">IF(D1780="","",IFERROR(INDEX(I_COA!$G$6:$G$265,MATCH(D1780,I_COA!$A$6:$A$265,0)),"N"))</f>
        <v>N</v>
      </c>
      <c r="O1780" s="11" t="n">
        <f aca="false">IF(N1780="N",ABS(J1780),"")</f>
        <v>4669521.4</v>
      </c>
      <c r="P1780" s="18" t="str">
        <f aca="false">IF(N1780="N",B1780&amp;"|"&amp;ROUND(O1780,0),"")</f>
        <v>KGR26.00321|4669521</v>
      </c>
      <c r="Q1780" s="18" t="str">
        <f aca="false">IF(N1780&lt;&gt;"Y","",IFERROR(INDEX($D$6:$D$4005,MATCH(B1780&amp;"|"&amp;ROUND(_xlfn.MAXIFS($O$6:$O$4005,$B$6:$B$4005,B1780,$N$6:$N$4005,"N"),0),$P$6:$P$4005,0)),"(tanpa lawan)"))</f>
        <v/>
      </c>
      <c r="R1780" s="44"/>
      <c r="S1780" s="9" t="str">
        <f aca="false">IF(N1780&lt;&gt;"Y","",IF(R1780&lt;&gt;"",R1780,IF(Q1780="(tanpa lawan)","Transfer antar rekening",IFERROR(INDEX(I_COA!$F$6:$F$265,MATCH(Q1780,I_COA!$A$6:$A$265,0)),"?"))))</f>
        <v/>
      </c>
    </row>
    <row r="1781" customFormat="false" ht="15" hidden="false" customHeight="false" outlineLevel="0" collapsed="false">
      <c r="A1781" s="37" t="n">
        <v>46260</v>
      </c>
      <c r="B1781" s="44" t="s">
        <v>446</v>
      </c>
      <c r="C1781" s="44" t="s">
        <v>600</v>
      </c>
      <c r="D1781" s="44" t="n">
        <v>1104002</v>
      </c>
      <c r="E1781" s="44" t="s">
        <v>601</v>
      </c>
      <c r="F1781" s="44" t="s">
        <v>1954</v>
      </c>
      <c r="G1781" s="42" t="n">
        <v>4887429.65</v>
      </c>
      <c r="H1781" s="42"/>
      <c r="I1781" s="44" t="s">
        <v>440</v>
      </c>
      <c r="J1781" s="11" t="n">
        <f aca="false">IF(D1781="","",N(G1781)-N(H1781))</f>
        <v>4887429.65</v>
      </c>
      <c r="K1781" s="34" t="str">
        <f aca="false">IF(D1781="","",IFERROR(INDEX(I_COA!$C$6:$C$265,MATCH(D1781,I_COA!$A$6:$A$265,0)),"AKUN BARU"))</f>
        <v>Neraca</v>
      </c>
      <c r="L1781" s="34" t="str">
        <f aca="false">IF(K1781="LabaRugi",INDEX(I_COA!$D$6:$D$265,MATCH(D1781,I_COA!$A$6:$A$265,0)),"")</f>
        <v/>
      </c>
      <c r="M1781" s="34" t="str">
        <f aca="false">IF(K1781="Neraca",INDEX(I_COA!$E$6:$E$265,MATCH(D1781,I_COA!$A$6:$A$265,0)),"")</f>
        <v>Inventory - Product</v>
      </c>
      <c r="N1781" s="34" t="str">
        <f aca="false">IF(D1781="","",IFERROR(INDEX(I_COA!$G$6:$G$265,MATCH(D1781,I_COA!$A$6:$A$265,0)),"N"))</f>
        <v>N</v>
      </c>
      <c r="O1781" s="11" t="n">
        <f aca="false">IF(N1781="N",ABS(J1781),"")</f>
        <v>4887429.65</v>
      </c>
      <c r="P1781" s="18" t="str">
        <f aca="false">IF(N1781="N",B1781&amp;"|"&amp;ROUND(O1781,0),"")</f>
        <v>KGR26.00322|4887430</v>
      </c>
      <c r="Q1781" s="18" t="str">
        <f aca="false">IF(N1781&lt;&gt;"Y","",IFERROR(INDEX($D$6:$D$4005,MATCH(B1781&amp;"|"&amp;ROUND(_xlfn.MAXIFS($O$6:$O$4005,$B$6:$B$4005,B1781,$N$6:$N$4005,"N"),0),$P$6:$P$4005,0)),"(tanpa lawan)"))</f>
        <v/>
      </c>
      <c r="R1781" s="44"/>
      <c r="S1781" s="9" t="str">
        <f aca="false">IF(N1781&lt;&gt;"Y","",IF(R1781&lt;&gt;"",R1781,IF(Q1781="(tanpa lawan)","Transfer antar rekening",IFERROR(INDEX(I_COA!$F$6:$F$265,MATCH(Q1781,I_COA!$A$6:$A$265,0)),"?"))))</f>
        <v/>
      </c>
    </row>
    <row r="1782" customFormat="false" ht="15" hidden="false" customHeight="false" outlineLevel="0" collapsed="false">
      <c r="A1782" s="37" t="n">
        <v>46260</v>
      </c>
      <c r="B1782" s="44" t="s">
        <v>446</v>
      </c>
      <c r="C1782" s="44" t="s">
        <v>600</v>
      </c>
      <c r="D1782" s="44" t="n">
        <v>1104004</v>
      </c>
      <c r="E1782" s="44" t="s">
        <v>917</v>
      </c>
      <c r="F1782" s="44" t="s">
        <v>1954</v>
      </c>
      <c r="G1782" s="42"/>
      <c r="H1782" s="42" t="n">
        <v>4887429.65</v>
      </c>
      <c r="I1782" s="44" t="s">
        <v>440</v>
      </c>
      <c r="J1782" s="11" t="n">
        <f aca="false">IF(D1782="","",N(G1782)-N(H1782))</f>
        <v>-4887429.65</v>
      </c>
      <c r="K1782" s="34" t="str">
        <f aca="false">IF(D1782="","",IFERROR(INDEX(I_COA!$C$6:$C$265,MATCH(D1782,I_COA!$A$6:$A$265,0)),"AKUN BARU"))</f>
        <v>Neraca</v>
      </c>
      <c r="L1782" s="34" t="str">
        <f aca="false">IF(K1782="LabaRugi",INDEX(I_COA!$D$6:$D$265,MATCH(D1782,I_COA!$A$6:$A$265,0)),"")</f>
        <v/>
      </c>
      <c r="M1782" s="34" t="str">
        <f aca="false">IF(K1782="Neraca",INDEX(I_COA!$E$6:$E$265,MATCH(D1782,I_COA!$A$6:$A$265,0)),"")</f>
        <v>Inventory - Product</v>
      </c>
      <c r="N1782" s="34" t="str">
        <f aca="false">IF(D1782="","",IFERROR(INDEX(I_COA!$G$6:$G$265,MATCH(D1782,I_COA!$A$6:$A$265,0)),"N"))</f>
        <v>N</v>
      </c>
      <c r="O1782" s="11" t="n">
        <f aca="false">IF(N1782="N",ABS(J1782),"")</f>
        <v>4887429.65</v>
      </c>
      <c r="P1782" s="18" t="str">
        <f aca="false">IF(N1782="N",B1782&amp;"|"&amp;ROUND(O1782,0),"")</f>
        <v>KGR26.00322|4887430</v>
      </c>
      <c r="Q1782" s="18" t="str">
        <f aca="false">IF(N1782&lt;&gt;"Y","",IFERROR(INDEX($D$6:$D$4005,MATCH(B1782&amp;"|"&amp;ROUND(_xlfn.MAXIFS($O$6:$O$4005,$B$6:$B$4005,B1782,$N$6:$N$4005,"N"),0),$P$6:$P$4005,0)),"(tanpa lawan)"))</f>
        <v/>
      </c>
      <c r="R1782" s="44"/>
      <c r="S1782" s="9" t="str">
        <f aca="false">IF(N1782&lt;&gt;"Y","",IF(R1782&lt;&gt;"",R1782,IF(Q1782="(tanpa lawan)","Transfer antar rekening",IFERROR(INDEX(I_COA!$F$6:$F$265,MATCH(Q1782,I_COA!$A$6:$A$265,0)),"?"))))</f>
        <v/>
      </c>
    </row>
    <row r="1783" customFormat="false" ht="15" hidden="false" customHeight="false" outlineLevel="0" collapsed="false">
      <c r="A1783" s="37" t="n">
        <v>46260</v>
      </c>
      <c r="B1783" s="44" t="s">
        <v>447</v>
      </c>
      <c r="C1783" s="44" t="s">
        <v>600</v>
      </c>
      <c r="D1783" s="44" t="n">
        <v>1104002</v>
      </c>
      <c r="E1783" s="44" t="s">
        <v>601</v>
      </c>
      <c r="F1783" s="44" t="s">
        <v>1955</v>
      </c>
      <c r="G1783" s="42" t="n">
        <v>270060.34</v>
      </c>
      <c r="H1783" s="42"/>
      <c r="I1783" s="44" t="s">
        <v>440</v>
      </c>
      <c r="J1783" s="11" t="n">
        <f aca="false">IF(D1783="","",N(G1783)-N(H1783))</f>
        <v>270060.34</v>
      </c>
      <c r="K1783" s="34" t="str">
        <f aca="false">IF(D1783="","",IFERROR(INDEX(I_COA!$C$6:$C$265,MATCH(D1783,I_COA!$A$6:$A$265,0)),"AKUN BARU"))</f>
        <v>Neraca</v>
      </c>
      <c r="L1783" s="34" t="str">
        <f aca="false">IF(K1783="LabaRugi",INDEX(I_COA!$D$6:$D$265,MATCH(D1783,I_COA!$A$6:$A$265,0)),"")</f>
        <v/>
      </c>
      <c r="M1783" s="34" t="str">
        <f aca="false">IF(K1783="Neraca",INDEX(I_COA!$E$6:$E$265,MATCH(D1783,I_COA!$A$6:$A$265,0)),"")</f>
        <v>Inventory - Product</v>
      </c>
      <c r="N1783" s="34" t="str">
        <f aca="false">IF(D1783="","",IFERROR(INDEX(I_COA!$G$6:$G$265,MATCH(D1783,I_COA!$A$6:$A$265,0)),"N"))</f>
        <v>N</v>
      </c>
      <c r="O1783" s="11" t="n">
        <f aca="false">IF(N1783="N",ABS(J1783),"")</f>
        <v>270060.34</v>
      </c>
      <c r="P1783" s="18" t="str">
        <f aca="false">IF(N1783="N",B1783&amp;"|"&amp;ROUND(O1783,0),"")</f>
        <v>KGR26.00323|270060</v>
      </c>
      <c r="Q1783" s="18" t="str">
        <f aca="false">IF(N1783&lt;&gt;"Y","",IFERROR(INDEX($D$6:$D$4005,MATCH(B1783&amp;"|"&amp;ROUND(_xlfn.MAXIFS($O$6:$O$4005,$B$6:$B$4005,B1783,$N$6:$N$4005,"N"),0),$P$6:$P$4005,0)),"(tanpa lawan)"))</f>
        <v/>
      </c>
      <c r="R1783" s="44"/>
      <c r="S1783" s="9" t="str">
        <f aca="false">IF(N1783&lt;&gt;"Y","",IF(R1783&lt;&gt;"",R1783,IF(Q1783="(tanpa lawan)","Transfer antar rekening",IFERROR(INDEX(I_COA!$F$6:$F$265,MATCH(Q1783,I_COA!$A$6:$A$265,0)),"?"))))</f>
        <v/>
      </c>
    </row>
    <row r="1784" customFormat="false" ht="15" hidden="false" customHeight="false" outlineLevel="0" collapsed="false">
      <c r="A1784" s="37" t="n">
        <v>46260</v>
      </c>
      <c r="B1784" s="44" t="s">
        <v>447</v>
      </c>
      <c r="C1784" s="44" t="s">
        <v>600</v>
      </c>
      <c r="D1784" s="44" t="n">
        <v>1104003</v>
      </c>
      <c r="E1784" s="44" t="s">
        <v>613</v>
      </c>
      <c r="F1784" s="44" t="s">
        <v>1955</v>
      </c>
      <c r="G1784" s="42"/>
      <c r="H1784" s="42" t="n">
        <v>270060.34</v>
      </c>
      <c r="I1784" s="44" t="s">
        <v>440</v>
      </c>
      <c r="J1784" s="11" t="n">
        <f aca="false">IF(D1784="","",N(G1784)-N(H1784))</f>
        <v>-270060.34</v>
      </c>
      <c r="K1784" s="34" t="str">
        <f aca="false">IF(D1784="","",IFERROR(INDEX(I_COA!$C$6:$C$265,MATCH(D1784,I_COA!$A$6:$A$265,0)),"AKUN BARU"))</f>
        <v>Neraca</v>
      </c>
      <c r="L1784" s="34" t="str">
        <f aca="false">IF(K1784="LabaRugi",INDEX(I_COA!$D$6:$D$265,MATCH(D1784,I_COA!$A$6:$A$265,0)),"")</f>
        <v/>
      </c>
      <c r="M1784" s="34" t="str">
        <f aca="false">IF(K1784="Neraca",INDEX(I_COA!$E$6:$E$265,MATCH(D1784,I_COA!$A$6:$A$265,0)),"")</f>
        <v>Inventory - Product</v>
      </c>
      <c r="N1784" s="34" t="str">
        <f aca="false">IF(D1784="","",IFERROR(INDEX(I_COA!$G$6:$G$265,MATCH(D1784,I_COA!$A$6:$A$265,0)),"N"))</f>
        <v>N</v>
      </c>
      <c r="O1784" s="11" t="n">
        <f aca="false">IF(N1784="N",ABS(J1784),"")</f>
        <v>270060.34</v>
      </c>
      <c r="P1784" s="18" t="str">
        <f aca="false">IF(N1784="N",B1784&amp;"|"&amp;ROUND(O1784,0),"")</f>
        <v>KGR26.00323|270060</v>
      </c>
      <c r="Q1784" s="18" t="str">
        <f aca="false">IF(N1784&lt;&gt;"Y","",IFERROR(INDEX($D$6:$D$4005,MATCH(B1784&amp;"|"&amp;ROUND(_xlfn.MAXIFS($O$6:$O$4005,$B$6:$B$4005,B1784,$N$6:$N$4005,"N"),0),$P$6:$P$4005,0)),"(tanpa lawan)"))</f>
        <v/>
      </c>
      <c r="R1784" s="44"/>
      <c r="S1784" s="9" t="str">
        <f aca="false">IF(N1784&lt;&gt;"Y","",IF(R1784&lt;&gt;"",R1784,IF(Q1784="(tanpa lawan)","Transfer antar rekening",IFERROR(INDEX(I_COA!$F$6:$F$265,MATCH(Q1784,I_COA!$A$6:$A$265,0)),"?"))))</f>
        <v/>
      </c>
    </row>
    <row r="1785" customFormat="false" ht="15" hidden="false" customHeight="false" outlineLevel="0" collapsed="false">
      <c r="A1785" s="37" t="n">
        <v>46260</v>
      </c>
      <c r="B1785" s="44" t="s">
        <v>450</v>
      </c>
      <c r="C1785" s="44" t="s">
        <v>600</v>
      </c>
      <c r="D1785" s="44" t="n">
        <v>1104002</v>
      </c>
      <c r="E1785" s="44" t="s">
        <v>601</v>
      </c>
      <c r="F1785" s="44" t="s">
        <v>1956</v>
      </c>
      <c r="G1785" s="42" t="n">
        <v>39014277.47</v>
      </c>
      <c r="H1785" s="42"/>
      <c r="I1785" s="44" t="s">
        <v>451</v>
      </c>
      <c r="J1785" s="11" t="n">
        <f aca="false">IF(D1785="","",N(G1785)-N(H1785))</f>
        <v>39014277.47</v>
      </c>
      <c r="K1785" s="34" t="str">
        <f aca="false">IF(D1785="","",IFERROR(INDEX(I_COA!$C$6:$C$265,MATCH(D1785,I_COA!$A$6:$A$265,0)),"AKUN BARU"))</f>
        <v>Neraca</v>
      </c>
      <c r="L1785" s="34" t="str">
        <f aca="false">IF(K1785="LabaRugi",INDEX(I_COA!$D$6:$D$265,MATCH(D1785,I_COA!$A$6:$A$265,0)),"")</f>
        <v/>
      </c>
      <c r="M1785" s="34" t="str">
        <f aca="false">IF(K1785="Neraca",INDEX(I_COA!$E$6:$E$265,MATCH(D1785,I_COA!$A$6:$A$265,0)),"")</f>
        <v>Inventory - Product</v>
      </c>
      <c r="N1785" s="34" t="str">
        <f aca="false">IF(D1785="","",IFERROR(INDEX(I_COA!$G$6:$G$265,MATCH(D1785,I_COA!$A$6:$A$265,0)),"N"))</f>
        <v>N</v>
      </c>
      <c r="O1785" s="11" t="n">
        <f aca="false">IF(N1785="N",ABS(J1785),"")</f>
        <v>39014277.47</v>
      </c>
      <c r="P1785" s="18" t="str">
        <f aca="false">IF(N1785="N",B1785&amp;"|"&amp;ROUND(O1785,0),"")</f>
        <v>KGR26.00324|39014277</v>
      </c>
      <c r="Q1785" s="18" t="str">
        <f aca="false">IF(N1785&lt;&gt;"Y","",IFERROR(INDEX($D$6:$D$4005,MATCH(B1785&amp;"|"&amp;ROUND(_xlfn.MAXIFS($O$6:$O$4005,$B$6:$B$4005,B1785,$N$6:$N$4005,"N"),0),$P$6:$P$4005,0)),"(tanpa lawan)"))</f>
        <v/>
      </c>
      <c r="R1785" s="44"/>
      <c r="S1785" s="9" t="str">
        <f aca="false">IF(N1785&lt;&gt;"Y","",IF(R1785&lt;&gt;"",R1785,IF(Q1785="(tanpa lawan)","Transfer antar rekening",IFERROR(INDEX(I_COA!$F$6:$F$265,MATCH(Q1785,I_COA!$A$6:$A$265,0)),"?"))))</f>
        <v/>
      </c>
    </row>
    <row r="1786" customFormat="false" ht="15" hidden="false" customHeight="false" outlineLevel="0" collapsed="false">
      <c r="A1786" s="37" t="n">
        <v>46260</v>
      </c>
      <c r="B1786" s="44" t="s">
        <v>450</v>
      </c>
      <c r="C1786" s="44" t="s">
        <v>600</v>
      </c>
      <c r="D1786" s="44" t="n">
        <v>1104006</v>
      </c>
      <c r="E1786" s="44" t="s">
        <v>212</v>
      </c>
      <c r="F1786" s="44" t="s">
        <v>1956</v>
      </c>
      <c r="G1786" s="42"/>
      <c r="H1786" s="42" t="n">
        <v>39014277.47</v>
      </c>
      <c r="I1786" s="44" t="s">
        <v>451</v>
      </c>
      <c r="J1786" s="11" t="n">
        <f aca="false">IF(D1786="","",N(G1786)-N(H1786))</f>
        <v>-39014277.47</v>
      </c>
      <c r="K1786" s="34" t="str">
        <f aca="false">IF(D1786="","",IFERROR(INDEX(I_COA!$C$6:$C$265,MATCH(D1786,I_COA!$A$6:$A$265,0)),"AKUN BARU"))</f>
        <v>Neraca</v>
      </c>
      <c r="L1786" s="34" t="str">
        <f aca="false">IF(K1786="LabaRugi",INDEX(I_COA!$D$6:$D$265,MATCH(D1786,I_COA!$A$6:$A$265,0)),"")</f>
        <v/>
      </c>
      <c r="M1786" s="34" t="str">
        <f aca="false">IF(K1786="Neraca",INDEX(I_COA!$E$6:$E$265,MATCH(D1786,I_COA!$A$6:$A$265,0)),"")</f>
        <v>Inventory - Trading</v>
      </c>
      <c r="N1786" s="34" t="str">
        <f aca="false">IF(D1786="","",IFERROR(INDEX(I_COA!$G$6:$G$265,MATCH(D1786,I_COA!$A$6:$A$265,0)),"N"))</f>
        <v>N</v>
      </c>
      <c r="O1786" s="11" t="n">
        <f aca="false">IF(N1786="N",ABS(J1786),"")</f>
        <v>39014277.47</v>
      </c>
      <c r="P1786" s="18" t="str">
        <f aca="false">IF(N1786="N",B1786&amp;"|"&amp;ROUND(O1786,0),"")</f>
        <v>KGR26.00324|39014277</v>
      </c>
      <c r="Q1786" s="18" t="str">
        <f aca="false">IF(N1786&lt;&gt;"Y","",IFERROR(INDEX($D$6:$D$4005,MATCH(B1786&amp;"|"&amp;ROUND(_xlfn.MAXIFS($O$6:$O$4005,$B$6:$B$4005,B1786,$N$6:$N$4005,"N"),0),$P$6:$P$4005,0)),"(tanpa lawan)"))</f>
        <v/>
      </c>
      <c r="R1786" s="44"/>
      <c r="S1786" s="9" t="str">
        <f aca="false">IF(N1786&lt;&gt;"Y","",IF(R1786&lt;&gt;"",R1786,IF(Q1786="(tanpa lawan)","Transfer antar rekening",IFERROR(INDEX(I_COA!$F$6:$F$265,MATCH(Q1786,I_COA!$A$6:$A$265,0)),"?"))))</f>
        <v/>
      </c>
    </row>
    <row r="1787" customFormat="false" ht="15" hidden="false" customHeight="false" outlineLevel="0" collapsed="false">
      <c r="A1787" s="37" t="n">
        <v>46260</v>
      </c>
      <c r="B1787" s="44" t="s">
        <v>453</v>
      </c>
      <c r="C1787" s="44" t="s">
        <v>600</v>
      </c>
      <c r="D1787" s="44" t="n">
        <v>1104002</v>
      </c>
      <c r="E1787" s="44" t="s">
        <v>601</v>
      </c>
      <c r="F1787" s="44" t="s">
        <v>1957</v>
      </c>
      <c r="G1787" s="42" t="n">
        <v>38466770.17</v>
      </c>
      <c r="H1787" s="42"/>
      <c r="I1787" s="44" t="s">
        <v>451</v>
      </c>
      <c r="J1787" s="11" t="n">
        <f aca="false">IF(D1787="","",N(G1787)-N(H1787))</f>
        <v>38466770.17</v>
      </c>
      <c r="K1787" s="34" t="str">
        <f aca="false">IF(D1787="","",IFERROR(INDEX(I_COA!$C$6:$C$265,MATCH(D1787,I_COA!$A$6:$A$265,0)),"AKUN BARU"))</f>
        <v>Neraca</v>
      </c>
      <c r="L1787" s="34" t="str">
        <f aca="false">IF(K1787="LabaRugi",INDEX(I_COA!$D$6:$D$265,MATCH(D1787,I_COA!$A$6:$A$265,0)),"")</f>
        <v/>
      </c>
      <c r="M1787" s="34" t="str">
        <f aca="false">IF(K1787="Neraca",INDEX(I_COA!$E$6:$E$265,MATCH(D1787,I_COA!$A$6:$A$265,0)),"")</f>
        <v>Inventory - Product</v>
      </c>
      <c r="N1787" s="34" t="str">
        <f aca="false">IF(D1787="","",IFERROR(INDEX(I_COA!$G$6:$G$265,MATCH(D1787,I_COA!$A$6:$A$265,0)),"N"))</f>
        <v>N</v>
      </c>
      <c r="O1787" s="11" t="n">
        <f aca="false">IF(N1787="N",ABS(J1787),"")</f>
        <v>38466770.17</v>
      </c>
      <c r="P1787" s="18" t="str">
        <f aca="false">IF(N1787="N",B1787&amp;"|"&amp;ROUND(O1787,0),"")</f>
        <v>KGR26.00325|38466770</v>
      </c>
      <c r="Q1787" s="18" t="str">
        <f aca="false">IF(N1787&lt;&gt;"Y","",IFERROR(INDEX($D$6:$D$4005,MATCH(B1787&amp;"|"&amp;ROUND(_xlfn.MAXIFS($O$6:$O$4005,$B$6:$B$4005,B1787,$N$6:$N$4005,"N"),0),$P$6:$P$4005,0)),"(tanpa lawan)"))</f>
        <v/>
      </c>
      <c r="R1787" s="44"/>
      <c r="S1787" s="9" t="str">
        <f aca="false">IF(N1787&lt;&gt;"Y","",IF(R1787&lt;&gt;"",R1787,IF(Q1787="(tanpa lawan)","Transfer antar rekening",IFERROR(INDEX(I_COA!$F$6:$F$265,MATCH(Q1787,I_COA!$A$6:$A$265,0)),"?"))))</f>
        <v/>
      </c>
    </row>
    <row r="1788" customFormat="false" ht="15" hidden="false" customHeight="false" outlineLevel="0" collapsed="false">
      <c r="A1788" s="37" t="n">
        <v>46260</v>
      </c>
      <c r="B1788" s="44" t="s">
        <v>453</v>
      </c>
      <c r="C1788" s="44" t="s">
        <v>600</v>
      </c>
      <c r="D1788" s="44" t="n">
        <v>1104006</v>
      </c>
      <c r="E1788" s="44" t="s">
        <v>212</v>
      </c>
      <c r="F1788" s="44" t="s">
        <v>1957</v>
      </c>
      <c r="G1788" s="42"/>
      <c r="H1788" s="42" t="n">
        <v>38466770.17</v>
      </c>
      <c r="I1788" s="44" t="s">
        <v>451</v>
      </c>
      <c r="J1788" s="11" t="n">
        <f aca="false">IF(D1788="","",N(G1788)-N(H1788))</f>
        <v>-38466770.17</v>
      </c>
      <c r="K1788" s="34" t="str">
        <f aca="false">IF(D1788="","",IFERROR(INDEX(I_COA!$C$6:$C$265,MATCH(D1788,I_COA!$A$6:$A$265,0)),"AKUN BARU"))</f>
        <v>Neraca</v>
      </c>
      <c r="L1788" s="34" t="str">
        <f aca="false">IF(K1788="LabaRugi",INDEX(I_COA!$D$6:$D$265,MATCH(D1788,I_COA!$A$6:$A$265,0)),"")</f>
        <v/>
      </c>
      <c r="M1788" s="34" t="str">
        <f aca="false">IF(K1788="Neraca",INDEX(I_COA!$E$6:$E$265,MATCH(D1788,I_COA!$A$6:$A$265,0)),"")</f>
        <v>Inventory - Trading</v>
      </c>
      <c r="N1788" s="34" t="str">
        <f aca="false">IF(D1788="","",IFERROR(INDEX(I_COA!$G$6:$G$265,MATCH(D1788,I_COA!$A$6:$A$265,0)),"N"))</f>
        <v>N</v>
      </c>
      <c r="O1788" s="11" t="n">
        <f aca="false">IF(N1788="N",ABS(J1788),"")</f>
        <v>38466770.17</v>
      </c>
      <c r="P1788" s="18" t="str">
        <f aca="false">IF(N1788="N",B1788&amp;"|"&amp;ROUND(O1788,0),"")</f>
        <v>KGR26.00325|38466770</v>
      </c>
      <c r="Q1788" s="18" t="str">
        <f aca="false">IF(N1788&lt;&gt;"Y","",IFERROR(INDEX($D$6:$D$4005,MATCH(B1788&amp;"|"&amp;ROUND(_xlfn.MAXIFS($O$6:$O$4005,$B$6:$B$4005,B1788,$N$6:$N$4005,"N"),0),$P$6:$P$4005,0)),"(tanpa lawan)"))</f>
        <v/>
      </c>
      <c r="R1788" s="44"/>
      <c r="S1788" s="9" t="str">
        <f aca="false">IF(N1788&lt;&gt;"Y","",IF(R1788&lt;&gt;"",R1788,IF(Q1788="(tanpa lawan)","Transfer antar rekening",IFERROR(INDEX(I_COA!$F$6:$F$265,MATCH(Q1788,I_COA!$A$6:$A$265,0)),"?"))))</f>
        <v/>
      </c>
    </row>
    <row r="1789" customFormat="false" ht="15" hidden="false" customHeight="false" outlineLevel="0" collapsed="false">
      <c r="A1789" s="37" t="n">
        <v>46260</v>
      </c>
      <c r="B1789" s="44" t="s">
        <v>454</v>
      </c>
      <c r="C1789" s="44" t="s">
        <v>600</v>
      </c>
      <c r="D1789" s="44" t="n">
        <v>1104002</v>
      </c>
      <c r="E1789" s="44" t="s">
        <v>601</v>
      </c>
      <c r="F1789" s="44" t="s">
        <v>1958</v>
      </c>
      <c r="G1789" s="42" t="n">
        <v>31155191.8</v>
      </c>
      <c r="H1789" s="42"/>
      <c r="I1789" s="44" t="s">
        <v>432</v>
      </c>
      <c r="J1789" s="11" t="n">
        <f aca="false">IF(D1789="","",N(G1789)-N(H1789))</f>
        <v>31155191.8</v>
      </c>
      <c r="K1789" s="34" t="str">
        <f aca="false">IF(D1789="","",IFERROR(INDEX(I_COA!$C$6:$C$265,MATCH(D1789,I_COA!$A$6:$A$265,0)),"AKUN BARU"))</f>
        <v>Neraca</v>
      </c>
      <c r="L1789" s="34" t="str">
        <f aca="false">IF(K1789="LabaRugi",INDEX(I_COA!$D$6:$D$265,MATCH(D1789,I_COA!$A$6:$A$265,0)),"")</f>
        <v/>
      </c>
      <c r="M1789" s="34" t="str">
        <f aca="false">IF(K1789="Neraca",INDEX(I_COA!$E$6:$E$265,MATCH(D1789,I_COA!$A$6:$A$265,0)),"")</f>
        <v>Inventory - Product</v>
      </c>
      <c r="N1789" s="34" t="str">
        <f aca="false">IF(D1789="","",IFERROR(INDEX(I_COA!$G$6:$G$265,MATCH(D1789,I_COA!$A$6:$A$265,0)),"N"))</f>
        <v>N</v>
      </c>
      <c r="O1789" s="11" t="n">
        <f aca="false">IF(N1789="N",ABS(J1789),"")</f>
        <v>31155191.8</v>
      </c>
      <c r="P1789" s="18" t="str">
        <f aca="false">IF(N1789="N",B1789&amp;"|"&amp;ROUND(O1789,0),"")</f>
        <v>KGR26.00326|31155192</v>
      </c>
      <c r="Q1789" s="18" t="str">
        <f aca="false">IF(N1789&lt;&gt;"Y","",IFERROR(INDEX($D$6:$D$4005,MATCH(B1789&amp;"|"&amp;ROUND(_xlfn.MAXIFS($O$6:$O$4005,$B$6:$B$4005,B1789,$N$6:$N$4005,"N"),0),$P$6:$P$4005,0)),"(tanpa lawan)"))</f>
        <v/>
      </c>
      <c r="R1789" s="44"/>
      <c r="S1789" s="9" t="str">
        <f aca="false">IF(N1789&lt;&gt;"Y","",IF(R1789&lt;&gt;"",R1789,IF(Q1789="(tanpa lawan)","Transfer antar rekening",IFERROR(INDEX(I_COA!$F$6:$F$265,MATCH(Q1789,I_COA!$A$6:$A$265,0)),"?"))))</f>
        <v/>
      </c>
    </row>
    <row r="1790" customFormat="false" ht="15" hidden="false" customHeight="false" outlineLevel="0" collapsed="false">
      <c r="A1790" s="37" t="n">
        <v>46260</v>
      </c>
      <c r="B1790" s="44" t="s">
        <v>454</v>
      </c>
      <c r="C1790" s="44" t="s">
        <v>600</v>
      </c>
      <c r="D1790" s="44" t="n">
        <v>1104006</v>
      </c>
      <c r="E1790" s="44" t="s">
        <v>212</v>
      </c>
      <c r="F1790" s="44" t="s">
        <v>1958</v>
      </c>
      <c r="G1790" s="42"/>
      <c r="H1790" s="42" t="n">
        <v>31155191.8</v>
      </c>
      <c r="I1790" s="44" t="s">
        <v>432</v>
      </c>
      <c r="J1790" s="11" t="n">
        <f aca="false">IF(D1790="","",N(G1790)-N(H1790))</f>
        <v>-31155191.8</v>
      </c>
      <c r="K1790" s="34" t="str">
        <f aca="false">IF(D1790="","",IFERROR(INDEX(I_COA!$C$6:$C$265,MATCH(D1790,I_COA!$A$6:$A$265,0)),"AKUN BARU"))</f>
        <v>Neraca</v>
      </c>
      <c r="L1790" s="34" t="str">
        <f aca="false">IF(K1790="LabaRugi",INDEX(I_COA!$D$6:$D$265,MATCH(D1790,I_COA!$A$6:$A$265,0)),"")</f>
        <v/>
      </c>
      <c r="M1790" s="34" t="str">
        <f aca="false">IF(K1790="Neraca",INDEX(I_COA!$E$6:$E$265,MATCH(D1790,I_COA!$A$6:$A$265,0)),"")</f>
        <v>Inventory - Trading</v>
      </c>
      <c r="N1790" s="34" t="str">
        <f aca="false">IF(D1790="","",IFERROR(INDEX(I_COA!$G$6:$G$265,MATCH(D1790,I_COA!$A$6:$A$265,0)),"N"))</f>
        <v>N</v>
      </c>
      <c r="O1790" s="11" t="n">
        <f aca="false">IF(N1790="N",ABS(J1790),"")</f>
        <v>31155191.8</v>
      </c>
      <c r="P1790" s="18" t="str">
        <f aca="false">IF(N1790="N",B1790&amp;"|"&amp;ROUND(O1790,0),"")</f>
        <v>KGR26.00326|31155192</v>
      </c>
      <c r="Q1790" s="18" t="str">
        <f aca="false">IF(N1790&lt;&gt;"Y","",IFERROR(INDEX($D$6:$D$4005,MATCH(B1790&amp;"|"&amp;ROUND(_xlfn.MAXIFS($O$6:$O$4005,$B$6:$B$4005,B1790,$N$6:$N$4005,"N"),0),$P$6:$P$4005,0)),"(tanpa lawan)"))</f>
        <v/>
      </c>
      <c r="R1790" s="44"/>
      <c r="S1790" s="9" t="str">
        <f aca="false">IF(N1790&lt;&gt;"Y","",IF(R1790&lt;&gt;"",R1790,IF(Q1790="(tanpa lawan)","Transfer antar rekening",IFERROR(INDEX(I_COA!$F$6:$F$265,MATCH(Q1790,I_COA!$A$6:$A$265,0)),"?"))))</f>
        <v/>
      </c>
    </row>
    <row r="1791" customFormat="false" ht="15" hidden="false" customHeight="false" outlineLevel="0" collapsed="false">
      <c r="A1791" s="37" t="n">
        <v>46260</v>
      </c>
      <c r="B1791" s="44" t="s">
        <v>456</v>
      </c>
      <c r="C1791" s="44" t="s">
        <v>600</v>
      </c>
      <c r="D1791" s="44" t="n">
        <v>1104002</v>
      </c>
      <c r="E1791" s="44" t="s">
        <v>601</v>
      </c>
      <c r="F1791" s="44" t="s">
        <v>1959</v>
      </c>
      <c r="G1791" s="42" t="n">
        <v>190995961.33</v>
      </c>
      <c r="H1791" s="42"/>
      <c r="I1791" s="44" t="s">
        <v>457</v>
      </c>
      <c r="J1791" s="11" t="n">
        <f aca="false">IF(D1791="","",N(G1791)-N(H1791))</f>
        <v>190995961.33</v>
      </c>
      <c r="K1791" s="34" t="str">
        <f aca="false">IF(D1791="","",IFERROR(INDEX(I_COA!$C$6:$C$265,MATCH(D1791,I_COA!$A$6:$A$265,0)),"AKUN BARU"))</f>
        <v>Neraca</v>
      </c>
      <c r="L1791" s="34" t="str">
        <f aca="false">IF(K1791="LabaRugi",INDEX(I_COA!$D$6:$D$265,MATCH(D1791,I_COA!$A$6:$A$265,0)),"")</f>
        <v/>
      </c>
      <c r="M1791" s="34" t="str">
        <f aca="false">IF(K1791="Neraca",INDEX(I_COA!$E$6:$E$265,MATCH(D1791,I_COA!$A$6:$A$265,0)),"")</f>
        <v>Inventory - Product</v>
      </c>
      <c r="N1791" s="34" t="str">
        <f aca="false">IF(D1791="","",IFERROR(INDEX(I_COA!$G$6:$G$265,MATCH(D1791,I_COA!$A$6:$A$265,0)),"N"))</f>
        <v>N</v>
      </c>
      <c r="O1791" s="11" t="n">
        <f aca="false">IF(N1791="N",ABS(J1791),"")</f>
        <v>190995961.33</v>
      </c>
      <c r="P1791" s="18" t="str">
        <f aca="false">IF(N1791="N",B1791&amp;"|"&amp;ROUND(O1791,0),"")</f>
        <v>KGR26.00327|190995961</v>
      </c>
      <c r="Q1791" s="18" t="str">
        <f aca="false">IF(N1791&lt;&gt;"Y","",IFERROR(INDEX($D$6:$D$4005,MATCH(B1791&amp;"|"&amp;ROUND(_xlfn.MAXIFS($O$6:$O$4005,$B$6:$B$4005,B1791,$N$6:$N$4005,"N"),0),$P$6:$P$4005,0)),"(tanpa lawan)"))</f>
        <v/>
      </c>
      <c r="R1791" s="44"/>
      <c r="S1791" s="9" t="str">
        <f aca="false">IF(N1791&lt;&gt;"Y","",IF(R1791&lt;&gt;"",R1791,IF(Q1791="(tanpa lawan)","Transfer antar rekening",IFERROR(INDEX(I_COA!$F$6:$F$265,MATCH(Q1791,I_COA!$A$6:$A$265,0)),"?"))))</f>
        <v/>
      </c>
    </row>
    <row r="1792" customFormat="false" ht="15" hidden="false" customHeight="false" outlineLevel="0" collapsed="false">
      <c r="A1792" s="37" t="n">
        <v>46260</v>
      </c>
      <c r="B1792" s="44" t="s">
        <v>456</v>
      </c>
      <c r="C1792" s="44" t="s">
        <v>600</v>
      </c>
      <c r="D1792" s="44" t="n">
        <v>1104003</v>
      </c>
      <c r="E1792" s="44" t="s">
        <v>613</v>
      </c>
      <c r="F1792" s="44" t="s">
        <v>1959</v>
      </c>
      <c r="G1792" s="42"/>
      <c r="H1792" s="42" t="n">
        <v>190995961.33</v>
      </c>
      <c r="I1792" s="44" t="s">
        <v>457</v>
      </c>
      <c r="J1792" s="11" t="n">
        <f aca="false">IF(D1792="","",N(G1792)-N(H1792))</f>
        <v>-190995961.33</v>
      </c>
      <c r="K1792" s="34" t="str">
        <f aca="false">IF(D1792="","",IFERROR(INDEX(I_COA!$C$6:$C$265,MATCH(D1792,I_COA!$A$6:$A$265,0)),"AKUN BARU"))</f>
        <v>Neraca</v>
      </c>
      <c r="L1792" s="34" t="str">
        <f aca="false">IF(K1792="LabaRugi",INDEX(I_COA!$D$6:$D$265,MATCH(D1792,I_COA!$A$6:$A$265,0)),"")</f>
        <v/>
      </c>
      <c r="M1792" s="34" t="str">
        <f aca="false">IF(K1792="Neraca",INDEX(I_COA!$E$6:$E$265,MATCH(D1792,I_COA!$A$6:$A$265,0)),"")</f>
        <v>Inventory - Product</v>
      </c>
      <c r="N1792" s="34" t="str">
        <f aca="false">IF(D1792="","",IFERROR(INDEX(I_COA!$G$6:$G$265,MATCH(D1792,I_COA!$A$6:$A$265,0)),"N"))</f>
        <v>N</v>
      </c>
      <c r="O1792" s="11" t="n">
        <f aca="false">IF(N1792="N",ABS(J1792),"")</f>
        <v>190995961.33</v>
      </c>
      <c r="P1792" s="18" t="str">
        <f aca="false">IF(N1792="N",B1792&amp;"|"&amp;ROUND(O1792,0),"")</f>
        <v>KGR26.00327|190995961</v>
      </c>
      <c r="Q1792" s="18" t="str">
        <f aca="false">IF(N1792&lt;&gt;"Y","",IFERROR(INDEX($D$6:$D$4005,MATCH(B1792&amp;"|"&amp;ROUND(_xlfn.MAXIFS($O$6:$O$4005,$B$6:$B$4005,B1792,$N$6:$N$4005,"N"),0),$P$6:$P$4005,0)),"(tanpa lawan)"))</f>
        <v/>
      </c>
      <c r="R1792" s="44"/>
      <c r="S1792" s="9" t="str">
        <f aca="false">IF(N1792&lt;&gt;"Y","",IF(R1792&lt;&gt;"",R1792,IF(Q1792="(tanpa lawan)","Transfer antar rekening",IFERROR(INDEX(I_COA!$F$6:$F$265,MATCH(Q1792,I_COA!$A$6:$A$265,0)),"?"))))</f>
        <v/>
      </c>
    </row>
    <row r="1793" customFormat="false" ht="15" hidden="false" customHeight="false" outlineLevel="0" collapsed="false">
      <c r="A1793" s="37" t="n">
        <v>46260</v>
      </c>
      <c r="B1793" s="44" t="s">
        <v>1960</v>
      </c>
      <c r="C1793" s="44" t="s">
        <v>617</v>
      </c>
      <c r="D1793" s="44" t="n">
        <v>1103101</v>
      </c>
      <c r="E1793" s="44" t="s">
        <v>589</v>
      </c>
      <c r="F1793" s="44" t="s">
        <v>1961</v>
      </c>
      <c r="G1793" s="42" t="n">
        <v>50380000</v>
      </c>
      <c r="H1793" s="42"/>
      <c r="I1793" s="44" t="s">
        <v>437</v>
      </c>
      <c r="J1793" s="11" t="n">
        <f aca="false">IF(D1793="","",N(G1793)-N(H1793))</f>
        <v>50380000</v>
      </c>
      <c r="K1793" s="34" t="str">
        <f aca="false">IF(D1793="","",IFERROR(INDEX(I_COA!$C$6:$C$265,MATCH(D1793,I_COA!$A$6:$A$265,0)),"AKUN BARU"))</f>
        <v>Neraca</v>
      </c>
      <c r="L1793" s="34" t="str">
        <f aca="false">IF(K1793="LabaRugi",INDEX(I_COA!$D$6:$D$265,MATCH(D1793,I_COA!$A$6:$A$265,0)),"")</f>
        <v/>
      </c>
      <c r="M1793" s="34" t="str">
        <f aca="false">IF(K1793="Neraca",INDEX(I_COA!$E$6:$E$265,MATCH(D1793,I_COA!$A$6:$A$265,0)),"")</f>
        <v>Trade Receivables - Third Parties</v>
      </c>
      <c r="N1793" s="34" t="str">
        <f aca="false">IF(D1793="","",IFERROR(INDEX(I_COA!$G$6:$G$265,MATCH(D1793,I_COA!$A$6:$A$265,0)),"N"))</f>
        <v>N</v>
      </c>
      <c r="O1793" s="11" t="n">
        <f aca="false">IF(N1793="N",ABS(J1793),"")</f>
        <v>50380000</v>
      </c>
      <c r="P1793" s="18" t="str">
        <f aca="false">IF(N1793="N",B1793&amp;"|"&amp;ROUND(O1793,0),"")</f>
        <v>KGR26/0319|50380000</v>
      </c>
      <c r="Q1793" s="18" t="str">
        <f aca="false">IF(N1793&lt;&gt;"Y","",IFERROR(INDEX($D$6:$D$4005,MATCH(B1793&amp;"|"&amp;ROUND(_xlfn.MAXIFS($O$6:$O$4005,$B$6:$B$4005,B1793,$N$6:$N$4005,"N"),0),$P$6:$P$4005,0)),"(tanpa lawan)"))</f>
        <v/>
      </c>
      <c r="R1793" s="44"/>
      <c r="S1793" s="9" t="str">
        <f aca="false">IF(N1793&lt;&gt;"Y","",IF(R1793&lt;&gt;"",R1793,IF(Q1793="(tanpa lawan)","Transfer antar rekening",IFERROR(INDEX(I_COA!$F$6:$F$265,MATCH(Q1793,I_COA!$A$6:$A$265,0)),"?"))))</f>
        <v/>
      </c>
    </row>
    <row r="1794" customFormat="false" ht="15" hidden="false" customHeight="false" outlineLevel="0" collapsed="false">
      <c r="A1794" s="37" t="n">
        <v>46260</v>
      </c>
      <c r="B1794" s="44" t="s">
        <v>1960</v>
      </c>
      <c r="C1794" s="44" t="s">
        <v>617</v>
      </c>
      <c r="D1794" s="44" t="n">
        <v>4101012</v>
      </c>
      <c r="E1794" s="44" t="s">
        <v>619</v>
      </c>
      <c r="F1794" s="44" t="s">
        <v>1961</v>
      </c>
      <c r="G1794" s="42"/>
      <c r="H1794" s="42" t="n">
        <v>50380000</v>
      </c>
      <c r="I1794" s="44" t="s">
        <v>437</v>
      </c>
      <c r="J1794" s="11" t="n">
        <f aca="false">IF(D1794="","",N(G1794)-N(H1794))</f>
        <v>-50380000</v>
      </c>
      <c r="K1794" s="34" t="str">
        <f aca="false">IF(D1794="","",IFERROR(INDEX(I_COA!$C$6:$C$265,MATCH(D1794,I_COA!$A$6:$A$265,0)),"AKUN BARU"))</f>
        <v>LabaRugi</v>
      </c>
      <c r="L1794" s="34" t="str">
        <f aca="false">IF(K1794="LabaRugi",INDEX(I_COA!$D$6:$D$265,MATCH(D1794,I_COA!$A$6:$A$265,0)),"")</f>
        <v>Revenue - Trading</v>
      </c>
      <c r="M1794" s="34" t="str">
        <f aca="false">IF(K1794="Neraca",INDEX(I_COA!$E$6:$E$265,MATCH(D1794,I_COA!$A$6:$A$265,0)),"")</f>
        <v/>
      </c>
      <c r="N1794" s="34" t="str">
        <f aca="false">IF(D1794="","",IFERROR(INDEX(I_COA!$G$6:$G$265,MATCH(D1794,I_COA!$A$6:$A$265,0)),"N"))</f>
        <v>N</v>
      </c>
      <c r="O1794" s="11" t="n">
        <f aca="false">IF(N1794="N",ABS(J1794),"")</f>
        <v>50380000</v>
      </c>
      <c r="P1794" s="18" t="str">
        <f aca="false">IF(N1794="N",B1794&amp;"|"&amp;ROUND(O1794,0),"")</f>
        <v>KGR26/0319|50380000</v>
      </c>
      <c r="Q1794" s="18" t="str">
        <f aca="false">IF(N1794&lt;&gt;"Y","",IFERROR(INDEX($D$6:$D$4005,MATCH(B1794&amp;"|"&amp;ROUND(_xlfn.MAXIFS($O$6:$O$4005,$B$6:$B$4005,B1794,$N$6:$N$4005,"N"),0),$P$6:$P$4005,0)),"(tanpa lawan)"))</f>
        <v/>
      </c>
      <c r="R1794" s="44"/>
      <c r="S1794" s="9" t="str">
        <f aca="false">IF(N1794&lt;&gt;"Y","",IF(R1794&lt;&gt;"",R1794,IF(Q1794="(tanpa lawan)","Transfer antar rekening",IFERROR(INDEX(I_COA!$F$6:$F$265,MATCH(Q1794,I_COA!$A$6:$A$265,0)),"?"))))</f>
        <v/>
      </c>
    </row>
    <row r="1795" customFormat="false" ht="15" hidden="false" customHeight="false" outlineLevel="0" collapsed="false">
      <c r="A1795" s="37" t="n">
        <v>46260</v>
      </c>
      <c r="B1795" s="44" t="s">
        <v>1960</v>
      </c>
      <c r="C1795" s="44" t="s">
        <v>617</v>
      </c>
      <c r="D1795" s="44" t="n">
        <v>5100011</v>
      </c>
      <c r="E1795" s="44" t="s">
        <v>166</v>
      </c>
      <c r="F1795" s="44" t="s">
        <v>1961</v>
      </c>
      <c r="G1795" s="42" t="n">
        <v>39394218.41</v>
      </c>
      <c r="H1795" s="42"/>
      <c r="I1795" s="44" t="s">
        <v>437</v>
      </c>
      <c r="J1795" s="11" t="n">
        <f aca="false">IF(D1795="","",N(G1795)-N(H1795))</f>
        <v>39394218.41</v>
      </c>
      <c r="K1795" s="34" t="str">
        <f aca="false">IF(D1795="","",IFERROR(INDEX(I_COA!$C$6:$C$265,MATCH(D1795,I_COA!$A$6:$A$265,0)),"AKUN BARU"))</f>
        <v>LabaRugi</v>
      </c>
      <c r="L1795" s="34" t="str">
        <f aca="false">IF(K1795="LabaRugi",INDEX(I_COA!$D$6:$D$265,MATCH(D1795,I_COA!$A$6:$A$265,0)),"")</f>
        <v>COGS - Trading</v>
      </c>
      <c r="M1795" s="34" t="str">
        <f aca="false">IF(K1795="Neraca",INDEX(I_COA!$E$6:$E$265,MATCH(D1795,I_COA!$A$6:$A$265,0)),"")</f>
        <v/>
      </c>
      <c r="N1795" s="34" t="str">
        <f aca="false">IF(D1795="","",IFERROR(INDEX(I_COA!$G$6:$G$265,MATCH(D1795,I_COA!$A$6:$A$265,0)),"N"))</f>
        <v>N</v>
      </c>
      <c r="O1795" s="11" t="n">
        <f aca="false">IF(N1795="N",ABS(J1795),"")</f>
        <v>39394218.41</v>
      </c>
      <c r="P1795" s="18" t="str">
        <f aca="false">IF(N1795="N",B1795&amp;"|"&amp;ROUND(O1795,0),"")</f>
        <v>KGR26/0319|39394218</v>
      </c>
      <c r="Q1795" s="18" t="str">
        <f aca="false">IF(N1795&lt;&gt;"Y","",IFERROR(INDEX($D$6:$D$4005,MATCH(B1795&amp;"|"&amp;ROUND(_xlfn.MAXIFS($O$6:$O$4005,$B$6:$B$4005,B1795,$N$6:$N$4005,"N"),0),$P$6:$P$4005,0)),"(tanpa lawan)"))</f>
        <v/>
      </c>
      <c r="R1795" s="44"/>
      <c r="S1795" s="9" t="str">
        <f aca="false">IF(N1795&lt;&gt;"Y","",IF(R1795&lt;&gt;"",R1795,IF(Q1795="(tanpa lawan)","Transfer antar rekening",IFERROR(INDEX(I_COA!$F$6:$F$265,MATCH(Q1795,I_COA!$A$6:$A$265,0)),"?"))))</f>
        <v/>
      </c>
    </row>
    <row r="1796" customFormat="false" ht="15" hidden="false" customHeight="false" outlineLevel="0" collapsed="false">
      <c r="A1796" s="37" t="n">
        <v>46260</v>
      </c>
      <c r="B1796" s="44" t="s">
        <v>1960</v>
      </c>
      <c r="C1796" s="44" t="s">
        <v>617</v>
      </c>
      <c r="D1796" s="44" t="n">
        <v>1104002</v>
      </c>
      <c r="E1796" s="44" t="s">
        <v>601</v>
      </c>
      <c r="F1796" s="44" t="s">
        <v>1961</v>
      </c>
      <c r="G1796" s="42"/>
      <c r="H1796" s="42" t="n">
        <v>39394218.41</v>
      </c>
      <c r="I1796" s="44" t="s">
        <v>437</v>
      </c>
      <c r="J1796" s="11" t="n">
        <f aca="false">IF(D1796="","",N(G1796)-N(H1796))</f>
        <v>-39394218.41</v>
      </c>
      <c r="K1796" s="34" t="str">
        <f aca="false">IF(D1796="","",IFERROR(INDEX(I_COA!$C$6:$C$265,MATCH(D1796,I_COA!$A$6:$A$265,0)),"AKUN BARU"))</f>
        <v>Neraca</v>
      </c>
      <c r="L1796" s="34" t="str">
        <f aca="false">IF(K1796="LabaRugi",INDEX(I_COA!$D$6:$D$265,MATCH(D1796,I_COA!$A$6:$A$265,0)),"")</f>
        <v/>
      </c>
      <c r="M1796" s="34" t="str">
        <f aca="false">IF(K1796="Neraca",INDEX(I_COA!$E$6:$E$265,MATCH(D1796,I_COA!$A$6:$A$265,0)),"")</f>
        <v>Inventory - Product</v>
      </c>
      <c r="N1796" s="34" t="str">
        <f aca="false">IF(D1796="","",IFERROR(INDEX(I_COA!$G$6:$G$265,MATCH(D1796,I_COA!$A$6:$A$265,0)),"N"))</f>
        <v>N</v>
      </c>
      <c r="O1796" s="11" t="n">
        <f aca="false">IF(N1796="N",ABS(J1796),"")</f>
        <v>39394218.41</v>
      </c>
      <c r="P1796" s="18" t="str">
        <f aca="false">IF(N1796="N",B1796&amp;"|"&amp;ROUND(O1796,0),"")</f>
        <v>KGR26/0319|39394218</v>
      </c>
      <c r="Q1796" s="18" t="str">
        <f aca="false">IF(N1796&lt;&gt;"Y","",IFERROR(INDEX($D$6:$D$4005,MATCH(B1796&amp;"|"&amp;ROUND(_xlfn.MAXIFS($O$6:$O$4005,$B$6:$B$4005,B1796,$N$6:$N$4005,"N"),0),$P$6:$P$4005,0)),"(tanpa lawan)"))</f>
        <v/>
      </c>
      <c r="R1796" s="44"/>
      <c r="S1796" s="9" t="str">
        <f aca="false">IF(N1796&lt;&gt;"Y","",IF(R1796&lt;&gt;"",R1796,IF(Q1796="(tanpa lawan)","Transfer antar rekening",IFERROR(INDEX(I_COA!$F$6:$F$265,MATCH(Q1796,I_COA!$A$6:$A$265,0)),"?"))))</f>
        <v/>
      </c>
    </row>
    <row r="1797" customFormat="false" ht="15" hidden="false" customHeight="false" outlineLevel="0" collapsed="false">
      <c r="A1797" s="37" t="n">
        <v>46260</v>
      </c>
      <c r="B1797" s="44" t="s">
        <v>1962</v>
      </c>
      <c r="C1797" s="44" t="s">
        <v>617</v>
      </c>
      <c r="D1797" s="44" t="n">
        <v>1103101</v>
      </c>
      <c r="E1797" s="44" t="s">
        <v>589</v>
      </c>
      <c r="F1797" s="44" t="s">
        <v>1963</v>
      </c>
      <c r="G1797" s="42" t="n">
        <v>2187750</v>
      </c>
      <c r="H1797" s="42"/>
      <c r="I1797" s="44" t="s">
        <v>440</v>
      </c>
      <c r="J1797" s="11" t="n">
        <f aca="false">IF(D1797="","",N(G1797)-N(H1797))</f>
        <v>2187750</v>
      </c>
      <c r="K1797" s="34" t="str">
        <f aca="false">IF(D1797="","",IFERROR(INDEX(I_COA!$C$6:$C$265,MATCH(D1797,I_COA!$A$6:$A$265,0)),"AKUN BARU"))</f>
        <v>Neraca</v>
      </c>
      <c r="L1797" s="34" t="str">
        <f aca="false">IF(K1797="LabaRugi",INDEX(I_COA!$D$6:$D$265,MATCH(D1797,I_COA!$A$6:$A$265,0)),"")</f>
        <v/>
      </c>
      <c r="M1797" s="34" t="str">
        <f aca="false">IF(K1797="Neraca",INDEX(I_COA!$E$6:$E$265,MATCH(D1797,I_COA!$A$6:$A$265,0)),"")</f>
        <v>Trade Receivables - Third Parties</v>
      </c>
      <c r="N1797" s="34" t="str">
        <f aca="false">IF(D1797="","",IFERROR(INDEX(I_COA!$G$6:$G$265,MATCH(D1797,I_COA!$A$6:$A$265,0)),"N"))</f>
        <v>N</v>
      </c>
      <c r="O1797" s="11" t="n">
        <f aca="false">IF(N1797="N",ABS(J1797),"")</f>
        <v>2187750</v>
      </c>
      <c r="P1797" s="18" t="str">
        <f aca="false">IF(N1797="N",B1797&amp;"|"&amp;ROUND(O1797,0),"")</f>
        <v>KGR26/0320|2187750</v>
      </c>
      <c r="Q1797" s="18" t="str">
        <f aca="false">IF(N1797&lt;&gt;"Y","",IFERROR(INDEX($D$6:$D$4005,MATCH(B1797&amp;"|"&amp;ROUND(_xlfn.MAXIFS($O$6:$O$4005,$B$6:$B$4005,B1797,$N$6:$N$4005,"N"),0),$P$6:$P$4005,0)),"(tanpa lawan)"))</f>
        <v/>
      </c>
      <c r="R1797" s="44"/>
      <c r="S1797" s="9" t="str">
        <f aca="false">IF(N1797&lt;&gt;"Y","",IF(R1797&lt;&gt;"",R1797,IF(Q1797="(tanpa lawan)","Transfer antar rekening",IFERROR(INDEX(I_COA!$F$6:$F$265,MATCH(Q1797,I_COA!$A$6:$A$265,0)),"?"))))</f>
        <v/>
      </c>
    </row>
    <row r="1798" customFormat="false" ht="15" hidden="false" customHeight="false" outlineLevel="0" collapsed="false">
      <c r="A1798" s="37" t="n">
        <v>46260</v>
      </c>
      <c r="B1798" s="44" t="s">
        <v>1962</v>
      </c>
      <c r="C1798" s="44" t="s">
        <v>617</v>
      </c>
      <c r="D1798" s="44" t="n">
        <v>4101007</v>
      </c>
      <c r="E1798" s="44" t="s">
        <v>985</v>
      </c>
      <c r="F1798" s="44" t="s">
        <v>1963</v>
      </c>
      <c r="G1798" s="42"/>
      <c r="H1798" s="42" t="n">
        <v>2187750</v>
      </c>
      <c r="I1798" s="44" t="s">
        <v>440</v>
      </c>
      <c r="J1798" s="11" t="n">
        <f aca="false">IF(D1798="","",N(G1798)-N(H1798))</f>
        <v>-2187750</v>
      </c>
      <c r="K1798" s="34" t="str">
        <f aca="false">IF(D1798="","",IFERROR(INDEX(I_COA!$C$6:$C$265,MATCH(D1798,I_COA!$A$6:$A$265,0)),"AKUN BARU"))</f>
        <v>LabaRugi</v>
      </c>
      <c r="L1798" s="34" t="str">
        <f aca="false">IF(K1798="LabaRugi",INDEX(I_COA!$D$6:$D$265,MATCH(D1798,I_COA!$A$6:$A$265,0)),"")</f>
        <v>Revenue - LB By Product</v>
      </c>
      <c r="M1798" s="34" t="str">
        <f aca="false">IF(K1798="Neraca",INDEX(I_COA!$E$6:$E$265,MATCH(D1798,I_COA!$A$6:$A$265,0)),"")</f>
        <v/>
      </c>
      <c r="N1798" s="34" t="str">
        <f aca="false">IF(D1798="","",IFERROR(INDEX(I_COA!$G$6:$G$265,MATCH(D1798,I_COA!$A$6:$A$265,0)),"N"))</f>
        <v>N</v>
      </c>
      <c r="O1798" s="11" t="n">
        <f aca="false">IF(N1798="N",ABS(J1798),"")</f>
        <v>2187750</v>
      </c>
      <c r="P1798" s="18" t="str">
        <f aca="false">IF(N1798="N",B1798&amp;"|"&amp;ROUND(O1798,0),"")</f>
        <v>KGR26/0320|2187750</v>
      </c>
      <c r="Q1798" s="18" t="str">
        <f aca="false">IF(N1798&lt;&gt;"Y","",IFERROR(INDEX($D$6:$D$4005,MATCH(B1798&amp;"|"&amp;ROUND(_xlfn.MAXIFS($O$6:$O$4005,$B$6:$B$4005,B1798,$N$6:$N$4005,"N"),0),$P$6:$P$4005,0)),"(tanpa lawan)"))</f>
        <v/>
      </c>
      <c r="R1798" s="44"/>
      <c r="S1798" s="9" t="str">
        <f aca="false">IF(N1798&lt;&gt;"Y","",IF(R1798&lt;&gt;"",R1798,IF(Q1798="(tanpa lawan)","Transfer antar rekening",IFERROR(INDEX(I_COA!$F$6:$F$265,MATCH(Q1798,I_COA!$A$6:$A$265,0)),"?"))))</f>
        <v/>
      </c>
    </row>
    <row r="1799" customFormat="false" ht="15" hidden="false" customHeight="false" outlineLevel="0" collapsed="false">
      <c r="A1799" s="37" t="n">
        <v>46260</v>
      </c>
      <c r="B1799" s="44" t="s">
        <v>1962</v>
      </c>
      <c r="C1799" s="44" t="s">
        <v>617</v>
      </c>
      <c r="D1799" s="44" t="n">
        <v>5100005</v>
      </c>
      <c r="E1799" s="44" t="s">
        <v>986</v>
      </c>
      <c r="F1799" s="44" t="s">
        <v>1963</v>
      </c>
      <c r="G1799" s="42" t="n">
        <v>5225865.54</v>
      </c>
      <c r="H1799" s="42"/>
      <c r="I1799" s="44" t="s">
        <v>440</v>
      </c>
      <c r="J1799" s="11" t="n">
        <f aca="false">IF(D1799="","",N(G1799)-N(H1799))</f>
        <v>5225865.54</v>
      </c>
      <c r="K1799" s="34" t="str">
        <f aca="false">IF(D1799="","",IFERROR(INDEX(I_COA!$C$6:$C$265,MATCH(D1799,I_COA!$A$6:$A$265,0)),"AKUN BARU"))</f>
        <v>LabaRugi</v>
      </c>
      <c r="L1799" s="34" t="str">
        <f aca="false">IF(K1799="LabaRugi",INDEX(I_COA!$D$6:$D$265,MATCH(D1799,I_COA!$A$6:$A$265,0)),"")</f>
        <v>COGS - Live Bird</v>
      </c>
      <c r="M1799" s="34" t="str">
        <f aca="false">IF(K1799="Neraca",INDEX(I_COA!$E$6:$E$265,MATCH(D1799,I_COA!$A$6:$A$265,0)),"")</f>
        <v/>
      </c>
      <c r="N1799" s="34" t="str">
        <f aca="false">IF(D1799="","",IFERROR(INDEX(I_COA!$G$6:$G$265,MATCH(D1799,I_COA!$A$6:$A$265,0)),"N"))</f>
        <v>N</v>
      </c>
      <c r="O1799" s="11" t="n">
        <f aca="false">IF(N1799="N",ABS(J1799),"")</f>
        <v>5225865.54</v>
      </c>
      <c r="P1799" s="18" t="str">
        <f aca="false">IF(N1799="N",B1799&amp;"|"&amp;ROUND(O1799,0),"")</f>
        <v>KGR26/0320|5225866</v>
      </c>
      <c r="Q1799" s="18" t="str">
        <f aca="false">IF(N1799&lt;&gt;"Y","",IFERROR(INDEX($D$6:$D$4005,MATCH(B1799&amp;"|"&amp;ROUND(_xlfn.MAXIFS($O$6:$O$4005,$B$6:$B$4005,B1799,$N$6:$N$4005,"N"),0),$P$6:$P$4005,0)),"(tanpa lawan)"))</f>
        <v/>
      </c>
      <c r="R1799" s="44"/>
      <c r="S1799" s="9" t="str">
        <f aca="false">IF(N1799&lt;&gt;"Y","",IF(R1799&lt;&gt;"",R1799,IF(Q1799="(tanpa lawan)","Transfer antar rekening",IFERROR(INDEX(I_COA!$F$6:$F$265,MATCH(Q1799,I_COA!$A$6:$A$265,0)),"?"))))</f>
        <v/>
      </c>
    </row>
    <row r="1800" customFormat="false" ht="15" hidden="false" customHeight="false" outlineLevel="0" collapsed="false">
      <c r="A1800" s="37" t="n">
        <v>46260</v>
      </c>
      <c r="B1800" s="44" t="s">
        <v>1962</v>
      </c>
      <c r="C1800" s="44" t="s">
        <v>617</v>
      </c>
      <c r="D1800" s="44" t="n">
        <v>1104002</v>
      </c>
      <c r="E1800" s="44" t="s">
        <v>601</v>
      </c>
      <c r="F1800" s="44" t="s">
        <v>1963</v>
      </c>
      <c r="G1800" s="42"/>
      <c r="H1800" s="42" t="n">
        <v>5225865.54</v>
      </c>
      <c r="I1800" s="44" t="s">
        <v>440</v>
      </c>
      <c r="J1800" s="11" t="n">
        <f aca="false">IF(D1800="","",N(G1800)-N(H1800))</f>
        <v>-5225865.54</v>
      </c>
      <c r="K1800" s="34" t="str">
        <f aca="false">IF(D1800="","",IFERROR(INDEX(I_COA!$C$6:$C$265,MATCH(D1800,I_COA!$A$6:$A$265,0)),"AKUN BARU"))</f>
        <v>Neraca</v>
      </c>
      <c r="L1800" s="34" t="str">
        <f aca="false">IF(K1800="LabaRugi",INDEX(I_COA!$D$6:$D$265,MATCH(D1800,I_COA!$A$6:$A$265,0)),"")</f>
        <v/>
      </c>
      <c r="M1800" s="34" t="str">
        <f aca="false">IF(K1800="Neraca",INDEX(I_COA!$E$6:$E$265,MATCH(D1800,I_COA!$A$6:$A$265,0)),"")</f>
        <v>Inventory - Product</v>
      </c>
      <c r="N1800" s="34" t="str">
        <f aca="false">IF(D1800="","",IFERROR(INDEX(I_COA!$G$6:$G$265,MATCH(D1800,I_COA!$A$6:$A$265,0)),"N"))</f>
        <v>N</v>
      </c>
      <c r="O1800" s="11" t="n">
        <f aca="false">IF(N1800="N",ABS(J1800),"")</f>
        <v>5225865.54</v>
      </c>
      <c r="P1800" s="18" t="str">
        <f aca="false">IF(N1800="N",B1800&amp;"|"&amp;ROUND(O1800,0),"")</f>
        <v>KGR26/0320|5225866</v>
      </c>
      <c r="Q1800" s="18" t="str">
        <f aca="false">IF(N1800&lt;&gt;"Y","",IFERROR(INDEX($D$6:$D$4005,MATCH(B1800&amp;"|"&amp;ROUND(_xlfn.MAXIFS($O$6:$O$4005,$B$6:$B$4005,B1800,$N$6:$N$4005,"N"),0),$P$6:$P$4005,0)),"(tanpa lawan)"))</f>
        <v/>
      </c>
      <c r="R1800" s="44"/>
      <c r="S1800" s="9" t="str">
        <f aca="false">IF(N1800&lt;&gt;"Y","",IF(R1800&lt;&gt;"",R1800,IF(Q1800="(tanpa lawan)","Transfer antar rekening",IFERROR(INDEX(I_COA!$F$6:$F$265,MATCH(Q1800,I_COA!$A$6:$A$265,0)),"?"))))</f>
        <v/>
      </c>
    </row>
    <row r="1801" customFormat="false" ht="15" hidden="false" customHeight="false" outlineLevel="0" collapsed="false">
      <c r="A1801" s="37" t="n">
        <v>46260</v>
      </c>
      <c r="B1801" s="44" t="s">
        <v>1964</v>
      </c>
      <c r="C1801" s="44" t="s">
        <v>617</v>
      </c>
      <c r="D1801" s="44" t="n">
        <v>1103101</v>
      </c>
      <c r="E1801" s="44" t="s">
        <v>589</v>
      </c>
      <c r="F1801" s="44" t="s">
        <v>1965</v>
      </c>
      <c r="G1801" s="42" t="n">
        <v>2000100</v>
      </c>
      <c r="H1801" s="42"/>
      <c r="I1801" s="44" t="s">
        <v>440</v>
      </c>
      <c r="J1801" s="11" t="n">
        <f aca="false">IF(D1801="","",N(G1801)-N(H1801))</f>
        <v>2000100</v>
      </c>
      <c r="K1801" s="34" t="str">
        <f aca="false">IF(D1801="","",IFERROR(INDEX(I_COA!$C$6:$C$265,MATCH(D1801,I_COA!$A$6:$A$265,0)),"AKUN BARU"))</f>
        <v>Neraca</v>
      </c>
      <c r="L1801" s="34" t="str">
        <f aca="false">IF(K1801="LabaRugi",INDEX(I_COA!$D$6:$D$265,MATCH(D1801,I_COA!$A$6:$A$265,0)),"")</f>
        <v/>
      </c>
      <c r="M1801" s="34" t="str">
        <f aca="false">IF(K1801="Neraca",INDEX(I_COA!$E$6:$E$265,MATCH(D1801,I_COA!$A$6:$A$265,0)),"")</f>
        <v>Trade Receivables - Third Parties</v>
      </c>
      <c r="N1801" s="34" t="str">
        <f aca="false">IF(D1801="","",IFERROR(INDEX(I_COA!$G$6:$G$265,MATCH(D1801,I_COA!$A$6:$A$265,0)),"N"))</f>
        <v>N</v>
      </c>
      <c r="O1801" s="11" t="n">
        <f aca="false">IF(N1801="N",ABS(J1801),"")</f>
        <v>2000100</v>
      </c>
      <c r="P1801" s="18" t="str">
        <f aca="false">IF(N1801="N",B1801&amp;"|"&amp;ROUND(O1801,0),"")</f>
        <v>KGR26/0321|2000100</v>
      </c>
      <c r="Q1801" s="18" t="str">
        <f aca="false">IF(N1801&lt;&gt;"Y","",IFERROR(INDEX($D$6:$D$4005,MATCH(B1801&amp;"|"&amp;ROUND(_xlfn.MAXIFS($O$6:$O$4005,$B$6:$B$4005,B1801,$N$6:$N$4005,"N"),0),$P$6:$P$4005,0)),"(tanpa lawan)"))</f>
        <v/>
      </c>
      <c r="R1801" s="44"/>
      <c r="S1801" s="9" t="str">
        <f aca="false">IF(N1801&lt;&gt;"Y","",IF(R1801&lt;&gt;"",R1801,IF(Q1801="(tanpa lawan)","Transfer antar rekening",IFERROR(INDEX(I_COA!$F$6:$F$265,MATCH(Q1801,I_COA!$A$6:$A$265,0)),"?"))))</f>
        <v/>
      </c>
    </row>
    <row r="1802" customFormat="false" ht="15" hidden="false" customHeight="false" outlineLevel="0" collapsed="false">
      <c r="A1802" s="37" t="n">
        <v>46260</v>
      </c>
      <c r="B1802" s="44" t="s">
        <v>1964</v>
      </c>
      <c r="C1802" s="44" t="s">
        <v>617</v>
      </c>
      <c r="D1802" s="44" t="n">
        <v>4101007</v>
      </c>
      <c r="E1802" s="44" t="s">
        <v>985</v>
      </c>
      <c r="F1802" s="44" t="s">
        <v>1965</v>
      </c>
      <c r="G1802" s="42"/>
      <c r="H1802" s="42" t="n">
        <v>2000100</v>
      </c>
      <c r="I1802" s="44" t="s">
        <v>440</v>
      </c>
      <c r="J1802" s="11" t="n">
        <f aca="false">IF(D1802="","",N(G1802)-N(H1802))</f>
        <v>-2000100</v>
      </c>
      <c r="K1802" s="34" t="str">
        <f aca="false">IF(D1802="","",IFERROR(INDEX(I_COA!$C$6:$C$265,MATCH(D1802,I_COA!$A$6:$A$265,0)),"AKUN BARU"))</f>
        <v>LabaRugi</v>
      </c>
      <c r="L1802" s="34" t="str">
        <f aca="false">IF(K1802="LabaRugi",INDEX(I_COA!$D$6:$D$265,MATCH(D1802,I_COA!$A$6:$A$265,0)),"")</f>
        <v>Revenue - LB By Product</v>
      </c>
      <c r="M1802" s="34" t="str">
        <f aca="false">IF(K1802="Neraca",INDEX(I_COA!$E$6:$E$265,MATCH(D1802,I_COA!$A$6:$A$265,0)),"")</f>
        <v/>
      </c>
      <c r="N1802" s="34" t="str">
        <f aca="false">IF(D1802="","",IFERROR(INDEX(I_COA!$G$6:$G$265,MATCH(D1802,I_COA!$A$6:$A$265,0)),"N"))</f>
        <v>N</v>
      </c>
      <c r="O1802" s="11" t="n">
        <f aca="false">IF(N1802="N",ABS(J1802),"")</f>
        <v>2000100</v>
      </c>
      <c r="P1802" s="18" t="str">
        <f aca="false">IF(N1802="N",B1802&amp;"|"&amp;ROUND(O1802,0),"")</f>
        <v>KGR26/0321|2000100</v>
      </c>
      <c r="Q1802" s="18" t="str">
        <f aca="false">IF(N1802&lt;&gt;"Y","",IFERROR(INDEX($D$6:$D$4005,MATCH(B1802&amp;"|"&amp;ROUND(_xlfn.MAXIFS($O$6:$O$4005,$B$6:$B$4005,B1802,$N$6:$N$4005,"N"),0),$P$6:$P$4005,0)),"(tanpa lawan)"))</f>
        <v/>
      </c>
      <c r="R1802" s="44"/>
      <c r="S1802" s="9" t="str">
        <f aca="false">IF(N1802&lt;&gt;"Y","",IF(R1802&lt;&gt;"",R1802,IF(Q1802="(tanpa lawan)","Transfer antar rekening",IFERROR(INDEX(I_COA!$F$6:$F$265,MATCH(Q1802,I_COA!$A$6:$A$265,0)),"?"))))</f>
        <v/>
      </c>
    </row>
    <row r="1803" customFormat="false" ht="15" hidden="false" customHeight="false" outlineLevel="0" collapsed="false">
      <c r="A1803" s="37" t="n">
        <v>46260</v>
      </c>
      <c r="B1803" s="44" t="s">
        <v>1964</v>
      </c>
      <c r="C1803" s="44" t="s">
        <v>617</v>
      </c>
      <c r="D1803" s="44" t="n">
        <v>5100005</v>
      </c>
      <c r="E1803" s="44" t="s">
        <v>986</v>
      </c>
      <c r="F1803" s="44" t="s">
        <v>1965</v>
      </c>
      <c r="G1803" s="42" t="n">
        <v>4669521.4</v>
      </c>
      <c r="H1803" s="42"/>
      <c r="I1803" s="44" t="s">
        <v>440</v>
      </c>
      <c r="J1803" s="11" t="n">
        <f aca="false">IF(D1803="","",N(G1803)-N(H1803))</f>
        <v>4669521.4</v>
      </c>
      <c r="K1803" s="34" t="str">
        <f aca="false">IF(D1803="","",IFERROR(INDEX(I_COA!$C$6:$C$265,MATCH(D1803,I_COA!$A$6:$A$265,0)),"AKUN BARU"))</f>
        <v>LabaRugi</v>
      </c>
      <c r="L1803" s="34" t="str">
        <f aca="false">IF(K1803="LabaRugi",INDEX(I_COA!$D$6:$D$265,MATCH(D1803,I_COA!$A$6:$A$265,0)),"")</f>
        <v>COGS - Live Bird</v>
      </c>
      <c r="M1803" s="34" t="str">
        <f aca="false">IF(K1803="Neraca",INDEX(I_COA!$E$6:$E$265,MATCH(D1803,I_COA!$A$6:$A$265,0)),"")</f>
        <v/>
      </c>
      <c r="N1803" s="34" t="str">
        <f aca="false">IF(D1803="","",IFERROR(INDEX(I_COA!$G$6:$G$265,MATCH(D1803,I_COA!$A$6:$A$265,0)),"N"))</f>
        <v>N</v>
      </c>
      <c r="O1803" s="11" t="n">
        <f aca="false">IF(N1803="N",ABS(J1803),"")</f>
        <v>4669521.4</v>
      </c>
      <c r="P1803" s="18" t="str">
        <f aca="false">IF(N1803="N",B1803&amp;"|"&amp;ROUND(O1803,0),"")</f>
        <v>KGR26/0321|4669521</v>
      </c>
      <c r="Q1803" s="18" t="str">
        <f aca="false">IF(N1803&lt;&gt;"Y","",IFERROR(INDEX($D$6:$D$4005,MATCH(B1803&amp;"|"&amp;ROUND(_xlfn.MAXIFS($O$6:$O$4005,$B$6:$B$4005,B1803,$N$6:$N$4005,"N"),0),$P$6:$P$4005,0)),"(tanpa lawan)"))</f>
        <v/>
      </c>
      <c r="R1803" s="44"/>
      <c r="S1803" s="9" t="str">
        <f aca="false">IF(N1803&lt;&gt;"Y","",IF(R1803&lt;&gt;"",R1803,IF(Q1803="(tanpa lawan)","Transfer antar rekening",IFERROR(INDEX(I_COA!$F$6:$F$265,MATCH(Q1803,I_COA!$A$6:$A$265,0)),"?"))))</f>
        <v/>
      </c>
    </row>
    <row r="1804" customFormat="false" ht="15" hidden="false" customHeight="false" outlineLevel="0" collapsed="false">
      <c r="A1804" s="37" t="n">
        <v>46260</v>
      </c>
      <c r="B1804" s="44" t="s">
        <v>1964</v>
      </c>
      <c r="C1804" s="44" t="s">
        <v>617</v>
      </c>
      <c r="D1804" s="44" t="n">
        <v>1104002</v>
      </c>
      <c r="E1804" s="44" t="s">
        <v>601</v>
      </c>
      <c r="F1804" s="44" t="s">
        <v>1965</v>
      </c>
      <c r="G1804" s="42"/>
      <c r="H1804" s="42" t="n">
        <v>4669521.4</v>
      </c>
      <c r="I1804" s="44" t="s">
        <v>440</v>
      </c>
      <c r="J1804" s="11" t="n">
        <f aca="false">IF(D1804="","",N(G1804)-N(H1804))</f>
        <v>-4669521.4</v>
      </c>
      <c r="K1804" s="34" t="str">
        <f aca="false">IF(D1804="","",IFERROR(INDEX(I_COA!$C$6:$C$265,MATCH(D1804,I_COA!$A$6:$A$265,0)),"AKUN BARU"))</f>
        <v>Neraca</v>
      </c>
      <c r="L1804" s="34" t="str">
        <f aca="false">IF(K1804="LabaRugi",INDEX(I_COA!$D$6:$D$265,MATCH(D1804,I_COA!$A$6:$A$265,0)),"")</f>
        <v/>
      </c>
      <c r="M1804" s="34" t="str">
        <f aca="false">IF(K1804="Neraca",INDEX(I_COA!$E$6:$E$265,MATCH(D1804,I_COA!$A$6:$A$265,0)),"")</f>
        <v>Inventory - Product</v>
      </c>
      <c r="N1804" s="34" t="str">
        <f aca="false">IF(D1804="","",IFERROR(INDEX(I_COA!$G$6:$G$265,MATCH(D1804,I_COA!$A$6:$A$265,0)),"N"))</f>
        <v>N</v>
      </c>
      <c r="O1804" s="11" t="n">
        <f aca="false">IF(N1804="N",ABS(J1804),"")</f>
        <v>4669521.4</v>
      </c>
      <c r="P1804" s="18" t="str">
        <f aca="false">IF(N1804="N",B1804&amp;"|"&amp;ROUND(O1804,0),"")</f>
        <v>KGR26/0321|4669521</v>
      </c>
      <c r="Q1804" s="18" t="str">
        <f aca="false">IF(N1804&lt;&gt;"Y","",IFERROR(INDEX($D$6:$D$4005,MATCH(B1804&amp;"|"&amp;ROUND(_xlfn.MAXIFS($O$6:$O$4005,$B$6:$B$4005,B1804,$N$6:$N$4005,"N"),0),$P$6:$P$4005,0)),"(tanpa lawan)"))</f>
        <v/>
      </c>
      <c r="R1804" s="44"/>
      <c r="S1804" s="9" t="str">
        <f aca="false">IF(N1804&lt;&gt;"Y","",IF(R1804&lt;&gt;"",R1804,IF(Q1804="(tanpa lawan)","Transfer antar rekening",IFERROR(INDEX(I_COA!$F$6:$F$265,MATCH(Q1804,I_COA!$A$6:$A$265,0)),"?"))))</f>
        <v/>
      </c>
    </row>
    <row r="1805" customFormat="false" ht="15" hidden="false" customHeight="false" outlineLevel="0" collapsed="false">
      <c r="A1805" s="37" t="n">
        <v>46260</v>
      </c>
      <c r="B1805" s="44" t="s">
        <v>1966</v>
      </c>
      <c r="C1805" s="44" t="s">
        <v>617</v>
      </c>
      <c r="D1805" s="44" t="n">
        <v>1103101</v>
      </c>
      <c r="E1805" s="44" t="s">
        <v>589</v>
      </c>
      <c r="F1805" s="44" t="s">
        <v>1967</v>
      </c>
      <c r="G1805" s="42" t="n">
        <v>2049700</v>
      </c>
      <c r="H1805" s="42"/>
      <c r="I1805" s="44" t="s">
        <v>440</v>
      </c>
      <c r="J1805" s="11" t="n">
        <f aca="false">IF(D1805="","",N(G1805)-N(H1805))</f>
        <v>2049700</v>
      </c>
      <c r="K1805" s="34" t="str">
        <f aca="false">IF(D1805="","",IFERROR(INDEX(I_COA!$C$6:$C$265,MATCH(D1805,I_COA!$A$6:$A$265,0)),"AKUN BARU"))</f>
        <v>Neraca</v>
      </c>
      <c r="L1805" s="34" t="str">
        <f aca="false">IF(K1805="LabaRugi",INDEX(I_COA!$D$6:$D$265,MATCH(D1805,I_COA!$A$6:$A$265,0)),"")</f>
        <v/>
      </c>
      <c r="M1805" s="34" t="str">
        <f aca="false">IF(K1805="Neraca",INDEX(I_COA!$E$6:$E$265,MATCH(D1805,I_COA!$A$6:$A$265,0)),"")</f>
        <v>Trade Receivables - Third Parties</v>
      </c>
      <c r="N1805" s="34" t="str">
        <f aca="false">IF(D1805="","",IFERROR(INDEX(I_COA!$G$6:$G$265,MATCH(D1805,I_COA!$A$6:$A$265,0)),"N"))</f>
        <v>N</v>
      </c>
      <c r="O1805" s="11" t="n">
        <f aca="false">IF(N1805="N",ABS(J1805),"")</f>
        <v>2049700</v>
      </c>
      <c r="P1805" s="18" t="str">
        <f aca="false">IF(N1805="N",B1805&amp;"|"&amp;ROUND(O1805,0),"")</f>
        <v>KGR26/0322|2049700</v>
      </c>
      <c r="Q1805" s="18" t="str">
        <f aca="false">IF(N1805&lt;&gt;"Y","",IFERROR(INDEX($D$6:$D$4005,MATCH(B1805&amp;"|"&amp;ROUND(_xlfn.MAXIFS($O$6:$O$4005,$B$6:$B$4005,B1805,$N$6:$N$4005,"N"),0),$P$6:$P$4005,0)),"(tanpa lawan)"))</f>
        <v/>
      </c>
      <c r="R1805" s="44"/>
      <c r="S1805" s="9" t="str">
        <f aca="false">IF(N1805&lt;&gt;"Y","",IF(R1805&lt;&gt;"",R1805,IF(Q1805="(tanpa lawan)","Transfer antar rekening",IFERROR(INDEX(I_COA!$F$6:$F$265,MATCH(Q1805,I_COA!$A$6:$A$265,0)),"?"))))</f>
        <v/>
      </c>
    </row>
    <row r="1806" customFormat="false" ht="15" hidden="false" customHeight="false" outlineLevel="0" collapsed="false">
      <c r="A1806" s="37" t="n">
        <v>46260</v>
      </c>
      <c r="B1806" s="44" t="s">
        <v>1966</v>
      </c>
      <c r="C1806" s="44" t="s">
        <v>617</v>
      </c>
      <c r="D1806" s="44" t="n">
        <v>4101007</v>
      </c>
      <c r="E1806" s="44" t="s">
        <v>985</v>
      </c>
      <c r="F1806" s="44" t="s">
        <v>1967</v>
      </c>
      <c r="G1806" s="42"/>
      <c r="H1806" s="42" t="n">
        <v>2049700</v>
      </c>
      <c r="I1806" s="44" t="s">
        <v>440</v>
      </c>
      <c r="J1806" s="11" t="n">
        <f aca="false">IF(D1806="","",N(G1806)-N(H1806))</f>
        <v>-2049700</v>
      </c>
      <c r="K1806" s="34" t="str">
        <f aca="false">IF(D1806="","",IFERROR(INDEX(I_COA!$C$6:$C$265,MATCH(D1806,I_COA!$A$6:$A$265,0)),"AKUN BARU"))</f>
        <v>LabaRugi</v>
      </c>
      <c r="L1806" s="34" t="str">
        <f aca="false">IF(K1806="LabaRugi",INDEX(I_COA!$D$6:$D$265,MATCH(D1806,I_COA!$A$6:$A$265,0)),"")</f>
        <v>Revenue - LB By Product</v>
      </c>
      <c r="M1806" s="34" t="str">
        <f aca="false">IF(K1806="Neraca",INDEX(I_COA!$E$6:$E$265,MATCH(D1806,I_COA!$A$6:$A$265,0)),"")</f>
        <v/>
      </c>
      <c r="N1806" s="34" t="str">
        <f aca="false">IF(D1806="","",IFERROR(INDEX(I_COA!$G$6:$G$265,MATCH(D1806,I_COA!$A$6:$A$265,0)),"N"))</f>
        <v>N</v>
      </c>
      <c r="O1806" s="11" t="n">
        <f aca="false">IF(N1806="N",ABS(J1806),"")</f>
        <v>2049700</v>
      </c>
      <c r="P1806" s="18" t="str">
        <f aca="false">IF(N1806="N",B1806&amp;"|"&amp;ROUND(O1806,0),"")</f>
        <v>KGR26/0322|2049700</v>
      </c>
      <c r="Q1806" s="18" t="str">
        <f aca="false">IF(N1806&lt;&gt;"Y","",IFERROR(INDEX($D$6:$D$4005,MATCH(B1806&amp;"|"&amp;ROUND(_xlfn.MAXIFS($O$6:$O$4005,$B$6:$B$4005,B1806,$N$6:$N$4005,"N"),0),$P$6:$P$4005,0)),"(tanpa lawan)"))</f>
        <v/>
      </c>
      <c r="R1806" s="44"/>
      <c r="S1806" s="9" t="str">
        <f aca="false">IF(N1806&lt;&gt;"Y","",IF(R1806&lt;&gt;"",R1806,IF(Q1806="(tanpa lawan)","Transfer antar rekening",IFERROR(INDEX(I_COA!$F$6:$F$265,MATCH(Q1806,I_COA!$A$6:$A$265,0)),"?"))))</f>
        <v/>
      </c>
    </row>
    <row r="1807" customFormat="false" ht="15" hidden="false" customHeight="false" outlineLevel="0" collapsed="false">
      <c r="A1807" s="37" t="n">
        <v>46260</v>
      </c>
      <c r="B1807" s="44" t="s">
        <v>1966</v>
      </c>
      <c r="C1807" s="44" t="s">
        <v>617</v>
      </c>
      <c r="D1807" s="44" t="n">
        <v>5100005</v>
      </c>
      <c r="E1807" s="44" t="s">
        <v>986</v>
      </c>
      <c r="F1807" s="44" t="s">
        <v>1967</v>
      </c>
      <c r="G1807" s="42" t="n">
        <v>4887429.65</v>
      </c>
      <c r="H1807" s="42"/>
      <c r="I1807" s="44" t="s">
        <v>440</v>
      </c>
      <c r="J1807" s="11" t="n">
        <f aca="false">IF(D1807="","",N(G1807)-N(H1807))</f>
        <v>4887429.65</v>
      </c>
      <c r="K1807" s="34" t="str">
        <f aca="false">IF(D1807="","",IFERROR(INDEX(I_COA!$C$6:$C$265,MATCH(D1807,I_COA!$A$6:$A$265,0)),"AKUN BARU"))</f>
        <v>LabaRugi</v>
      </c>
      <c r="L1807" s="34" t="str">
        <f aca="false">IF(K1807="LabaRugi",INDEX(I_COA!$D$6:$D$265,MATCH(D1807,I_COA!$A$6:$A$265,0)),"")</f>
        <v>COGS - Live Bird</v>
      </c>
      <c r="M1807" s="34" t="str">
        <f aca="false">IF(K1807="Neraca",INDEX(I_COA!$E$6:$E$265,MATCH(D1807,I_COA!$A$6:$A$265,0)),"")</f>
        <v/>
      </c>
      <c r="N1807" s="34" t="str">
        <f aca="false">IF(D1807="","",IFERROR(INDEX(I_COA!$G$6:$G$265,MATCH(D1807,I_COA!$A$6:$A$265,0)),"N"))</f>
        <v>N</v>
      </c>
      <c r="O1807" s="11" t="n">
        <f aca="false">IF(N1807="N",ABS(J1807),"")</f>
        <v>4887429.65</v>
      </c>
      <c r="P1807" s="18" t="str">
        <f aca="false">IF(N1807="N",B1807&amp;"|"&amp;ROUND(O1807,0),"")</f>
        <v>KGR26/0322|4887430</v>
      </c>
      <c r="Q1807" s="18" t="str">
        <f aca="false">IF(N1807&lt;&gt;"Y","",IFERROR(INDEX($D$6:$D$4005,MATCH(B1807&amp;"|"&amp;ROUND(_xlfn.MAXIFS($O$6:$O$4005,$B$6:$B$4005,B1807,$N$6:$N$4005,"N"),0),$P$6:$P$4005,0)),"(tanpa lawan)"))</f>
        <v/>
      </c>
      <c r="R1807" s="44"/>
      <c r="S1807" s="9" t="str">
        <f aca="false">IF(N1807&lt;&gt;"Y","",IF(R1807&lt;&gt;"",R1807,IF(Q1807="(tanpa lawan)","Transfer antar rekening",IFERROR(INDEX(I_COA!$F$6:$F$265,MATCH(Q1807,I_COA!$A$6:$A$265,0)),"?"))))</f>
        <v/>
      </c>
    </row>
    <row r="1808" customFormat="false" ht="15" hidden="false" customHeight="false" outlineLevel="0" collapsed="false">
      <c r="A1808" s="37" t="n">
        <v>46260</v>
      </c>
      <c r="B1808" s="44" t="s">
        <v>1966</v>
      </c>
      <c r="C1808" s="44" t="s">
        <v>617</v>
      </c>
      <c r="D1808" s="44" t="n">
        <v>1104002</v>
      </c>
      <c r="E1808" s="44" t="s">
        <v>601</v>
      </c>
      <c r="F1808" s="44" t="s">
        <v>1967</v>
      </c>
      <c r="G1808" s="42"/>
      <c r="H1808" s="42" t="n">
        <v>4887429.65</v>
      </c>
      <c r="I1808" s="44" t="s">
        <v>440</v>
      </c>
      <c r="J1808" s="11" t="n">
        <f aca="false">IF(D1808="","",N(G1808)-N(H1808))</f>
        <v>-4887429.65</v>
      </c>
      <c r="K1808" s="34" t="str">
        <f aca="false">IF(D1808="","",IFERROR(INDEX(I_COA!$C$6:$C$265,MATCH(D1808,I_COA!$A$6:$A$265,0)),"AKUN BARU"))</f>
        <v>Neraca</v>
      </c>
      <c r="L1808" s="34" t="str">
        <f aca="false">IF(K1808="LabaRugi",INDEX(I_COA!$D$6:$D$265,MATCH(D1808,I_COA!$A$6:$A$265,0)),"")</f>
        <v/>
      </c>
      <c r="M1808" s="34" t="str">
        <f aca="false">IF(K1808="Neraca",INDEX(I_COA!$E$6:$E$265,MATCH(D1808,I_COA!$A$6:$A$265,0)),"")</f>
        <v>Inventory - Product</v>
      </c>
      <c r="N1808" s="34" t="str">
        <f aca="false">IF(D1808="","",IFERROR(INDEX(I_COA!$G$6:$G$265,MATCH(D1808,I_COA!$A$6:$A$265,0)),"N"))</f>
        <v>N</v>
      </c>
      <c r="O1808" s="11" t="n">
        <f aca="false">IF(N1808="N",ABS(J1808),"")</f>
        <v>4887429.65</v>
      </c>
      <c r="P1808" s="18" t="str">
        <f aca="false">IF(N1808="N",B1808&amp;"|"&amp;ROUND(O1808,0),"")</f>
        <v>KGR26/0322|4887430</v>
      </c>
      <c r="Q1808" s="18" t="str">
        <f aca="false">IF(N1808&lt;&gt;"Y","",IFERROR(INDEX($D$6:$D$4005,MATCH(B1808&amp;"|"&amp;ROUND(_xlfn.MAXIFS($O$6:$O$4005,$B$6:$B$4005,B1808,$N$6:$N$4005,"N"),0),$P$6:$P$4005,0)),"(tanpa lawan)"))</f>
        <v/>
      </c>
      <c r="R1808" s="44"/>
      <c r="S1808" s="9" t="str">
        <f aca="false">IF(N1808&lt;&gt;"Y","",IF(R1808&lt;&gt;"",R1808,IF(Q1808="(tanpa lawan)","Transfer antar rekening",IFERROR(INDEX(I_COA!$F$6:$F$265,MATCH(Q1808,I_COA!$A$6:$A$265,0)),"?"))))</f>
        <v/>
      </c>
    </row>
    <row r="1809" customFormat="false" ht="15" hidden="false" customHeight="false" outlineLevel="0" collapsed="false">
      <c r="A1809" s="37" t="n">
        <v>46260</v>
      </c>
      <c r="B1809" s="44" t="s">
        <v>1968</v>
      </c>
      <c r="C1809" s="44" t="s">
        <v>617</v>
      </c>
      <c r="D1809" s="44" t="n">
        <v>1103101</v>
      </c>
      <c r="E1809" s="44" t="s">
        <v>589</v>
      </c>
      <c r="F1809" s="44" t="s">
        <v>1969</v>
      </c>
      <c r="G1809" s="42" t="n">
        <v>334800</v>
      </c>
      <c r="H1809" s="42"/>
      <c r="I1809" s="44" t="s">
        <v>440</v>
      </c>
      <c r="J1809" s="11" t="n">
        <f aca="false">IF(D1809="","",N(G1809)-N(H1809))</f>
        <v>334800</v>
      </c>
      <c r="K1809" s="34" t="str">
        <f aca="false">IF(D1809="","",IFERROR(INDEX(I_COA!$C$6:$C$265,MATCH(D1809,I_COA!$A$6:$A$265,0)),"AKUN BARU"))</f>
        <v>Neraca</v>
      </c>
      <c r="L1809" s="34" t="str">
        <f aca="false">IF(K1809="LabaRugi",INDEX(I_COA!$D$6:$D$265,MATCH(D1809,I_COA!$A$6:$A$265,0)),"")</f>
        <v/>
      </c>
      <c r="M1809" s="34" t="str">
        <f aca="false">IF(K1809="Neraca",INDEX(I_COA!$E$6:$E$265,MATCH(D1809,I_COA!$A$6:$A$265,0)),"")</f>
        <v>Trade Receivables - Third Parties</v>
      </c>
      <c r="N1809" s="34" t="str">
        <f aca="false">IF(D1809="","",IFERROR(INDEX(I_COA!$G$6:$G$265,MATCH(D1809,I_COA!$A$6:$A$265,0)),"N"))</f>
        <v>N</v>
      </c>
      <c r="O1809" s="11" t="n">
        <f aca="false">IF(N1809="N",ABS(J1809),"")</f>
        <v>334800</v>
      </c>
      <c r="P1809" s="18" t="str">
        <f aca="false">IF(N1809="N",B1809&amp;"|"&amp;ROUND(O1809,0),"")</f>
        <v>KGR26/0323|334800</v>
      </c>
      <c r="Q1809" s="18" t="str">
        <f aca="false">IF(N1809&lt;&gt;"Y","",IFERROR(INDEX($D$6:$D$4005,MATCH(B1809&amp;"|"&amp;ROUND(_xlfn.MAXIFS($O$6:$O$4005,$B$6:$B$4005,B1809,$N$6:$N$4005,"N"),0),$P$6:$P$4005,0)),"(tanpa lawan)"))</f>
        <v/>
      </c>
      <c r="R1809" s="44"/>
      <c r="S1809" s="9" t="str">
        <f aca="false">IF(N1809&lt;&gt;"Y","",IF(R1809&lt;&gt;"",R1809,IF(Q1809="(tanpa lawan)","Transfer antar rekening",IFERROR(INDEX(I_COA!$F$6:$F$265,MATCH(Q1809,I_COA!$A$6:$A$265,0)),"?"))))</f>
        <v/>
      </c>
    </row>
    <row r="1810" customFormat="false" ht="15" hidden="false" customHeight="false" outlineLevel="0" collapsed="false">
      <c r="A1810" s="37" t="n">
        <v>46260</v>
      </c>
      <c r="B1810" s="44" t="s">
        <v>1968</v>
      </c>
      <c r="C1810" s="44" t="s">
        <v>617</v>
      </c>
      <c r="D1810" s="44" t="n">
        <v>4101006</v>
      </c>
      <c r="E1810" s="44" t="s">
        <v>626</v>
      </c>
      <c r="F1810" s="44" t="s">
        <v>1969</v>
      </c>
      <c r="G1810" s="42"/>
      <c r="H1810" s="42" t="n">
        <v>334800</v>
      </c>
      <c r="I1810" s="44" t="s">
        <v>440</v>
      </c>
      <c r="J1810" s="11" t="n">
        <f aca="false">IF(D1810="","",N(G1810)-N(H1810))</f>
        <v>-334800</v>
      </c>
      <c r="K1810" s="34" t="str">
        <f aca="false">IF(D1810="","",IFERROR(INDEX(I_COA!$C$6:$C$265,MATCH(D1810,I_COA!$A$6:$A$265,0)),"AKUN BARU"))</f>
        <v>LabaRugi</v>
      </c>
      <c r="L1810" s="34" t="str">
        <f aca="false">IF(K1810="LabaRugi",INDEX(I_COA!$D$6:$D$265,MATCH(D1810,I_COA!$A$6:$A$265,0)),"")</f>
        <v>Revenue - LB Main Product</v>
      </c>
      <c r="M1810" s="34" t="str">
        <f aca="false">IF(K1810="Neraca",INDEX(I_COA!$E$6:$E$265,MATCH(D1810,I_COA!$A$6:$A$265,0)),"")</f>
        <v/>
      </c>
      <c r="N1810" s="34" t="str">
        <f aca="false">IF(D1810="","",IFERROR(INDEX(I_COA!$G$6:$G$265,MATCH(D1810,I_COA!$A$6:$A$265,0)),"N"))</f>
        <v>N</v>
      </c>
      <c r="O1810" s="11" t="n">
        <f aca="false">IF(N1810="N",ABS(J1810),"")</f>
        <v>334800</v>
      </c>
      <c r="P1810" s="18" t="str">
        <f aca="false">IF(N1810="N",B1810&amp;"|"&amp;ROUND(O1810,0),"")</f>
        <v>KGR26/0323|334800</v>
      </c>
      <c r="Q1810" s="18" t="str">
        <f aca="false">IF(N1810&lt;&gt;"Y","",IFERROR(INDEX($D$6:$D$4005,MATCH(B1810&amp;"|"&amp;ROUND(_xlfn.MAXIFS($O$6:$O$4005,$B$6:$B$4005,B1810,$N$6:$N$4005,"N"),0),$P$6:$P$4005,0)),"(tanpa lawan)"))</f>
        <v/>
      </c>
      <c r="R1810" s="44"/>
      <c r="S1810" s="9" t="str">
        <f aca="false">IF(N1810&lt;&gt;"Y","",IF(R1810&lt;&gt;"",R1810,IF(Q1810="(tanpa lawan)","Transfer antar rekening",IFERROR(INDEX(I_COA!$F$6:$F$265,MATCH(Q1810,I_COA!$A$6:$A$265,0)),"?"))))</f>
        <v/>
      </c>
    </row>
    <row r="1811" customFormat="false" ht="15" hidden="false" customHeight="false" outlineLevel="0" collapsed="false">
      <c r="A1811" s="37" t="n">
        <v>46260</v>
      </c>
      <c r="B1811" s="44" t="s">
        <v>1968</v>
      </c>
      <c r="C1811" s="44" t="s">
        <v>617</v>
      </c>
      <c r="D1811" s="44" t="n">
        <v>5100004</v>
      </c>
      <c r="E1811" s="44" t="s">
        <v>627</v>
      </c>
      <c r="F1811" s="44" t="s">
        <v>1969</v>
      </c>
      <c r="G1811" s="42" t="n">
        <v>270060.34</v>
      </c>
      <c r="H1811" s="42"/>
      <c r="I1811" s="44" t="s">
        <v>440</v>
      </c>
      <c r="J1811" s="11" t="n">
        <f aca="false">IF(D1811="","",N(G1811)-N(H1811))</f>
        <v>270060.34</v>
      </c>
      <c r="K1811" s="34" t="str">
        <f aca="false">IF(D1811="","",IFERROR(INDEX(I_COA!$C$6:$C$265,MATCH(D1811,I_COA!$A$6:$A$265,0)),"AKUN BARU"))</f>
        <v>LabaRugi</v>
      </c>
      <c r="L1811" s="34" t="str">
        <f aca="false">IF(K1811="LabaRugi",INDEX(I_COA!$D$6:$D$265,MATCH(D1811,I_COA!$A$6:$A$265,0)),"")</f>
        <v>COGS - Live Bird</v>
      </c>
      <c r="M1811" s="34" t="str">
        <f aca="false">IF(K1811="Neraca",INDEX(I_COA!$E$6:$E$265,MATCH(D1811,I_COA!$A$6:$A$265,0)),"")</f>
        <v/>
      </c>
      <c r="N1811" s="34" t="str">
        <f aca="false">IF(D1811="","",IFERROR(INDEX(I_COA!$G$6:$G$265,MATCH(D1811,I_COA!$A$6:$A$265,0)),"N"))</f>
        <v>N</v>
      </c>
      <c r="O1811" s="11" t="n">
        <f aca="false">IF(N1811="N",ABS(J1811),"")</f>
        <v>270060.34</v>
      </c>
      <c r="P1811" s="18" t="str">
        <f aca="false">IF(N1811="N",B1811&amp;"|"&amp;ROUND(O1811,0),"")</f>
        <v>KGR26/0323|270060</v>
      </c>
      <c r="Q1811" s="18" t="str">
        <f aca="false">IF(N1811&lt;&gt;"Y","",IFERROR(INDEX($D$6:$D$4005,MATCH(B1811&amp;"|"&amp;ROUND(_xlfn.MAXIFS($O$6:$O$4005,$B$6:$B$4005,B1811,$N$6:$N$4005,"N"),0),$P$6:$P$4005,0)),"(tanpa lawan)"))</f>
        <v/>
      </c>
      <c r="R1811" s="44"/>
      <c r="S1811" s="9" t="str">
        <f aca="false">IF(N1811&lt;&gt;"Y","",IF(R1811&lt;&gt;"",R1811,IF(Q1811="(tanpa lawan)","Transfer antar rekening",IFERROR(INDEX(I_COA!$F$6:$F$265,MATCH(Q1811,I_COA!$A$6:$A$265,0)),"?"))))</f>
        <v/>
      </c>
    </row>
    <row r="1812" customFormat="false" ht="15" hidden="false" customHeight="false" outlineLevel="0" collapsed="false">
      <c r="A1812" s="37" t="n">
        <v>46260</v>
      </c>
      <c r="B1812" s="44" t="s">
        <v>1968</v>
      </c>
      <c r="C1812" s="44" t="s">
        <v>617</v>
      </c>
      <c r="D1812" s="44" t="n">
        <v>1104002</v>
      </c>
      <c r="E1812" s="44" t="s">
        <v>601</v>
      </c>
      <c r="F1812" s="44" t="s">
        <v>1969</v>
      </c>
      <c r="G1812" s="42"/>
      <c r="H1812" s="42" t="n">
        <v>270060.34</v>
      </c>
      <c r="I1812" s="44" t="s">
        <v>440</v>
      </c>
      <c r="J1812" s="11" t="n">
        <f aca="false">IF(D1812="","",N(G1812)-N(H1812))</f>
        <v>-270060.34</v>
      </c>
      <c r="K1812" s="34" t="str">
        <f aca="false">IF(D1812="","",IFERROR(INDEX(I_COA!$C$6:$C$265,MATCH(D1812,I_COA!$A$6:$A$265,0)),"AKUN BARU"))</f>
        <v>Neraca</v>
      </c>
      <c r="L1812" s="34" t="str">
        <f aca="false">IF(K1812="LabaRugi",INDEX(I_COA!$D$6:$D$265,MATCH(D1812,I_COA!$A$6:$A$265,0)),"")</f>
        <v/>
      </c>
      <c r="M1812" s="34" t="str">
        <f aca="false">IF(K1812="Neraca",INDEX(I_COA!$E$6:$E$265,MATCH(D1812,I_COA!$A$6:$A$265,0)),"")</f>
        <v>Inventory - Product</v>
      </c>
      <c r="N1812" s="34" t="str">
        <f aca="false">IF(D1812="","",IFERROR(INDEX(I_COA!$G$6:$G$265,MATCH(D1812,I_COA!$A$6:$A$265,0)),"N"))</f>
        <v>N</v>
      </c>
      <c r="O1812" s="11" t="n">
        <f aca="false">IF(N1812="N",ABS(J1812),"")</f>
        <v>270060.34</v>
      </c>
      <c r="P1812" s="18" t="str">
        <f aca="false">IF(N1812="N",B1812&amp;"|"&amp;ROUND(O1812,0),"")</f>
        <v>KGR26/0323|270060</v>
      </c>
      <c r="Q1812" s="18" t="str">
        <f aca="false">IF(N1812&lt;&gt;"Y","",IFERROR(INDEX($D$6:$D$4005,MATCH(B1812&amp;"|"&amp;ROUND(_xlfn.MAXIFS($O$6:$O$4005,$B$6:$B$4005,B1812,$N$6:$N$4005,"N"),0),$P$6:$P$4005,0)),"(tanpa lawan)"))</f>
        <v/>
      </c>
      <c r="R1812" s="44"/>
      <c r="S1812" s="9" t="str">
        <f aca="false">IF(N1812&lt;&gt;"Y","",IF(R1812&lt;&gt;"",R1812,IF(Q1812="(tanpa lawan)","Transfer antar rekening",IFERROR(INDEX(I_COA!$F$6:$F$265,MATCH(Q1812,I_COA!$A$6:$A$265,0)),"?"))))</f>
        <v/>
      </c>
    </row>
    <row r="1813" customFormat="false" ht="15" hidden="false" customHeight="false" outlineLevel="0" collapsed="false">
      <c r="A1813" s="37" t="n">
        <v>46260</v>
      </c>
      <c r="B1813" s="44" t="s">
        <v>1970</v>
      </c>
      <c r="C1813" s="44" t="s">
        <v>617</v>
      </c>
      <c r="D1813" s="44" t="n">
        <v>1103101</v>
      </c>
      <c r="E1813" s="44" t="s">
        <v>589</v>
      </c>
      <c r="F1813" s="44" t="s">
        <v>1971</v>
      </c>
      <c r="G1813" s="42" t="n">
        <v>41621800</v>
      </c>
      <c r="H1813" s="42"/>
      <c r="I1813" s="44" t="s">
        <v>451</v>
      </c>
      <c r="J1813" s="11" t="n">
        <f aca="false">IF(D1813="","",N(G1813)-N(H1813))</f>
        <v>41621800</v>
      </c>
      <c r="K1813" s="34" t="str">
        <f aca="false">IF(D1813="","",IFERROR(INDEX(I_COA!$C$6:$C$265,MATCH(D1813,I_COA!$A$6:$A$265,0)),"AKUN BARU"))</f>
        <v>Neraca</v>
      </c>
      <c r="L1813" s="34" t="str">
        <f aca="false">IF(K1813="LabaRugi",INDEX(I_COA!$D$6:$D$265,MATCH(D1813,I_COA!$A$6:$A$265,0)),"")</f>
        <v/>
      </c>
      <c r="M1813" s="34" t="str">
        <f aca="false">IF(K1813="Neraca",INDEX(I_COA!$E$6:$E$265,MATCH(D1813,I_COA!$A$6:$A$265,0)),"")</f>
        <v>Trade Receivables - Third Parties</v>
      </c>
      <c r="N1813" s="34" t="str">
        <f aca="false">IF(D1813="","",IFERROR(INDEX(I_COA!$G$6:$G$265,MATCH(D1813,I_COA!$A$6:$A$265,0)),"N"))</f>
        <v>N</v>
      </c>
      <c r="O1813" s="11" t="n">
        <f aca="false">IF(N1813="N",ABS(J1813),"")</f>
        <v>41621800</v>
      </c>
      <c r="P1813" s="18" t="str">
        <f aca="false">IF(N1813="N",B1813&amp;"|"&amp;ROUND(O1813,0),"")</f>
        <v>KGR26/0324|41621800</v>
      </c>
      <c r="Q1813" s="18" t="str">
        <f aca="false">IF(N1813&lt;&gt;"Y","",IFERROR(INDEX($D$6:$D$4005,MATCH(B1813&amp;"|"&amp;ROUND(_xlfn.MAXIFS($O$6:$O$4005,$B$6:$B$4005,B1813,$N$6:$N$4005,"N"),0),$P$6:$P$4005,0)),"(tanpa lawan)"))</f>
        <v/>
      </c>
      <c r="R1813" s="44"/>
      <c r="S1813" s="9" t="str">
        <f aca="false">IF(N1813&lt;&gt;"Y","",IF(R1813&lt;&gt;"",R1813,IF(Q1813="(tanpa lawan)","Transfer antar rekening",IFERROR(INDEX(I_COA!$F$6:$F$265,MATCH(Q1813,I_COA!$A$6:$A$265,0)),"?"))))</f>
        <v/>
      </c>
    </row>
    <row r="1814" customFormat="false" ht="15" hidden="false" customHeight="false" outlineLevel="0" collapsed="false">
      <c r="A1814" s="37" t="n">
        <v>46260</v>
      </c>
      <c r="B1814" s="44" t="s">
        <v>1970</v>
      </c>
      <c r="C1814" s="44" t="s">
        <v>617</v>
      </c>
      <c r="D1814" s="44" t="n">
        <v>4101012</v>
      </c>
      <c r="E1814" s="44" t="s">
        <v>619</v>
      </c>
      <c r="F1814" s="44" t="s">
        <v>1971</v>
      </c>
      <c r="G1814" s="42"/>
      <c r="H1814" s="42" t="n">
        <v>41621800</v>
      </c>
      <c r="I1814" s="44" t="s">
        <v>451</v>
      </c>
      <c r="J1814" s="11" t="n">
        <f aca="false">IF(D1814="","",N(G1814)-N(H1814))</f>
        <v>-41621800</v>
      </c>
      <c r="K1814" s="34" t="str">
        <f aca="false">IF(D1814="","",IFERROR(INDEX(I_COA!$C$6:$C$265,MATCH(D1814,I_COA!$A$6:$A$265,0)),"AKUN BARU"))</f>
        <v>LabaRugi</v>
      </c>
      <c r="L1814" s="34" t="str">
        <f aca="false">IF(K1814="LabaRugi",INDEX(I_COA!$D$6:$D$265,MATCH(D1814,I_COA!$A$6:$A$265,0)),"")</f>
        <v>Revenue - Trading</v>
      </c>
      <c r="M1814" s="34" t="str">
        <f aca="false">IF(K1814="Neraca",INDEX(I_COA!$E$6:$E$265,MATCH(D1814,I_COA!$A$6:$A$265,0)),"")</f>
        <v/>
      </c>
      <c r="N1814" s="34" t="str">
        <f aca="false">IF(D1814="","",IFERROR(INDEX(I_COA!$G$6:$G$265,MATCH(D1814,I_COA!$A$6:$A$265,0)),"N"))</f>
        <v>N</v>
      </c>
      <c r="O1814" s="11" t="n">
        <f aca="false">IF(N1814="N",ABS(J1814),"")</f>
        <v>41621800</v>
      </c>
      <c r="P1814" s="18" t="str">
        <f aca="false">IF(N1814="N",B1814&amp;"|"&amp;ROUND(O1814,0),"")</f>
        <v>KGR26/0324|41621800</v>
      </c>
      <c r="Q1814" s="18" t="str">
        <f aca="false">IF(N1814&lt;&gt;"Y","",IFERROR(INDEX($D$6:$D$4005,MATCH(B1814&amp;"|"&amp;ROUND(_xlfn.MAXIFS($O$6:$O$4005,$B$6:$B$4005,B1814,$N$6:$N$4005,"N"),0),$P$6:$P$4005,0)),"(tanpa lawan)"))</f>
        <v/>
      </c>
      <c r="R1814" s="44"/>
      <c r="S1814" s="9" t="str">
        <f aca="false">IF(N1814&lt;&gt;"Y","",IF(R1814&lt;&gt;"",R1814,IF(Q1814="(tanpa lawan)","Transfer antar rekening",IFERROR(INDEX(I_COA!$F$6:$F$265,MATCH(Q1814,I_COA!$A$6:$A$265,0)),"?"))))</f>
        <v/>
      </c>
    </row>
    <row r="1815" customFormat="false" ht="15" hidden="false" customHeight="false" outlineLevel="0" collapsed="false">
      <c r="A1815" s="37" t="n">
        <v>46260</v>
      </c>
      <c r="B1815" s="44" t="s">
        <v>1970</v>
      </c>
      <c r="C1815" s="44" t="s">
        <v>617</v>
      </c>
      <c r="D1815" s="44" t="n">
        <v>5100011</v>
      </c>
      <c r="E1815" s="44" t="s">
        <v>166</v>
      </c>
      <c r="F1815" s="44" t="s">
        <v>1971</v>
      </c>
      <c r="G1815" s="42" t="n">
        <v>39014277.47</v>
      </c>
      <c r="H1815" s="42"/>
      <c r="I1815" s="44" t="s">
        <v>451</v>
      </c>
      <c r="J1815" s="11" t="n">
        <f aca="false">IF(D1815="","",N(G1815)-N(H1815))</f>
        <v>39014277.47</v>
      </c>
      <c r="K1815" s="34" t="str">
        <f aca="false">IF(D1815="","",IFERROR(INDEX(I_COA!$C$6:$C$265,MATCH(D1815,I_COA!$A$6:$A$265,0)),"AKUN BARU"))</f>
        <v>LabaRugi</v>
      </c>
      <c r="L1815" s="34" t="str">
        <f aca="false">IF(K1815="LabaRugi",INDEX(I_COA!$D$6:$D$265,MATCH(D1815,I_COA!$A$6:$A$265,0)),"")</f>
        <v>COGS - Trading</v>
      </c>
      <c r="M1815" s="34" t="str">
        <f aca="false">IF(K1815="Neraca",INDEX(I_COA!$E$6:$E$265,MATCH(D1815,I_COA!$A$6:$A$265,0)),"")</f>
        <v/>
      </c>
      <c r="N1815" s="34" t="str">
        <f aca="false">IF(D1815="","",IFERROR(INDEX(I_COA!$G$6:$G$265,MATCH(D1815,I_COA!$A$6:$A$265,0)),"N"))</f>
        <v>N</v>
      </c>
      <c r="O1815" s="11" t="n">
        <f aca="false">IF(N1815="N",ABS(J1815),"")</f>
        <v>39014277.47</v>
      </c>
      <c r="P1815" s="18" t="str">
        <f aca="false">IF(N1815="N",B1815&amp;"|"&amp;ROUND(O1815,0),"")</f>
        <v>KGR26/0324|39014277</v>
      </c>
      <c r="Q1815" s="18" t="str">
        <f aca="false">IF(N1815&lt;&gt;"Y","",IFERROR(INDEX($D$6:$D$4005,MATCH(B1815&amp;"|"&amp;ROUND(_xlfn.MAXIFS($O$6:$O$4005,$B$6:$B$4005,B1815,$N$6:$N$4005,"N"),0),$P$6:$P$4005,0)),"(tanpa lawan)"))</f>
        <v/>
      </c>
      <c r="R1815" s="44"/>
      <c r="S1815" s="9" t="str">
        <f aca="false">IF(N1815&lt;&gt;"Y","",IF(R1815&lt;&gt;"",R1815,IF(Q1815="(tanpa lawan)","Transfer antar rekening",IFERROR(INDEX(I_COA!$F$6:$F$265,MATCH(Q1815,I_COA!$A$6:$A$265,0)),"?"))))</f>
        <v/>
      </c>
    </row>
    <row r="1816" customFormat="false" ht="15" hidden="false" customHeight="false" outlineLevel="0" collapsed="false">
      <c r="A1816" s="37" t="n">
        <v>46260</v>
      </c>
      <c r="B1816" s="44" t="s">
        <v>1970</v>
      </c>
      <c r="C1816" s="44" t="s">
        <v>617</v>
      </c>
      <c r="D1816" s="44" t="n">
        <v>1104002</v>
      </c>
      <c r="E1816" s="44" t="s">
        <v>601</v>
      </c>
      <c r="F1816" s="44" t="s">
        <v>1971</v>
      </c>
      <c r="G1816" s="42"/>
      <c r="H1816" s="42" t="n">
        <v>39014277.47</v>
      </c>
      <c r="I1816" s="44" t="s">
        <v>451</v>
      </c>
      <c r="J1816" s="11" t="n">
        <f aca="false">IF(D1816="","",N(G1816)-N(H1816))</f>
        <v>-39014277.47</v>
      </c>
      <c r="K1816" s="34" t="str">
        <f aca="false">IF(D1816="","",IFERROR(INDEX(I_COA!$C$6:$C$265,MATCH(D1816,I_COA!$A$6:$A$265,0)),"AKUN BARU"))</f>
        <v>Neraca</v>
      </c>
      <c r="L1816" s="34" t="str">
        <f aca="false">IF(K1816="LabaRugi",INDEX(I_COA!$D$6:$D$265,MATCH(D1816,I_COA!$A$6:$A$265,0)),"")</f>
        <v/>
      </c>
      <c r="M1816" s="34" t="str">
        <f aca="false">IF(K1816="Neraca",INDEX(I_COA!$E$6:$E$265,MATCH(D1816,I_COA!$A$6:$A$265,0)),"")</f>
        <v>Inventory - Product</v>
      </c>
      <c r="N1816" s="34" t="str">
        <f aca="false">IF(D1816="","",IFERROR(INDEX(I_COA!$G$6:$G$265,MATCH(D1816,I_COA!$A$6:$A$265,0)),"N"))</f>
        <v>N</v>
      </c>
      <c r="O1816" s="11" t="n">
        <f aca="false">IF(N1816="N",ABS(J1816),"")</f>
        <v>39014277.47</v>
      </c>
      <c r="P1816" s="18" t="str">
        <f aca="false">IF(N1816="N",B1816&amp;"|"&amp;ROUND(O1816,0),"")</f>
        <v>KGR26/0324|39014277</v>
      </c>
      <c r="Q1816" s="18" t="str">
        <f aca="false">IF(N1816&lt;&gt;"Y","",IFERROR(INDEX($D$6:$D$4005,MATCH(B1816&amp;"|"&amp;ROUND(_xlfn.MAXIFS($O$6:$O$4005,$B$6:$B$4005,B1816,$N$6:$N$4005,"N"),0),$P$6:$P$4005,0)),"(tanpa lawan)"))</f>
        <v/>
      </c>
      <c r="R1816" s="44"/>
      <c r="S1816" s="9" t="str">
        <f aca="false">IF(N1816&lt;&gt;"Y","",IF(R1816&lt;&gt;"",R1816,IF(Q1816="(tanpa lawan)","Transfer antar rekening",IFERROR(INDEX(I_COA!$F$6:$F$265,MATCH(Q1816,I_COA!$A$6:$A$265,0)),"?"))))</f>
        <v/>
      </c>
    </row>
    <row r="1817" customFormat="false" ht="15" hidden="false" customHeight="false" outlineLevel="0" collapsed="false">
      <c r="A1817" s="37" t="n">
        <v>46260</v>
      </c>
      <c r="B1817" s="44" t="s">
        <v>1972</v>
      </c>
      <c r="C1817" s="44" t="s">
        <v>617</v>
      </c>
      <c r="D1817" s="44" t="n">
        <v>1103101</v>
      </c>
      <c r="E1817" s="44" t="s">
        <v>589</v>
      </c>
      <c r="F1817" s="44" t="s">
        <v>1973</v>
      </c>
      <c r="G1817" s="42" t="n">
        <v>41037700</v>
      </c>
      <c r="H1817" s="42"/>
      <c r="I1817" s="44" t="s">
        <v>451</v>
      </c>
      <c r="J1817" s="11" t="n">
        <f aca="false">IF(D1817="","",N(G1817)-N(H1817))</f>
        <v>41037700</v>
      </c>
      <c r="K1817" s="34" t="str">
        <f aca="false">IF(D1817="","",IFERROR(INDEX(I_COA!$C$6:$C$265,MATCH(D1817,I_COA!$A$6:$A$265,0)),"AKUN BARU"))</f>
        <v>Neraca</v>
      </c>
      <c r="L1817" s="34" t="str">
        <f aca="false">IF(K1817="LabaRugi",INDEX(I_COA!$D$6:$D$265,MATCH(D1817,I_COA!$A$6:$A$265,0)),"")</f>
        <v/>
      </c>
      <c r="M1817" s="34" t="str">
        <f aca="false">IF(K1817="Neraca",INDEX(I_COA!$E$6:$E$265,MATCH(D1817,I_COA!$A$6:$A$265,0)),"")</f>
        <v>Trade Receivables - Third Parties</v>
      </c>
      <c r="N1817" s="34" t="str">
        <f aca="false">IF(D1817="","",IFERROR(INDEX(I_COA!$G$6:$G$265,MATCH(D1817,I_COA!$A$6:$A$265,0)),"N"))</f>
        <v>N</v>
      </c>
      <c r="O1817" s="11" t="n">
        <f aca="false">IF(N1817="N",ABS(J1817),"")</f>
        <v>41037700</v>
      </c>
      <c r="P1817" s="18" t="str">
        <f aca="false">IF(N1817="N",B1817&amp;"|"&amp;ROUND(O1817,0),"")</f>
        <v>KGR26/0325|41037700</v>
      </c>
      <c r="Q1817" s="18" t="str">
        <f aca="false">IF(N1817&lt;&gt;"Y","",IFERROR(INDEX($D$6:$D$4005,MATCH(B1817&amp;"|"&amp;ROUND(_xlfn.MAXIFS($O$6:$O$4005,$B$6:$B$4005,B1817,$N$6:$N$4005,"N"),0),$P$6:$P$4005,0)),"(tanpa lawan)"))</f>
        <v/>
      </c>
      <c r="R1817" s="44"/>
      <c r="S1817" s="9" t="str">
        <f aca="false">IF(N1817&lt;&gt;"Y","",IF(R1817&lt;&gt;"",R1817,IF(Q1817="(tanpa lawan)","Transfer antar rekening",IFERROR(INDEX(I_COA!$F$6:$F$265,MATCH(Q1817,I_COA!$A$6:$A$265,0)),"?"))))</f>
        <v/>
      </c>
    </row>
    <row r="1818" customFormat="false" ht="15" hidden="false" customHeight="false" outlineLevel="0" collapsed="false">
      <c r="A1818" s="37" t="n">
        <v>46260</v>
      </c>
      <c r="B1818" s="44" t="s">
        <v>1972</v>
      </c>
      <c r="C1818" s="44" t="s">
        <v>617</v>
      </c>
      <c r="D1818" s="44" t="n">
        <v>4101012</v>
      </c>
      <c r="E1818" s="44" t="s">
        <v>619</v>
      </c>
      <c r="F1818" s="44" t="s">
        <v>1973</v>
      </c>
      <c r="G1818" s="42"/>
      <c r="H1818" s="42" t="n">
        <v>41037700</v>
      </c>
      <c r="I1818" s="44" t="s">
        <v>451</v>
      </c>
      <c r="J1818" s="11" t="n">
        <f aca="false">IF(D1818="","",N(G1818)-N(H1818))</f>
        <v>-41037700</v>
      </c>
      <c r="K1818" s="34" t="str">
        <f aca="false">IF(D1818="","",IFERROR(INDEX(I_COA!$C$6:$C$265,MATCH(D1818,I_COA!$A$6:$A$265,0)),"AKUN BARU"))</f>
        <v>LabaRugi</v>
      </c>
      <c r="L1818" s="34" t="str">
        <f aca="false">IF(K1818="LabaRugi",INDEX(I_COA!$D$6:$D$265,MATCH(D1818,I_COA!$A$6:$A$265,0)),"")</f>
        <v>Revenue - Trading</v>
      </c>
      <c r="M1818" s="34" t="str">
        <f aca="false">IF(K1818="Neraca",INDEX(I_COA!$E$6:$E$265,MATCH(D1818,I_COA!$A$6:$A$265,0)),"")</f>
        <v/>
      </c>
      <c r="N1818" s="34" t="str">
        <f aca="false">IF(D1818="","",IFERROR(INDEX(I_COA!$G$6:$G$265,MATCH(D1818,I_COA!$A$6:$A$265,0)),"N"))</f>
        <v>N</v>
      </c>
      <c r="O1818" s="11" t="n">
        <f aca="false">IF(N1818="N",ABS(J1818),"")</f>
        <v>41037700</v>
      </c>
      <c r="P1818" s="18" t="str">
        <f aca="false">IF(N1818="N",B1818&amp;"|"&amp;ROUND(O1818,0),"")</f>
        <v>KGR26/0325|41037700</v>
      </c>
      <c r="Q1818" s="18" t="str">
        <f aca="false">IF(N1818&lt;&gt;"Y","",IFERROR(INDEX($D$6:$D$4005,MATCH(B1818&amp;"|"&amp;ROUND(_xlfn.MAXIFS($O$6:$O$4005,$B$6:$B$4005,B1818,$N$6:$N$4005,"N"),0),$P$6:$P$4005,0)),"(tanpa lawan)"))</f>
        <v/>
      </c>
      <c r="R1818" s="44"/>
      <c r="S1818" s="9" t="str">
        <f aca="false">IF(N1818&lt;&gt;"Y","",IF(R1818&lt;&gt;"",R1818,IF(Q1818="(tanpa lawan)","Transfer antar rekening",IFERROR(INDEX(I_COA!$F$6:$F$265,MATCH(Q1818,I_COA!$A$6:$A$265,0)),"?"))))</f>
        <v/>
      </c>
    </row>
    <row r="1819" customFormat="false" ht="15" hidden="false" customHeight="false" outlineLevel="0" collapsed="false">
      <c r="A1819" s="37" t="n">
        <v>46260</v>
      </c>
      <c r="B1819" s="44" t="s">
        <v>1972</v>
      </c>
      <c r="C1819" s="44" t="s">
        <v>617</v>
      </c>
      <c r="D1819" s="44" t="n">
        <v>5100011</v>
      </c>
      <c r="E1819" s="44" t="s">
        <v>166</v>
      </c>
      <c r="F1819" s="44" t="s">
        <v>1973</v>
      </c>
      <c r="G1819" s="42" t="n">
        <v>38466770.17</v>
      </c>
      <c r="H1819" s="42"/>
      <c r="I1819" s="44" t="s">
        <v>451</v>
      </c>
      <c r="J1819" s="11" t="n">
        <f aca="false">IF(D1819="","",N(G1819)-N(H1819))</f>
        <v>38466770.17</v>
      </c>
      <c r="K1819" s="34" t="str">
        <f aca="false">IF(D1819="","",IFERROR(INDEX(I_COA!$C$6:$C$265,MATCH(D1819,I_COA!$A$6:$A$265,0)),"AKUN BARU"))</f>
        <v>LabaRugi</v>
      </c>
      <c r="L1819" s="34" t="str">
        <f aca="false">IF(K1819="LabaRugi",INDEX(I_COA!$D$6:$D$265,MATCH(D1819,I_COA!$A$6:$A$265,0)),"")</f>
        <v>COGS - Trading</v>
      </c>
      <c r="M1819" s="34" t="str">
        <f aca="false">IF(K1819="Neraca",INDEX(I_COA!$E$6:$E$265,MATCH(D1819,I_COA!$A$6:$A$265,0)),"")</f>
        <v/>
      </c>
      <c r="N1819" s="34" t="str">
        <f aca="false">IF(D1819="","",IFERROR(INDEX(I_COA!$G$6:$G$265,MATCH(D1819,I_COA!$A$6:$A$265,0)),"N"))</f>
        <v>N</v>
      </c>
      <c r="O1819" s="11" t="n">
        <f aca="false">IF(N1819="N",ABS(J1819),"")</f>
        <v>38466770.17</v>
      </c>
      <c r="P1819" s="18" t="str">
        <f aca="false">IF(N1819="N",B1819&amp;"|"&amp;ROUND(O1819,0),"")</f>
        <v>KGR26/0325|38466770</v>
      </c>
      <c r="Q1819" s="18" t="str">
        <f aca="false">IF(N1819&lt;&gt;"Y","",IFERROR(INDEX($D$6:$D$4005,MATCH(B1819&amp;"|"&amp;ROUND(_xlfn.MAXIFS($O$6:$O$4005,$B$6:$B$4005,B1819,$N$6:$N$4005,"N"),0),$P$6:$P$4005,0)),"(tanpa lawan)"))</f>
        <v/>
      </c>
      <c r="R1819" s="44"/>
      <c r="S1819" s="9" t="str">
        <f aca="false">IF(N1819&lt;&gt;"Y","",IF(R1819&lt;&gt;"",R1819,IF(Q1819="(tanpa lawan)","Transfer antar rekening",IFERROR(INDEX(I_COA!$F$6:$F$265,MATCH(Q1819,I_COA!$A$6:$A$265,0)),"?"))))</f>
        <v/>
      </c>
    </row>
    <row r="1820" customFormat="false" ht="15" hidden="false" customHeight="false" outlineLevel="0" collapsed="false">
      <c r="A1820" s="37" t="n">
        <v>46260</v>
      </c>
      <c r="B1820" s="44" t="s">
        <v>1972</v>
      </c>
      <c r="C1820" s="44" t="s">
        <v>617</v>
      </c>
      <c r="D1820" s="44" t="n">
        <v>1104002</v>
      </c>
      <c r="E1820" s="44" t="s">
        <v>601</v>
      </c>
      <c r="F1820" s="44" t="s">
        <v>1973</v>
      </c>
      <c r="G1820" s="42"/>
      <c r="H1820" s="42" t="n">
        <v>38466770.17</v>
      </c>
      <c r="I1820" s="44" t="s">
        <v>451</v>
      </c>
      <c r="J1820" s="11" t="n">
        <f aca="false">IF(D1820="","",N(G1820)-N(H1820))</f>
        <v>-38466770.17</v>
      </c>
      <c r="K1820" s="34" t="str">
        <f aca="false">IF(D1820="","",IFERROR(INDEX(I_COA!$C$6:$C$265,MATCH(D1820,I_COA!$A$6:$A$265,0)),"AKUN BARU"))</f>
        <v>Neraca</v>
      </c>
      <c r="L1820" s="34" t="str">
        <f aca="false">IF(K1820="LabaRugi",INDEX(I_COA!$D$6:$D$265,MATCH(D1820,I_COA!$A$6:$A$265,0)),"")</f>
        <v/>
      </c>
      <c r="M1820" s="34" t="str">
        <f aca="false">IF(K1820="Neraca",INDEX(I_COA!$E$6:$E$265,MATCH(D1820,I_COA!$A$6:$A$265,0)),"")</f>
        <v>Inventory - Product</v>
      </c>
      <c r="N1820" s="34" t="str">
        <f aca="false">IF(D1820="","",IFERROR(INDEX(I_COA!$G$6:$G$265,MATCH(D1820,I_COA!$A$6:$A$265,0)),"N"))</f>
        <v>N</v>
      </c>
      <c r="O1820" s="11" t="n">
        <f aca="false">IF(N1820="N",ABS(J1820),"")</f>
        <v>38466770.17</v>
      </c>
      <c r="P1820" s="18" t="str">
        <f aca="false">IF(N1820="N",B1820&amp;"|"&amp;ROUND(O1820,0),"")</f>
        <v>KGR26/0325|38466770</v>
      </c>
      <c r="Q1820" s="18" t="str">
        <f aca="false">IF(N1820&lt;&gt;"Y","",IFERROR(INDEX($D$6:$D$4005,MATCH(B1820&amp;"|"&amp;ROUND(_xlfn.MAXIFS($O$6:$O$4005,$B$6:$B$4005,B1820,$N$6:$N$4005,"N"),0),$P$6:$P$4005,0)),"(tanpa lawan)"))</f>
        <v/>
      </c>
      <c r="R1820" s="44"/>
      <c r="S1820" s="9" t="str">
        <f aca="false">IF(N1820&lt;&gt;"Y","",IF(R1820&lt;&gt;"",R1820,IF(Q1820="(tanpa lawan)","Transfer antar rekening",IFERROR(INDEX(I_COA!$F$6:$F$265,MATCH(Q1820,I_COA!$A$6:$A$265,0)),"?"))))</f>
        <v/>
      </c>
    </row>
    <row r="1821" customFormat="false" ht="15" hidden="false" customHeight="false" outlineLevel="0" collapsed="false">
      <c r="A1821" s="37" t="n">
        <v>46260</v>
      </c>
      <c r="B1821" s="44" t="s">
        <v>1974</v>
      </c>
      <c r="C1821" s="44" t="s">
        <v>617</v>
      </c>
      <c r="D1821" s="44" t="n">
        <v>1103101</v>
      </c>
      <c r="E1821" s="44" t="s">
        <v>589</v>
      </c>
      <c r="F1821" s="44" t="s">
        <v>1975</v>
      </c>
      <c r="G1821" s="42" t="n">
        <v>34292400</v>
      </c>
      <c r="H1821" s="42"/>
      <c r="I1821" s="44" t="s">
        <v>432</v>
      </c>
      <c r="J1821" s="11" t="n">
        <f aca="false">IF(D1821="","",N(G1821)-N(H1821))</f>
        <v>34292400</v>
      </c>
      <c r="K1821" s="34" t="str">
        <f aca="false">IF(D1821="","",IFERROR(INDEX(I_COA!$C$6:$C$265,MATCH(D1821,I_COA!$A$6:$A$265,0)),"AKUN BARU"))</f>
        <v>Neraca</v>
      </c>
      <c r="L1821" s="34" t="str">
        <f aca="false">IF(K1821="LabaRugi",INDEX(I_COA!$D$6:$D$265,MATCH(D1821,I_COA!$A$6:$A$265,0)),"")</f>
        <v/>
      </c>
      <c r="M1821" s="34" t="str">
        <f aca="false">IF(K1821="Neraca",INDEX(I_COA!$E$6:$E$265,MATCH(D1821,I_COA!$A$6:$A$265,0)),"")</f>
        <v>Trade Receivables - Third Parties</v>
      </c>
      <c r="N1821" s="34" t="str">
        <f aca="false">IF(D1821="","",IFERROR(INDEX(I_COA!$G$6:$G$265,MATCH(D1821,I_COA!$A$6:$A$265,0)),"N"))</f>
        <v>N</v>
      </c>
      <c r="O1821" s="11" t="n">
        <f aca="false">IF(N1821="N",ABS(J1821),"")</f>
        <v>34292400</v>
      </c>
      <c r="P1821" s="18" t="str">
        <f aca="false">IF(N1821="N",B1821&amp;"|"&amp;ROUND(O1821,0),"")</f>
        <v>KGR26/0326|34292400</v>
      </c>
      <c r="Q1821" s="18" t="str">
        <f aca="false">IF(N1821&lt;&gt;"Y","",IFERROR(INDEX($D$6:$D$4005,MATCH(B1821&amp;"|"&amp;ROUND(_xlfn.MAXIFS($O$6:$O$4005,$B$6:$B$4005,B1821,$N$6:$N$4005,"N"),0),$P$6:$P$4005,0)),"(tanpa lawan)"))</f>
        <v/>
      </c>
      <c r="R1821" s="44"/>
      <c r="S1821" s="9" t="str">
        <f aca="false">IF(N1821&lt;&gt;"Y","",IF(R1821&lt;&gt;"",R1821,IF(Q1821="(tanpa lawan)","Transfer antar rekening",IFERROR(INDEX(I_COA!$F$6:$F$265,MATCH(Q1821,I_COA!$A$6:$A$265,0)),"?"))))</f>
        <v/>
      </c>
    </row>
    <row r="1822" customFormat="false" ht="15" hidden="false" customHeight="false" outlineLevel="0" collapsed="false">
      <c r="A1822" s="37" t="n">
        <v>46260</v>
      </c>
      <c r="B1822" s="44" t="s">
        <v>1974</v>
      </c>
      <c r="C1822" s="44" t="s">
        <v>617</v>
      </c>
      <c r="D1822" s="44" t="n">
        <v>4101012</v>
      </c>
      <c r="E1822" s="44" t="s">
        <v>619</v>
      </c>
      <c r="F1822" s="44" t="s">
        <v>1975</v>
      </c>
      <c r="G1822" s="42"/>
      <c r="H1822" s="42" t="n">
        <v>34292400</v>
      </c>
      <c r="I1822" s="44" t="s">
        <v>432</v>
      </c>
      <c r="J1822" s="11" t="n">
        <f aca="false">IF(D1822="","",N(G1822)-N(H1822))</f>
        <v>-34292400</v>
      </c>
      <c r="K1822" s="34" t="str">
        <f aca="false">IF(D1822="","",IFERROR(INDEX(I_COA!$C$6:$C$265,MATCH(D1822,I_COA!$A$6:$A$265,0)),"AKUN BARU"))</f>
        <v>LabaRugi</v>
      </c>
      <c r="L1822" s="34" t="str">
        <f aca="false">IF(K1822="LabaRugi",INDEX(I_COA!$D$6:$D$265,MATCH(D1822,I_COA!$A$6:$A$265,0)),"")</f>
        <v>Revenue - Trading</v>
      </c>
      <c r="M1822" s="34" t="str">
        <f aca="false">IF(K1822="Neraca",INDEX(I_COA!$E$6:$E$265,MATCH(D1822,I_COA!$A$6:$A$265,0)),"")</f>
        <v/>
      </c>
      <c r="N1822" s="34" t="str">
        <f aca="false">IF(D1822="","",IFERROR(INDEX(I_COA!$G$6:$G$265,MATCH(D1822,I_COA!$A$6:$A$265,0)),"N"))</f>
        <v>N</v>
      </c>
      <c r="O1822" s="11" t="n">
        <f aca="false">IF(N1822="N",ABS(J1822),"")</f>
        <v>34292400</v>
      </c>
      <c r="P1822" s="18" t="str">
        <f aca="false">IF(N1822="N",B1822&amp;"|"&amp;ROUND(O1822,0),"")</f>
        <v>KGR26/0326|34292400</v>
      </c>
      <c r="Q1822" s="18" t="str">
        <f aca="false">IF(N1822&lt;&gt;"Y","",IFERROR(INDEX($D$6:$D$4005,MATCH(B1822&amp;"|"&amp;ROUND(_xlfn.MAXIFS($O$6:$O$4005,$B$6:$B$4005,B1822,$N$6:$N$4005,"N"),0),$P$6:$P$4005,0)),"(tanpa lawan)"))</f>
        <v/>
      </c>
      <c r="R1822" s="44"/>
      <c r="S1822" s="9" t="str">
        <f aca="false">IF(N1822&lt;&gt;"Y","",IF(R1822&lt;&gt;"",R1822,IF(Q1822="(tanpa lawan)","Transfer antar rekening",IFERROR(INDEX(I_COA!$F$6:$F$265,MATCH(Q1822,I_COA!$A$6:$A$265,0)),"?"))))</f>
        <v/>
      </c>
    </row>
    <row r="1823" customFormat="false" ht="15" hidden="false" customHeight="false" outlineLevel="0" collapsed="false">
      <c r="A1823" s="37" t="n">
        <v>46260</v>
      </c>
      <c r="B1823" s="44" t="s">
        <v>1974</v>
      </c>
      <c r="C1823" s="44" t="s">
        <v>617</v>
      </c>
      <c r="D1823" s="44" t="n">
        <v>5100011</v>
      </c>
      <c r="E1823" s="44" t="s">
        <v>166</v>
      </c>
      <c r="F1823" s="44" t="s">
        <v>1975</v>
      </c>
      <c r="G1823" s="42" t="n">
        <v>31155191.8</v>
      </c>
      <c r="H1823" s="42"/>
      <c r="I1823" s="44" t="s">
        <v>432</v>
      </c>
      <c r="J1823" s="11" t="n">
        <f aca="false">IF(D1823="","",N(G1823)-N(H1823))</f>
        <v>31155191.8</v>
      </c>
      <c r="K1823" s="34" t="str">
        <f aca="false">IF(D1823="","",IFERROR(INDEX(I_COA!$C$6:$C$265,MATCH(D1823,I_COA!$A$6:$A$265,0)),"AKUN BARU"))</f>
        <v>LabaRugi</v>
      </c>
      <c r="L1823" s="34" t="str">
        <f aca="false">IF(K1823="LabaRugi",INDEX(I_COA!$D$6:$D$265,MATCH(D1823,I_COA!$A$6:$A$265,0)),"")</f>
        <v>COGS - Trading</v>
      </c>
      <c r="M1823" s="34" t="str">
        <f aca="false">IF(K1823="Neraca",INDEX(I_COA!$E$6:$E$265,MATCH(D1823,I_COA!$A$6:$A$265,0)),"")</f>
        <v/>
      </c>
      <c r="N1823" s="34" t="str">
        <f aca="false">IF(D1823="","",IFERROR(INDEX(I_COA!$G$6:$G$265,MATCH(D1823,I_COA!$A$6:$A$265,0)),"N"))</f>
        <v>N</v>
      </c>
      <c r="O1823" s="11" t="n">
        <f aca="false">IF(N1823="N",ABS(J1823),"")</f>
        <v>31155191.8</v>
      </c>
      <c r="P1823" s="18" t="str">
        <f aca="false">IF(N1823="N",B1823&amp;"|"&amp;ROUND(O1823,0),"")</f>
        <v>KGR26/0326|31155192</v>
      </c>
      <c r="Q1823" s="18" t="str">
        <f aca="false">IF(N1823&lt;&gt;"Y","",IFERROR(INDEX($D$6:$D$4005,MATCH(B1823&amp;"|"&amp;ROUND(_xlfn.MAXIFS($O$6:$O$4005,$B$6:$B$4005,B1823,$N$6:$N$4005,"N"),0),$P$6:$P$4005,0)),"(tanpa lawan)"))</f>
        <v/>
      </c>
      <c r="R1823" s="44"/>
      <c r="S1823" s="9" t="str">
        <f aca="false">IF(N1823&lt;&gt;"Y","",IF(R1823&lt;&gt;"",R1823,IF(Q1823="(tanpa lawan)","Transfer antar rekening",IFERROR(INDEX(I_COA!$F$6:$F$265,MATCH(Q1823,I_COA!$A$6:$A$265,0)),"?"))))</f>
        <v/>
      </c>
    </row>
    <row r="1824" customFormat="false" ht="15" hidden="false" customHeight="false" outlineLevel="0" collapsed="false">
      <c r="A1824" s="37" t="n">
        <v>46260</v>
      </c>
      <c r="B1824" s="44" t="s">
        <v>1974</v>
      </c>
      <c r="C1824" s="44" t="s">
        <v>617</v>
      </c>
      <c r="D1824" s="44" t="n">
        <v>1104002</v>
      </c>
      <c r="E1824" s="44" t="s">
        <v>601</v>
      </c>
      <c r="F1824" s="44" t="s">
        <v>1975</v>
      </c>
      <c r="G1824" s="42"/>
      <c r="H1824" s="42" t="n">
        <v>31155191.8</v>
      </c>
      <c r="I1824" s="44" t="s">
        <v>432</v>
      </c>
      <c r="J1824" s="11" t="n">
        <f aca="false">IF(D1824="","",N(G1824)-N(H1824))</f>
        <v>-31155191.8</v>
      </c>
      <c r="K1824" s="34" t="str">
        <f aca="false">IF(D1824="","",IFERROR(INDEX(I_COA!$C$6:$C$265,MATCH(D1824,I_COA!$A$6:$A$265,0)),"AKUN BARU"))</f>
        <v>Neraca</v>
      </c>
      <c r="L1824" s="34" t="str">
        <f aca="false">IF(K1824="LabaRugi",INDEX(I_COA!$D$6:$D$265,MATCH(D1824,I_COA!$A$6:$A$265,0)),"")</f>
        <v/>
      </c>
      <c r="M1824" s="34" t="str">
        <f aca="false">IF(K1824="Neraca",INDEX(I_COA!$E$6:$E$265,MATCH(D1824,I_COA!$A$6:$A$265,0)),"")</f>
        <v>Inventory - Product</v>
      </c>
      <c r="N1824" s="34" t="str">
        <f aca="false">IF(D1824="","",IFERROR(INDEX(I_COA!$G$6:$G$265,MATCH(D1824,I_COA!$A$6:$A$265,0)),"N"))</f>
        <v>N</v>
      </c>
      <c r="O1824" s="11" t="n">
        <f aca="false">IF(N1824="N",ABS(J1824),"")</f>
        <v>31155191.8</v>
      </c>
      <c r="P1824" s="18" t="str">
        <f aca="false">IF(N1824="N",B1824&amp;"|"&amp;ROUND(O1824,0),"")</f>
        <v>KGR26/0326|31155192</v>
      </c>
      <c r="Q1824" s="18" t="str">
        <f aca="false">IF(N1824&lt;&gt;"Y","",IFERROR(INDEX($D$6:$D$4005,MATCH(B1824&amp;"|"&amp;ROUND(_xlfn.MAXIFS($O$6:$O$4005,$B$6:$B$4005,B1824,$N$6:$N$4005,"N"),0),$P$6:$P$4005,0)),"(tanpa lawan)"))</f>
        <v/>
      </c>
      <c r="R1824" s="44"/>
      <c r="S1824" s="9" t="str">
        <f aca="false">IF(N1824&lt;&gt;"Y","",IF(R1824&lt;&gt;"",R1824,IF(Q1824="(tanpa lawan)","Transfer antar rekening",IFERROR(INDEX(I_COA!$F$6:$F$265,MATCH(Q1824,I_COA!$A$6:$A$265,0)),"?"))))</f>
        <v/>
      </c>
    </row>
    <row r="1825" customFormat="false" ht="15" hidden="false" customHeight="false" outlineLevel="0" collapsed="false">
      <c r="A1825" s="37" t="n">
        <v>46260</v>
      </c>
      <c r="B1825" s="44" t="s">
        <v>1976</v>
      </c>
      <c r="C1825" s="44" t="s">
        <v>617</v>
      </c>
      <c r="D1825" s="44" t="n">
        <v>1103101</v>
      </c>
      <c r="E1825" s="44" t="s">
        <v>589</v>
      </c>
      <c r="F1825" s="44" t="s">
        <v>1977</v>
      </c>
      <c r="G1825" s="42" t="n">
        <v>188409550</v>
      </c>
      <c r="H1825" s="42"/>
      <c r="I1825" s="44" t="s">
        <v>457</v>
      </c>
      <c r="J1825" s="11" t="n">
        <f aca="false">IF(D1825="","",N(G1825)-N(H1825))</f>
        <v>188409550</v>
      </c>
      <c r="K1825" s="34" t="str">
        <f aca="false">IF(D1825="","",IFERROR(INDEX(I_COA!$C$6:$C$265,MATCH(D1825,I_COA!$A$6:$A$265,0)),"AKUN BARU"))</f>
        <v>Neraca</v>
      </c>
      <c r="L1825" s="34" t="str">
        <f aca="false">IF(K1825="LabaRugi",INDEX(I_COA!$D$6:$D$265,MATCH(D1825,I_COA!$A$6:$A$265,0)),"")</f>
        <v/>
      </c>
      <c r="M1825" s="34" t="str">
        <f aca="false">IF(K1825="Neraca",INDEX(I_COA!$E$6:$E$265,MATCH(D1825,I_COA!$A$6:$A$265,0)),"")</f>
        <v>Trade Receivables - Third Parties</v>
      </c>
      <c r="N1825" s="34" t="str">
        <f aca="false">IF(D1825="","",IFERROR(INDEX(I_COA!$G$6:$G$265,MATCH(D1825,I_COA!$A$6:$A$265,0)),"N"))</f>
        <v>N</v>
      </c>
      <c r="O1825" s="11" t="n">
        <f aca="false">IF(N1825="N",ABS(J1825),"")</f>
        <v>188409550</v>
      </c>
      <c r="P1825" s="18" t="str">
        <f aca="false">IF(N1825="N",B1825&amp;"|"&amp;ROUND(O1825,0),"")</f>
        <v>KGR26/0327|188409550</v>
      </c>
      <c r="Q1825" s="18" t="str">
        <f aca="false">IF(N1825&lt;&gt;"Y","",IFERROR(INDEX($D$6:$D$4005,MATCH(B1825&amp;"|"&amp;ROUND(_xlfn.MAXIFS($O$6:$O$4005,$B$6:$B$4005,B1825,$N$6:$N$4005,"N"),0),$P$6:$P$4005,0)),"(tanpa lawan)"))</f>
        <v/>
      </c>
      <c r="R1825" s="44"/>
      <c r="S1825" s="9" t="str">
        <f aca="false">IF(N1825&lt;&gt;"Y","",IF(R1825&lt;&gt;"",R1825,IF(Q1825="(tanpa lawan)","Transfer antar rekening",IFERROR(INDEX(I_COA!$F$6:$F$265,MATCH(Q1825,I_COA!$A$6:$A$265,0)),"?"))))</f>
        <v/>
      </c>
    </row>
    <row r="1826" customFormat="false" ht="15" hidden="false" customHeight="false" outlineLevel="0" collapsed="false">
      <c r="A1826" s="37" t="n">
        <v>46260</v>
      </c>
      <c r="B1826" s="44" t="s">
        <v>1976</v>
      </c>
      <c r="C1826" s="44" t="s">
        <v>617</v>
      </c>
      <c r="D1826" s="44" t="n">
        <v>4101006</v>
      </c>
      <c r="E1826" s="44" t="s">
        <v>626</v>
      </c>
      <c r="F1826" s="44" t="s">
        <v>1977</v>
      </c>
      <c r="G1826" s="42"/>
      <c r="H1826" s="42" t="n">
        <v>188409550</v>
      </c>
      <c r="I1826" s="44" t="s">
        <v>457</v>
      </c>
      <c r="J1826" s="11" t="n">
        <f aca="false">IF(D1826="","",N(G1826)-N(H1826))</f>
        <v>-188409550</v>
      </c>
      <c r="K1826" s="34" t="str">
        <f aca="false">IF(D1826="","",IFERROR(INDEX(I_COA!$C$6:$C$265,MATCH(D1826,I_COA!$A$6:$A$265,0)),"AKUN BARU"))</f>
        <v>LabaRugi</v>
      </c>
      <c r="L1826" s="34" t="str">
        <f aca="false">IF(K1826="LabaRugi",INDEX(I_COA!$D$6:$D$265,MATCH(D1826,I_COA!$A$6:$A$265,0)),"")</f>
        <v>Revenue - LB Main Product</v>
      </c>
      <c r="M1826" s="34" t="str">
        <f aca="false">IF(K1826="Neraca",INDEX(I_COA!$E$6:$E$265,MATCH(D1826,I_COA!$A$6:$A$265,0)),"")</f>
        <v/>
      </c>
      <c r="N1826" s="34" t="str">
        <f aca="false">IF(D1826="","",IFERROR(INDEX(I_COA!$G$6:$G$265,MATCH(D1826,I_COA!$A$6:$A$265,0)),"N"))</f>
        <v>N</v>
      </c>
      <c r="O1826" s="11" t="n">
        <f aca="false">IF(N1826="N",ABS(J1826),"")</f>
        <v>188409550</v>
      </c>
      <c r="P1826" s="18" t="str">
        <f aca="false">IF(N1826="N",B1826&amp;"|"&amp;ROUND(O1826,0),"")</f>
        <v>KGR26/0327|188409550</v>
      </c>
      <c r="Q1826" s="18" t="str">
        <f aca="false">IF(N1826&lt;&gt;"Y","",IFERROR(INDEX($D$6:$D$4005,MATCH(B1826&amp;"|"&amp;ROUND(_xlfn.MAXIFS($O$6:$O$4005,$B$6:$B$4005,B1826,$N$6:$N$4005,"N"),0),$P$6:$P$4005,0)),"(tanpa lawan)"))</f>
        <v/>
      </c>
      <c r="R1826" s="44"/>
      <c r="S1826" s="9" t="str">
        <f aca="false">IF(N1826&lt;&gt;"Y","",IF(R1826&lt;&gt;"",R1826,IF(Q1826="(tanpa lawan)","Transfer antar rekening",IFERROR(INDEX(I_COA!$F$6:$F$265,MATCH(Q1826,I_COA!$A$6:$A$265,0)),"?"))))</f>
        <v/>
      </c>
    </row>
    <row r="1827" customFormat="false" ht="15" hidden="false" customHeight="false" outlineLevel="0" collapsed="false">
      <c r="A1827" s="37" t="n">
        <v>46260</v>
      </c>
      <c r="B1827" s="44" t="s">
        <v>1976</v>
      </c>
      <c r="C1827" s="44" t="s">
        <v>617</v>
      </c>
      <c r="D1827" s="44" t="n">
        <v>5100004</v>
      </c>
      <c r="E1827" s="44" t="s">
        <v>627</v>
      </c>
      <c r="F1827" s="44" t="s">
        <v>1977</v>
      </c>
      <c r="G1827" s="42" t="n">
        <v>190995961.33</v>
      </c>
      <c r="H1827" s="42"/>
      <c r="I1827" s="44" t="s">
        <v>457</v>
      </c>
      <c r="J1827" s="11" t="n">
        <f aca="false">IF(D1827="","",N(G1827)-N(H1827))</f>
        <v>190995961.33</v>
      </c>
      <c r="K1827" s="34" t="str">
        <f aca="false">IF(D1827="","",IFERROR(INDEX(I_COA!$C$6:$C$265,MATCH(D1827,I_COA!$A$6:$A$265,0)),"AKUN BARU"))</f>
        <v>LabaRugi</v>
      </c>
      <c r="L1827" s="34" t="str">
        <f aca="false">IF(K1827="LabaRugi",INDEX(I_COA!$D$6:$D$265,MATCH(D1827,I_COA!$A$6:$A$265,0)),"")</f>
        <v>COGS - Live Bird</v>
      </c>
      <c r="M1827" s="34" t="str">
        <f aca="false">IF(K1827="Neraca",INDEX(I_COA!$E$6:$E$265,MATCH(D1827,I_COA!$A$6:$A$265,0)),"")</f>
        <v/>
      </c>
      <c r="N1827" s="34" t="str">
        <f aca="false">IF(D1827="","",IFERROR(INDEX(I_COA!$G$6:$G$265,MATCH(D1827,I_COA!$A$6:$A$265,0)),"N"))</f>
        <v>N</v>
      </c>
      <c r="O1827" s="11" t="n">
        <f aca="false">IF(N1827="N",ABS(J1827),"")</f>
        <v>190995961.33</v>
      </c>
      <c r="P1827" s="18" t="str">
        <f aca="false">IF(N1827="N",B1827&amp;"|"&amp;ROUND(O1827,0),"")</f>
        <v>KGR26/0327|190995961</v>
      </c>
      <c r="Q1827" s="18" t="str">
        <f aca="false">IF(N1827&lt;&gt;"Y","",IFERROR(INDEX($D$6:$D$4005,MATCH(B1827&amp;"|"&amp;ROUND(_xlfn.MAXIFS($O$6:$O$4005,$B$6:$B$4005,B1827,$N$6:$N$4005,"N"),0),$P$6:$P$4005,0)),"(tanpa lawan)"))</f>
        <v/>
      </c>
      <c r="R1827" s="44"/>
      <c r="S1827" s="9" t="str">
        <f aca="false">IF(N1827&lt;&gt;"Y","",IF(R1827&lt;&gt;"",R1827,IF(Q1827="(tanpa lawan)","Transfer antar rekening",IFERROR(INDEX(I_COA!$F$6:$F$265,MATCH(Q1827,I_COA!$A$6:$A$265,0)),"?"))))</f>
        <v/>
      </c>
    </row>
    <row r="1828" customFormat="false" ht="15" hidden="false" customHeight="false" outlineLevel="0" collapsed="false">
      <c r="A1828" s="37" t="n">
        <v>46260</v>
      </c>
      <c r="B1828" s="44" t="s">
        <v>1976</v>
      </c>
      <c r="C1828" s="44" t="s">
        <v>617</v>
      </c>
      <c r="D1828" s="44" t="n">
        <v>1104002</v>
      </c>
      <c r="E1828" s="44" t="s">
        <v>601</v>
      </c>
      <c r="F1828" s="44" t="s">
        <v>1977</v>
      </c>
      <c r="G1828" s="42"/>
      <c r="H1828" s="42" t="n">
        <v>190995961.33</v>
      </c>
      <c r="I1828" s="44" t="s">
        <v>457</v>
      </c>
      <c r="J1828" s="11" t="n">
        <f aca="false">IF(D1828="","",N(G1828)-N(H1828))</f>
        <v>-190995961.33</v>
      </c>
      <c r="K1828" s="34" t="str">
        <f aca="false">IF(D1828="","",IFERROR(INDEX(I_COA!$C$6:$C$265,MATCH(D1828,I_COA!$A$6:$A$265,0)),"AKUN BARU"))</f>
        <v>Neraca</v>
      </c>
      <c r="L1828" s="34" t="str">
        <f aca="false">IF(K1828="LabaRugi",INDEX(I_COA!$D$6:$D$265,MATCH(D1828,I_COA!$A$6:$A$265,0)),"")</f>
        <v/>
      </c>
      <c r="M1828" s="34" t="str">
        <f aca="false">IF(K1828="Neraca",INDEX(I_COA!$E$6:$E$265,MATCH(D1828,I_COA!$A$6:$A$265,0)),"")</f>
        <v>Inventory - Product</v>
      </c>
      <c r="N1828" s="34" t="str">
        <f aca="false">IF(D1828="","",IFERROR(INDEX(I_COA!$G$6:$G$265,MATCH(D1828,I_COA!$A$6:$A$265,0)),"N"))</f>
        <v>N</v>
      </c>
      <c r="O1828" s="11" t="n">
        <f aca="false">IF(N1828="N",ABS(J1828),"")</f>
        <v>190995961.33</v>
      </c>
      <c r="P1828" s="18" t="str">
        <f aca="false">IF(N1828="N",B1828&amp;"|"&amp;ROUND(O1828,0),"")</f>
        <v>KGR26/0327|190995961</v>
      </c>
      <c r="Q1828" s="18" t="str">
        <f aca="false">IF(N1828&lt;&gt;"Y","",IFERROR(INDEX($D$6:$D$4005,MATCH(B1828&amp;"|"&amp;ROUND(_xlfn.MAXIFS($O$6:$O$4005,$B$6:$B$4005,B1828,$N$6:$N$4005,"N"),0),$P$6:$P$4005,0)),"(tanpa lawan)"))</f>
        <v/>
      </c>
      <c r="R1828" s="44"/>
      <c r="S1828" s="9" t="str">
        <f aca="false">IF(N1828&lt;&gt;"Y","",IF(R1828&lt;&gt;"",R1828,IF(Q1828="(tanpa lawan)","Transfer antar rekening",IFERROR(INDEX(I_COA!$F$6:$F$265,MATCH(Q1828,I_COA!$A$6:$A$265,0)),"?"))))</f>
        <v/>
      </c>
    </row>
    <row r="1829" customFormat="false" ht="15" hidden="false" customHeight="false" outlineLevel="0" collapsed="false">
      <c r="A1829" s="37" t="n">
        <v>46260</v>
      </c>
      <c r="B1829" s="44" t="s">
        <v>1978</v>
      </c>
      <c r="C1829" s="44" t="s">
        <v>707</v>
      </c>
      <c r="D1829" s="44" t="n">
        <v>6200014</v>
      </c>
      <c r="E1829" s="44" t="s">
        <v>1575</v>
      </c>
      <c r="F1829" s="44" t="s">
        <v>1979</v>
      </c>
      <c r="G1829" s="42" t="n">
        <v>7692308</v>
      </c>
      <c r="H1829" s="42"/>
      <c r="I1829" s="44" t="s">
        <v>1577</v>
      </c>
      <c r="J1829" s="11" t="n">
        <f aca="false">IF(D1829="","",N(G1829)-N(H1829))</f>
        <v>7692308</v>
      </c>
      <c r="K1829" s="34" t="str">
        <f aca="false">IF(D1829="","",IFERROR(INDEX(I_COA!$C$6:$C$265,MATCH(D1829,I_COA!$A$6:$A$265,0)),"AKUN BARU"))</f>
        <v>LabaRugi</v>
      </c>
      <c r="L1829" s="34" t="str">
        <f aca="false">IF(K1829="LabaRugi",INDEX(I_COA!$D$6:$D$265,MATCH(D1829,I_COA!$A$6:$A$265,0)),"")</f>
        <v>Professional Fee</v>
      </c>
      <c r="M1829" s="34" t="str">
        <f aca="false">IF(K1829="Neraca",INDEX(I_COA!$E$6:$E$265,MATCH(D1829,I_COA!$A$6:$A$265,0)),"")</f>
        <v/>
      </c>
      <c r="N1829" s="34" t="str">
        <f aca="false">IF(D1829="","",IFERROR(INDEX(I_COA!$G$6:$G$265,MATCH(D1829,I_COA!$A$6:$A$265,0)),"N"))</f>
        <v>N</v>
      </c>
      <c r="O1829" s="11" t="n">
        <f aca="false">IF(N1829="N",ABS(J1829),"")</f>
        <v>7692308</v>
      </c>
      <c r="P1829" s="18" t="str">
        <f aca="false">IF(N1829="N",B1829&amp;"|"&amp;ROUND(O1829,0),"")</f>
        <v>PI26080057|7692308</v>
      </c>
      <c r="Q1829" s="18" t="str">
        <f aca="false">IF(N1829&lt;&gt;"Y","",IFERROR(INDEX($D$6:$D$4005,MATCH(B1829&amp;"|"&amp;ROUND(_xlfn.MAXIFS($O$6:$O$4005,$B$6:$B$4005,B1829,$N$6:$N$4005,"N"),0),$P$6:$P$4005,0)),"(tanpa lawan)"))</f>
        <v/>
      </c>
      <c r="R1829" s="44"/>
      <c r="S1829" s="9" t="str">
        <f aca="false">IF(N1829&lt;&gt;"Y","",IF(R1829&lt;&gt;"",R1829,IF(Q1829="(tanpa lawan)","Transfer antar rekening",IFERROR(INDEX(I_COA!$F$6:$F$265,MATCH(Q1829,I_COA!$A$6:$A$265,0)),"?"))))</f>
        <v/>
      </c>
    </row>
    <row r="1830" customFormat="false" ht="15" hidden="false" customHeight="false" outlineLevel="0" collapsed="false">
      <c r="A1830" s="37" t="n">
        <v>46260</v>
      </c>
      <c r="B1830" s="44" t="s">
        <v>1978</v>
      </c>
      <c r="C1830" s="44" t="s">
        <v>707</v>
      </c>
      <c r="D1830" s="44" t="n">
        <v>2102002</v>
      </c>
      <c r="E1830" s="44" t="s">
        <v>633</v>
      </c>
      <c r="F1830" s="44" t="s">
        <v>1980</v>
      </c>
      <c r="G1830" s="42"/>
      <c r="H1830" s="42" t="n">
        <v>192308</v>
      </c>
      <c r="I1830" s="44" t="s">
        <v>1577</v>
      </c>
      <c r="J1830" s="11" t="n">
        <f aca="false">IF(D1830="","",N(G1830)-N(H1830))</f>
        <v>-192308</v>
      </c>
      <c r="K1830" s="34" t="str">
        <f aca="false">IF(D1830="","",IFERROR(INDEX(I_COA!$C$6:$C$265,MATCH(D1830,I_COA!$A$6:$A$265,0)),"AKUN BARU"))</f>
        <v>Neraca</v>
      </c>
      <c r="L1830" s="34" t="str">
        <f aca="false">IF(K1830="LabaRugi",INDEX(I_COA!$D$6:$D$265,MATCH(D1830,I_COA!$A$6:$A$265,0)),"")</f>
        <v/>
      </c>
      <c r="M1830" s="34" t="str">
        <f aca="false">IF(K1830="Neraca",INDEX(I_COA!$E$6:$E$265,MATCH(D1830,I_COA!$A$6:$A$265,0)),"")</f>
        <v>Taxes Payable</v>
      </c>
      <c r="N1830" s="34" t="str">
        <f aca="false">IF(D1830="","",IFERROR(INDEX(I_COA!$G$6:$G$265,MATCH(D1830,I_COA!$A$6:$A$265,0)),"N"))</f>
        <v>N</v>
      </c>
      <c r="O1830" s="11" t="n">
        <f aca="false">IF(N1830="N",ABS(J1830),"")</f>
        <v>192308</v>
      </c>
      <c r="P1830" s="18" t="str">
        <f aca="false">IF(N1830="N",B1830&amp;"|"&amp;ROUND(O1830,0),"")</f>
        <v>PI26080057|192308</v>
      </c>
      <c r="Q1830" s="18" t="str">
        <f aca="false">IF(N1830&lt;&gt;"Y","",IFERROR(INDEX($D$6:$D$4005,MATCH(B1830&amp;"|"&amp;ROUND(_xlfn.MAXIFS($O$6:$O$4005,$B$6:$B$4005,B1830,$N$6:$N$4005,"N"),0),$P$6:$P$4005,0)),"(tanpa lawan)"))</f>
        <v/>
      </c>
      <c r="R1830" s="44"/>
      <c r="S1830" s="9" t="str">
        <f aca="false">IF(N1830&lt;&gt;"Y","",IF(R1830&lt;&gt;"",R1830,IF(Q1830="(tanpa lawan)","Transfer antar rekening",IFERROR(INDEX(I_COA!$F$6:$F$265,MATCH(Q1830,I_COA!$A$6:$A$265,0)),"?"))))</f>
        <v/>
      </c>
    </row>
    <row r="1831" customFormat="false" ht="15" hidden="false" customHeight="false" outlineLevel="0" collapsed="false">
      <c r="A1831" s="37" t="n">
        <v>46260</v>
      </c>
      <c r="B1831" s="44" t="s">
        <v>1978</v>
      </c>
      <c r="C1831" s="44" t="s">
        <v>707</v>
      </c>
      <c r="D1831" s="44" t="n">
        <v>2101003</v>
      </c>
      <c r="E1831" s="44" t="s">
        <v>679</v>
      </c>
      <c r="F1831" s="44" t="s">
        <v>1979</v>
      </c>
      <c r="G1831" s="42"/>
      <c r="H1831" s="42" t="n">
        <v>7500000</v>
      </c>
      <c r="I1831" s="44" t="s">
        <v>1577</v>
      </c>
      <c r="J1831" s="11" t="n">
        <f aca="false">IF(D1831="","",N(G1831)-N(H1831))</f>
        <v>-7500000</v>
      </c>
      <c r="K1831" s="34" t="str">
        <f aca="false">IF(D1831="","",IFERROR(INDEX(I_COA!$C$6:$C$265,MATCH(D1831,I_COA!$A$6:$A$265,0)),"AKUN BARU"))</f>
        <v>Neraca</v>
      </c>
      <c r="L1831" s="34" t="str">
        <f aca="false">IF(K1831="LabaRugi",INDEX(I_COA!$D$6:$D$265,MATCH(D1831,I_COA!$A$6:$A$265,0)),"")</f>
        <v/>
      </c>
      <c r="M1831" s="34" t="str">
        <f aca="false">IF(K1831="Neraca",INDEX(I_COA!$E$6:$E$265,MATCH(D1831,I_COA!$A$6:$A$265,0)),"")</f>
        <v>Other Payable - Third Parties</v>
      </c>
      <c r="N1831" s="34" t="str">
        <f aca="false">IF(D1831="","",IFERROR(INDEX(I_COA!$G$6:$G$265,MATCH(D1831,I_COA!$A$6:$A$265,0)),"N"))</f>
        <v>N</v>
      </c>
      <c r="O1831" s="11" t="n">
        <f aca="false">IF(N1831="N",ABS(J1831),"")</f>
        <v>7500000</v>
      </c>
      <c r="P1831" s="18" t="str">
        <f aca="false">IF(N1831="N",B1831&amp;"|"&amp;ROUND(O1831,0),"")</f>
        <v>PI26080057|7500000</v>
      </c>
      <c r="Q1831" s="18" t="str">
        <f aca="false">IF(N1831&lt;&gt;"Y","",IFERROR(INDEX($D$6:$D$4005,MATCH(B1831&amp;"|"&amp;ROUND(_xlfn.MAXIFS($O$6:$O$4005,$B$6:$B$4005,B1831,$N$6:$N$4005,"N"),0),$P$6:$P$4005,0)),"(tanpa lawan)"))</f>
        <v/>
      </c>
      <c r="R1831" s="44"/>
      <c r="S1831" s="9" t="str">
        <f aca="false">IF(N1831&lt;&gt;"Y","",IF(R1831&lt;&gt;"",R1831,IF(Q1831="(tanpa lawan)","Transfer antar rekening",IFERROR(INDEX(I_COA!$F$6:$F$265,MATCH(Q1831,I_COA!$A$6:$A$265,0)),"?"))))</f>
        <v/>
      </c>
    </row>
    <row r="1832" customFormat="false" ht="15" hidden="false" customHeight="false" outlineLevel="0" collapsed="false">
      <c r="A1832" s="37" t="n">
        <v>46260</v>
      </c>
      <c r="B1832" s="44" t="s">
        <v>1981</v>
      </c>
      <c r="C1832" s="44" t="s">
        <v>707</v>
      </c>
      <c r="D1832" s="44" t="n">
        <v>5100006</v>
      </c>
      <c r="E1832" s="44" t="s">
        <v>950</v>
      </c>
      <c r="F1832" s="44" t="s">
        <v>1982</v>
      </c>
      <c r="G1832" s="42" t="n">
        <v>17762080</v>
      </c>
      <c r="H1832" s="42"/>
      <c r="I1832" s="44" t="s">
        <v>440</v>
      </c>
      <c r="J1832" s="11" t="n">
        <f aca="false">IF(D1832="","",N(G1832)-N(H1832))</f>
        <v>17762080</v>
      </c>
      <c r="K1832" s="34" t="str">
        <f aca="false">IF(D1832="","",IFERROR(INDEX(I_COA!$C$6:$C$265,MATCH(D1832,I_COA!$A$6:$A$265,0)),"AKUN BARU"))</f>
        <v>LabaRugi</v>
      </c>
      <c r="L1832" s="34" t="str">
        <f aca="false">IF(K1832="LabaRugi",INDEX(I_COA!$D$6:$D$265,MATCH(D1832,I_COA!$A$6:$A$265,0)),"")</f>
        <v>COGS - Live Bird</v>
      </c>
      <c r="M1832" s="34" t="str">
        <f aca="false">IF(K1832="Neraca",INDEX(I_COA!$E$6:$E$265,MATCH(D1832,I_COA!$A$6:$A$265,0)),"")</f>
        <v/>
      </c>
      <c r="N1832" s="34" t="str">
        <f aca="false">IF(D1832="","",IFERROR(INDEX(I_COA!$G$6:$G$265,MATCH(D1832,I_COA!$A$6:$A$265,0)),"N"))</f>
        <v>N</v>
      </c>
      <c r="O1832" s="11" t="n">
        <f aca="false">IF(N1832="N",ABS(J1832),"")</f>
        <v>17762080</v>
      </c>
      <c r="P1832" s="18" t="str">
        <f aca="false">IF(N1832="N",B1832&amp;"|"&amp;ROUND(O1832,0),"")</f>
        <v>PI26080065|17762080</v>
      </c>
      <c r="Q1832" s="18" t="str">
        <f aca="false">IF(N1832&lt;&gt;"Y","",IFERROR(INDEX($D$6:$D$4005,MATCH(B1832&amp;"|"&amp;ROUND(_xlfn.MAXIFS($O$6:$O$4005,$B$6:$B$4005,B1832,$N$6:$N$4005,"N"),0),$P$6:$P$4005,0)),"(tanpa lawan)"))</f>
        <v/>
      </c>
      <c r="R1832" s="44"/>
      <c r="S1832" s="9" t="str">
        <f aca="false">IF(N1832&lt;&gt;"Y","",IF(R1832&lt;&gt;"",R1832,IF(Q1832="(tanpa lawan)","Transfer antar rekening",IFERROR(INDEX(I_COA!$F$6:$F$265,MATCH(Q1832,I_COA!$A$6:$A$265,0)),"?"))))</f>
        <v/>
      </c>
    </row>
    <row r="1833" customFormat="false" ht="15" hidden="false" customHeight="false" outlineLevel="0" collapsed="false">
      <c r="A1833" s="37" t="n">
        <v>46260</v>
      </c>
      <c r="B1833" s="44" t="s">
        <v>1981</v>
      </c>
      <c r="C1833" s="44" t="s">
        <v>707</v>
      </c>
      <c r="D1833" s="44" t="n">
        <v>5100009</v>
      </c>
      <c r="E1833" s="44" t="s">
        <v>1003</v>
      </c>
      <c r="F1833" s="44" t="s">
        <v>1983</v>
      </c>
      <c r="G1833" s="42" t="n">
        <v>2587600</v>
      </c>
      <c r="H1833" s="42"/>
      <c r="I1833" s="44" t="s">
        <v>440</v>
      </c>
      <c r="J1833" s="11" t="n">
        <f aca="false">IF(D1833="","",N(G1833)-N(H1833))</f>
        <v>2587600</v>
      </c>
      <c r="K1833" s="34" t="str">
        <f aca="false">IF(D1833="","",IFERROR(INDEX(I_COA!$C$6:$C$265,MATCH(D1833,I_COA!$A$6:$A$265,0)),"AKUN BARU"))</f>
        <v>LabaRugi</v>
      </c>
      <c r="L1833" s="34" t="str">
        <f aca="false">IF(K1833="LabaRugi",INDEX(I_COA!$D$6:$D$265,MATCH(D1833,I_COA!$A$6:$A$265,0)),"")</f>
        <v>COGS - Blasting</v>
      </c>
      <c r="M1833" s="34" t="str">
        <f aca="false">IF(K1833="Neraca",INDEX(I_COA!$E$6:$E$265,MATCH(D1833,I_COA!$A$6:$A$265,0)),"")</f>
        <v/>
      </c>
      <c r="N1833" s="34" t="str">
        <f aca="false">IF(D1833="","",IFERROR(INDEX(I_COA!$G$6:$G$265,MATCH(D1833,I_COA!$A$6:$A$265,0)),"N"))</f>
        <v>N</v>
      </c>
      <c r="O1833" s="11" t="n">
        <f aca="false">IF(N1833="N",ABS(J1833),"")</f>
        <v>2587600</v>
      </c>
      <c r="P1833" s="18" t="str">
        <f aca="false">IF(N1833="N",B1833&amp;"|"&amp;ROUND(O1833,0),"")</f>
        <v>PI26080065|2587600</v>
      </c>
      <c r="Q1833" s="18" t="str">
        <f aca="false">IF(N1833&lt;&gt;"Y","",IFERROR(INDEX($D$6:$D$4005,MATCH(B1833&amp;"|"&amp;ROUND(_xlfn.MAXIFS($O$6:$O$4005,$B$6:$B$4005,B1833,$N$6:$N$4005,"N"),0),$P$6:$P$4005,0)),"(tanpa lawan)"))</f>
        <v/>
      </c>
      <c r="R1833" s="44"/>
      <c r="S1833" s="9" t="str">
        <f aca="false">IF(N1833&lt;&gt;"Y","",IF(R1833&lt;&gt;"",R1833,IF(Q1833="(tanpa lawan)","Transfer antar rekening",IFERROR(INDEX(I_COA!$F$6:$F$265,MATCH(Q1833,I_COA!$A$6:$A$265,0)),"?"))))</f>
        <v/>
      </c>
    </row>
    <row r="1834" customFormat="false" ht="15" hidden="false" customHeight="false" outlineLevel="0" collapsed="false">
      <c r="A1834" s="37" t="n">
        <v>46260</v>
      </c>
      <c r="B1834" s="44" t="s">
        <v>1981</v>
      </c>
      <c r="C1834" s="44" t="s">
        <v>707</v>
      </c>
      <c r="D1834" s="44" t="n">
        <v>2102003</v>
      </c>
      <c r="E1834" s="44" t="s">
        <v>722</v>
      </c>
      <c r="F1834" s="44" t="s">
        <v>1984</v>
      </c>
      <c r="G1834" s="42"/>
      <c r="H1834" s="42" t="n">
        <v>406993.6</v>
      </c>
      <c r="I1834" s="44" t="s">
        <v>440</v>
      </c>
      <c r="J1834" s="11" t="n">
        <f aca="false">IF(D1834="","",N(G1834)-N(H1834))</f>
        <v>-406993.6</v>
      </c>
      <c r="K1834" s="34" t="str">
        <f aca="false">IF(D1834="","",IFERROR(INDEX(I_COA!$C$6:$C$265,MATCH(D1834,I_COA!$A$6:$A$265,0)),"AKUN BARU"))</f>
        <v>Neraca</v>
      </c>
      <c r="L1834" s="34" t="str">
        <f aca="false">IF(K1834="LabaRugi",INDEX(I_COA!$D$6:$D$265,MATCH(D1834,I_COA!$A$6:$A$265,0)),"")</f>
        <v/>
      </c>
      <c r="M1834" s="34" t="str">
        <f aca="false">IF(K1834="Neraca",INDEX(I_COA!$E$6:$E$265,MATCH(D1834,I_COA!$A$6:$A$265,0)),"")</f>
        <v>Taxes Payable</v>
      </c>
      <c r="N1834" s="34" t="str">
        <f aca="false">IF(D1834="","",IFERROR(INDEX(I_COA!$G$6:$G$265,MATCH(D1834,I_COA!$A$6:$A$265,0)),"N"))</f>
        <v>N</v>
      </c>
      <c r="O1834" s="11" t="n">
        <f aca="false">IF(N1834="N",ABS(J1834),"")</f>
        <v>406993.6</v>
      </c>
      <c r="P1834" s="18" t="str">
        <f aca="false">IF(N1834="N",B1834&amp;"|"&amp;ROUND(O1834,0),"")</f>
        <v>PI26080065|406994</v>
      </c>
      <c r="Q1834" s="18" t="str">
        <f aca="false">IF(N1834&lt;&gt;"Y","",IFERROR(INDEX($D$6:$D$4005,MATCH(B1834&amp;"|"&amp;ROUND(_xlfn.MAXIFS($O$6:$O$4005,$B$6:$B$4005,B1834,$N$6:$N$4005,"N"),0),$P$6:$P$4005,0)),"(tanpa lawan)"))</f>
        <v/>
      </c>
      <c r="R1834" s="44"/>
      <c r="S1834" s="9" t="str">
        <f aca="false">IF(N1834&lt;&gt;"Y","",IF(R1834&lt;&gt;"",R1834,IF(Q1834="(tanpa lawan)","Transfer antar rekening",IFERROR(INDEX(I_COA!$F$6:$F$265,MATCH(Q1834,I_COA!$A$6:$A$265,0)),"?"))))</f>
        <v/>
      </c>
    </row>
    <row r="1835" customFormat="false" ht="15" hidden="false" customHeight="false" outlineLevel="0" collapsed="false">
      <c r="A1835" s="37" t="n">
        <v>46260</v>
      </c>
      <c r="B1835" s="44" t="s">
        <v>1981</v>
      </c>
      <c r="C1835" s="44" t="s">
        <v>707</v>
      </c>
      <c r="D1835" s="44" t="n">
        <v>1106001</v>
      </c>
      <c r="E1835" s="44" t="s">
        <v>720</v>
      </c>
      <c r="F1835" s="44" t="s">
        <v>721</v>
      </c>
      <c r="G1835" s="42" t="n">
        <v>2238465</v>
      </c>
      <c r="H1835" s="42"/>
      <c r="I1835" s="44" t="s">
        <v>440</v>
      </c>
      <c r="J1835" s="11" t="n">
        <f aca="false">IF(D1835="","",N(G1835)-N(H1835))</f>
        <v>2238465</v>
      </c>
      <c r="K1835" s="34" t="str">
        <f aca="false">IF(D1835="","",IFERROR(INDEX(I_COA!$C$6:$C$265,MATCH(D1835,I_COA!$A$6:$A$265,0)),"AKUN BARU"))</f>
        <v>Neraca</v>
      </c>
      <c r="L1835" s="34" t="str">
        <f aca="false">IF(K1835="LabaRugi",INDEX(I_COA!$D$6:$D$265,MATCH(D1835,I_COA!$A$6:$A$265,0)),"")</f>
        <v/>
      </c>
      <c r="M1835" s="34" t="str">
        <f aca="false">IF(K1835="Neraca",INDEX(I_COA!$E$6:$E$265,MATCH(D1835,I_COA!$A$6:$A$265,0)),"")</f>
        <v>Prepaid Tax</v>
      </c>
      <c r="N1835" s="34" t="str">
        <f aca="false">IF(D1835="","",IFERROR(INDEX(I_COA!$G$6:$G$265,MATCH(D1835,I_COA!$A$6:$A$265,0)),"N"))</f>
        <v>N</v>
      </c>
      <c r="O1835" s="11" t="n">
        <f aca="false">IF(N1835="N",ABS(J1835),"")</f>
        <v>2238465</v>
      </c>
      <c r="P1835" s="18" t="str">
        <f aca="false">IF(N1835="N",B1835&amp;"|"&amp;ROUND(O1835,0),"")</f>
        <v>PI26080065|2238465</v>
      </c>
      <c r="Q1835" s="18" t="str">
        <f aca="false">IF(N1835&lt;&gt;"Y","",IFERROR(INDEX($D$6:$D$4005,MATCH(B1835&amp;"|"&amp;ROUND(_xlfn.MAXIFS($O$6:$O$4005,$B$6:$B$4005,B1835,$N$6:$N$4005,"N"),0),$P$6:$P$4005,0)),"(tanpa lawan)"))</f>
        <v/>
      </c>
      <c r="R1835" s="44"/>
      <c r="S1835" s="9" t="str">
        <f aca="false">IF(N1835&lt;&gt;"Y","",IF(R1835&lt;&gt;"",R1835,IF(Q1835="(tanpa lawan)","Transfer antar rekening",IFERROR(INDEX(I_COA!$F$6:$F$265,MATCH(Q1835,I_COA!$A$6:$A$265,0)),"?"))))</f>
        <v/>
      </c>
    </row>
    <row r="1836" customFormat="false" ht="15" hidden="false" customHeight="false" outlineLevel="0" collapsed="false">
      <c r="A1836" s="37" t="n">
        <v>46260</v>
      </c>
      <c r="B1836" s="44" t="s">
        <v>1981</v>
      </c>
      <c r="C1836" s="44" t="s">
        <v>707</v>
      </c>
      <c r="D1836" s="44" t="n">
        <v>2101003</v>
      </c>
      <c r="E1836" s="44" t="s">
        <v>679</v>
      </c>
      <c r="F1836" s="44" t="s">
        <v>1985</v>
      </c>
      <c r="G1836" s="42"/>
      <c r="H1836" s="42" t="n">
        <v>22181151.4</v>
      </c>
      <c r="I1836" s="44" t="s">
        <v>440</v>
      </c>
      <c r="J1836" s="11" t="n">
        <f aca="false">IF(D1836="","",N(G1836)-N(H1836))</f>
        <v>-22181151.4</v>
      </c>
      <c r="K1836" s="34" t="str">
        <f aca="false">IF(D1836="","",IFERROR(INDEX(I_COA!$C$6:$C$265,MATCH(D1836,I_COA!$A$6:$A$265,0)),"AKUN BARU"))</f>
        <v>Neraca</v>
      </c>
      <c r="L1836" s="34" t="str">
        <f aca="false">IF(K1836="LabaRugi",INDEX(I_COA!$D$6:$D$265,MATCH(D1836,I_COA!$A$6:$A$265,0)),"")</f>
        <v/>
      </c>
      <c r="M1836" s="34" t="str">
        <f aca="false">IF(K1836="Neraca",INDEX(I_COA!$E$6:$E$265,MATCH(D1836,I_COA!$A$6:$A$265,0)),"")</f>
        <v>Other Payable - Third Parties</v>
      </c>
      <c r="N1836" s="34" t="str">
        <f aca="false">IF(D1836="","",IFERROR(INDEX(I_COA!$G$6:$G$265,MATCH(D1836,I_COA!$A$6:$A$265,0)),"N"))</f>
        <v>N</v>
      </c>
      <c r="O1836" s="11" t="n">
        <f aca="false">IF(N1836="N",ABS(J1836),"")</f>
        <v>22181151.4</v>
      </c>
      <c r="P1836" s="18" t="str">
        <f aca="false">IF(N1836="N",B1836&amp;"|"&amp;ROUND(O1836,0),"")</f>
        <v>PI26080065|22181151</v>
      </c>
      <c r="Q1836" s="18" t="str">
        <f aca="false">IF(N1836&lt;&gt;"Y","",IFERROR(INDEX($D$6:$D$4005,MATCH(B1836&amp;"|"&amp;ROUND(_xlfn.MAXIFS($O$6:$O$4005,$B$6:$B$4005,B1836,$N$6:$N$4005,"N"),0),$P$6:$P$4005,0)),"(tanpa lawan)"))</f>
        <v/>
      </c>
      <c r="R1836" s="44"/>
      <c r="S1836" s="9" t="str">
        <f aca="false">IF(N1836&lt;&gt;"Y","",IF(R1836&lt;&gt;"",R1836,IF(Q1836="(tanpa lawan)","Transfer antar rekening",IFERROR(INDEX(I_COA!$F$6:$F$265,MATCH(Q1836,I_COA!$A$6:$A$265,0)),"?"))))</f>
        <v/>
      </c>
    </row>
    <row r="1837" customFormat="false" ht="15" hidden="false" customHeight="false" outlineLevel="0" collapsed="false">
      <c r="A1837" s="37" t="n">
        <v>46260</v>
      </c>
      <c r="B1837" s="44" t="s">
        <v>1986</v>
      </c>
      <c r="C1837" s="44" t="s">
        <v>707</v>
      </c>
      <c r="D1837" s="44" t="n">
        <v>2103011</v>
      </c>
      <c r="E1837" s="44" t="s">
        <v>693</v>
      </c>
      <c r="F1837" s="44" t="s">
        <v>1950</v>
      </c>
      <c r="G1837" s="42" t="n">
        <v>327203439.74</v>
      </c>
      <c r="H1837" s="42"/>
      <c r="I1837" s="44" t="s">
        <v>597</v>
      </c>
      <c r="J1837" s="11" t="n">
        <f aca="false">IF(D1837="","",N(G1837)-N(H1837))</f>
        <v>327203439.74</v>
      </c>
      <c r="K1837" s="34" t="str">
        <f aca="false">IF(D1837="","",IFERROR(INDEX(I_COA!$C$6:$C$265,MATCH(D1837,I_COA!$A$6:$A$265,0)),"AKUN BARU"))</f>
        <v>Neraca</v>
      </c>
      <c r="L1837" s="34" t="str">
        <f aca="false">IF(K1837="LabaRugi",INDEX(I_COA!$D$6:$D$265,MATCH(D1837,I_COA!$A$6:$A$265,0)),"")</f>
        <v/>
      </c>
      <c r="M1837" s="34" t="str">
        <f aca="false">IF(K1837="Neraca",INDEX(I_COA!$E$6:$E$265,MATCH(D1837,I_COA!$A$6:$A$265,0)),"")</f>
        <v>Accrued Expenses - Third Parties</v>
      </c>
      <c r="N1837" s="34" t="str">
        <f aca="false">IF(D1837="","",IFERROR(INDEX(I_COA!$G$6:$G$265,MATCH(D1837,I_COA!$A$6:$A$265,0)),"N"))</f>
        <v>N</v>
      </c>
      <c r="O1837" s="11" t="n">
        <f aca="false">IF(N1837="N",ABS(J1837),"")</f>
        <v>327203439.74</v>
      </c>
      <c r="P1837" s="18" t="str">
        <f aca="false">IF(N1837="N",B1837&amp;"|"&amp;ROUND(O1837,0),"")</f>
        <v>PI26080085|327203440</v>
      </c>
      <c r="Q1837" s="18" t="str">
        <f aca="false">IF(N1837&lt;&gt;"Y","",IFERROR(INDEX($D$6:$D$4005,MATCH(B1837&amp;"|"&amp;ROUND(_xlfn.MAXIFS($O$6:$O$4005,$B$6:$B$4005,B1837,$N$6:$N$4005,"N"),0),$P$6:$P$4005,0)),"(tanpa lawan)"))</f>
        <v/>
      </c>
      <c r="R1837" s="44"/>
      <c r="S1837" s="9" t="str">
        <f aca="false">IF(N1837&lt;&gt;"Y","",IF(R1837&lt;&gt;"",R1837,IF(Q1837="(tanpa lawan)","Transfer antar rekening",IFERROR(INDEX(I_COA!$F$6:$F$265,MATCH(Q1837,I_COA!$A$6:$A$265,0)),"?"))))</f>
        <v/>
      </c>
    </row>
    <row r="1838" customFormat="false" ht="15" hidden="false" customHeight="false" outlineLevel="0" collapsed="false">
      <c r="A1838" s="37" t="n">
        <v>46260</v>
      </c>
      <c r="B1838" s="44" t="s">
        <v>1986</v>
      </c>
      <c r="C1838" s="44" t="s">
        <v>707</v>
      </c>
      <c r="D1838" s="44" t="n">
        <v>5100007</v>
      </c>
      <c r="E1838" s="44" t="s">
        <v>708</v>
      </c>
      <c r="F1838" s="44" t="s">
        <v>1913</v>
      </c>
      <c r="G1838" s="42"/>
      <c r="H1838" s="42" t="n">
        <v>13500000</v>
      </c>
      <c r="I1838" s="44" t="s">
        <v>597</v>
      </c>
      <c r="J1838" s="11" t="n">
        <f aca="false">IF(D1838="","",N(G1838)-N(H1838))</f>
        <v>-13500000</v>
      </c>
      <c r="K1838" s="34" t="str">
        <f aca="false">IF(D1838="","",IFERROR(INDEX(I_COA!$C$6:$C$265,MATCH(D1838,I_COA!$A$6:$A$265,0)),"AKUN BARU"))</f>
        <v>LabaRugi</v>
      </c>
      <c r="L1838" s="34" t="str">
        <f aca="false">IF(K1838="LabaRugi",INDEX(I_COA!$D$6:$D$265,MATCH(D1838,I_COA!$A$6:$A$265,0)),"")</f>
        <v>Other COGS - Expedition</v>
      </c>
      <c r="M1838" s="34" t="str">
        <f aca="false">IF(K1838="Neraca",INDEX(I_COA!$E$6:$E$265,MATCH(D1838,I_COA!$A$6:$A$265,0)),"")</f>
        <v/>
      </c>
      <c r="N1838" s="34" t="str">
        <f aca="false">IF(D1838="","",IFERROR(INDEX(I_COA!$G$6:$G$265,MATCH(D1838,I_COA!$A$6:$A$265,0)),"N"))</f>
        <v>N</v>
      </c>
      <c r="O1838" s="11" t="n">
        <f aca="false">IF(N1838="N",ABS(J1838),"")</f>
        <v>13500000</v>
      </c>
      <c r="P1838" s="18" t="str">
        <f aca="false">IF(N1838="N",B1838&amp;"|"&amp;ROUND(O1838,0),"")</f>
        <v>PI26080085|13500000</v>
      </c>
      <c r="Q1838" s="18" t="str">
        <f aca="false">IF(N1838&lt;&gt;"Y","",IFERROR(INDEX($D$6:$D$4005,MATCH(B1838&amp;"|"&amp;ROUND(_xlfn.MAXIFS($O$6:$O$4005,$B$6:$B$4005,B1838,$N$6:$N$4005,"N"),0),$P$6:$P$4005,0)),"(tanpa lawan)"))</f>
        <v/>
      </c>
      <c r="R1838" s="44"/>
      <c r="S1838" s="9" t="str">
        <f aca="false">IF(N1838&lt;&gt;"Y","",IF(R1838&lt;&gt;"",R1838,IF(Q1838="(tanpa lawan)","Transfer antar rekening",IFERROR(INDEX(I_COA!$F$6:$F$265,MATCH(Q1838,I_COA!$A$6:$A$265,0)),"?"))))</f>
        <v/>
      </c>
    </row>
    <row r="1839" customFormat="false" ht="15" hidden="false" customHeight="false" outlineLevel="0" collapsed="false">
      <c r="A1839" s="37" t="n">
        <v>46260</v>
      </c>
      <c r="B1839" s="44" t="s">
        <v>1986</v>
      </c>
      <c r="C1839" s="44" t="s">
        <v>707</v>
      </c>
      <c r="D1839" s="44" t="n">
        <v>5100006</v>
      </c>
      <c r="E1839" s="44" t="s">
        <v>950</v>
      </c>
      <c r="F1839" s="44" t="s">
        <v>1981</v>
      </c>
      <c r="G1839" s="42"/>
      <c r="H1839" s="42" t="n">
        <v>21762080</v>
      </c>
      <c r="I1839" s="44" t="s">
        <v>597</v>
      </c>
      <c r="J1839" s="11" t="n">
        <f aca="false">IF(D1839="","",N(G1839)-N(H1839))</f>
        <v>-21762080</v>
      </c>
      <c r="K1839" s="34" t="str">
        <f aca="false">IF(D1839="","",IFERROR(INDEX(I_COA!$C$6:$C$265,MATCH(D1839,I_COA!$A$6:$A$265,0)),"AKUN BARU"))</f>
        <v>LabaRugi</v>
      </c>
      <c r="L1839" s="34" t="str">
        <f aca="false">IF(K1839="LabaRugi",INDEX(I_COA!$D$6:$D$265,MATCH(D1839,I_COA!$A$6:$A$265,0)),"")</f>
        <v>COGS - Live Bird</v>
      </c>
      <c r="M1839" s="34" t="str">
        <f aca="false">IF(K1839="Neraca",INDEX(I_COA!$E$6:$E$265,MATCH(D1839,I_COA!$A$6:$A$265,0)),"")</f>
        <v/>
      </c>
      <c r="N1839" s="34" t="str">
        <f aca="false">IF(D1839="","",IFERROR(INDEX(I_COA!$G$6:$G$265,MATCH(D1839,I_COA!$A$6:$A$265,0)),"N"))</f>
        <v>N</v>
      </c>
      <c r="O1839" s="11" t="n">
        <f aca="false">IF(N1839="N",ABS(J1839),"")</f>
        <v>21762080</v>
      </c>
      <c r="P1839" s="18" t="str">
        <f aca="false">IF(N1839="N",B1839&amp;"|"&amp;ROUND(O1839,0),"")</f>
        <v>PI26080085|21762080</v>
      </c>
      <c r="Q1839" s="18" t="str">
        <f aca="false">IF(N1839&lt;&gt;"Y","",IFERROR(INDEX($D$6:$D$4005,MATCH(B1839&amp;"|"&amp;ROUND(_xlfn.MAXIFS($O$6:$O$4005,$B$6:$B$4005,B1839,$N$6:$N$4005,"N"),0),$P$6:$P$4005,0)),"(tanpa lawan)"))</f>
        <v/>
      </c>
      <c r="R1839" s="44"/>
      <c r="S1839" s="9" t="str">
        <f aca="false">IF(N1839&lt;&gt;"Y","",IF(R1839&lt;&gt;"",R1839,IF(Q1839="(tanpa lawan)","Transfer antar rekening",IFERROR(INDEX(I_COA!$F$6:$F$265,MATCH(Q1839,I_COA!$A$6:$A$265,0)),"?"))))</f>
        <v/>
      </c>
    </row>
    <row r="1840" customFormat="false" ht="15" hidden="false" customHeight="false" outlineLevel="0" collapsed="false">
      <c r="A1840" s="37" t="n">
        <v>46260</v>
      </c>
      <c r="B1840" s="44" t="s">
        <v>1986</v>
      </c>
      <c r="C1840" s="44" t="s">
        <v>707</v>
      </c>
      <c r="D1840" s="44" t="n">
        <v>7100008</v>
      </c>
      <c r="E1840" s="44" t="s">
        <v>952</v>
      </c>
      <c r="F1840" s="44" t="s">
        <v>1950</v>
      </c>
      <c r="G1840" s="42" t="n">
        <v>0.26</v>
      </c>
      <c r="H1840" s="42"/>
      <c r="I1840" s="44" t="s">
        <v>597</v>
      </c>
      <c r="J1840" s="11" t="n">
        <f aca="false">IF(D1840="","",N(G1840)-N(H1840))</f>
        <v>0.26</v>
      </c>
      <c r="K1840" s="34" t="str">
        <f aca="false">IF(D1840="","",IFERROR(INDEX(I_COA!$C$6:$C$265,MATCH(D1840,I_COA!$A$6:$A$265,0)),"AKUN BARU"))</f>
        <v>LabaRugi</v>
      </c>
      <c r="L1840" s="34" t="str">
        <f aca="false">IF(K1840="LabaRugi",INDEX(I_COA!$D$6:$D$265,MATCH(D1840,I_COA!$A$6:$A$265,0)),"")</f>
        <v>Other Income</v>
      </c>
      <c r="M1840" s="34" t="str">
        <f aca="false">IF(K1840="Neraca",INDEX(I_COA!$E$6:$E$265,MATCH(D1840,I_COA!$A$6:$A$265,0)),"")</f>
        <v/>
      </c>
      <c r="N1840" s="34" t="str">
        <f aca="false">IF(D1840="","",IFERROR(INDEX(I_COA!$G$6:$G$265,MATCH(D1840,I_COA!$A$6:$A$265,0)),"N"))</f>
        <v>N</v>
      </c>
      <c r="O1840" s="11" t="n">
        <f aca="false">IF(N1840="N",ABS(J1840),"")</f>
        <v>0.26</v>
      </c>
      <c r="P1840" s="18" t="str">
        <f aca="false">IF(N1840="N",B1840&amp;"|"&amp;ROUND(O1840,0),"")</f>
        <v>PI26080085|0</v>
      </c>
      <c r="Q1840" s="18" t="str">
        <f aca="false">IF(N1840&lt;&gt;"Y","",IFERROR(INDEX($D$6:$D$4005,MATCH(B1840&amp;"|"&amp;ROUND(_xlfn.MAXIFS($O$6:$O$4005,$B$6:$B$4005,B1840,$N$6:$N$4005,"N"),0),$P$6:$P$4005,0)),"(tanpa lawan)"))</f>
        <v/>
      </c>
      <c r="R1840" s="44"/>
      <c r="S1840" s="9" t="str">
        <f aca="false">IF(N1840&lt;&gt;"Y","",IF(R1840&lt;&gt;"",R1840,IF(Q1840="(tanpa lawan)","Transfer antar rekening",IFERROR(INDEX(I_COA!$F$6:$F$265,MATCH(Q1840,I_COA!$A$6:$A$265,0)),"?"))))</f>
        <v/>
      </c>
    </row>
    <row r="1841" customFormat="false" ht="15" hidden="false" customHeight="false" outlineLevel="0" collapsed="false">
      <c r="A1841" s="37" t="n">
        <v>46260</v>
      </c>
      <c r="B1841" s="44" t="s">
        <v>1986</v>
      </c>
      <c r="C1841" s="44" t="s">
        <v>707</v>
      </c>
      <c r="D1841" s="44" t="n">
        <v>7200010</v>
      </c>
      <c r="E1841" s="44" t="s">
        <v>953</v>
      </c>
      <c r="F1841" s="44" t="s">
        <v>1987</v>
      </c>
      <c r="G1841" s="42" t="n">
        <v>729853</v>
      </c>
      <c r="H1841" s="42"/>
      <c r="I1841" s="44" t="s">
        <v>597</v>
      </c>
      <c r="J1841" s="11" t="n">
        <f aca="false">IF(D1841="","",N(G1841)-N(H1841))</f>
        <v>729853</v>
      </c>
      <c r="K1841" s="34" t="str">
        <f aca="false">IF(D1841="","",IFERROR(INDEX(I_COA!$C$6:$C$265,MATCH(D1841,I_COA!$A$6:$A$265,0)),"AKUN BARU"))</f>
        <v>LabaRugi</v>
      </c>
      <c r="L1841" s="34" t="str">
        <f aca="false">IF(K1841="LabaRugi",INDEX(I_COA!$D$6:$D$265,MATCH(D1841,I_COA!$A$6:$A$265,0)),"")</f>
        <v>Tax expenses</v>
      </c>
      <c r="M1841" s="34" t="str">
        <f aca="false">IF(K1841="Neraca",INDEX(I_COA!$E$6:$E$265,MATCH(D1841,I_COA!$A$6:$A$265,0)),"")</f>
        <v/>
      </c>
      <c r="N1841" s="34" t="str">
        <f aca="false">IF(D1841="","",IFERROR(INDEX(I_COA!$G$6:$G$265,MATCH(D1841,I_COA!$A$6:$A$265,0)),"N"))</f>
        <v>N</v>
      </c>
      <c r="O1841" s="11" t="n">
        <f aca="false">IF(N1841="N",ABS(J1841),"")</f>
        <v>729853</v>
      </c>
      <c r="P1841" s="18" t="str">
        <f aca="false">IF(N1841="N",B1841&amp;"|"&amp;ROUND(O1841,0),"")</f>
        <v>PI26080085|729853</v>
      </c>
      <c r="Q1841" s="18" t="str">
        <f aca="false">IF(N1841&lt;&gt;"Y","",IFERROR(INDEX($D$6:$D$4005,MATCH(B1841&amp;"|"&amp;ROUND(_xlfn.MAXIFS($O$6:$O$4005,$B$6:$B$4005,B1841,$N$6:$N$4005,"N"),0),$P$6:$P$4005,0)),"(tanpa lawan)"))</f>
        <v/>
      </c>
      <c r="R1841" s="44"/>
      <c r="S1841" s="9" t="str">
        <f aca="false">IF(N1841&lt;&gt;"Y","",IF(R1841&lt;&gt;"",R1841,IF(Q1841="(tanpa lawan)","Transfer antar rekening",IFERROR(INDEX(I_COA!$F$6:$F$265,MATCH(Q1841,I_COA!$A$6:$A$265,0)),"?"))))</f>
        <v/>
      </c>
    </row>
    <row r="1842" customFormat="false" ht="15" hidden="false" customHeight="false" outlineLevel="0" collapsed="false">
      <c r="A1842" s="37" t="n">
        <v>46260</v>
      </c>
      <c r="B1842" s="44" t="s">
        <v>1986</v>
      </c>
      <c r="C1842" s="44" t="s">
        <v>707</v>
      </c>
      <c r="D1842" s="44" t="n">
        <v>2102007</v>
      </c>
      <c r="E1842" s="44" t="s">
        <v>955</v>
      </c>
      <c r="F1842" s="44" t="s">
        <v>1987</v>
      </c>
      <c r="G1842" s="42"/>
      <c r="H1842" s="42" t="n">
        <v>729853</v>
      </c>
      <c r="I1842" s="44" t="s">
        <v>597</v>
      </c>
      <c r="J1842" s="11" t="n">
        <f aca="false">IF(D1842="","",N(G1842)-N(H1842))</f>
        <v>-729853</v>
      </c>
      <c r="K1842" s="34" t="str">
        <f aca="false">IF(D1842="","",IFERROR(INDEX(I_COA!$C$6:$C$265,MATCH(D1842,I_COA!$A$6:$A$265,0)),"AKUN BARU"))</f>
        <v>Neraca</v>
      </c>
      <c r="L1842" s="34" t="str">
        <f aca="false">IF(K1842="LabaRugi",INDEX(I_COA!$D$6:$D$265,MATCH(D1842,I_COA!$A$6:$A$265,0)),"")</f>
        <v/>
      </c>
      <c r="M1842" s="34" t="str">
        <f aca="false">IF(K1842="Neraca",INDEX(I_COA!$E$6:$E$265,MATCH(D1842,I_COA!$A$6:$A$265,0)),"")</f>
        <v>Taxes Payable</v>
      </c>
      <c r="N1842" s="34" t="str">
        <f aca="false">IF(D1842="","",IFERROR(INDEX(I_COA!$G$6:$G$265,MATCH(D1842,I_COA!$A$6:$A$265,0)),"N"))</f>
        <v>N</v>
      </c>
      <c r="O1842" s="11" t="n">
        <f aca="false">IF(N1842="N",ABS(J1842),"")</f>
        <v>729853</v>
      </c>
      <c r="P1842" s="18" t="str">
        <f aca="false">IF(N1842="N",B1842&amp;"|"&amp;ROUND(O1842,0),"")</f>
        <v>PI26080085|729853</v>
      </c>
      <c r="Q1842" s="18" t="str">
        <f aca="false">IF(N1842&lt;&gt;"Y","",IFERROR(INDEX($D$6:$D$4005,MATCH(B1842&amp;"|"&amp;ROUND(_xlfn.MAXIFS($O$6:$O$4005,$B$6:$B$4005,B1842,$N$6:$N$4005,"N"),0),$P$6:$P$4005,0)),"(tanpa lawan)"))</f>
        <v/>
      </c>
      <c r="R1842" s="44"/>
      <c r="S1842" s="9" t="str">
        <f aca="false">IF(N1842&lt;&gt;"Y","",IF(R1842&lt;&gt;"",R1842,IF(Q1842="(tanpa lawan)","Transfer antar rekening",IFERROR(INDEX(I_COA!$F$6:$F$265,MATCH(Q1842,I_COA!$A$6:$A$265,0)),"?"))))</f>
        <v/>
      </c>
    </row>
    <row r="1843" customFormat="false" ht="15" hidden="false" customHeight="false" outlineLevel="0" collapsed="false">
      <c r="A1843" s="37" t="n">
        <v>46260</v>
      </c>
      <c r="B1843" s="44" t="s">
        <v>1986</v>
      </c>
      <c r="C1843" s="44" t="s">
        <v>707</v>
      </c>
      <c r="D1843" s="44" t="n">
        <v>2101001</v>
      </c>
      <c r="E1843" s="44" t="s">
        <v>595</v>
      </c>
      <c r="F1843" s="44" t="s">
        <v>1950</v>
      </c>
      <c r="G1843" s="42"/>
      <c r="H1843" s="42" t="n">
        <v>291941360</v>
      </c>
      <c r="I1843" s="44" t="s">
        <v>597</v>
      </c>
      <c r="J1843" s="11" t="n">
        <f aca="false">IF(D1843="","",N(G1843)-N(H1843))</f>
        <v>-291941360</v>
      </c>
      <c r="K1843" s="34" t="str">
        <f aca="false">IF(D1843="","",IFERROR(INDEX(I_COA!$C$6:$C$265,MATCH(D1843,I_COA!$A$6:$A$265,0)),"AKUN BARU"))</f>
        <v>Neraca</v>
      </c>
      <c r="L1843" s="34" t="str">
        <f aca="false">IF(K1843="LabaRugi",INDEX(I_COA!$D$6:$D$265,MATCH(D1843,I_COA!$A$6:$A$265,0)),"")</f>
        <v/>
      </c>
      <c r="M1843" s="34" t="str">
        <f aca="false">IF(K1843="Neraca",INDEX(I_COA!$E$6:$E$265,MATCH(D1843,I_COA!$A$6:$A$265,0)),"")</f>
        <v>Trade Payables - Third Parties</v>
      </c>
      <c r="N1843" s="34" t="str">
        <f aca="false">IF(D1843="","",IFERROR(INDEX(I_COA!$G$6:$G$265,MATCH(D1843,I_COA!$A$6:$A$265,0)),"N"))</f>
        <v>N</v>
      </c>
      <c r="O1843" s="11" t="n">
        <f aca="false">IF(N1843="N",ABS(J1843),"")</f>
        <v>291941360</v>
      </c>
      <c r="P1843" s="18" t="str">
        <f aca="false">IF(N1843="N",B1843&amp;"|"&amp;ROUND(O1843,0),"")</f>
        <v>PI26080085|291941360</v>
      </c>
      <c r="Q1843" s="18" t="str">
        <f aca="false">IF(N1843&lt;&gt;"Y","",IFERROR(INDEX($D$6:$D$4005,MATCH(B1843&amp;"|"&amp;ROUND(_xlfn.MAXIFS($O$6:$O$4005,$B$6:$B$4005,B1843,$N$6:$N$4005,"N"),0),$P$6:$P$4005,0)),"(tanpa lawan)"))</f>
        <v/>
      </c>
      <c r="R1843" s="44"/>
      <c r="S1843" s="9" t="str">
        <f aca="false">IF(N1843&lt;&gt;"Y","",IF(R1843&lt;&gt;"",R1843,IF(Q1843="(tanpa lawan)","Transfer antar rekening",IFERROR(INDEX(I_COA!$F$6:$F$265,MATCH(Q1843,I_COA!$A$6:$A$265,0)),"?"))))</f>
        <v/>
      </c>
    </row>
    <row r="1844" customFormat="false" ht="15" hidden="false" customHeight="false" outlineLevel="0" collapsed="false">
      <c r="A1844" s="37" t="n">
        <v>46260</v>
      </c>
      <c r="B1844" s="44" t="s">
        <v>1988</v>
      </c>
      <c r="C1844" s="44" t="s">
        <v>707</v>
      </c>
      <c r="D1844" s="44" t="n">
        <v>910004</v>
      </c>
      <c r="E1844" s="44" t="s">
        <v>781</v>
      </c>
      <c r="F1844" s="44" t="s">
        <v>1989</v>
      </c>
      <c r="G1844" s="42" t="n">
        <v>1200000000</v>
      </c>
      <c r="H1844" s="42"/>
      <c r="I1844" s="44" t="s">
        <v>881</v>
      </c>
      <c r="J1844" s="11" t="n">
        <f aca="false">IF(D1844="","",N(G1844)-N(H1844))</f>
        <v>1200000000</v>
      </c>
      <c r="K1844" s="34" t="str">
        <f aca="false">IF(D1844="","",IFERROR(INDEX(I_COA!$C$6:$C$265,MATCH(D1844,I_COA!$A$6:$A$265,0)),"AKUN BARU"))</f>
        <v>Neraca</v>
      </c>
      <c r="L1844" s="34" t="str">
        <f aca="false">IF(K1844="LabaRugi",INDEX(I_COA!$D$6:$D$265,MATCH(D1844,I_COA!$A$6:$A$265,0)),"")</f>
        <v/>
      </c>
      <c r="M1844" s="34" t="str">
        <f aca="false">IF(K1844="Neraca",INDEX(I_COA!$E$6:$E$265,MATCH(D1844,I_COA!$A$6:$A$265,0)),"")</f>
        <v>Temporary account (to reclassify)</v>
      </c>
      <c r="N1844" s="34" t="str">
        <f aca="false">IF(D1844="","",IFERROR(INDEX(I_COA!$G$6:$G$265,MATCH(D1844,I_COA!$A$6:$A$265,0)),"N"))</f>
        <v>N</v>
      </c>
      <c r="O1844" s="11" t="n">
        <f aca="false">IF(N1844="N",ABS(J1844),"")</f>
        <v>1200000000</v>
      </c>
      <c r="P1844" s="18" t="str">
        <f aca="false">IF(N1844="N",B1844&amp;"|"&amp;ROUND(O1844,0),"")</f>
        <v>PI26080097|1200000000</v>
      </c>
      <c r="Q1844" s="18" t="str">
        <f aca="false">IF(N1844&lt;&gt;"Y","",IFERROR(INDEX($D$6:$D$4005,MATCH(B1844&amp;"|"&amp;ROUND(_xlfn.MAXIFS($O$6:$O$4005,$B$6:$B$4005,B1844,$N$6:$N$4005,"N"),0),$P$6:$P$4005,0)),"(tanpa lawan)"))</f>
        <v/>
      </c>
      <c r="R1844" s="44"/>
      <c r="S1844" s="9" t="str">
        <f aca="false">IF(N1844&lt;&gt;"Y","",IF(R1844&lt;&gt;"",R1844,IF(Q1844="(tanpa lawan)","Transfer antar rekening",IFERROR(INDEX(I_COA!$F$6:$F$265,MATCH(Q1844,I_COA!$A$6:$A$265,0)),"?"))))</f>
        <v/>
      </c>
    </row>
    <row r="1845" customFormat="false" ht="15" hidden="false" customHeight="false" outlineLevel="0" collapsed="false">
      <c r="A1845" s="37" t="n">
        <v>46260</v>
      </c>
      <c r="B1845" s="44" t="s">
        <v>1988</v>
      </c>
      <c r="C1845" s="44" t="s">
        <v>707</v>
      </c>
      <c r="D1845" s="44" t="n">
        <v>2101004</v>
      </c>
      <c r="E1845" s="44" t="s">
        <v>879</v>
      </c>
      <c r="F1845" s="44" t="s">
        <v>1989</v>
      </c>
      <c r="G1845" s="42"/>
      <c r="H1845" s="42" t="n">
        <v>1200000000</v>
      </c>
      <c r="I1845" s="44" t="s">
        <v>881</v>
      </c>
      <c r="J1845" s="11" t="n">
        <f aca="false">IF(D1845="","",N(G1845)-N(H1845))</f>
        <v>-1200000000</v>
      </c>
      <c r="K1845" s="34" t="str">
        <f aca="false">IF(D1845="","",IFERROR(INDEX(I_COA!$C$6:$C$265,MATCH(D1845,I_COA!$A$6:$A$265,0)),"AKUN BARU"))</f>
        <v>Neraca</v>
      </c>
      <c r="L1845" s="34" t="str">
        <f aca="false">IF(K1845="LabaRugi",INDEX(I_COA!$D$6:$D$265,MATCH(D1845,I_COA!$A$6:$A$265,0)),"")</f>
        <v/>
      </c>
      <c r="M1845" s="34" t="str">
        <f aca="false">IF(K1845="Neraca",INDEX(I_COA!$E$6:$E$265,MATCH(D1845,I_COA!$A$6:$A$265,0)),"")</f>
        <v>Other Payable - Related Parties</v>
      </c>
      <c r="N1845" s="34" t="str">
        <f aca="false">IF(D1845="","",IFERROR(INDEX(I_COA!$G$6:$G$265,MATCH(D1845,I_COA!$A$6:$A$265,0)),"N"))</f>
        <v>N</v>
      </c>
      <c r="O1845" s="11" t="n">
        <f aca="false">IF(N1845="N",ABS(J1845),"")</f>
        <v>1200000000</v>
      </c>
      <c r="P1845" s="18" t="str">
        <f aca="false">IF(N1845="N",B1845&amp;"|"&amp;ROUND(O1845,0),"")</f>
        <v>PI26080097|1200000000</v>
      </c>
      <c r="Q1845" s="18" t="str">
        <f aca="false">IF(N1845&lt;&gt;"Y","",IFERROR(INDEX($D$6:$D$4005,MATCH(B1845&amp;"|"&amp;ROUND(_xlfn.MAXIFS($O$6:$O$4005,$B$6:$B$4005,B1845,$N$6:$N$4005,"N"),0),$P$6:$P$4005,0)),"(tanpa lawan)"))</f>
        <v/>
      </c>
      <c r="R1845" s="44"/>
      <c r="S1845" s="9" t="str">
        <f aca="false">IF(N1845&lt;&gt;"Y","",IF(R1845&lt;&gt;"",R1845,IF(Q1845="(tanpa lawan)","Transfer antar rekening",IFERROR(INDEX(I_COA!$F$6:$F$265,MATCH(Q1845,I_COA!$A$6:$A$265,0)),"?"))))</f>
        <v/>
      </c>
    </row>
    <row r="1846" customFormat="false" ht="15" hidden="false" customHeight="false" outlineLevel="0" collapsed="false">
      <c r="A1846" s="37"/>
      <c r="B1846" s="44"/>
      <c r="C1846" s="44"/>
      <c r="D1846" s="44"/>
      <c r="E1846" s="44"/>
      <c r="F1846" s="44"/>
      <c r="G1846" s="42"/>
      <c r="H1846" s="42"/>
      <c r="I1846" s="44"/>
      <c r="J1846" s="11" t="str">
        <f aca="false">IF(D1846="","",N(G1846)-N(H1846))</f>
        <v/>
      </c>
      <c r="K1846" s="34" t="str">
        <f aca="false">IF(D1846="","",IFERROR(INDEX(I_COA!$C$6:$C$265,MATCH(D1846,I_COA!$A$6:$A$265,0)),"AKUN BARU"))</f>
        <v/>
      </c>
      <c r="L1846" s="34" t="str">
        <f aca="false">IF(K1846="LabaRugi",INDEX(I_COA!$D$6:$D$265,MATCH(D1846,I_COA!$A$6:$A$265,0)),"")</f>
        <v/>
      </c>
      <c r="M1846" s="34" t="str">
        <f aca="false">IF(K1846="Neraca",INDEX(I_COA!$E$6:$E$265,MATCH(D1846,I_COA!$A$6:$A$265,0)),"")</f>
        <v/>
      </c>
      <c r="N1846" s="34" t="str">
        <f aca="false">IF(D1846="","",IFERROR(INDEX(I_COA!$G$6:$G$265,MATCH(D1846,I_COA!$A$6:$A$265,0)),"N"))</f>
        <v/>
      </c>
      <c r="O1846" s="11" t="str">
        <f aca="false">IF(N1846="N",ABS(J1846),"")</f>
        <v/>
      </c>
      <c r="P1846" s="18" t="str">
        <f aca="false">IF(N1846="N",B1846&amp;"|"&amp;ROUND(O1846,0),"")</f>
        <v/>
      </c>
      <c r="Q1846" s="18" t="str">
        <f aca="false">IF(N1846&lt;&gt;"Y","",IFERROR(INDEX($D$6:$D$4005,MATCH(B1846&amp;"|"&amp;ROUND(_xlfn.MAXIFS($O$6:$O$4005,$B$6:$B$4005,B1846,$N$6:$N$4005,"N"),0),$P$6:$P$4005,0)),"(tanpa lawan)"))</f>
        <v/>
      </c>
      <c r="R1846" s="44"/>
      <c r="S1846" s="9" t="str">
        <f aca="false">IF(N1846&lt;&gt;"Y","",IF(R1846&lt;&gt;"",R1846,IF(Q1846="(tanpa lawan)","Transfer antar rekening",IFERROR(INDEX(I_COA!$F$6:$F$265,MATCH(Q1846,I_COA!$A$6:$A$265,0)),"?"))))</f>
        <v/>
      </c>
    </row>
    <row r="1847" customFormat="false" ht="15" hidden="false" customHeight="false" outlineLevel="0" collapsed="false">
      <c r="A1847" s="37"/>
      <c r="B1847" s="44"/>
      <c r="C1847" s="44"/>
      <c r="D1847" s="44"/>
      <c r="E1847" s="44"/>
      <c r="F1847" s="44"/>
      <c r="G1847" s="42"/>
      <c r="H1847" s="42"/>
      <c r="I1847" s="44"/>
      <c r="J1847" s="11" t="str">
        <f aca="false">IF(D1847="","",N(G1847)-N(H1847))</f>
        <v/>
      </c>
      <c r="K1847" s="34" t="str">
        <f aca="false">IF(D1847="","",IFERROR(INDEX(I_COA!$C$6:$C$265,MATCH(D1847,I_COA!$A$6:$A$265,0)),"AKUN BARU"))</f>
        <v/>
      </c>
      <c r="L1847" s="34" t="str">
        <f aca="false">IF(K1847="LabaRugi",INDEX(I_COA!$D$6:$D$265,MATCH(D1847,I_COA!$A$6:$A$265,0)),"")</f>
        <v/>
      </c>
      <c r="M1847" s="34" t="str">
        <f aca="false">IF(K1847="Neraca",INDEX(I_COA!$E$6:$E$265,MATCH(D1847,I_COA!$A$6:$A$265,0)),"")</f>
        <v/>
      </c>
      <c r="N1847" s="34" t="str">
        <f aca="false">IF(D1847="","",IFERROR(INDEX(I_COA!$G$6:$G$265,MATCH(D1847,I_COA!$A$6:$A$265,0)),"N"))</f>
        <v/>
      </c>
      <c r="O1847" s="11" t="str">
        <f aca="false">IF(N1847="N",ABS(J1847),"")</f>
        <v/>
      </c>
      <c r="P1847" s="18" t="str">
        <f aca="false">IF(N1847="N",B1847&amp;"|"&amp;ROUND(O1847,0),"")</f>
        <v/>
      </c>
      <c r="Q1847" s="18" t="str">
        <f aca="false">IF(N1847&lt;&gt;"Y","",IFERROR(INDEX($D$6:$D$4005,MATCH(B1847&amp;"|"&amp;ROUND(_xlfn.MAXIFS($O$6:$O$4005,$B$6:$B$4005,B1847,$N$6:$N$4005,"N"),0),$P$6:$P$4005,0)),"(tanpa lawan)"))</f>
        <v/>
      </c>
      <c r="R1847" s="44"/>
      <c r="S1847" s="9" t="str">
        <f aca="false">IF(N1847&lt;&gt;"Y","",IF(R1847&lt;&gt;"",R1847,IF(Q1847="(tanpa lawan)","Transfer antar rekening",IFERROR(INDEX(I_COA!$F$6:$F$265,MATCH(Q1847,I_COA!$A$6:$A$265,0)),"?"))))</f>
        <v/>
      </c>
    </row>
    <row r="1848" customFormat="false" ht="15" hidden="false" customHeight="false" outlineLevel="0" collapsed="false">
      <c r="A1848" s="37"/>
      <c r="B1848" s="44"/>
      <c r="C1848" s="44"/>
      <c r="D1848" s="44"/>
      <c r="E1848" s="44"/>
      <c r="F1848" s="44"/>
      <c r="G1848" s="42"/>
      <c r="H1848" s="42"/>
      <c r="I1848" s="44"/>
      <c r="J1848" s="11" t="str">
        <f aca="false">IF(D1848="","",N(G1848)-N(H1848))</f>
        <v/>
      </c>
      <c r="K1848" s="34" t="str">
        <f aca="false">IF(D1848="","",IFERROR(INDEX(I_COA!$C$6:$C$265,MATCH(D1848,I_COA!$A$6:$A$265,0)),"AKUN BARU"))</f>
        <v/>
      </c>
      <c r="L1848" s="34" t="str">
        <f aca="false">IF(K1848="LabaRugi",INDEX(I_COA!$D$6:$D$265,MATCH(D1848,I_COA!$A$6:$A$265,0)),"")</f>
        <v/>
      </c>
      <c r="M1848" s="34" t="str">
        <f aca="false">IF(K1848="Neraca",INDEX(I_COA!$E$6:$E$265,MATCH(D1848,I_COA!$A$6:$A$265,0)),"")</f>
        <v/>
      </c>
      <c r="N1848" s="34" t="str">
        <f aca="false">IF(D1848="","",IFERROR(INDEX(I_COA!$G$6:$G$265,MATCH(D1848,I_COA!$A$6:$A$265,0)),"N"))</f>
        <v/>
      </c>
      <c r="O1848" s="11" t="str">
        <f aca="false">IF(N1848="N",ABS(J1848),"")</f>
        <v/>
      </c>
      <c r="P1848" s="18" t="str">
        <f aca="false">IF(N1848="N",B1848&amp;"|"&amp;ROUND(O1848,0),"")</f>
        <v/>
      </c>
      <c r="Q1848" s="18" t="str">
        <f aca="false">IF(N1848&lt;&gt;"Y","",IFERROR(INDEX($D$6:$D$4005,MATCH(B1848&amp;"|"&amp;ROUND(_xlfn.MAXIFS($O$6:$O$4005,$B$6:$B$4005,B1848,$N$6:$N$4005,"N"),0),$P$6:$P$4005,0)),"(tanpa lawan)"))</f>
        <v/>
      </c>
      <c r="R1848" s="44"/>
      <c r="S1848" s="9" t="str">
        <f aca="false">IF(N1848&lt;&gt;"Y","",IF(R1848&lt;&gt;"",R1848,IF(Q1848="(tanpa lawan)","Transfer antar rekening",IFERROR(INDEX(I_COA!$F$6:$F$265,MATCH(Q1848,I_COA!$A$6:$A$265,0)),"?"))))</f>
        <v/>
      </c>
    </row>
    <row r="1849" customFormat="false" ht="15" hidden="false" customHeight="false" outlineLevel="0" collapsed="false">
      <c r="A1849" s="37"/>
      <c r="B1849" s="44"/>
      <c r="C1849" s="44"/>
      <c r="D1849" s="44"/>
      <c r="E1849" s="44"/>
      <c r="F1849" s="44"/>
      <c r="G1849" s="42"/>
      <c r="H1849" s="42"/>
      <c r="I1849" s="44"/>
      <c r="J1849" s="11" t="str">
        <f aca="false">IF(D1849="","",N(G1849)-N(H1849))</f>
        <v/>
      </c>
      <c r="K1849" s="34" t="str">
        <f aca="false">IF(D1849="","",IFERROR(INDEX(I_COA!$C$6:$C$265,MATCH(D1849,I_COA!$A$6:$A$265,0)),"AKUN BARU"))</f>
        <v/>
      </c>
      <c r="L1849" s="34" t="str">
        <f aca="false">IF(K1849="LabaRugi",INDEX(I_COA!$D$6:$D$265,MATCH(D1849,I_COA!$A$6:$A$265,0)),"")</f>
        <v/>
      </c>
      <c r="M1849" s="34" t="str">
        <f aca="false">IF(K1849="Neraca",INDEX(I_COA!$E$6:$E$265,MATCH(D1849,I_COA!$A$6:$A$265,0)),"")</f>
        <v/>
      </c>
      <c r="N1849" s="34" t="str">
        <f aca="false">IF(D1849="","",IFERROR(INDEX(I_COA!$G$6:$G$265,MATCH(D1849,I_COA!$A$6:$A$265,0)),"N"))</f>
        <v/>
      </c>
      <c r="O1849" s="11" t="str">
        <f aca="false">IF(N1849="N",ABS(J1849),"")</f>
        <v/>
      </c>
      <c r="P1849" s="18" t="str">
        <f aca="false">IF(N1849="N",B1849&amp;"|"&amp;ROUND(O1849,0),"")</f>
        <v/>
      </c>
      <c r="Q1849" s="18" t="str">
        <f aca="false">IF(N1849&lt;&gt;"Y","",IFERROR(INDEX($D$6:$D$4005,MATCH(B1849&amp;"|"&amp;ROUND(_xlfn.MAXIFS($O$6:$O$4005,$B$6:$B$4005,B1849,$N$6:$N$4005,"N"),0),$P$6:$P$4005,0)),"(tanpa lawan)"))</f>
        <v/>
      </c>
      <c r="R1849" s="44"/>
      <c r="S1849" s="9" t="str">
        <f aca="false">IF(N1849&lt;&gt;"Y","",IF(R1849&lt;&gt;"",R1849,IF(Q1849="(tanpa lawan)","Transfer antar rekening",IFERROR(INDEX(I_COA!$F$6:$F$265,MATCH(Q1849,I_COA!$A$6:$A$265,0)),"?"))))</f>
        <v/>
      </c>
    </row>
    <row r="1850" customFormat="false" ht="15" hidden="false" customHeight="false" outlineLevel="0" collapsed="false">
      <c r="A1850" s="37"/>
      <c r="B1850" s="44"/>
      <c r="C1850" s="44"/>
      <c r="D1850" s="44"/>
      <c r="E1850" s="44"/>
      <c r="F1850" s="44"/>
      <c r="G1850" s="42"/>
      <c r="H1850" s="42"/>
      <c r="I1850" s="44"/>
      <c r="J1850" s="11" t="str">
        <f aca="false">IF(D1850="","",N(G1850)-N(H1850))</f>
        <v/>
      </c>
      <c r="K1850" s="34" t="str">
        <f aca="false">IF(D1850="","",IFERROR(INDEX(I_COA!$C$6:$C$265,MATCH(D1850,I_COA!$A$6:$A$265,0)),"AKUN BARU"))</f>
        <v/>
      </c>
      <c r="L1850" s="34" t="str">
        <f aca="false">IF(K1850="LabaRugi",INDEX(I_COA!$D$6:$D$265,MATCH(D1850,I_COA!$A$6:$A$265,0)),"")</f>
        <v/>
      </c>
      <c r="M1850" s="34" t="str">
        <f aca="false">IF(K1850="Neraca",INDEX(I_COA!$E$6:$E$265,MATCH(D1850,I_COA!$A$6:$A$265,0)),"")</f>
        <v/>
      </c>
      <c r="N1850" s="34" t="str">
        <f aca="false">IF(D1850="","",IFERROR(INDEX(I_COA!$G$6:$G$265,MATCH(D1850,I_COA!$A$6:$A$265,0)),"N"))</f>
        <v/>
      </c>
      <c r="O1850" s="11" t="str">
        <f aca="false">IF(N1850="N",ABS(J1850),"")</f>
        <v/>
      </c>
      <c r="P1850" s="18" t="str">
        <f aca="false">IF(N1850="N",B1850&amp;"|"&amp;ROUND(O1850,0),"")</f>
        <v/>
      </c>
      <c r="Q1850" s="18" t="str">
        <f aca="false">IF(N1850&lt;&gt;"Y","",IFERROR(INDEX($D$6:$D$4005,MATCH(B1850&amp;"|"&amp;ROUND(_xlfn.MAXIFS($O$6:$O$4005,$B$6:$B$4005,B1850,$N$6:$N$4005,"N"),0),$P$6:$P$4005,0)),"(tanpa lawan)"))</f>
        <v/>
      </c>
      <c r="R1850" s="44"/>
      <c r="S1850" s="9" t="str">
        <f aca="false">IF(N1850&lt;&gt;"Y","",IF(R1850&lt;&gt;"",R1850,IF(Q1850="(tanpa lawan)","Transfer antar rekening",IFERROR(INDEX(I_COA!$F$6:$F$265,MATCH(Q1850,I_COA!$A$6:$A$265,0)),"?"))))</f>
        <v/>
      </c>
    </row>
    <row r="1851" customFormat="false" ht="15" hidden="false" customHeight="false" outlineLevel="0" collapsed="false">
      <c r="A1851" s="37"/>
      <c r="B1851" s="44"/>
      <c r="C1851" s="44"/>
      <c r="D1851" s="44"/>
      <c r="E1851" s="44"/>
      <c r="F1851" s="44"/>
      <c r="G1851" s="42"/>
      <c r="H1851" s="42"/>
      <c r="I1851" s="44"/>
      <c r="J1851" s="11" t="str">
        <f aca="false">IF(D1851="","",N(G1851)-N(H1851))</f>
        <v/>
      </c>
      <c r="K1851" s="34" t="str">
        <f aca="false">IF(D1851="","",IFERROR(INDEX(I_COA!$C$6:$C$265,MATCH(D1851,I_COA!$A$6:$A$265,0)),"AKUN BARU"))</f>
        <v/>
      </c>
      <c r="L1851" s="34" t="str">
        <f aca="false">IF(K1851="LabaRugi",INDEX(I_COA!$D$6:$D$265,MATCH(D1851,I_COA!$A$6:$A$265,0)),"")</f>
        <v/>
      </c>
      <c r="M1851" s="34" t="str">
        <f aca="false">IF(K1851="Neraca",INDEX(I_COA!$E$6:$E$265,MATCH(D1851,I_COA!$A$6:$A$265,0)),"")</f>
        <v/>
      </c>
      <c r="N1851" s="34" t="str">
        <f aca="false">IF(D1851="","",IFERROR(INDEX(I_COA!$G$6:$G$265,MATCH(D1851,I_COA!$A$6:$A$265,0)),"N"))</f>
        <v/>
      </c>
      <c r="O1851" s="11" t="str">
        <f aca="false">IF(N1851="N",ABS(J1851),"")</f>
        <v/>
      </c>
      <c r="P1851" s="18" t="str">
        <f aca="false">IF(N1851="N",B1851&amp;"|"&amp;ROUND(O1851,0),"")</f>
        <v/>
      </c>
      <c r="Q1851" s="18" t="str">
        <f aca="false">IF(N1851&lt;&gt;"Y","",IFERROR(INDEX($D$6:$D$4005,MATCH(B1851&amp;"|"&amp;ROUND(_xlfn.MAXIFS($O$6:$O$4005,$B$6:$B$4005,B1851,$N$6:$N$4005,"N"),0),$P$6:$P$4005,0)),"(tanpa lawan)"))</f>
        <v/>
      </c>
      <c r="R1851" s="44"/>
      <c r="S1851" s="9" t="str">
        <f aca="false">IF(N1851&lt;&gt;"Y","",IF(R1851&lt;&gt;"",R1851,IF(Q1851="(tanpa lawan)","Transfer antar rekening",IFERROR(INDEX(I_COA!$F$6:$F$265,MATCH(Q1851,I_COA!$A$6:$A$265,0)),"?"))))</f>
        <v/>
      </c>
    </row>
    <row r="1852" customFormat="false" ht="15" hidden="false" customHeight="false" outlineLevel="0" collapsed="false">
      <c r="A1852" s="37"/>
      <c r="B1852" s="44"/>
      <c r="C1852" s="44"/>
      <c r="D1852" s="44"/>
      <c r="E1852" s="44"/>
      <c r="F1852" s="44"/>
      <c r="G1852" s="42"/>
      <c r="H1852" s="42"/>
      <c r="I1852" s="44"/>
      <c r="J1852" s="11" t="str">
        <f aca="false">IF(D1852="","",N(G1852)-N(H1852))</f>
        <v/>
      </c>
      <c r="K1852" s="34" t="str">
        <f aca="false">IF(D1852="","",IFERROR(INDEX(I_COA!$C$6:$C$265,MATCH(D1852,I_COA!$A$6:$A$265,0)),"AKUN BARU"))</f>
        <v/>
      </c>
      <c r="L1852" s="34" t="str">
        <f aca="false">IF(K1852="LabaRugi",INDEX(I_COA!$D$6:$D$265,MATCH(D1852,I_COA!$A$6:$A$265,0)),"")</f>
        <v/>
      </c>
      <c r="M1852" s="34" t="str">
        <f aca="false">IF(K1852="Neraca",INDEX(I_COA!$E$6:$E$265,MATCH(D1852,I_COA!$A$6:$A$265,0)),"")</f>
        <v/>
      </c>
      <c r="N1852" s="34" t="str">
        <f aca="false">IF(D1852="","",IFERROR(INDEX(I_COA!$G$6:$G$265,MATCH(D1852,I_COA!$A$6:$A$265,0)),"N"))</f>
        <v/>
      </c>
      <c r="O1852" s="11" t="str">
        <f aca="false">IF(N1852="N",ABS(J1852),"")</f>
        <v/>
      </c>
      <c r="P1852" s="18" t="str">
        <f aca="false">IF(N1852="N",B1852&amp;"|"&amp;ROUND(O1852,0),"")</f>
        <v/>
      </c>
      <c r="Q1852" s="18" t="str">
        <f aca="false">IF(N1852&lt;&gt;"Y","",IFERROR(INDEX($D$6:$D$4005,MATCH(B1852&amp;"|"&amp;ROUND(_xlfn.MAXIFS($O$6:$O$4005,$B$6:$B$4005,B1852,$N$6:$N$4005,"N"),0),$P$6:$P$4005,0)),"(tanpa lawan)"))</f>
        <v/>
      </c>
      <c r="R1852" s="44"/>
      <c r="S1852" s="9" t="str">
        <f aca="false">IF(N1852&lt;&gt;"Y","",IF(R1852&lt;&gt;"",R1852,IF(Q1852="(tanpa lawan)","Transfer antar rekening",IFERROR(INDEX(I_COA!$F$6:$F$265,MATCH(Q1852,I_COA!$A$6:$A$265,0)),"?"))))</f>
        <v/>
      </c>
    </row>
    <row r="1853" customFormat="false" ht="15" hidden="false" customHeight="false" outlineLevel="0" collapsed="false">
      <c r="A1853" s="37"/>
      <c r="B1853" s="44"/>
      <c r="C1853" s="44"/>
      <c r="D1853" s="44"/>
      <c r="E1853" s="44"/>
      <c r="F1853" s="44"/>
      <c r="G1853" s="42"/>
      <c r="H1853" s="42"/>
      <c r="I1853" s="44"/>
      <c r="J1853" s="11" t="str">
        <f aca="false">IF(D1853="","",N(G1853)-N(H1853))</f>
        <v/>
      </c>
      <c r="K1853" s="34" t="str">
        <f aca="false">IF(D1853="","",IFERROR(INDEX(I_COA!$C$6:$C$265,MATCH(D1853,I_COA!$A$6:$A$265,0)),"AKUN BARU"))</f>
        <v/>
      </c>
      <c r="L1853" s="34" t="str">
        <f aca="false">IF(K1853="LabaRugi",INDEX(I_COA!$D$6:$D$265,MATCH(D1853,I_COA!$A$6:$A$265,0)),"")</f>
        <v/>
      </c>
      <c r="M1853" s="34" t="str">
        <f aca="false">IF(K1853="Neraca",INDEX(I_COA!$E$6:$E$265,MATCH(D1853,I_COA!$A$6:$A$265,0)),"")</f>
        <v/>
      </c>
      <c r="N1853" s="34" t="str">
        <f aca="false">IF(D1853="","",IFERROR(INDEX(I_COA!$G$6:$G$265,MATCH(D1853,I_COA!$A$6:$A$265,0)),"N"))</f>
        <v/>
      </c>
      <c r="O1853" s="11" t="str">
        <f aca="false">IF(N1853="N",ABS(J1853),"")</f>
        <v/>
      </c>
      <c r="P1853" s="18" t="str">
        <f aca="false">IF(N1853="N",B1853&amp;"|"&amp;ROUND(O1853,0),"")</f>
        <v/>
      </c>
      <c r="Q1853" s="18" t="str">
        <f aca="false">IF(N1853&lt;&gt;"Y","",IFERROR(INDEX($D$6:$D$4005,MATCH(B1853&amp;"|"&amp;ROUND(_xlfn.MAXIFS($O$6:$O$4005,$B$6:$B$4005,B1853,$N$6:$N$4005,"N"),0),$P$6:$P$4005,0)),"(tanpa lawan)"))</f>
        <v/>
      </c>
      <c r="R1853" s="44"/>
      <c r="S1853" s="9" t="str">
        <f aca="false">IF(N1853&lt;&gt;"Y","",IF(R1853&lt;&gt;"",R1853,IF(Q1853="(tanpa lawan)","Transfer antar rekening",IFERROR(INDEX(I_COA!$F$6:$F$265,MATCH(Q1853,I_COA!$A$6:$A$265,0)),"?"))))</f>
        <v/>
      </c>
    </row>
    <row r="1854" customFormat="false" ht="15" hidden="false" customHeight="false" outlineLevel="0" collapsed="false">
      <c r="A1854" s="37"/>
      <c r="B1854" s="44"/>
      <c r="C1854" s="44"/>
      <c r="D1854" s="44"/>
      <c r="E1854" s="44"/>
      <c r="F1854" s="44"/>
      <c r="G1854" s="42"/>
      <c r="H1854" s="42"/>
      <c r="I1854" s="44"/>
      <c r="J1854" s="11" t="str">
        <f aca="false">IF(D1854="","",N(G1854)-N(H1854))</f>
        <v/>
      </c>
      <c r="K1854" s="34" t="str">
        <f aca="false">IF(D1854="","",IFERROR(INDEX(I_COA!$C$6:$C$265,MATCH(D1854,I_COA!$A$6:$A$265,0)),"AKUN BARU"))</f>
        <v/>
      </c>
      <c r="L1854" s="34" t="str">
        <f aca="false">IF(K1854="LabaRugi",INDEX(I_COA!$D$6:$D$265,MATCH(D1854,I_COA!$A$6:$A$265,0)),"")</f>
        <v/>
      </c>
      <c r="M1854" s="34" t="str">
        <f aca="false">IF(K1854="Neraca",INDEX(I_COA!$E$6:$E$265,MATCH(D1854,I_COA!$A$6:$A$265,0)),"")</f>
        <v/>
      </c>
      <c r="N1854" s="34" t="str">
        <f aca="false">IF(D1854="","",IFERROR(INDEX(I_COA!$G$6:$G$265,MATCH(D1854,I_COA!$A$6:$A$265,0)),"N"))</f>
        <v/>
      </c>
      <c r="O1854" s="11" t="str">
        <f aca="false">IF(N1854="N",ABS(J1854),"")</f>
        <v/>
      </c>
      <c r="P1854" s="18" t="str">
        <f aca="false">IF(N1854="N",B1854&amp;"|"&amp;ROUND(O1854,0),"")</f>
        <v/>
      </c>
      <c r="Q1854" s="18" t="str">
        <f aca="false">IF(N1854&lt;&gt;"Y","",IFERROR(INDEX($D$6:$D$4005,MATCH(B1854&amp;"|"&amp;ROUND(_xlfn.MAXIFS($O$6:$O$4005,$B$6:$B$4005,B1854,$N$6:$N$4005,"N"),0),$P$6:$P$4005,0)),"(tanpa lawan)"))</f>
        <v/>
      </c>
      <c r="R1854" s="44"/>
      <c r="S1854" s="9" t="str">
        <f aca="false">IF(N1854&lt;&gt;"Y","",IF(R1854&lt;&gt;"",R1854,IF(Q1854="(tanpa lawan)","Transfer antar rekening",IFERROR(INDEX(I_COA!$F$6:$F$265,MATCH(Q1854,I_COA!$A$6:$A$265,0)),"?"))))</f>
        <v/>
      </c>
    </row>
    <row r="1855" customFormat="false" ht="15" hidden="false" customHeight="false" outlineLevel="0" collapsed="false">
      <c r="A1855" s="37"/>
      <c r="B1855" s="44"/>
      <c r="C1855" s="44"/>
      <c r="D1855" s="44"/>
      <c r="E1855" s="44"/>
      <c r="F1855" s="44"/>
      <c r="G1855" s="42"/>
      <c r="H1855" s="42"/>
      <c r="I1855" s="44"/>
      <c r="J1855" s="11" t="str">
        <f aca="false">IF(D1855="","",N(G1855)-N(H1855))</f>
        <v/>
      </c>
      <c r="K1855" s="34" t="str">
        <f aca="false">IF(D1855="","",IFERROR(INDEX(I_COA!$C$6:$C$265,MATCH(D1855,I_COA!$A$6:$A$265,0)),"AKUN BARU"))</f>
        <v/>
      </c>
      <c r="L1855" s="34" t="str">
        <f aca="false">IF(K1855="LabaRugi",INDEX(I_COA!$D$6:$D$265,MATCH(D1855,I_COA!$A$6:$A$265,0)),"")</f>
        <v/>
      </c>
      <c r="M1855" s="34" t="str">
        <f aca="false">IF(K1855="Neraca",INDEX(I_COA!$E$6:$E$265,MATCH(D1855,I_COA!$A$6:$A$265,0)),"")</f>
        <v/>
      </c>
      <c r="N1855" s="34" t="str">
        <f aca="false">IF(D1855="","",IFERROR(INDEX(I_COA!$G$6:$G$265,MATCH(D1855,I_COA!$A$6:$A$265,0)),"N"))</f>
        <v/>
      </c>
      <c r="O1855" s="11" t="str">
        <f aca="false">IF(N1855="N",ABS(J1855),"")</f>
        <v/>
      </c>
      <c r="P1855" s="18" t="str">
        <f aca="false">IF(N1855="N",B1855&amp;"|"&amp;ROUND(O1855,0),"")</f>
        <v/>
      </c>
      <c r="Q1855" s="18" t="str">
        <f aca="false">IF(N1855&lt;&gt;"Y","",IFERROR(INDEX($D$6:$D$4005,MATCH(B1855&amp;"|"&amp;ROUND(_xlfn.MAXIFS($O$6:$O$4005,$B$6:$B$4005,B1855,$N$6:$N$4005,"N"),0),$P$6:$P$4005,0)),"(tanpa lawan)"))</f>
        <v/>
      </c>
      <c r="R1855" s="44"/>
      <c r="S1855" s="9" t="str">
        <f aca="false">IF(N1855&lt;&gt;"Y","",IF(R1855&lt;&gt;"",R1855,IF(Q1855="(tanpa lawan)","Transfer antar rekening",IFERROR(INDEX(I_COA!$F$6:$F$265,MATCH(Q1855,I_COA!$A$6:$A$265,0)),"?"))))</f>
        <v/>
      </c>
    </row>
    <row r="1856" customFormat="false" ht="15" hidden="false" customHeight="false" outlineLevel="0" collapsed="false">
      <c r="A1856" s="37"/>
      <c r="B1856" s="44"/>
      <c r="C1856" s="44"/>
      <c r="D1856" s="44"/>
      <c r="E1856" s="44"/>
      <c r="F1856" s="44"/>
      <c r="G1856" s="42"/>
      <c r="H1856" s="42"/>
      <c r="I1856" s="44"/>
      <c r="J1856" s="11" t="str">
        <f aca="false">IF(D1856="","",N(G1856)-N(H1856))</f>
        <v/>
      </c>
      <c r="K1856" s="34" t="str">
        <f aca="false">IF(D1856="","",IFERROR(INDEX(I_COA!$C$6:$C$265,MATCH(D1856,I_COA!$A$6:$A$265,0)),"AKUN BARU"))</f>
        <v/>
      </c>
      <c r="L1856" s="34" t="str">
        <f aca="false">IF(K1856="LabaRugi",INDEX(I_COA!$D$6:$D$265,MATCH(D1856,I_COA!$A$6:$A$265,0)),"")</f>
        <v/>
      </c>
      <c r="M1856" s="34" t="str">
        <f aca="false">IF(K1856="Neraca",INDEX(I_COA!$E$6:$E$265,MATCH(D1856,I_COA!$A$6:$A$265,0)),"")</f>
        <v/>
      </c>
      <c r="N1856" s="34" t="str">
        <f aca="false">IF(D1856="","",IFERROR(INDEX(I_COA!$G$6:$G$265,MATCH(D1856,I_COA!$A$6:$A$265,0)),"N"))</f>
        <v/>
      </c>
      <c r="O1856" s="11" t="str">
        <f aca="false">IF(N1856="N",ABS(J1856),"")</f>
        <v/>
      </c>
      <c r="P1856" s="18" t="str">
        <f aca="false">IF(N1856="N",B1856&amp;"|"&amp;ROUND(O1856,0),"")</f>
        <v/>
      </c>
      <c r="Q1856" s="18" t="str">
        <f aca="false">IF(N1856&lt;&gt;"Y","",IFERROR(INDEX($D$6:$D$4005,MATCH(B1856&amp;"|"&amp;ROUND(_xlfn.MAXIFS($O$6:$O$4005,$B$6:$B$4005,B1856,$N$6:$N$4005,"N"),0),$P$6:$P$4005,0)),"(tanpa lawan)"))</f>
        <v/>
      </c>
      <c r="R1856" s="44"/>
      <c r="S1856" s="9" t="str">
        <f aca="false">IF(N1856&lt;&gt;"Y","",IF(R1856&lt;&gt;"",R1856,IF(Q1856="(tanpa lawan)","Transfer antar rekening",IFERROR(INDEX(I_COA!$F$6:$F$265,MATCH(Q1856,I_COA!$A$6:$A$265,0)),"?"))))</f>
        <v/>
      </c>
    </row>
    <row r="1857" customFormat="false" ht="15" hidden="false" customHeight="false" outlineLevel="0" collapsed="false">
      <c r="A1857" s="37"/>
      <c r="B1857" s="44"/>
      <c r="C1857" s="44"/>
      <c r="D1857" s="44"/>
      <c r="E1857" s="44"/>
      <c r="F1857" s="44"/>
      <c r="G1857" s="42"/>
      <c r="H1857" s="42"/>
      <c r="I1857" s="44"/>
      <c r="J1857" s="11" t="str">
        <f aca="false">IF(D1857="","",N(G1857)-N(H1857))</f>
        <v/>
      </c>
      <c r="K1857" s="34" t="str">
        <f aca="false">IF(D1857="","",IFERROR(INDEX(I_COA!$C$6:$C$265,MATCH(D1857,I_COA!$A$6:$A$265,0)),"AKUN BARU"))</f>
        <v/>
      </c>
      <c r="L1857" s="34" t="str">
        <f aca="false">IF(K1857="LabaRugi",INDEX(I_COA!$D$6:$D$265,MATCH(D1857,I_COA!$A$6:$A$265,0)),"")</f>
        <v/>
      </c>
      <c r="M1857" s="34" t="str">
        <f aca="false">IF(K1857="Neraca",INDEX(I_COA!$E$6:$E$265,MATCH(D1857,I_COA!$A$6:$A$265,0)),"")</f>
        <v/>
      </c>
      <c r="N1857" s="34" t="str">
        <f aca="false">IF(D1857="","",IFERROR(INDEX(I_COA!$G$6:$G$265,MATCH(D1857,I_COA!$A$6:$A$265,0)),"N"))</f>
        <v/>
      </c>
      <c r="O1857" s="11" t="str">
        <f aca="false">IF(N1857="N",ABS(J1857),"")</f>
        <v/>
      </c>
      <c r="P1857" s="18" t="str">
        <f aca="false">IF(N1857="N",B1857&amp;"|"&amp;ROUND(O1857,0),"")</f>
        <v/>
      </c>
      <c r="Q1857" s="18" t="str">
        <f aca="false">IF(N1857&lt;&gt;"Y","",IFERROR(INDEX($D$6:$D$4005,MATCH(B1857&amp;"|"&amp;ROUND(_xlfn.MAXIFS($O$6:$O$4005,$B$6:$B$4005,B1857,$N$6:$N$4005,"N"),0),$P$6:$P$4005,0)),"(tanpa lawan)"))</f>
        <v/>
      </c>
      <c r="R1857" s="44"/>
      <c r="S1857" s="9" t="str">
        <f aca="false">IF(N1857&lt;&gt;"Y","",IF(R1857&lt;&gt;"",R1857,IF(Q1857="(tanpa lawan)","Transfer antar rekening",IFERROR(INDEX(I_COA!$F$6:$F$265,MATCH(Q1857,I_COA!$A$6:$A$265,0)),"?"))))</f>
        <v/>
      </c>
    </row>
    <row r="1858" customFormat="false" ht="15" hidden="false" customHeight="false" outlineLevel="0" collapsed="false">
      <c r="A1858" s="37"/>
      <c r="B1858" s="44"/>
      <c r="C1858" s="44"/>
      <c r="D1858" s="44"/>
      <c r="E1858" s="44"/>
      <c r="F1858" s="44"/>
      <c r="G1858" s="42"/>
      <c r="H1858" s="42"/>
      <c r="I1858" s="44"/>
      <c r="J1858" s="11" t="str">
        <f aca="false">IF(D1858="","",N(G1858)-N(H1858))</f>
        <v/>
      </c>
      <c r="K1858" s="34" t="str">
        <f aca="false">IF(D1858="","",IFERROR(INDEX(I_COA!$C$6:$C$265,MATCH(D1858,I_COA!$A$6:$A$265,0)),"AKUN BARU"))</f>
        <v/>
      </c>
      <c r="L1858" s="34" t="str">
        <f aca="false">IF(K1858="LabaRugi",INDEX(I_COA!$D$6:$D$265,MATCH(D1858,I_COA!$A$6:$A$265,0)),"")</f>
        <v/>
      </c>
      <c r="M1858" s="34" t="str">
        <f aca="false">IF(K1858="Neraca",INDEX(I_COA!$E$6:$E$265,MATCH(D1858,I_COA!$A$6:$A$265,0)),"")</f>
        <v/>
      </c>
      <c r="N1858" s="34" t="str">
        <f aca="false">IF(D1858="","",IFERROR(INDEX(I_COA!$G$6:$G$265,MATCH(D1858,I_COA!$A$6:$A$265,0)),"N"))</f>
        <v/>
      </c>
      <c r="O1858" s="11" t="str">
        <f aca="false">IF(N1858="N",ABS(J1858),"")</f>
        <v/>
      </c>
      <c r="P1858" s="18" t="str">
        <f aca="false">IF(N1858="N",B1858&amp;"|"&amp;ROUND(O1858,0),"")</f>
        <v/>
      </c>
      <c r="Q1858" s="18" t="str">
        <f aca="false">IF(N1858&lt;&gt;"Y","",IFERROR(INDEX($D$6:$D$4005,MATCH(B1858&amp;"|"&amp;ROUND(_xlfn.MAXIFS($O$6:$O$4005,$B$6:$B$4005,B1858,$N$6:$N$4005,"N"),0),$P$6:$P$4005,0)),"(tanpa lawan)"))</f>
        <v/>
      </c>
      <c r="R1858" s="44"/>
      <c r="S1858" s="9" t="str">
        <f aca="false">IF(N1858&lt;&gt;"Y","",IF(R1858&lt;&gt;"",R1858,IF(Q1858="(tanpa lawan)","Transfer antar rekening",IFERROR(INDEX(I_COA!$F$6:$F$265,MATCH(Q1858,I_COA!$A$6:$A$265,0)),"?"))))</f>
        <v/>
      </c>
    </row>
    <row r="1859" customFormat="false" ht="15" hidden="false" customHeight="false" outlineLevel="0" collapsed="false">
      <c r="A1859" s="37"/>
      <c r="B1859" s="44"/>
      <c r="C1859" s="44"/>
      <c r="D1859" s="44"/>
      <c r="E1859" s="44"/>
      <c r="F1859" s="44"/>
      <c r="G1859" s="42"/>
      <c r="H1859" s="42"/>
      <c r="I1859" s="44"/>
      <c r="J1859" s="11" t="str">
        <f aca="false">IF(D1859="","",N(G1859)-N(H1859))</f>
        <v/>
      </c>
      <c r="K1859" s="34" t="str">
        <f aca="false">IF(D1859="","",IFERROR(INDEX(I_COA!$C$6:$C$265,MATCH(D1859,I_COA!$A$6:$A$265,0)),"AKUN BARU"))</f>
        <v/>
      </c>
      <c r="L1859" s="34" t="str">
        <f aca="false">IF(K1859="LabaRugi",INDEX(I_COA!$D$6:$D$265,MATCH(D1859,I_COA!$A$6:$A$265,0)),"")</f>
        <v/>
      </c>
      <c r="M1859" s="34" t="str">
        <f aca="false">IF(K1859="Neraca",INDEX(I_COA!$E$6:$E$265,MATCH(D1859,I_COA!$A$6:$A$265,0)),"")</f>
        <v/>
      </c>
      <c r="N1859" s="34" t="str">
        <f aca="false">IF(D1859="","",IFERROR(INDEX(I_COA!$G$6:$G$265,MATCH(D1859,I_COA!$A$6:$A$265,0)),"N"))</f>
        <v/>
      </c>
      <c r="O1859" s="11" t="str">
        <f aca="false">IF(N1859="N",ABS(J1859),"")</f>
        <v/>
      </c>
      <c r="P1859" s="18" t="str">
        <f aca="false">IF(N1859="N",B1859&amp;"|"&amp;ROUND(O1859,0),"")</f>
        <v/>
      </c>
      <c r="Q1859" s="18" t="str">
        <f aca="false">IF(N1859&lt;&gt;"Y","",IFERROR(INDEX($D$6:$D$4005,MATCH(B1859&amp;"|"&amp;ROUND(_xlfn.MAXIFS($O$6:$O$4005,$B$6:$B$4005,B1859,$N$6:$N$4005,"N"),0),$P$6:$P$4005,0)),"(tanpa lawan)"))</f>
        <v/>
      </c>
      <c r="R1859" s="44"/>
      <c r="S1859" s="9" t="str">
        <f aca="false">IF(N1859&lt;&gt;"Y","",IF(R1859&lt;&gt;"",R1859,IF(Q1859="(tanpa lawan)","Transfer antar rekening",IFERROR(INDEX(I_COA!$F$6:$F$265,MATCH(Q1859,I_COA!$A$6:$A$265,0)),"?"))))</f>
        <v/>
      </c>
    </row>
    <row r="1860" customFormat="false" ht="15" hidden="false" customHeight="false" outlineLevel="0" collapsed="false">
      <c r="A1860" s="37"/>
      <c r="B1860" s="44"/>
      <c r="C1860" s="44"/>
      <c r="D1860" s="44"/>
      <c r="E1860" s="44"/>
      <c r="F1860" s="44"/>
      <c r="G1860" s="42"/>
      <c r="H1860" s="42"/>
      <c r="I1860" s="44"/>
      <c r="J1860" s="11" t="str">
        <f aca="false">IF(D1860="","",N(G1860)-N(H1860))</f>
        <v/>
      </c>
      <c r="K1860" s="34" t="str">
        <f aca="false">IF(D1860="","",IFERROR(INDEX(I_COA!$C$6:$C$265,MATCH(D1860,I_COA!$A$6:$A$265,0)),"AKUN BARU"))</f>
        <v/>
      </c>
      <c r="L1860" s="34" t="str">
        <f aca="false">IF(K1860="LabaRugi",INDEX(I_COA!$D$6:$D$265,MATCH(D1860,I_COA!$A$6:$A$265,0)),"")</f>
        <v/>
      </c>
      <c r="M1860" s="34" t="str">
        <f aca="false">IF(K1860="Neraca",INDEX(I_COA!$E$6:$E$265,MATCH(D1860,I_COA!$A$6:$A$265,0)),"")</f>
        <v/>
      </c>
      <c r="N1860" s="34" t="str">
        <f aca="false">IF(D1860="","",IFERROR(INDEX(I_COA!$G$6:$G$265,MATCH(D1860,I_COA!$A$6:$A$265,0)),"N"))</f>
        <v/>
      </c>
      <c r="O1860" s="11" t="str">
        <f aca="false">IF(N1860="N",ABS(J1860),"")</f>
        <v/>
      </c>
      <c r="P1860" s="18" t="str">
        <f aca="false">IF(N1860="N",B1860&amp;"|"&amp;ROUND(O1860,0),"")</f>
        <v/>
      </c>
      <c r="Q1860" s="18" t="str">
        <f aca="false">IF(N1860&lt;&gt;"Y","",IFERROR(INDEX($D$6:$D$4005,MATCH(B1860&amp;"|"&amp;ROUND(_xlfn.MAXIFS($O$6:$O$4005,$B$6:$B$4005,B1860,$N$6:$N$4005,"N"),0),$P$6:$P$4005,0)),"(tanpa lawan)"))</f>
        <v/>
      </c>
      <c r="R1860" s="44"/>
      <c r="S1860" s="9" t="str">
        <f aca="false">IF(N1860&lt;&gt;"Y","",IF(R1860&lt;&gt;"",R1860,IF(Q1860="(tanpa lawan)","Transfer antar rekening",IFERROR(INDEX(I_COA!$F$6:$F$265,MATCH(Q1860,I_COA!$A$6:$A$265,0)),"?"))))</f>
        <v/>
      </c>
    </row>
    <row r="1861" customFormat="false" ht="15" hidden="false" customHeight="false" outlineLevel="0" collapsed="false">
      <c r="A1861" s="37"/>
      <c r="B1861" s="44"/>
      <c r="C1861" s="44"/>
      <c r="D1861" s="44"/>
      <c r="E1861" s="44"/>
      <c r="F1861" s="44"/>
      <c r="G1861" s="42"/>
      <c r="H1861" s="42"/>
      <c r="I1861" s="44"/>
      <c r="J1861" s="11" t="str">
        <f aca="false">IF(D1861="","",N(G1861)-N(H1861))</f>
        <v/>
      </c>
      <c r="K1861" s="34" t="str">
        <f aca="false">IF(D1861="","",IFERROR(INDEX(I_COA!$C$6:$C$265,MATCH(D1861,I_COA!$A$6:$A$265,0)),"AKUN BARU"))</f>
        <v/>
      </c>
      <c r="L1861" s="34" t="str">
        <f aca="false">IF(K1861="LabaRugi",INDEX(I_COA!$D$6:$D$265,MATCH(D1861,I_COA!$A$6:$A$265,0)),"")</f>
        <v/>
      </c>
      <c r="M1861" s="34" t="str">
        <f aca="false">IF(K1861="Neraca",INDEX(I_COA!$E$6:$E$265,MATCH(D1861,I_COA!$A$6:$A$265,0)),"")</f>
        <v/>
      </c>
      <c r="N1861" s="34" t="str">
        <f aca="false">IF(D1861="","",IFERROR(INDEX(I_COA!$G$6:$G$265,MATCH(D1861,I_COA!$A$6:$A$265,0)),"N"))</f>
        <v/>
      </c>
      <c r="O1861" s="11" t="str">
        <f aca="false">IF(N1861="N",ABS(J1861),"")</f>
        <v/>
      </c>
      <c r="P1861" s="18" t="str">
        <f aca="false">IF(N1861="N",B1861&amp;"|"&amp;ROUND(O1861,0),"")</f>
        <v/>
      </c>
      <c r="Q1861" s="18" t="str">
        <f aca="false">IF(N1861&lt;&gt;"Y","",IFERROR(INDEX($D$6:$D$4005,MATCH(B1861&amp;"|"&amp;ROUND(_xlfn.MAXIFS($O$6:$O$4005,$B$6:$B$4005,B1861,$N$6:$N$4005,"N"),0),$P$6:$P$4005,0)),"(tanpa lawan)"))</f>
        <v/>
      </c>
      <c r="R1861" s="44"/>
      <c r="S1861" s="9" t="str">
        <f aca="false">IF(N1861&lt;&gt;"Y","",IF(R1861&lt;&gt;"",R1861,IF(Q1861="(tanpa lawan)","Transfer antar rekening",IFERROR(INDEX(I_COA!$F$6:$F$265,MATCH(Q1861,I_COA!$A$6:$A$265,0)),"?"))))</f>
        <v/>
      </c>
    </row>
    <row r="1862" customFormat="false" ht="15" hidden="false" customHeight="false" outlineLevel="0" collapsed="false">
      <c r="A1862" s="37"/>
      <c r="B1862" s="44"/>
      <c r="C1862" s="44"/>
      <c r="D1862" s="44"/>
      <c r="E1862" s="44"/>
      <c r="F1862" s="44"/>
      <c r="G1862" s="42"/>
      <c r="H1862" s="42"/>
      <c r="I1862" s="44"/>
      <c r="J1862" s="11" t="str">
        <f aca="false">IF(D1862="","",N(G1862)-N(H1862))</f>
        <v/>
      </c>
      <c r="K1862" s="34" t="str">
        <f aca="false">IF(D1862="","",IFERROR(INDEX(I_COA!$C$6:$C$265,MATCH(D1862,I_COA!$A$6:$A$265,0)),"AKUN BARU"))</f>
        <v/>
      </c>
      <c r="L1862" s="34" t="str">
        <f aca="false">IF(K1862="LabaRugi",INDEX(I_COA!$D$6:$D$265,MATCH(D1862,I_COA!$A$6:$A$265,0)),"")</f>
        <v/>
      </c>
      <c r="M1862" s="34" t="str">
        <f aca="false">IF(K1862="Neraca",INDEX(I_COA!$E$6:$E$265,MATCH(D1862,I_COA!$A$6:$A$265,0)),"")</f>
        <v/>
      </c>
      <c r="N1862" s="34" t="str">
        <f aca="false">IF(D1862="","",IFERROR(INDEX(I_COA!$G$6:$G$265,MATCH(D1862,I_COA!$A$6:$A$265,0)),"N"))</f>
        <v/>
      </c>
      <c r="O1862" s="11" t="str">
        <f aca="false">IF(N1862="N",ABS(J1862),"")</f>
        <v/>
      </c>
      <c r="P1862" s="18" t="str">
        <f aca="false">IF(N1862="N",B1862&amp;"|"&amp;ROUND(O1862,0),"")</f>
        <v/>
      </c>
      <c r="Q1862" s="18" t="str">
        <f aca="false">IF(N1862&lt;&gt;"Y","",IFERROR(INDEX($D$6:$D$4005,MATCH(B1862&amp;"|"&amp;ROUND(_xlfn.MAXIFS($O$6:$O$4005,$B$6:$B$4005,B1862,$N$6:$N$4005,"N"),0),$P$6:$P$4005,0)),"(tanpa lawan)"))</f>
        <v/>
      </c>
      <c r="R1862" s="44"/>
      <c r="S1862" s="9" t="str">
        <f aca="false">IF(N1862&lt;&gt;"Y","",IF(R1862&lt;&gt;"",R1862,IF(Q1862="(tanpa lawan)","Transfer antar rekening",IFERROR(INDEX(I_COA!$F$6:$F$265,MATCH(Q1862,I_COA!$A$6:$A$265,0)),"?"))))</f>
        <v/>
      </c>
    </row>
    <row r="1863" customFormat="false" ht="15" hidden="false" customHeight="false" outlineLevel="0" collapsed="false">
      <c r="A1863" s="37"/>
      <c r="B1863" s="44"/>
      <c r="C1863" s="44"/>
      <c r="D1863" s="44"/>
      <c r="E1863" s="44"/>
      <c r="F1863" s="44"/>
      <c r="G1863" s="42"/>
      <c r="H1863" s="42"/>
      <c r="I1863" s="44"/>
      <c r="J1863" s="11" t="str">
        <f aca="false">IF(D1863="","",N(G1863)-N(H1863))</f>
        <v/>
      </c>
      <c r="K1863" s="34" t="str">
        <f aca="false">IF(D1863="","",IFERROR(INDEX(I_COA!$C$6:$C$265,MATCH(D1863,I_COA!$A$6:$A$265,0)),"AKUN BARU"))</f>
        <v/>
      </c>
      <c r="L1863" s="34" t="str">
        <f aca="false">IF(K1863="LabaRugi",INDEX(I_COA!$D$6:$D$265,MATCH(D1863,I_COA!$A$6:$A$265,0)),"")</f>
        <v/>
      </c>
      <c r="M1863" s="34" t="str">
        <f aca="false">IF(K1863="Neraca",INDEX(I_COA!$E$6:$E$265,MATCH(D1863,I_COA!$A$6:$A$265,0)),"")</f>
        <v/>
      </c>
      <c r="N1863" s="34" t="str">
        <f aca="false">IF(D1863="","",IFERROR(INDEX(I_COA!$G$6:$G$265,MATCH(D1863,I_COA!$A$6:$A$265,0)),"N"))</f>
        <v/>
      </c>
      <c r="O1863" s="11" t="str">
        <f aca="false">IF(N1863="N",ABS(J1863),"")</f>
        <v/>
      </c>
      <c r="P1863" s="18" t="str">
        <f aca="false">IF(N1863="N",B1863&amp;"|"&amp;ROUND(O1863,0),"")</f>
        <v/>
      </c>
      <c r="Q1863" s="18" t="str">
        <f aca="false">IF(N1863&lt;&gt;"Y","",IFERROR(INDEX($D$6:$D$4005,MATCH(B1863&amp;"|"&amp;ROUND(_xlfn.MAXIFS($O$6:$O$4005,$B$6:$B$4005,B1863,$N$6:$N$4005,"N"),0),$P$6:$P$4005,0)),"(tanpa lawan)"))</f>
        <v/>
      </c>
      <c r="R1863" s="44"/>
      <c r="S1863" s="9" t="str">
        <f aca="false">IF(N1863&lt;&gt;"Y","",IF(R1863&lt;&gt;"",R1863,IF(Q1863="(tanpa lawan)","Transfer antar rekening",IFERROR(INDEX(I_COA!$F$6:$F$265,MATCH(Q1863,I_COA!$A$6:$A$265,0)),"?"))))</f>
        <v/>
      </c>
    </row>
    <row r="1864" customFormat="false" ht="15" hidden="false" customHeight="false" outlineLevel="0" collapsed="false">
      <c r="A1864" s="37"/>
      <c r="B1864" s="44"/>
      <c r="C1864" s="44"/>
      <c r="D1864" s="44"/>
      <c r="E1864" s="44"/>
      <c r="F1864" s="44"/>
      <c r="G1864" s="42"/>
      <c r="H1864" s="42"/>
      <c r="I1864" s="44"/>
      <c r="J1864" s="11" t="str">
        <f aca="false">IF(D1864="","",N(G1864)-N(H1864))</f>
        <v/>
      </c>
      <c r="K1864" s="34" t="str">
        <f aca="false">IF(D1864="","",IFERROR(INDEX(I_COA!$C$6:$C$265,MATCH(D1864,I_COA!$A$6:$A$265,0)),"AKUN BARU"))</f>
        <v/>
      </c>
      <c r="L1864" s="34" t="str">
        <f aca="false">IF(K1864="LabaRugi",INDEX(I_COA!$D$6:$D$265,MATCH(D1864,I_COA!$A$6:$A$265,0)),"")</f>
        <v/>
      </c>
      <c r="M1864" s="34" t="str">
        <f aca="false">IF(K1864="Neraca",INDEX(I_COA!$E$6:$E$265,MATCH(D1864,I_COA!$A$6:$A$265,0)),"")</f>
        <v/>
      </c>
      <c r="N1864" s="34" t="str">
        <f aca="false">IF(D1864="","",IFERROR(INDEX(I_COA!$G$6:$G$265,MATCH(D1864,I_COA!$A$6:$A$265,0)),"N"))</f>
        <v/>
      </c>
      <c r="O1864" s="11" t="str">
        <f aca="false">IF(N1864="N",ABS(J1864),"")</f>
        <v/>
      </c>
      <c r="P1864" s="18" t="str">
        <f aca="false">IF(N1864="N",B1864&amp;"|"&amp;ROUND(O1864,0),"")</f>
        <v/>
      </c>
      <c r="Q1864" s="18" t="str">
        <f aca="false">IF(N1864&lt;&gt;"Y","",IFERROR(INDEX($D$6:$D$4005,MATCH(B1864&amp;"|"&amp;ROUND(_xlfn.MAXIFS($O$6:$O$4005,$B$6:$B$4005,B1864,$N$6:$N$4005,"N"),0),$P$6:$P$4005,0)),"(tanpa lawan)"))</f>
        <v/>
      </c>
      <c r="R1864" s="44"/>
      <c r="S1864" s="9" t="str">
        <f aca="false">IF(N1864&lt;&gt;"Y","",IF(R1864&lt;&gt;"",R1864,IF(Q1864="(tanpa lawan)","Transfer antar rekening",IFERROR(INDEX(I_COA!$F$6:$F$265,MATCH(Q1864,I_COA!$A$6:$A$265,0)),"?"))))</f>
        <v/>
      </c>
    </row>
    <row r="1865" customFormat="false" ht="15" hidden="false" customHeight="false" outlineLevel="0" collapsed="false">
      <c r="A1865" s="37"/>
      <c r="B1865" s="44"/>
      <c r="C1865" s="44"/>
      <c r="D1865" s="44"/>
      <c r="E1865" s="44"/>
      <c r="F1865" s="44"/>
      <c r="G1865" s="42"/>
      <c r="H1865" s="42"/>
      <c r="I1865" s="44"/>
      <c r="J1865" s="11" t="str">
        <f aca="false">IF(D1865="","",N(G1865)-N(H1865))</f>
        <v/>
      </c>
      <c r="K1865" s="34" t="str">
        <f aca="false">IF(D1865="","",IFERROR(INDEX(I_COA!$C$6:$C$265,MATCH(D1865,I_COA!$A$6:$A$265,0)),"AKUN BARU"))</f>
        <v/>
      </c>
      <c r="L1865" s="34" t="str">
        <f aca="false">IF(K1865="LabaRugi",INDEX(I_COA!$D$6:$D$265,MATCH(D1865,I_COA!$A$6:$A$265,0)),"")</f>
        <v/>
      </c>
      <c r="M1865" s="34" t="str">
        <f aca="false">IF(K1865="Neraca",INDEX(I_COA!$E$6:$E$265,MATCH(D1865,I_COA!$A$6:$A$265,0)),"")</f>
        <v/>
      </c>
      <c r="N1865" s="34" t="str">
        <f aca="false">IF(D1865="","",IFERROR(INDEX(I_COA!$G$6:$G$265,MATCH(D1865,I_COA!$A$6:$A$265,0)),"N"))</f>
        <v/>
      </c>
      <c r="O1865" s="11" t="str">
        <f aca="false">IF(N1865="N",ABS(J1865),"")</f>
        <v/>
      </c>
      <c r="P1865" s="18" t="str">
        <f aca="false">IF(N1865="N",B1865&amp;"|"&amp;ROUND(O1865,0),"")</f>
        <v/>
      </c>
      <c r="Q1865" s="18" t="str">
        <f aca="false">IF(N1865&lt;&gt;"Y","",IFERROR(INDEX($D$6:$D$4005,MATCH(B1865&amp;"|"&amp;ROUND(_xlfn.MAXIFS($O$6:$O$4005,$B$6:$B$4005,B1865,$N$6:$N$4005,"N"),0),$P$6:$P$4005,0)),"(tanpa lawan)"))</f>
        <v/>
      </c>
      <c r="R1865" s="44"/>
      <c r="S1865" s="9" t="str">
        <f aca="false">IF(N1865&lt;&gt;"Y","",IF(R1865&lt;&gt;"",R1865,IF(Q1865="(tanpa lawan)","Transfer antar rekening",IFERROR(INDEX(I_COA!$F$6:$F$265,MATCH(Q1865,I_COA!$A$6:$A$265,0)),"?"))))</f>
        <v/>
      </c>
    </row>
    <row r="1866" customFormat="false" ht="15" hidden="false" customHeight="false" outlineLevel="0" collapsed="false">
      <c r="A1866" s="37"/>
      <c r="B1866" s="44"/>
      <c r="C1866" s="44"/>
      <c r="D1866" s="44"/>
      <c r="E1866" s="44"/>
      <c r="F1866" s="44"/>
      <c r="G1866" s="42"/>
      <c r="H1866" s="42"/>
      <c r="I1866" s="44"/>
      <c r="J1866" s="11" t="str">
        <f aca="false">IF(D1866="","",N(G1866)-N(H1866))</f>
        <v/>
      </c>
      <c r="K1866" s="34" t="str">
        <f aca="false">IF(D1866="","",IFERROR(INDEX(I_COA!$C$6:$C$265,MATCH(D1866,I_COA!$A$6:$A$265,0)),"AKUN BARU"))</f>
        <v/>
      </c>
      <c r="L1866" s="34" t="str">
        <f aca="false">IF(K1866="LabaRugi",INDEX(I_COA!$D$6:$D$265,MATCH(D1866,I_COA!$A$6:$A$265,0)),"")</f>
        <v/>
      </c>
      <c r="M1866" s="34" t="str">
        <f aca="false">IF(K1866="Neraca",INDEX(I_COA!$E$6:$E$265,MATCH(D1866,I_COA!$A$6:$A$265,0)),"")</f>
        <v/>
      </c>
      <c r="N1866" s="34" t="str">
        <f aca="false">IF(D1866="","",IFERROR(INDEX(I_COA!$G$6:$G$265,MATCH(D1866,I_COA!$A$6:$A$265,0)),"N"))</f>
        <v/>
      </c>
      <c r="O1866" s="11" t="str">
        <f aca="false">IF(N1866="N",ABS(J1866),"")</f>
        <v/>
      </c>
      <c r="P1866" s="18" t="str">
        <f aca="false">IF(N1866="N",B1866&amp;"|"&amp;ROUND(O1866,0),"")</f>
        <v/>
      </c>
      <c r="Q1866" s="18" t="str">
        <f aca="false">IF(N1866&lt;&gt;"Y","",IFERROR(INDEX($D$6:$D$4005,MATCH(B1866&amp;"|"&amp;ROUND(_xlfn.MAXIFS($O$6:$O$4005,$B$6:$B$4005,B1866,$N$6:$N$4005,"N"),0),$P$6:$P$4005,0)),"(tanpa lawan)"))</f>
        <v/>
      </c>
      <c r="R1866" s="44"/>
      <c r="S1866" s="9" t="str">
        <f aca="false">IF(N1866&lt;&gt;"Y","",IF(R1866&lt;&gt;"",R1866,IF(Q1866="(tanpa lawan)","Transfer antar rekening",IFERROR(INDEX(I_COA!$F$6:$F$265,MATCH(Q1866,I_COA!$A$6:$A$265,0)),"?"))))</f>
        <v/>
      </c>
    </row>
    <row r="1867" customFormat="false" ht="15" hidden="false" customHeight="false" outlineLevel="0" collapsed="false">
      <c r="A1867" s="37"/>
      <c r="B1867" s="44"/>
      <c r="C1867" s="44"/>
      <c r="D1867" s="44"/>
      <c r="E1867" s="44"/>
      <c r="F1867" s="44"/>
      <c r="G1867" s="42"/>
      <c r="H1867" s="42"/>
      <c r="I1867" s="44"/>
      <c r="J1867" s="11" t="str">
        <f aca="false">IF(D1867="","",N(G1867)-N(H1867))</f>
        <v/>
      </c>
      <c r="K1867" s="34" t="str">
        <f aca="false">IF(D1867="","",IFERROR(INDEX(I_COA!$C$6:$C$265,MATCH(D1867,I_COA!$A$6:$A$265,0)),"AKUN BARU"))</f>
        <v/>
      </c>
      <c r="L1867" s="34" t="str">
        <f aca="false">IF(K1867="LabaRugi",INDEX(I_COA!$D$6:$D$265,MATCH(D1867,I_COA!$A$6:$A$265,0)),"")</f>
        <v/>
      </c>
      <c r="M1867" s="34" t="str">
        <f aca="false">IF(K1867="Neraca",INDEX(I_COA!$E$6:$E$265,MATCH(D1867,I_COA!$A$6:$A$265,0)),"")</f>
        <v/>
      </c>
      <c r="N1867" s="34" t="str">
        <f aca="false">IF(D1867="","",IFERROR(INDEX(I_COA!$G$6:$G$265,MATCH(D1867,I_COA!$A$6:$A$265,0)),"N"))</f>
        <v/>
      </c>
      <c r="O1867" s="11" t="str">
        <f aca="false">IF(N1867="N",ABS(J1867),"")</f>
        <v/>
      </c>
      <c r="P1867" s="18" t="str">
        <f aca="false">IF(N1867="N",B1867&amp;"|"&amp;ROUND(O1867,0),"")</f>
        <v/>
      </c>
      <c r="Q1867" s="18" t="str">
        <f aca="false">IF(N1867&lt;&gt;"Y","",IFERROR(INDEX($D$6:$D$4005,MATCH(B1867&amp;"|"&amp;ROUND(_xlfn.MAXIFS($O$6:$O$4005,$B$6:$B$4005,B1867,$N$6:$N$4005,"N"),0),$P$6:$P$4005,0)),"(tanpa lawan)"))</f>
        <v/>
      </c>
      <c r="R1867" s="44"/>
      <c r="S1867" s="9" t="str">
        <f aca="false">IF(N1867&lt;&gt;"Y","",IF(R1867&lt;&gt;"",R1867,IF(Q1867="(tanpa lawan)","Transfer antar rekening",IFERROR(INDEX(I_COA!$F$6:$F$265,MATCH(Q1867,I_COA!$A$6:$A$265,0)),"?"))))</f>
        <v/>
      </c>
    </row>
    <row r="1868" customFormat="false" ht="15" hidden="false" customHeight="false" outlineLevel="0" collapsed="false">
      <c r="A1868" s="37"/>
      <c r="B1868" s="44"/>
      <c r="C1868" s="44"/>
      <c r="D1868" s="44"/>
      <c r="E1868" s="44"/>
      <c r="F1868" s="44"/>
      <c r="G1868" s="42"/>
      <c r="H1868" s="42"/>
      <c r="I1868" s="44"/>
      <c r="J1868" s="11" t="str">
        <f aca="false">IF(D1868="","",N(G1868)-N(H1868))</f>
        <v/>
      </c>
      <c r="K1868" s="34" t="str">
        <f aca="false">IF(D1868="","",IFERROR(INDEX(I_COA!$C$6:$C$265,MATCH(D1868,I_COA!$A$6:$A$265,0)),"AKUN BARU"))</f>
        <v/>
      </c>
      <c r="L1868" s="34" t="str">
        <f aca="false">IF(K1868="LabaRugi",INDEX(I_COA!$D$6:$D$265,MATCH(D1868,I_COA!$A$6:$A$265,0)),"")</f>
        <v/>
      </c>
      <c r="M1868" s="34" t="str">
        <f aca="false">IF(K1868="Neraca",INDEX(I_COA!$E$6:$E$265,MATCH(D1868,I_COA!$A$6:$A$265,0)),"")</f>
        <v/>
      </c>
      <c r="N1868" s="34" t="str">
        <f aca="false">IF(D1868="","",IFERROR(INDEX(I_COA!$G$6:$G$265,MATCH(D1868,I_COA!$A$6:$A$265,0)),"N"))</f>
        <v/>
      </c>
      <c r="O1868" s="11" t="str">
        <f aca="false">IF(N1868="N",ABS(J1868),"")</f>
        <v/>
      </c>
      <c r="P1868" s="18" t="str">
        <f aca="false">IF(N1868="N",B1868&amp;"|"&amp;ROUND(O1868,0),"")</f>
        <v/>
      </c>
      <c r="Q1868" s="18" t="str">
        <f aca="false">IF(N1868&lt;&gt;"Y","",IFERROR(INDEX($D$6:$D$4005,MATCH(B1868&amp;"|"&amp;ROUND(_xlfn.MAXIFS($O$6:$O$4005,$B$6:$B$4005,B1868,$N$6:$N$4005,"N"),0),$P$6:$P$4005,0)),"(tanpa lawan)"))</f>
        <v/>
      </c>
      <c r="R1868" s="44"/>
      <c r="S1868" s="9" t="str">
        <f aca="false">IF(N1868&lt;&gt;"Y","",IF(R1868&lt;&gt;"",R1868,IF(Q1868="(tanpa lawan)","Transfer antar rekening",IFERROR(INDEX(I_COA!$F$6:$F$265,MATCH(Q1868,I_COA!$A$6:$A$265,0)),"?"))))</f>
        <v/>
      </c>
    </row>
    <row r="1869" customFormat="false" ht="15" hidden="false" customHeight="false" outlineLevel="0" collapsed="false">
      <c r="A1869" s="37"/>
      <c r="B1869" s="44"/>
      <c r="C1869" s="44"/>
      <c r="D1869" s="44"/>
      <c r="E1869" s="44"/>
      <c r="F1869" s="44"/>
      <c r="G1869" s="42"/>
      <c r="H1869" s="42"/>
      <c r="I1869" s="44"/>
      <c r="J1869" s="11" t="str">
        <f aca="false">IF(D1869="","",N(G1869)-N(H1869))</f>
        <v/>
      </c>
      <c r="K1869" s="34" t="str">
        <f aca="false">IF(D1869="","",IFERROR(INDEX(I_COA!$C$6:$C$265,MATCH(D1869,I_COA!$A$6:$A$265,0)),"AKUN BARU"))</f>
        <v/>
      </c>
      <c r="L1869" s="34" t="str">
        <f aca="false">IF(K1869="LabaRugi",INDEX(I_COA!$D$6:$D$265,MATCH(D1869,I_COA!$A$6:$A$265,0)),"")</f>
        <v/>
      </c>
      <c r="M1869" s="34" t="str">
        <f aca="false">IF(K1869="Neraca",INDEX(I_COA!$E$6:$E$265,MATCH(D1869,I_COA!$A$6:$A$265,0)),"")</f>
        <v/>
      </c>
      <c r="N1869" s="34" t="str">
        <f aca="false">IF(D1869="","",IFERROR(INDEX(I_COA!$G$6:$G$265,MATCH(D1869,I_COA!$A$6:$A$265,0)),"N"))</f>
        <v/>
      </c>
      <c r="O1869" s="11" t="str">
        <f aca="false">IF(N1869="N",ABS(J1869),"")</f>
        <v/>
      </c>
      <c r="P1869" s="18" t="str">
        <f aca="false">IF(N1869="N",B1869&amp;"|"&amp;ROUND(O1869,0),"")</f>
        <v/>
      </c>
      <c r="Q1869" s="18" t="str">
        <f aca="false">IF(N1869&lt;&gt;"Y","",IFERROR(INDEX($D$6:$D$4005,MATCH(B1869&amp;"|"&amp;ROUND(_xlfn.MAXIFS($O$6:$O$4005,$B$6:$B$4005,B1869,$N$6:$N$4005,"N"),0),$P$6:$P$4005,0)),"(tanpa lawan)"))</f>
        <v/>
      </c>
      <c r="R1869" s="44"/>
      <c r="S1869" s="9" t="str">
        <f aca="false">IF(N1869&lt;&gt;"Y","",IF(R1869&lt;&gt;"",R1869,IF(Q1869="(tanpa lawan)","Transfer antar rekening",IFERROR(INDEX(I_COA!$F$6:$F$265,MATCH(Q1869,I_COA!$A$6:$A$265,0)),"?"))))</f>
        <v/>
      </c>
    </row>
    <row r="1870" customFormat="false" ht="15" hidden="false" customHeight="false" outlineLevel="0" collapsed="false">
      <c r="A1870" s="37"/>
      <c r="B1870" s="44"/>
      <c r="C1870" s="44"/>
      <c r="D1870" s="44"/>
      <c r="E1870" s="44"/>
      <c r="F1870" s="44"/>
      <c r="G1870" s="42"/>
      <c r="H1870" s="42"/>
      <c r="I1870" s="44"/>
      <c r="J1870" s="11" t="str">
        <f aca="false">IF(D1870="","",N(G1870)-N(H1870))</f>
        <v/>
      </c>
      <c r="K1870" s="34" t="str">
        <f aca="false">IF(D1870="","",IFERROR(INDEX(I_COA!$C$6:$C$265,MATCH(D1870,I_COA!$A$6:$A$265,0)),"AKUN BARU"))</f>
        <v/>
      </c>
      <c r="L1870" s="34" t="str">
        <f aca="false">IF(K1870="LabaRugi",INDEX(I_COA!$D$6:$D$265,MATCH(D1870,I_COA!$A$6:$A$265,0)),"")</f>
        <v/>
      </c>
      <c r="M1870" s="34" t="str">
        <f aca="false">IF(K1870="Neraca",INDEX(I_COA!$E$6:$E$265,MATCH(D1870,I_COA!$A$6:$A$265,0)),"")</f>
        <v/>
      </c>
      <c r="N1870" s="34" t="str">
        <f aca="false">IF(D1870="","",IFERROR(INDEX(I_COA!$G$6:$G$265,MATCH(D1870,I_COA!$A$6:$A$265,0)),"N"))</f>
        <v/>
      </c>
      <c r="O1870" s="11" t="str">
        <f aca="false">IF(N1870="N",ABS(J1870),"")</f>
        <v/>
      </c>
      <c r="P1870" s="18" t="str">
        <f aca="false">IF(N1870="N",B1870&amp;"|"&amp;ROUND(O1870,0),"")</f>
        <v/>
      </c>
      <c r="Q1870" s="18" t="str">
        <f aca="false">IF(N1870&lt;&gt;"Y","",IFERROR(INDEX($D$6:$D$4005,MATCH(B1870&amp;"|"&amp;ROUND(_xlfn.MAXIFS($O$6:$O$4005,$B$6:$B$4005,B1870,$N$6:$N$4005,"N"),0),$P$6:$P$4005,0)),"(tanpa lawan)"))</f>
        <v/>
      </c>
      <c r="R1870" s="44"/>
      <c r="S1870" s="9" t="str">
        <f aca="false">IF(N1870&lt;&gt;"Y","",IF(R1870&lt;&gt;"",R1870,IF(Q1870="(tanpa lawan)","Transfer antar rekening",IFERROR(INDEX(I_COA!$F$6:$F$265,MATCH(Q1870,I_COA!$A$6:$A$265,0)),"?"))))</f>
        <v/>
      </c>
    </row>
    <row r="1871" customFormat="false" ht="15" hidden="false" customHeight="false" outlineLevel="0" collapsed="false">
      <c r="A1871" s="37"/>
      <c r="B1871" s="44"/>
      <c r="C1871" s="44"/>
      <c r="D1871" s="44"/>
      <c r="E1871" s="44"/>
      <c r="F1871" s="44"/>
      <c r="G1871" s="42"/>
      <c r="H1871" s="42"/>
      <c r="I1871" s="44"/>
      <c r="J1871" s="11" t="str">
        <f aca="false">IF(D1871="","",N(G1871)-N(H1871))</f>
        <v/>
      </c>
      <c r="K1871" s="34" t="str">
        <f aca="false">IF(D1871="","",IFERROR(INDEX(I_COA!$C$6:$C$265,MATCH(D1871,I_COA!$A$6:$A$265,0)),"AKUN BARU"))</f>
        <v/>
      </c>
      <c r="L1871" s="34" t="str">
        <f aca="false">IF(K1871="LabaRugi",INDEX(I_COA!$D$6:$D$265,MATCH(D1871,I_COA!$A$6:$A$265,0)),"")</f>
        <v/>
      </c>
      <c r="M1871" s="34" t="str">
        <f aca="false">IF(K1871="Neraca",INDEX(I_COA!$E$6:$E$265,MATCH(D1871,I_COA!$A$6:$A$265,0)),"")</f>
        <v/>
      </c>
      <c r="N1871" s="34" t="str">
        <f aca="false">IF(D1871="","",IFERROR(INDEX(I_COA!$G$6:$G$265,MATCH(D1871,I_COA!$A$6:$A$265,0)),"N"))</f>
        <v/>
      </c>
      <c r="O1871" s="11" t="str">
        <f aca="false">IF(N1871="N",ABS(J1871),"")</f>
        <v/>
      </c>
      <c r="P1871" s="18" t="str">
        <f aca="false">IF(N1871="N",B1871&amp;"|"&amp;ROUND(O1871,0),"")</f>
        <v/>
      </c>
      <c r="Q1871" s="18" t="str">
        <f aca="false">IF(N1871&lt;&gt;"Y","",IFERROR(INDEX($D$6:$D$4005,MATCH(B1871&amp;"|"&amp;ROUND(_xlfn.MAXIFS($O$6:$O$4005,$B$6:$B$4005,B1871,$N$6:$N$4005,"N"),0),$P$6:$P$4005,0)),"(tanpa lawan)"))</f>
        <v/>
      </c>
      <c r="R1871" s="44"/>
      <c r="S1871" s="9" t="str">
        <f aca="false">IF(N1871&lt;&gt;"Y","",IF(R1871&lt;&gt;"",R1871,IF(Q1871="(tanpa lawan)","Transfer antar rekening",IFERROR(INDEX(I_COA!$F$6:$F$265,MATCH(Q1871,I_COA!$A$6:$A$265,0)),"?"))))</f>
        <v/>
      </c>
    </row>
    <row r="1872" customFormat="false" ht="15" hidden="false" customHeight="false" outlineLevel="0" collapsed="false">
      <c r="A1872" s="37"/>
      <c r="B1872" s="44"/>
      <c r="C1872" s="44"/>
      <c r="D1872" s="44"/>
      <c r="E1872" s="44"/>
      <c r="F1872" s="44"/>
      <c r="G1872" s="42"/>
      <c r="H1872" s="42"/>
      <c r="I1872" s="44"/>
      <c r="J1872" s="11" t="str">
        <f aca="false">IF(D1872="","",N(G1872)-N(H1872))</f>
        <v/>
      </c>
      <c r="K1872" s="34" t="str">
        <f aca="false">IF(D1872="","",IFERROR(INDEX(I_COA!$C$6:$C$265,MATCH(D1872,I_COA!$A$6:$A$265,0)),"AKUN BARU"))</f>
        <v/>
      </c>
      <c r="L1872" s="34" t="str">
        <f aca="false">IF(K1872="LabaRugi",INDEX(I_COA!$D$6:$D$265,MATCH(D1872,I_COA!$A$6:$A$265,0)),"")</f>
        <v/>
      </c>
      <c r="M1872" s="34" t="str">
        <f aca="false">IF(K1872="Neraca",INDEX(I_COA!$E$6:$E$265,MATCH(D1872,I_COA!$A$6:$A$265,0)),"")</f>
        <v/>
      </c>
      <c r="N1872" s="34" t="str">
        <f aca="false">IF(D1872="","",IFERROR(INDEX(I_COA!$G$6:$G$265,MATCH(D1872,I_COA!$A$6:$A$265,0)),"N"))</f>
        <v/>
      </c>
      <c r="O1872" s="11" t="str">
        <f aca="false">IF(N1872="N",ABS(J1872),"")</f>
        <v/>
      </c>
      <c r="P1872" s="18" t="str">
        <f aca="false">IF(N1872="N",B1872&amp;"|"&amp;ROUND(O1872,0),"")</f>
        <v/>
      </c>
      <c r="Q1872" s="18" t="str">
        <f aca="false">IF(N1872&lt;&gt;"Y","",IFERROR(INDEX($D$6:$D$4005,MATCH(B1872&amp;"|"&amp;ROUND(_xlfn.MAXIFS($O$6:$O$4005,$B$6:$B$4005,B1872,$N$6:$N$4005,"N"),0),$P$6:$P$4005,0)),"(tanpa lawan)"))</f>
        <v/>
      </c>
      <c r="R1872" s="44"/>
      <c r="S1872" s="9" t="str">
        <f aca="false">IF(N1872&lt;&gt;"Y","",IF(R1872&lt;&gt;"",R1872,IF(Q1872="(tanpa lawan)","Transfer antar rekening",IFERROR(INDEX(I_COA!$F$6:$F$265,MATCH(Q1872,I_COA!$A$6:$A$265,0)),"?"))))</f>
        <v/>
      </c>
    </row>
    <row r="1873" customFormat="false" ht="15" hidden="false" customHeight="false" outlineLevel="0" collapsed="false">
      <c r="A1873" s="37"/>
      <c r="B1873" s="44"/>
      <c r="C1873" s="44"/>
      <c r="D1873" s="44"/>
      <c r="E1873" s="44"/>
      <c r="F1873" s="44"/>
      <c r="G1873" s="42"/>
      <c r="H1873" s="42"/>
      <c r="I1873" s="44"/>
      <c r="J1873" s="11" t="str">
        <f aca="false">IF(D1873="","",N(G1873)-N(H1873))</f>
        <v/>
      </c>
      <c r="K1873" s="34" t="str">
        <f aca="false">IF(D1873="","",IFERROR(INDEX(I_COA!$C$6:$C$265,MATCH(D1873,I_COA!$A$6:$A$265,0)),"AKUN BARU"))</f>
        <v/>
      </c>
      <c r="L1873" s="34" t="str">
        <f aca="false">IF(K1873="LabaRugi",INDEX(I_COA!$D$6:$D$265,MATCH(D1873,I_COA!$A$6:$A$265,0)),"")</f>
        <v/>
      </c>
      <c r="M1873" s="34" t="str">
        <f aca="false">IF(K1873="Neraca",INDEX(I_COA!$E$6:$E$265,MATCH(D1873,I_COA!$A$6:$A$265,0)),"")</f>
        <v/>
      </c>
      <c r="N1873" s="34" t="str">
        <f aca="false">IF(D1873="","",IFERROR(INDEX(I_COA!$G$6:$G$265,MATCH(D1873,I_COA!$A$6:$A$265,0)),"N"))</f>
        <v/>
      </c>
      <c r="O1873" s="11" t="str">
        <f aca="false">IF(N1873="N",ABS(J1873),"")</f>
        <v/>
      </c>
      <c r="P1873" s="18" t="str">
        <f aca="false">IF(N1873="N",B1873&amp;"|"&amp;ROUND(O1873,0),"")</f>
        <v/>
      </c>
      <c r="Q1873" s="18" t="str">
        <f aca="false">IF(N1873&lt;&gt;"Y","",IFERROR(INDEX($D$6:$D$4005,MATCH(B1873&amp;"|"&amp;ROUND(_xlfn.MAXIFS($O$6:$O$4005,$B$6:$B$4005,B1873,$N$6:$N$4005,"N"),0),$P$6:$P$4005,0)),"(tanpa lawan)"))</f>
        <v/>
      </c>
      <c r="R1873" s="44"/>
      <c r="S1873" s="9" t="str">
        <f aca="false">IF(N1873&lt;&gt;"Y","",IF(R1873&lt;&gt;"",R1873,IF(Q1873="(tanpa lawan)","Transfer antar rekening",IFERROR(INDEX(I_COA!$F$6:$F$265,MATCH(Q1873,I_COA!$A$6:$A$265,0)),"?"))))</f>
        <v/>
      </c>
    </row>
    <row r="1874" customFormat="false" ht="15" hidden="false" customHeight="false" outlineLevel="0" collapsed="false">
      <c r="A1874" s="37"/>
      <c r="B1874" s="44"/>
      <c r="C1874" s="44"/>
      <c r="D1874" s="44"/>
      <c r="E1874" s="44"/>
      <c r="F1874" s="44"/>
      <c r="G1874" s="42"/>
      <c r="H1874" s="42"/>
      <c r="I1874" s="44"/>
      <c r="J1874" s="11" t="str">
        <f aca="false">IF(D1874="","",N(G1874)-N(H1874))</f>
        <v/>
      </c>
      <c r="K1874" s="34" t="str">
        <f aca="false">IF(D1874="","",IFERROR(INDEX(I_COA!$C$6:$C$265,MATCH(D1874,I_COA!$A$6:$A$265,0)),"AKUN BARU"))</f>
        <v/>
      </c>
      <c r="L1874" s="34" t="str">
        <f aca="false">IF(K1874="LabaRugi",INDEX(I_COA!$D$6:$D$265,MATCH(D1874,I_COA!$A$6:$A$265,0)),"")</f>
        <v/>
      </c>
      <c r="M1874" s="34" t="str">
        <f aca="false">IF(K1874="Neraca",INDEX(I_COA!$E$6:$E$265,MATCH(D1874,I_COA!$A$6:$A$265,0)),"")</f>
        <v/>
      </c>
      <c r="N1874" s="34" t="str">
        <f aca="false">IF(D1874="","",IFERROR(INDEX(I_COA!$G$6:$G$265,MATCH(D1874,I_COA!$A$6:$A$265,0)),"N"))</f>
        <v/>
      </c>
      <c r="O1874" s="11" t="str">
        <f aca="false">IF(N1874="N",ABS(J1874),"")</f>
        <v/>
      </c>
      <c r="P1874" s="18" t="str">
        <f aca="false">IF(N1874="N",B1874&amp;"|"&amp;ROUND(O1874,0),"")</f>
        <v/>
      </c>
      <c r="Q1874" s="18" t="str">
        <f aca="false">IF(N1874&lt;&gt;"Y","",IFERROR(INDEX($D$6:$D$4005,MATCH(B1874&amp;"|"&amp;ROUND(_xlfn.MAXIFS($O$6:$O$4005,$B$6:$B$4005,B1874,$N$6:$N$4005,"N"),0),$P$6:$P$4005,0)),"(tanpa lawan)"))</f>
        <v/>
      </c>
      <c r="R1874" s="44"/>
      <c r="S1874" s="9" t="str">
        <f aca="false">IF(N1874&lt;&gt;"Y","",IF(R1874&lt;&gt;"",R1874,IF(Q1874="(tanpa lawan)","Transfer antar rekening",IFERROR(INDEX(I_COA!$F$6:$F$265,MATCH(Q1874,I_COA!$A$6:$A$265,0)),"?"))))</f>
        <v/>
      </c>
    </row>
    <row r="1875" customFormat="false" ht="15" hidden="false" customHeight="false" outlineLevel="0" collapsed="false">
      <c r="A1875" s="37"/>
      <c r="B1875" s="44"/>
      <c r="C1875" s="44"/>
      <c r="D1875" s="44"/>
      <c r="E1875" s="44"/>
      <c r="F1875" s="44"/>
      <c r="G1875" s="42"/>
      <c r="H1875" s="42"/>
      <c r="I1875" s="44"/>
      <c r="J1875" s="11" t="str">
        <f aca="false">IF(D1875="","",N(G1875)-N(H1875))</f>
        <v/>
      </c>
      <c r="K1875" s="34" t="str">
        <f aca="false">IF(D1875="","",IFERROR(INDEX(I_COA!$C$6:$C$265,MATCH(D1875,I_COA!$A$6:$A$265,0)),"AKUN BARU"))</f>
        <v/>
      </c>
      <c r="L1875" s="34" t="str">
        <f aca="false">IF(K1875="LabaRugi",INDEX(I_COA!$D$6:$D$265,MATCH(D1875,I_COA!$A$6:$A$265,0)),"")</f>
        <v/>
      </c>
      <c r="M1875" s="34" t="str">
        <f aca="false">IF(K1875="Neraca",INDEX(I_COA!$E$6:$E$265,MATCH(D1875,I_COA!$A$6:$A$265,0)),"")</f>
        <v/>
      </c>
      <c r="N1875" s="34" t="str">
        <f aca="false">IF(D1875="","",IFERROR(INDEX(I_COA!$G$6:$G$265,MATCH(D1875,I_COA!$A$6:$A$265,0)),"N"))</f>
        <v/>
      </c>
      <c r="O1875" s="11" t="str">
        <f aca="false">IF(N1875="N",ABS(J1875),"")</f>
        <v/>
      </c>
      <c r="P1875" s="18" t="str">
        <f aca="false">IF(N1875="N",B1875&amp;"|"&amp;ROUND(O1875,0),"")</f>
        <v/>
      </c>
      <c r="Q1875" s="18" t="str">
        <f aca="false">IF(N1875&lt;&gt;"Y","",IFERROR(INDEX($D$6:$D$4005,MATCH(B1875&amp;"|"&amp;ROUND(_xlfn.MAXIFS($O$6:$O$4005,$B$6:$B$4005,B1875,$N$6:$N$4005,"N"),0),$P$6:$P$4005,0)),"(tanpa lawan)"))</f>
        <v/>
      </c>
      <c r="R1875" s="44"/>
      <c r="S1875" s="9" t="str">
        <f aca="false">IF(N1875&lt;&gt;"Y","",IF(R1875&lt;&gt;"",R1875,IF(Q1875="(tanpa lawan)","Transfer antar rekening",IFERROR(INDEX(I_COA!$F$6:$F$265,MATCH(Q1875,I_COA!$A$6:$A$265,0)),"?"))))</f>
        <v/>
      </c>
    </row>
    <row r="1876" customFormat="false" ht="15" hidden="false" customHeight="false" outlineLevel="0" collapsed="false">
      <c r="A1876" s="37"/>
      <c r="B1876" s="44"/>
      <c r="C1876" s="44"/>
      <c r="D1876" s="44"/>
      <c r="E1876" s="44"/>
      <c r="F1876" s="44"/>
      <c r="G1876" s="42"/>
      <c r="H1876" s="42"/>
      <c r="I1876" s="44"/>
      <c r="J1876" s="11" t="str">
        <f aca="false">IF(D1876="","",N(G1876)-N(H1876))</f>
        <v/>
      </c>
      <c r="K1876" s="34" t="str">
        <f aca="false">IF(D1876="","",IFERROR(INDEX(I_COA!$C$6:$C$265,MATCH(D1876,I_COA!$A$6:$A$265,0)),"AKUN BARU"))</f>
        <v/>
      </c>
      <c r="L1876" s="34" t="str">
        <f aca="false">IF(K1876="LabaRugi",INDEX(I_COA!$D$6:$D$265,MATCH(D1876,I_COA!$A$6:$A$265,0)),"")</f>
        <v/>
      </c>
      <c r="M1876" s="34" t="str">
        <f aca="false">IF(K1876="Neraca",INDEX(I_COA!$E$6:$E$265,MATCH(D1876,I_COA!$A$6:$A$265,0)),"")</f>
        <v/>
      </c>
      <c r="N1876" s="34" t="str">
        <f aca="false">IF(D1876="","",IFERROR(INDEX(I_COA!$G$6:$G$265,MATCH(D1876,I_COA!$A$6:$A$265,0)),"N"))</f>
        <v/>
      </c>
      <c r="O1876" s="11" t="str">
        <f aca="false">IF(N1876="N",ABS(J1876),"")</f>
        <v/>
      </c>
      <c r="P1876" s="18" t="str">
        <f aca="false">IF(N1876="N",B1876&amp;"|"&amp;ROUND(O1876,0),"")</f>
        <v/>
      </c>
      <c r="Q1876" s="18" t="str">
        <f aca="false">IF(N1876&lt;&gt;"Y","",IFERROR(INDEX($D$6:$D$4005,MATCH(B1876&amp;"|"&amp;ROUND(_xlfn.MAXIFS($O$6:$O$4005,$B$6:$B$4005,B1876,$N$6:$N$4005,"N"),0),$P$6:$P$4005,0)),"(tanpa lawan)"))</f>
        <v/>
      </c>
      <c r="R1876" s="44"/>
      <c r="S1876" s="9" t="str">
        <f aca="false">IF(N1876&lt;&gt;"Y","",IF(R1876&lt;&gt;"",R1876,IF(Q1876="(tanpa lawan)","Transfer antar rekening",IFERROR(INDEX(I_COA!$F$6:$F$265,MATCH(Q1876,I_COA!$A$6:$A$265,0)),"?"))))</f>
        <v/>
      </c>
    </row>
    <row r="1877" customFormat="false" ht="15" hidden="false" customHeight="false" outlineLevel="0" collapsed="false">
      <c r="A1877" s="37"/>
      <c r="B1877" s="44"/>
      <c r="C1877" s="44"/>
      <c r="D1877" s="44"/>
      <c r="E1877" s="44"/>
      <c r="F1877" s="44"/>
      <c r="G1877" s="42"/>
      <c r="H1877" s="42"/>
      <c r="I1877" s="44"/>
      <c r="J1877" s="11" t="str">
        <f aca="false">IF(D1877="","",N(G1877)-N(H1877))</f>
        <v/>
      </c>
      <c r="K1877" s="34" t="str">
        <f aca="false">IF(D1877="","",IFERROR(INDEX(I_COA!$C$6:$C$265,MATCH(D1877,I_COA!$A$6:$A$265,0)),"AKUN BARU"))</f>
        <v/>
      </c>
      <c r="L1877" s="34" t="str">
        <f aca="false">IF(K1877="LabaRugi",INDEX(I_COA!$D$6:$D$265,MATCH(D1877,I_COA!$A$6:$A$265,0)),"")</f>
        <v/>
      </c>
      <c r="M1877" s="34" t="str">
        <f aca="false">IF(K1877="Neraca",INDEX(I_COA!$E$6:$E$265,MATCH(D1877,I_COA!$A$6:$A$265,0)),"")</f>
        <v/>
      </c>
      <c r="N1877" s="34" t="str">
        <f aca="false">IF(D1877="","",IFERROR(INDEX(I_COA!$G$6:$G$265,MATCH(D1877,I_COA!$A$6:$A$265,0)),"N"))</f>
        <v/>
      </c>
      <c r="O1877" s="11" t="str">
        <f aca="false">IF(N1877="N",ABS(J1877),"")</f>
        <v/>
      </c>
      <c r="P1877" s="18" t="str">
        <f aca="false">IF(N1877="N",B1877&amp;"|"&amp;ROUND(O1877,0),"")</f>
        <v/>
      </c>
      <c r="Q1877" s="18" t="str">
        <f aca="false">IF(N1877&lt;&gt;"Y","",IFERROR(INDEX($D$6:$D$4005,MATCH(B1877&amp;"|"&amp;ROUND(_xlfn.MAXIFS($O$6:$O$4005,$B$6:$B$4005,B1877,$N$6:$N$4005,"N"),0),$P$6:$P$4005,0)),"(tanpa lawan)"))</f>
        <v/>
      </c>
      <c r="R1877" s="44"/>
      <c r="S1877" s="9" t="str">
        <f aca="false">IF(N1877&lt;&gt;"Y","",IF(R1877&lt;&gt;"",R1877,IF(Q1877="(tanpa lawan)","Transfer antar rekening",IFERROR(INDEX(I_COA!$F$6:$F$265,MATCH(Q1877,I_COA!$A$6:$A$265,0)),"?"))))</f>
        <v/>
      </c>
    </row>
    <row r="1878" customFormat="false" ht="15" hidden="false" customHeight="false" outlineLevel="0" collapsed="false">
      <c r="A1878" s="37"/>
      <c r="B1878" s="44"/>
      <c r="C1878" s="44"/>
      <c r="D1878" s="44"/>
      <c r="E1878" s="44"/>
      <c r="F1878" s="44"/>
      <c r="G1878" s="42"/>
      <c r="H1878" s="42"/>
      <c r="I1878" s="44"/>
      <c r="J1878" s="11" t="str">
        <f aca="false">IF(D1878="","",N(G1878)-N(H1878))</f>
        <v/>
      </c>
      <c r="K1878" s="34" t="str">
        <f aca="false">IF(D1878="","",IFERROR(INDEX(I_COA!$C$6:$C$265,MATCH(D1878,I_COA!$A$6:$A$265,0)),"AKUN BARU"))</f>
        <v/>
      </c>
      <c r="L1878" s="34" t="str">
        <f aca="false">IF(K1878="LabaRugi",INDEX(I_COA!$D$6:$D$265,MATCH(D1878,I_COA!$A$6:$A$265,0)),"")</f>
        <v/>
      </c>
      <c r="M1878" s="34" t="str">
        <f aca="false">IF(K1878="Neraca",INDEX(I_COA!$E$6:$E$265,MATCH(D1878,I_COA!$A$6:$A$265,0)),"")</f>
        <v/>
      </c>
      <c r="N1878" s="34" t="str">
        <f aca="false">IF(D1878="","",IFERROR(INDEX(I_COA!$G$6:$G$265,MATCH(D1878,I_COA!$A$6:$A$265,0)),"N"))</f>
        <v/>
      </c>
      <c r="O1878" s="11" t="str">
        <f aca="false">IF(N1878="N",ABS(J1878),"")</f>
        <v/>
      </c>
      <c r="P1878" s="18" t="str">
        <f aca="false">IF(N1878="N",B1878&amp;"|"&amp;ROUND(O1878,0),"")</f>
        <v/>
      </c>
      <c r="Q1878" s="18" t="str">
        <f aca="false">IF(N1878&lt;&gt;"Y","",IFERROR(INDEX($D$6:$D$4005,MATCH(B1878&amp;"|"&amp;ROUND(_xlfn.MAXIFS($O$6:$O$4005,$B$6:$B$4005,B1878,$N$6:$N$4005,"N"),0),$P$6:$P$4005,0)),"(tanpa lawan)"))</f>
        <v/>
      </c>
      <c r="R1878" s="44"/>
      <c r="S1878" s="9" t="str">
        <f aca="false">IF(N1878&lt;&gt;"Y","",IF(R1878&lt;&gt;"",R1878,IF(Q1878="(tanpa lawan)","Transfer antar rekening",IFERROR(INDEX(I_COA!$F$6:$F$265,MATCH(Q1878,I_COA!$A$6:$A$265,0)),"?"))))</f>
        <v/>
      </c>
    </row>
    <row r="1879" customFormat="false" ht="15" hidden="false" customHeight="false" outlineLevel="0" collapsed="false">
      <c r="A1879" s="37"/>
      <c r="B1879" s="44"/>
      <c r="C1879" s="44"/>
      <c r="D1879" s="44"/>
      <c r="E1879" s="44"/>
      <c r="F1879" s="44"/>
      <c r="G1879" s="42"/>
      <c r="H1879" s="42"/>
      <c r="I1879" s="44"/>
      <c r="J1879" s="11" t="str">
        <f aca="false">IF(D1879="","",N(G1879)-N(H1879))</f>
        <v/>
      </c>
      <c r="K1879" s="34" t="str">
        <f aca="false">IF(D1879="","",IFERROR(INDEX(I_COA!$C$6:$C$265,MATCH(D1879,I_COA!$A$6:$A$265,0)),"AKUN BARU"))</f>
        <v/>
      </c>
      <c r="L1879" s="34" t="str">
        <f aca="false">IF(K1879="LabaRugi",INDEX(I_COA!$D$6:$D$265,MATCH(D1879,I_COA!$A$6:$A$265,0)),"")</f>
        <v/>
      </c>
      <c r="M1879" s="34" t="str">
        <f aca="false">IF(K1879="Neraca",INDEX(I_COA!$E$6:$E$265,MATCH(D1879,I_COA!$A$6:$A$265,0)),"")</f>
        <v/>
      </c>
      <c r="N1879" s="34" t="str">
        <f aca="false">IF(D1879="","",IFERROR(INDEX(I_COA!$G$6:$G$265,MATCH(D1879,I_COA!$A$6:$A$265,0)),"N"))</f>
        <v/>
      </c>
      <c r="O1879" s="11" t="str">
        <f aca="false">IF(N1879="N",ABS(J1879),"")</f>
        <v/>
      </c>
      <c r="P1879" s="18" t="str">
        <f aca="false">IF(N1879="N",B1879&amp;"|"&amp;ROUND(O1879,0),"")</f>
        <v/>
      </c>
      <c r="Q1879" s="18" t="str">
        <f aca="false">IF(N1879&lt;&gt;"Y","",IFERROR(INDEX($D$6:$D$4005,MATCH(B1879&amp;"|"&amp;ROUND(_xlfn.MAXIFS($O$6:$O$4005,$B$6:$B$4005,B1879,$N$6:$N$4005,"N"),0),$P$6:$P$4005,0)),"(tanpa lawan)"))</f>
        <v/>
      </c>
      <c r="R1879" s="44"/>
      <c r="S1879" s="9" t="str">
        <f aca="false">IF(N1879&lt;&gt;"Y","",IF(R1879&lt;&gt;"",R1879,IF(Q1879="(tanpa lawan)","Transfer antar rekening",IFERROR(INDEX(I_COA!$F$6:$F$265,MATCH(Q1879,I_COA!$A$6:$A$265,0)),"?"))))</f>
        <v/>
      </c>
    </row>
    <row r="1880" customFormat="false" ht="15" hidden="false" customHeight="false" outlineLevel="0" collapsed="false">
      <c r="A1880" s="37"/>
      <c r="B1880" s="44"/>
      <c r="C1880" s="44"/>
      <c r="D1880" s="44"/>
      <c r="E1880" s="44"/>
      <c r="F1880" s="44"/>
      <c r="G1880" s="42"/>
      <c r="H1880" s="42"/>
      <c r="I1880" s="44"/>
      <c r="J1880" s="11" t="str">
        <f aca="false">IF(D1880="","",N(G1880)-N(H1880))</f>
        <v/>
      </c>
      <c r="K1880" s="34" t="str">
        <f aca="false">IF(D1880="","",IFERROR(INDEX(I_COA!$C$6:$C$265,MATCH(D1880,I_COA!$A$6:$A$265,0)),"AKUN BARU"))</f>
        <v/>
      </c>
      <c r="L1880" s="34" t="str">
        <f aca="false">IF(K1880="LabaRugi",INDEX(I_COA!$D$6:$D$265,MATCH(D1880,I_COA!$A$6:$A$265,0)),"")</f>
        <v/>
      </c>
      <c r="M1880" s="34" t="str">
        <f aca="false">IF(K1880="Neraca",INDEX(I_COA!$E$6:$E$265,MATCH(D1880,I_COA!$A$6:$A$265,0)),"")</f>
        <v/>
      </c>
      <c r="N1880" s="34" t="str">
        <f aca="false">IF(D1880="","",IFERROR(INDEX(I_COA!$G$6:$G$265,MATCH(D1880,I_COA!$A$6:$A$265,0)),"N"))</f>
        <v/>
      </c>
      <c r="O1880" s="11" t="str">
        <f aca="false">IF(N1880="N",ABS(J1880),"")</f>
        <v/>
      </c>
      <c r="P1880" s="18" t="str">
        <f aca="false">IF(N1880="N",B1880&amp;"|"&amp;ROUND(O1880,0),"")</f>
        <v/>
      </c>
      <c r="Q1880" s="18" t="str">
        <f aca="false">IF(N1880&lt;&gt;"Y","",IFERROR(INDEX($D$6:$D$4005,MATCH(B1880&amp;"|"&amp;ROUND(_xlfn.MAXIFS($O$6:$O$4005,$B$6:$B$4005,B1880,$N$6:$N$4005,"N"),0),$P$6:$P$4005,0)),"(tanpa lawan)"))</f>
        <v/>
      </c>
      <c r="R1880" s="44"/>
      <c r="S1880" s="9" t="str">
        <f aca="false">IF(N1880&lt;&gt;"Y","",IF(R1880&lt;&gt;"",R1880,IF(Q1880="(tanpa lawan)","Transfer antar rekening",IFERROR(INDEX(I_COA!$F$6:$F$265,MATCH(Q1880,I_COA!$A$6:$A$265,0)),"?"))))</f>
        <v/>
      </c>
    </row>
    <row r="1881" customFormat="false" ht="15" hidden="false" customHeight="false" outlineLevel="0" collapsed="false">
      <c r="A1881" s="37"/>
      <c r="B1881" s="44"/>
      <c r="C1881" s="44"/>
      <c r="D1881" s="44"/>
      <c r="E1881" s="44"/>
      <c r="F1881" s="44"/>
      <c r="G1881" s="42"/>
      <c r="H1881" s="42"/>
      <c r="I1881" s="44"/>
      <c r="J1881" s="11" t="str">
        <f aca="false">IF(D1881="","",N(G1881)-N(H1881))</f>
        <v/>
      </c>
      <c r="K1881" s="34" t="str">
        <f aca="false">IF(D1881="","",IFERROR(INDEX(I_COA!$C$6:$C$265,MATCH(D1881,I_COA!$A$6:$A$265,0)),"AKUN BARU"))</f>
        <v/>
      </c>
      <c r="L1881" s="34" t="str">
        <f aca="false">IF(K1881="LabaRugi",INDEX(I_COA!$D$6:$D$265,MATCH(D1881,I_COA!$A$6:$A$265,0)),"")</f>
        <v/>
      </c>
      <c r="M1881" s="34" t="str">
        <f aca="false">IF(K1881="Neraca",INDEX(I_COA!$E$6:$E$265,MATCH(D1881,I_COA!$A$6:$A$265,0)),"")</f>
        <v/>
      </c>
      <c r="N1881" s="34" t="str">
        <f aca="false">IF(D1881="","",IFERROR(INDEX(I_COA!$G$6:$G$265,MATCH(D1881,I_COA!$A$6:$A$265,0)),"N"))</f>
        <v/>
      </c>
      <c r="O1881" s="11" t="str">
        <f aca="false">IF(N1881="N",ABS(J1881),"")</f>
        <v/>
      </c>
      <c r="P1881" s="18" t="str">
        <f aca="false">IF(N1881="N",B1881&amp;"|"&amp;ROUND(O1881,0),"")</f>
        <v/>
      </c>
      <c r="Q1881" s="18" t="str">
        <f aca="false">IF(N1881&lt;&gt;"Y","",IFERROR(INDEX($D$6:$D$4005,MATCH(B1881&amp;"|"&amp;ROUND(_xlfn.MAXIFS($O$6:$O$4005,$B$6:$B$4005,B1881,$N$6:$N$4005,"N"),0),$P$6:$P$4005,0)),"(tanpa lawan)"))</f>
        <v/>
      </c>
      <c r="R1881" s="44"/>
      <c r="S1881" s="9" t="str">
        <f aca="false">IF(N1881&lt;&gt;"Y","",IF(R1881&lt;&gt;"",R1881,IF(Q1881="(tanpa lawan)","Transfer antar rekening",IFERROR(INDEX(I_COA!$F$6:$F$265,MATCH(Q1881,I_COA!$A$6:$A$265,0)),"?"))))</f>
        <v/>
      </c>
    </row>
    <row r="1882" customFormat="false" ht="15" hidden="false" customHeight="false" outlineLevel="0" collapsed="false">
      <c r="A1882" s="37"/>
      <c r="B1882" s="44"/>
      <c r="C1882" s="44"/>
      <c r="D1882" s="44"/>
      <c r="E1882" s="44"/>
      <c r="F1882" s="44"/>
      <c r="G1882" s="42"/>
      <c r="H1882" s="42"/>
      <c r="I1882" s="44"/>
      <c r="J1882" s="11" t="str">
        <f aca="false">IF(D1882="","",N(G1882)-N(H1882))</f>
        <v/>
      </c>
      <c r="K1882" s="34" t="str">
        <f aca="false">IF(D1882="","",IFERROR(INDEX(I_COA!$C$6:$C$265,MATCH(D1882,I_COA!$A$6:$A$265,0)),"AKUN BARU"))</f>
        <v/>
      </c>
      <c r="L1882" s="34" t="str">
        <f aca="false">IF(K1882="LabaRugi",INDEX(I_COA!$D$6:$D$265,MATCH(D1882,I_COA!$A$6:$A$265,0)),"")</f>
        <v/>
      </c>
      <c r="M1882" s="34" t="str">
        <f aca="false">IF(K1882="Neraca",INDEX(I_COA!$E$6:$E$265,MATCH(D1882,I_COA!$A$6:$A$265,0)),"")</f>
        <v/>
      </c>
      <c r="N1882" s="34" t="str">
        <f aca="false">IF(D1882="","",IFERROR(INDEX(I_COA!$G$6:$G$265,MATCH(D1882,I_COA!$A$6:$A$265,0)),"N"))</f>
        <v/>
      </c>
      <c r="O1882" s="11" t="str">
        <f aca="false">IF(N1882="N",ABS(J1882),"")</f>
        <v/>
      </c>
      <c r="P1882" s="18" t="str">
        <f aca="false">IF(N1882="N",B1882&amp;"|"&amp;ROUND(O1882,0),"")</f>
        <v/>
      </c>
      <c r="Q1882" s="18" t="str">
        <f aca="false">IF(N1882&lt;&gt;"Y","",IFERROR(INDEX($D$6:$D$4005,MATCH(B1882&amp;"|"&amp;ROUND(_xlfn.MAXIFS($O$6:$O$4005,$B$6:$B$4005,B1882,$N$6:$N$4005,"N"),0),$P$6:$P$4005,0)),"(tanpa lawan)"))</f>
        <v/>
      </c>
      <c r="R1882" s="44"/>
      <c r="S1882" s="9" t="str">
        <f aca="false">IF(N1882&lt;&gt;"Y","",IF(R1882&lt;&gt;"",R1882,IF(Q1882="(tanpa lawan)","Transfer antar rekening",IFERROR(INDEX(I_COA!$F$6:$F$265,MATCH(Q1882,I_COA!$A$6:$A$265,0)),"?"))))</f>
        <v/>
      </c>
    </row>
    <row r="1883" customFormat="false" ht="15" hidden="false" customHeight="false" outlineLevel="0" collapsed="false">
      <c r="A1883" s="37"/>
      <c r="B1883" s="44"/>
      <c r="C1883" s="44"/>
      <c r="D1883" s="44"/>
      <c r="E1883" s="44"/>
      <c r="F1883" s="44"/>
      <c r="G1883" s="42"/>
      <c r="H1883" s="42"/>
      <c r="I1883" s="44"/>
      <c r="J1883" s="11" t="str">
        <f aca="false">IF(D1883="","",N(G1883)-N(H1883))</f>
        <v/>
      </c>
      <c r="K1883" s="34" t="str">
        <f aca="false">IF(D1883="","",IFERROR(INDEX(I_COA!$C$6:$C$265,MATCH(D1883,I_COA!$A$6:$A$265,0)),"AKUN BARU"))</f>
        <v/>
      </c>
      <c r="L1883" s="34" t="str">
        <f aca="false">IF(K1883="LabaRugi",INDEX(I_COA!$D$6:$D$265,MATCH(D1883,I_COA!$A$6:$A$265,0)),"")</f>
        <v/>
      </c>
      <c r="M1883" s="34" t="str">
        <f aca="false">IF(K1883="Neraca",INDEX(I_COA!$E$6:$E$265,MATCH(D1883,I_COA!$A$6:$A$265,0)),"")</f>
        <v/>
      </c>
      <c r="N1883" s="34" t="str">
        <f aca="false">IF(D1883="","",IFERROR(INDEX(I_COA!$G$6:$G$265,MATCH(D1883,I_COA!$A$6:$A$265,0)),"N"))</f>
        <v/>
      </c>
      <c r="O1883" s="11" t="str">
        <f aca="false">IF(N1883="N",ABS(J1883),"")</f>
        <v/>
      </c>
      <c r="P1883" s="18" t="str">
        <f aca="false">IF(N1883="N",B1883&amp;"|"&amp;ROUND(O1883,0),"")</f>
        <v/>
      </c>
      <c r="Q1883" s="18" t="str">
        <f aca="false">IF(N1883&lt;&gt;"Y","",IFERROR(INDEX($D$6:$D$4005,MATCH(B1883&amp;"|"&amp;ROUND(_xlfn.MAXIFS($O$6:$O$4005,$B$6:$B$4005,B1883,$N$6:$N$4005,"N"),0),$P$6:$P$4005,0)),"(tanpa lawan)"))</f>
        <v/>
      </c>
      <c r="R1883" s="44"/>
      <c r="S1883" s="9" t="str">
        <f aca="false">IF(N1883&lt;&gt;"Y","",IF(R1883&lt;&gt;"",R1883,IF(Q1883="(tanpa lawan)","Transfer antar rekening",IFERROR(INDEX(I_COA!$F$6:$F$265,MATCH(Q1883,I_COA!$A$6:$A$265,0)),"?"))))</f>
        <v/>
      </c>
    </row>
    <row r="1884" customFormat="false" ht="15" hidden="false" customHeight="false" outlineLevel="0" collapsed="false">
      <c r="A1884" s="37"/>
      <c r="B1884" s="44"/>
      <c r="C1884" s="44"/>
      <c r="D1884" s="44"/>
      <c r="E1884" s="44"/>
      <c r="F1884" s="44"/>
      <c r="G1884" s="42"/>
      <c r="H1884" s="42"/>
      <c r="I1884" s="44"/>
      <c r="J1884" s="11" t="str">
        <f aca="false">IF(D1884="","",N(G1884)-N(H1884))</f>
        <v/>
      </c>
      <c r="K1884" s="34" t="str">
        <f aca="false">IF(D1884="","",IFERROR(INDEX(I_COA!$C$6:$C$265,MATCH(D1884,I_COA!$A$6:$A$265,0)),"AKUN BARU"))</f>
        <v/>
      </c>
      <c r="L1884" s="34" t="str">
        <f aca="false">IF(K1884="LabaRugi",INDEX(I_COA!$D$6:$D$265,MATCH(D1884,I_COA!$A$6:$A$265,0)),"")</f>
        <v/>
      </c>
      <c r="M1884" s="34" t="str">
        <f aca="false">IF(K1884="Neraca",INDEX(I_COA!$E$6:$E$265,MATCH(D1884,I_COA!$A$6:$A$265,0)),"")</f>
        <v/>
      </c>
      <c r="N1884" s="34" t="str">
        <f aca="false">IF(D1884="","",IFERROR(INDEX(I_COA!$G$6:$G$265,MATCH(D1884,I_COA!$A$6:$A$265,0)),"N"))</f>
        <v/>
      </c>
      <c r="O1884" s="11" t="str">
        <f aca="false">IF(N1884="N",ABS(J1884),"")</f>
        <v/>
      </c>
      <c r="P1884" s="18" t="str">
        <f aca="false">IF(N1884="N",B1884&amp;"|"&amp;ROUND(O1884,0),"")</f>
        <v/>
      </c>
      <c r="Q1884" s="18" t="str">
        <f aca="false">IF(N1884&lt;&gt;"Y","",IFERROR(INDEX($D$6:$D$4005,MATCH(B1884&amp;"|"&amp;ROUND(_xlfn.MAXIFS($O$6:$O$4005,$B$6:$B$4005,B1884,$N$6:$N$4005,"N"),0),$P$6:$P$4005,0)),"(tanpa lawan)"))</f>
        <v/>
      </c>
      <c r="R1884" s="44"/>
      <c r="S1884" s="9" t="str">
        <f aca="false">IF(N1884&lt;&gt;"Y","",IF(R1884&lt;&gt;"",R1884,IF(Q1884="(tanpa lawan)","Transfer antar rekening",IFERROR(INDEX(I_COA!$F$6:$F$265,MATCH(Q1884,I_COA!$A$6:$A$265,0)),"?"))))</f>
        <v/>
      </c>
    </row>
    <row r="1885" customFormat="false" ht="15" hidden="false" customHeight="false" outlineLevel="0" collapsed="false">
      <c r="A1885" s="37"/>
      <c r="B1885" s="44"/>
      <c r="C1885" s="44"/>
      <c r="D1885" s="44"/>
      <c r="E1885" s="44"/>
      <c r="F1885" s="44"/>
      <c r="G1885" s="42"/>
      <c r="H1885" s="42"/>
      <c r="I1885" s="44"/>
      <c r="J1885" s="11" t="str">
        <f aca="false">IF(D1885="","",N(G1885)-N(H1885))</f>
        <v/>
      </c>
      <c r="K1885" s="34" t="str">
        <f aca="false">IF(D1885="","",IFERROR(INDEX(I_COA!$C$6:$C$265,MATCH(D1885,I_COA!$A$6:$A$265,0)),"AKUN BARU"))</f>
        <v/>
      </c>
      <c r="L1885" s="34" t="str">
        <f aca="false">IF(K1885="LabaRugi",INDEX(I_COA!$D$6:$D$265,MATCH(D1885,I_COA!$A$6:$A$265,0)),"")</f>
        <v/>
      </c>
      <c r="M1885" s="34" t="str">
        <f aca="false">IF(K1885="Neraca",INDEX(I_COA!$E$6:$E$265,MATCH(D1885,I_COA!$A$6:$A$265,0)),"")</f>
        <v/>
      </c>
      <c r="N1885" s="34" t="str">
        <f aca="false">IF(D1885="","",IFERROR(INDEX(I_COA!$G$6:$G$265,MATCH(D1885,I_COA!$A$6:$A$265,0)),"N"))</f>
        <v/>
      </c>
      <c r="O1885" s="11" t="str">
        <f aca="false">IF(N1885="N",ABS(J1885),"")</f>
        <v/>
      </c>
      <c r="P1885" s="18" t="str">
        <f aca="false">IF(N1885="N",B1885&amp;"|"&amp;ROUND(O1885,0),"")</f>
        <v/>
      </c>
      <c r="Q1885" s="18" t="str">
        <f aca="false">IF(N1885&lt;&gt;"Y","",IFERROR(INDEX($D$6:$D$4005,MATCH(B1885&amp;"|"&amp;ROUND(_xlfn.MAXIFS($O$6:$O$4005,$B$6:$B$4005,B1885,$N$6:$N$4005,"N"),0),$P$6:$P$4005,0)),"(tanpa lawan)"))</f>
        <v/>
      </c>
      <c r="R1885" s="44"/>
      <c r="S1885" s="9" t="str">
        <f aca="false">IF(N1885&lt;&gt;"Y","",IF(R1885&lt;&gt;"",R1885,IF(Q1885="(tanpa lawan)","Transfer antar rekening",IFERROR(INDEX(I_COA!$F$6:$F$265,MATCH(Q1885,I_COA!$A$6:$A$265,0)),"?"))))</f>
        <v/>
      </c>
    </row>
    <row r="1886" customFormat="false" ht="15" hidden="false" customHeight="false" outlineLevel="0" collapsed="false">
      <c r="A1886" s="37"/>
      <c r="B1886" s="44"/>
      <c r="C1886" s="44"/>
      <c r="D1886" s="44"/>
      <c r="E1886" s="44"/>
      <c r="F1886" s="44"/>
      <c r="G1886" s="42"/>
      <c r="H1886" s="42"/>
      <c r="I1886" s="44"/>
      <c r="J1886" s="11" t="str">
        <f aca="false">IF(D1886="","",N(G1886)-N(H1886))</f>
        <v/>
      </c>
      <c r="K1886" s="34" t="str">
        <f aca="false">IF(D1886="","",IFERROR(INDEX(I_COA!$C$6:$C$265,MATCH(D1886,I_COA!$A$6:$A$265,0)),"AKUN BARU"))</f>
        <v/>
      </c>
      <c r="L1886" s="34" t="str">
        <f aca="false">IF(K1886="LabaRugi",INDEX(I_COA!$D$6:$D$265,MATCH(D1886,I_COA!$A$6:$A$265,0)),"")</f>
        <v/>
      </c>
      <c r="M1886" s="34" t="str">
        <f aca="false">IF(K1886="Neraca",INDEX(I_COA!$E$6:$E$265,MATCH(D1886,I_COA!$A$6:$A$265,0)),"")</f>
        <v/>
      </c>
      <c r="N1886" s="34" t="str">
        <f aca="false">IF(D1886="","",IFERROR(INDEX(I_COA!$G$6:$G$265,MATCH(D1886,I_COA!$A$6:$A$265,0)),"N"))</f>
        <v/>
      </c>
      <c r="O1886" s="11" t="str">
        <f aca="false">IF(N1886="N",ABS(J1886),"")</f>
        <v/>
      </c>
      <c r="P1886" s="18" t="str">
        <f aca="false">IF(N1886="N",B1886&amp;"|"&amp;ROUND(O1886,0),"")</f>
        <v/>
      </c>
      <c r="Q1886" s="18" t="str">
        <f aca="false">IF(N1886&lt;&gt;"Y","",IFERROR(INDEX($D$6:$D$4005,MATCH(B1886&amp;"|"&amp;ROUND(_xlfn.MAXIFS($O$6:$O$4005,$B$6:$B$4005,B1886,$N$6:$N$4005,"N"),0),$P$6:$P$4005,0)),"(tanpa lawan)"))</f>
        <v/>
      </c>
      <c r="R1886" s="44"/>
      <c r="S1886" s="9" t="str">
        <f aca="false">IF(N1886&lt;&gt;"Y","",IF(R1886&lt;&gt;"",R1886,IF(Q1886="(tanpa lawan)","Transfer antar rekening",IFERROR(INDEX(I_COA!$F$6:$F$265,MATCH(Q1886,I_COA!$A$6:$A$265,0)),"?"))))</f>
        <v/>
      </c>
    </row>
    <row r="1887" customFormat="false" ht="15" hidden="false" customHeight="false" outlineLevel="0" collapsed="false">
      <c r="A1887" s="37"/>
      <c r="B1887" s="44"/>
      <c r="C1887" s="44"/>
      <c r="D1887" s="44"/>
      <c r="E1887" s="44"/>
      <c r="F1887" s="44"/>
      <c r="G1887" s="42"/>
      <c r="H1887" s="42"/>
      <c r="I1887" s="44"/>
      <c r="J1887" s="11" t="str">
        <f aca="false">IF(D1887="","",N(G1887)-N(H1887))</f>
        <v/>
      </c>
      <c r="K1887" s="34" t="str">
        <f aca="false">IF(D1887="","",IFERROR(INDEX(I_COA!$C$6:$C$265,MATCH(D1887,I_COA!$A$6:$A$265,0)),"AKUN BARU"))</f>
        <v/>
      </c>
      <c r="L1887" s="34" t="str">
        <f aca="false">IF(K1887="LabaRugi",INDEX(I_COA!$D$6:$D$265,MATCH(D1887,I_COA!$A$6:$A$265,0)),"")</f>
        <v/>
      </c>
      <c r="M1887" s="34" t="str">
        <f aca="false">IF(K1887="Neraca",INDEX(I_COA!$E$6:$E$265,MATCH(D1887,I_COA!$A$6:$A$265,0)),"")</f>
        <v/>
      </c>
      <c r="N1887" s="34" t="str">
        <f aca="false">IF(D1887="","",IFERROR(INDEX(I_COA!$G$6:$G$265,MATCH(D1887,I_COA!$A$6:$A$265,0)),"N"))</f>
        <v/>
      </c>
      <c r="O1887" s="11" t="str">
        <f aca="false">IF(N1887="N",ABS(J1887),"")</f>
        <v/>
      </c>
      <c r="P1887" s="18" t="str">
        <f aca="false">IF(N1887="N",B1887&amp;"|"&amp;ROUND(O1887,0),"")</f>
        <v/>
      </c>
      <c r="Q1887" s="18" t="str">
        <f aca="false">IF(N1887&lt;&gt;"Y","",IFERROR(INDEX($D$6:$D$4005,MATCH(B1887&amp;"|"&amp;ROUND(_xlfn.MAXIFS($O$6:$O$4005,$B$6:$B$4005,B1887,$N$6:$N$4005,"N"),0),$P$6:$P$4005,0)),"(tanpa lawan)"))</f>
        <v/>
      </c>
      <c r="R1887" s="44"/>
      <c r="S1887" s="9" t="str">
        <f aca="false">IF(N1887&lt;&gt;"Y","",IF(R1887&lt;&gt;"",R1887,IF(Q1887="(tanpa lawan)","Transfer antar rekening",IFERROR(INDEX(I_COA!$F$6:$F$265,MATCH(Q1887,I_COA!$A$6:$A$265,0)),"?"))))</f>
        <v/>
      </c>
    </row>
    <row r="1888" customFormat="false" ht="15" hidden="false" customHeight="false" outlineLevel="0" collapsed="false">
      <c r="A1888" s="37"/>
      <c r="B1888" s="44"/>
      <c r="C1888" s="44"/>
      <c r="D1888" s="44"/>
      <c r="E1888" s="44"/>
      <c r="F1888" s="44"/>
      <c r="G1888" s="42"/>
      <c r="H1888" s="42"/>
      <c r="I1888" s="44"/>
      <c r="J1888" s="11" t="str">
        <f aca="false">IF(D1888="","",N(G1888)-N(H1888))</f>
        <v/>
      </c>
      <c r="K1888" s="34" t="str">
        <f aca="false">IF(D1888="","",IFERROR(INDEX(I_COA!$C$6:$C$265,MATCH(D1888,I_COA!$A$6:$A$265,0)),"AKUN BARU"))</f>
        <v/>
      </c>
      <c r="L1888" s="34" t="str">
        <f aca="false">IF(K1888="LabaRugi",INDEX(I_COA!$D$6:$D$265,MATCH(D1888,I_COA!$A$6:$A$265,0)),"")</f>
        <v/>
      </c>
      <c r="M1888" s="34" t="str">
        <f aca="false">IF(K1888="Neraca",INDEX(I_COA!$E$6:$E$265,MATCH(D1888,I_COA!$A$6:$A$265,0)),"")</f>
        <v/>
      </c>
      <c r="N1888" s="34" t="str">
        <f aca="false">IF(D1888="","",IFERROR(INDEX(I_COA!$G$6:$G$265,MATCH(D1888,I_COA!$A$6:$A$265,0)),"N"))</f>
        <v/>
      </c>
      <c r="O1888" s="11" t="str">
        <f aca="false">IF(N1888="N",ABS(J1888),"")</f>
        <v/>
      </c>
      <c r="P1888" s="18" t="str">
        <f aca="false">IF(N1888="N",B1888&amp;"|"&amp;ROUND(O1888,0),"")</f>
        <v/>
      </c>
      <c r="Q1888" s="18" t="str">
        <f aca="false">IF(N1888&lt;&gt;"Y","",IFERROR(INDEX($D$6:$D$4005,MATCH(B1888&amp;"|"&amp;ROUND(_xlfn.MAXIFS($O$6:$O$4005,$B$6:$B$4005,B1888,$N$6:$N$4005,"N"),0),$P$6:$P$4005,0)),"(tanpa lawan)"))</f>
        <v/>
      </c>
      <c r="R1888" s="44"/>
      <c r="S1888" s="9" t="str">
        <f aca="false">IF(N1888&lt;&gt;"Y","",IF(R1888&lt;&gt;"",R1888,IF(Q1888="(tanpa lawan)","Transfer antar rekening",IFERROR(INDEX(I_COA!$F$6:$F$265,MATCH(Q1888,I_COA!$A$6:$A$265,0)),"?"))))</f>
        <v/>
      </c>
    </row>
    <row r="1889" customFormat="false" ht="15" hidden="false" customHeight="false" outlineLevel="0" collapsed="false">
      <c r="A1889" s="37"/>
      <c r="B1889" s="44"/>
      <c r="C1889" s="44"/>
      <c r="D1889" s="44"/>
      <c r="E1889" s="44"/>
      <c r="F1889" s="44"/>
      <c r="G1889" s="42"/>
      <c r="H1889" s="42"/>
      <c r="I1889" s="44"/>
      <c r="J1889" s="11" t="str">
        <f aca="false">IF(D1889="","",N(G1889)-N(H1889))</f>
        <v/>
      </c>
      <c r="K1889" s="34" t="str">
        <f aca="false">IF(D1889="","",IFERROR(INDEX(I_COA!$C$6:$C$265,MATCH(D1889,I_COA!$A$6:$A$265,0)),"AKUN BARU"))</f>
        <v/>
      </c>
      <c r="L1889" s="34" t="str">
        <f aca="false">IF(K1889="LabaRugi",INDEX(I_COA!$D$6:$D$265,MATCH(D1889,I_COA!$A$6:$A$265,0)),"")</f>
        <v/>
      </c>
      <c r="M1889" s="34" t="str">
        <f aca="false">IF(K1889="Neraca",INDEX(I_COA!$E$6:$E$265,MATCH(D1889,I_COA!$A$6:$A$265,0)),"")</f>
        <v/>
      </c>
      <c r="N1889" s="34" t="str">
        <f aca="false">IF(D1889="","",IFERROR(INDEX(I_COA!$G$6:$G$265,MATCH(D1889,I_COA!$A$6:$A$265,0)),"N"))</f>
        <v/>
      </c>
      <c r="O1889" s="11" t="str">
        <f aca="false">IF(N1889="N",ABS(J1889),"")</f>
        <v/>
      </c>
      <c r="P1889" s="18" t="str">
        <f aca="false">IF(N1889="N",B1889&amp;"|"&amp;ROUND(O1889,0),"")</f>
        <v/>
      </c>
      <c r="Q1889" s="18" t="str">
        <f aca="false">IF(N1889&lt;&gt;"Y","",IFERROR(INDEX($D$6:$D$4005,MATCH(B1889&amp;"|"&amp;ROUND(_xlfn.MAXIFS($O$6:$O$4005,$B$6:$B$4005,B1889,$N$6:$N$4005,"N"),0),$P$6:$P$4005,0)),"(tanpa lawan)"))</f>
        <v/>
      </c>
      <c r="R1889" s="44"/>
      <c r="S1889" s="9" t="str">
        <f aca="false">IF(N1889&lt;&gt;"Y","",IF(R1889&lt;&gt;"",R1889,IF(Q1889="(tanpa lawan)","Transfer antar rekening",IFERROR(INDEX(I_COA!$F$6:$F$265,MATCH(Q1889,I_COA!$A$6:$A$265,0)),"?"))))</f>
        <v/>
      </c>
    </row>
    <row r="1890" customFormat="false" ht="15" hidden="false" customHeight="false" outlineLevel="0" collapsed="false">
      <c r="A1890" s="37"/>
      <c r="B1890" s="44"/>
      <c r="C1890" s="44"/>
      <c r="D1890" s="44"/>
      <c r="E1890" s="44"/>
      <c r="F1890" s="44"/>
      <c r="G1890" s="42"/>
      <c r="H1890" s="42"/>
      <c r="I1890" s="44"/>
      <c r="J1890" s="11" t="str">
        <f aca="false">IF(D1890="","",N(G1890)-N(H1890))</f>
        <v/>
      </c>
      <c r="K1890" s="34" t="str">
        <f aca="false">IF(D1890="","",IFERROR(INDEX(I_COA!$C$6:$C$265,MATCH(D1890,I_COA!$A$6:$A$265,0)),"AKUN BARU"))</f>
        <v/>
      </c>
      <c r="L1890" s="34" t="str">
        <f aca="false">IF(K1890="LabaRugi",INDEX(I_COA!$D$6:$D$265,MATCH(D1890,I_COA!$A$6:$A$265,0)),"")</f>
        <v/>
      </c>
      <c r="M1890" s="34" t="str">
        <f aca="false">IF(K1890="Neraca",INDEX(I_COA!$E$6:$E$265,MATCH(D1890,I_COA!$A$6:$A$265,0)),"")</f>
        <v/>
      </c>
      <c r="N1890" s="34" t="str">
        <f aca="false">IF(D1890="","",IFERROR(INDEX(I_COA!$G$6:$G$265,MATCH(D1890,I_COA!$A$6:$A$265,0)),"N"))</f>
        <v/>
      </c>
      <c r="O1890" s="11" t="str">
        <f aca="false">IF(N1890="N",ABS(J1890),"")</f>
        <v/>
      </c>
      <c r="P1890" s="18" t="str">
        <f aca="false">IF(N1890="N",B1890&amp;"|"&amp;ROUND(O1890,0),"")</f>
        <v/>
      </c>
      <c r="Q1890" s="18" t="str">
        <f aca="false">IF(N1890&lt;&gt;"Y","",IFERROR(INDEX($D$6:$D$4005,MATCH(B1890&amp;"|"&amp;ROUND(_xlfn.MAXIFS($O$6:$O$4005,$B$6:$B$4005,B1890,$N$6:$N$4005,"N"),0),$P$6:$P$4005,0)),"(tanpa lawan)"))</f>
        <v/>
      </c>
      <c r="R1890" s="44"/>
      <c r="S1890" s="9" t="str">
        <f aca="false">IF(N1890&lt;&gt;"Y","",IF(R1890&lt;&gt;"",R1890,IF(Q1890="(tanpa lawan)","Transfer antar rekening",IFERROR(INDEX(I_COA!$F$6:$F$265,MATCH(Q1890,I_COA!$A$6:$A$265,0)),"?"))))</f>
        <v/>
      </c>
    </row>
    <row r="1891" customFormat="false" ht="15" hidden="false" customHeight="false" outlineLevel="0" collapsed="false">
      <c r="A1891" s="37"/>
      <c r="B1891" s="44"/>
      <c r="C1891" s="44"/>
      <c r="D1891" s="44"/>
      <c r="E1891" s="44"/>
      <c r="F1891" s="44"/>
      <c r="G1891" s="42"/>
      <c r="H1891" s="42"/>
      <c r="I1891" s="44"/>
      <c r="J1891" s="11" t="str">
        <f aca="false">IF(D1891="","",N(G1891)-N(H1891))</f>
        <v/>
      </c>
      <c r="K1891" s="34" t="str">
        <f aca="false">IF(D1891="","",IFERROR(INDEX(I_COA!$C$6:$C$265,MATCH(D1891,I_COA!$A$6:$A$265,0)),"AKUN BARU"))</f>
        <v/>
      </c>
      <c r="L1891" s="34" t="str">
        <f aca="false">IF(K1891="LabaRugi",INDEX(I_COA!$D$6:$D$265,MATCH(D1891,I_COA!$A$6:$A$265,0)),"")</f>
        <v/>
      </c>
      <c r="M1891" s="34" t="str">
        <f aca="false">IF(K1891="Neraca",INDEX(I_COA!$E$6:$E$265,MATCH(D1891,I_COA!$A$6:$A$265,0)),"")</f>
        <v/>
      </c>
      <c r="N1891" s="34" t="str">
        <f aca="false">IF(D1891="","",IFERROR(INDEX(I_COA!$G$6:$G$265,MATCH(D1891,I_COA!$A$6:$A$265,0)),"N"))</f>
        <v/>
      </c>
      <c r="O1891" s="11" t="str">
        <f aca="false">IF(N1891="N",ABS(J1891),"")</f>
        <v/>
      </c>
      <c r="P1891" s="18" t="str">
        <f aca="false">IF(N1891="N",B1891&amp;"|"&amp;ROUND(O1891,0),"")</f>
        <v/>
      </c>
      <c r="Q1891" s="18" t="str">
        <f aca="false">IF(N1891&lt;&gt;"Y","",IFERROR(INDEX($D$6:$D$4005,MATCH(B1891&amp;"|"&amp;ROUND(_xlfn.MAXIFS($O$6:$O$4005,$B$6:$B$4005,B1891,$N$6:$N$4005,"N"),0),$P$6:$P$4005,0)),"(tanpa lawan)"))</f>
        <v/>
      </c>
      <c r="R1891" s="44"/>
      <c r="S1891" s="9" t="str">
        <f aca="false">IF(N1891&lt;&gt;"Y","",IF(R1891&lt;&gt;"",R1891,IF(Q1891="(tanpa lawan)","Transfer antar rekening",IFERROR(INDEX(I_COA!$F$6:$F$265,MATCH(Q1891,I_COA!$A$6:$A$265,0)),"?"))))</f>
        <v/>
      </c>
    </row>
    <row r="1892" customFormat="false" ht="15" hidden="false" customHeight="false" outlineLevel="0" collapsed="false">
      <c r="A1892" s="37"/>
      <c r="B1892" s="44"/>
      <c r="C1892" s="44"/>
      <c r="D1892" s="44"/>
      <c r="E1892" s="44"/>
      <c r="F1892" s="44"/>
      <c r="G1892" s="42"/>
      <c r="H1892" s="42"/>
      <c r="I1892" s="44"/>
      <c r="J1892" s="11" t="str">
        <f aca="false">IF(D1892="","",N(G1892)-N(H1892))</f>
        <v/>
      </c>
      <c r="K1892" s="34" t="str">
        <f aca="false">IF(D1892="","",IFERROR(INDEX(I_COA!$C$6:$C$265,MATCH(D1892,I_COA!$A$6:$A$265,0)),"AKUN BARU"))</f>
        <v/>
      </c>
      <c r="L1892" s="34" t="str">
        <f aca="false">IF(K1892="LabaRugi",INDEX(I_COA!$D$6:$D$265,MATCH(D1892,I_COA!$A$6:$A$265,0)),"")</f>
        <v/>
      </c>
      <c r="M1892" s="34" t="str">
        <f aca="false">IF(K1892="Neraca",INDEX(I_COA!$E$6:$E$265,MATCH(D1892,I_COA!$A$6:$A$265,0)),"")</f>
        <v/>
      </c>
      <c r="N1892" s="34" t="str">
        <f aca="false">IF(D1892="","",IFERROR(INDEX(I_COA!$G$6:$G$265,MATCH(D1892,I_COA!$A$6:$A$265,0)),"N"))</f>
        <v/>
      </c>
      <c r="O1892" s="11" t="str">
        <f aca="false">IF(N1892="N",ABS(J1892),"")</f>
        <v/>
      </c>
      <c r="P1892" s="18" t="str">
        <f aca="false">IF(N1892="N",B1892&amp;"|"&amp;ROUND(O1892,0),"")</f>
        <v/>
      </c>
      <c r="Q1892" s="18" t="str">
        <f aca="false">IF(N1892&lt;&gt;"Y","",IFERROR(INDEX($D$6:$D$4005,MATCH(B1892&amp;"|"&amp;ROUND(_xlfn.MAXIFS($O$6:$O$4005,$B$6:$B$4005,B1892,$N$6:$N$4005,"N"),0),$P$6:$P$4005,0)),"(tanpa lawan)"))</f>
        <v/>
      </c>
      <c r="R1892" s="44"/>
      <c r="S1892" s="9" t="str">
        <f aca="false">IF(N1892&lt;&gt;"Y","",IF(R1892&lt;&gt;"",R1892,IF(Q1892="(tanpa lawan)","Transfer antar rekening",IFERROR(INDEX(I_COA!$F$6:$F$265,MATCH(Q1892,I_COA!$A$6:$A$265,0)),"?"))))</f>
        <v/>
      </c>
    </row>
    <row r="1893" customFormat="false" ht="15" hidden="false" customHeight="false" outlineLevel="0" collapsed="false">
      <c r="A1893" s="37"/>
      <c r="B1893" s="44"/>
      <c r="C1893" s="44"/>
      <c r="D1893" s="44"/>
      <c r="E1893" s="44"/>
      <c r="F1893" s="44"/>
      <c r="G1893" s="42"/>
      <c r="H1893" s="42"/>
      <c r="I1893" s="44"/>
      <c r="J1893" s="11" t="str">
        <f aca="false">IF(D1893="","",N(G1893)-N(H1893))</f>
        <v/>
      </c>
      <c r="K1893" s="34" t="str">
        <f aca="false">IF(D1893="","",IFERROR(INDEX(I_COA!$C$6:$C$265,MATCH(D1893,I_COA!$A$6:$A$265,0)),"AKUN BARU"))</f>
        <v/>
      </c>
      <c r="L1893" s="34" t="str">
        <f aca="false">IF(K1893="LabaRugi",INDEX(I_COA!$D$6:$D$265,MATCH(D1893,I_COA!$A$6:$A$265,0)),"")</f>
        <v/>
      </c>
      <c r="M1893" s="34" t="str">
        <f aca="false">IF(K1893="Neraca",INDEX(I_COA!$E$6:$E$265,MATCH(D1893,I_COA!$A$6:$A$265,0)),"")</f>
        <v/>
      </c>
      <c r="N1893" s="34" t="str">
        <f aca="false">IF(D1893="","",IFERROR(INDEX(I_COA!$G$6:$G$265,MATCH(D1893,I_COA!$A$6:$A$265,0)),"N"))</f>
        <v/>
      </c>
      <c r="O1893" s="11" t="str">
        <f aca="false">IF(N1893="N",ABS(J1893),"")</f>
        <v/>
      </c>
      <c r="P1893" s="18" t="str">
        <f aca="false">IF(N1893="N",B1893&amp;"|"&amp;ROUND(O1893,0),"")</f>
        <v/>
      </c>
      <c r="Q1893" s="18" t="str">
        <f aca="false">IF(N1893&lt;&gt;"Y","",IFERROR(INDEX($D$6:$D$4005,MATCH(B1893&amp;"|"&amp;ROUND(_xlfn.MAXIFS($O$6:$O$4005,$B$6:$B$4005,B1893,$N$6:$N$4005,"N"),0),$P$6:$P$4005,0)),"(tanpa lawan)"))</f>
        <v/>
      </c>
      <c r="R1893" s="44"/>
      <c r="S1893" s="9" t="str">
        <f aca="false">IF(N1893&lt;&gt;"Y","",IF(R1893&lt;&gt;"",R1893,IF(Q1893="(tanpa lawan)","Transfer antar rekening",IFERROR(INDEX(I_COA!$F$6:$F$265,MATCH(Q1893,I_COA!$A$6:$A$265,0)),"?"))))</f>
        <v/>
      </c>
    </row>
    <row r="1894" customFormat="false" ht="15" hidden="false" customHeight="false" outlineLevel="0" collapsed="false">
      <c r="A1894" s="37"/>
      <c r="B1894" s="44"/>
      <c r="C1894" s="44"/>
      <c r="D1894" s="44"/>
      <c r="E1894" s="44"/>
      <c r="F1894" s="44"/>
      <c r="G1894" s="42"/>
      <c r="H1894" s="42"/>
      <c r="I1894" s="44"/>
      <c r="J1894" s="11" t="str">
        <f aca="false">IF(D1894="","",N(G1894)-N(H1894))</f>
        <v/>
      </c>
      <c r="K1894" s="34" t="str">
        <f aca="false">IF(D1894="","",IFERROR(INDEX(I_COA!$C$6:$C$265,MATCH(D1894,I_COA!$A$6:$A$265,0)),"AKUN BARU"))</f>
        <v/>
      </c>
      <c r="L1894" s="34" t="str">
        <f aca="false">IF(K1894="LabaRugi",INDEX(I_COA!$D$6:$D$265,MATCH(D1894,I_COA!$A$6:$A$265,0)),"")</f>
        <v/>
      </c>
      <c r="M1894" s="34" t="str">
        <f aca="false">IF(K1894="Neraca",INDEX(I_COA!$E$6:$E$265,MATCH(D1894,I_COA!$A$6:$A$265,0)),"")</f>
        <v/>
      </c>
      <c r="N1894" s="34" t="str">
        <f aca="false">IF(D1894="","",IFERROR(INDEX(I_COA!$G$6:$G$265,MATCH(D1894,I_COA!$A$6:$A$265,0)),"N"))</f>
        <v/>
      </c>
      <c r="O1894" s="11" t="str">
        <f aca="false">IF(N1894="N",ABS(J1894),"")</f>
        <v/>
      </c>
      <c r="P1894" s="18" t="str">
        <f aca="false">IF(N1894="N",B1894&amp;"|"&amp;ROUND(O1894,0),"")</f>
        <v/>
      </c>
      <c r="Q1894" s="18" t="str">
        <f aca="false">IF(N1894&lt;&gt;"Y","",IFERROR(INDEX($D$6:$D$4005,MATCH(B1894&amp;"|"&amp;ROUND(_xlfn.MAXIFS($O$6:$O$4005,$B$6:$B$4005,B1894,$N$6:$N$4005,"N"),0),$P$6:$P$4005,0)),"(tanpa lawan)"))</f>
        <v/>
      </c>
      <c r="R1894" s="44"/>
      <c r="S1894" s="9" t="str">
        <f aca="false">IF(N1894&lt;&gt;"Y","",IF(R1894&lt;&gt;"",R1894,IF(Q1894="(tanpa lawan)","Transfer antar rekening",IFERROR(INDEX(I_COA!$F$6:$F$265,MATCH(Q1894,I_COA!$A$6:$A$265,0)),"?"))))</f>
        <v/>
      </c>
    </row>
    <row r="1895" customFormat="false" ht="15" hidden="false" customHeight="false" outlineLevel="0" collapsed="false">
      <c r="A1895" s="37"/>
      <c r="B1895" s="44"/>
      <c r="C1895" s="44"/>
      <c r="D1895" s="44"/>
      <c r="E1895" s="44"/>
      <c r="F1895" s="44"/>
      <c r="G1895" s="42"/>
      <c r="H1895" s="42"/>
      <c r="I1895" s="44"/>
      <c r="J1895" s="11" t="str">
        <f aca="false">IF(D1895="","",N(G1895)-N(H1895))</f>
        <v/>
      </c>
      <c r="K1895" s="34" t="str">
        <f aca="false">IF(D1895="","",IFERROR(INDEX(I_COA!$C$6:$C$265,MATCH(D1895,I_COA!$A$6:$A$265,0)),"AKUN BARU"))</f>
        <v/>
      </c>
      <c r="L1895" s="34" t="str">
        <f aca="false">IF(K1895="LabaRugi",INDEX(I_COA!$D$6:$D$265,MATCH(D1895,I_COA!$A$6:$A$265,0)),"")</f>
        <v/>
      </c>
      <c r="M1895" s="34" t="str">
        <f aca="false">IF(K1895="Neraca",INDEX(I_COA!$E$6:$E$265,MATCH(D1895,I_COA!$A$6:$A$265,0)),"")</f>
        <v/>
      </c>
      <c r="N1895" s="34" t="str">
        <f aca="false">IF(D1895="","",IFERROR(INDEX(I_COA!$G$6:$G$265,MATCH(D1895,I_COA!$A$6:$A$265,0)),"N"))</f>
        <v/>
      </c>
      <c r="O1895" s="11" t="str">
        <f aca="false">IF(N1895="N",ABS(J1895),"")</f>
        <v/>
      </c>
      <c r="P1895" s="18" t="str">
        <f aca="false">IF(N1895="N",B1895&amp;"|"&amp;ROUND(O1895,0),"")</f>
        <v/>
      </c>
      <c r="Q1895" s="18" t="str">
        <f aca="false">IF(N1895&lt;&gt;"Y","",IFERROR(INDEX($D$6:$D$4005,MATCH(B1895&amp;"|"&amp;ROUND(_xlfn.MAXIFS($O$6:$O$4005,$B$6:$B$4005,B1895,$N$6:$N$4005,"N"),0),$P$6:$P$4005,0)),"(tanpa lawan)"))</f>
        <v/>
      </c>
      <c r="R1895" s="44"/>
      <c r="S1895" s="9" t="str">
        <f aca="false">IF(N1895&lt;&gt;"Y","",IF(R1895&lt;&gt;"",R1895,IF(Q1895="(tanpa lawan)","Transfer antar rekening",IFERROR(INDEX(I_COA!$F$6:$F$265,MATCH(Q1895,I_COA!$A$6:$A$265,0)),"?"))))</f>
        <v/>
      </c>
    </row>
    <row r="1896" customFormat="false" ht="15" hidden="false" customHeight="false" outlineLevel="0" collapsed="false">
      <c r="A1896" s="37"/>
      <c r="B1896" s="44"/>
      <c r="C1896" s="44"/>
      <c r="D1896" s="44"/>
      <c r="E1896" s="44"/>
      <c r="F1896" s="44"/>
      <c r="G1896" s="42"/>
      <c r="H1896" s="42"/>
      <c r="I1896" s="44"/>
      <c r="J1896" s="11" t="str">
        <f aca="false">IF(D1896="","",N(G1896)-N(H1896))</f>
        <v/>
      </c>
      <c r="K1896" s="34" t="str">
        <f aca="false">IF(D1896="","",IFERROR(INDEX(I_COA!$C$6:$C$265,MATCH(D1896,I_COA!$A$6:$A$265,0)),"AKUN BARU"))</f>
        <v/>
      </c>
      <c r="L1896" s="34" t="str">
        <f aca="false">IF(K1896="LabaRugi",INDEX(I_COA!$D$6:$D$265,MATCH(D1896,I_COA!$A$6:$A$265,0)),"")</f>
        <v/>
      </c>
      <c r="M1896" s="34" t="str">
        <f aca="false">IF(K1896="Neraca",INDEX(I_COA!$E$6:$E$265,MATCH(D1896,I_COA!$A$6:$A$265,0)),"")</f>
        <v/>
      </c>
      <c r="N1896" s="34" t="str">
        <f aca="false">IF(D1896="","",IFERROR(INDEX(I_COA!$G$6:$G$265,MATCH(D1896,I_COA!$A$6:$A$265,0)),"N"))</f>
        <v/>
      </c>
      <c r="O1896" s="11" t="str">
        <f aca="false">IF(N1896="N",ABS(J1896),"")</f>
        <v/>
      </c>
      <c r="P1896" s="18" t="str">
        <f aca="false">IF(N1896="N",B1896&amp;"|"&amp;ROUND(O1896,0),"")</f>
        <v/>
      </c>
      <c r="Q1896" s="18" t="str">
        <f aca="false">IF(N1896&lt;&gt;"Y","",IFERROR(INDEX($D$6:$D$4005,MATCH(B1896&amp;"|"&amp;ROUND(_xlfn.MAXIFS($O$6:$O$4005,$B$6:$B$4005,B1896,$N$6:$N$4005,"N"),0),$P$6:$P$4005,0)),"(tanpa lawan)"))</f>
        <v/>
      </c>
      <c r="R1896" s="44"/>
      <c r="S1896" s="9" t="str">
        <f aca="false">IF(N1896&lt;&gt;"Y","",IF(R1896&lt;&gt;"",R1896,IF(Q1896="(tanpa lawan)","Transfer antar rekening",IFERROR(INDEX(I_COA!$F$6:$F$265,MATCH(Q1896,I_COA!$A$6:$A$265,0)),"?"))))</f>
        <v/>
      </c>
    </row>
    <row r="1897" customFormat="false" ht="15" hidden="false" customHeight="false" outlineLevel="0" collapsed="false">
      <c r="A1897" s="37"/>
      <c r="B1897" s="44"/>
      <c r="C1897" s="44"/>
      <c r="D1897" s="44"/>
      <c r="E1897" s="44"/>
      <c r="F1897" s="44"/>
      <c r="G1897" s="42"/>
      <c r="H1897" s="42"/>
      <c r="I1897" s="44"/>
      <c r="J1897" s="11" t="str">
        <f aca="false">IF(D1897="","",N(G1897)-N(H1897))</f>
        <v/>
      </c>
      <c r="K1897" s="34" t="str">
        <f aca="false">IF(D1897="","",IFERROR(INDEX(I_COA!$C$6:$C$265,MATCH(D1897,I_COA!$A$6:$A$265,0)),"AKUN BARU"))</f>
        <v/>
      </c>
      <c r="L1897" s="34" t="str">
        <f aca="false">IF(K1897="LabaRugi",INDEX(I_COA!$D$6:$D$265,MATCH(D1897,I_COA!$A$6:$A$265,0)),"")</f>
        <v/>
      </c>
      <c r="M1897" s="34" t="str">
        <f aca="false">IF(K1897="Neraca",INDEX(I_COA!$E$6:$E$265,MATCH(D1897,I_COA!$A$6:$A$265,0)),"")</f>
        <v/>
      </c>
      <c r="N1897" s="34" t="str">
        <f aca="false">IF(D1897="","",IFERROR(INDEX(I_COA!$G$6:$G$265,MATCH(D1897,I_COA!$A$6:$A$265,0)),"N"))</f>
        <v/>
      </c>
      <c r="O1897" s="11" t="str">
        <f aca="false">IF(N1897="N",ABS(J1897),"")</f>
        <v/>
      </c>
      <c r="P1897" s="18" t="str">
        <f aca="false">IF(N1897="N",B1897&amp;"|"&amp;ROUND(O1897,0),"")</f>
        <v/>
      </c>
      <c r="Q1897" s="18" t="str">
        <f aca="false">IF(N1897&lt;&gt;"Y","",IFERROR(INDEX($D$6:$D$4005,MATCH(B1897&amp;"|"&amp;ROUND(_xlfn.MAXIFS($O$6:$O$4005,$B$6:$B$4005,B1897,$N$6:$N$4005,"N"),0),$P$6:$P$4005,0)),"(tanpa lawan)"))</f>
        <v/>
      </c>
      <c r="R1897" s="44"/>
      <c r="S1897" s="9" t="str">
        <f aca="false">IF(N1897&lt;&gt;"Y","",IF(R1897&lt;&gt;"",R1897,IF(Q1897="(tanpa lawan)","Transfer antar rekening",IFERROR(INDEX(I_COA!$F$6:$F$265,MATCH(Q1897,I_COA!$A$6:$A$265,0)),"?"))))</f>
        <v/>
      </c>
    </row>
    <row r="1898" customFormat="false" ht="15" hidden="false" customHeight="false" outlineLevel="0" collapsed="false">
      <c r="A1898" s="37"/>
      <c r="B1898" s="44"/>
      <c r="C1898" s="44"/>
      <c r="D1898" s="44"/>
      <c r="E1898" s="44"/>
      <c r="F1898" s="44"/>
      <c r="G1898" s="42"/>
      <c r="H1898" s="42"/>
      <c r="I1898" s="44"/>
      <c r="J1898" s="11" t="str">
        <f aca="false">IF(D1898="","",N(G1898)-N(H1898))</f>
        <v/>
      </c>
      <c r="K1898" s="34" t="str">
        <f aca="false">IF(D1898="","",IFERROR(INDEX(I_COA!$C$6:$C$265,MATCH(D1898,I_COA!$A$6:$A$265,0)),"AKUN BARU"))</f>
        <v/>
      </c>
      <c r="L1898" s="34" t="str">
        <f aca="false">IF(K1898="LabaRugi",INDEX(I_COA!$D$6:$D$265,MATCH(D1898,I_COA!$A$6:$A$265,0)),"")</f>
        <v/>
      </c>
      <c r="M1898" s="34" t="str">
        <f aca="false">IF(K1898="Neraca",INDEX(I_COA!$E$6:$E$265,MATCH(D1898,I_COA!$A$6:$A$265,0)),"")</f>
        <v/>
      </c>
      <c r="N1898" s="34" t="str">
        <f aca="false">IF(D1898="","",IFERROR(INDEX(I_COA!$G$6:$G$265,MATCH(D1898,I_COA!$A$6:$A$265,0)),"N"))</f>
        <v/>
      </c>
      <c r="O1898" s="11" t="str">
        <f aca="false">IF(N1898="N",ABS(J1898),"")</f>
        <v/>
      </c>
      <c r="P1898" s="18" t="str">
        <f aca="false">IF(N1898="N",B1898&amp;"|"&amp;ROUND(O1898,0),"")</f>
        <v/>
      </c>
      <c r="Q1898" s="18" t="str">
        <f aca="false">IF(N1898&lt;&gt;"Y","",IFERROR(INDEX($D$6:$D$4005,MATCH(B1898&amp;"|"&amp;ROUND(_xlfn.MAXIFS($O$6:$O$4005,$B$6:$B$4005,B1898,$N$6:$N$4005,"N"),0),$P$6:$P$4005,0)),"(tanpa lawan)"))</f>
        <v/>
      </c>
      <c r="R1898" s="44"/>
      <c r="S1898" s="9" t="str">
        <f aca="false">IF(N1898&lt;&gt;"Y","",IF(R1898&lt;&gt;"",R1898,IF(Q1898="(tanpa lawan)","Transfer antar rekening",IFERROR(INDEX(I_COA!$F$6:$F$265,MATCH(Q1898,I_COA!$A$6:$A$265,0)),"?"))))</f>
        <v/>
      </c>
    </row>
    <row r="1899" customFormat="false" ht="15" hidden="false" customHeight="false" outlineLevel="0" collapsed="false">
      <c r="A1899" s="37"/>
      <c r="B1899" s="44"/>
      <c r="C1899" s="44"/>
      <c r="D1899" s="44"/>
      <c r="E1899" s="44"/>
      <c r="F1899" s="44"/>
      <c r="G1899" s="42"/>
      <c r="H1899" s="42"/>
      <c r="I1899" s="44"/>
      <c r="J1899" s="11" t="str">
        <f aca="false">IF(D1899="","",N(G1899)-N(H1899))</f>
        <v/>
      </c>
      <c r="K1899" s="34" t="str">
        <f aca="false">IF(D1899="","",IFERROR(INDEX(I_COA!$C$6:$C$265,MATCH(D1899,I_COA!$A$6:$A$265,0)),"AKUN BARU"))</f>
        <v/>
      </c>
      <c r="L1899" s="34" t="str">
        <f aca="false">IF(K1899="LabaRugi",INDEX(I_COA!$D$6:$D$265,MATCH(D1899,I_COA!$A$6:$A$265,0)),"")</f>
        <v/>
      </c>
      <c r="M1899" s="34" t="str">
        <f aca="false">IF(K1899="Neraca",INDEX(I_COA!$E$6:$E$265,MATCH(D1899,I_COA!$A$6:$A$265,0)),"")</f>
        <v/>
      </c>
      <c r="N1899" s="34" t="str">
        <f aca="false">IF(D1899="","",IFERROR(INDEX(I_COA!$G$6:$G$265,MATCH(D1899,I_COA!$A$6:$A$265,0)),"N"))</f>
        <v/>
      </c>
      <c r="O1899" s="11" t="str">
        <f aca="false">IF(N1899="N",ABS(J1899),"")</f>
        <v/>
      </c>
      <c r="P1899" s="18" t="str">
        <f aca="false">IF(N1899="N",B1899&amp;"|"&amp;ROUND(O1899,0),"")</f>
        <v/>
      </c>
      <c r="Q1899" s="18" t="str">
        <f aca="false">IF(N1899&lt;&gt;"Y","",IFERROR(INDEX($D$6:$D$4005,MATCH(B1899&amp;"|"&amp;ROUND(_xlfn.MAXIFS($O$6:$O$4005,$B$6:$B$4005,B1899,$N$6:$N$4005,"N"),0),$P$6:$P$4005,0)),"(tanpa lawan)"))</f>
        <v/>
      </c>
      <c r="R1899" s="44"/>
      <c r="S1899" s="9" t="str">
        <f aca="false">IF(N1899&lt;&gt;"Y","",IF(R1899&lt;&gt;"",R1899,IF(Q1899="(tanpa lawan)","Transfer antar rekening",IFERROR(INDEX(I_COA!$F$6:$F$265,MATCH(Q1899,I_COA!$A$6:$A$265,0)),"?"))))</f>
        <v/>
      </c>
    </row>
    <row r="1900" customFormat="false" ht="15" hidden="false" customHeight="false" outlineLevel="0" collapsed="false">
      <c r="A1900" s="37"/>
      <c r="B1900" s="44"/>
      <c r="C1900" s="44"/>
      <c r="D1900" s="44"/>
      <c r="E1900" s="44"/>
      <c r="F1900" s="44"/>
      <c r="G1900" s="42"/>
      <c r="H1900" s="42"/>
      <c r="I1900" s="44"/>
      <c r="J1900" s="11" t="str">
        <f aca="false">IF(D1900="","",N(G1900)-N(H1900))</f>
        <v/>
      </c>
      <c r="K1900" s="34" t="str">
        <f aca="false">IF(D1900="","",IFERROR(INDEX(I_COA!$C$6:$C$265,MATCH(D1900,I_COA!$A$6:$A$265,0)),"AKUN BARU"))</f>
        <v/>
      </c>
      <c r="L1900" s="34" t="str">
        <f aca="false">IF(K1900="LabaRugi",INDEX(I_COA!$D$6:$D$265,MATCH(D1900,I_COA!$A$6:$A$265,0)),"")</f>
        <v/>
      </c>
      <c r="M1900" s="34" t="str">
        <f aca="false">IF(K1900="Neraca",INDEX(I_COA!$E$6:$E$265,MATCH(D1900,I_COA!$A$6:$A$265,0)),"")</f>
        <v/>
      </c>
      <c r="N1900" s="34" t="str">
        <f aca="false">IF(D1900="","",IFERROR(INDEX(I_COA!$G$6:$G$265,MATCH(D1900,I_COA!$A$6:$A$265,0)),"N"))</f>
        <v/>
      </c>
      <c r="O1900" s="11" t="str">
        <f aca="false">IF(N1900="N",ABS(J1900),"")</f>
        <v/>
      </c>
      <c r="P1900" s="18" t="str">
        <f aca="false">IF(N1900="N",B1900&amp;"|"&amp;ROUND(O1900,0),"")</f>
        <v/>
      </c>
      <c r="Q1900" s="18" t="str">
        <f aca="false">IF(N1900&lt;&gt;"Y","",IFERROR(INDEX($D$6:$D$4005,MATCH(B1900&amp;"|"&amp;ROUND(_xlfn.MAXIFS($O$6:$O$4005,$B$6:$B$4005,B1900,$N$6:$N$4005,"N"),0),$P$6:$P$4005,0)),"(tanpa lawan)"))</f>
        <v/>
      </c>
      <c r="R1900" s="44"/>
      <c r="S1900" s="9" t="str">
        <f aca="false">IF(N1900&lt;&gt;"Y","",IF(R1900&lt;&gt;"",R1900,IF(Q1900="(tanpa lawan)","Transfer antar rekening",IFERROR(INDEX(I_COA!$F$6:$F$265,MATCH(Q1900,I_COA!$A$6:$A$265,0)),"?"))))</f>
        <v/>
      </c>
    </row>
    <row r="1901" customFormat="false" ht="15" hidden="false" customHeight="false" outlineLevel="0" collapsed="false">
      <c r="A1901" s="37"/>
      <c r="B1901" s="44"/>
      <c r="C1901" s="44"/>
      <c r="D1901" s="44"/>
      <c r="E1901" s="44"/>
      <c r="F1901" s="44"/>
      <c r="G1901" s="42"/>
      <c r="H1901" s="42"/>
      <c r="I1901" s="44"/>
      <c r="J1901" s="11" t="str">
        <f aca="false">IF(D1901="","",N(G1901)-N(H1901))</f>
        <v/>
      </c>
      <c r="K1901" s="34" t="str">
        <f aca="false">IF(D1901="","",IFERROR(INDEX(I_COA!$C$6:$C$265,MATCH(D1901,I_COA!$A$6:$A$265,0)),"AKUN BARU"))</f>
        <v/>
      </c>
      <c r="L1901" s="34" t="str">
        <f aca="false">IF(K1901="LabaRugi",INDEX(I_COA!$D$6:$D$265,MATCH(D1901,I_COA!$A$6:$A$265,0)),"")</f>
        <v/>
      </c>
      <c r="M1901" s="34" t="str">
        <f aca="false">IF(K1901="Neraca",INDEX(I_COA!$E$6:$E$265,MATCH(D1901,I_COA!$A$6:$A$265,0)),"")</f>
        <v/>
      </c>
      <c r="N1901" s="34" t="str">
        <f aca="false">IF(D1901="","",IFERROR(INDEX(I_COA!$G$6:$G$265,MATCH(D1901,I_COA!$A$6:$A$265,0)),"N"))</f>
        <v/>
      </c>
      <c r="O1901" s="11" t="str">
        <f aca="false">IF(N1901="N",ABS(J1901),"")</f>
        <v/>
      </c>
      <c r="P1901" s="18" t="str">
        <f aca="false">IF(N1901="N",B1901&amp;"|"&amp;ROUND(O1901,0),"")</f>
        <v/>
      </c>
      <c r="Q1901" s="18" t="str">
        <f aca="false">IF(N1901&lt;&gt;"Y","",IFERROR(INDEX($D$6:$D$4005,MATCH(B1901&amp;"|"&amp;ROUND(_xlfn.MAXIFS($O$6:$O$4005,$B$6:$B$4005,B1901,$N$6:$N$4005,"N"),0),$P$6:$P$4005,0)),"(tanpa lawan)"))</f>
        <v/>
      </c>
      <c r="R1901" s="44"/>
      <c r="S1901" s="9" t="str">
        <f aca="false">IF(N1901&lt;&gt;"Y","",IF(R1901&lt;&gt;"",R1901,IF(Q1901="(tanpa lawan)","Transfer antar rekening",IFERROR(INDEX(I_COA!$F$6:$F$265,MATCH(Q1901,I_COA!$A$6:$A$265,0)),"?"))))</f>
        <v/>
      </c>
    </row>
    <row r="1902" customFormat="false" ht="15" hidden="false" customHeight="false" outlineLevel="0" collapsed="false">
      <c r="A1902" s="37"/>
      <c r="B1902" s="44"/>
      <c r="C1902" s="44"/>
      <c r="D1902" s="44"/>
      <c r="E1902" s="44"/>
      <c r="F1902" s="44"/>
      <c r="G1902" s="42"/>
      <c r="H1902" s="42"/>
      <c r="I1902" s="44"/>
      <c r="J1902" s="11" t="str">
        <f aca="false">IF(D1902="","",N(G1902)-N(H1902))</f>
        <v/>
      </c>
      <c r="K1902" s="34" t="str">
        <f aca="false">IF(D1902="","",IFERROR(INDEX(I_COA!$C$6:$C$265,MATCH(D1902,I_COA!$A$6:$A$265,0)),"AKUN BARU"))</f>
        <v/>
      </c>
      <c r="L1902" s="34" t="str">
        <f aca="false">IF(K1902="LabaRugi",INDEX(I_COA!$D$6:$D$265,MATCH(D1902,I_COA!$A$6:$A$265,0)),"")</f>
        <v/>
      </c>
      <c r="M1902" s="34" t="str">
        <f aca="false">IF(K1902="Neraca",INDEX(I_COA!$E$6:$E$265,MATCH(D1902,I_COA!$A$6:$A$265,0)),"")</f>
        <v/>
      </c>
      <c r="N1902" s="34" t="str">
        <f aca="false">IF(D1902="","",IFERROR(INDEX(I_COA!$G$6:$G$265,MATCH(D1902,I_COA!$A$6:$A$265,0)),"N"))</f>
        <v/>
      </c>
      <c r="O1902" s="11" t="str">
        <f aca="false">IF(N1902="N",ABS(J1902),"")</f>
        <v/>
      </c>
      <c r="P1902" s="18" t="str">
        <f aca="false">IF(N1902="N",B1902&amp;"|"&amp;ROUND(O1902,0),"")</f>
        <v/>
      </c>
      <c r="Q1902" s="18" t="str">
        <f aca="false">IF(N1902&lt;&gt;"Y","",IFERROR(INDEX($D$6:$D$4005,MATCH(B1902&amp;"|"&amp;ROUND(_xlfn.MAXIFS($O$6:$O$4005,$B$6:$B$4005,B1902,$N$6:$N$4005,"N"),0),$P$6:$P$4005,0)),"(tanpa lawan)"))</f>
        <v/>
      </c>
      <c r="R1902" s="44"/>
      <c r="S1902" s="9" t="str">
        <f aca="false">IF(N1902&lt;&gt;"Y","",IF(R1902&lt;&gt;"",R1902,IF(Q1902="(tanpa lawan)","Transfer antar rekening",IFERROR(INDEX(I_COA!$F$6:$F$265,MATCH(Q1902,I_COA!$A$6:$A$265,0)),"?"))))</f>
        <v/>
      </c>
    </row>
    <row r="1903" customFormat="false" ht="15" hidden="false" customHeight="false" outlineLevel="0" collapsed="false">
      <c r="A1903" s="37"/>
      <c r="B1903" s="44"/>
      <c r="C1903" s="44"/>
      <c r="D1903" s="44"/>
      <c r="E1903" s="44"/>
      <c r="F1903" s="44"/>
      <c r="G1903" s="42"/>
      <c r="H1903" s="42"/>
      <c r="I1903" s="44"/>
      <c r="J1903" s="11" t="str">
        <f aca="false">IF(D1903="","",N(G1903)-N(H1903))</f>
        <v/>
      </c>
      <c r="K1903" s="34" t="str">
        <f aca="false">IF(D1903="","",IFERROR(INDEX(I_COA!$C$6:$C$265,MATCH(D1903,I_COA!$A$6:$A$265,0)),"AKUN BARU"))</f>
        <v/>
      </c>
      <c r="L1903" s="34" t="str">
        <f aca="false">IF(K1903="LabaRugi",INDEX(I_COA!$D$6:$D$265,MATCH(D1903,I_COA!$A$6:$A$265,0)),"")</f>
        <v/>
      </c>
      <c r="M1903" s="34" t="str">
        <f aca="false">IF(K1903="Neraca",INDEX(I_COA!$E$6:$E$265,MATCH(D1903,I_COA!$A$6:$A$265,0)),"")</f>
        <v/>
      </c>
      <c r="N1903" s="34" t="str">
        <f aca="false">IF(D1903="","",IFERROR(INDEX(I_COA!$G$6:$G$265,MATCH(D1903,I_COA!$A$6:$A$265,0)),"N"))</f>
        <v/>
      </c>
      <c r="O1903" s="11" t="str">
        <f aca="false">IF(N1903="N",ABS(J1903),"")</f>
        <v/>
      </c>
      <c r="P1903" s="18" t="str">
        <f aca="false">IF(N1903="N",B1903&amp;"|"&amp;ROUND(O1903,0),"")</f>
        <v/>
      </c>
      <c r="Q1903" s="18" t="str">
        <f aca="false">IF(N1903&lt;&gt;"Y","",IFERROR(INDEX($D$6:$D$4005,MATCH(B1903&amp;"|"&amp;ROUND(_xlfn.MAXIFS($O$6:$O$4005,$B$6:$B$4005,B1903,$N$6:$N$4005,"N"),0),$P$6:$P$4005,0)),"(tanpa lawan)"))</f>
        <v/>
      </c>
      <c r="R1903" s="44"/>
      <c r="S1903" s="9" t="str">
        <f aca="false">IF(N1903&lt;&gt;"Y","",IF(R1903&lt;&gt;"",R1903,IF(Q1903="(tanpa lawan)","Transfer antar rekening",IFERROR(INDEX(I_COA!$F$6:$F$265,MATCH(Q1903,I_COA!$A$6:$A$265,0)),"?"))))</f>
        <v/>
      </c>
    </row>
    <row r="1904" customFormat="false" ht="15" hidden="false" customHeight="false" outlineLevel="0" collapsed="false">
      <c r="A1904" s="37"/>
      <c r="B1904" s="44"/>
      <c r="C1904" s="44"/>
      <c r="D1904" s="44"/>
      <c r="E1904" s="44"/>
      <c r="F1904" s="44"/>
      <c r="G1904" s="42"/>
      <c r="H1904" s="42"/>
      <c r="I1904" s="44"/>
      <c r="J1904" s="11" t="str">
        <f aca="false">IF(D1904="","",N(G1904)-N(H1904))</f>
        <v/>
      </c>
      <c r="K1904" s="34" t="str">
        <f aca="false">IF(D1904="","",IFERROR(INDEX(I_COA!$C$6:$C$265,MATCH(D1904,I_COA!$A$6:$A$265,0)),"AKUN BARU"))</f>
        <v/>
      </c>
      <c r="L1904" s="34" t="str">
        <f aca="false">IF(K1904="LabaRugi",INDEX(I_COA!$D$6:$D$265,MATCH(D1904,I_COA!$A$6:$A$265,0)),"")</f>
        <v/>
      </c>
      <c r="M1904" s="34" t="str">
        <f aca="false">IF(K1904="Neraca",INDEX(I_COA!$E$6:$E$265,MATCH(D1904,I_COA!$A$6:$A$265,0)),"")</f>
        <v/>
      </c>
      <c r="N1904" s="34" t="str">
        <f aca="false">IF(D1904="","",IFERROR(INDEX(I_COA!$G$6:$G$265,MATCH(D1904,I_COA!$A$6:$A$265,0)),"N"))</f>
        <v/>
      </c>
      <c r="O1904" s="11" t="str">
        <f aca="false">IF(N1904="N",ABS(J1904),"")</f>
        <v/>
      </c>
      <c r="P1904" s="18" t="str">
        <f aca="false">IF(N1904="N",B1904&amp;"|"&amp;ROUND(O1904,0),"")</f>
        <v/>
      </c>
      <c r="Q1904" s="18" t="str">
        <f aca="false">IF(N1904&lt;&gt;"Y","",IFERROR(INDEX($D$6:$D$4005,MATCH(B1904&amp;"|"&amp;ROUND(_xlfn.MAXIFS($O$6:$O$4005,$B$6:$B$4005,B1904,$N$6:$N$4005,"N"),0),$P$6:$P$4005,0)),"(tanpa lawan)"))</f>
        <v/>
      </c>
      <c r="R1904" s="44"/>
      <c r="S1904" s="9" t="str">
        <f aca="false">IF(N1904&lt;&gt;"Y","",IF(R1904&lt;&gt;"",R1904,IF(Q1904="(tanpa lawan)","Transfer antar rekening",IFERROR(INDEX(I_COA!$F$6:$F$265,MATCH(Q1904,I_COA!$A$6:$A$265,0)),"?"))))</f>
        <v/>
      </c>
    </row>
    <row r="1905" customFormat="false" ht="15" hidden="false" customHeight="false" outlineLevel="0" collapsed="false">
      <c r="A1905" s="37"/>
      <c r="B1905" s="44"/>
      <c r="C1905" s="44"/>
      <c r="D1905" s="44"/>
      <c r="E1905" s="44"/>
      <c r="F1905" s="44"/>
      <c r="G1905" s="42"/>
      <c r="H1905" s="42"/>
      <c r="I1905" s="44"/>
      <c r="J1905" s="11" t="str">
        <f aca="false">IF(D1905="","",N(G1905)-N(H1905))</f>
        <v/>
      </c>
      <c r="K1905" s="34" t="str">
        <f aca="false">IF(D1905="","",IFERROR(INDEX(I_COA!$C$6:$C$265,MATCH(D1905,I_COA!$A$6:$A$265,0)),"AKUN BARU"))</f>
        <v/>
      </c>
      <c r="L1905" s="34" t="str">
        <f aca="false">IF(K1905="LabaRugi",INDEX(I_COA!$D$6:$D$265,MATCH(D1905,I_COA!$A$6:$A$265,0)),"")</f>
        <v/>
      </c>
      <c r="M1905" s="34" t="str">
        <f aca="false">IF(K1905="Neraca",INDEX(I_COA!$E$6:$E$265,MATCH(D1905,I_COA!$A$6:$A$265,0)),"")</f>
        <v/>
      </c>
      <c r="N1905" s="34" t="str">
        <f aca="false">IF(D1905="","",IFERROR(INDEX(I_COA!$G$6:$G$265,MATCH(D1905,I_COA!$A$6:$A$265,0)),"N"))</f>
        <v/>
      </c>
      <c r="O1905" s="11" t="str">
        <f aca="false">IF(N1905="N",ABS(J1905),"")</f>
        <v/>
      </c>
      <c r="P1905" s="18" t="str">
        <f aca="false">IF(N1905="N",B1905&amp;"|"&amp;ROUND(O1905,0),"")</f>
        <v/>
      </c>
      <c r="Q1905" s="18" t="str">
        <f aca="false">IF(N1905&lt;&gt;"Y","",IFERROR(INDEX($D$6:$D$4005,MATCH(B1905&amp;"|"&amp;ROUND(_xlfn.MAXIFS($O$6:$O$4005,$B$6:$B$4005,B1905,$N$6:$N$4005,"N"),0),$P$6:$P$4005,0)),"(tanpa lawan)"))</f>
        <v/>
      </c>
      <c r="R1905" s="44"/>
      <c r="S1905" s="9" t="str">
        <f aca="false">IF(N1905&lt;&gt;"Y","",IF(R1905&lt;&gt;"",R1905,IF(Q1905="(tanpa lawan)","Transfer antar rekening",IFERROR(INDEX(I_COA!$F$6:$F$265,MATCH(Q1905,I_COA!$A$6:$A$265,0)),"?"))))</f>
        <v/>
      </c>
    </row>
    <row r="1906" customFormat="false" ht="15" hidden="false" customHeight="false" outlineLevel="0" collapsed="false">
      <c r="A1906" s="37"/>
      <c r="B1906" s="44"/>
      <c r="C1906" s="44"/>
      <c r="D1906" s="44"/>
      <c r="E1906" s="44"/>
      <c r="F1906" s="44"/>
      <c r="G1906" s="42"/>
      <c r="H1906" s="42"/>
      <c r="I1906" s="44"/>
      <c r="J1906" s="11" t="str">
        <f aca="false">IF(D1906="","",N(G1906)-N(H1906))</f>
        <v/>
      </c>
      <c r="K1906" s="34" t="str">
        <f aca="false">IF(D1906="","",IFERROR(INDEX(I_COA!$C$6:$C$265,MATCH(D1906,I_COA!$A$6:$A$265,0)),"AKUN BARU"))</f>
        <v/>
      </c>
      <c r="L1906" s="34" t="str">
        <f aca="false">IF(K1906="LabaRugi",INDEX(I_COA!$D$6:$D$265,MATCH(D1906,I_COA!$A$6:$A$265,0)),"")</f>
        <v/>
      </c>
      <c r="M1906" s="34" t="str">
        <f aca="false">IF(K1906="Neraca",INDEX(I_COA!$E$6:$E$265,MATCH(D1906,I_COA!$A$6:$A$265,0)),"")</f>
        <v/>
      </c>
      <c r="N1906" s="34" t="str">
        <f aca="false">IF(D1906="","",IFERROR(INDEX(I_COA!$G$6:$G$265,MATCH(D1906,I_COA!$A$6:$A$265,0)),"N"))</f>
        <v/>
      </c>
      <c r="O1906" s="11" t="str">
        <f aca="false">IF(N1906="N",ABS(J1906),"")</f>
        <v/>
      </c>
      <c r="P1906" s="18" t="str">
        <f aca="false">IF(N1906="N",B1906&amp;"|"&amp;ROUND(O1906,0),"")</f>
        <v/>
      </c>
      <c r="Q1906" s="18" t="str">
        <f aca="false">IF(N1906&lt;&gt;"Y","",IFERROR(INDEX($D$6:$D$4005,MATCH(B1906&amp;"|"&amp;ROUND(_xlfn.MAXIFS($O$6:$O$4005,$B$6:$B$4005,B1906,$N$6:$N$4005,"N"),0),$P$6:$P$4005,0)),"(tanpa lawan)"))</f>
        <v/>
      </c>
      <c r="R1906" s="44"/>
      <c r="S1906" s="9" t="str">
        <f aca="false">IF(N1906&lt;&gt;"Y","",IF(R1906&lt;&gt;"",R1906,IF(Q1906="(tanpa lawan)","Transfer antar rekening",IFERROR(INDEX(I_COA!$F$6:$F$265,MATCH(Q1906,I_COA!$A$6:$A$265,0)),"?"))))</f>
        <v/>
      </c>
    </row>
    <row r="1907" customFormat="false" ht="15" hidden="false" customHeight="false" outlineLevel="0" collapsed="false">
      <c r="A1907" s="37"/>
      <c r="B1907" s="44"/>
      <c r="C1907" s="44"/>
      <c r="D1907" s="44"/>
      <c r="E1907" s="44"/>
      <c r="F1907" s="44"/>
      <c r="G1907" s="42"/>
      <c r="H1907" s="42"/>
      <c r="I1907" s="44"/>
      <c r="J1907" s="11" t="str">
        <f aca="false">IF(D1907="","",N(G1907)-N(H1907))</f>
        <v/>
      </c>
      <c r="K1907" s="34" t="str">
        <f aca="false">IF(D1907="","",IFERROR(INDEX(I_COA!$C$6:$C$265,MATCH(D1907,I_COA!$A$6:$A$265,0)),"AKUN BARU"))</f>
        <v/>
      </c>
      <c r="L1907" s="34" t="str">
        <f aca="false">IF(K1907="LabaRugi",INDEX(I_COA!$D$6:$D$265,MATCH(D1907,I_COA!$A$6:$A$265,0)),"")</f>
        <v/>
      </c>
      <c r="M1907" s="34" t="str">
        <f aca="false">IF(K1907="Neraca",INDEX(I_COA!$E$6:$E$265,MATCH(D1907,I_COA!$A$6:$A$265,0)),"")</f>
        <v/>
      </c>
      <c r="N1907" s="34" t="str">
        <f aca="false">IF(D1907="","",IFERROR(INDEX(I_COA!$G$6:$G$265,MATCH(D1907,I_COA!$A$6:$A$265,0)),"N"))</f>
        <v/>
      </c>
      <c r="O1907" s="11" t="str">
        <f aca="false">IF(N1907="N",ABS(J1907),"")</f>
        <v/>
      </c>
      <c r="P1907" s="18" t="str">
        <f aca="false">IF(N1907="N",B1907&amp;"|"&amp;ROUND(O1907,0),"")</f>
        <v/>
      </c>
      <c r="Q1907" s="18" t="str">
        <f aca="false">IF(N1907&lt;&gt;"Y","",IFERROR(INDEX($D$6:$D$4005,MATCH(B1907&amp;"|"&amp;ROUND(_xlfn.MAXIFS($O$6:$O$4005,$B$6:$B$4005,B1907,$N$6:$N$4005,"N"),0),$P$6:$P$4005,0)),"(tanpa lawan)"))</f>
        <v/>
      </c>
      <c r="R1907" s="44"/>
      <c r="S1907" s="9" t="str">
        <f aca="false">IF(N1907&lt;&gt;"Y","",IF(R1907&lt;&gt;"",R1907,IF(Q1907="(tanpa lawan)","Transfer antar rekening",IFERROR(INDEX(I_COA!$F$6:$F$265,MATCH(Q1907,I_COA!$A$6:$A$265,0)),"?"))))</f>
        <v/>
      </c>
    </row>
    <row r="1908" customFormat="false" ht="15" hidden="false" customHeight="false" outlineLevel="0" collapsed="false">
      <c r="A1908" s="37"/>
      <c r="B1908" s="44"/>
      <c r="C1908" s="44"/>
      <c r="D1908" s="44"/>
      <c r="E1908" s="44"/>
      <c r="F1908" s="44"/>
      <c r="G1908" s="42"/>
      <c r="H1908" s="42"/>
      <c r="I1908" s="44"/>
      <c r="J1908" s="11" t="str">
        <f aca="false">IF(D1908="","",N(G1908)-N(H1908))</f>
        <v/>
      </c>
      <c r="K1908" s="34" t="str">
        <f aca="false">IF(D1908="","",IFERROR(INDEX(I_COA!$C$6:$C$265,MATCH(D1908,I_COA!$A$6:$A$265,0)),"AKUN BARU"))</f>
        <v/>
      </c>
      <c r="L1908" s="34" t="str">
        <f aca="false">IF(K1908="LabaRugi",INDEX(I_COA!$D$6:$D$265,MATCH(D1908,I_COA!$A$6:$A$265,0)),"")</f>
        <v/>
      </c>
      <c r="M1908" s="34" t="str">
        <f aca="false">IF(K1908="Neraca",INDEX(I_COA!$E$6:$E$265,MATCH(D1908,I_COA!$A$6:$A$265,0)),"")</f>
        <v/>
      </c>
      <c r="N1908" s="34" t="str">
        <f aca="false">IF(D1908="","",IFERROR(INDEX(I_COA!$G$6:$G$265,MATCH(D1908,I_COA!$A$6:$A$265,0)),"N"))</f>
        <v/>
      </c>
      <c r="O1908" s="11" t="str">
        <f aca="false">IF(N1908="N",ABS(J1908),"")</f>
        <v/>
      </c>
      <c r="P1908" s="18" t="str">
        <f aca="false">IF(N1908="N",B1908&amp;"|"&amp;ROUND(O1908,0),"")</f>
        <v/>
      </c>
      <c r="Q1908" s="18" t="str">
        <f aca="false">IF(N1908&lt;&gt;"Y","",IFERROR(INDEX($D$6:$D$4005,MATCH(B1908&amp;"|"&amp;ROUND(_xlfn.MAXIFS($O$6:$O$4005,$B$6:$B$4005,B1908,$N$6:$N$4005,"N"),0),$P$6:$P$4005,0)),"(tanpa lawan)"))</f>
        <v/>
      </c>
      <c r="R1908" s="44"/>
      <c r="S1908" s="9" t="str">
        <f aca="false">IF(N1908&lt;&gt;"Y","",IF(R1908&lt;&gt;"",R1908,IF(Q1908="(tanpa lawan)","Transfer antar rekening",IFERROR(INDEX(I_COA!$F$6:$F$265,MATCH(Q1908,I_COA!$A$6:$A$265,0)),"?"))))</f>
        <v/>
      </c>
    </row>
    <row r="1909" customFormat="false" ht="15" hidden="false" customHeight="false" outlineLevel="0" collapsed="false">
      <c r="A1909" s="37"/>
      <c r="B1909" s="44"/>
      <c r="C1909" s="44"/>
      <c r="D1909" s="44"/>
      <c r="E1909" s="44"/>
      <c r="F1909" s="44"/>
      <c r="G1909" s="42"/>
      <c r="H1909" s="42"/>
      <c r="I1909" s="44"/>
      <c r="J1909" s="11" t="str">
        <f aca="false">IF(D1909="","",N(G1909)-N(H1909))</f>
        <v/>
      </c>
      <c r="K1909" s="34" t="str">
        <f aca="false">IF(D1909="","",IFERROR(INDEX(I_COA!$C$6:$C$265,MATCH(D1909,I_COA!$A$6:$A$265,0)),"AKUN BARU"))</f>
        <v/>
      </c>
      <c r="L1909" s="34" t="str">
        <f aca="false">IF(K1909="LabaRugi",INDEX(I_COA!$D$6:$D$265,MATCH(D1909,I_COA!$A$6:$A$265,0)),"")</f>
        <v/>
      </c>
      <c r="M1909" s="34" t="str">
        <f aca="false">IF(K1909="Neraca",INDEX(I_COA!$E$6:$E$265,MATCH(D1909,I_COA!$A$6:$A$265,0)),"")</f>
        <v/>
      </c>
      <c r="N1909" s="34" t="str">
        <f aca="false">IF(D1909="","",IFERROR(INDEX(I_COA!$G$6:$G$265,MATCH(D1909,I_COA!$A$6:$A$265,0)),"N"))</f>
        <v/>
      </c>
      <c r="O1909" s="11" t="str">
        <f aca="false">IF(N1909="N",ABS(J1909),"")</f>
        <v/>
      </c>
      <c r="P1909" s="18" t="str">
        <f aca="false">IF(N1909="N",B1909&amp;"|"&amp;ROUND(O1909,0),"")</f>
        <v/>
      </c>
      <c r="Q1909" s="18" t="str">
        <f aca="false">IF(N1909&lt;&gt;"Y","",IFERROR(INDEX($D$6:$D$4005,MATCH(B1909&amp;"|"&amp;ROUND(_xlfn.MAXIFS($O$6:$O$4005,$B$6:$B$4005,B1909,$N$6:$N$4005,"N"),0),$P$6:$P$4005,0)),"(tanpa lawan)"))</f>
        <v/>
      </c>
      <c r="R1909" s="44"/>
      <c r="S1909" s="9" t="str">
        <f aca="false">IF(N1909&lt;&gt;"Y","",IF(R1909&lt;&gt;"",R1909,IF(Q1909="(tanpa lawan)","Transfer antar rekening",IFERROR(INDEX(I_COA!$F$6:$F$265,MATCH(Q1909,I_COA!$A$6:$A$265,0)),"?"))))</f>
        <v/>
      </c>
    </row>
    <row r="1910" customFormat="false" ht="15" hidden="false" customHeight="false" outlineLevel="0" collapsed="false">
      <c r="A1910" s="37"/>
      <c r="B1910" s="44"/>
      <c r="C1910" s="44"/>
      <c r="D1910" s="44"/>
      <c r="E1910" s="44"/>
      <c r="F1910" s="44"/>
      <c r="G1910" s="42"/>
      <c r="H1910" s="42"/>
      <c r="I1910" s="44"/>
      <c r="J1910" s="11" t="str">
        <f aca="false">IF(D1910="","",N(G1910)-N(H1910))</f>
        <v/>
      </c>
      <c r="K1910" s="34" t="str">
        <f aca="false">IF(D1910="","",IFERROR(INDEX(I_COA!$C$6:$C$265,MATCH(D1910,I_COA!$A$6:$A$265,0)),"AKUN BARU"))</f>
        <v/>
      </c>
      <c r="L1910" s="34" t="str">
        <f aca="false">IF(K1910="LabaRugi",INDEX(I_COA!$D$6:$D$265,MATCH(D1910,I_COA!$A$6:$A$265,0)),"")</f>
        <v/>
      </c>
      <c r="M1910" s="34" t="str">
        <f aca="false">IF(K1910="Neraca",INDEX(I_COA!$E$6:$E$265,MATCH(D1910,I_COA!$A$6:$A$265,0)),"")</f>
        <v/>
      </c>
      <c r="N1910" s="34" t="str">
        <f aca="false">IF(D1910="","",IFERROR(INDEX(I_COA!$G$6:$G$265,MATCH(D1910,I_COA!$A$6:$A$265,0)),"N"))</f>
        <v/>
      </c>
      <c r="O1910" s="11" t="str">
        <f aca="false">IF(N1910="N",ABS(J1910),"")</f>
        <v/>
      </c>
      <c r="P1910" s="18" t="str">
        <f aca="false">IF(N1910="N",B1910&amp;"|"&amp;ROUND(O1910,0),"")</f>
        <v/>
      </c>
      <c r="Q1910" s="18" t="str">
        <f aca="false">IF(N1910&lt;&gt;"Y","",IFERROR(INDEX($D$6:$D$4005,MATCH(B1910&amp;"|"&amp;ROUND(_xlfn.MAXIFS($O$6:$O$4005,$B$6:$B$4005,B1910,$N$6:$N$4005,"N"),0),$P$6:$P$4005,0)),"(tanpa lawan)"))</f>
        <v/>
      </c>
      <c r="R1910" s="44"/>
      <c r="S1910" s="9" t="str">
        <f aca="false">IF(N1910&lt;&gt;"Y","",IF(R1910&lt;&gt;"",R1910,IF(Q1910="(tanpa lawan)","Transfer antar rekening",IFERROR(INDEX(I_COA!$F$6:$F$265,MATCH(Q1910,I_COA!$A$6:$A$265,0)),"?"))))</f>
        <v/>
      </c>
    </row>
    <row r="1911" customFormat="false" ht="15" hidden="false" customHeight="false" outlineLevel="0" collapsed="false">
      <c r="A1911" s="37"/>
      <c r="B1911" s="44"/>
      <c r="C1911" s="44"/>
      <c r="D1911" s="44"/>
      <c r="E1911" s="44"/>
      <c r="F1911" s="44"/>
      <c r="G1911" s="42"/>
      <c r="H1911" s="42"/>
      <c r="I1911" s="44"/>
      <c r="J1911" s="11" t="str">
        <f aca="false">IF(D1911="","",N(G1911)-N(H1911))</f>
        <v/>
      </c>
      <c r="K1911" s="34" t="str">
        <f aca="false">IF(D1911="","",IFERROR(INDEX(I_COA!$C$6:$C$265,MATCH(D1911,I_COA!$A$6:$A$265,0)),"AKUN BARU"))</f>
        <v/>
      </c>
      <c r="L1911" s="34" t="str">
        <f aca="false">IF(K1911="LabaRugi",INDEX(I_COA!$D$6:$D$265,MATCH(D1911,I_COA!$A$6:$A$265,0)),"")</f>
        <v/>
      </c>
      <c r="M1911" s="34" t="str">
        <f aca="false">IF(K1911="Neraca",INDEX(I_COA!$E$6:$E$265,MATCH(D1911,I_COA!$A$6:$A$265,0)),"")</f>
        <v/>
      </c>
      <c r="N1911" s="34" t="str">
        <f aca="false">IF(D1911="","",IFERROR(INDEX(I_COA!$G$6:$G$265,MATCH(D1911,I_COA!$A$6:$A$265,0)),"N"))</f>
        <v/>
      </c>
      <c r="O1911" s="11" t="str">
        <f aca="false">IF(N1911="N",ABS(J1911),"")</f>
        <v/>
      </c>
      <c r="P1911" s="18" t="str">
        <f aca="false">IF(N1911="N",B1911&amp;"|"&amp;ROUND(O1911,0),"")</f>
        <v/>
      </c>
      <c r="Q1911" s="18" t="str">
        <f aca="false">IF(N1911&lt;&gt;"Y","",IFERROR(INDEX($D$6:$D$4005,MATCH(B1911&amp;"|"&amp;ROUND(_xlfn.MAXIFS($O$6:$O$4005,$B$6:$B$4005,B1911,$N$6:$N$4005,"N"),0),$P$6:$P$4005,0)),"(tanpa lawan)"))</f>
        <v/>
      </c>
      <c r="R1911" s="44"/>
      <c r="S1911" s="9" t="str">
        <f aca="false">IF(N1911&lt;&gt;"Y","",IF(R1911&lt;&gt;"",R1911,IF(Q1911="(tanpa lawan)","Transfer antar rekening",IFERROR(INDEX(I_COA!$F$6:$F$265,MATCH(Q1911,I_COA!$A$6:$A$265,0)),"?"))))</f>
        <v/>
      </c>
    </row>
    <row r="1912" customFormat="false" ht="15" hidden="false" customHeight="false" outlineLevel="0" collapsed="false">
      <c r="A1912" s="37"/>
      <c r="B1912" s="44"/>
      <c r="C1912" s="44"/>
      <c r="D1912" s="44"/>
      <c r="E1912" s="44"/>
      <c r="F1912" s="44"/>
      <c r="G1912" s="42"/>
      <c r="H1912" s="42"/>
      <c r="I1912" s="44"/>
      <c r="J1912" s="11" t="str">
        <f aca="false">IF(D1912="","",N(G1912)-N(H1912))</f>
        <v/>
      </c>
      <c r="K1912" s="34" t="str">
        <f aca="false">IF(D1912="","",IFERROR(INDEX(I_COA!$C$6:$C$265,MATCH(D1912,I_COA!$A$6:$A$265,0)),"AKUN BARU"))</f>
        <v/>
      </c>
      <c r="L1912" s="34" t="str">
        <f aca="false">IF(K1912="LabaRugi",INDEX(I_COA!$D$6:$D$265,MATCH(D1912,I_COA!$A$6:$A$265,0)),"")</f>
        <v/>
      </c>
      <c r="M1912" s="34" t="str">
        <f aca="false">IF(K1912="Neraca",INDEX(I_COA!$E$6:$E$265,MATCH(D1912,I_COA!$A$6:$A$265,0)),"")</f>
        <v/>
      </c>
      <c r="N1912" s="34" t="str">
        <f aca="false">IF(D1912="","",IFERROR(INDEX(I_COA!$G$6:$G$265,MATCH(D1912,I_COA!$A$6:$A$265,0)),"N"))</f>
        <v/>
      </c>
      <c r="O1912" s="11" t="str">
        <f aca="false">IF(N1912="N",ABS(J1912),"")</f>
        <v/>
      </c>
      <c r="P1912" s="18" t="str">
        <f aca="false">IF(N1912="N",B1912&amp;"|"&amp;ROUND(O1912,0),"")</f>
        <v/>
      </c>
      <c r="Q1912" s="18" t="str">
        <f aca="false">IF(N1912&lt;&gt;"Y","",IFERROR(INDEX($D$6:$D$4005,MATCH(B1912&amp;"|"&amp;ROUND(_xlfn.MAXIFS($O$6:$O$4005,$B$6:$B$4005,B1912,$N$6:$N$4005,"N"),0),$P$6:$P$4005,0)),"(tanpa lawan)"))</f>
        <v/>
      </c>
      <c r="R1912" s="44"/>
      <c r="S1912" s="9" t="str">
        <f aca="false">IF(N1912&lt;&gt;"Y","",IF(R1912&lt;&gt;"",R1912,IF(Q1912="(tanpa lawan)","Transfer antar rekening",IFERROR(INDEX(I_COA!$F$6:$F$265,MATCH(Q1912,I_COA!$A$6:$A$265,0)),"?"))))</f>
        <v/>
      </c>
    </row>
    <row r="1913" customFormat="false" ht="15" hidden="false" customHeight="false" outlineLevel="0" collapsed="false">
      <c r="A1913" s="37"/>
      <c r="B1913" s="44"/>
      <c r="C1913" s="44"/>
      <c r="D1913" s="44"/>
      <c r="E1913" s="44"/>
      <c r="F1913" s="44"/>
      <c r="G1913" s="42"/>
      <c r="H1913" s="42"/>
      <c r="I1913" s="44"/>
      <c r="J1913" s="11" t="str">
        <f aca="false">IF(D1913="","",N(G1913)-N(H1913))</f>
        <v/>
      </c>
      <c r="K1913" s="34" t="str">
        <f aca="false">IF(D1913="","",IFERROR(INDEX(I_COA!$C$6:$C$265,MATCH(D1913,I_COA!$A$6:$A$265,0)),"AKUN BARU"))</f>
        <v/>
      </c>
      <c r="L1913" s="34" t="str">
        <f aca="false">IF(K1913="LabaRugi",INDEX(I_COA!$D$6:$D$265,MATCH(D1913,I_COA!$A$6:$A$265,0)),"")</f>
        <v/>
      </c>
      <c r="M1913" s="34" t="str">
        <f aca="false">IF(K1913="Neraca",INDEX(I_COA!$E$6:$E$265,MATCH(D1913,I_COA!$A$6:$A$265,0)),"")</f>
        <v/>
      </c>
      <c r="N1913" s="34" t="str">
        <f aca="false">IF(D1913="","",IFERROR(INDEX(I_COA!$G$6:$G$265,MATCH(D1913,I_COA!$A$6:$A$265,0)),"N"))</f>
        <v/>
      </c>
      <c r="O1913" s="11" t="str">
        <f aca="false">IF(N1913="N",ABS(J1913),"")</f>
        <v/>
      </c>
      <c r="P1913" s="18" t="str">
        <f aca="false">IF(N1913="N",B1913&amp;"|"&amp;ROUND(O1913,0),"")</f>
        <v/>
      </c>
      <c r="Q1913" s="18" t="str">
        <f aca="false">IF(N1913&lt;&gt;"Y","",IFERROR(INDEX($D$6:$D$4005,MATCH(B1913&amp;"|"&amp;ROUND(_xlfn.MAXIFS($O$6:$O$4005,$B$6:$B$4005,B1913,$N$6:$N$4005,"N"),0),$P$6:$P$4005,0)),"(tanpa lawan)"))</f>
        <v/>
      </c>
      <c r="R1913" s="44"/>
      <c r="S1913" s="9" t="str">
        <f aca="false">IF(N1913&lt;&gt;"Y","",IF(R1913&lt;&gt;"",R1913,IF(Q1913="(tanpa lawan)","Transfer antar rekening",IFERROR(INDEX(I_COA!$F$6:$F$265,MATCH(Q1913,I_COA!$A$6:$A$265,0)),"?"))))</f>
        <v/>
      </c>
    </row>
    <row r="1914" customFormat="false" ht="15" hidden="false" customHeight="false" outlineLevel="0" collapsed="false">
      <c r="A1914" s="37"/>
      <c r="B1914" s="44"/>
      <c r="C1914" s="44"/>
      <c r="D1914" s="44"/>
      <c r="E1914" s="44"/>
      <c r="F1914" s="44"/>
      <c r="G1914" s="42"/>
      <c r="H1914" s="42"/>
      <c r="I1914" s="44"/>
      <c r="J1914" s="11" t="str">
        <f aca="false">IF(D1914="","",N(G1914)-N(H1914))</f>
        <v/>
      </c>
      <c r="K1914" s="34" t="str">
        <f aca="false">IF(D1914="","",IFERROR(INDEX(I_COA!$C$6:$C$265,MATCH(D1914,I_COA!$A$6:$A$265,0)),"AKUN BARU"))</f>
        <v/>
      </c>
      <c r="L1914" s="34" t="str">
        <f aca="false">IF(K1914="LabaRugi",INDEX(I_COA!$D$6:$D$265,MATCH(D1914,I_COA!$A$6:$A$265,0)),"")</f>
        <v/>
      </c>
      <c r="M1914" s="34" t="str">
        <f aca="false">IF(K1914="Neraca",INDEX(I_COA!$E$6:$E$265,MATCH(D1914,I_COA!$A$6:$A$265,0)),"")</f>
        <v/>
      </c>
      <c r="N1914" s="34" t="str">
        <f aca="false">IF(D1914="","",IFERROR(INDEX(I_COA!$G$6:$G$265,MATCH(D1914,I_COA!$A$6:$A$265,0)),"N"))</f>
        <v/>
      </c>
      <c r="O1914" s="11" t="str">
        <f aca="false">IF(N1914="N",ABS(J1914),"")</f>
        <v/>
      </c>
      <c r="P1914" s="18" t="str">
        <f aca="false">IF(N1914="N",B1914&amp;"|"&amp;ROUND(O1914,0),"")</f>
        <v/>
      </c>
      <c r="Q1914" s="18" t="str">
        <f aca="false">IF(N1914&lt;&gt;"Y","",IFERROR(INDEX($D$6:$D$4005,MATCH(B1914&amp;"|"&amp;ROUND(_xlfn.MAXIFS($O$6:$O$4005,$B$6:$B$4005,B1914,$N$6:$N$4005,"N"),0),$P$6:$P$4005,0)),"(tanpa lawan)"))</f>
        <v/>
      </c>
      <c r="R1914" s="44"/>
      <c r="S1914" s="9" t="str">
        <f aca="false">IF(N1914&lt;&gt;"Y","",IF(R1914&lt;&gt;"",R1914,IF(Q1914="(tanpa lawan)","Transfer antar rekening",IFERROR(INDEX(I_COA!$F$6:$F$265,MATCH(Q1914,I_COA!$A$6:$A$265,0)),"?"))))</f>
        <v/>
      </c>
    </row>
    <row r="1915" customFormat="false" ht="15" hidden="false" customHeight="false" outlineLevel="0" collapsed="false">
      <c r="A1915" s="37"/>
      <c r="B1915" s="44"/>
      <c r="C1915" s="44"/>
      <c r="D1915" s="44"/>
      <c r="E1915" s="44"/>
      <c r="F1915" s="44"/>
      <c r="G1915" s="42"/>
      <c r="H1915" s="42"/>
      <c r="I1915" s="44"/>
      <c r="J1915" s="11" t="str">
        <f aca="false">IF(D1915="","",N(G1915)-N(H1915))</f>
        <v/>
      </c>
      <c r="K1915" s="34" t="str">
        <f aca="false">IF(D1915="","",IFERROR(INDEX(I_COA!$C$6:$C$265,MATCH(D1915,I_COA!$A$6:$A$265,0)),"AKUN BARU"))</f>
        <v/>
      </c>
      <c r="L1915" s="34" t="str">
        <f aca="false">IF(K1915="LabaRugi",INDEX(I_COA!$D$6:$D$265,MATCH(D1915,I_COA!$A$6:$A$265,0)),"")</f>
        <v/>
      </c>
      <c r="M1915" s="34" t="str">
        <f aca="false">IF(K1915="Neraca",INDEX(I_COA!$E$6:$E$265,MATCH(D1915,I_COA!$A$6:$A$265,0)),"")</f>
        <v/>
      </c>
      <c r="N1915" s="34" t="str">
        <f aca="false">IF(D1915="","",IFERROR(INDEX(I_COA!$G$6:$G$265,MATCH(D1915,I_COA!$A$6:$A$265,0)),"N"))</f>
        <v/>
      </c>
      <c r="O1915" s="11" t="str">
        <f aca="false">IF(N1915="N",ABS(J1915),"")</f>
        <v/>
      </c>
      <c r="P1915" s="18" t="str">
        <f aca="false">IF(N1915="N",B1915&amp;"|"&amp;ROUND(O1915,0),"")</f>
        <v/>
      </c>
      <c r="Q1915" s="18" t="str">
        <f aca="false">IF(N1915&lt;&gt;"Y","",IFERROR(INDEX($D$6:$D$4005,MATCH(B1915&amp;"|"&amp;ROUND(_xlfn.MAXIFS($O$6:$O$4005,$B$6:$B$4005,B1915,$N$6:$N$4005,"N"),0),$P$6:$P$4005,0)),"(tanpa lawan)"))</f>
        <v/>
      </c>
      <c r="R1915" s="44"/>
      <c r="S1915" s="9" t="str">
        <f aca="false">IF(N1915&lt;&gt;"Y","",IF(R1915&lt;&gt;"",R1915,IF(Q1915="(tanpa lawan)","Transfer antar rekening",IFERROR(INDEX(I_COA!$F$6:$F$265,MATCH(Q1915,I_COA!$A$6:$A$265,0)),"?"))))</f>
        <v/>
      </c>
    </row>
    <row r="1916" customFormat="false" ht="15" hidden="false" customHeight="false" outlineLevel="0" collapsed="false">
      <c r="A1916" s="37"/>
      <c r="B1916" s="44"/>
      <c r="C1916" s="44"/>
      <c r="D1916" s="44"/>
      <c r="E1916" s="44"/>
      <c r="F1916" s="44"/>
      <c r="G1916" s="42"/>
      <c r="H1916" s="42"/>
      <c r="I1916" s="44"/>
      <c r="J1916" s="11" t="str">
        <f aca="false">IF(D1916="","",N(G1916)-N(H1916))</f>
        <v/>
      </c>
      <c r="K1916" s="34" t="str">
        <f aca="false">IF(D1916="","",IFERROR(INDEX(I_COA!$C$6:$C$265,MATCH(D1916,I_COA!$A$6:$A$265,0)),"AKUN BARU"))</f>
        <v/>
      </c>
      <c r="L1916" s="34" t="str">
        <f aca="false">IF(K1916="LabaRugi",INDEX(I_COA!$D$6:$D$265,MATCH(D1916,I_COA!$A$6:$A$265,0)),"")</f>
        <v/>
      </c>
      <c r="M1916" s="34" t="str">
        <f aca="false">IF(K1916="Neraca",INDEX(I_COA!$E$6:$E$265,MATCH(D1916,I_COA!$A$6:$A$265,0)),"")</f>
        <v/>
      </c>
      <c r="N1916" s="34" t="str">
        <f aca="false">IF(D1916="","",IFERROR(INDEX(I_COA!$G$6:$G$265,MATCH(D1916,I_COA!$A$6:$A$265,0)),"N"))</f>
        <v/>
      </c>
      <c r="O1916" s="11" t="str">
        <f aca="false">IF(N1916="N",ABS(J1916),"")</f>
        <v/>
      </c>
      <c r="P1916" s="18" t="str">
        <f aca="false">IF(N1916="N",B1916&amp;"|"&amp;ROUND(O1916,0),"")</f>
        <v/>
      </c>
      <c r="Q1916" s="18" t="str">
        <f aca="false">IF(N1916&lt;&gt;"Y","",IFERROR(INDEX($D$6:$D$4005,MATCH(B1916&amp;"|"&amp;ROUND(_xlfn.MAXIFS($O$6:$O$4005,$B$6:$B$4005,B1916,$N$6:$N$4005,"N"),0),$P$6:$P$4005,0)),"(tanpa lawan)"))</f>
        <v/>
      </c>
      <c r="R1916" s="44"/>
      <c r="S1916" s="9" t="str">
        <f aca="false">IF(N1916&lt;&gt;"Y","",IF(R1916&lt;&gt;"",R1916,IF(Q1916="(tanpa lawan)","Transfer antar rekening",IFERROR(INDEX(I_COA!$F$6:$F$265,MATCH(Q1916,I_COA!$A$6:$A$265,0)),"?"))))</f>
        <v/>
      </c>
    </row>
    <row r="1917" customFormat="false" ht="15" hidden="false" customHeight="false" outlineLevel="0" collapsed="false">
      <c r="A1917" s="37"/>
      <c r="B1917" s="44"/>
      <c r="C1917" s="44"/>
      <c r="D1917" s="44"/>
      <c r="E1917" s="44"/>
      <c r="F1917" s="44"/>
      <c r="G1917" s="42"/>
      <c r="H1917" s="42"/>
      <c r="I1917" s="44"/>
      <c r="J1917" s="11" t="str">
        <f aca="false">IF(D1917="","",N(G1917)-N(H1917))</f>
        <v/>
      </c>
      <c r="K1917" s="34" t="str">
        <f aca="false">IF(D1917="","",IFERROR(INDEX(I_COA!$C$6:$C$265,MATCH(D1917,I_COA!$A$6:$A$265,0)),"AKUN BARU"))</f>
        <v/>
      </c>
      <c r="L1917" s="34" t="str">
        <f aca="false">IF(K1917="LabaRugi",INDEX(I_COA!$D$6:$D$265,MATCH(D1917,I_COA!$A$6:$A$265,0)),"")</f>
        <v/>
      </c>
      <c r="M1917" s="34" t="str">
        <f aca="false">IF(K1917="Neraca",INDEX(I_COA!$E$6:$E$265,MATCH(D1917,I_COA!$A$6:$A$265,0)),"")</f>
        <v/>
      </c>
      <c r="N1917" s="34" t="str">
        <f aca="false">IF(D1917="","",IFERROR(INDEX(I_COA!$G$6:$G$265,MATCH(D1917,I_COA!$A$6:$A$265,0)),"N"))</f>
        <v/>
      </c>
      <c r="O1917" s="11" t="str">
        <f aca="false">IF(N1917="N",ABS(J1917),"")</f>
        <v/>
      </c>
      <c r="P1917" s="18" t="str">
        <f aca="false">IF(N1917="N",B1917&amp;"|"&amp;ROUND(O1917,0),"")</f>
        <v/>
      </c>
      <c r="Q1917" s="18" t="str">
        <f aca="false">IF(N1917&lt;&gt;"Y","",IFERROR(INDEX($D$6:$D$4005,MATCH(B1917&amp;"|"&amp;ROUND(_xlfn.MAXIFS($O$6:$O$4005,$B$6:$B$4005,B1917,$N$6:$N$4005,"N"),0),$P$6:$P$4005,0)),"(tanpa lawan)"))</f>
        <v/>
      </c>
      <c r="R1917" s="44"/>
      <c r="S1917" s="9" t="str">
        <f aca="false">IF(N1917&lt;&gt;"Y","",IF(R1917&lt;&gt;"",R1917,IF(Q1917="(tanpa lawan)","Transfer antar rekening",IFERROR(INDEX(I_COA!$F$6:$F$265,MATCH(Q1917,I_COA!$A$6:$A$265,0)),"?"))))</f>
        <v/>
      </c>
    </row>
    <row r="1918" customFormat="false" ht="15" hidden="false" customHeight="false" outlineLevel="0" collapsed="false">
      <c r="A1918" s="37"/>
      <c r="B1918" s="44"/>
      <c r="C1918" s="44"/>
      <c r="D1918" s="44"/>
      <c r="E1918" s="44"/>
      <c r="F1918" s="44"/>
      <c r="G1918" s="42"/>
      <c r="H1918" s="42"/>
      <c r="I1918" s="44"/>
      <c r="J1918" s="11" t="str">
        <f aca="false">IF(D1918="","",N(G1918)-N(H1918))</f>
        <v/>
      </c>
      <c r="K1918" s="34" t="str">
        <f aca="false">IF(D1918="","",IFERROR(INDEX(I_COA!$C$6:$C$265,MATCH(D1918,I_COA!$A$6:$A$265,0)),"AKUN BARU"))</f>
        <v/>
      </c>
      <c r="L1918" s="34" t="str">
        <f aca="false">IF(K1918="LabaRugi",INDEX(I_COA!$D$6:$D$265,MATCH(D1918,I_COA!$A$6:$A$265,0)),"")</f>
        <v/>
      </c>
      <c r="M1918" s="34" t="str">
        <f aca="false">IF(K1918="Neraca",INDEX(I_COA!$E$6:$E$265,MATCH(D1918,I_COA!$A$6:$A$265,0)),"")</f>
        <v/>
      </c>
      <c r="N1918" s="34" t="str">
        <f aca="false">IF(D1918="","",IFERROR(INDEX(I_COA!$G$6:$G$265,MATCH(D1918,I_COA!$A$6:$A$265,0)),"N"))</f>
        <v/>
      </c>
      <c r="O1918" s="11" t="str">
        <f aca="false">IF(N1918="N",ABS(J1918),"")</f>
        <v/>
      </c>
      <c r="P1918" s="18" t="str">
        <f aca="false">IF(N1918="N",B1918&amp;"|"&amp;ROUND(O1918,0),"")</f>
        <v/>
      </c>
      <c r="Q1918" s="18" t="str">
        <f aca="false">IF(N1918&lt;&gt;"Y","",IFERROR(INDEX($D$6:$D$4005,MATCH(B1918&amp;"|"&amp;ROUND(_xlfn.MAXIFS($O$6:$O$4005,$B$6:$B$4005,B1918,$N$6:$N$4005,"N"),0),$P$6:$P$4005,0)),"(tanpa lawan)"))</f>
        <v/>
      </c>
      <c r="R1918" s="44"/>
      <c r="S1918" s="9" t="str">
        <f aca="false">IF(N1918&lt;&gt;"Y","",IF(R1918&lt;&gt;"",R1918,IF(Q1918="(tanpa lawan)","Transfer antar rekening",IFERROR(INDEX(I_COA!$F$6:$F$265,MATCH(Q1918,I_COA!$A$6:$A$265,0)),"?"))))</f>
        <v/>
      </c>
    </row>
    <row r="1919" customFormat="false" ht="15" hidden="false" customHeight="false" outlineLevel="0" collapsed="false">
      <c r="A1919" s="37"/>
      <c r="B1919" s="44"/>
      <c r="C1919" s="44"/>
      <c r="D1919" s="44"/>
      <c r="E1919" s="44"/>
      <c r="F1919" s="44"/>
      <c r="G1919" s="42"/>
      <c r="H1919" s="42"/>
      <c r="I1919" s="44"/>
      <c r="J1919" s="11" t="str">
        <f aca="false">IF(D1919="","",N(G1919)-N(H1919))</f>
        <v/>
      </c>
      <c r="K1919" s="34" t="str">
        <f aca="false">IF(D1919="","",IFERROR(INDEX(I_COA!$C$6:$C$265,MATCH(D1919,I_COA!$A$6:$A$265,0)),"AKUN BARU"))</f>
        <v/>
      </c>
      <c r="L1919" s="34" t="str">
        <f aca="false">IF(K1919="LabaRugi",INDEX(I_COA!$D$6:$D$265,MATCH(D1919,I_COA!$A$6:$A$265,0)),"")</f>
        <v/>
      </c>
      <c r="M1919" s="34" t="str">
        <f aca="false">IF(K1919="Neraca",INDEX(I_COA!$E$6:$E$265,MATCH(D1919,I_COA!$A$6:$A$265,0)),"")</f>
        <v/>
      </c>
      <c r="N1919" s="34" t="str">
        <f aca="false">IF(D1919="","",IFERROR(INDEX(I_COA!$G$6:$G$265,MATCH(D1919,I_COA!$A$6:$A$265,0)),"N"))</f>
        <v/>
      </c>
      <c r="O1919" s="11" t="str">
        <f aca="false">IF(N1919="N",ABS(J1919),"")</f>
        <v/>
      </c>
      <c r="P1919" s="18" t="str">
        <f aca="false">IF(N1919="N",B1919&amp;"|"&amp;ROUND(O1919,0),"")</f>
        <v/>
      </c>
      <c r="Q1919" s="18" t="str">
        <f aca="false">IF(N1919&lt;&gt;"Y","",IFERROR(INDEX($D$6:$D$4005,MATCH(B1919&amp;"|"&amp;ROUND(_xlfn.MAXIFS($O$6:$O$4005,$B$6:$B$4005,B1919,$N$6:$N$4005,"N"),0),$P$6:$P$4005,0)),"(tanpa lawan)"))</f>
        <v/>
      </c>
      <c r="R1919" s="44"/>
      <c r="S1919" s="9" t="str">
        <f aca="false">IF(N1919&lt;&gt;"Y","",IF(R1919&lt;&gt;"",R1919,IF(Q1919="(tanpa lawan)","Transfer antar rekening",IFERROR(INDEX(I_COA!$F$6:$F$265,MATCH(Q1919,I_COA!$A$6:$A$265,0)),"?"))))</f>
        <v/>
      </c>
    </row>
    <row r="1920" customFormat="false" ht="15" hidden="false" customHeight="false" outlineLevel="0" collapsed="false">
      <c r="A1920" s="37"/>
      <c r="B1920" s="44"/>
      <c r="C1920" s="44"/>
      <c r="D1920" s="44"/>
      <c r="E1920" s="44"/>
      <c r="F1920" s="44"/>
      <c r="G1920" s="42"/>
      <c r="H1920" s="42"/>
      <c r="I1920" s="44"/>
      <c r="J1920" s="11" t="str">
        <f aca="false">IF(D1920="","",N(G1920)-N(H1920))</f>
        <v/>
      </c>
      <c r="K1920" s="34" t="str">
        <f aca="false">IF(D1920="","",IFERROR(INDEX(I_COA!$C$6:$C$265,MATCH(D1920,I_COA!$A$6:$A$265,0)),"AKUN BARU"))</f>
        <v/>
      </c>
      <c r="L1920" s="34" t="str">
        <f aca="false">IF(K1920="LabaRugi",INDEX(I_COA!$D$6:$D$265,MATCH(D1920,I_COA!$A$6:$A$265,0)),"")</f>
        <v/>
      </c>
      <c r="M1920" s="34" t="str">
        <f aca="false">IF(K1920="Neraca",INDEX(I_COA!$E$6:$E$265,MATCH(D1920,I_COA!$A$6:$A$265,0)),"")</f>
        <v/>
      </c>
      <c r="N1920" s="34" t="str">
        <f aca="false">IF(D1920="","",IFERROR(INDEX(I_COA!$G$6:$G$265,MATCH(D1920,I_COA!$A$6:$A$265,0)),"N"))</f>
        <v/>
      </c>
      <c r="O1920" s="11" t="str">
        <f aca="false">IF(N1920="N",ABS(J1920),"")</f>
        <v/>
      </c>
      <c r="P1920" s="18" t="str">
        <f aca="false">IF(N1920="N",B1920&amp;"|"&amp;ROUND(O1920,0),"")</f>
        <v/>
      </c>
      <c r="Q1920" s="18" t="str">
        <f aca="false">IF(N1920&lt;&gt;"Y","",IFERROR(INDEX($D$6:$D$4005,MATCH(B1920&amp;"|"&amp;ROUND(_xlfn.MAXIFS($O$6:$O$4005,$B$6:$B$4005,B1920,$N$6:$N$4005,"N"),0),$P$6:$P$4005,0)),"(tanpa lawan)"))</f>
        <v/>
      </c>
      <c r="R1920" s="44"/>
      <c r="S1920" s="9" t="str">
        <f aca="false">IF(N1920&lt;&gt;"Y","",IF(R1920&lt;&gt;"",R1920,IF(Q1920="(tanpa lawan)","Transfer antar rekening",IFERROR(INDEX(I_COA!$F$6:$F$265,MATCH(Q1920,I_COA!$A$6:$A$265,0)),"?"))))</f>
        <v/>
      </c>
    </row>
    <row r="1921" customFormat="false" ht="15" hidden="false" customHeight="false" outlineLevel="0" collapsed="false">
      <c r="A1921" s="37"/>
      <c r="B1921" s="44"/>
      <c r="C1921" s="44"/>
      <c r="D1921" s="44"/>
      <c r="E1921" s="44"/>
      <c r="F1921" s="44"/>
      <c r="G1921" s="42"/>
      <c r="H1921" s="42"/>
      <c r="I1921" s="44"/>
      <c r="J1921" s="11" t="str">
        <f aca="false">IF(D1921="","",N(G1921)-N(H1921))</f>
        <v/>
      </c>
      <c r="K1921" s="34" t="str">
        <f aca="false">IF(D1921="","",IFERROR(INDEX(I_COA!$C$6:$C$265,MATCH(D1921,I_COA!$A$6:$A$265,0)),"AKUN BARU"))</f>
        <v/>
      </c>
      <c r="L1921" s="34" t="str">
        <f aca="false">IF(K1921="LabaRugi",INDEX(I_COA!$D$6:$D$265,MATCH(D1921,I_COA!$A$6:$A$265,0)),"")</f>
        <v/>
      </c>
      <c r="M1921" s="34" t="str">
        <f aca="false">IF(K1921="Neraca",INDEX(I_COA!$E$6:$E$265,MATCH(D1921,I_COA!$A$6:$A$265,0)),"")</f>
        <v/>
      </c>
      <c r="N1921" s="34" t="str">
        <f aca="false">IF(D1921="","",IFERROR(INDEX(I_COA!$G$6:$G$265,MATCH(D1921,I_COA!$A$6:$A$265,0)),"N"))</f>
        <v/>
      </c>
      <c r="O1921" s="11" t="str">
        <f aca="false">IF(N1921="N",ABS(J1921),"")</f>
        <v/>
      </c>
      <c r="P1921" s="18" t="str">
        <f aca="false">IF(N1921="N",B1921&amp;"|"&amp;ROUND(O1921,0),"")</f>
        <v/>
      </c>
      <c r="Q1921" s="18" t="str">
        <f aca="false">IF(N1921&lt;&gt;"Y","",IFERROR(INDEX($D$6:$D$4005,MATCH(B1921&amp;"|"&amp;ROUND(_xlfn.MAXIFS($O$6:$O$4005,$B$6:$B$4005,B1921,$N$6:$N$4005,"N"),0),$P$6:$P$4005,0)),"(tanpa lawan)"))</f>
        <v/>
      </c>
      <c r="R1921" s="44"/>
      <c r="S1921" s="9" t="str">
        <f aca="false">IF(N1921&lt;&gt;"Y","",IF(R1921&lt;&gt;"",R1921,IF(Q1921="(tanpa lawan)","Transfer antar rekening",IFERROR(INDEX(I_COA!$F$6:$F$265,MATCH(Q1921,I_COA!$A$6:$A$265,0)),"?"))))</f>
        <v/>
      </c>
    </row>
    <row r="1922" customFormat="false" ht="15" hidden="false" customHeight="false" outlineLevel="0" collapsed="false">
      <c r="A1922" s="37"/>
      <c r="B1922" s="44"/>
      <c r="C1922" s="44"/>
      <c r="D1922" s="44"/>
      <c r="E1922" s="44"/>
      <c r="F1922" s="44"/>
      <c r="G1922" s="42"/>
      <c r="H1922" s="42"/>
      <c r="I1922" s="44"/>
      <c r="J1922" s="11" t="str">
        <f aca="false">IF(D1922="","",N(G1922)-N(H1922))</f>
        <v/>
      </c>
      <c r="K1922" s="34" t="str">
        <f aca="false">IF(D1922="","",IFERROR(INDEX(I_COA!$C$6:$C$265,MATCH(D1922,I_COA!$A$6:$A$265,0)),"AKUN BARU"))</f>
        <v/>
      </c>
      <c r="L1922" s="34" t="str">
        <f aca="false">IF(K1922="LabaRugi",INDEX(I_COA!$D$6:$D$265,MATCH(D1922,I_COA!$A$6:$A$265,0)),"")</f>
        <v/>
      </c>
      <c r="M1922" s="34" t="str">
        <f aca="false">IF(K1922="Neraca",INDEX(I_COA!$E$6:$E$265,MATCH(D1922,I_COA!$A$6:$A$265,0)),"")</f>
        <v/>
      </c>
      <c r="N1922" s="34" t="str">
        <f aca="false">IF(D1922="","",IFERROR(INDEX(I_COA!$G$6:$G$265,MATCH(D1922,I_COA!$A$6:$A$265,0)),"N"))</f>
        <v/>
      </c>
      <c r="O1922" s="11" t="str">
        <f aca="false">IF(N1922="N",ABS(J1922),"")</f>
        <v/>
      </c>
      <c r="P1922" s="18" t="str">
        <f aca="false">IF(N1922="N",B1922&amp;"|"&amp;ROUND(O1922,0),"")</f>
        <v/>
      </c>
      <c r="Q1922" s="18" t="str">
        <f aca="false">IF(N1922&lt;&gt;"Y","",IFERROR(INDEX($D$6:$D$4005,MATCH(B1922&amp;"|"&amp;ROUND(_xlfn.MAXIFS($O$6:$O$4005,$B$6:$B$4005,B1922,$N$6:$N$4005,"N"),0),$P$6:$P$4005,0)),"(tanpa lawan)"))</f>
        <v/>
      </c>
      <c r="R1922" s="44"/>
      <c r="S1922" s="9" t="str">
        <f aca="false">IF(N1922&lt;&gt;"Y","",IF(R1922&lt;&gt;"",R1922,IF(Q1922="(tanpa lawan)","Transfer antar rekening",IFERROR(INDEX(I_COA!$F$6:$F$265,MATCH(Q1922,I_COA!$A$6:$A$265,0)),"?"))))</f>
        <v/>
      </c>
    </row>
    <row r="1923" customFormat="false" ht="15" hidden="false" customHeight="false" outlineLevel="0" collapsed="false">
      <c r="A1923" s="37"/>
      <c r="B1923" s="44"/>
      <c r="C1923" s="44"/>
      <c r="D1923" s="44"/>
      <c r="E1923" s="44"/>
      <c r="F1923" s="44"/>
      <c r="G1923" s="42"/>
      <c r="H1923" s="42"/>
      <c r="I1923" s="44"/>
      <c r="J1923" s="11" t="str">
        <f aca="false">IF(D1923="","",N(G1923)-N(H1923))</f>
        <v/>
      </c>
      <c r="K1923" s="34" t="str">
        <f aca="false">IF(D1923="","",IFERROR(INDEX(I_COA!$C$6:$C$265,MATCH(D1923,I_COA!$A$6:$A$265,0)),"AKUN BARU"))</f>
        <v/>
      </c>
      <c r="L1923" s="34" t="str">
        <f aca="false">IF(K1923="LabaRugi",INDEX(I_COA!$D$6:$D$265,MATCH(D1923,I_COA!$A$6:$A$265,0)),"")</f>
        <v/>
      </c>
      <c r="M1923" s="34" t="str">
        <f aca="false">IF(K1923="Neraca",INDEX(I_COA!$E$6:$E$265,MATCH(D1923,I_COA!$A$6:$A$265,0)),"")</f>
        <v/>
      </c>
      <c r="N1923" s="34" t="str">
        <f aca="false">IF(D1923="","",IFERROR(INDEX(I_COA!$G$6:$G$265,MATCH(D1923,I_COA!$A$6:$A$265,0)),"N"))</f>
        <v/>
      </c>
      <c r="O1923" s="11" t="str">
        <f aca="false">IF(N1923="N",ABS(J1923),"")</f>
        <v/>
      </c>
      <c r="P1923" s="18" t="str">
        <f aca="false">IF(N1923="N",B1923&amp;"|"&amp;ROUND(O1923,0),"")</f>
        <v/>
      </c>
      <c r="Q1923" s="18" t="str">
        <f aca="false">IF(N1923&lt;&gt;"Y","",IFERROR(INDEX($D$6:$D$4005,MATCH(B1923&amp;"|"&amp;ROUND(_xlfn.MAXIFS($O$6:$O$4005,$B$6:$B$4005,B1923,$N$6:$N$4005,"N"),0),$P$6:$P$4005,0)),"(tanpa lawan)"))</f>
        <v/>
      </c>
      <c r="R1923" s="44"/>
      <c r="S1923" s="9" t="str">
        <f aca="false">IF(N1923&lt;&gt;"Y","",IF(R1923&lt;&gt;"",R1923,IF(Q1923="(tanpa lawan)","Transfer antar rekening",IFERROR(INDEX(I_COA!$F$6:$F$265,MATCH(Q1923,I_COA!$A$6:$A$265,0)),"?"))))</f>
        <v/>
      </c>
    </row>
    <row r="1924" customFormat="false" ht="15" hidden="false" customHeight="false" outlineLevel="0" collapsed="false">
      <c r="A1924" s="37"/>
      <c r="B1924" s="44"/>
      <c r="C1924" s="44"/>
      <c r="D1924" s="44"/>
      <c r="E1924" s="44"/>
      <c r="F1924" s="44"/>
      <c r="G1924" s="42"/>
      <c r="H1924" s="42"/>
      <c r="I1924" s="44"/>
      <c r="J1924" s="11" t="str">
        <f aca="false">IF(D1924="","",N(G1924)-N(H1924))</f>
        <v/>
      </c>
      <c r="K1924" s="34" t="str">
        <f aca="false">IF(D1924="","",IFERROR(INDEX(I_COA!$C$6:$C$265,MATCH(D1924,I_COA!$A$6:$A$265,0)),"AKUN BARU"))</f>
        <v/>
      </c>
      <c r="L1924" s="34" t="str">
        <f aca="false">IF(K1924="LabaRugi",INDEX(I_COA!$D$6:$D$265,MATCH(D1924,I_COA!$A$6:$A$265,0)),"")</f>
        <v/>
      </c>
      <c r="M1924" s="34" t="str">
        <f aca="false">IF(K1924="Neraca",INDEX(I_COA!$E$6:$E$265,MATCH(D1924,I_COA!$A$6:$A$265,0)),"")</f>
        <v/>
      </c>
      <c r="N1924" s="34" t="str">
        <f aca="false">IF(D1924="","",IFERROR(INDEX(I_COA!$G$6:$G$265,MATCH(D1924,I_COA!$A$6:$A$265,0)),"N"))</f>
        <v/>
      </c>
      <c r="O1924" s="11" t="str">
        <f aca="false">IF(N1924="N",ABS(J1924),"")</f>
        <v/>
      </c>
      <c r="P1924" s="18" t="str">
        <f aca="false">IF(N1924="N",B1924&amp;"|"&amp;ROUND(O1924,0),"")</f>
        <v/>
      </c>
      <c r="Q1924" s="18" t="str">
        <f aca="false">IF(N1924&lt;&gt;"Y","",IFERROR(INDEX($D$6:$D$4005,MATCH(B1924&amp;"|"&amp;ROUND(_xlfn.MAXIFS($O$6:$O$4005,$B$6:$B$4005,B1924,$N$6:$N$4005,"N"),0),$P$6:$P$4005,0)),"(tanpa lawan)"))</f>
        <v/>
      </c>
      <c r="R1924" s="44"/>
      <c r="S1924" s="9" t="str">
        <f aca="false">IF(N1924&lt;&gt;"Y","",IF(R1924&lt;&gt;"",R1924,IF(Q1924="(tanpa lawan)","Transfer antar rekening",IFERROR(INDEX(I_COA!$F$6:$F$265,MATCH(Q1924,I_COA!$A$6:$A$265,0)),"?"))))</f>
        <v/>
      </c>
    </row>
    <row r="1925" customFormat="false" ht="15" hidden="false" customHeight="false" outlineLevel="0" collapsed="false">
      <c r="A1925" s="37"/>
      <c r="B1925" s="44"/>
      <c r="C1925" s="44"/>
      <c r="D1925" s="44"/>
      <c r="E1925" s="44"/>
      <c r="F1925" s="44"/>
      <c r="G1925" s="42"/>
      <c r="H1925" s="42"/>
      <c r="I1925" s="44"/>
      <c r="J1925" s="11" t="str">
        <f aca="false">IF(D1925="","",N(G1925)-N(H1925))</f>
        <v/>
      </c>
      <c r="K1925" s="34" t="str">
        <f aca="false">IF(D1925="","",IFERROR(INDEX(I_COA!$C$6:$C$265,MATCH(D1925,I_COA!$A$6:$A$265,0)),"AKUN BARU"))</f>
        <v/>
      </c>
      <c r="L1925" s="34" t="str">
        <f aca="false">IF(K1925="LabaRugi",INDEX(I_COA!$D$6:$D$265,MATCH(D1925,I_COA!$A$6:$A$265,0)),"")</f>
        <v/>
      </c>
      <c r="M1925" s="34" t="str">
        <f aca="false">IF(K1925="Neraca",INDEX(I_COA!$E$6:$E$265,MATCH(D1925,I_COA!$A$6:$A$265,0)),"")</f>
        <v/>
      </c>
      <c r="N1925" s="34" t="str">
        <f aca="false">IF(D1925="","",IFERROR(INDEX(I_COA!$G$6:$G$265,MATCH(D1925,I_COA!$A$6:$A$265,0)),"N"))</f>
        <v/>
      </c>
      <c r="O1925" s="11" t="str">
        <f aca="false">IF(N1925="N",ABS(J1925),"")</f>
        <v/>
      </c>
      <c r="P1925" s="18" t="str">
        <f aca="false">IF(N1925="N",B1925&amp;"|"&amp;ROUND(O1925,0),"")</f>
        <v/>
      </c>
      <c r="Q1925" s="18" t="str">
        <f aca="false">IF(N1925&lt;&gt;"Y","",IFERROR(INDEX($D$6:$D$4005,MATCH(B1925&amp;"|"&amp;ROUND(_xlfn.MAXIFS($O$6:$O$4005,$B$6:$B$4005,B1925,$N$6:$N$4005,"N"),0),$P$6:$P$4005,0)),"(tanpa lawan)"))</f>
        <v/>
      </c>
      <c r="R1925" s="44"/>
      <c r="S1925" s="9" t="str">
        <f aca="false">IF(N1925&lt;&gt;"Y","",IF(R1925&lt;&gt;"",R1925,IF(Q1925="(tanpa lawan)","Transfer antar rekening",IFERROR(INDEX(I_COA!$F$6:$F$265,MATCH(Q1925,I_COA!$A$6:$A$265,0)),"?"))))</f>
        <v/>
      </c>
    </row>
    <row r="1926" customFormat="false" ht="15" hidden="false" customHeight="false" outlineLevel="0" collapsed="false">
      <c r="A1926" s="37"/>
      <c r="B1926" s="44"/>
      <c r="C1926" s="44"/>
      <c r="D1926" s="44"/>
      <c r="E1926" s="44"/>
      <c r="F1926" s="44"/>
      <c r="G1926" s="42"/>
      <c r="H1926" s="42"/>
      <c r="I1926" s="44"/>
      <c r="J1926" s="11" t="str">
        <f aca="false">IF(D1926="","",N(G1926)-N(H1926))</f>
        <v/>
      </c>
      <c r="K1926" s="34" t="str">
        <f aca="false">IF(D1926="","",IFERROR(INDEX(I_COA!$C$6:$C$265,MATCH(D1926,I_COA!$A$6:$A$265,0)),"AKUN BARU"))</f>
        <v/>
      </c>
      <c r="L1926" s="34" t="str">
        <f aca="false">IF(K1926="LabaRugi",INDEX(I_COA!$D$6:$D$265,MATCH(D1926,I_COA!$A$6:$A$265,0)),"")</f>
        <v/>
      </c>
      <c r="M1926" s="34" t="str">
        <f aca="false">IF(K1926="Neraca",INDEX(I_COA!$E$6:$E$265,MATCH(D1926,I_COA!$A$6:$A$265,0)),"")</f>
        <v/>
      </c>
      <c r="N1926" s="34" t="str">
        <f aca="false">IF(D1926="","",IFERROR(INDEX(I_COA!$G$6:$G$265,MATCH(D1926,I_COA!$A$6:$A$265,0)),"N"))</f>
        <v/>
      </c>
      <c r="O1926" s="11" t="str">
        <f aca="false">IF(N1926="N",ABS(J1926),"")</f>
        <v/>
      </c>
      <c r="P1926" s="18" t="str">
        <f aca="false">IF(N1926="N",B1926&amp;"|"&amp;ROUND(O1926,0),"")</f>
        <v/>
      </c>
      <c r="Q1926" s="18" t="str">
        <f aca="false">IF(N1926&lt;&gt;"Y","",IFERROR(INDEX($D$6:$D$4005,MATCH(B1926&amp;"|"&amp;ROUND(_xlfn.MAXIFS($O$6:$O$4005,$B$6:$B$4005,B1926,$N$6:$N$4005,"N"),0),$P$6:$P$4005,0)),"(tanpa lawan)"))</f>
        <v/>
      </c>
      <c r="R1926" s="44"/>
      <c r="S1926" s="9" t="str">
        <f aca="false">IF(N1926&lt;&gt;"Y","",IF(R1926&lt;&gt;"",R1926,IF(Q1926="(tanpa lawan)","Transfer antar rekening",IFERROR(INDEX(I_COA!$F$6:$F$265,MATCH(Q1926,I_COA!$A$6:$A$265,0)),"?"))))</f>
        <v/>
      </c>
    </row>
    <row r="1927" customFormat="false" ht="15" hidden="false" customHeight="false" outlineLevel="0" collapsed="false">
      <c r="A1927" s="37"/>
      <c r="B1927" s="44"/>
      <c r="C1927" s="44"/>
      <c r="D1927" s="44"/>
      <c r="E1927" s="44"/>
      <c r="F1927" s="44"/>
      <c r="G1927" s="42"/>
      <c r="H1927" s="42"/>
      <c r="I1927" s="44"/>
      <c r="J1927" s="11" t="str">
        <f aca="false">IF(D1927="","",N(G1927)-N(H1927))</f>
        <v/>
      </c>
      <c r="K1927" s="34" t="str">
        <f aca="false">IF(D1927="","",IFERROR(INDEX(I_COA!$C$6:$C$265,MATCH(D1927,I_COA!$A$6:$A$265,0)),"AKUN BARU"))</f>
        <v/>
      </c>
      <c r="L1927" s="34" t="str">
        <f aca="false">IF(K1927="LabaRugi",INDEX(I_COA!$D$6:$D$265,MATCH(D1927,I_COA!$A$6:$A$265,0)),"")</f>
        <v/>
      </c>
      <c r="M1927" s="34" t="str">
        <f aca="false">IF(K1927="Neraca",INDEX(I_COA!$E$6:$E$265,MATCH(D1927,I_COA!$A$6:$A$265,0)),"")</f>
        <v/>
      </c>
      <c r="N1927" s="34" t="str">
        <f aca="false">IF(D1927="","",IFERROR(INDEX(I_COA!$G$6:$G$265,MATCH(D1927,I_COA!$A$6:$A$265,0)),"N"))</f>
        <v/>
      </c>
      <c r="O1927" s="11" t="str">
        <f aca="false">IF(N1927="N",ABS(J1927),"")</f>
        <v/>
      </c>
      <c r="P1927" s="18" t="str">
        <f aca="false">IF(N1927="N",B1927&amp;"|"&amp;ROUND(O1927,0),"")</f>
        <v/>
      </c>
      <c r="Q1927" s="18" t="str">
        <f aca="false">IF(N1927&lt;&gt;"Y","",IFERROR(INDEX($D$6:$D$4005,MATCH(B1927&amp;"|"&amp;ROUND(_xlfn.MAXIFS($O$6:$O$4005,$B$6:$B$4005,B1927,$N$6:$N$4005,"N"),0),$P$6:$P$4005,0)),"(tanpa lawan)"))</f>
        <v/>
      </c>
      <c r="R1927" s="44"/>
      <c r="S1927" s="9" t="str">
        <f aca="false">IF(N1927&lt;&gt;"Y","",IF(R1927&lt;&gt;"",R1927,IF(Q1927="(tanpa lawan)","Transfer antar rekening",IFERROR(INDEX(I_COA!$F$6:$F$265,MATCH(Q1927,I_COA!$A$6:$A$265,0)),"?"))))</f>
        <v/>
      </c>
    </row>
    <row r="1928" customFormat="false" ht="15" hidden="false" customHeight="false" outlineLevel="0" collapsed="false">
      <c r="A1928" s="37"/>
      <c r="B1928" s="44"/>
      <c r="C1928" s="44"/>
      <c r="D1928" s="44"/>
      <c r="E1928" s="44"/>
      <c r="F1928" s="44"/>
      <c r="G1928" s="42"/>
      <c r="H1928" s="42"/>
      <c r="I1928" s="44"/>
      <c r="J1928" s="11" t="str">
        <f aca="false">IF(D1928="","",N(G1928)-N(H1928))</f>
        <v/>
      </c>
      <c r="K1928" s="34" t="str">
        <f aca="false">IF(D1928="","",IFERROR(INDEX(I_COA!$C$6:$C$265,MATCH(D1928,I_COA!$A$6:$A$265,0)),"AKUN BARU"))</f>
        <v/>
      </c>
      <c r="L1928" s="34" t="str">
        <f aca="false">IF(K1928="LabaRugi",INDEX(I_COA!$D$6:$D$265,MATCH(D1928,I_COA!$A$6:$A$265,0)),"")</f>
        <v/>
      </c>
      <c r="M1928" s="34" t="str">
        <f aca="false">IF(K1928="Neraca",INDEX(I_COA!$E$6:$E$265,MATCH(D1928,I_COA!$A$6:$A$265,0)),"")</f>
        <v/>
      </c>
      <c r="N1928" s="34" t="str">
        <f aca="false">IF(D1928="","",IFERROR(INDEX(I_COA!$G$6:$G$265,MATCH(D1928,I_COA!$A$6:$A$265,0)),"N"))</f>
        <v/>
      </c>
      <c r="O1928" s="11" t="str">
        <f aca="false">IF(N1928="N",ABS(J1928),"")</f>
        <v/>
      </c>
      <c r="P1928" s="18" t="str">
        <f aca="false">IF(N1928="N",B1928&amp;"|"&amp;ROUND(O1928,0),"")</f>
        <v/>
      </c>
      <c r="Q1928" s="18" t="str">
        <f aca="false">IF(N1928&lt;&gt;"Y","",IFERROR(INDEX($D$6:$D$4005,MATCH(B1928&amp;"|"&amp;ROUND(_xlfn.MAXIFS($O$6:$O$4005,$B$6:$B$4005,B1928,$N$6:$N$4005,"N"),0),$P$6:$P$4005,0)),"(tanpa lawan)"))</f>
        <v/>
      </c>
      <c r="R1928" s="44"/>
      <c r="S1928" s="9" t="str">
        <f aca="false">IF(N1928&lt;&gt;"Y","",IF(R1928&lt;&gt;"",R1928,IF(Q1928="(tanpa lawan)","Transfer antar rekening",IFERROR(INDEX(I_COA!$F$6:$F$265,MATCH(Q1928,I_COA!$A$6:$A$265,0)),"?"))))</f>
        <v/>
      </c>
    </row>
    <row r="1929" customFormat="false" ht="15" hidden="false" customHeight="false" outlineLevel="0" collapsed="false">
      <c r="A1929" s="37"/>
      <c r="B1929" s="44"/>
      <c r="C1929" s="44"/>
      <c r="D1929" s="44"/>
      <c r="E1929" s="44"/>
      <c r="F1929" s="44"/>
      <c r="G1929" s="42"/>
      <c r="H1929" s="42"/>
      <c r="I1929" s="44"/>
      <c r="J1929" s="11" t="str">
        <f aca="false">IF(D1929="","",N(G1929)-N(H1929))</f>
        <v/>
      </c>
      <c r="K1929" s="34" t="str">
        <f aca="false">IF(D1929="","",IFERROR(INDEX(I_COA!$C$6:$C$265,MATCH(D1929,I_COA!$A$6:$A$265,0)),"AKUN BARU"))</f>
        <v/>
      </c>
      <c r="L1929" s="34" t="str">
        <f aca="false">IF(K1929="LabaRugi",INDEX(I_COA!$D$6:$D$265,MATCH(D1929,I_COA!$A$6:$A$265,0)),"")</f>
        <v/>
      </c>
      <c r="M1929" s="34" t="str">
        <f aca="false">IF(K1929="Neraca",INDEX(I_COA!$E$6:$E$265,MATCH(D1929,I_COA!$A$6:$A$265,0)),"")</f>
        <v/>
      </c>
      <c r="N1929" s="34" t="str">
        <f aca="false">IF(D1929="","",IFERROR(INDEX(I_COA!$G$6:$G$265,MATCH(D1929,I_COA!$A$6:$A$265,0)),"N"))</f>
        <v/>
      </c>
      <c r="O1929" s="11" t="str">
        <f aca="false">IF(N1929="N",ABS(J1929),"")</f>
        <v/>
      </c>
      <c r="P1929" s="18" t="str">
        <f aca="false">IF(N1929="N",B1929&amp;"|"&amp;ROUND(O1929,0),"")</f>
        <v/>
      </c>
      <c r="Q1929" s="18" t="str">
        <f aca="false">IF(N1929&lt;&gt;"Y","",IFERROR(INDEX($D$6:$D$4005,MATCH(B1929&amp;"|"&amp;ROUND(_xlfn.MAXIFS($O$6:$O$4005,$B$6:$B$4005,B1929,$N$6:$N$4005,"N"),0),$P$6:$P$4005,0)),"(tanpa lawan)"))</f>
        <v/>
      </c>
      <c r="R1929" s="44"/>
      <c r="S1929" s="9" t="str">
        <f aca="false">IF(N1929&lt;&gt;"Y","",IF(R1929&lt;&gt;"",R1929,IF(Q1929="(tanpa lawan)","Transfer antar rekening",IFERROR(INDEX(I_COA!$F$6:$F$265,MATCH(Q1929,I_COA!$A$6:$A$265,0)),"?"))))</f>
        <v/>
      </c>
    </row>
    <row r="1930" customFormat="false" ht="15" hidden="false" customHeight="false" outlineLevel="0" collapsed="false">
      <c r="A1930" s="37"/>
      <c r="B1930" s="44"/>
      <c r="C1930" s="44"/>
      <c r="D1930" s="44"/>
      <c r="E1930" s="44"/>
      <c r="F1930" s="44"/>
      <c r="G1930" s="42"/>
      <c r="H1930" s="42"/>
      <c r="I1930" s="44"/>
      <c r="J1930" s="11" t="str">
        <f aca="false">IF(D1930="","",N(G1930)-N(H1930))</f>
        <v/>
      </c>
      <c r="K1930" s="34" t="str">
        <f aca="false">IF(D1930="","",IFERROR(INDEX(I_COA!$C$6:$C$265,MATCH(D1930,I_COA!$A$6:$A$265,0)),"AKUN BARU"))</f>
        <v/>
      </c>
      <c r="L1930" s="34" t="str">
        <f aca="false">IF(K1930="LabaRugi",INDEX(I_COA!$D$6:$D$265,MATCH(D1930,I_COA!$A$6:$A$265,0)),"")</f>
        <v/>
      </c>
      <c r="M1930" s="34" t="str">
        <f aca="false">IF(K1930="Neraca",INDEX(I_COA!$E$6:$E$265,MATCH(D1930,I_COA!$A$6:$A$265,0)),"")</f>
        <v/>
      </c>
      <c r="N1930" s="34" t="str">
        <f aca="false">IF(D1930="","",IFERROR(INDEX(I_COA!$G$6:$G$265,MATCH(D1930,I_COA!$A$6:$A$265,0)),"N"))</f>
        <v/>
      </c>
      <c r="O1930" s="11" t="str">
        <f aca="false">IF(N1930="N",ABS(J1930),"")</f>
        <v/>
      </c>
      <c r="P1930" s="18" t="str">
        <f aca="false">IF(N1930="N",B1930&amp;"|"&amp;ROUND(O1930,0),"")</f>
        <v/>
      </c>
      <c r="Q1930" s="18" t="str">
        <f aca="false">IF(N1930&lt;&gt;"Y","",IFERROR(INDEX($D$6:$D$4005,MATCH(B1930&amp;"|"&amp;ROUND(_xlfn.MAXIFS($O$6:$O$4005,$B$6:$B$4005,B1930,$N$6:$N$4005,"N"),0),$P$6:$P$4005,0)),"(tanpa lawan)"))</f>
        <v/>
      </c>
      <c r="R1930" s="44"/>
      <c r="S1930" s="9" t="str">
        <f aca="false">IF(N1930&lt;&gt;"Y","",IF(R1930&lt;&gt;"",R1930,IF(Q1930="(tanpa lawan)","Transfer antar rekening",IFERROR(INDEX(I_COA!$F$6:$F$265,MATCH(Q1930,I_COA!$A$6:$A$265,0)),"?"))))</f>
        <v/>
      </c>
    </row>
    <row r="1931" customFormat="false" ht="15" hidden="false" customHeight="false" outlineLevel="0" collapsed="false">
      <c r="A1931" s="37"/>
      <c r="B1931" s="44"/>
      <c r="C1931" s="44"/>
      <c r="D1931" s="44"/>
      <c r="E1931" s="44"/>
      <c r="F1931" s="44"/>
      <c r="G1931" s="42"/>
      <c r="H1931" s="42"/>
      <c r="I1931" s="44"/>
      <c r="J1931" s="11" t="str">
        <f aca="false">IF(D1931="","",N(G1931)-N(H1931))</f>
        <v/>
      </c>
      <c r="K1931" s="34" t="str">
        <f aca="false">IF(D1931="","",IFERROR(INDEX(I_COA!$C$6:$C$265,MATCH(D1931,I_COA!$A$6:$A$265,0)),"AKUN BARU"))</f>
        <v/>
      </c>
      <c r="L1931" s="34" t="str">
        <f aca="false">IF(K1931="LabaRugi",INDEX(I_COA!$D$6:$D$265,MATCH(D1931,I_COA!$A$6:$A$265,0)),"")</f>
        <v/>
      </c>
      <c r="M1931" s="34" t="str">
        <f aca="false">IF(K1931="Neraca",INDEX(I_COA!$E$6:$E$265,MATCH(D1931,I_COA!$A$6:$A$265,0)),"")</f>
        <v/>
      </c>
      <c r="N1931" s="34" t="str">
        <f aca="false">IF(D1931="","",IFERROR(INDEX(I_COA!$G$6:$G$265,MATCH(D1931,I_COA!$A$6:$A$265,0)),"N"))</f>
        <v/>
      </c>
      <c r="O1931" s="11" t="str">
        <f aca="false">IF(N1931="N",ABS(J1931),"")</f>
        <v/>
      </c>
      <c r="P1931" s="18" t="str">
        <f aca="false">IF(N1931="N",B1931&amp;"|"&amp;ROUND(O1931,0),"")</f>
        <v/>
      </c>
      <c r="Q1931" s="18" t="str">
        <f aca="false">IF(N1931&lt;&gt;"Y","",IFERROR(INDEX($D$6:$D$4005,MATCH(B1931&amp;"|"&amp;ROUND(_xlfn.MAXIFS($O$6:$O$4005,$B$6:$B$4005,B1931,$N$6:$N$4005,"N"),0),$P$6:$P$4005,0)),"(tanpa lawan)"))</f>
        <v/>
      </c>
      <c r="R1931" s="44"/>
      <c r="S1931" s="9" t="str">
        <f aca="false">IF(N1931&lt;&gt;"Y","",IF(R1931&lt;&gt;"",R1931,IF(Q1931="(tanpa lawan)","Transfer antar rekening",IFERROR(INDEX(I_COA!$F$6:$F$265,MATCH(Q1931,I_COA!$A$6:$A$265,0)),"?"))))</f>
        <v/>
      </c>
    </row>
    <row r="1932" customFormat="false" ht="15" hidden="false" customHeight="false" outlineLevel="0" collapsed="false">
      <c r="A1932" s="37"/>
      <c r="B1932" s="44"/>
      <c r="C1932" s="44"/>
      <c r="D1932" s="44"/>
      <c r="E1932" s="44"/>
      <c r="F1932" s="44"/>
      <c r="G1932" s="42"/>
      <c r="H1932" s="42"/>
      <c r="I1932" s="44"/>
      <c r="J1932" s="11" t="str">
        <f aca="false">IF(D1932="","",N(G1932)-N(H1932))</f>
        <v/>
      </c>
      <c r="K1932" s="34" t="str">
        <f aca="false">IF(D1932="","",IFERROR(INDEX(I_COA!$C$6:$C$265,MATCH(D1932,I_COA!$A$6:$A$265,0)),"AKUN BARU"))</f>
        <v/>
      </c>
      <c r="L1932" s="34" t="str">
        <f aca="false">IF(K1932="LabaRugi",INDEX(I_COA!$D$6:$D$265,MATCH(D1932,I_COA!$A$6:$A$265,0)),"")</f>
        <v/>
      </c>
      <c r="M1932" s="34" t="str">
        <f aca="false">IF(K1932="Neraca",INDEX(I_COA!$E$6:$E$265,MATCH(D1932,I_COA!$A$6:$A$265,0)),"")</f>
        <v/>
      </c>
      <c r="N1932" s="34" t="str">
        <f aca="false">IF(D1932="","",IFERROR(INDEX(I_COA!$G$6:$G$265,MATCH(D1932,I_COA!$A$6:$A$265,0)),"N"))</f>
        <v/>
      </c>
      <c r="O1932" s="11" t="str">
        <f aca="false">IF(N1932="N",ABS(J1932),"")</f>
        <v/>
      </c>
      <c r="P1932" s="18" t="str">
        <f aca="false">IF(N1932="N",B1932&amp;"|"&amp;ROUND(O1932,0),"")</f>
        <v/>
      </c>
      <c r="Q1932" s="18" t="str">
        <f aca="false">IF(N1932&lt;&gt;"Y","",IFERROR(INDEX($D$6:$D$4005,MATCH(B1932&amp;"|"&amp;ROUND(_xlfn.MAXIFS($O$6:$O$4005,$B$6:$B$4005,B1932,$N$6:$N$4005,"N"),0),$P$6:$P$4005,0)),"(tanpa lawan)"))</f>
        <v/>
      </c>
      <c r="R1932" s="44"/>
      <c r="S1932" s="9" t="str">
        <f aca="false">IF(N1932&lt;&gt;"Y","",IF(R1932&lt;&gt;"",R1932,IF(Q1932="(tanpa lawan)","Transfer antar rekening",IFERROR(INDEX(I_COA!$F$6:$F$265,MATCH(Q1932,I_COA!$A$6:$A$265,0)),"?"))))</f>
        <v/>
      </c>
    </row>
    <row r="1933" customFormat="false" ht="15" hidden="false" customHeight="false" outlineLevel="0" collapsed="false">
      <c r="A1933" s="37"/>
      <c r="B1933" s="44"/>
      <c r="C1933" s="44"/>
      <c r="D1933" s="44"/>
      <c r="E1933" s="44"/>
      <c r="F1933" s="44"/>
      <c r="G1933" s="42"/>
      <c r="H1933" s="42"/>
      <c r="I1933" s="44"/>
      <c r="J1933" s="11" t="str">
        <f aca="false">IF(D1933="","",N(G1933)-N(H1933))</f>
        <v/>
      </c>
      <c r="K1933" s="34" t="str">
        <f aca="false">IF(D1933="","",IFERROR(INDEX(I_COA!$C$6:$C$265,MATCH(D1933,I_COA!$A$6:$A$265,0)),"AKUN BARU"))</f>
        <v/>
      </c>
      <c r="L1933" s="34" t="str">
        <f aca="false">IF(K1933="LabaRugi",INDEX(I_COA!$D$6:$D$265,MATCH(D1933,I_COA!$A$6:$A$265,0)),"")</f>
        <v/>
      </c>
      <c r="M1933" s="34" t="str">
        <f aca="false">IF(K1933="Neraca",INDEX(I_COA!$E$6:$E$265,MATCH(D1933,I_COA!$A$6:$A$265,0)),"")</f>
        <v/>
      </c>
      <c r="N1933" s="34" t="str">
        <f aca="false">IF(D1933="","",IFERROR(INDEX(I_COA!$G$6:$G$265,MATCH(D1933,I_COA!$A$6:$A$265,0)),"N"))</f>
        <v/>
      </c>
      <c r="O1933" s="11" t="str">
        <f aca="false">IF(N1933="N",ABS(J1933),"")</f>
        <v/>
      </c>
      <c r="P1933" s="18" t="str">
        <f aca="false">IF(N1933="N",B1933&amp;"|"&amp;ROUND(O1933,0),"")</f>
        <v/>
      </c>
      <c r="Q1933" s="18" t="str">
        <f aca="false">IF(N1933&lt;&gt;"Y","",IFERROR(INDEX($D$6:$D$4005,MATCH(B1933&amp;"|"&amp;ROUND(_xlfn.MAXIFS($O$6:$O$4005,$B$6:$B$4005,B1933,$N$6:$N$4005,"N"),0),$P$6:$P$4005,0)),"(tanpa lawan)"))</f>
        <v/>
      </c>
      <c r="R1933" s="44"/>
      <c r="S1933" s="9" t="str">
        <f aca="false">IF(N1933&lt;&gt;"Y","",IF(R1933&lt;&gt;"",R1933,IF(Q1933="(tanpa lawan)","Transfer antar rekening",IFERROR(INDEX(I_COA!$F$6:$F$265,MATCH(Q1933,I_COA!$A$6:$A$265,0)),"?"))))</f>
        <v/>
      </c>
    </row>
    <row r="1934" customFormat="false" ht="15" hidden="false" customHeight="false" outlineLevel="0" collapsed="false">
      <c r="A1934" s="37"/>
      <c r="B1934" s="44"/>
      <c r="C1934" s="44"/>
      <c r="D1934" s="44"/>
      <c r="E1934" s="44"/>
      <c r="F1934" s="44"/>
      <c r="G1934" s="42"/>
      <c r="H1934" s="42"/>
      <c r="I1934" s="44"/>
      <c r="J1934" s="11" t="str">
        <f aca="false">IF(D1934="","",N(G1934)-N(H1934))</f>
        <v/>
      </c>
      <c r="K1934" s="34" t="str">
        <f aca="false">IF(D1934="","",IFERROR(INDEX(I_COA!$C$6:$C$265,MATCH(D1934,I_COA!$A$6:$A$265,0)),"AKUN BARU"))</f>
        <v/>
      </c>
      <c r="L1934" s="34" t="str">
        <f aca="false">IF(K1934="LabaRugi",INDEX(I_COA!$D$6:$D$265,MATCH(D1934,I_COA!$A$6:$A$265,0)),"")</f>
        <v/>
      </c>
      <c r="M1934" s="34" t="str">
        <f aca="false">IF(K1934="Neraca",INDEX(I_COA!$E$6:$E$265,MATCH(D1934,I_COA!$A$6:$A$265,0)),"")</f>
        <v/>
      </c>
      <c r="N1934" s="34" t="str">
        <f aca="false">IF(D1934="","",IFERROR(INDEX(I_COA!$G$6:$G$265,MATCH(D1934,I_COA!$A$6:$A$265,0)),"N"))</f>
        <v/>
      </c>
      <c r="O1934" s="11" t="str">
        <f aca="false">IF(N1934="N",ABS(J1934),"")</f>
        <v/>
      </c>
      <c r="P1934" s="18" t="str">
        <f aca="false">IF(N1934="N",B1934&amp;"|"&amp;ROUND(O1934,0),"")</f>
        <v/>
      </c>
      <c r="Q1934" s="18" t="str">
        <f aca="false">IF(N1934&lt;&gt;"Y","",IFERROR(INDEX($D$6:$D$4005,MATCH(B1934&amp;"|"&amp;ROUND(_xlfn.MAXIFS($O$6:$O$4005,$B$6:$B$4005,B1934,$N$6:$N$4005,"N"),0),$P$6:$P$4005,0)),"(tanpa lawan)"))</f>
        <v/>
      </c>
      <c r="R1934" s="44"/>
      <c r="S1934" s="9" t="str">
        <f aca="false">IF(N1934&lt;&gt;"Y","",IF(R1934&lt;&gt;"",R1934,IF(Q1934="(tanpa lawan)","Transfer antar rekening",IFERROR(INDEX(I_COA!$F$6:$F$265,MATCH(Q1934,I_COA!$A$6:$A$265,0)),"?"))))</f>
        <v/>
      </c>
    </row>
    <row r="1935" customFormat="false" ht="15" hidden="false" customHeight="false" outlineLevel="0" collapsed="false">
      <c r="A1935" s="37"/>
      <c r="B1935" s="44"/>
      <c r="C1935" s="44"/>
      <c r="D1935" s="44"/>
      <c r="E1935" s="44"/>
      <c r="F1935" s="44"/>
      <c r="G1935" s="42"/>
      <c r="H1935" s="42"/>
      <c r="I1935" s="44"/>
      <c r="J1935" s="11" t="str">
        <f aca="false">IF(D1935="","",N(G1935)-N(H1935))</f>
        <v/>
      </c>
      <c r="K1935" s="34" t="str">
        <f aca="false">IF(D1935="","",IFERROR(INDEX(I_COA!$C$6:$C$265,MATCH(D1935,I_COA!$A$6:$A$265,0)),"AKUN BARU"))</f>
        <v/>
      </c>
      <c r="L1935" s="34" t="str">
        <f aca="false">IF(K1935="LabaRugi",INDEX(I_COA!$D$6:$D$265,MATCH(D1935,I_COA!$A$6:$A$265,0)),"")</f>
        <v/>
      </c>
      <c r="M1935" s="34" t="str">
        <f aca="false">IF(K1935="Neraca",INDEX(I_COA!$E$6:$E$265,MATCH(D1935,I_COA!$A$6:$A$265,0)),"")</f>
        <v/>
      </c>
      <c r="N1935" s="34" t="str">
        <f aca="false">IF(D1935="","",IFERROR(INDEX(I_COA!$G$6:$G$265,MATCH(D1935,I_COA!$A$6:$A$265,0)),"N"))</f>
        <v/>
      </c>
      <c r="O1935" s="11" t="str">
        <f aca="false">IF(N1935="N",ABS(J1935),"")</f>
        <v/>
      </c>
      <c r="P1935" s="18" t="str">
        <f aca="false">IF(N1935="N",B1935&amp;"|"&amp;ROUND(O1935,0),"")</f>
        <v/>
      </c>
      <c r="Q1935" s="18" t="str">
        <f aca="false">IF(N1935&lt;&gt;"Y","",IFERROR(INDEX($D$6:$D$4005,MATCH(B1935&amp;"|"&amp;ROUND(_xlfn.MAXIFS($O$6:$O$4005,$B$6:$B$4005,B1935,$N$6:$N$4005,"N"),0),$P$6:$P$4005,0)),"(tanpa lawan)"))</f>
        <v/>
      </c>
      <c r="R1935" s="44"/>
      <c r="S1935" s="9" t="str">
        <f aca="false">IF(N1935&lt;&gt;"Y","",IF(R1935&lt;&gt;"",R1935,IF(Q1935="(tanpa lawan)","Transfer antar rekening",IFERROR(INDEX(I_COA!$F$6:$F$265,MATCH(Q1935,I_COA!$A$6:$A$265,0)),"?"))))</f>
        <v/>
      </c>
    </row>
    <row r="1936" customFormat="false" ht="15" hidden="false" customHeight="false" outlineLevel="0" collapsed="false">
      <c r="A1936" s="37"/>
      <c r="B1936" s="44"/>
      <c r="C1936" s="44"/>
      <c r="D1936" s="44"/>
      <c r="E1936" s="44"/>
      <c r="F1936" s="44"/>
      <c r="G1936" s="42"/>
      <c r="H1936" s="42"/>
      <c r="I1936" s="44"/>
      <c r="J1936" s="11" t="str">
        <f aca="false">IF(D1936="","",N(G1936)-N(H1936))</f>
        <v/>
      </c>
      <c r="K1936" s="34" t="str">
        <f aca="false">IF(D1936="","",IFERROR(INDEX(I_COA!$C$6:$C$265,MATCH(D1936,I_COA!$A$6:$A$265,0)),"AKUN BARU"))</f>
        <v/>
      </c>
      <c r="L1936" s="34" t="str">
        <f aca="false">IF(K1936="LabaRugi",INDEX(I_COA!$D$6:$D$265,MATCH(D1936,I_COA!$A$6:$A$265,0)),"")</f>
        <v/>
      </c>
      <c r="M1936" s="34" t="str">
        <f aca="false">IF(K1936="Neraca",INDEX(I_COA!$E$6:$E$265,MATCH(D1936,I_COA!$A$6:$A$265,0)),"")</f>
        <v/>
      </c>
      <c r="N1936" s="34" t="str">
        <f aca="false">IF(D1936="","",IFERROR(INDEX(I_COA!$G$6:$G$265,MATCH(D1936,I_COA!$A$6:$A$265,0)),"N"))</f>
        <v/>
      </c>
      <c r="O1936" s="11" t="str">
        <f aca="false">IF(N1936="N",ABS(J1936),"")</f>
        <v/>
      </c>
      <c r="P1936" s="18" t="str">
        <f aca="false">IF(N1936="N",B1936&amp;"|"&amp;ROUND(O1936,0),"")</f>
        <v/>
      </c>
      <c r="Q1936" s="18" t="str">
        <f aca="false">IF(N1936&lt;&gt;"Y","",IFERROR(INDEX($D$6:$D$4005,MATCH(B1936&amp;"|"&amp;ROUND(_xlfn.MAXIFS($O$6:$O$4005,$B$6:$B$4005,B1936,$N$6:$N$4005,"N"),0),$P$6:$P$4005,0)),"(tanpa lawan)"))</f>
        <v/>
      </c>
      <c r="R1936" s="44"/>
      <c r="S1936" s="9" t="str">
        <f aca="false">IF(N1936&lt;&gt;"Y","",IF(R1936&lt;&gt;"",R1936,IF(Q1936="(tanpa lawan)","Transfer antar rekening",IFERROR(INDEX(I_COA!$F$6:$F$265,MATCH(Q1936,I_COA!$A$6:$A$265,0)),"?"))))</f>
        <v/>
      </c>
    </row>
    <row r="1937" customFormat="false" ht="15" hidden="false" customHeight="false" outlineLevel="0" collapsed="false">
      <c r="A1937" s="37"/>
      <c r="B1937" s="44"/>
      <c r="C1937" s="44"/>
      <c r="D1937" s="44"/>
      <c r="E1937" s="44"/>
      <c r="F1937" s="44"/>
      <c r="G1937" s="42"/>
      <c r="H1937" s="42"/>
      <c r="I1937" s="44"/>
      <c r="J1937" s="11" t="str">
        <f aca="false">IF(D1937="","",N(G1937)-N(H1937))</f>
        <v/>
      </c>
      <c r="K1937" s="34" t="str">
        <f aca="false">IF(D1937="","",IFERROR(INDEX(I_COA!$C$6:$C$265,MATCH(D1937,I_COA!$A$6:$A$265,0)),"AKUN BARU"))</f>
        <v/>
      </c>
      <c r="L1937" s="34" t="str">
        <f aca="false">IF(K1937="LabaRugi",INDEX(I_COA!$D$6:$D$265,MATCH(D1937,I_COA!$A$6:$A$265,0)),"")</f>
        <v/>
      </c>
      <c r="M1937" s="34" t="str">
        <f aca="false">IF(K1937="Neraca",INDEX(I_COA!$E$6:$E$265,MATCH(D1937,I_COA!$A$6:$A$265,0)),"")</f>
        <v/>
      </c>
      <c r="N1937" s="34" t="str">
        <f aca="false">IF(D1937="","",IFERROR(INDEX(I_COA!$G$6:$G$265,MATCH(D1937,I_COA!$A$6:$A$265,0)),"N"))</f>
        <v/>
      </c>
      <c r="O1937" s="11" t="str">
        <f aca="false">IF(N1937="N",ABS(J1937),"")</f>
        <v/>
      </c>
      <c r="P1937" s="18" t="str">
        <f aca="false">IF(N1937="N",B1937&amp;"|"&amp;ROUND(O1937,0),"")</f>
        <v/>
      </c>
      <c r="Q1937" s="18" t="str">
        <f aca="false">IF(N1937&lt;&gt;"Y","",IFERROR(INDEX($D$6:$D$4005,MATCH(B1937&amp;"|"&amp;ROUND(_xlfn.MAXIFS($O$6:$O$4005,$B$6:$B$4005,B1937,$N$6:$N$4005,"N"),0),$P$6:$P$4005,0)),"(tanpa lawan)"))</f>
        <v/>
      </c>
      <c r="R1937" s="44"/>
      <c r="S1937" s="9" t="str">
        <f aca="false">IF(N1937&lt;&gt;"Y","",IF(R1937&lt;&gt;"",R1937,IF(Q1937="(tanpa lawan)","Transfer antar rekening",IFERROR(INDEX(I_COA!$F$6:$F$265,MATCH(Q1937,I_COA!$A$6:$A$265,0)),"?"))))</f>
        <v/>
      </c>
    </row>
    <row r="1938" customFormat="false" ht="15" hidden="false" customHeight="false" outlineLevel="0" collapsed="false">
      <c r="A1938" s="37"/>
      <c r="B1938" s="44"/>
      <c r="C1938" s="44"/>
      <c r="D1938" s="44"/>
      <c r="E1938" s="44"/>
      <c r="F1938" s="44"/>
      <c r="G1938" s="42"/>
      <c r="H1938" s="42"/>
      <c r="I1938" s="44"/>
      <c r="J1938" s="11" t="str">
        <f aca="false">IF(D1938="","",N(G1938)-N(H1938))</f>
        <v/>
      </c>
      <c r="K1938" s="34" t="str">
        <f aca="false">IF(D1938="","",IFERROR(INDEX(I_COA!$C$6:$C$265,MATCH(D1938,I_COA!$A$6:$A$265,0)),"AKUN BARU"))</f>
        <v/>
      </c>
      <c r="L1938" s="34" t="str">
        <f aca="false">IF(K1938="LabaRugi",INDEX(I_COA!$D$6:$D$265,MATCH(D1938,I_COA!$A$6:$A$265,0)),"")</f>
        <v/>
      </c>
      <c r="M1938" s="34" t="str">
        <f aca="false">IF(K1938="Neraca",INDEX(I_COA!$E$6:$E$265,MATCH(D1938,I_COA!$A$6:$A$265,0)),"")</f>
        <v/>
      </c>
      <c r="N1938" s="34" t="str">
        <f aca="false">IF(D1938="","",IFERROR(INDEX(I_COA!$G$6:$G$265,MATCH(D1938,I_COA!$A$6:$A$265,0)),"N"))</f>
        <v/>
      </c>
      <c r="O1938" s="11" t="str">
        <f aca="false">IF(N1938="N",ABS(J1938),"")</f>
        <v/>
      </c>
      <c r="P1938" s="18" t="str">
        <f aca="false">IF(N1938="N",B1938&amp;"|"&amp;ROUND(O1938,0),"")</f>
        <v/>
      </c>
      <c r="Q1938" s="18" t="str">
        <f aca="false">IF(N1938&lt;&gt;"Y","",IFERROR(INDEX($D$6:$D$4005,MATCH(B1938&amp;"|"&amp;ROUND(_xlfn.MAXIFS($O$6:$O$4005,$B$6:$B$4005,B1938,$N$6:$N$4005,"N"),0),$P$6:$P$4005,0)),"(tanpa lawan)"))</f>
        <v/>
      </c>
      <c r="R1938" s="44"/>
      <c r="S1938" s="9" t="str">
        <f aca="false">IF(N1938&lt;&gt;"Y","",IF(R1938&lt;&gt;"",R1938,IF(Q1938="(tanpa lawan)","Transfer antar rekening",IFERROR(INDEX(I_COA!$F$6:$F$265,MATCH(Q1938,I_COA!$A$6:$A$265,0)),"?"))))</f>
        <v/>
      </c>
    </row>
    <row r="1939" customFormat="false" ht="15" hidden="false" customHeight="false" outlineLevel="0" collapsed="false">
      <c r="A1939" s="37"/>
      <c r="B1939" s="44"/>
      <c r="C1939" s="44"/>
      <c r="D1939" s="44"/>
      <c r="E1939" s="44"/>
      <c r="F1939" s="44"/>
      <c r="G1939" s="42"/>
      <c r="H1939" s="42"/>
      <c r="I1939" s="44"/>
      <c r="J1939" s="11" t="str">
        <f aca="false">IF(D1939="","",N(G1939)-N(H1939))</f>
        <v/>
      </c>
      <c r="K1939" s="34" t="str">
        <f aca="false">IF(D1939="","",IFERROR(INDEX(I_COA!$C$6:$C$265,MATCH(D1939,I_COA!$A$6:$A$265,0)),"AKUN BARU"))</f>
        <v/>
      </c>
      <c r="L1939" s="34" t="str">
        <f aca="false">IF(K1939="LabaRugi",INDEX(I_COA!$D$6:$D$265,MATCH(D1939,I_COA!$A$6:$A$265,0)),"")</f>
        <v/>
      </c>
      <c r="M1939" s="34" t="str">
        <f aca="false">IF(K1939="Neraca",INDEX(I_COA!$E$6:$E$265,MATCH(D1939,I_COA!$A$6:$A$265,0)),"")</f>
        <v/>
      </c>
      <c r="N1939" s="34" t="str">
        <f aca="false">IF(D1939="","",IFERROR(INDEX(I_COA!$G$6:$G$265,MATCH(D1939,I_COA!$A$6:$A$265,0)),"N"))</f>
        <v/>
      </c>
      <c r="O1939" s="11" t="str">
        <f aca="false">IF(N1939="N",ABS(J1939),"")</f>
        <v/>
      </c>
      <c r="P1939" s="18" t="str">
        <f aca="false">IF(N1939="N",B1939&amp;"|"&amp;ROUND(O1939,0),"")</f>
        <v/>
      </c>
      <c r="Q1939" s="18" t="str">
        <f aca="false">IF(N1939&lt;&gt;"Y","",IFERROR(INDEX($D$6:$D$4005,MATCH(B1939&amp;"|"&amp;ROUND(_xlfn.MAXIFS($O$6:$O$4005,$B$6:$B$4005,B1939,$N$6:$N$4005,"N"),0),$P$6:$P$4005,0)),"(tanpa lawan)"))</f>
        <v/>
      </c>
      <c r="R1939" s="44"/>
      <c r="S1939" s="9" t="str">
        <f aca="false">IF(N1939&lt;&gt;"Y","",IF(R1939&lt;&gt;"",R1939,IF(Q1939="(tanpa lawan)","Transfer antar rekening",IFERROR(INDEX(I_COA!$F$6:$F$265,MATCH(Q1939,I_COA!$A$6:$A$265,0)),"?"))))</f>
        <v/>
      </c>
    </row>
    <row r="1940" customFormat="false" ht="15" hidden="false" customHeight="false" outlineLevel="0" collapsed="false">
      <c r="A1940" s="37"/>
      <c r="B1940" s="44"/>
      <c r="C1940" s="44"/>
      <c r="D1940" s="44"/>
      <c r="E1940" s="44"/>
      <c r="F1940" s="44"/>
      <c r="G1940" s="42"/>
      <c r="H1940" s="42"/>
      <c r="I1940" s="44"/>
      <c r="J1940" s="11" t="str">
        <f aca="false">IF(D1940="","",N(G1940)-N(H1940))</f>
        <v/>
      </c>
      <c r="K1940" s="34" t="str">
        <f aca="false">IF(D1940="","",IFERROR(INDEX(I_COA!$C$6:$C$265,MATCH(D1940,I_COA!$A$6:$A$265,0)),"AKUN BARU"))</f>
        <v/>
      </c>
      <c r="L1940" s="34" t="str">
        <f aca="false">IF(K1940="LabaRugi",INDEX(I_COA!$D$6:$D$265,MATCH(D1940,I_COA!$A$6:$A$265,0)),"")</f>
        <v/>
      </c>
      <c r="M1940" s="34" t="str">
        <f aca="false">IF(K1940="Neraca",INDEX(I_COA!$E$6:$E$265,MATCH(D1940,I_COA!$A$6:$A$265,0)),"")</f>
        <v/>
      </c>
      <c r="N1940" s="34" t="str">
        <f aca="false">IF(D1940="","",IFERROR(INDEX(I_COA!$G$6:$G$265,MATCH(D1940,I_COA!$A$6:$A$265,0)),"N"))</f>
        <v/>
      </c>
      <c r="O1940" s="11" t="str">
        <f aca="false">IF(N1940="N",ABS(J1940),"")</f>
        <v/>
      </c>
      <c r="P1940" s="18" t="str">
        <f aca="false">IF(N1940="N",B1940&amp;"|"&amp;ROUND(O1940,0),"")</f>
        <v/>
      </c>
      <c r="Q1940" s="18" t="str">
        <f aca="false">IF(N1940&lt;&gt;"Y","",IFERROR(INDEX($D$6:$D$4005,MATCH(B1940&amp;"|"&amp;ROUND(_xlfn.MAXIFS($O$6:$O$4005,$B$6:$B$4005,B1940,$N$6:$N$4005,"N"),0),$P$6:$P$4005,0)),"(tanpa lawan)"))</f>
        <v/>
      </c>
      <c r="R1940" s="44"/>
      <c r="S1940" s="9" t="str">
        <f aca="false">IF(N1940&lt;&gt;"Y","",IF(R1940&lt;&gt;"",R1940,IF(Q1940="(tanpa lawan)","Transfer antar rekening",IFERROR(INDEX(I_COA!$F$6:$F$265,MATCH(Q1940,I_COA!$A$6:$A$265,0)),"?"))))</f>
        <v/>
      </c>
    </row>
    <row r="1941" customFormat="false" ht="15" hidden="false" customHeight="false" outlineLevel="0" collapsed="false">
      <c r="A1941" s="37"/>
      <c r="B1941" s="44"/>
      <c r="C1941" s="44"/>
      <c r="D1941" s="44"/>
      <c r="E1941" s="44"/>
      <c r="F1941" s="44"/>
      <c r="G1941" s="42"/>
      <c r="H1941" s="42"/>
      <c r="I1941" s="44"/>
      <c r="J1941" s="11" t="str">
        <f aca="false">IF(D1941="","",N(G1941)-N(H1941))</f>
        <v/>
      </c>
      <c r="K1941" s="34" t="str">
        <f aca="false">IF(D1941="","",IFERROR(INDEX(I_COA!$C$6:$C$265,MATCH(D1941,I_COA!$A$6:$A$265,0)),"AKUN BARU"))</f>
        <v/>
      </c>
      <c r="L1941" s="34" t="str">
        <f aca="false">IF(K1941="LabaRugi",INDEX(I_COA!$D$6:$D$265,MATCH(D1941,I_COA!$A$6:$A$265,0)),"")</f>
        <v/>
      </c>
      <c r="M1941" s="34" t="str">
        <f aca="false">IF(K1941="Neraca",INDEX(I_COA!$E$6:$E$265,MATCH(D1941,I_COA!$A$6:$A$265,0)),"")</f>
        <v/>
      </c>
      <c r="N1941" s="34" t="str">
        <f aca="false">IF(D1941="","",IFERROR(INDEX(I_COA!$G$6:$G$265,MATCH(D1941,I_COA!$A$6:$A$265,0)),"N"))</f>
        <v/>
      </c>
      <c r="O1941" s="11" t="str">
        <f aca="false">IF(N1941="N",ABS(J1941),"")</f>
        <v/>
      </c>
      <c r="P1941" s="18" t="str">
        <f aca="false">IF(N1941="N",B1941&amp;"|"&amp;ROUND(O1941,0),"")</f>
        <v/>
      </c>
      <c r="Q1941" s="18" t="str">
        <f aca="false">IF(N1941&lt;&gt;"Y","",IFERROR(INDEX($D$6:$D$4005,MATCH(B1941&amp;"|"&amp;ROUND(_xlfn.MAXIFS($O$6:$O$4005,$B$6:$B$4005,B1941,$N$6:$N$4005,"N"),0),$P$6:$P$4005,0)),"(tanpa lawan)"))</f>
        <v/>
      </c>
      <c r="R1941" s="44"/>
      <c r="S1941" s="9" t="str">
        <f aca="false">IF(N1941&lt;&gt;"Y","",IF(R1941&lt;&gt;"",R1941,IF(Q1941="(tanpa lawan)","Transfer antar rekening",IFERROR(INDEX(I_COA!$F$6:$F$265,MATCH(Q1941,I_COA!$A$6:$A$265,0)),"?"))))</f>
        <v/>
      </c>
    </row>
    <row r="1942" customFormat="false" ht="15" hidden="false" customHeight="false" outlineLevel="0" collapsed="false">
      <c r="A1942" s="37"/>
      <c r="B1942" s="44"/>
      <c r="C1942" s="44"/>
      <c r="D1942" s="44"/>
      <c r="E1942" s="44"/>
      <c r="F1942" s="44"/>
      <c r="G1942" s="42"/>
      <c r="H1942" s="42"/>
      <c r="I1942" s="44"/>
      <c r="J1942" s="11" t="str">
        <f aca="false">IF(D1942="","",N(G1942)-N(H1942))</f>
        <v/>
      </c>
      <c r="K1942" s="34" t="str">
        <f aca="false">IF(D1942="","",IFERROR(INDEX(I_COA!$C$6:$C$265,MATCH(D1942,I_COA!$A$6:$A$265,0)),"AKUN BARU"))</f>
        <v/>
      </c>
      <c r="L1942" s="34" t="str">
        <f aca="false">IF(K1942="LabaRugi",INDEX(I_COA!$D$6:$D$265,MATCH(D1942,I_COA!$A$6:$A$265,0)),"")</f>
        <v/>
      </c>
      <c r="M1942" s="34" t="str">
        <f aca="false">IF(K1942="Neraca",INDEX(I_COA!$E$6:$E$265,MATCH(D1942,I_COA!$A$6:$A$265,0)),"")</f>
        <v/>
      </c>
      <c r="N1942" s="34" t="str">
        <f aca="false">IF(D1942="","",IFERROR(INDEX(I_COA!$G$6:$G$265,MATCH(D1942,I_COA!$A$6:$A$265,0)),"N"))</f>
        <v/>
      </c>
      <c r="O1942" s="11" t="str">
        <f aca="false">IF(N1942="N",ABS(J1942),"")</f>
        <v/>
      </c>
      <c r="P1942" s="18" t="str">
        <f aca="false">IF(N1942="N",B1942&amp;"|"&amp;ROUND(O1942,0),"")</f>
        <v/>
      </c>
      <c r="Q1942" s="18" t="str">
        <f aca="false">IF(N1942&lt;&gt;"Y","",IFERROR(INDEX($D$6:$D$4005,MATCH(B1942&amp;"|"&amp;ROUND(_xlfn.MAXIFS($O$6:$O$4005,$B$6:$B$4005,B1942,$N$6:$N$4005,"N"),0),$P$6:$P$4005,0)),"(tanpa lawan)"))</f>
        <v/>
      </c>
      <c r="R1942" s="44"/>
      <c r="S1942" s="9" t="str">
        <f aca="false">IF(N1942&lt;&gt;"Y","",IF(R1942&lt;&gt;"",R1942,IF(Q1942="(tanpa lawan)","Transfer antar rekening",IFERROR(INDEX(I_COA!$F$6:$F$265,MATCH(Q1942,I_COA!$A$6:$A$265,0)),"?"))))</f>
        <v/>
      </c>
    </row>
    <row r="1943" customFormat="false" ht="15" hidden="false" customHeight="false" outlineLevel="0" collapsed="false">
      <c r="A1943" s="37"/>
      <c r="B1943" s="44"/>
      <c r="C1943" s="44"/>
      <c r="D1943" s="44"/>
      <c r="E1943" s="44"/>
      <c r="F1943" s="44"/>
      <c r="G1943" s="42"/>
      <c r="H1943" s="42"/>
      <c r="I1943" s="44"/>
      <c r="J1943" s="11" t="str">
        <f aca="false">IF(D1943="","",N(G1943)-N(H1943))</f>
        <v/>
      </c>
      <c r="K1943" s="34" t="str">
        <f aca="false">IF(D1943="","",IFERROR(INDEX(I_COA!$C$6:$C$265,MATCH(D1943,I_COA!$A$6:$A$265,0)),"AKUN BARU"))</f>
        <v/>
      </c>
      <c r="L1943" s="34" t="str">
        <f aca="false">IF(K1943="LabaRugi",INDEX(I_COA!$D$6:$D$265,MATCH(D1943,I_COA!$A$6:$A$265,0)),"")</f>
        <v/>
      </c>
      <c r="M1943" s="34" t="str">
        <f aca="false">IF(K1943="Neraca",INDEX(I_COA!$E$6:$E$265,MATCH(D1943,I_COA!$A$6:$A$265,0)),"")</f>
        <v/>
      </c>
      <c r="N1943" s="34" t="str">
        <f aca="false">IF(D1943="","",IFERROR(INDEX(I_COA!$G$6:$G$265,MATCH(D1943,I_COA!$A$6:$A$265,0)),"N"))</f>
        <v/>
      </c>
      <c r="O1943" s="11" t="str">
        <f aca="false">IF(N1943="N",ABS(J1943),"")</f>
        <v/>
      </c>
      <c r="P1943" s="18" t="str">
        <f aca="false">IF(N1943="N",B1943&amp;"|"&amp;ROUND(O1943,0),"")</f>
        <v/>
      </c>
      <c r="Q1943" s="18" t="str">
        <f aca="false">IF(N1943&lt;&gt;"Y","",IFERROR(INDEX($D$6:$D$4005,MATCH(B1943&amp;"|"&amp;ROUND(_xlfn.MAXIFS($O$6:$O$4005,$B$6:$B$4005,B1943,$N$6:$N$4005,"N"),0),$P$6:$P$4005,0)),"(tanpa lawan)"))</f>
        <v/>
      </c>
      <c r="R1943" s="44"/>
      <c r="S1943" s="9" t="str">
        <f aca="false">IF(N1943&lt;&gt;"Y","",IF(R1943&lt;&gt;"",R1943,IF(Q1943="(tanpa lawan)","Transfer antar rekening",IFERROR(INDEX(I_COA!$F$6:$F$265,MATCH(Q1943,I_COA!$A$6:$A$265,0)),"?"))))</f>
        <v/>
      </c>
    </row>
    <row r="1944" customFormat="false" ht="15" hidden="false" customHeight="false" outlineLevel="0" collapsed="false">
      <c r="A1944" s="37"/>
      <c r="B1944" s="44"/>
      <c r="C1944" s="44"/>
      <c r="D1944" s="44"/>
      <c r="E1944" s="44"/>
      <c r="F1944" s="44"/>
      <c r="G1944" s="42"/>
      <c r="H1944" s="42"/>
      <c r="I1944" s="44"/>
      <c r="J1944" s="11" t="str">
        <f aca="false">IF(D1944="","",N(G1944)-N(H1944))</f>
        <v/>
      </c>
      <c r="K1944" s="34" t="str">
        <f aca="false">IF(D1944="","",IFERROR(INDEX(I_COA!$C$6:$C$265,MATCH(D1944,I_COA!$A$6:$A$265,0)),"AKUN BARU"))</f>
        <v/>
      </c>
      <c r="L1944" s="34" t="str">
        <f aca="false">IF(K1944="LabaRugi",INDEX(I_COA!$D$6:$D$265,MATCH(D1944,I_COA!$A$6:$A$265,0)),"")</f>
        <v/>
      </c>
      <c r="M1944" s="34" t="str">
        <f aca="false">IF(K1944="Neraca",INDEX(I_COA!$E$6:$E$265,MATCH(D1944,I_COA!$A$6:$A$265,0)),"")</f>
        <v/>
      </c>
      <c r="N1944" s="34" t="str">
        <f aca="false">IF(D1944="","",IFERROR(INDEX(I_COA!$G$6:$G$265,MATCH(D1944,I_COA!$A$6:$A$265,0)),"N"))</f>
        <v/>
      </c>
      <c r="O1944" s="11" t="str">
        <f aca="false">IF(N1944="N",ABS(J1944),"")</f>
        <v/>
      </c>
      <c r="P1944" s="18" t="str">
        <f aca="false">IF(N1944="N",B1944&amp;"|"&amp;ROUND(O1944,0),"")</f>
        <v/>
      </c>
      <c r="Q1944" s="18" t="str">
        <f aca="false">IF(N1944&lt;&gt;"Y","",IFERROR(INDEX($D$6:$D$4005,MATCH(B1944&amp;"|"&amp;ROUND(_xlfn.MAXIFS($O$6:$O$4005,$B$6:$B$4005,B1944,$N$6:$N$4005,"N"),0),$P$6:$P$4005,0)),"(tanpa lawan)"))</f>
        <v/>
      </c>
      <c r="R1944" s="44"/>
      <c r="S1944" s="9" t="str">
        <f aca="false">IF(N1944&lt;&gt;"Y","",IF(R1944&lt;&gt;"",R1944,IF(Q1944="(tanpa lawan)","Transfer antar rekening",IFERROR(INDEX(I_COA!$F$6:$F$265,MATCH(Q1944,I_COA!$A$6:$A$265,0)),"?"))))</f>
        <v/>
      </c>
    </row>
    <row r="1945" customFormat="false" ht="15" hidden="false" customHeight="false" outlineLevel="0" collapsed="false">
      <c r="A1945" s="37"/>
      <c r="B1945" s="44"/>
      <c r="C1945" s="44"/>
      <c r="D1945" s="44"/>
      <c r="E1945" s="44"/>
      <c r="F1945" s="44"/>
      <c r="G1945" s="42"/>
      <c r="H1945" s="42"/>
      <c r="I1945" s="44"/>
      <c r="J1945" s="11" t="str">
        <f aca="false">IF(D1945="","",N(G1945)-N(H1945))</f>
        <v/>
      </c>
      <c r="K1945" s="34" t="str">
        <f aca="false">IF(D1945="","",IFERROR(INDEX(I_COA!$C$6:$C$265,MATCH(D1945,I_COA!$A$6:$A$265,0)),"AKUN BARU"))</f>
        <v/>
      </c>
      <c r="L1945" s="34" t="str">
        <f aca="false">IF(K1945="LabaRugi",INDEX(I_COA!$D$6:$D$265,MATCH(D1945,I_COA!$A$6:$A$265,0)),"")</f>
        <v/>
      </c>
      <c r="M1945" s="34" t="str">
        <f aca="false">IF(K1945="Neraca",INDEX(I_COA!$E$6:$E$265,MATCH(D1945,I_COA!$A$6:$A$265,0)),"")</f>
        <v/>
      </c>
      <c r="N1945" s="34" t="str">
        <f aca="false">IF(D1945="","",IFERROR(INDEX(I_COA!$G$6:$G$265,MATCH(D1945,I_COA!$A$6:$A$265,0)),"N"))</f>
        <v/>
      </c>
      <c r="O1945" s="11" t="str">
        <f aca="false">IF(N1945="N",ABS(J1945),"")</f>
        <v/>
      </c>
      <c r="P1945" s="18" t="str">
        <f aca="false">IF(N1945="N",B1945&amp;"|"&amp;ROUND(O1945,0),"")</f>
        <v/>
      </c>
      <c r="Q1945" s="18" t="str">
        <f aca="false">IF(N1945&lt;&gt;"Y","",IFERROR(INDEX($D$6:$D$4005,MATCH(B1945&amp;"|"&amp;ROUND(_xlfn.MAXIFS($O$6:$O$4005,$B$6:$B$4005,B1945,$N$6:$N$4005,"N"),0),$P$6:$P$4005,0)),"(tanpa lawan)"))</f>
        <v/>
      </c>
      <c r="R1945" s="44"/>
      <c r="S1945" s="9" t="str">
        <f aca="false">IF(N1945&lt;&gt;"Y","",IF(R1945&lt;&gt;"",R1945,IF(Q1945="(tanpa lawan)","Transfer antar rekening",IFERROR(INDEX(I_COA!$F$6:$F$265,MATCH(Q1945,I_COA!$A$6:$A$265,0)),"?"))))</f>
        <v/>
      </c>
    </row>
    <row r="1946" customFormat="false" ht="15" hidden="false" customHeight="false" outlineLevel="0" collapsed="false">
      <c r="A1946" s="37"/>
      <c r="B1946" s="44"/>
      <c r="C1946" s="44"/>
      <c r="D1946" s="44"/>
      <c r="E1946" s="44"/>
      <c r="F1946" s="44"/>
      <c r="G1946" s="42"/>
      <c r="H1946" s="42"/>
      <c r="I1946" s="44"/>
      <c r="J1946" s="11" t="str">
        <f aca="false">IF(D1946="","",N(G1946)-N(H1946))</f>
        <v/>
      </c>
      <c r="K1946" s="34" t="str">
        <f aca="false">IF(D1946="","",IFERROR(INDEX(I_COA!$C$6:$C$265,MATCH(D1946,I_COA!$A$6:$A$265,0)),"AKUN BARU"))</f>
        <v/>
      </c>
      <c r="L1946" s="34" t="str">
        <f aca="false">IF(K1946="LabaRugi",INDEX(I_COA!$D$6:$D$265,MATCH(D1946,I_COA!$A$6:$A$265,0)),"")</f>
        <v/>
      </c>
      <c r="M1946" s="34" t="str">
        <f aca="false">IF(K1946="Neraca",INDEX(I_COA!$E$6:$E$265,MATCH(D1946,I_COA!$A$6:$A$265,0)),"")</f>
        <v/>
      </c>
      <c r="N1946" s="34" t="str">
        <f aca="false">IF(D1946="","",IFERROR(INDEX(I_COA!$G$6:$G$265,MATCH(D1946,I_COA!$A$6:$A$265,0)),"N"))</f>
        <v/>
      </c>
      <c r="O1946" s="11" t="str">
        <f aca="false">IF(N1946="N",ABS(J1946),"")</f>
        <v/>
      </c>
      <c r="P1946" s="18" t="str">
        <f aca="false">IF(N1946="N",B1946&amp;"|"&amp;ROUND(O1946,0),"")</f>
        <v/>
      </c>
      <c r="Q1946" s="18" t="str">
        <f aca="false">IF(N1946&lt;&gt;"Y","",IFERROR(INDEX($D$6:$D$4005,MATCH(B1946&amp;"|"&amp;ROUND(_xlfn.MAXIFS($O$6:$O$4005,$B$6:$B$4005,B1946,$N$6:$N$4005,"N"),0),$P$6:$P$4005,0)),"(tanpa lawan)"))</f>
        <v/>
      </c>
      <c r="R1946" s="44"/>
      <c r="S1946" s="9" t="str">
        <f aca="false">IF(N1946&lt;&gt;"Y","",IF(R1946&lt;&gt;"",R1946,IF(Q1946="(tanpa lawan)","Transfer antar rekening",IFERROR(INDEX(I_COA!$F$6:$F$265,MATCH(Q1946,I_COA!$A$6:$A$265,0)),"?"))))</f>
        <v/>
      </c>
    </row>
    <row r="1947" customFormat="false" ht="15" hidden="false" customHeight="false" outlineLevel="0" collapsed="false">
      <c r="A1947" s="37"/>
      <c r="B1947" s="44"/>
      <c r="C1947" s="44"/>
      <c r="D1947" s="44"/>
      <c r="E1947" s="44"/>
      <c r="F1947" s="44"/>
      <c r="G1947" s="42"/>
      <c r="H1947" s="42"/>
      <c r="I1947" s="44"/>
      <c r="J1947" s="11" t="str">
        <f aca="false">IF(D1947="","",N(G1947)-N(H1947))</f>
        <v/>
      </c>
      <c r="K1947" s="34" t="str">
        <f aca="false">IF(D1947="","",IFERROR(INDEX(I_COA!$C$6:$C$265,MATCH(D1947,I_COA!$A$6:$A$265,0)),"AKUN BARU"))</f>
        <v/>
      </c>
      <c r="L1947" s="34" t="str">
        <f aca="false">IF(K1947="LabaRugi",INDEX(I_COA!$D$6:$D$265,MATCH(D1947,I_COA!$A$6:$A$265,0)),"")</f>
        <v/>
      </c>
      <c r="M1947" s="34" t="str">
        <f aca="false">IF(K1947="Neraca",INDEX(I_COA!$E$6:$E$265,MATCH(D1947,I_COA!$A$6:$A$265,0)),"")</f>
        <v/>
      </c>
      <c r="N1947" s="34" t="str">
        <f aca="false">IF(D1947="","",IFERROR(INDEX(I_COA!$G$6:$G$265,MATCH(D1947,I_COA!$A$6:$A$265,0)),"N"))</f>
        <v/>
      </c>
      <c r="O1947" s="11" t="str">
        <f aca="false">IF(N1947="N",ABS(J1947),"")</f>
        <v/>
      </c>
      <c r="P1947" s="18" t="str">
        <f aca="false">IF(N1947="N",B1947&amp;"|"&amp;ROUND(O1947,0),"")</f>
        <v/>
      </c>
      <c r="Q1947" s="18" t="str">
        <f aca="false">IF(N1947&lt;&gt;"Y","",IFERROR(INDEX($D$6:$D$4005,MATCH(B1947&amp;"|"&amp;ROUND(_xlfn.MAXIFS($O$6:$O$4005,$B$6:$B$4005,B1947,$N$6:$N$4005,"N"),0),$P$6:$P$4005,0)),"(tanpa lawan)"))</f>
        <v/>
      </c>
      <c r="R1947" s="44"/>
      <c r="S1947" s="9" t="str">
        <f aca="false">IF(N1947&lt;&gt;"Y","",IF(R1947&lt;&gt;"",R1947,IF(Q1947="(tanpa lawan)","Transfer antar rekening",IFERROR(INDEX(I_COA!$F$6:$F$265,MATCH(Q1947,I_COA!$A$6:$A$265,0)),"?"))))</f>
        <v/>
      </c>
    </row>
    <row r="1948" customFormat="false" ht="15" hidden="false" customHeight="false" outlineLevel="0" collapsed="false">
      <c r="A1948" s="37"/>
      <c r="B1948" s="44"/>
      <c r="C1948" s="44"/>
      <c r="D1948" s="44"/>
      <c r="E1948" s="44"/>
      <c r="F1948" s="44"/>
      <c r="G1948" s="42"/>
      <c r="H1948" s="42"/>
      <c r="I1948" s="44"/>
      <c r="J1948" s="11" t="str">
        <f aca="false">IF(D1948="","",N(G1948)-N(H1948))</f>
        <v/>
      </c>
      <c r="K1948" s="34" t="str">
        <f aca="false">IF(D1948="","",IFERROR(INDEX(I_COA!$C$6:$C$265,MATCH(D1948,I_COA!$A$6:$A$265,0)),"AKUN BARU"))</f>
        <v/>
      </c>
      <c r="L1948" s="34" t="str">
        <f aca="false">IF(K1948="LabaRugi",INDEX(I_COA!$D$6:$D$265,MATCH(D1948,I_COA!$A$6:$A$265,0)),"")</f>
        <v/>
      </c>
      <c r="M1948" s="34" t="str">
        <f aca="false">IF(K1948="Neraca",INDEX(I_COA!$E$6:$E$265,MATCH(D1948,I_COA!$A$6:$A$265,0)),"")</f>
        <v/>
      </c>
      <c r="N1948" s="34" t="str">
        <f aca="false">IF(D1948="","",IFERROR(INDEX(I_COA!$G$6:$G$265,MATCH(D1948,I_COA!$A$6:$A$265,0)),"N"))</f>
        <v/>
      </c>
      <c r="O1948" s="11" t="str">
        <f aca="false">IF(N1948="N",ABS(J1948),"")</f>
        <v/>
      </c>
      <c r="P1948" s="18" t="str">
        <f aca="false">IF(N1948="N",B1948&amp;"|"&amp;ROUND(O1948,0),"")</f>
        <v/>
      </c>
      <c r="Q1948" s="18" t="str">
        <f aca="false">IF(N1948&lt;&gt;"Y","",IFERROR(INDEX($D$6:$D$4005,MATCH(B1948&amp;"|"&amp;ROUND(_xlfn.MAXIFS($O$6:$O$4005,$B$6:$B$4005,B1948,$N$6:$N$4005,"N"),0),$P$6:$P$4005,0)),"(tanpa lawan)"))</f>
        <v/>
      </c>
      <c r="R1948" s="44"/>
      <c r="S1948" s="9" t="str">
        <f aca="false">IF(N1948&lt;&gt;"Y","",IF(R1948&lt;&gt;"",R1948,IF(Q1948="(tanpa lawan)","Transfer antar rekening",IFERROR(INDEX(I_COA!$F$6:$F$265,MATCH(Q1948,I_COA!$A$6:$A$265,0)),"?"))))</f>
        <v/>
      </c>
    </row>
    <row r="1949" customFormat="false" ht="15" hidden="false" customHeight="false" outlineLevel="0" collapsed="false">
      <c r="A1949" s="37"/>
      <c r="B1949" s="44"/>
      <c r="C1949" s="44"/>
      <c r="D1949" s="44"/>
      <c r="E1949" s="44"/>
      <c r="F1949" s="44"/>
      <c r="G1949" s="42"/>
      <c r="H1949" s="42"/>
      <c r="I1949" s="44"/>
      <c r="J1949" s="11" t="str">
        <f aca="false">IF(D1949="","",N(G1949)-N(H1949))</f>
        <v/>
      </c>
      <c r="K1949" s="34" t="str">
        <f aca="false">IF(D1949="","",IFERROR(INDEX(I_COA!$C$6:$C$265,MATCH(D1949,I_COA!$A$6:$A$265,0)),"AKUN BARU"))</f>
        <v/>
      </c>
      <c r="L1949" s="34" t="str">
        <f aca="false">IF(K1949="LabaRugi",INDEX(I_COA!$D$6:$D$265,MATCH(D1949,I_COA!$A$6:$A$265,0)),"")</f>
        <v/>
      </c>
      <c r="M1949" s="34" t="str">
        <f aca="false">IF(K1949="Neraca",INDEX(I_COA!$E$6:$E$265,MATCH(D1949,I_COA!$A$6:$A$265,0)),"")</f>
        <v/>
      </c>
      <c r="N1949" s="34" t="str">
        <f aca="false">IF(D1949="","",IFERROR(INDEX(I_COA!$G$6:$G$265,MATCH(D1949,I_COA!$A$6:$A$265,0)),"N"))</f>
        <v/>
      </c>
      <c r="O1949" s="11" t="str">
        <f aca="false">IF(N1949="N",ABS(J1949),"")</f>
        <v/>
      </c>
      <c r="P1949" s="18" t="str">
        <f aca="false">IF(N1949="N",B1949&amp;"|"&amp;ROUND(O1949,0),"")</f>
        <v/>
      </c>
      <c r="Q1949" s="18" t="str">
        <f aca="false">IF(N1949&lt;&gt;"Y","",IFERROR(INDEX($D$6:$D$4005,MATCH(B1949&amp;"|"&amp;ROUND(_xlfn.MAXIFS($O$6:$O$4005,$B$6:$B$4005,B1949,$N$6:$N$4005,"N"),0),$P$6:$P$4005,0)),"(tanpa lawan)"))</f>
        <v/>
      </c>
      <c r="R1949" s="44"/>
      <c r="S1949" s="9" t="str">
        <f aca="false">IF(N1949&lt;&gt;"Y","",IF(R1949&lt;&gt;"",R1949,IF(Q1949="(tanpa lawan)","Transfer antar rekening",IFERROR(INDEX(I_COA!$F$6:$F$265,MATCH(Q1949,I_COA!$A$6:$A$265,0)),"?"))))</f>
        <v/>
      </c>
    </row>
    <row r="1950" customFormat="false" ht="15" hidden="false" customHeight="false" outlineLevel="0" collapsed="false">
      <c r="A1950" s="37"/>
      <c r="B1950" s="44"/>
      <c r="C1950" s="44"/>
      <c r="D1950" s="44"/>
      <c r="E1950" s="44"/>
      <c r="F1950" s="44"/>
      <c r="G1950" s="42"/>
      <c r="H1950" s="42"/>
      <c r="I1950" s="44"/>
      <c r="J1950" s="11" t="str">
        <f aca="false">IF(D1950="","",N(G1950)-N(H1950))</f>
        <v/>
      </c>
      <c r="K1950" s="34" t="str">
        <f aca="false">IF(D1950="","",IFERROR(INDEX(I_COA!$C$6:$C$265,MATCH(D1950,I_COA!$A$6:$A$265,0)),"AKUN BARU"))</f>
        <v/>
      </c>
      <c r="L1950" s="34" t="str">
        <f aca="false">IF(K1950="LabaRugi",INDEX(I_COA!$D$6:$D$265,MATCH(D1950,I_COA!$A$6:$A$265,0)),"")</f>
        <v/>
      </c>
      <c r="M1950" s="34" t="str">
        <f aca="false">IF(K1950="Neraca",INDEX(I_COA!$E$6:$E$265,MATCH(D1950,I_COA!$A$6:$A$265,0)),"")</f>
        <v/>
      </c>
      <c r="N1950" s="34" t="str">
        <f aca="false">IF(D1950="","",IFERROR(INDEX(I_COA!$G$6:$G$265,MATCH(D1950,I_COA!$A$6:$A$265,0)),"N"))</f>
        <v/>
      </c>
      <c r="O1950" s="11" t="str">
        <f aca="false">IF(N1950="N",ABS(J1950),"")</f>
        <v/>
      </c>
      <c r="P1950" s="18" t="str">
        <f aca="false">IF(N1950="N",B1950&amp;"|"&amp;ROUND(O1950,0),"")</f>
        <v/>
      </c>
      <c r="Q1950" s="18" t="str">
        <f aca="false">IF(N1950&lt;&gt;"Y","",IFERROR(INDEX($D$6:$D$4005,MATCH(B1950&amp;"|"&amp;ROUND(_xlfn.MAXIFS($O$6:$O$4005,$B$6:$B$4005,B1950,$N$6:$N$4005,"N"),0),$P$6:$P$4005,0)),"(tanpa lawan)"))</f>
        <v/>
      </c>
      <c r="R1950" s="44"/>
      <c r="S1950" s="9" t="str">
        <f aca="false">IF(N1950&lt;&gt;"Y","",IF(R1950&lt;&gt;"",R1950,IF(Q1950="(tanpa lawan)","Transfer antar rekening",IFERROR(INDEX(I_COA!$F$6:$F$265,MATCH(Q1950,I_COA!$A$6:$A$265,0)),"?"))))</f>
        <v/>
      </c>
    </row>
    <row r="1951" customFormat="false" ht="15" hidden="false" customHeight="false" outlineLevel="0" collapsed="false">
      <c r="A1951" s="37"/>
      <c r="B1951" s="44"/>
      <c r="C1951" s="44"/>
      <c r="D1951" s="44"/>
      <c r="E1951" s="44"/>
      <c r="F1951" s="44"/>
      <c r="G1951" s="42"/>
      <c r="H1951" s="42"/>
      <c r="I1951" s="44"/>
      <c r="J1951" s="11" t="str">
        <f aca="false">IF(D1951="","",N(G1951)-N(H1951))</f>
        <v/>
      </c>
      <c r="K1951" s="34" t="str">
        <f aca="false">IF(D1951="","",IFERROR(INDEX(I_COA!$C$6:$C$265,MATCH(D1951,I_COA!$A$6:$A$265,0)),"AKUN BARU"))</f>
        <v/>
      </c>
      <c r="L1951" s="34" t="str">
        <f aca="false">IF(K1951="LabaRugi",INDEX(I_COA!$D$6:$D$265,MATCH(D1951,I_COA!$A$6:$A$265,0)),"")</f>
        <v/>
      </c>
      <c r="M1951" s="34" t="str">
        <f aca="false">IF(K1951="Neraca",INDEX(I_COA!$E$6:$E$265,MATCH(D1951,I_COA!$A$6:$A$265,0)),"")</f>
        <v/>
      </c>
      <c r="N1951" s="34" t="str">
        <f aca="false">IF(D1951="","",IFERROR(INDEX(I_COA!$G$6:$G$265,MATCH(D1951,I_COA!$A$6:$A$265,0)),"N"))</f>
        <v/>
      </c>
      <c r="O1951" s="11" t="str">
        <f aca="false">IF(N1951="N",ABS(J1951),"")</f>
        <v/>
      </c>
      <c r="P1951" s="18" t="str">
        <f aca="false">IF(N1951="N",B1951&amp;"|"&amp;ROUND(O1951,0),"")</f>
        <v/>
      </c>
      <c r="Q1951" s="18" t="str">
        <f aca="false">IF(N1951&lt;&gt;"Y","",IFERROR(INDEX($D$6:$D$4005,MATCH(B1951&amp;"|"&amp;ROUND(_xlfn.MAXIFS($O$6:$O$4005,$B$6:$B$4005,B1951,$N$6:$N$4005,"N"),0),$P$6:$P$4005,0)),"(tanpa lawan)"))</f>
        <v/>
      </c>
      <c r="R1951" s="44"/>
      <c r="S1951" s="9" t="str">
        <f aca="false">IF(N1951&lt;&gt;"Y","",IF(R1951&lt;&gt;"",R1951,IF(Q1951="(tanpa lawan)","Transfer antar rekening",IFERROR(INDEX(I_COA!$F$6:$F$265,MATCH(Q1951,I_COA!$A$6:$A$265,0)),"?"))))</f>
        <v/>
      </c>
    </row>
    <row r="1952" customFormat="false" ht="15" hidden="false" customHeight="false" outlineLevel="0" collapsed="false">
      <c r="A1952" s="37"/>
      <c r="B1952" s="44"/>
      <c r="C1952" s="44"/>
      <c r="D1952" s="44"/>
      <c r="E1952" s="44"/>
      <c r="F1952" s="44"/>
      <c r="G1952" s="42"/>
      <c r="H1952" s="42"/>
      <c r="I1952" s="44"/>
      <c r="J1952" s="11" t="str">
        <f aca="false">IF(D1952="","",N(G1952)-N(H1952))</f>
        <v/>
      </c>
      <c r="K1952" s="34" t="str">
        <f aca="false">IF(D1952="","",IFERROR(INDEX(I_COA!$C$6:$C$265,MATCH(D1952,I_COA!$A$6:$A$265,0)),"AKUN BARU"))</f>
        <v/>
      </c>
      <c r="L1952" s="34" t="str">
        <f aca="false">IF(K1952="LabaRugi",INDEX(I_COA!$D$6:$D$265,MATCH(D1952,I_COA!$A$6:$A$265,0)),"")</f>
        <v/>
      </c>
      <c r="M1952" s="34" t="str">
        <f aca="false">IF(K1952="Neraca",INDEX(I_COA!$E$6:$E$265,MATCH(D1952,I_COA!$A$6:$A$265,0)),"")</f>
        <v/>
      </c>
      <c r="N1952" s="34" t="str">
        <f aca="false">IF(D1952="","",IFERROR(INDEX(I_COA!$G$6:$G$265,MATCH(D1952,I_COA!$A$6:$A$265,0)),"N"))</f>
        <v/>
      </c>
      <c r="O1952" s="11" t="str">
        <f aca="false">IF(N1952="N",ABS(J1952),"")</f>
        <v/>
      </c>
      <c r="P1952" s="18" t="str">
        <f aca="false">IF(N1952="N",B1952&amp;"|"&amp;ROUND(O1952,0),"")</f>
        <v/>
      </c>
      <c r="Q1952" s="18" t="str">
        <f aca="false">IF(N1952&lt;&gt;"Y","",IFERROR(INDEX($D$6:$D$4005,MATCH(B1952&amp;"|"&amp;ROUND(_xlfn.MAXIFS($O$6:$O$4005,$B$6:$B$4005,B1952,$N$6:$N$4005,"N"),0),$P$6:$P$4005,0)),"(tanpa lawan)"))</f>
        <v/>
      </c>
      <c r="R1952" s="44"/>
      <c r="S1952" s="9" t="str">
        <f aca="false">IF(N1952&lt;&gt;"Y","",IF(R1952&lt;&gt;"",R1952,IF(Q1952="(tanpa lawan)","Transfer antar rekening",IFERROR(INDEX(I_COA!$F$6:$F$265,MATCH(Q1952,I_COA!$A$6:$A$265,0)),"?"))))</f>
        <v/>
      </c>
    </row>
    <row r="1953" customFormat="false" ht="15" hidden="false" customHeight="false" outlineLevel="0" collapsed="false">
      <c r="A1953" s="37"/>
      <c r="B1953" s="44"/>
      <c r="C1953" s="44"/>
      <c r="D1953" s="44"/>
      <c r="E1953" s="44"/>
      <c r="F1953" s="44"/>
      <c r="G1953" s="42"/>
      <c r="H1953" s="42"/>
      <c r="I1953" s="44"/>
      <c r="J1953" s="11" t="str">
        <f aca="false">IF(D1953="","",N(G1953)-N(H1953))</f>
        <v/>
      </c>
      <c r="K1953" s="34" t="str">
        <f aca="false">IF(D1953="","",IFERROR(INDEX(I_COA!$C$6:$C$265,MATCH(D1953,I_COA!$A$6:$A$265,0)),"AKUN BARU"))</f>
        <v/>
      </c>
      <c r="L1953" s="34" t="str">
        <f aca="false">IF(K1953="LabaRugi",INDEX(I_COA!$D$6:$D$265,MATCH(D1953,I_COA!$A$6:$A$265,0)),"")</f>
        <v/>
      </c>
      <c r="M1953" s="34" t="str">
        <f aca="false">IF(K1953="Neraca",INDEX(I_COA!$E$6:$E$265,MATCH(D1953,I_COA!$A$6:$A$265,0)),"")</f>
        <v/>
      </c>
      <c r="N1953" s="34" t="str">
        <f aca="false">IF(D1953="","",IFERROR(INDEX(I_COA!$G$6:$G$265,MATCH(D1953,I_COA!$A$6:$A$265,0)),"N"))</f>
        <v/>
      </c>
      <c r="O1953" s="11" t="str">
        <f aca="false">IF(N1953="N",ABS(J1953),"")</f>
        <v/>
      </c>
      <c r="P1953" s="18" t="str">
        <f aca="false">IF(N1953="N",B1953&amp;"|"&amp;ROUND(O1953,0),"")</f>
        <v/>
      </c>
      <c r="Q1953" s="18" t="str">
        <f aca="false">IF(N1953&lt;&gt;"Y","",IFERROR(INDEX($D$6:$D$4005,MATCH(B1953&amp;"|"&amp;ROUND(_xlfn.MAXIFS($O$6:$O$4005,$B$6:$B$4005,B1953,$N$6:$N$4005,"N"),0),$P$6:$P$4005,0)),"(tanpa lawan)"))</f>
        <v/>
      </c>
      <c r="R1953" s="44"/>
      <c r="S1953" s="9" t="str">
        <f aca="false">IF(N1953&lt;&gt;"Y","",IF(R1953&lt;&gt;"",R1953,IF(Q1953="(tanpa lawan)","Transfer antar rekening",IFERROR(INDEX(I_COA!$F$6:$F$265,MATCH(Q1953,I_COA!$A$6:$A$265,0)),"?"))))</f>
        <v/>
      </c>
    </row>
    <row r="1954" customFormat="false" ht="15" hidden="false" customHeight="false" outlineLevel="0" collapsed="false">
      <c r="A1954" s="37"/>
      <c r="B1954" s="44"/>
      <c r="C1954" s="44"/>
      <c r="D1954" s="44"/>
      <c r="E1954" s="44"/>
      <c r="F1954" s="44"/>
      <c r="G1954" s="42"/>
      <c r="H1954" s="42"/>
      <c r="I1954" s="44"/>
      <c r="J1954" s="11" t="str">
        <f aca="false">IF(D1954="","",N(G1954)-N(H1954))</f>
        <v/>
      </c>
      <c r="K1954" s="34" t="str">
        <f aca="false">IF(D1954="","",IFERROR(INDEX(I_COA!$C$6:$C$265,MATCH(D1954,I_COA!$A$6:$A$265,0)),"AKUN BARU"))</f>
        <v/>
      </c>
      <c r="L1954" s="34" t="str">
        <f aca="false">IF(K1954="LabaRugi",INDEX(I_COA!$D$6:$D$265,MATCH(D1954,I_COA!$A$6:$A$265,0)),"")</f>
        <v/>
      </c>
      <c r="M1954" s="34" t="str">
        <f aca="false">IF(K1954="Neraca",INDEX(I_COA!$E$6:$E$265,MATCH(D1954,I_COA!$A$6:$A$265,0)),"")</f>
        <v/>
      </c>
      <c r="N1954" s="34" t="str">
        <f aca="false">IF(D1954="","",IFERROR(INDEX(I_COA!$G$6:$G$265,MATCH(D1954,I_COA!$A$6:$A$265,0)),"N"))</f>
        <v/>
      </c>
      <c r="O1954" s="11" t="str">
        <f aca="false">IF(N1954="N",ABS(J1954),"")</f>
        <v/>
      </c>
      <c r="P1954" s="18" t="str">
        <f aca="false">IF(N1954="N",B1954&amp;"|"&amp;ROUND(O1954,0),"")</f>
        <v/>
      </c>
      <c r="Q1954" s="18" t="str">
        <f aca="false">IF(N1954&lt;&gt;"Y","",IFERROR(INDEX($D$6:$D$4005,MATCH(B1954&amp;"|"&amp;ROUND(_xlfn.MAXIFS($O$6:$O$4005,$B$6:$B$4005,B1954,$N$6:$N$4005,"N"),0),$P$6:$P$4005,0)),"(tanpa lawan)"))</f>
        <v/>
      </c>
      <c r="R1954" s="44"/>
      <c r="S1954" s="9" t="str">
        <f aca="false">IF(N1954&lt;&gt;"Y","",IF(R1954&lt;&gt;"",R1954,IF(Q1954="(tanpa lawan)","Transfer antar rekening",IFERROR(INDEX(I_COA!$F$6:$F$265,MATCH(Q1954,I_COA!$A$6:$A$265,0)),"?"))))</f>
        <v/>
      </c>
    </row>
    <row r="1955" customFormat="false" ht="15" hidden="false" customHeight="false" outlineLevel="0" collapsed="false">
      <c r="A1955" s="37"/>
      <c r="B1955" s="44"/>
      <c r="C1955" s="44"/>
      <c r="D1955" s="44"/>
      <c r="E1955" s="44"/>
      <c r="F1955" s="44"/>
      <c r="G1955" s="42"/>
      <c r="H1955" s="42"/>
      <c r="I1955" s="44"/>
      <c r="J1955" s="11" t="str">
        <f aca="false">IF(D1955="","",N(G1955)-N(H1955))</f>
        <v/>
      </c>
      <c r="K1955" s="34" t="str">
        <f aca="false">IF(D1955="","",IFERROR(INDEX(I_COA!$C$6:$C$265,MATCH(D1955,I_COA!$A$6:$A$265,0)),"AKUN BARU"))</f>
        <v/>
      </c>
      <c r="L1955" s="34" t="str">
        <f aca="false">IF(K1955="LabaRugi",INDEX(I_COA!$D$6:$D$265,MATCH(D1955,I_COA!$A$6:$A$265,0)),"")</f>
        <v/>
      </c>
      <c r="M1955" s="34" t="str">
        <f aca="false">IF(K1955="Neraca",INDEX(I_COA!$E$6:$E$265,MATCH(D1955,I_COA!$A$6:$A$265,0)),"")</f>
        <v/>
      </c>
      <c r="N1955" s="34" t="str">
        <f aca="false">IF(D1955="","",IFERROR(INDEX(I_COA!$G$6:$G$265,MATCH(D1955,I_COA!$A$6:$A$265,0)),"N"))</f>
        <v/>
      </c>
      <c r="O1955" s="11" t="str">
        <f aca="false">IF(N1955="N",ABS(J1955),"")</f>
        <v/>
      </c>
      <c r="P1955" s="18" t="str">
        <f aca="false">IF(N1955="N",B1955&amp;"|"&amp;ROUND(O1955,0),"")</f>
        <v/>
      </c>
      <c r="Q1955" s="18" t="str">
        <f aca="false">IF(N1955&lt;&gt;"Y","",IFERROR(INDEX($D$6:$D$4005,MATCH(B1955&amp;"|"&amp;ROUND(_xlfn.MAXIFS($O$6:$O$4005,$B$6:$B$4005,B1955,$N$6:$N$4005,"N"),0),$P$6:$P$4005,0)),"(tanpa lawan)"))</f>
        <v/>
      </c>
      <c r="R1955" s="44"/>
      <c r="S1955" s="9" t="str">
        <f aca="false">IF(N1955&lt;&gt;"Y","",IF(R1955&lt;&gt;"",R1955,IF(Q1955="(tanpa lawan)","Transfer antar rekening",IFERROR(INDEX(I_COA!$F$6:$F$265,MATCH(Q1955,I_COA!$A$6:$A$265,0)),"?"))))</f>
        <v/>
      </c>
    </row>
    <row r="1956" customFormat="false" ht="15" hidden="false" customHeight="false" outlineLevel="0" collapsed="false">
      <c r="A1956" s="37"/>
      <c r="B1956" s="44"/>
      <c r="C1956" s="44"/>
      <c r="D1956" s="44"/>
      <c r="E1956" s="44"/>
      <c r="F1956" s="44"/>
      <c r="G1956" s="42"/>
      <c r="H1956" s="42"/>
      <c r="I1956" s="44"/>
      <c r="J1956" s="11" t="str">
        <f aca="false">IF(D1956="","",N(G1956)-N(H1956))</f>
        <v/>
      </c>
      <c r="K1956" s="34" t="str">
        <f aca="false">IF(D1956="","",IFERROR(INDEX(I_COA!$C$6:$C$265,MATCH(D1956,I_COA!$A$6:$A$265,0)),"AKUN BARU"))</f>
        <v/>
      </c>
      <c r="L1956" s="34" t="str">
        <f aca="false">IF(K1956="LabaRugi",INDEX(I_COA!$D$6:$D$265,MATCH(D1956,I_COA!$A$6:$A$265,0)),"")</f>
        <v/>
      </c>
      <c r="M1956" s="34" t="str">
        <f aca="false">IF(K1956="Neraca",INDEX(I_COA!$E$6:$E$265,MATCH(D1956,I_COA!$A$6:$A$265,0)),"")</f>
        <v/>
      </c>
      <c r="N1956" s="34" t="str">
        <f aca="false">IF(D1956="","",IFERROR(INDEX(I_COA!$G$6:$G$265,MATCH(D1956,I_COA!$A$6:$A$265,0)),"N"))</f>
        <v/>
      </c>
      <c r="O1956" s="11" t="str">
        <f aca="false">IF(N1956="N",ABS(J1956),"")</f>
        <v/>
      </c>
      <c r="P1956" s="18" t="str">
        <f aca="false">IF(N1956="N",B1956&amp;"|"&amp;ROUND(O1956,0),"")</f>
        <v/>
      </c>
      <c r="Q1956" s="18" t="str">
        <f aca="false">IF(N1956&lt;&gt;"Y","",IFERROR(INDEX($D$6:$D$4005,MATCH(B1956&amp;"|"&amp;ROUND(_xlfn.MAXIFS($O$6:$O$4005,$B$6:$B$4005,B1956,$N$6:$N$4005,"N"),0),$P$6:$P$4005,0)),"(tanpa lawan)"))</f>
        <v/>
      </c>
      <c r="R1956" s="44"/>
      <c r="S1956" s="9" t="str">
        <f aca="false">IF(N1956&lt;&gt;"Y","",IF(R1956&lt;&gt;"",R1956,IF(Q1956="(tanpa lawan)","Transfer antar rekening",IFERROR(INDEX(I_COA!$F$6:$F$265,MATCH(Q1956,I_COA!$A$6:$A$265,0)),"?"))))</f>
        <v/>
      </c>
    </row>
    <row r="1957" customFormat="false" ht="15" hidden="false" customHeight="false" outlineLevel="0" collapsed="false">
      <c r="A1957" s="37"/>
      <c r="B1957" s="44"/>
      <c r="C1957" s="44"/>
      <c r="D1957" s="44"/>
      <c r="E1957" s="44"/>
      <c r="F1957" s="44"/>
      <c r="G1957" s="42"/>
      <c r="H1957" s="42"/>
      <c r="I1957" s="44"/>
      <c r="J1957" s="11" t="str">
        <f aca="false">IF(D1957="","",N(G1957)-N(H1957))</f>
        <v/>
      </c>
      <c r="K1957" s="34" t="str">
        <f aca="false">IF(D1957="","",IFERROR(INDEX(I_COA!$C$6:$C$265,MATCH(D1957,I_COA!$A$6:$A$265,0)),"AKUN BARU"))</f>
        <v/>
      </c>
      <c r="L1957" s="34" t="str">
        <f aca="false">IF(K1957="LabaRugi",INDEX(I_COA!$D$6:$D$265,MATCH(D1957,I_COA!$A$6:$A$265,0)),"")</f>
        <v/>
      </c>
      <c r="M1957" s="34" t="str">
        <f aca="false">IF(K1957="Neraca",INDEX(I_COA!$E$6:$E$265,MATCH(D1957,I_COA!$A$6:$A$265,0)),"")</f>
        <v/>
      </c>
      <c r="N1957" s="34" t="str">
        <f aca="false">IF(D1957="","",IFERROR(INDEX(I_COA!$G$6:$G$265,MATCH(D1957,I_COA!$A$6:$A$265,0)),"N"))</f>
        <v/>
      </c>
      <c r="O1957" s="11" t="str">
        <f aca="false">IF(N1957="N",ABS(J1957),"")</f>
        <v/>
      </c>
      <c r="P1957" s="18" t="str">
        <f aca="false">IF(N1957="N",B1957&amp;"|"&amp;ROUND(O1957,0),"")</f>
        <v/>
      </c>
      <c r="Q1957" s="18" t="str">
        <f aca="false">IF(N1957&lt;&gt;"Y","",IFERROR(INDEX($D$6:$D$4005,MATCH(B1957&amp;"|"&amp;ROUND(_xlfn.MAXIFS($O$6:$O$4005,$B$6:$B$4005,B1957,$N$6:$N$4005,"N"),0),$P$6:$P$4005,0)),"(tanpa lawan)"))</f>
        <v/>
      </c>
      <c r="R1957" s="44"/>
      <c r="S1957" s="9" t="str">
        <f aca="false">IF(N1957&lt;&gt;"Y","",IF(R1957&lt;&gt;"",R1957,IF(Q1957="(tanpa lawan)","Transfer antar rekening",IFERROR(INDEX(I_COA!$F$6:$F$265,MATCH(Q1957,I_COA!$A$6:$A$265,0)),"?"))))</f>
        <v/>
      </c>
    </row>
    <row r="1958" customFormat="false" ht="15" hidden="false" customHeight="false" outlineLevel="0" collapsed="false">
      <c r="A1958" s="37"/>
      <c r="B1958" s="44"/>
      <c r="C1958" s="44"/>
      <c r="D1958" s="44"/>
      <c r="E1958" s="44"/>
      <c r="F1958" s="44"/>
      <c r="G1958" s="42"/>
      <c r="H1958" s="42"/>
      <c r="I1958" s="44"/>
      <c r="J1958" s="11" t="str">
        <f aca="false">IF(D1958="","",N(G1958)-N(H1958))</f>
        <v/>
      </c>
      <c r="K1958" s="34" t="str">
        <f aca="false">IF(D1958="","",IFERROR(INDEX(I_COA!$C$6:$C$265,MATCH(D1958,I_COA!$A$6:$A$265,0)),"AKUN BARU"))</f>
        <v/>
      </c>
      <c r="L1958" s="34" t="str">
        <f aca="false">IF(K1958="LabaRugi",INDEX(I_COA!$D$6:$D$265,MATCH(D1958,I_COA!$A$6:$A$265,0)),"")</f>
        <v/>
      </c>
      <c r="M1958" s="34" t="str">
        <f aca="false">IF(K1958="Neraca",INDEX(I_COA!$E$6:$E$265,MATCH(D1958,I_COA!$A$6:$A$265,0)),"")</f>
        <v/>
      </c>
      <c r="N1958" s="34" t="str">
        <f aca="false">IF(D1958="","",IFERROR(INDEX(I_COA!$G$6:$G$265,MATCH(D1958,I_COA!$A$6:$A$265,0)),"N"))</f>
        <v/>
      </c>
      <c r="O1958" s="11" t="str">
        <f aca="false">IF(N1958="N",ABS(J1958),"")</f>
        <v/>
      </c>
      <c r="P1958" s="18" t="str">
        <f aca="false">IF(N1958="N",B1958&amp;"|"&amp;ROUND(O1958,0),"")</f>
        <v/>
      </c>
      <c r="Q1958" s="18" t="str">
        <f aca="false">IF(N1958&lt;&gt;"Y","",IFERROR(INDEX($D$6:$D$4005,MATCH(B1958&amp;"|"&amp;ROUND(_xlfn.MAXIFS($O$6:$O$4005,$B$6:$B$4005,B1958,$N$6:$N$4005,"N"),0),$P$6:$P$4005,0)),"(tanpa lawan)"))</f>
        <v/>
      </c>
      <c r="R1958" s="44"/>
      <c r="S1958" s="9" t="str">
        <f aca="false">IF(N1958&lt;&gt;"Y","",IF(R1958&lt;&gt;"",R1958,IF(Q1958="(tanpa lawan)","Transfer antar rekening",IFERROR(INDEX(I_COA!$F$6:$F$265,MATCH(Q1958,I_COA!$A$6:$A$265,0)),"?"))))</f>
        <v/>
      </c>
    </row>
    <row r="1959" customFormat="false" ht="15" hidden="false" customHeight="false" outlineLevel="0" collapsed="false">
      <c r="A1959" s="37"/>
      <c r="B1959" s="44"/>
      <c r="C1959" s="44"/>
      <c r="D1959" s="44"/>
      <c r="E1959" s="44"/>
      <c r="F1959" s="44"/>
      <c r="G1959" s="42"/>
      <c r="H1959" s="42"/>
      <c r="I1959" s="44"/>
      <c r="J1959" s="11" t="str">
        <f aca="false">IF(D1959="","",N(G1959)-N(H1959))</f>
        <v/>
      </c>
      <c r="K1959" s="34" t="str">
        <f aca="false">IF(D1959="","",IFERROR(INDEX(I_COA!$C$6:$C$265,MATCH(D1959,I_COA!$A$6:$A$265,0)),"AKUN BARU"))</f>
        <v/>
      </c>
      <c r="L1959" s="34" t="str">
        <f aca="false">IF(K1959="LabaRugi",INDEX(I_COA!$D$6:$D$265,MATCH(D1959,I_COA!$A$6:$A$265,0)),"")</f>
        <v/>
      </c>
      <c r="M1959" s="34" t="str">
        <f aca="false">IF(K1959="Neraca",INDEX(I_COA!$E$6:$E$265,MATCH(D1959,I_COA!$A$6:$A$265,0)),"")</f>
        <v/>
      </c>
      <c r="N1959" s="34" t="str">
        <f aca="false">IF(D1959="","",IFERROR(INDEX(I_COA!$G$6:$G$265,MATCH(D1959,I_COA!$A$6:$A$265,0)),"N"))</f>
        <v/>
      </c>
      <c r="O1959" s="11" t="str">
        <f aca="false">IF(N1959="N",ABS(J1959),"")</f>
        <v/>
      </c>
      <c r="P1959" s="18" t="str">
        <f aca="false">IF(N1959="N",B1959&amp;"|"&amp;ROUND(O1959,0),"")</f>
        <v/>
      </c>
      <c r="Q1959" s="18" t="str">
        <f aca="false">IF(N1959&lt;&gt;"Y","",IFERROR(INDEX($D$6:$D$4005,MATCH(B1959&amp;"|"&amp;ROUND(_xlfn.MAXIFS($O$6:$O$4005,$B$6:$B$4005,B1959,$N$6:$N$4005,"N"),0),$P$6:$P$4005,0)),"(tanpa lawan)"))</f>
        <v/>
      </c>
      <c r="R1959" s="44"/>
      <c r="S1959" s="9" t="str">
        <f aca="false">IF(N1959&lt;&gt;"Y","",IF(R1959&lt;&gt;"",R1959,IF(Q1959="(tanpa lawan)","Transfer antar rekening",IFERROR(INDEX(I_COA!$F$6:$F$265,MATCH(Q1959,I_COA!$A$6:$A$265,0)),"?"))))</f>
        <v/>
      </c>
    </row>
    <row r="1960" customFormat="false" ht="15" hidden="false" customHeight="false" outlineLevel="0" collapsed="false">
      <c r="A1960" s="37"/>
      <c r="B1960" s="44"/>
      <c r="C1960" s="44"/>
      <c r="D1960" s="44"/>
      <c r="E1960" s="44"/>
      <c r="F1960" s="44"/>
      <c r="G1960" s="42"/>
      <c r="H1960" s="42"/>
      <c r="I1960" s="44"/>
      <c r="J1960" s="11" t="str">
        <f aca="false">IF(D1960="","",N(G1960)-N(H1960))</f>
        <v/>
      </c>
      <c r="K1960" s="34" t="str">
        <f aca="false">IF(D1960="","",IFERROR(INDEX(I_COA!$C$6:$C$265,MATCH(D1960,I_COA!$A$6:$A$265,0)),"AKUN BARU"))</f>
        <v/>
      </c>
      <c r="L1960" s="34" t="str">
        <f aca="false">IF(K1960="LabaRugi",INDEX(I_COA!$D$6:$D$265,MATCH(D1960,I_COA!$A$6:$A$265,0)),"")</f>
        <v/>
      </c>
      <c r="M1960" s="34" t="str">
        <f aca="false">IF(K1960="Neraca",INDEX(I_COA!$E$6:$E$265,MATCH(D1960,I_COA!$A$6:$A$265,0)),"")</f>
        <v/>
      </c>
      <c r="N1960" s="34" t="str">
        <f aca="false">IF(D1960="","",IFERROR(INDEX(I_COA!$G$6:$G$265,MATCH(D1960,I_COA!$A$6:$A$265,0)),"N"))</f>
        <v/>
      </c>
      <c r="O1960" s="11" t="str">
        <f aca="false">IF(N1960="N",ABS(J1960),"")</f>
        <v/>
      </c>
      <c r="P1960" s="18" t="str">
        <f aca="false">IF(N1960="N",B1960&amp;"|"&amp;ROUND(O1960,0),"")</f>
        <v/>
      </c>
      <c r="Q1960" s="18" t="str">
        <f aca="false">IF(N1960&lt;&gt;"Y","",IFERROR(INDEX($D$6:$D$4005,MATCH(B1960&amp;"|"&amp;ROUND(_xlfn.MAXIFS($O$6:$O$4005,$B$6:$B$4005,B1960,$N$6:$N$4005,"N"),0),$P$6:$P$4005,0)),"(tanpa lawan)"))</f>
        <v/>
      </c>
      <c r="R1960" s="44"/>
      <c r="S1960" s="9" t="str">
        <f aca="false">IF(N1960&lt;&gt;"Y","",IF(R1960&lt;&gt;"",R1960,IF(Q1960="(tanpa lawan)","Transfer antar rekening",IFERROR(INDEX(I_COA!$F$6:$F$265,MATCH(Q1960,I_COA!$A$6:$A$265,0)),"?"))))</f>
        <v/>
      </c>
    </row>
    <row r="1961" customFormat="false" ht="15" hidden="false" customHeight="false" outlineLevel="0" collapsed="false">
      <c r="A1961" s="37"/>
      <c r="B1961" s="44"/>
      <c r="C1961" s="44"/>
      <c r="D1961" s="44"/>
      <c r="E1961" s="44"/>
      <c r="F1961" s="44"/>
      <c r="G1961" s="42"/>
      <c r="H1961" s="42"/>
      <c r="I1961" s="44"/>
      <c r="J1961" s="11" t="str">
        <f aca="false">IF(D1961="","",N(G1961)-N(H1961))</f>
        <v/>
      </c>
      <c r="K1961" s="34" t="str">
        <f aca="false">IF(D1961="","",IFERROR(INDEX(I_COA!$C$6:$C$265,MATCH(D1961,I_COA!$A$6:$A$265,0)),"AKUN BARU"))</f>
        <v/>
      </c>
      <c r="L1961" s="34" t="str">
        <f aca="false">IF(K1961="LabaRugi",INDEX(I_COA!$D$6:$D$265,MATCH(D1961,I_COA!$A$6:$A$265,0)),"")</f>
        <v/>
      </c>
      <c r="M1961" s="34" t="str">
        <f aca="false">IF(K1961="Neraca",INDEX(I_COA!$E$6:$E$265,MATCH(D1961,I_COA!$A$6:$A$265,0)),"")</f>
        <v/>
      </c>
      <c r="N1961" s="34" t="str">
        <f aca="false">IF(D1961="","",IFERROR(INDEX(I_COA!$G$6:$G$265,MATCH(D1961,I_COA!$A$6:$A$265,0)),"N"))</f>
        <v/>
      </c>
      <c r="O1961" s="11" t="str">
        <f aca="false">IF(N1961="N",ABS(J1961),"")</f>
        <v/>
      </c>
      <c r="P1961" s="18" t="str">
        <f aca="false">IF(N1961="N",B1961&amp;"|"&amp;ROUND(O1961,0),"")</f>
        <v/>
      </c>
      <c r="Q1961" s="18" t="str">
        <f aca="false">IF(N1961&lt;&gt;"Y","",IFERROR(INDEX($D$6:$D$4005,MATCH(B1961&amp;"|"&amp;ROUND(_xlfn.MAXIFS($O$6:$O$4005,$B$6:$B$4005,B1961,$N$6:$N$4005,"N"),0),$P$6:$P$4005,0)),"(tanpa lawan)"))</f>
        <v/>
      </c>
      <c r="R1961" s="44"/>
      <c r="S1961" s="9" t="str">
        <f aca="false">IF(N1961&lt;&gt;"Y","",IF(R1961&lt;&gt;"",R1961,IF(Q1961="(tanpa lawan)","Transfer antar rekening",IFERROR(INDEX(I_COA!$F$6:$F$265,MATCH(Q1961,I_COA!$A$6:$A$265,0)),"?"))))</f>
        <v/>
      </c>
    </row>
    <row r="1962" customFormat="false" ht="15" hidden="false" customHeight="false" outlineLevel="0" collapsed="false">
      <c r="A1962" s="37"/>
      <c r="B1962" s="44"/>
      <c r="C1962" s="44"/>
      <c r="D1962" s="44"/>
      <c r="E1962" s="44"/>
      <c r="F1962" s="44"/>
      <c r="G1962" s="42"/>
      <c r="H1962" s="42"/>
      <c r="I1962" s="44"/>
      <c r="J1962" s="11" t="str">
        <f aca="false">IF(D1962="","",N(G1962)-N(H1962))</f>
        <v/>
      </c>
      <c r="K1962" s="34" t="str">
        <f aca="false">IF(D1962="","",IFERROR(INDEX(I_COA!$C$6:$C$265,MATCH(D1962,I_COA!$A$6:$A$265,0)),"AKUN BARU"))</f>
        <v/>
      </c>
      <c r="L1962" s="34" t="str">
        <f aca="false">IF(K1962="LabaRugi",INDEX(I_COA!$D$6:$D$265,MATCH(D1962,I_COA!$A$6:$A$265,0)),"")</f>
        <v/>
      </c>
      <c r="M1962" s="34" t="str">
        <f aca="false">IF(K1962="Neraca",INDEX(I_COA!$E$6:$E$265,MATCH(D1962,I_COA!$A$6:$A$265,0)),"")</f>
        <v/>
      </c>
      <c r="N1962" s="34" t="str">
        <f aca="false">IF(D1962="","",IFERROR(INDEX(I_COA!$G$6:$G$265,MATCH(D1962,I_COA!$A$6:$A$265,0)),"N"))</f>
        <v/>
      </c>
      <c r="O1962" s="11" t="str">
        <f aca="false">IF(N1962="N",ABS(J1962),"")</f>
        <v/>
      </c>
      <c r="P1962" s="18" t="str">
        <f aca="false">IF(N1962="N",B1962&amp;"|"&amp;ROUND(O1962,0),"")</f>
        <v/>
      </c>
      <c r="Q1962" s="18" t="str">
        <f aca="false">IF(N1962&lt;&gt;"Y","",IFERROR(INDEX($D$6:$D$4005,MATCH(B1962&amp;"|"&amp;ROUND(_xlfn.MAXIFS($O$6:$O$4005,$B$6:$B$4005,B1962,$N$6:$N$4005,"N"),0),$P$6:$P$4005,0)),"(tanpa lawan)"))</f>
        <v/>
      </c>
      <c r="R1962" s="44"/>
      <c r="S1962" s="9" t="str">
        <f aca="false">IF(N1962&lt;&gt;"Y","",IF(R1962&lt;&gt;"",R1962,IF(Q1962="(tanpa lawan)","Transfer antar rekening",IFERROR(INDEX(I_COA!$F$6:$F$265,MATCH(Q1962,I_COA!$A$6:$A$265,0)),"?"))))</f>
        <v/>
      </c>
    </row>
    <row r="1963" customFormat="false" ht="15" hidden="false" customHeight="false" outlineLevel="0" collapsed="false">
      <c r="A1963" s="37"/>
      <c r="B1963" s="44"/>
      <c r="C1963" s="44"/>
      <c r="D1963" s="44"/>
      <c r="E1963" s="44"/>
      <c r="F1963" s="44"/>
      <c r="G1963" s="42"/>
      <c r="H1963" s="42"/>
      <c r="I1963" s="44"/>
      <c r="J1963" s="11" t="str">
        <f aca="false">IF(D1963="","",N(G1963)-N(H1963))</f>
        <v/>
      </c>
      <c r="K1963" s="34" t="str">
        <f aca="false">IF(D1963="","",IFERROR(INDEX(I_COA!$C$6:$C$265,MATCH(D1963,I_COA!$A$6:$A$265,0)),"AKUN BARU"))</f>
        <v/>
      </c>
      <c r="L1963" s="34" t="str">
        <f aca="false">IF(K1963="LabaRugi",INDEX(I_COA!$D$6:$D$265,MATCH(D1963,I_COA!$A$6:$A$265,0)),"")</f>
        <v/>
      </c>
      <c r="M1963" s="34" t="str">
        <f aca="false">IF(K1963="Neraca",INDEX(I_COA!$E$6:$E$265,MATCH(D1963,I_COA!$A$6:$A$265,0)),"")</f>
        <v/>
      </c>
      <c r="N1963" s="34" t="str">
        <f aca="false">IF(D1963="","",IFERROR(INDEX(I_COA!$G$6:$G$265,MATCH(D1963,I_COA!$A$6:$A$265,0)),"N"))</f>
        <v/>
      </c>
      <c r="O1963" s="11" t="str">
        <f aca="false">IF(N1963="N",ABS(J1963),"")</f>
        <v/>
      </c>
      <c r="P1963" s="18" t="str">
        <f aca="false">IF(N1963="N",B1963&amp;"|"&amp;ROUND(O1963,0),"")</f>
        <v/>
      </c>
      <c r="Q1963" s="18" t="str">
        <f aca="false">IF(N1963&lt;&gt;"Y","",IFERROR(INDEX($D$6:$D$4005,MATCH(B1963&amp;"|"&amp;ROUND(_xlfn.MAXIFS($O$6:$O$4005,$B$6:$B$4005,B1963,$N$6:$N$4005,"N"),0),$P$6:$P$4005,0)),"(tanpa lawan)"))</f>
        <v/>
      </c>
      <c r="R1963" s="44"/>
      <c r="S1963" s="9" t="str">
        <f aca="false">IF(N1963&lt;&gt;"Y","",IF(R1963&lt;&gt;"",R1963,IF(Q1963="(tanpa lawan)","Transfer antar rekening",IFERROR(INDEX(I_COA!$F$6:$F$265,MATCH(Q1963,I_COA!$A$6:$A$265,0)),"?"))))</f>
        <v/>
      </c>
    </row>
    <row r="1964" customFormat="false" ht="15" hidden="false" customHeight="false" outlineLevel="0" collapsed="false">
      <c r="A1964" s="37"/>
      <c r="B1964" s="44"/>
      <c r="C1964" s="44"/>
      <c r="D1964" s="44"/>
      <c r="E1964" s="44"/>
      <c r="F1964" s="44"/>
      <c r="G1964" s="42"/>
      <c r="H1964" s="42"/>
      <c r="I1964" s="44"/>
      <c r="J1964" s="11" t="str">
        <f aca="false">IF(D1964="","",N(G1964)-N(H1964))</f>
        <v/>
      </c>
      <c r="K1964" s="34" t="str">
        <f aca="false">IF(D1964="","",IFERROR(INDEX(I_COA!$C$6:$C$265,MATCH(D1964,I_COA!$A$6:$A$265,0)),"AKUN BARU"))</f>
        <v/>
      </c>
      <c r="L1964" s="34" t="str">
        <f aca="false">IF(K1964="LabaRugi",INDEX(I_COA!$D$6:$D$265,MATCH(D1964,I_COA!$A$6:$A$265,0)),"")</f>
        <v/>
      </c>
      <c r="M1964" s="34" t="str">
        <f aca="false">IF(K1964="Neraca",INDEX(I_COA!$E$6:$E$265,MATCH(D1964,I_COA!$A$6:$A$265,0)),"")</f>
        <v/>
      </c>
      <c r="N1964" s="34" t="str">
        <f aca="false">IF(D1964="","",IFERROR(INDEX(I_COA!$G$6:$G$265,MATCH(D1964,I_COA!$A$6:$A$265,0)),"N"))</f>
        <v/>
      </c>
      <c r="O1964" s="11" t="str">
        <f aca="false">IF(N1964="N",ABS(J1964),"")</f>
        <v/>
      </c>
      <c r="P1964" s="18" t="str">
        <f aca="false">IF(N1964="N",B1964&amp;"|"&amp;ROUND(O1964,0),"")</f>
        <v/>
      </c>
      <c r="Q1964" s="18" t="str">
        <f aca="false">IF(N1964&lt;&gt;"Y","",IFERROR(INDEX($D$6:$D$4005,MATCH(B1964&amp;"|"&amp;ROUND(_xlfn.MAXIFS($O$6:$O$4005,$B$6:$B$4005,B1964,$N$6:$N$4005,"N"),0),$P$6:$P$4005,0)),"(tanpa lawan)"))</f>
        <v/>
      </c>
      <c r="R1964" s="44"/>
      <c r="S1964" s="9" t="str">
        <f aca="false">IF(N1964&lt;&gt;"Y","",IF(R1964&lt;&gt;"",R1964,IF(Q1964="(tanpa lawan)","Transfer antar rekening",IFERROR(INDEX(I_COA!$F$6:$F$265,MATCH(Q1964,I_COA!$A$6:$A$265,0)),"?"))))</f>
        <v/>
      </c>
    </row>
    <row r="1965" customFormat="false" ht="15" hidden="false" customHeight="false" outlineLevel="0" collapsed="false">
      <c r="A1965" s="37"/>
      <c r="B1965" s="44"/>
      <c r="C1965" s="44"/>
      <c r="D1965" s="44"/>
      <c r="E1965" s="44"/>
      <c r="F1965" s="44"/>
      <c r="G1965" s="42"/>
      <c r="H1965" s="42"/>
      <c r="I1965" s="44"/>
      <c r="J1965" s="11" t="str">
        <f aca="false">IF(D1965="","",N(G1965)-N(H1965))</f>
        <v/>
      </c>
      <c r="K1965" s="34" t="str">
        <f aca="false">IF(D1965="","",IFERROR(INDEX(I_COA!$C$6:$C$265,MATCH(D1965,I_COA!$A$6:$A$265,0)),"AKUN BARU"))</f>
        <v/>
      </c>
      <c r="L1965" s="34" t="str">
        <f aca="false">IF(K1965="LabaRugi",INDEX(I_COA!$D$6:$D$265,MATCH(D1965,I_COA!$A$6:$A$265,0)),"")</f>
        <v/>
      </c>
      <c r="M1965" s="34" t="str">
        <f aca="false">IF(K1965="Neraca",INDEX(I_COA!$E$6:$E$265,MATCH(D1965,I_COA!$A$6:$A$265,0)),"")</f>
        <v/>
      </c>
      <c r="N1965" s="34" t="str">
        <f aca="false">IF(D1965="","",IFERROR(INDEX(I_COA!$G$6:$G$265,MATCH(D1965,I_COA!$A$6:$A$265,0)),"N"))</f>
        <v/>
      </c>
      <c r="O1965" s="11" t="str">
        <f aca="false">IF(N1965="N",ABS(J1965),"")</f>
        <v/>
      </c>
      <c r="P1965" s="18" t="str">
        <f aca="false">IF(N1965="N",B1965&amp;"|"&amp;ROUND(O1965,0),"")</f>
        <v/>
      </c>
      <c r="Q1965" s="18" t="str">
        <f aca="false">IF(N1965&lt;&gt;"Y","",IFERROR(INDEX($D$6:$D$4005,MATCH(B1965&amp;"|"&amp;ROUND(_xlfn.MAXIFS($O$6:$O$4005,$B$6:$B$4005,B1965,$N$6:$N$4005,"N"),0),$P$6:$P$4005,0)),"(tanpa lawan)"))</f>
        <v/>
      </c>
      <c r="R1965" s="44"/>
      <c r="S1965" s="9" t="str">
        <f aca="false">IF(N1965&lt;&gt;"Y","",IF(R1965&lt;&gt;"",R1965,IF(Q1965="(tanpa lawan)","Transfer antar rekening",IFERROR(INDEX(I_COA!$F$6:$F$265,MATCH(Q1965,I_COA!$A$6:$A$265,0)),"?"))))</f>
        <v/>
      </c>
    </row>
    <row r="1966" customFormat="false" ht="15" hidden="false" customHeight="false" outlineLevel="0" collapsed="false">
      <c r="A1966" s="37"/>
      <c r="B1966" s="44"/>
      <c r="C1966" s="44"/>
      <c r="D1966" s="44"/>
      <c r="E1966" s="44"/>
      <c r="F1966" s="44"/>
      <c r="G1966" s="42"/>
      <c r="H1966" s="42"/>
      <c r="I1966" s="44"/>
      <c r="J1966" s="11" t="str">
        <f aca="false">IF(D1966="","",N(G1966)-N(H1966))</f>
        <v/>
      </c>
      <c r="K1966" s="34" t="str">
        <f aca="false">IF(D1966="","",IFERROR(INDEX(I_COA!$C$6:$C$265,MATCH(D1966,I_COA!$A$6:$A$265,0)),"AKUN BARU"))</f>
        <v/>
      </c>
      <c r="L1966" s="34" t="str">
        <f aca="false">IF(K1966="LabaRugi",INDEX(I_COA!$D$6:$D$265,MATCH(D1966,I_COA!$A$6:$A$265,0)),"")</f>
        <v/>
      </c>
      <c r="M1966" s="34" t="str">
        <f aca="false">IF(K1966="Neraca",INDEX(I_COA!$E$6:$E$265,MATCH(D1966,I_COA!$A$6:$A$265,0)),"")</f>
        <v/>
      </c>
      <c r="N1966" s="34" t="str">
        <f aca="false">IF(D1966="","",IFERROR(INDEX(I_COA!$G$6:$G$265,MATCH(D1966,I_COA!$A$6:$A$265,0)),"N"))</f>
        <v/>
      </c>
      <c r="O1966" s="11" t="str">
        <f aca="false">IF(N1966="N",ABS(J1966),"")</f>
        <v/>
      </c>
      <c r="P1966" s="18" t="str">
        <f aca="false">IF(N1966="N",B1966&amp;"|"&amp;ROUND(O1966,0),"")</f>
        <v/>
      </c>
      <c r="Q1966" s="18" t="str">
        <f aca="false">IF(N1966&lt;&gt;"Y","",IFERROR(INDEX($D$6:$D$4005,MATCH(B1966&amp;"|"&amp;ROUND(_xlfn.MAXIFS($O$6:$O$4005,$B$6:$B$4005,B1966,$N$6:$N$4005,"N"),0),$P$6:$P$4005,0)),"(tanpa lawan)"))</f>
        <v/>
      </c>
      <c r="R1966" s="44"/>
      <c r="S1966" s="9" t="str">
        <f aca="false">IF(N1966&lt;&gt;"Y","",IF(R1966&lt;&gt;"",R1966,IF(Q1966="(tanpa lawan)","Transfer antar rekening",IFERROR(INDEX(I_COA!$F$6:$F$265,MATCH(Q1966,I_COA!$A$6:$A$265,0)),"?"))))</f>
        <v/>
      </c>
    </row>
    <row r="1967" customFormat="false" ht="15" hidden="false" customHeight="false" outlineLevel="0" collapsed="false">
      <c r="A1967" s="37"/>
      <c r="B1967" s="44"/>
      <c r="C1967" s="44"/>
      <c r="D1967" s="44"/>
      <c r="E1967" s="44"/>
      <c r="F1967" s="44"/>
      <c r="G1967" s="42"/>
      <c r="H1967" s="42"/>
      <c r="I1967" s="44"/>
      <c r="J1967" s="11" t="str">
        <f aca="false">IF(D1967="","",N(G1967)-N(H1967))</f>
        <v/>
      </c>
      <c r="K1967" s="34" t="str">
        <f aca="false">IF(D1967="","",IFERROR(INDEX(I_COA!$C$6:$C$265,MATCH(D1967,I_COA!$A$6:$A$265,0)),"AKUN BARU"))</f>
        <v/>
      </c>
      <c r="L1967" s="34" t="str">
        <f aca="false">IF(K1967="LabaRugi",INDEX(I_COA!$D$6:$D$265,MATCH(D1967,I_COA!$A$6:$A$265,0)),"")</f>
        <v/>
      </c>
      <c r="M1967" s="34" t="str">
        <f aca="false">IF(K1967="Neraca",INDEX(I_COA!$E$6:$E$265,MATCH(D1967,I_COA!$A$6:$A$265,0)),"")</f>
        <v/>
      </c>
      <c r="N1967" s="34" t="str">
        <f aca="false">IF(D1967="","",IFERROR(INDEX(I_COA!$G$6:$G$265,MATCH(D1967,I_COA!$A$6:$A$265,0)),"N"))</f>
        <v/>
      </c>
      <c r="O1967" s="11" t="str">
        <f aca="false">IF(N1967="N",ABS(J1967),"")</f>
        <v/>
      </c>
      <c r="P1967" s="18" t="str">
        <f aca="false">IF(N1967="N",B1967&amp;"|"&amp;ROUND(O1967,0),"")</f>
        <v/>
      </c>
      <c r="Q1967" s="18" t="str">
        <f aca="false">IF(N1967&lt;&gt;"Y","",IFERROR(INDEX($D$6:$D$4005,MATCH(B1967&amp;"|"&amp;ROUND(_xlfn.MAXIFS($O$6:$O$4005,$B$6:$B$4005,B1967,$N$6:$N$4005,"N"),0),$P$6:$P$4005,0)),"(tanpa lawan)"))</f>
        <v/>
      </c>
      <c r="R1967" s="44"/>
      <c r="S1967" s="9" t="str">
        <f aca="false">IF(N1967&lt;&gt;"Y","",IF(R1967&lt;&gt;"",R1967,IF(Q1967="(tanpa lawan)","Transfer antar rekening",IFERROR(INDEX(I_COA!$F$6:$F$265,MATCH(Q1967,I_COA!$A$6:$A$265,0)),"?"))))</f>
        <v/>
      </c>
    </row>
    <row r="1968" customFormat="false" ht="15" hidden="false" customHeight="false" outlineLevel="0" collapsed="false">
      <c r="A1968" s="37"/>
      <c r="B1968" s="44"/>
      <c r="C1968" s="44"/>
      <c r="D1968" s="44"/>
      <c r="E1968" s="44"/>
      <c r="F1968" s="44"/>
      <c r="G1968" s="42"/>
      <c r="H1968" s="42"/>
      <c r="I1968" s="44"/>
      <c r="J1968" s="11" t="str">
        <f aca="false">IF(D1968="","",N(G1968)-N(H1968))</f>
        <v/>
      </c>
      <c r="K1968" s="34" t="str">
        <f aca="false">IF(D1968="","",IFERROR(INDEX(I_COA!$C$6:$C$265,MATCH(D1968,I_COA!$A$6:$A$265,0)),"AKUN BARU"))</f>
        <v/>
      </c>
      <c r="L1968" s="34" t="str">
        <f aca="false">IF(K1968="LabaRugi",INDEX(I_COA!$D$6:$D$265,MATCH(D1968,I_COA!$A$6:$A$265,0)),"")</f>
        <v/>
      </c>
      <c r="M1968" s="34" t="str">
        <f aca="false">IF(K1968="Neraca",INDEX(I_COA!$E$6:$E$265,MATCH(D1968,I_COA!$A$6:$A$265,0)),"")</f>
        <v/>
      </c>
      <c r="N1968" s="34" t="str">
        <f aca="false">IF(D1968="","",IFERROR(INDEX(I_COA!$G$6:$G$265,MATCH(D1968,I_COA!$A$6:$A$265,0)),"N"))</f>
        <v/>
      </c>
      <c r="O1968" s="11" t="str">
        <f aca="false">IF(N1968="N",ABS(J1968),"")</f>
        <v/>
      </c>
      <c r="P1968" s="18" t="str">
        <f aca="false">IF(N1968="N",B1968&amp;"|"&amp;ROUND(O1968,0),"")</f>
        <v/>
      </c>
      <c r="Q1968" s="18" t="str">
        <f aca="false">IF(N1968&lt;&gt;"Y","",IFERROR(INDEX($D$6:$D$4005,MATCH(B1968&amp;"|"&amp;ROUND(_xlfn.MAXIFS($O$6:$O$4005,$B$6:$B$4005,B1968,$N$6:$N$4005,"N"),0),$P$6:$P$4005,0)),"(tanpa lawan)"))</f>
        <v/>
      </c>
      <c r="R1968" s="44"/>
      <c r="S1968" s="9" t="str">
        <f aca="false">IF(N1968&lt;&gt;"Y","",IF(R1968&lt;&gt;"",R1968,IF(Q1968="(tanpa lawan)","Transfer antar rekening",IFERROR(INDEX(I_COA!$F$6:$F$265,MATCH(Q1968,I_COA!$A$6:$A$265,0)),"?"))))</f>
        <v/>
      </c>
    </row>
    <row r="1969" customFormat="false" ht="15" hidden="false" customHeight="false" outlineLevel="0" collapsed="false">
      <c r="A1969" s="37"/>
      <c r="B1969" s="44"/>
      <c r="C1969" s="44"/>
      <c r="D1969" s="44"/>
      <c r="E1969" s="44"/>
      <c r="F1969" s="44"/>
      <c r="G1969" s="42"/>
      <c r="H1969" s="42"/>
      <c r="I1969" s="44"/>
      <c r="J1969" s="11" t="str">
        <f aca="false">IF(D1969="","",N(G1969)-N(H1969))</f>
        <v/>
      </c>
      <c r="K1969" s="34" t="str">
        <f aca="false">IF(D1969="","",IFERROR(INDEX(I_COA!$C$6:$C$265,MATCH(D1969,I_COA!$A$6:$A$265,0)),"AKUN BARU"))</f>
        <v/>
      </c>
      <c r="L1969" s="34" t="str">
        <f aca="false">IF(K1969="LabaRugi",INDEX(I_COA!$D$6:$D$265,MATCH(D1969,I_COA!$A$6:$A$265,0)),"")</f>
        <v/>
      </c>
      <c r="M1969" s="34" t="str">
        <f aca="false">IF(K1969="Neraca",INDEX(I_COA!$E$6:$E$265,MATCH(D1969,I_COA!$A$6:$A$265,0)),"")</f>
        <v/>
      </c>
      <c r="N1969" s="34" t="str">
        <f aca="false">IF(D1969="","",IFERROR(INDEX(I_COA!$G$6:$G$265,MATCH(D1969,I_COA!$A$6:$A$265,0)),"N"))</f>
        <v/>
      </c>
      <c r="O1969" s="11" t="str">
        <f aca="false">IF(N1969="N",ABS(J1969),"")</f>
        <v/>
      </c>
      <c r="P1969" s="18" t="str">
        <f aca="false">IF(N1969="N",B1969&amp;"|"&amp;ROUND(O1969,0),"")</f>
        <v/>
      </c>
      <c r="Q1969" s="18" t="str">
        <f aca="false">IF(N1969&lt;&gt;"Y","",IFERROR(INDEX($D$6:$D$4005,MATCH(B1969&amp;"|"&amp;ROUND(_xlfn.MAXIFS($O$6:$O$4005,$B$6:$B$4005,B1969,$N$6:$N$4005,"N"),0),$P$6:$P$4005,0)),"(tanpa lawan)"))</f>
        <v/>
      </c>
      <c r="R1969" s="44"/>
      <c r="S1969" s="9" t="str">
        <f aca="false">IF(N1969&lt;&gt;"Y","",IF(R1969&lt;&gt;"",R1969,IF(Q1969="(tanpa lawan)","Transfer antar rekening",IFERROR(INDEX(I_COA!$F$6:$F$265,MATCH(Q1969,I_COA!$A$6:$A$265,0)),"?"))))</f>
        <v/>
      </c>
    </row>
    <row r="1970" customFormat="false" ht="15" hidden="false" customHeight="false" outlineLevel="0" collapsed="false">
      <c r="A1970" s="37"/>
      <c r="B1970" s="44"/>
      <c r="C1970" s="44"/>
      <c r="D1970" s="44"/>
      <c r="E1970" s="44"/>
      <c r="F1970" s="44"/>
      <c r="G1970" s="42"/>
      <c r="H1970" s="42"/>
      <c r="I1970" s="44"/>
      <c r="J1970" s="11" t="str">
        <f aca="false">IF(D1970="","",N(G1970)-N(H1970))</f>
        <v/>
      </c>
      <c r="K1970" s="34" t="str">
        <f aca="false">IF(D1970="","",IFERROR(INDEX(I_COA!$C$6:$C$265,MATCH(D1970,I_COA!$A$6:$A$265,0)),"AKUN BARU"))</f>
        <v/>
      </c>
      <c r="L1970" s="34" t="str">
        <f aca="false">IF(K1970="LabaRugi",INDEX(I_COA!$D$6:$D$265,MATCH(D1970,I_COA!$A$6:$A$265,0)),"")</f>
        <v/>
      </c>
      <c r="M1970" s="34" t="str">
        <f aca="false">IF(K1970="Neraca",INDEX(I_COA!$E$6:$E$265,MATCH(D1970,I_COA!$A$6:$A$265,0)),"")</f>
        <v/>
      </c>
      <c r="N1970" s="34" t="str">
        <f aca="false">IF(D1970="","",IFERROR(INDEX(I_COA!$G$6:$G$265,MATCH(D1970,I_COA!$A$6:$A$265,0)),"N"))</f>
        <v/>
      </c>
      <c r="O1970" s="11" t="str">
        <f aca="false">IF(N1970="N",ABS(J1970),"")</f>
        <v/>
      </c>
      <c r="P1970" s="18" t="str">
        <f aca="false">IF(N1970="N",B1970&amp;"|"&amp;ROUND(O1970,0),"")</f>
        <v/>
      </c>
      <c r="Q1970" s="18" t="str">
        <f aca="false">IF(N1970&lt;&gt;"Y","",IFERROR(INDEX($D$6:$D$4005,MATCH(B1970&amp;"|"&amp;ROUND(_xlfn.MAXIFS($O$6:$O$4005,$B$6:$B$4005,B1970,$N$6:$N$4005,"N"),0),$P$6:$P$4005,0)),"(tanpa lawan)"))</f>
        <v/>
      </c>
      <c r="R1970" s="44"/>
      <c r="S1970" s="9" t="str">
        <f aca="false">IF(N1970&lt;&gt;"Y","",IF(R1970&lt;&gt;"",R1970,IF(Q1970="(tanpa lawan)","Transfer antar rekening",IFERROR(INDEX(I_COA!$F$6:$F$265,MATCH(Q1970,I_COA!$A$6:$A$265,0)),"?"))))</f>
        <v/>
      </c>
    </row>
    <row r="1971" customFormat="false" ht="15" hidden="false" customHeight="false" outlineLevel="0" collapsed="false">
      <c r="A1971" s="37"/>
      <c r="B1971" s="44"/>
      <c r="C1971" s="44"/>
      <c r="D1971" s="44"/>
      <c r="E1971" s="44"/>
      <c r="F1971" s="44"/>
      <c r="G1971" s="42"/>
      <c r="H1971" s="42"/>
      <c r="I1971" s="44"/>
      <c r="J1971" s="11" t="str">
        <f aca="false">IF(D1971="","",N(G1971)-N(H1971))</f>
        <v/>
      </c>
      <c r="K1971" s="34" t="str">
        <f aca="false">IF(D1971="","",IFERROR(INDEX(I_COA!$C$6:$C$265,MATCH(D1971,I_COA!$A$6:$A$265,0)),"AKUN BARU"))</f>
        <v/>
      </c>
      <c r="L1971" s="34" t="str">
        <f aca="false">IF(K1971="LabaRugi",INDEX(I_COA!$D$6:$D$265,MATCH(D1971,I_COA!$A$6:$A$265,0)),"")</f>
        <v/>
      </c>
      <c r="M1971" s="34" t="str">
        <f aca="false">IF(K1971="Neraca",INDEX(I_COA!$E$6:$E$265,MATCH(D1971,I_COA!$A$6:$A$265,0)),"")</f>
        <v/>
      </c>
      <c r="N1971" s="34" t="str">
        <f aca="false">IF(D1971="","",IFERROR(INDEX(I_COA!$G$6:$G$265,MATCH(D1971,I_COA!$A$6:$A$265,0)),"N"))</f>
        <v/>
      </c>
      <c r="O1971" s="11" t="str">
        <f aca="false">IF(N1971="N",ABS(J1971),"")</f>
        <v/>
      </c>
      <c r="P1971" s="18" t="str">
        <f aca="false">IF(N1971="N",B1971&amp;"|"&amp;ROUND(O1971,0),"")</f>
        <v/>
      </c>
      <c r="Q1971" s="18" t="str">
        <f aca="false">IF(N1971&lt;&gt;"Y","",IFERROR(INDEX($D$6:$D$4005,MATCH(B1971&amp;"|"&amp;ROUND(_xlfn.MAXIFS($O$6:$O$4005,$B$6:$B$4005,B1971,$N$6:$N$4005,"N"),0),$P$6:$P$4005,0)),"(tanpa lawan)"))</f>
        <v/>
      </c>
      <c r="R1971" s="44"/>
      <c r="S1971" s="9" t="str">
        <f aca="false">IF(N1971&lt;&gt;"Y","",IF(R1971&lt;&gt;"",R1971,IF(Q1971="(tanpa lawan)","Transfer antar rekening",IFERROR(INDEX(I_COA!$F$6:$F$265,MATCH(Q1971,I_COA!$A$6:$A$265,0)),"?"))))</f>
        <v/>
      </c>
    </row>
    <row r="1972" customFormat="false" ht="15" hidden="false" customHeight="false" outlineLevel="0" collapsed="false">
      <c r="A1972" s="37"/>
      <c r="B1972" s="44"/>
      <c r="C1972" s="44"/>
      <c r="D1972" s="44"/>
      <c r="E1972" s="44"/>
      <c r="F1972" s="44"/>
      <c r="G1972" s="42"/>
      <c r="H1972" s="42"/>
      <c r="I1972" s="44"/>
      <c r="J1972" s="11" t="str">
        <f aca="false">IF(D1972="","",N(G1972)-N(H1972))</f>
        <v/>
      </c>
      <c r="K1972" s="34" t="str">
        <f aca="false">IF(D1972="","",IFERROR(INDEX(I_COA!$C$6:$C$265,MATCH(D1972,I_COA!$A$6:$A$265,0)),"AKUN BARU"))</f>
        <v/>
      </c>
      <c r="L1972" s="34" t="str">
        <f aca="false">IF(K1972="LabaRugi",INDEX(I_COA!$D$6:$D$265,MATCH(D1972,I_COA!$A$6:$A$265,0)),"")</f>
        <v/>
      </c>
      <c r="M1972" s="34" t="str">
        <f aca="false">IF(K1972="Neraca",INDEX(I_COA!$E$6:$E$265,MATCH(D1972,I_COA!$A$6:$A$265,0)),"")</f>
        <v/>
      </c>
      <c r="N1972" s="34" t="str">
        <f aca="false">IF(D1972="","",IFERROR(INDEX(I_COA!$G$6:$G$265,MATCH(D1972,I_COA!$A$6:$A$265,0)),"N"))</f>
        <v/>
      </c>
      <c r="O1972" s="11" t="str">
        <f aca="false">IF(N1972="N",ABS(J1972),"")</f>
        <v/>
      </c>
      <c r="P1972" s="18" t="str">
        <f aca="false">IF(N1972="N",B1972&amp;"|"&amp;ROUND(O1972,0),"")</f>
        <v/>
      </c>
      <c r="Q1972" s="18" t="str">
        <f aca="false">IF(N1972&lt;&gt;"Y","",IFERROR(INDEX($D$6:$D$4005,MATCH(B1972&amp;"|"&amp;ROUND(_xlfn.MAXIFS($O$6:$O$4005,$B$6:$B$4005,B1972,$N$6:$N$4005,"N"),0),$P$6:$P$4005,0)),"(tanpa lawan)"))</f>
        <v/>
      </c>
      <c r="R1972" s="44"/>
      <c r="S1972" s="9" t="str">
        <f aca="false">IF(N1972&lt;&gt;"Y","",IF(R1972&lt;&gt;"",R1972,IF(Q1972="(tanpa lawan)","Transfer antar rekening",IFERROR(INDEX(I_COA!$F$6:$F$265,MATCH(Q1972,I_COA!$A$6:$A$265,0)),"?"))))</f>
        <v/>
      </c>
    </row>
    <row r="1973" customFormat="false" ht="15" hidden="false" customHeight="false" outlineLevel="0" collapsed="false">
      <c r="A1973" s="37"/>
      <c r="B1973" s="44"/>
      <c r="C1973" s="44"/>
      <c r="D1973" s="44"/>
      <c r="E1973" s="44"/>
      <c r="F1973" s="44"/>
      <c r="G1973" s="42"/>
      <c r="H1973" s="42"/>
      <c r="I1973" s="44"/>
      <c r="J1973" s="11" t="str">
        <f aca="false">IF(D1973="","",N(G1973)-N(H1973))</f>
        <v/>
      </c>
      <c r="K1973" s="34" t="str">
        <f aca="false">IF(D1973="","",IFERROR(INDEX(I_COA!$C$6:$C$265,MATCH(D1973,I_COA!$A$6:$A$265,0)),"AKUN BARU"))</f>
        <v/>
      </c>
      <c r="L1973" s="34" t="str">
        <f aca="false">IF(K1973="LabaRugi",INDEX(I_COA!$D$6:$D$265,MATCH(D1973,I_COA!$A$6:$A$265,0)),"")</f>
        <v/>
      </c>
      <c r="M1973" s="34" t="str">
        <f aca="false">IF(K1973="Neraca",INDEX(I_COA!$E$6:$E$265,MATCH(D1973,I_COA!$A$6:$A$265,0)),"")</f>
        <v/>
      </c>
      <c r="N1973" s="34" t="str">
        <f aca="false">IF(D1973="","",IFERROR(INDEX(I_COA!$G$6:$G$265,MATCH(D1973,I_COA!$A$6:$A$265,0)),"N"))</f>
        <v/>
      </c>
      <c r="O1973" s="11" t="str">
        <f aca="false">IF(N1973="N",ABS(J1973),"")</f>
        <v/>
      </c>
      <c r="P1973" s="18" t="str">
        <f aca="false">IF(N1973="N",B1973&amp;"|"&amp;ROUND(O1973,0),"")</f>
        <v/>
      </c>
      <c r="Q1973" s="18" t="str">
        <f aca="false">IF(N1973&lt;&gt;"Y","",IFERROR(INDEX($D$6:$D$4005,MATCH(B1973&amp;"|"&amp;ROUND(_xlfn.MAXIFS($O$6:$O$4005,$B$6:$B$4005,B1973,$N$6:$N$4005,"N"),0),$P$6:$P$4005,0)),"(tanpa lawan)"))</f>
        <v/>
      </c>
      <c r="R1973" s="44"/>
      <c r="S1973" s="9" t="str">
        <f aca="false">IF(N1973&lt;&gt;"Y","",IF(R1973&lt;&gt;"",R1973,IF(Q1973="(tanpa lawan)","Transfer antar rekening",IFERROR(INDEX(I_COA!$F$6:$F$265,MATCH(Q1973,I_COA!$A$6:$A$265,0)),"?"))))</f>
        <v/>
      </c>
    </row>
    <row r="1974" customFormat="false" ht="15" hidden="false" customHeight="false" outlineLevel="0" collapsed="false">
      <c r="A1974" s="37"/>
      <c r="B1974" s="44"/>
      <c r="C1974" s="44"/>
      <c r="D1974" s="44"/>
      <c r="E1974" s="44"/>
      <c r="F1974" s="44"/>
      <c r="G1974" s="42"/>
      <c r="H1974" s="42"/>
      <c r="I1974" s="44"/>
      <c r="J1974" s="11" t="str">
        <f aca="false">IF(D1974="","",N(G1974)-N(H1974))</f>
        <v/>
      </c>
      <c r="K1974" s="34" t="str">
        <f aca="false">IF(D1974="","",IFERROR(INDEX(I_COA!$C$6:$C$265,MATCH(D1974,I_COA!$A$6:$A$265,0)),"AKUN BARU"))</f>
        <v/>
      </c>
      <c r="L1974" s="34" t="str">
        <f aca="false">IF(K1974="LabaRugi",INDEX(I_COA!$D$6:$D$265,MATCH(D1974,I_COA!$A$6:$A$265,0)),"")</f>
        <v/>
      </c>
      <c r="M1974" s="34" t="str">
        <f aca="false">IF(K1974="Neraca",INDEX(I_COA!$E$6:$E$265,MATCH(D1974,I_COA!$A$6:$A$265,0)),"")</f>
        <v/>
      </c>
      <c r="N1974" s="34" t="str">
        <f aca="false">IF(D1974="","",IFERROR(INDEX(I_COA!$G$6:$G$265,MATCH(D1974,I_COA!$A$6:$A$265,0)),"N"))</f>
        <v/>
      </c>
      <c r="O1974" s="11" t="str">
        <f aca="false">IF(N1974="N",ABS(J1974),"")</f>
        <v/>
      </c>
      <c r="P1974" s="18" t="str">
        <f aca="false">IF(N1974="N",B1974&amp;"|"&amp;ROUND(O1974,0),"")</f>
        <v/>
      </c>
      <c r="Q1974" s="18" t="str">
        <f aca="false">IF(N1974&lt;&gt;"Y","",IFERROR(INDEX($D$6:$D$4005,MATCH(B1974&amp;"|"&amp;ROUND(_xlfn.MAXIFS($O$6:$O$4005,$B$6:$B$4005,B1974,$N$6:$N$4005,"N"),0),$P$6:$P$4005,0)),"(tanpa lawan)"))</f>
        <v/>
      </c>
      <c r="R1974" s="44"/>
      <c r="S1974" s="9" t="str">
        <f aca="false">IF(N1974&lt;&gt;"Y","",IF(R1974&lt;&gt;"",R1974,IF(Q1974="(tanpa lawan)","Transfer antar rekening",IFERROR(INDEX(I_COA!$F$6:$F$265,MATCH(Q1974,I_COA!$A$6:$A$265,0)),"?"))))</f>
        <v/>
      </c>
    </row>
    <row r="1975" customFormat="false" ht="15" hidden="false" customHeight="false" outlineLevel="0" collapsed="false">
      <c r="A1975" s="37"/>
      <c r="B1975" s="44"/>
      <c r="C1975" s="44"/>
      <c r="D1975" s="44"/>
      <c r="E1975" s="44"/>
      <c r="F1975" s="44"/>
      <c r="G1975" s="42"/>
      <c r="H1975" s="42"/>
      <c r="I1975" s="44"/>
      <c r="J1975" s="11" t="str">
        <f aca="false">IF(D1975="","",N(G1975)-N(H1975))</f>
        <v/>
      </c>
      <c r="K1975" s="34" t="str">
        <f aca="false">IF(D1975="","",IFERROR(INDEX(I_COA!$C$6:$C$265,MATCH(D1975,I_COA!$A$6:$A$265,0)),"AKUN BARU"))</f>
        <v/>
      </c>
      <c r="L1975" s="34" t="str">
        <f aca="false">IF(K1975="LabaRugi",INDEX(I_COA!$D$6:$D$265,MATCH(D1975,I_COA!$A$6:$A$265,0)),"")</f>
        <v/>
      </c>
      <c r="M1975" s="34" t="str">
        <f aca="false">IF(K1975="Neraca",INDEX(I_COA!$E$6:$E$265,MATCH(D1975,I_COA!$A$6:$A$265,0)),"")</f>
        <v/>
      </c>
      <c r="N1975" s="34" t="str">
        <f aca="false">IF(D1975="","",IFERROR(INDEX(I_COA!$G$6:$G$265,MATCH(D1975,I_COA!$A$6:$A$265,0)),"N"))</f>
        <v/>
      </c>
      <c r="O1975" s="11" t="str">
        <f aca="false">IF(N1975="N",ABS(J1975),"")</f>
        <v/>
      </c>
      <c r="P1975" s="18" t="str">
        <f aca="false">IF(N1975="N",B1975&amp;"|"&amp;ROUND(O1975,0),"")</f>
        <v/>
      </c>
      <c r="Q1975" s="18" t="str">
        <f aca="false">IF(N1975&lt;&gt;"Y","",IFERROR(INDEX($D$6:$D$4005,MATCH(B1975&amp;"|"&amp;ROUND(_xlfn.MAXIFS($O$6:$O$4005,$B$6:$B$4005,B1975,$N$6:$N$4005,"N"),0),$P$6:$P$4005,0)),"(tanpa lawan)"))</f>
        <v/>
      </c>
      <c r="R1975" s="44"/>
      <c r="S1975" s="9" t="str">
        <f aca="false">IF(N1975&lt;&gt;"Y","",IF(R1975&lt;&gt;"",R1975,IF(Q1975="(tanpa lawan)","Transfer antar rekening",IFERROR(INDEX(I_COA!$F$6:$F$265,MATCH(Q1975,I_COA!$A$6:$A$265,0)),"?"))))</f>
        <v/>
      </c>
    </row>
    <row r="1976" customFormat="false" ht="15" hidden="false" customHeight="false" outlineLevel="0" collapsed="false">
      <c r="A1976" s="37"/>
      <c r="B1976" s="44"/>
      <c r="C1976" s="44"/>
      <c r="D1976" s="44"/>
      <c r="E1976" s="44"/>
      <c r="F1976" s="44"/>
      <c r="G1976" s="42"/>
      <c r="H1976" s="42"/>
      <c r="I1976" s="44"/>
      <c r="J1976" s="11" t="str">
        <f aca="false">IF(D1976="","",N(G1976)-N(H1976))</f>
        <v/>
      </c>
      <c r="K1976" s="34" t="str">
        <f aca="false">IF(D1976="","",IFERROR(INDEX(I_COA!$C$6:$C$265,MATCH(D1976,I_COA!$A$6:$A$265,0)),"AKUN BARU"))</f>
        <v/>
      </c>
      <c r="L1976" s="34" t="str">
        <f aca="false">IF(K1976="LabaRugi",INDEX(I_COA!$D$6:$D$265,MATCH(D1976,I_COA!$A$6:$A$265,0)),"")</f>
        <v/>
      </c>
      <c r="M1976" s="34" t="str">
        <f aca="false">IF(K1976="Neraca",INDEX(I_COA!$E$6:$E$265,MATCH(D1976,I_COA!$A$6:$A$265,0)),"")</f>
        <v/>
      </c>
      <c r="N1976" s="34" t="str">
        <f aca="false">IF(D1976="","",IFERROR(INDEX(I_COA!$G$6:$G$265,MATCH(D1976,I_COA!$A$6:$A$265,0)),"N"))</f>
        <v/>
      </c>
      <c r="O1976" s="11" t="str">
        <f aca="false">IF(N1976="N",ABS(J1976),"")</f>
        <v/>
      </c>
      <c r="P1976" s="18" t="str">
        <f aca="false">IF(N1976="N",B1976&amp;"|"&amp;ROUND(O1976,0),"")</f>
        <v/>
      </c>
      <c r="Q1976" s="18" t="str">
        <f aca="false">IF(N1976&lt;&gt;"Y","",IFERROR(INDEX($D$6:$D$4005,MATCH(B1976&amp;"|"&amp;ROUND(_xlfn.MAXIFS($O$6:$O$4005,$B$6:$B$4005,B1976,$N$6:$N$4005,"N"),0),$P$6:$P$4005,0)),"(tanpa lawan)"))</f>
        <v/>
      </c>
      <c r="R1976" s="44"/>
      <c r="S1976" s="9" t="str">
        <f aca="false">IF(N1976&lt;&gt;"Y","",IF(R1976&lt;&gt;"",R1976,IF(Q1976="(tanpa lawan)","Transfer antar rekening",IFERROR(INDEX(I_COA!$F$6:$F$265,MATCH(Q1976,I_COA!$A$6:$A$265,0)),"?"))))</f>
        <v/>
      </c>
    </row>
    <row r="1977" customFormat="false" ht="15" hidden="false" customHeight="false" outlineLevel="0" collapsed="false">
      <c r="A1977" s="37"/>
      <c r="B1977" s="44"/>
      <c r="C1977" s="44"/>
      <c r="D1977" s="44"/>
      <c r="E1977" s="44"/>
      <c r="F1977" s="44"/>
      <c r="G1977" s="42"/>
      <c r="H1977" s="42"/>
      <c r="I1977" s="44"/>
      <c r="J1977" s="11" t="str">
        <f aca="false">IF(D1977="","",N(G1977)-N(H1977))</f>
        <v/>
      </c>
      <c r="K1977" s="34" t="str">
        <f aca="false">IF(D1977="","",IFERROR(INDEX(I_COA!$C$6:$C$265,MATCH(D1977,I_COA!$A$6:$A$265,0)),"AKUN BARU"))</f>
        <v/>
      </c>
      <c r="L1977" s="34" t="str">
        <f aca="false">IF(K1977="LabaRugi",INDEX(I_COA!$D$6:$D$265,MATCH(D1977,I_COA!$A$6:$A$265,0)),"")</f>
        <v/>
      </c>
      <c r="M1977" s="34" t="str">
        <f aca="false">IF(K1977="Neraca",INDEX(I_COA!$E$6:$E$265,MATCH(D1977,I_COA!$A$6:$A$265,0)),"")</f>
        <v/>
      </c>
      <c r="N1977" s="34" t="str">
        <f aca="false">IF(D1977="","",IFERROR(INDEX(I_COA!$G$6:$G$265,MATCH(D1977,I_COA!$A$6:$A$265,0)),"N"))</f>
        <v/>
      </c>
      <c r="O1977" s="11" t="str">
        <f aca="false">IF(N1977="N",ABS(J1977),"")</f>
        <v/>
      </c>
      <c r="P1977" s="18" t="str">
        <f aca="false">IF(N1977="N",B1977&amp;"|"&amp;ROUND(O1977,0),"")</f>
        <v/>
      </c>
      <c r="Q1977" s="18" t="str">
        <f aca="false">IF(N1977&lt;&gt;"Y","",IFERROR(INDEX($D$6:$D$4005,MATCH(B1977&amp;"|"&amp;ROUND(_xlfn.MAXIFS($O$6:$O$4005,$B$6:$B$4005,B1977,$N$6:$N$4005,"N"),0),$P$6:$P$4005,0)),"(tanpa lawan)"))</f>
        <v/>
      </c>
      <c r="R1977" s="44"/>
      <c r="S1977" s="9" t="str">
        <f aca="false">IF(N1977&lt;&gt;"Y","",IF(R1977&lt;&gt;"",R1977,IF(Q1977="(tanpa lawan)","Transfer antar rekening",IFERROR(INDEX(I_COA!$F$6:$F$265,MATCH(Q1977,I_COA!$A$6:$A$265,0)),"?"))))</f>
        <v/>
      </c>
    </row>
    <row r="1978" customFormat="false" ht="15" hidden="false" customHeight="false" outlineLevel="0" collapsed="false">
      <c r="A1978" s="37"/>
      <c r="B1978" s="44"/>
      <c r="C1978" s="44"/>
      <c r="D1978" s="44"/>
      <c r="E1978" s="44"/>
      <c r="F1978" s="44"/>
      <c r="G1978" s="42"/>
      <c r="H1978" s="42"/>
      <c r="I1978" s="44"/>
      <c r="J1978" s="11" t="str">
        <f aca="false">IF(D1978="","",N(G1978)-N(H1978))</f>
        <v/>
      </c>
      <c r="K1978" s="34" t="str">
        <f aca="false">IF(D1978="","",IFERROR(INDEX(I_COA!$C$6:$C$265,MATCH(D1978,I_COA!$A$6:$A$265,0)),"AKUN BARU"))</f>
        <v/>
      </c>
      <c r="L1978" s="34" t="str">
        <f aca="false">IF(K1978="LabaRugi",INDEX(I_COA!$D$6:$D$265,MATCH(D1978,I_COA!$A$6:$A$265,0)),"")</f>
        <v/>
      </c>
      <c r="M1978" s="34" t="str">
        <f aca="false">IF(K1978="Neraca",INDEX(I_COA!$E$6:$E$265,MATCH(D1978,I_COA!$A$6:$A$265,0)),"")</f>
        <v/>
      </c>
      <c r="N1978" s="34" t="str">
        <f aca="false">IF(D1978="","",IFERROR(INDEX(I_COA!$G$6:$G$265,MATCH(D1978,I_COA!$A$6:$A$265,0)),"N"))</f>
        <v/>
      </c>
      <c r="O1978" s="11" t="str">
        <f aca="false">IF(N1978="N",ABS(J1978),"")</f>
        <v/>
      </c>
      <c r="P1978" s="18" t="str">
        <f aca="false">IF(N1978="N",B1978&amp;"|"&amp;ROUND(O1978,0),"")</f>
        <v/>
      </c>
      <c r="Q1978" s="18" t="str">
        <f aca="false">IF(N1978&lt;&gt;"Y","",IFERROR(INDEX($D$6:$D$4005,MATCH(B1978&amp;"|"&amp;ROUND(_xlfn.MAXIFS($O$6:$O$4005,$B$6:$B$4005,B1978,$N$6:$N$4005,"N"),0),$P$6:$P$4005,0)),"(tanpa lawan)"))</f>
        <v/>
      </c>
      <c r="R1978" s="44"/>
      <c r="S1978" s="9" t="str">
        <f aca="false">IF(N1978&lt;&gt;"Y","",IF(R1978&lt;&gt;"",R1978,IF(Q1978="(tanpa lawan)","Transfer antar rekening",IFERROR(INDEX(I_COA!$F$6:$F$265,MATCH(Q1978,I_COA!$A$6:$A$265,0)),"?"))))</f>
        <v/>
      </c>
    </row>
    <row r="1979" customFormat="false" ht="15" hidden="false" customHeight="false" outlineLevel="0" collapsed="false">
      <c r="A1979" s="37"/>
      <c r="B1979" s="44"/>
      <c r="C1979" s="44"/>
      <c r="D1979" s="44"/>
      <c r="E1979" s="44"/>
      <c r="F1979" s="44"/>
      <c r="G1979" s="42"/>
      <c r="H1979" s="42"/>
      <c r="I1979" s="44"/>
      <c r="J1979" s="11" t="str">
        <f aca="false">IF(D1979="","",N(G1979)-N(H1979))</f>
        <v/>
      </c>
      <c r="K1979" s="34" t="str">
        <f aca="false">IF(D1979="","",IFERROR(INDEX(I_COA!$C$6:$C$265,MATCH(D1979,I_COA!$A$6:$A$265,0)),"AKUN BARU"))</f>
        <v/>
      </c>
      <c r="L1979" s="34" t="str">
        <f aca="false">IF(K1979="LabaRugi",INDEX(I_COA!$D$6:$D$265,MATCH(D1979,I_COA!$A$6:$A$265,0)),"")</f>
        <v/>
      </c>
      <c r="M1979" s="34" t="str">
        <f aca="false">IF(K1979="Neraca",INDEX(I_COA!$E$6:$E$265,MATCH(D1979,I_COA!$A$6:$A$265,0)),"")</f>
        <v/>
      </c>
      <c r="N1979" s="34" t="str">
        <f aca="false">IF(D1979="","",IFERROR(INDEX(I_COA!$G$6:$G$265,MATCH(D1979,I_COA!$A$6:$A$265,0)),"N"))</f>
        <v/>
      </c>
      <c r="O1979" s="11" t="str">
        <f aca="false">IF(N1979="N",ABS(J1979),"")</f>
        <v/>
      </c>
      <c r="P1979" s="18" t="str">
        <f aca="false">IF(N1979="N",B1979&amp;"|"&amp;ROUND(O1979,0),"")</f>
        <v/>
      </c>
      <c r="Q1979" s="18" t="str">
        <f aca="false">IF(N1979&lt;&gt;"Y","",IFERROR(INDEX($D$6:$D$4005,MATCH(B1979&amp;"|"&amp;ROUND(_xlfn.MAXIFS($O$6:$O$4005,$B$6:$B$4005,B1979,$N$6:$N$4005,"N"),0),$P$6:$P$4005,0)),"(tanpa lawan)"))</f>
        <v/>
      </c>
      <c r="R1979" s="44"/>
      <c r="S1979" s="9" t="str">
        <f aca="false">IF(N1979&lt;&gt;"Y","",IF(R1979&lt;&gt;"",R1979,IF(Q1979="(tanpa lawan)","Transfer antar rekening",IFERROR(INDEX(I_COA!$F$6:$F$265,MATCH(Q1979,I_COA!$A$6:$A$265,0)),"?"))))</f>
        <v/>
      </c>
    </row>
    <row r="1980" customFormat="false" ht="15" hidden="false" customHeight="false" outlineLevel="0" collapsed="false">
      <c r="A1980" s="37"/>
      <c r="B1980" s="44"/>
      <c r="C1980" s="44"/>
      <c r="D1980" s="44"/>
      <c r="E1980" s="44"/>
      <c r="F1980" s="44"/>
      <c r="G1980" s="42"/>
      <c r="H1980" s="42"/>
      <c r="I1980" s="44"/>
      <c r="J1980" s="11" t="str">
        <f aca="false">IF(D1980="","",N(G1980)-N(H1980))</f>
        <v/>
      </c>
      <c r="K1980" s="34" t="str">
        <f aca="false">IF(D1980="","",IFERROR(INDEX(I_COA!$C$6:$C$265,MATCH(D1980,I_COA!$A$6:$A$265,0)),"AKUN BARU"))</f>
        <v/>
      </c>
      <c r="L1980" s="34" t="str">
        <f aca="false">IF(K1980="LabaRugi",INDEX(I_COA!$D$6:$D$265,MATCH(D1980,I_COA!$A$6:$A$265,0)),"")</f>
        <v/>
      </c>
      <c r="M1980" s="34" t="str">
        <f aca="false">IF(K1980="Neraca",INDEX(I_COA!$E$6:$E$265,MATCH(D1980,I_COA!$A$6:$A$265,0)),"")</f>
        <v/>
      </c>
      <c r="N1980" s="34" t="str">
        <f aca="false">IF(D1980="","",IFERROR(INDEX(I_COA!$G$6:$G$265,MATCH(D1980,I_COA!$A$6:$A$265,0)),"N"))</f>
        <v/>
      </c>
      <c r="O1980" s="11" t="str">
        <f aca="false">IF(N1980="N",ABS(J1980),"")</f>
        <v/>
      </c>
      <c r="P1980" s="18" t="str">
        <f aca="false">IF(N1980="N",B1980&amp;"|"&amp;ROUND(O1980,0),"")</f>
        <v/>
      </c>
      <c r="Q1980" s="18" t="str">
        <f aca="false">IF(N1980&lt;&gt;"Y","",IFERROR(INDEX($D$6:$D$4005,MATCH(B1980&amp;"|"&amp;ROUND(_xlfn.MAXIFS($O$6:$O$4005,$B$6:$B$4005,B1980,$N$6:$N$4005,"N"),0),$P$6:$P$4005,0)),"(tanpa lawan)"))</f>
        <v/>
      </c>
      <c r="R1980" s="44"/>
      <c r="S1980" s="9" t="str">
        <f aca="false">IF(N1980&lt;&gt;"Y","",IF(R1980&lt;&gt;"",R1980,IF(Q1980="(tanpa lawan)","Transfer antar rekening",IFERROR(INDEX(I_COA!$F$6:$F$265,MATCH(Q1980,I_COA!$A$6:$A$265,0)),"?"))))</f>
        <v/>
      </c>
    </row>
    <row r="1981" customFormat="false" ht="15" hidden="false" customHeight="false" outlineLevel="0" collapsed="false">
      <c r="A1981" s="37"/>
      <c r="B1981" s="44"/>
      <c r="C1981" s="44"/>
      <c r="D1981" s="44"/>
      <c r="E1981" s="44"/>
      <c r="F1981" s="44"/>
      <c r="G1981" s="42"/>
      <c r="H1981" s="42"/>
      <c r="I1981" s="44"/>
      <c r="J1981" s="11" t="str">
        <f aca="false">IF(D1981="","",N(G1981)-N(H1981))</f>
        <v/>
      </c>
      <c r="K1981" s="34" t="str">
        <f aca="false">IF(D1981="","",IFERROR(INDEX(I_COA!$C$6:$C$265,MATCH(D1981,I_COA!$A$6:$A$265,0)),"AKUN BARU"))</f>
        <v/>
      </c>
      <c r="L1981" s="34" t="str">
        <f aca="false">IF(K1981="LabaRugi",INDEX(I_COA!$D$6:$D$265,MATCH(D1981,I_COA!$A$6:$A$265,0)),"")</f>
        <v/>
      </c>
      <c r="M1981" s="34" t="str">
        <f aca="false">IF(K1981="Neraca",INDEX(I_COA!$E$6:$E$265,MATCH(D1981,I_COA!$A$6:$A$265,0)),"")</f>
        <v/>
      </c>
      <c r="N1981" s="34" t="str">
        <f aca="false">IF(D1981="","",IFERROR(INDEX(I_COA!$G$6:$G$265,MATCH(D1981,I_COA!$A$6:$A$265,0)),"N"))</f>
        <v/>
      </c>
      <c r="O1981" s="11" t="str">
        <f aca="false">IF(N1981="N",ABS(J1981),"")</f>
        <v/>
      </c>
      <c r="P1981" s="18" t="str">
        <f aca="false">IF(N1981="N",B1981&amp;"|"&amp;ROUND(O1981,0),"")</f>
        <v/>
      </c>
      <c r="Q1981" s="18" t="str">
        <f aca="false">IF(N1981&lt;&gt;"Y","",IFERROR(INDEX($D$6:$D$4005,MATCH(B1981&amp;"|"&amp;ROUND(_xlfn.MAXIFS($O$6:$O$4005,$B$6:$B$4005,B1981,$N$6:$N$4005,"N"),0),$P$6:$P$4005,0)),"(tanpa lawan)"))</f>
        <v/>
      </c>
      <c r="R1981" s="44"/>
      <c r="S1981" s="9" t="str">
        <f aca="false">IF(N1981&lt;&gt;"Y","",IF(R1981&lt;&gt;"",R1981,IF(Q1981="(tanpa lawan)","Transfer antar rekening",IFERROR(INDEX(I_COA!$F$6:$F$265,MATCH(Q1981,I_COA!$A$6:$A$265,0)),"?"))))</f>
        <v/>
      </c>
    </row>
    <row r="1982" customFormat="false" ht="15" hidden="false" customHeight="false" outlineLevel="0" collapsed="false">
      <c r="A1982" s="37"/>
      <c r="B1982" s="44"/>
      <c r="C1982" s="44"/>
      <c r="D1982" s="44"/>
      <c r="E1982" s="44"/>
      <c r="F1982" s="44"/>
      <c r="G1982" s="42"/>
      <c r="H1982" s="42"/>
      <c r="I1982" s="44"/>
      <c r="J1982" s="11" t="str">
        <f aca="false">IF(D1982="","",N(G1982)-N(H1982))</f>
        <v/>
      </c>
      <c r="K1982" s="34" t="str">
        <f aca="false">IF(D1982="","",IFERROR(INDEX(I_COA!$C$6:$C$265,MATCH(D1982,I_COA!$A$6:$A$265,0)),"AKUN BARU"))</f>
        <v/>
      </c>
      <c r="L1982" s="34" t="str">
        <f aca="false">IF(K1982="LabaRugi",INDEX(I_COA!$D$6:$D$265,MATCH(D1982,I_COA!$A$6:$A$265,0)),"")</f>
        <v/>
      </c>
      <c r="M1982" s="34" t="str">
        <f aca="false">IF(K1982="Neraca",INDEX(I_COA!$E$6:$E$265,MATCH(D1982,I_COA!$A$6:$A$265,0)),"")</f>
        <v/>
      </c>
      <c r="N1982" s="34" t="str">
        <f aca="false">IF(D1982="","",IFERROR(INDEX(I_COA!$G$6:$G$265,MATCH(D1982,I_COA!$A$6:$A$265,0)),"N"))</f>
        <v/>
      </c>
      <c r="O1982" s="11" t="str">
        <f aca="false">IF(N1982="N",ABS(J1982),"")</f>
        <v/>
      </c>
      <c r="P1982" s="18" t="str">
        <f aca="false">IF(N1982="N",B1982&amp;"|"&amp;ROUND(O1982,0),"")</f>
        <v/>
      </c>
      <c r="Q1982" s="18" t="str">
        <f aca="false">IF(N1982&lt;&gt;"Y","",IFERROR(INDEX($D$6:$D$4005,MATCH(B1982&amp;"|"&amp;ROUND(_xlfn.MAXIFS($O$6:$O$4005,$B$6:$B$4005,B1982,$N$6:$N$4005,"N"),0),$P$6:$P$4005,0)),"(tanpa lawan)"))</f>
        <v/>
      </c>
      <c r="R1982" s="44"/>
      <c r="S1982" s="9" t="str">
        <f aca="false">IF(N1982&lt;&gt;"Y","",IF(R1982&lt;&gt;"",R1982,IF(Q1982="(tanpa lawan)","Transfer antar rekening",IFERROR(INDEX(I_COA!$F$6:$F$265,MATCH(Q1982,I_COA!$A$6:$A$265,0)),"?"))))</f>
        <v/>
      </c>
    </row>
    <row r="1983" customFormat="false" ht="15" hidden="false" customHeight="false" outlineLevel="0" collapsed="false">
      <c r="A1983" s="37"/>
      <c r="B1983" s="44"/>
      <c r="C1983" s="44"/>
      <c r="D1983" s="44"/>
      <c r="E1983" s="44"/>
      <c r="F1983" s="44"/>
      <c r="G1983" s="42"/>
      <c r="H1983" s="42"/>
      <c r="I1983" s="44"/>
      <c r="J1983" s="11" t="str">
        <f aca="false">IF(D1983="","",N(G1983)-N(H1983))</f>
        <v/>
      </c>
      <c r="K1983" s="34" t="str">
        <f aca="false">IF(D1983="","",IFERROR(INDEX(I_COA!$C$6:$C$265,MATCH(D1983,I_COA!$A$6:$A$265,0)),"AKUN BARU"))</f>
        <v/>
      </c>
      <c r="L1983" s="34" t="str">
        <f aca="false">IF(K1983="LabaRugi",INDEX(I_COA!$D$6:$D$265,MATCH(D1983,I_COA!$A$6:$A$265,0)),"")</f>
        <v/>
      </c>
      <c r="M1983" s="34" t="str">
        <f aca="false">IF(K1983="Neraca",INDEX(I_COA!$E$6:$E$265,MATCH(D1983,I_COA!$A$6:$A$265,0)),"")</f>
        <v/>
      </c>
      <c r="N1983" s="34" t="str">
        <f aca="false">IF(D1983="","",IFERROR(INDEX(I_COA!$G$6:$G$265,MATCH(D1983,I_COA!$A$6:$A$265,0)),"N"))</f>
        <v/>
      </c>
      <c r="O1983" s="11" t="str">
        <f aca="false">IF(N1983="N",ABS(J1983),"")</f>
        <v/>
      </c>
      <c r="P1983" s="18" t="str">
        <f aca="false">IF(N1983="N",B1983&amp;"|"&amp;ROUND(O1983,0),"")</f>
        <v/>
      </c>
      <c r="Q1983" s="18" t="str">
        <f aca="false">IF(N1983&lt;&gt;"Y","",IFERROR(INDEX($D$6:$D$4005,MATCH(B1983&amp;"|"&amp;ROUND(_xlfn.MAXIFS($O$6:$O$4005,$B$6:$B$4005,B1983,$N$6:$N$4005,"N"),0),$P$6:$P$4005,0)),"(tanpa lawan)"))</f>
        <v/>
      </c>
      <c r="R1983" s="44"/>
      <c r="S1983" s="9" t="str">
        <f aca="false">IF(N1983&lt;&gt;"Y","",IF(R1983&lt;&gt;"",R1983,IF(Q1983="(tanpa lawan)","Transfer antar rekening",IFERROR(INDEX(I_COA!$F$6:$F$265,MATCH(Q1983,I_COA!$A$6:$A$265,0)),"?"))))</f>
        <v/>
      </c>
    </row>
    <row r="1984" customFormat="false" ht="15" hidden="false" customHeight="false" outlineLevel="0" collapsed="false">
      <c r="A1984" s="37"/>
      <c r="B1984" s="44"/>
      <c r="C1984" s="44"/>
      <c r="D1984" s="44"/>
      <c r="E1984" s="44"/>
      <c r="F1984" s="44"/>
      <c r="G1984" s="42"/>
      <c r="H1984" s="42"/>
      <c r="I1984" s="44"/>
      <c r="J1984" s="11" t="str">
        <f aca="false">IF(D1984="","",N(G1984)-N(H1984))</f>
        <v/>
      </c>
      <c r="K1984" s="34" t="str">
        <f aca="false">IF(D1984="","",IFERROR(INDEX(I_COA!$C$6:$C$265,MATCH(D1984,I_COA!$A$6:$A$265,0)),"AKUN BARU"))</f>
        <v/>
      </c>
      <c r="L1984" s="34" t="str">
        <f aca="false">IF(K1984="LabaRugi",INDEX(I_COA!$D$6:$D$265,MATCH(D1984,I_COA!$A$6:$A$265,0)),"")</f>
        <v/>
      </c>
      <c r="M1984" s="34" t="str">
        <f aca="false">IF(K1984="Neraca",INDEX(I_COA!$E$6:$E$265,MATCH(D1984,I_COA!$A$6:$A$265,0)),"")</f>
        <v/>
      </c>
      <c r="N1984" s="34" t="str">
        <f aca="false">IF(D1984="","",IFERROR(INDEX(I_COA!$G$6:$G$265,MATCH(D1984,I_COA!$A$6:$A$265,0)),"N"))</f>
        <v/>
      </c>
      <c r="O1984" s="11" t="str">
        <f aca="false">IF(N1984="N",ABS(J1984),"")</f>
        <v/>
      </c>
      <c r="P1984" s="18" t="str">
        <f aca="false">IF(N1984="N",B1984&amp;"|"&amp;ROUND(O1984,0),"")</f>
        <v/>
      </c>
      <c r="Q1984" s="18" t="str">
        <f aca="false">IF(N1984&lt;&gt;"Y","",IFERROR(INDEX($D$6:$D$4005,MATCH(B1984&amp;"|"&amp;ROUND(_xlfn.MAXIFS($O$6:$O$4005,$B$6:$B$4005,B1984,$N$6:$N$4005,"N"),0),$P$6:$P$4005,0)),"(tanpa lawan)"))</f>
        <v/>
      </c>
      <c r="R1984" s="44"/>
      <c r="S1984" s="9" t="str">
        <f aca="false">IF(N1984&lt;&gt;"Y","",IF(R1984&lt;&gt;"",R1984,IF(Q1984="(tanpa lawan)","Transfer antar rekening",IFERROR(INDEX(I_COA!$F$6:$F$265,MATCH(Q1984,I_COA!$A$6:$A$265,0)),"?"))))</f>
        <v/>
      </c>
    </row>
    <row r="1985" customFormat="false" ht="15" hidden="false" customHeight="false" outlineLevel="0" collapsed="false">
      <c r="A1985" s="37"/>
      <c r="B1985" s="44"/>
      <c r="C1985" s="44"/>
      <c r="D1985" s="44"/>
      <c r="E1985" s="44"/>
      <c r="F1985" s="44"/>
      <c r="G1985" s="42"/>
      <c r="H1985" s="42"/>
      <c r="I1985" s="44"/>
      <c r="J1985" s="11" t="str">
        <f aca="false">IF(D1985="","",N(G1985)-N(H1985))</f>
        <v/>
      </c>
      <c r="K1985" s="34" t="str">
        <f aca="false">IF(D1985="","",IFERROR(INDEX(I_COA!$C$6:$C$265,MATCH(D1985,I_COA!$A$6:$A$265,0)),"AKUN BARU"))</f>
        <v/>
      </c>
      <c r="L1985" s="34" t="str">
        <f aca="false">IF(K1985="LabaRugi",INDEX(I_COA!$D$6:$D$265,MATCH(D1985,I_COA!$A$6:$A$265,0)),"")</f>
        <v/>
      </c>
      <c r="M1985" s="34" t="str">
        <f aca="false">IF(K1985="Neraca",INDEX(I_COA!$E$6:$E$265,MATCH(D1985,I_COA!$A$6:$A$265,0)),"")</f>
        <v/>
      </c>
      <c r="N1985" s="34" t="str">
        <f aca="false">IF(D1985="","",IFERROR(INDEX(I_COA!$G$6:$G$265,MATCH(D1985,I_COA!$A$6:$A$265,0)),"N"))</f>
        <v/>
      </c>
      <c r="O1985" s="11" t="str">
        <f aca="false">IF(N1985="N",ABS(J1985),"")</f>
        <v/>
      </c>
      <c r="P1985" s="18" t="str">
        <f aca="false">IF(N1985="N",B1985&amp;"|"&amp;ROUND(O1985,0),"")</f>
        <v/>
      </c>
      <c r="Q1985" s="18" t="str">
        <f aca="false">IF(N1985&lt;&gt;"Y","",IFERROR(INDEX($D$6:$D$4005,MATCH(B1985&amp;"|"&amp;ROUND(_xlfn.MAXIFS($O$6:$O$4005,$B$6:$B$4005,B1985,$N$6:$N$4005,"N"),0),$P$6:$P$4005,0)),"(tanpa lawan)"))</f>
        <v/>
      </c>
      <c r="R1985" s="44"/>
      <c r="S1985" s="9" t="str">
        <f aca="false">IF(N1985&lt;&gt;"Y","",IF(R1985&lt;&gt;"",R1985,IF(Q1985="(tanpa lawan)","Transfer antar rekening",IFERROR(INDEX(I_COA!$F$6:$F$265,MATCH(Q1985,I_COA!$A$6:$A$265,0)),"?"))))</f>
        <v/>
      </c>
    </row>
    <row r="1986" customFormat="false" ht="15" hidden="false" customHeight="false" outlineLevel="0" collapsed="false">
      <c r="A1986" s="37"/>
      <c r="B1986" s="44"/>
      <c r="C1986" s="44"/>
      <c r="D1986" s="44"/>
      <c r="E1986" s="44"/>
      <c r="F1986" s="44"/>
      <c r="G1986" s="42"/>
      <c r="H1986" s="42"/>
      <c r="I1986" s="44"/>
      <c r="J1986" s="11" t="str">
        <f aca="false">IF(D1986="","",N(G1986)-N(H1986))</f>
        <v/>
      </c>
      <c r="K1986" s="34" t="str">
        <f aca="false">IF(D1986="","",IFERROR(INDEX(I_COA!$C$6:$C$265,MATCH(D1986,I_COA!$A$6:$A$265,0)),"AKUN BARU"))</f>
        <v/>
      </c>
      <c r="L1986" s="34" t="str">
        <f aca="false">IF(K1986="LabaRugi",INDEX(I_COA!$D$6:$D$265,MATCH(D1986,I_COA!$A$6:$A$265,0)),"")</f>
        <v/>
      </c>
      <c r="M1986" s="34" t="str">
        <f aca="false">IF(K1986="Neraca",INDEX(I_COA!$E$6:$E$265,MATCH(D1986,I_COA!$A$6:$A$265,0)),"")</f>
        <v/>
      </c>
      <c r="N1986" s="34" t="str">
        <f aca="false">IF(D1986="","",IFERROR(INDEX(I_COA!$G$6:$G$265,MATCH(D1986,I_COA!$A$6:$A$265,0)),"N"))</f>
        <v/>
      </c>
      <c r="O1986" s="11" t="str">
        <f aca="false">IF(N1986="N",ABS(J1986),"")</f>
        <v/>
      </c>
      <c r="P1986" s="18" t="str">
        <f aca="false">IF(N1986="N",B1986&amp;"|"&amp;ROUND(O1986,0),"")</f>
        <v/>
      </c>
      <c r="Q1986" s="18" t="str">
        <f aca="false">IF(N1986&lt;&gt;"Y","",IFERROR(INDEX($D$6:$D$4005,MATCH(B1986&amp;"|"&amp;ROUND(_xlfn.MAXIFS($O$6:$O$4005,$B$6:$B$4005,B1986,$N$6:$N$4005,"N"),0),$P$6:$P$4005,0)),"(tanpa lawan)"))</f>
        <v/>
      </c>
      <c r="R1986" s="44"/>
      <c r="S1986" s="9" t="str">
        <f aca="false">IF(N1986&lt;&gt;"Y","",IF(R1986&lt;&gt;"",R1986,IF(Q1986="(tanpa lawan)","Transfer antar rekening",IFERROR(INDEX(I_COA!$F$6:$F$265,MATCH(Q1986,I_COA!$A$6:$A$265,0)),"?"))))</f>
        <v/>
      </c>
    </row>
    <row r="1987" customFormat="false" ht="15" hidden="false" customHeight="false" outlineLevel="0" collapsed="false">
      <c r="A1987" s="37"/>
      <c r="B1987" s="44"/>
      <c r="C1987" s="44"/>
      <c r="D1987" s="44"/>
      <c r="E1987" s="44"/>
      <c r="F1987" s="44"/>
      <c r="G1987" s="42"/>
      <c r="H1987" s="42"/>
      <c r="I1987" s="44"/>
      <c r="J1987" s="11" t="str">
        <f aca="false">IF(D1987="","",N(G1987)-N(H1987))</f>
        <v/>
      </c>
      <c r="K1987" s="34" t="str">
        <f aca="false">IF(D1987="","",IFERROR(INDEX(I_COA!$C$6:$C$265,MATCH(D1987,I_COA!$A$6:$A$265,0)),"AKUN BARU"))</f>
        <v/>
      </c>
      <c r="L1987" s="34" t="str">
        <f aca="false">IF(K1987="LabaRugi",INDEX(I_COA!$D$6:$D$265,MATCH(D1987,I_COA!$A$6:$A$265,0)),"")</f>
        <v/>
      </c>
      <c r="M1987" s="34" t="str">
        <f aca="false">IF(K1987="Neraca",INDEX(I_COA!$E$6:$E$265,MATCH(D1987,I_COA!$A$6:$A$265,0)),"")</f>
        <v/>
      </c>
      <c r="N1987" s="34" t="str">
        <f aca="false">IF(D1987="","",IFERROR(INDEX(I_COA!$G$6:$G$265,MATCH(D1987,I_COA!$A$6:$A$265,0)),"N"))</f>
        <v/>
      </c>
      <c r="O1987" s="11" t="str">
        <f aca="false">IF(N1987="N",ABS(J1987),"")</f>
        <v/>
      </c>
      <c r="P1987" s="18" t="str">
        <f aca="false">IF(N1987="N",B1987&amp;"|"&amp;ROUND(O1987,0),"")</f>
        <v/>
      </c>
      <c r="Q1987" s="18" t="str">
        <f aca="false">IF(N1987&lt;&gt;"Y","",IFERROR(INDEX($D$6:$D$4005,MATCH(B1987&amp;"|"&amp;ROUND(_xlfn.MAXIFS($O$6:$O$4005,$B$6:$B$4005,B1987,$N$6:$N$4005,"N"),0),$P$6:$P$4005,0)),"(tanpa lawan)"))</f>
        <v/>
      </c>
      <c r="R1987" s="44"/>
      <c r="S1987" s="9" t="str">
        <f aca="false">IF(N1987&lt;&gt;"Y","",IF(R1987&lt;&gt;"",R1987,IF(Q1987="(tanpa lawan)","Transfer antar rekening",IFERROR(INDEX(I_COA!$F$6:$F$265,MATCH(Q1987,I_COA!$A$6:$A$265,0)),"?"))))</f>
        <v/>
      </c>
    </row>
    <row r="1988" customFormat="false" ht="15" hidden="false" customHeight="false" outlineLevel="0" collapsed="false">
      <c r="A1988" s="37"/>
      <c r="B1988" s="44"/>
      <c r="C1988" s="44"/>
      <c r="D1988" s="44"/>
      <c r="E1988" s="44"/>
      <c r="F1988" s="44"/>
      <c r="G1988" s="42"/>
      <c r="H1988" s="42"/>
      <c r="I1988" s="44"/>
      <c r="J1988" s="11" t="str">
        <f aca="false">IF(D1988="","",N(G1988)-N(H1988))</f>
        <v/>
      </c>
      <c r="K1988" s="34" t="str">
        <f aca="false">IF(D1988="","",IFERROR(INDEX(I_COA!$C$6:$C$265,MATCH(D1988,I_COA!$A$6:$A$265,0)),"AKUN BARU"))</f>
        <v/>
      </c>
      <c r="L1988" s="34" t="str">
        <f aca="false">IF(K1988="LabaRugi",INDEX(I_COA!$D$6:$D$265,MATCH(D1988,I_COA!$A$6:$A$265,0)),"")</f>
        <v/>
      </c>
      <c r="M1988" s="34" t="str">
        <f aca="false">IF(K1988="Neraca",INDEX(I_COA!$E$6:$E$265,MATCH(D1988,I_COA!$A$6:$A$265,0)),"")</f>
        <v/>
      </c>
      <c r="N1988" s="34" t="str">
        <f aca="false">IF(D1988="","",IFERROR(INDEX(I_COA!$G$6:$G$265,MATCH(D1988,I_COA!$A$6:$A$265,0)),"N"))</f>
        <v/>
      </c>
      <c r="O1988" s="11" t="str">
        <f aca="false">IF(N1988="N",ABS(J1988),"")</f>
        <v/>
      </c>
      <c r="P1988" s="18" t="str">
        <f aca="false">IF(N1988="N",B1988&amp;"|"&amp;ROUND(O1988,0),"")</f>
        <v/>
      </c>
      <c r="Q1988" s="18" t="str">
        <f aca="false">IF(N1988&lt;&gt;"Y","",IFERROR(INDEX($D$6:$D$4005,MATCH(B1988&amp;"|"&amp;ROUND(_xlfn.MAXIFS($O$6:$O$4005,$B$6:$B$4005,B1988,$N$6:$N$4005,"N"),0),$P$6:$P$4005,0)),"(tanpa lawan)"))</f>
        <v/>
      </c>
      <c r="R1988" s="44"/>
      <c r="S1988" s="9" t="str">
        <f aca="false">IF(N1988&lt;&gt;"Y","",IF(R1988&lt;&gt;"",R1988,IF(Q1988="(tanpa lawan)","Transfer antar rekening",IFERROR(INDEX(I_COA!$F$6:$F$265,MATCH(Q1988,I_COA!$A$6:$A$265,0)),"?"))))</f>
        <v/>
      </c>
    </row>
    <row r="1989" customFormat="false" ht="15" hidden="false" customHeight="false" outlineLevel="0" collapsed="false">
      <c r="A1989" s="37"/>
      <c r="B1989" s="44"/>
      <c r="C1989" s="44"/>
      <c r="D1989" s="44"/>
      <c r="E1989" s="44"/>
      <c r="F1989" s="44"/>
      <c r="G1989" s="42"/>
      <c r="H1989" s="42"/>
      <c r="I1989" s="44"/>
      <c r="J1989" s="11" t="str">
        <f aca="false">IF(D1989="","",N(G1989)-N(H1989))</f>
        <v/>
      </c>
      <c r="K1989" s="34" t="str">
        <f aca="false">IF(D1989="","",IFERROR(INDEX(I_COA!$C$6:$C$265,MATCH(D1989,I_COA!$A$6:$A$265,0)),"AKUN BARU"))</f>
        <v/>
      </c>
      <c r="L1989" s="34" t="str">
        <f aca="false">IF(K1989="LabaRugi",INDEX(I_COA!$D$6:$D$265,MATCH(D1989,I_COA!$A$6:$A$265,0)),"")</f>
        <v/>
      </c>
      <c r="M1989" s="34" t="str">
        <f aca="false">IF(K1989="Neraca",INDEX(I_COA!$E$6:$E$265,MATCH(D1989,I_COA!$A$6:$A$265,0)),"")</f>
        <v/>
      </c>
      <c r="N1989" s="34" t="str">
        <f aca="false">IF(D1989="","",IFERROR(INDEX(I_COA!$G$6:$G$265,MATCH(D1989,I_COA!$A$6:$A$265,0)),"N"))</f>
        <v/>
      </c>
      <c r="O1989" s="11" t="str">
        <f aca="false">IF(N1989="N",ABS(J1989),"")</f>
        <v/>
      </c>
      <c r="P1989" s="18" t="str">
        <f aca="false">IF(N1989="N",B1989&amp;"|"&amp;ROUND(O1989,0),"")</f>
        <v/>
      </c>
      <c r="Q1989" s="18" t="str">
        <f aca="false">IF(N1989&lt;&gt;"Y","",IFERROR(INDEX($D$6:$D$4005,MATCH(B1989&amp;"|"&amp;ROUND(_xlfn.MAXIFS($O$6:$O$4005,$B$6:$B$4005,B1989,$N$6:$N$4005,"N"),0),$P$6:$P$4005,0)),"(tanpa lawan)"))</f>
        <v/>
      </c>
      <c r="R1989" s="44"/>
      <c r="S1989" s="9" t="str">
        <f aca="false">IF(N1989&lt;&gt;"Y","",IF(R1989&lt;&gt;"",R1989,IF(Q1989="(tanpa lawan)","Transfer antar rekening",IFERROR(INDEX(I_COA!$F$6:$F$265,MATCH(Q1989,I_COA!$A$6:$A$265,0)),"?"))))</f>
        <v/>
      </c>
    </row>
    <row r="1990" customFormat="false" ht="15" hidden="false" customHeight="false" outlineLevel="0" collapsed="false">
      <c r="A1990" s="37"/>
      <c r="B1990" s="44"/>
      <c r="C1990" s="44"/>
      <c r="D1990" s="44"/>
      <c r="E1990" s="44"/>
      <c r="F1990" s="44"/>
      <c r="G1990" s="42"/>
      <c r="H1990" s="42"/>
      <c r="I1990" s="44"/>
      <c r="J1990" s="11" t="str">
        <f aca="false">IF(D1990="","",N(G1990)-N(H1990))</f>
        <v/>
      </c>
      <c r="K1990" s="34" t="str">
        <f aca="false">IF(D1990="","",IFERROR(INDEX(I_COA!$C$6:$C$265,MATCH(D1990,I_COA!$A$6:$A$265,0)),"AKUN BARU"))</f>
        <v/>
      </c>
      <c r="L1990" s="34" t="str">
        <f aca="false">IF(K1990="LabaRugi",INDEX(I_COA!$D$6:$D$265,MATCH(D1990,I_COA!$A$6:$A$265,0)),"")</f>
        <v/>
      </c>
      <c r="M1990" s="34" t="str">
        <f aca="false">IF(K1990="Neraca",INDEX(I_COA!$E$6:$E$265,MATCH(D1990,I_COA!$A$6:$A$265,0)),"")</f>
        <v/>
      </c>
      <c r="N1990" s="34" t="str">
        <f aca="false">IF(D1990="","",IFERROR(INDEX(I_COA!$G$6:$G$265,MATCH(D1990,I_COA!$A$6:$A$265,0)),"N"))</f>
        <v/>
      </c>
      <c r="O1990" s="11" t="str">
        <f aca="false">IF(N1990="N",ABS(J1990),"")</f>
        <v/>
      </c>
      <c r="P1990" s="18" t="str">
        <f aca="false">IF(N1990="N",B1990&amp;"|"&amp;ROUND(O1990,0),"")</f>
        <v/>
      </c>
      <c r="Q1990" s="18" t="str">
        <f aca="false">IF(N1990&lt;&gt;"Y","",IFERROR(INDEX($D$6:$D$4005,MATCH(B1990&amp;"|"&amp;ROUND(_xlfn.MAXIFS($O$6:$O$4005,$B$6:$B$4005,B1990,$N$6:$N$4005,"N"),0),$P$6:$P$4005,0)),"(tanpa lawan)"))</f>
        <v/>
      </c>
      <c r="R1990" s="44"/>
      <c r="S1990" s="9" t="str">
        <f aca="false">IF(N1990&lt;&gt;"Y","",IF(R1990&lt;&gt;"",R1990,IF(Q1990="(tanpa lawan)","Transfer antar rekening",IFERROR(INDEX(I_COA!$F$6:$F$265,MATCH(Q1990,I_COA!$A$6:$A$265,0)),"?"))))</f>
        <v/>
      </c>
    </row>
    <row r="1991" customFormat="false" ht="15" hidden="false" customHeight="false" outlineLevel="0" collapsed="false">
      <c r="A1991" s="37"/>
      <c r="B1991" s="44"/>
      <c r="C1991" s="44"/>
      <c r="D1991" s="44"/>
      <c r="E1991" s="44"/>
      <c r="F1991" s="44"/>
      <c r="G1991" s="42"/>
      <c r="H1991" s="42"/>
      <c r="I1991" s="44"/>
      <c r="J1991" s="11" t="str">
        <f aca="false">IF(D1991="","",N(G1991)-N(H1991))</f>
        <v/>
      </c>
      <c r="K1991" s="34" t="str">
        <f aca="false">IF(D1991="","",IFERROR(INDEX(I_COA!$C$6:$C$265,MATCH(D1991,I_COA!$A$6:$A$265,0)),"AKUN BARU"))</f>
        <v/>
      </c>
      <c r="L1991" s="34" t="str">
        <f aca="false">IF(K1991="LabaRugi",INDEX(I_COA!$D$6:$D$265,MATCH(D1991,I_COA!$A$6:$A$265,0)),"")</f>
        <v/>
      </c>
      <c r="M1991" s="34" t="str">
        <f aca="false">IF(K1991="Neraca",INDEX(I_COA!$E$6:$E$265,MATCH(D1991,I_COA!$A$6:$A$265,0)),"")</f>
        <v/>
      </c>
      <c r="N1991" s="34" t="str">
        <f aca="false">IF(D1991="","",IFERROR(INDEX(I_COA!$G$6:$G$265,MATCH(D1991,I_COA!$A$6:$A$265,0)),"N"))</f>
        <v/>
      </c>
      <c r="O1991" s="11" t="str">
        <f aca="false">IF(N1991="N",ABS(J1991),"")</f>
        <v/>
      </c>
      <c r="P1991" s="18" t="str">
        <f aca="false">IF(N1991="N",B1991&amp;"|"&amp;ROUND(O1991,0),"")</f>
        <v/>
      </c>
      <c r="Q1991" s="18" t="str">
        <f aca="false">IF(N1991&lt;&gt;"Y","",IFERROR(INDEX($D$6:$D$4005,MATCH(B1991&amp;"|"&amp;ROUND(_xlfn.MAXIFS($O$6:$O$4005,$B$6:$B$4005,B1991,$N$6:$N$4005,"N"),0),$P$6:$P$4005,0)),"(tanpa lawan)"))</f>
        <v/>
      </c>
      <c r="R1991" s="44"/>
      <c r="S1991" s="9" t="str">
        <f aca="false">IF(N1991&lt;&gt;"Y","",IF(R1991&lt;&gt;"",R1991,IF(Q1991="(tanpa lawan)","Transfer antar rekening",IFERROR(INDEX(I_COA!$F$6:$F$265,MATCH(Q1991,I_COA!$A$6:$A$265,0)),"?"))))</f>
        <v/>
      </c>
    </row>
    <row r="1992" customFormat="false" ht="15" hidden="false" customHeight="false" outlineLevel="0" collapsed="false">
      <c r="A1992" s="37"/>
      <c r="B1992" s="44"/>
      <c r="C1992" s="44"/>
      <c r="D1992" s="44"/>
      <c r="E1992" s="44"/>
      <c r="F1992" s="44"/>
      <c r="G1992" s="42"/>
      <c r="H1992" s="42"/>
      <c r="I1992" s="44"/>
      <c r="J1992" s="11" t="str">
        <f aca="false">IF(D1992="","",N(G1992)-N(H1992))</f>
        <v/>
      </c>
      <c r="K1992" s="34" t="str">
        <f aca="false">IF(D1992="","",IFERROR(INDEX(I_COA!$C$6:$C$265,MATCH(D1992,I_COA!$A$6:$A$265,0)),"AKUN BARU"))</f>
        <v/>
      </c>
      <c r="L1992" s="34" t="str">
        <f aca="false">IF(K1992="LabaRugi",INDEX(I_COA!$D$6:$D$265,MATCH(D1992,I_COA!$A$6:$A$265,0)),"")</f>
        <v/>
      </c>
      <c r="M1992" s="34" t="str">
        <f aca="false">IF(K1992="Neraca",INDEX(I_COA!$E$6:$E$265,MATCH(D1992,I_COA!$A$6:$A$265,0)),"")</f>
        <v/>
      </c>
      <c r="N1992" s="34" t="str">
        <f aca="false">IF(D1992="","",IFERROR(INDEX(I_COA!$G$6:$G$265,MATCH(D1992,I_COA!$A$6:$A$265,0)),"N"))</f>
        <v/>
      </c>
      <c r="O1992" s="11" t="str">
        <f aca="false">IF(N1992="N",ABS(J1992),"")</f>
        <v/>
      </c>
      <c r="P1992" s="18" t="str">
        <f aca="false">IF(N1992="N",B1992&amp;"|"&amp;ROUND(O1992,0),"")</f>
        <v/>
      </c>
      <c r="Q1992" s="18" t="str">
        <f aca="false">IF(N1992&lt;&gt;"Y","",IFERROR(INDEX($D$6:$D$4005,MATCH(B1992&amp;"|"&amp;ROUND(_xlfn.MAXIFS($O$6:$O$4005,$B$6:$B$4005,B1992,$N$6:$N$4005,"N"),0),$P$6:$P$4005,0)),"(tanpa lawan)"))</f>
        <v/>
      </c>
      <c r="R1992" s="44"/>
      <c r="S1992" s="9" t="str">
        <f aca="false">IF(N1992&lt;&gt;"Y","",IF(R1992&lt;&gt;"",R1992,IF(Q1992="(tanpa lawan)","Transfer antar rekening",IFERROR(INDEX(I_COA!$F$6:$F$265,MATCH(Q1992,I_COA!$A$6:$A$265,0)),"?"))))</f>
        <v/>
      </c>
    </row>
    <row r="1993" customFormat="false" ht="15" hidden="false" customHeight="false" outlineLevel="0" collapsed="false">
      <c r="A1993" s="37"/>
      <c r="B1993" s="44"/>
      <c r="C1993" s="44"/>
      <c r="D1993" s="44"/>
      <c r="E1993" s="44"/>
      <c r="F1993" s="44"/>
      <c r="G1993" s="42"/>
      <c r="H1993" s="42"/>
      <c r="I1993" s="44"/>
      <c r="J1993" s="11" t="str">
        <f aca="false">IF(D1993="","",N(G1993)-N(H1993))</f>
        <v/>
      </c>
      <c r="K1993" s="34" t="str">
        <f aca="false">IF(D1993="","",IFERROR(INDEX(I_COA!$C$6:$C$265,MATCH(D1993,I_COA!$A$6:$A$265,0)),"AKUN BARU"))</f>
        <v/>
      </c>
      <c r="L1993" s="34" t="str">
        <f aca="false">IF(K1993="LabaRugi",INDEX(I_COA!$D$6:$D$265,MATCH(D1993,I_COA!$A$6:$A$265,0)),"")</f>
        <v/>
      </c>
      <c r="M1993" s="34" t="str">
        <f aca="false">IF(K1993="Neraca",INDEX(I_COA!$E$6:$E$265,MATCH(D1993,I_COA!$A$6:$A$265,0)),"")</f>
        <v/>
      </c>
      <c r="N1993" s="34" t="str">
        <f aca="false">IF(D1993="","",IFERROR(INDEX(I_COA!$G$6:$G$265,MATCH(D1993,I_COA!$A$6:$A$265,0)),"N"))</f>
        <v/>
      </c>
      <c r="O1993" s="11" t="str">
        <f aca="false">IF(N1993="N",ABS(J1993),"")</f>
        <v/>
      </c>
      <c r="P1993" s="18" t="str">
        <f aca="false">IF(N1993="N",B1993&amp;"|"&amp;ROUND(O1993,0),"")</f>
        <v/>
      </c>
      <c r="Q1993" s="18" t="str">
        <f aca="false">IF(N1993&lt;&gt;"Y","",IFERROR(INDEX($D$6:$D$4005,MATCH(B1993&amp;"|"&amp;ROUND(_xlfn.MAXIFS($O$6:$O$4005,$B$6:$B$4005,B1993,$N$6:$N$4005,"N"),0),$P$6:$P$4005,0)),"(tanpa lawan)"))</f>
        <v/>
      </c>
      <c r="R1993" s="44"/>
      <c r="S1993" s="9" t="str">
        <f aca="false">IF(N1993&lt;&gt;"Y","",IF(R1993&lt;&gt;"",R1993,IF(Q1993="(tanpa lawan)","Transfer antar rekening",IFERROR(INDEX(I_COA!$F$6:$F$265,MATCH(Q1993,I_COA!$A$6:$A$265,0)),"?"))))</f>
        <v/>
      </c>
    </row>
    <row r="1994" customFormat="false" ht="15" hidden="false" customHeight="false" outlineLevel="0" collapsed="false">
      <c r="A1994" s="37"/>
      <c r="B1994" s="44"/>
      <c r="C1994" s="44"/>
      <c r="D1994" s="44"/>
      <c r="E1994" s="44"/>
      <c r="F1994" s="44"/>
      <c r="G1994" s="42"/>
      <c r="H1994" s="42"/>
      <c r="I1994" s="44"/>
      <c r="J1994" s="11" t="str">
        <f aca="false">IF(D1994="","",N(G1994)-N(H1994))</f>
        <v/>
      </c>
      <c r="K1994" s="34" t="str">
        <f aca="false">IF(D1994="","",IFERROR(INDEX(I_COA!$C$6:$C$265,MATCH(D1994,I_COA!$A$6:$A$265,0)),"AKUN BARU"))</f>
        <v/>
      </c>
      <c r="L1994" s="34" t="str">
        <f aca="false">IF(K1994="LabaRugi",INDEX(I_COA!$D$6:$D$265,MATCH(D1994,I_COA!$A$6:$A$265,0)),"")</f>
        <v/>
      </c>
      <c r="M1994" s="34" t="str">
        <f aca="false">IF(K1994="Neraca",INDEX(I_COA!$E$6:$E$265,MATCH(D1994,I_COA!$A$6:$A$265,0)),"")</f>
        <v/>
      </c>
      <c r="N1994" s="34" t="str">
        <f aca="false">IF(D1994="","",IFERROR(INDEX(I_COA!$G$6:$G$265,MATCH(D1994,I_COA!$A$6:$A$265,0)),"N"))</f>
        <v/>
      </c>
      <c r="O1994" s="11" t="str">
        <f aca="false">IF(N1994="N",ABS(J1994),"")</f>
        <v/>
      </c>
      <c r="P1994" s="18" t="str">
        <f aca="false">IF(N1994="N",B1994&amp;"|"&amp;ROUND(O1994,0),"")</f>
        <v/>
      </c>
      <c r="Q1994" s="18" t="str">
        <f aca="false">IF(N1994&lt;&gt;"Y","",IFERROR(INDEX($D$6:$D$4005,MATCH(B1994&amp;"|"&amp;ROUND(_xlfn.MAXIFS($O$6:$O$4005,$B$6:$B$4005,B1994,$N$6:$N$4005,"N"),0),$P$6:$P$4005,0)),"(tanpa lawan)"))</f>
        <v/>
      </c>
      <c r="R1994" s="44"/>
      <c r="S1994" s="9" t="str">
        <f aca="false">IF(N1994&lt;&gt;"Y","",IF(R1994&lt;&gt;"",R1994,IF(Q1994="(tanpa lawan)","Transfer antar rekening",IFERROR(INDEX(I_COA!$F$6:$F$265,MATCH(Q1994,I_COA!$A$6:$A$265,0)),"?"))))</f>
        <v/>
      </c>
    </row>
    <row r="1995" customFormat="false" ht="15" hidden="false" customHeight="false" outlineLevel="0" collapsed="false">
      <c r="A1995" s="37"/>
      <c r="B1995" s="44"/>
      <c r="C1995" s="44"/>
      <c r="D1995" s="44"/>
      <c r="E1995" s="44"/>
      <c r="F1995" s="44"/>
      <c r="G1995" s="42"/>
      <c r="H1995" s="42"/>
      <c r="I1995" s="44"/>
      <c r="J1995" s="11" t="str">
        <f aca="false">IF(D1995="","",N(G1995)-N(H1995))</f>
        <v/>
      </c>
      <c r="K1995" s="34" t="str">
        <f aca="false">IF(D1995="","",IFERROR(INDEX(I_COA!$C$6:$C$265,MATCH(D1995,I_COA!$A$6:$A$265,0)),"AKUN BARU"))</f>
        <v/>
      </c>
      <c r="L1995" s="34" t="str">
        <f aca="false">IF(K1995="LabaRugi",INDEX(I_COA!$D$6:$D$265,MATCH(D1995,I_COA!$A$6:$A$265,0)),"")</f>
        <v/>
      </c>
      <c r="M1995" s="34" t="str">
        <f aca="false">IF(K1995="Neraca",INDEX(I_COA!$E$6:$E$265,MATCH(D1995,I_COA!$A$6:$A$265,0)),"")</f>
        <v/>
      </c>
      <c r="N1995" s="34" t="str">
        <f aca="false">IF(D1995="","",IFERROR(INDEX(I_COA!$G$6:$G$265,MATCH(D1995,I_COA!$A$6:$A$265,0)),"N"))</f>
        <v/>
      </c>
      <c r="O1995" s="11" t="str">
        <f aca="false">IF(N1995="N",ABS(J1995),"")</f>
        <v/>
      </c>
      <c r="P1995" s="18" t="str">
        <f aca="false">IF(N1995="N",B1995&amp;"|"&amp;ROUND(O1995,0),"")</f>
        <v/>
      </c>
      <c r="Q1995" s="18" t="str">
        <f aca="false">IF(N1995&lt;&gt;"Y","",IFERROR(INDEX($D$6:$D$4005,MATCH(B1995&amp;"|"&amp;ROUND(_xlfn.MAXIFS($O$6:$O$4005,$B$6:$B$4005,B1995,$N$6:$N$4005,"N"),0),$P$6:$P$4005,0)),"(tanpa lawan)"))</f>
        <v/>
      </c>
      <c r="R1995" s="44"/>
      <c r="S1995" s="9" t="str">
        <f aca="false">IF(N1995&lt;&gt;"Y","",IF(R1995&lt;&gt;"",R1995,IF(Q1995="(tanpa lawan)","Transfer antar rekening",IFERROR(INDEX(I_COA!$F$6:$F$265,MATCH(Q1995,I_COA!$A$6:$A$265,0)),"?"))))</f>
        <v/>
      </c>
    </row>
    <row r="1996" customFormat="false" ht="15" hidden="false" customHeight="false" outlineLevel="0" collapsed="false">
      <c r="A1996" s="37"/>
      <c r="B1996" s="44"/>
      <c r="C1996" s="44"/>
      <c r="D1996" s="44"/>
      <c r="E1996" s="44"/>
      <c r="F1996" s="44"/>
      <c r="G1996" s="42"/>
      <c r="H1996" s="42"/>
      <c r="I1996" s="44"/>
      <c r="J1996" s="11" t="str">
        <f aca="false">IF(D1996="","",N(G1996)-N(H1996))</f>
        <v/>
      </c>
      <c r="K1996" s="34" t="str">
        <f aca="false">IF(D1996="","",IFERROR(INDEX(I_COA!$C$6:$C$265,MATCH(D1996,I_COA!$A$6:$A$265,0)),"AKUN BARU"))</f>
        <v/>
      </c>
      <c r="L1996" s="34" t="str">
        <f aca="false">IF(K1996="LabaRugi",INDEX(I_COA!$D$6:$D$265,MATCH(D1996,I_COA!$A$6:$A$265,0)),"")</f>
        <v/>
      </c>
      <c r="M1996" s="34" t="str">
        <f aca="false">IF(K1996="Neraca",INDEX(I_COA!$E$6:$E$265,MATCH(D1996,I_COA!$A$6:$A$265,0)),"")</f>
        <v/>
      </c>
      <c r="N1996" s="34" t="str">
        <f aca="false">IF(D1996="","",IFERROR(INDEX(I_COA!$G$6:$G$265,MATCH(D1996,I_COA!$A$6:$A$265,0)),"N"))</f>
        <v/>
      </c>
      <c r="O1996" s="11" t="str">
        <f aca="false">IF(N1996="N",ABS(J1996),"")</f>
        <v/>
      </c>
      <c r="P1996" s="18" t="str">
        <f aca="false">IF(N1996="N",B1996&amp;"|"&amp;ROUND(O1996,0),"")</f>
        <v/>
      </c>
      <c r="Q1996" s="18" t="str">
        <f aca="false">IF(N1996&lt;&gt;"Y","",IFERROR(INDEX($D$6:$D$4005,MATCH(B1996&amp;"|"&amp;ROUND(_xlfn.MAXIFS($O$6:$O$4005,$B$6:$B$4005,B1996,$N$6:$N$4005,"N"),0),$P$6:$P$4005,0)),"(tanpa lawan)"))</f>
        <v/>
      </c>
      <c r="R1996" s="44"/>
      <c r="S1996" s="9" t="str">
        <f aca="false">IF(N1996&lt;&gt;"Y","",IF(R1996&lt;&gt;"",R1996,IF(Q1996="(tanpa lawan)","Transfer antar rekening",IFERROR(INDEX(I_COA!$F$6:$F$265,MATCH(Q1996,I_COA!$A$6:$A$265,0)),"?"))))</f>
        <v/>
      </c>
    </row>
    <row r="1997" customFormat="false" ht="15" hidden="false" customHeight="false" outlineLevel="0" collapsed="false">
      <c r="A1997" s="37"/>
      <c r="B1997" s="44"/>
      <c r="C1997" s="44"/>
      <c r="D1997" s="44"/>
      <c r="E1997" s="44"/>
      <c r="F1997" s="44"/>
      <c r="G1997" s="42"/>
      <c r="H1997" s="42"/>
      <c r="I1997" s="44"/>
      <c r="J1997" s="11" t="str">
        <f aca="false">IF(D1997="","",N(G1997)-N(H1997))</f>
        <v/>
      </c>
      <c r="K1997" s="34" t="str">
        <f aca="false">IF(D1997="","",IFERROR(INDEX(I_COA!$C$6:$C$265,MATCH(D1997,I_COA!$A$6:$A$265,0)),"AKUN BARU"))</f>
        <v/>
      </c>
      <c r="L1997" s="34" t="str">
        <f aca="false">IF(K1997="LabaRugi",INDEX(I_COA!$D$6:$D$265,MATCH(D1997,I_COA!$A$6:$A$265,0)),"")</f>
        <v/>
      </c>
      <c r="M1997" s="34" t="str">
        <f aca="false">IF(K1997="Neraca",INDEX(I_COA!$E$6:$E$265,MATCH(D1997,I_COA!$A$6:$A$265,0)),"")</f>
        <v/>
      </c>
      <c r="N1997" s="34" t="str">
        <f aca="false">IF(D1997="","",IFERROR(INDEX(I_COA!$G$6:$G$265,MATCH(D1997,I_COA!$A$6:$A$265,0)),"N"))</f>
        <v/>
      </c>
      <c r="O1997" s="11" t="str">
        <f aca="false">IF(N1997="N",ABS(J1997),"")</f>
        <v/>
      </c>
      <c r="P1997" s="18" t="str">
        <f aca="false">IF(N1997="N",B1997&amp;"|"&amp;ROUND(O1997,0),"")</f>
        <v/>
      </c>
      <c r="Q1997" s="18" t="str">
        <f aca="false">IF(N1997&lt;&gt;"Y","",IFERROR(INDEX($D$6:$D$4005,MATCH(B1997&amp;"|"&amp;ROUND(_xlfn.MAXIFS($O$6:$O$4005,$B$6:$B$4005,B1997,$N$6:$N$4005,"N"),0),$P$6:$P$4005,0)),"(tanpa lawan)"))</f>
        <v/>
      </c>
      <c r="R1997" s="44"/>
      <c r="S1997" s="9" t="str">
        <f aca="false">IF(N1997&lt;&gt;"Y","",IF(R1997&lt;&gt;"",R1997,IF(Q1997="(tanpa lawan)","Transfer antar rekening",IFERROR(INDEX(I_COA!$F$6:$F$265,MATCH(Q1997,I_COA!$A$6:$A$265,0)),"?"))))</f>
        <v/>
      </c>
    </row>
    <row r="1998" customFormat="false" ht="15" hidden="false" customHeight="false" outlineLevel="0" collapsed="false">
      <c r="A1998" s="37"/>
      <c r="B1998" s="44"/>
      <c r="C1998" s="44"/>
      <c r="D1998" s="44"/>
      <c r="E1998" s="44"/>
      <c r="F1998" s="44"/>
      <c r="G1998" s="42"/>
      <c r="H1998" s="42"/>
      <c r="I1998" s="44"/>
      <c r="J1998" s="11" t="str">
        <f aca="false">IF(D1998="","",N(G1998)-N(H1998))</f>
        <v/>
      </c>
      <c r="K1998" s="34" t="str">
        <f aca="false">IF(D1998="","",IFERROR(INDEX(I_COA!$C$6:$C$265,MATCH(D1998,I_COA!$A$6:$A$265,0)),"AKUN BARU"))</f>
        <v/>
      </c>
      <c r="L1998" s="34" t="str">
        <f aca="false">IF(K1998="LabaRugi",INDEX(I_COA!$D$6:$D$265,MATCH(D1998,I_COA!$A$6:$A$265,0)),"")</f>
        <v/>
      </c>
      <c r="M1998" s="34" t="str">
        <f aca="false">IF(K1998="Neraca",INDEX(I_COA!$E$6:$E$265,MATCH(D1998,I_COA!$A$6:$A$265,0)),"")</f>
        <v/>
      </c>
      <c r="N1998" s="34" t="str">
        <f aca="false">IF(D1998="","",IFERROR(INDEX(I_COA!$G$6:$G$265,MATCH(D1998,I_COA!$A$6:$A$265,0)),"N"))</f>
        <v/>
      </c>
      <c r="O1998" s="11" t="str">
        <f aca="false">IF(N1998="N",ABS(J1998),"")</f>
        <v/>
      </c>
      <c r="P1998" s="18" t="str">
        <f aca="false">IF(N1998="N",B1998&amp;"|"&amp;ROUND(O1998,0),"")</f>
        <v/>
      </c>
      <c r="Q1998" s="18" t="str">
        <f aca="false">IF(N1998&lt;&gt;"Y","",IFERROR(INDEX($D$6:$D$4005,MATCH(B1998&amp;"|"&amp;ROUND(_xlfn.MAXIFS($O$6:$O$4005,$B$6:$B$4005,B1998,$N$6:$N$4005,"N"),0),$P$6:$P$4005,0)),"(tanpa lawan)"))</f>
        <v/>
      </c>
      <c r="R1998" s="44"/>
      <c r="S1998" s="9" t="str">
        <f aca="false">IF(N1998&lt;&gt;"Y","",IF(R1998&lt;&gt;"",R1998,IF(Q1998="(tanpa lawan)","Transfer antar rekening",IFERROR(INDEX(I_COA!$F$6:$F$265,MATCH(Q1998,I_COA!$A$6:$A$265,0)),"?"))))</f>
        <v/>
      </c>
    </row>
    <row r="1999" customFormat="false" ht="15" hidden="false" customHeight="false" outlineLevel="0" collapsed="false">
      <c r="A1999" s="37"/>
      <c r="B1999" s="44"/>
      <c r="C1999" s="44"/>
      <c r="D1999" s="44"/>
      <c r="E1999" s="44"/>
      <c r="F1999" s="44"/>
      <c r="G1999" s="42"/>
      <c r="H1999" s="42"/>
      <c r="I1999" s="44"/>
      <c r="J1999" s="11" t="str">
        <f aca="false">IF(D1999="","",N(G1999)-N(H1999))</f>
        <v/>
      </c>
      <c r="K1999" s="34" t="str">
        <f aca="false">IF(D1999="","",IFERROR(INDEX(I_COA!$C$6:$C$265,MATCH(D1999,I_COA!$A$6:$A$265,0)),"AKUN BARU"))</f>
        <v/>
      </c>
      <c r="L1999" s="34" t="str">
        <f aca="false">IF(K1999="LabaRugi",INDEX(I_COA!$D$6:$D$265,MATCH(D1999,I_COA!$A$6:$A$265,0)),"")</f>
        <v/>
      </c>
      <c r="M1999" s="34" t="str">
        <f aca="false">IF(K1999="Neraca",INDEX(I_COA!$E$6:$E$265,MATCH(D1999,I_COA!$A$6:$A$265,0)),"")</f>
        <v/>
      </c>
      <c r="N1999" s="34" t="str">
        <f aca="false">IF(D1999="","",IFERROR(INDEX(I_COA!$G$6:$G$265,MATCH(D1999,I_COA!$A$6:$A$265,0)),"N"))</f>
        <v/>
      </c>
      <c r="O1999" s="11" t="str">
        <f aca="false">IF(N1999="N",ABS(J1999),"")</f>
        <v/>
      </c>
      <c r="P1999" s="18" t="str">
        <f aca="false">IF(N1999="N",B1999&amp;"|"&amp;ROUND(O1999,0),"")</f>
        <v/>
      </c>
      <c r="Q1999" s="18" t="str">
        <f aca="false">IF(N1999&lt;&gt;"Y","",IFERROR(INDEX($D$6:$D$4005,MATCH(B1999&amp;"|"&amp;ROUND(_xlfn.MAXIFS($O$6:$O$4005,$B$6:$B$4005,B1999,$N$6:$N$4005,"N"),0),$P$6:$P$4005,0)),"(tanpa lawan)"))</f>
        <v/>
      </c>
      <c r="R1999" s="44"/>
      <c r="S1999" s="9" t="str">
        <f aca="false">IF(N1999&lt;&gt;"Y","",IF(R1999&lt;&gt;"",R1999,IF(Q1999="(tanpa lawan)","Transfer antar rekening",IFERROR(INDEX(I_COA!$F$6:$F$265,MATCH(Q1999,I_COA!$A$6:$A$265,0)),"?"))))</f>
        <v/>
      </c>
    </row>
    <row r="2000" customFormat="false" ht="15" hidden="false" customHeight="false" outlineLevel="0" collapsed="false">
      <c r="A2000" s="37"/>
      <c r="B2000" s="44"/>
      <c r="C2000" s="44"/>
      <c r="D2000" s="44"/>
      <c r="E2000" s="44"/>
      <c r="F2000" s="44"/>
      <c r="G2000" s="42"/>
      <c r="H2000" s="42"/>
      <c r="I2000" s="44"/>
      <c r="J2000" s="11" t="str">
        <f aca="false">IF(D2000="","",N(G2000)-N(H2000))</f>
        <v/>
      </c>
      <c r="K2000" s="34" t="str">
        <f aca="false">IF(D2000="","",IFERROR(INDEX(I_COA!$C$6:$C$265,MATCH(D2000,I_COA!$A$6:$A$265,0)),"AKUN BARU"))</f>
        <v/>
      </c>
      <c r="L2000" s="34" t="str">
        <f aca="false">IF(K2000="LabaRugi",INDEX(I_COA!$D$6:$D$265,MATCH(D2000,I_COA!$A$6:$A$265,0)),"")</f>
        <v/>
      </c>
      <c r="M2000" s="34" t="str">
        <f aca="false">IF(K2000="Neraca",INDEX(I_COA!$E$6:$E$265,MATCH(D2000,I_COA!$A$6:$A$265,0)),"")</f>
        <v/>
      </c>
      <c r="N2000" s="34" t="str">
        <f aca="false">IF(D2000="","",IFERROR(INDEX(I_COA!$G$6:$G$265,MATCH(D2000,I_COA!$A$6:$A$265,0)),"N"))</f>
        <v/>
      </c>
      <c r="O2000" s="11" t="str">
        <f aca="false">IF(N2000="N",ABS(J2000),"")</f>
        <v/>
      </c>
      <c r="P2000" s="18" t="str">
        <f aca="false">IF(N2000="N",B2000&amp;"|"&amp;ROUND(O2000,0),"")</f>
        <v/>
      </c>
      <c r="Q2000" s="18" t="str">
        <f aca="false">IF(N2000&lt;&gt;"Y","",IFERROR(INDEX($D$6:$D$4005,MATCH(B2000&amp;"|"&amp;ROUND(_xlfn.MAXIFS($O$6:$O$4005,$B$6:$B$4005,B2000,$N$6:$N$4005,"N"),0),$P$6:$P$4005,0)),"(tanpa lawan)"))</f>
        <v/>
      </c>
      <c r="R2000" s="44"/>
      <c r="S2000" s="9" t="str">
        <f aca="false">IF(N2000&lt;&gt;"Y","",IF(R2000&lt;&gt;"",R2000,IF(Q2000="(tanpa lawan)","Transfer antar rekening",IFERROR(INDEX(I_COA!$F$6:$F$265,MATCH(Q2000,I_COA!$A$6:$A$265,0)),"?"))))</f>
        <v/>
      </c>
    </row>
    <row r="2001" customFormat="false" ht="15" hidden="false" customHeight="false" outlineLevel="0" collapsed="false">
      <c r="A2001" s="37"/>
      <c r="B2001" s="44"/>
      <c r="C2001" s="44"/>
      <c r="D2001" s="44"/>
      <c r="E2001" s="44"/>
      <c r="F2001" s="44"/>
      <c r="G2001" s="42"/>
      <c r="H2001" s="42"/>
      <c r="I2001" s="44"/>
      <c r="J2001" s="11" t="str">
        <f aca="false">IF(D2001="","",N(G2001)-N(H2001))</f>
        <v/>
      </c>
      <c r="K2001" s="34" t="str">
        <f aca="false">IF(D2001="","",IFERROR(INDEX(I_COA!$C$6:$C$265,MATCH(D2001,I_COA!$A$6:$A$265,0)),"AKUN BARU"))</f>
        <v/>
      </c>
      <c r="L2001" s="34" t="str">
        <f aca="false">IF(K2001="LabaRugi",INDEX(I_COA!$D$6:$D$265,MATCH(D2001,I_COA!$A$6:$A$265,0)),"")</f>
        <v/>
      </c>
      <c r="M2001" s="34" t="str">
        <f aca="false">IF(K2001="Neraca",INDEX(I_COA!$E$6:$E$265,MATCH(D2001,I_COA!$A$6:$A$265,0)),"")</f>
        <v/>
      </c>
      <c r="N2001" s="34" t="str">
        <f aca="false">IF(D2001="","",IFERROR(INDEX(I_COA!$G$6:$G$265,MATCH(D2001,I_COA!$A$6:$A$265,0)),"N"))</f>
        <v/>
      </c>
      <c r="O2001" s="11" t="str">
        <f aca="false">IF(N2001="N",ABS(J2001),"")</f>
        <v/>
      </c>
      <c r="P2001" s="18" t="str">
        <f aca="false">IF(N2001="N",B2001&amp;"|"&amp;ROUND(O2001,0),"")</f>
        <v/>
      </c>
      <c r="Q2001" s="18" t="str">
        <f aca="false">IF(N2001&lt;&gt;"Y","",IFERROR(INDEX($D$6:$D$4005,MATCH(B2001&amp;"|"&amp;ROUND(_xlfn.MAXIFS($O$6:$O$4005,$B$6:$B$4005,B2001,$N$6:$N$4005,"N"),0),$P$6:$P$4005,0)),"(tanpa lawan)"))</f>
        <v/>
      </c>
      <c r="R2001" s="44"/>
      <c r="S2001" s="9" t="str">
        <f aca="false">IF(N2001&lt;&gt;"Y","",IF(R2001&lt;&gt;"",R2001,IF(Q2001="(tanpa lawan)","Transfer antar rekening",IFERROR(INDEX(I_COA!$F$6:$F$265,MATCH(Q2001,I_COA!$A$6:$A$265,0)),"?"))))</f>
        <v/>
      </c>
    </row>
    <row r="2002" customFormat="false" ht="15" hidden="false" customHeight="false" outlineLevel="0" collapsed="false">
      <c r="A2002" s="37"/>
      <c r="B2002" s="44"/>
      <c r="C2002" s="44"/>
      <c r="D2002" s="44"/>
      <c r="E2002" s="44"/>
      <c r="F2002" s="44"/>
      <c r="G2002" s="42"/>
      <c r="H2002" s="42"/>
      <c r="I2002" s="44"/>
      <c r="J2002" s="11" t="str">
        <f aca="false">IF(D2002="","",N(G2002)-N(H2002))</f>
        <v/>
      </c>
      <c r="K2002" s="34" t="str">
        <f aca="false">IF(D2002="","",IFERROR(INDEX(I_COA!$C$6:$C$265,MATCH(D2002,I_COA!$A$6:$A$265,0)),"AKUN BARU"))</f>
        <v/>
      </c>
      <c r="L2002" s="34" t="str">
        <f aca="false">IF(K2002="LabaRugi",INDEX(I_COA!$D$6:$D$265,MATCH(D2002,I_COA!$A$6:$A$265,0)),"")</f>
        <v/>
      </c>
      <c r="M2002" s="34" t="str">
        <f aca="false">IF(K2002="Neraca",INDEX(I_COA!$E$6:$E$265,MATCH(D2002,I_COA!$A$6:$A$265,0)),"")</f>
        <v/>
      </c>
      <c r="N2002" s="34" t="str">
        <f aca="false">IF(D2002="","",IFERROR(INDEX(I_COA!$G$6:$G$265,MATCH(D2002,I_COA!$A$6:$A$265,0)),"N"))</f>
        <v/>
      </c>
      <c r="O2002" s="11" t="str">
        <f aca="false">IF(N2002="N",ABS(J2002),"")</f>
        <v/>
      </c>
      <c r="P2002" s="18" t="str">
        <f aca="false">IF(N2002="N",B2002&amp;"|"&amp;ROUND(O2002,0),"")</f>
        <v/>
      </c>
      <c r="Q2002" s="18" t="str">
        <f aca="false">IF(N2002&lt;&gt;"Y","",IFERROR(INDEX($D$6:$D$4005,MATCH(B2002&amp;"|"&amp;ROUND(_xlfn.MAXIFS($O$6:$O$4005,$B$6:$B$4005,B2002,$N$6:$N$4005,"N"),0),$P$6:$P$4005,0)),"(tanpa lawan)"))</f>
        <v/>
      </c>
      <c r="R2002" s="44"/>
      <c r="S2002" s="9" t="str">
        <f aca="false">IF(N2002&lt;&gt;"Y","",IF(R2002&lt;&gt;"",R2002,IF(Q2002="(tanpa lawan)","Transfer antar rekening",IFERROR(INDEX(I_COA!$F$6:$F$265,MATCH(Q2002,I_COA!$A$6:$A$265,0)),"?"))))</f>
        <v/>
      </c>
    </row>
    <row r="2003" customFormat="false" ht="15" hidden="false" customHeight="false" outlineLevel="0" collapsed="false">
      <c r="A2003" s="37"/>
      <c r="B2003" s="44"/>
      <c r="C2003" s="44"/>
      <c r="D2003" s="44"/>
      <c r="E2003" s="44"/>
      <c r="F2003" s="44"/>
      <c r="G2003" s="42"/>
      <c r="H2003" s="42"/>
      <c r="I2003" s="44"/>
      <c r="J2003" s="11" t="str">
        <f aca="false">IF(D2003="","",N(G2003)-N(H2003))</f>
        <v/>
      </c>
      <c r="K2003" s="34" t="str">
        <f aca="false">IF(D2003="","",IFERROR(INDEX(I_COA!$C$6:$C$265,MATCH(D2003,I_COA!$A$6:$A$265,0)),"AKUN BARU"))</f>
        <v/>
      </c>
      <c r="L2003" s="34" t="str">
        <f aca="false">IF(K2003="LabaRugi",INDEX(I_COA!$D$6:$D$265,MATCH(D2003,I_COA!$A$6:$A$265,0)),"")</f>
        <v/>
      </c>
      <c r="M2003" s="34" t="str">
        <f aca="false">IF(K2003="Neraca",INDEX(I_COA!$E$6:$E$265,MATCH(D2003,I_COA!$A$6:$A$265,0)),"")</f>
        <v/>
      </c>
      <c r="N2003" s="34" t="str">
        <f aca="false">IF(D2003="","",IFERROR(INDEX(I_COA!$G$6:$G$265,MATCH(D2003,I_COA!$A$6:$A$265,0)),"N"))</f>
        <v/>
      </c>
      <c r="O2003" s="11" t="str">
        <f aca="false">IF(N2003="N",ABS(J2003),"")</f>
        <v/>
      </c>
      <c r="P2003" s="18" t="str">
        <f aca="false">IF(N2003="N",B2003&amp;"|"&amp;ROUND(O2003,0),"")</f>
        <v/>
      </c>
      <c r="Q2003" s="18" t="str">
        <f aca="false">IF(N2003&lt;&gt;"Y","",IFERROR(INDEX($D$6:$D$4005,MATCH(B2003&amp;"|"&amp;ROUND(_xlfn.MAXIFS($O$6:$O$4005,$B$6:$B$4005,B2003,$N$6:$N$4005,"N"),0),$P$6:$P$4005,0)),"(tanpa lawan)"))</f>
        <v/>
      </c>
      <c r="R2003" s="44"/>
      <c r="S2003" s="9" t="str">
        <f aca="false">IF(N2003&lt;&gt;"Y","",IF(R2003&lt;&gt;"",R2003,IF(Q2003="(tanpa lawan)","Transfer antar rekening",IFERROR(INDEX(I_COA!$F$6:$F$265,MATCH(Q2003,I_COA!$A$6:$A$265,0)),"?"))))</f>
        <v/>
      </c>
    </row>
    <row r="2004" customFormat="false" ht="15" hidden="false" customHeight="false" outlineLevel="0" collapsed="false">
      <c r="A2004" s="37"/>
      <c r="B2004" s="44"/>
      <c r="C2004" s="44"/>
      <c r="D2004" s="44"/>
      <c r="E2004" s="44"/>
      <c r="F2004" s="44"/>
      <c r="G2004" s="42"/>
      <c r="H2004" s="42"/>
      <c r="I2004" s="44"/>
      <c r="J2004" s="11" t="str">
        <f aca="false">IF(D2004="","",N(G2004)-N(H2004))</f>
        <v/>
      </c>
      <c r="K2004" s="34" t="str">
        <f aca="false">IF(D2004="","",IFERROR(INDEX(I_COA!$C$6:$C$265,MATCH(D2004,I_COA!$A$6:$A$265,0)),"AKUN BARU"))</f>
        <v/>
      </c>
      <c r="L2004" s="34" t="str">
        <f aca="false">IF(K2004="LabaRugi",INDEX(I_COA!$D$6:$D$265,MATCH(D2004,I_COA!$A$6:$A$265,0)),"")</f>
        <v/>
      </c>
      <c r="M2004" s="34" t="str">
        <f aca="false">IF(K2004="Neraca",INDEX(I_COA!$E$6:$E$265,MATCH(D2004,I_COA!$A$6:$A$265,0)),"")</f>
        <v/>
      </c>
      <c r="N2004" s="34" t="str">
        <f aca="false">IF(D2004="","",IFERROR(INDEX(I_COA!$G$6:$G$265,MATCH(D2004,I_COA!$A$6:$A$265,0)),"N"))</f>
        <v/>
      </c>
      <c r="O2004" s="11" t="str">
        <f aca="false">IF(N2004="N",ABS(J2004),"")</f>
        <v/>
      </c>
      <c r="P2004" s="18" t="str">
        <f aca="false">IF(N2004="N",B2004&amp;"|"&amp;ROUND(O2004,0),"")</f>
        <v/>
      </c>
      <c r="Q2004" s="18" t="str">
        <f aca="false">IF(N2004&lt;&gt;"Y","",IFERROR(INDEX($D$6:$D$4005,MATCH(B2004&amp;"|"&amp;ROUND(_xlfn.MAXIFS($O$6:$O$4005,$B$6:$B$4005,B2004,$N$6:$N$4005,"N"),0),$P$6:$P$4005,0)),"(tanpa lawan)"))</f>
        <v/>
      </c>
      <c r="R2004" s="44"/>
      <c r="S2004" s="9" t="str">
        <f aca="false">IF(N2004&lt;&gt;"Y","",IF(R2004&lt;&gt;"",R2004,IF(Q2004="(tanpa lawan)","Transfer antar rekening",IFERROR(INDEX(I_COA!$F$6:$F$265,MATCH(Q2004,I_COA!$A$6:$A$265,0)),"?"))))</f>
        <v/>
      </c>
    </row>
    <row r="2005" customFormat="false" ht="15" hidden="false" customHeight="false" outlineLevel="0" collapsed="false">
      <c r="A2005" s="37"/>
      <c r="B2005" s="44"/>
      <c r="C2005" s="44"/>
      <c r="D2005" s="44"/>
      <c r="E2005" s="44"/>
      <c r="F2005" s="44"/>
      <c r="G2005" s="42"/>
      <c r="H2005" s="42"/>
      <c r="I2005" s="44"/>
      <c r="J2005" s="11" t="str">
        <f aca="false">IF(D2005="","",N(G2005)-N(H2005))</f>
        <v/>
      </c>
      <c r="K2005" s="34" t="str">
        <f aca="false">IF(D2005="","",IFERROR(INDEX(I_COA!$C$6:$C$265,MATCH(D2005,I_COA!$A$6:$A$265,0)),"AKUN BARU"))</f>
        <v/>
      </c>
      <c r="L2005" s="34" t="str">
        <f aca="false">IF(K2005="LabaRugi",INDEX(I_COA!$D$6:$D$265,MATCH(D2005,I_COA!$A$6:$A$265,0)),"")</f>
        <v/>
      </c>
      <c r="M2005" s="34" t="str">
        <f aca="false">IF(K2005="Neraca",INDEX(I_COA!$E$6:$E$265,MATCH(D2005,I_COA!$A$6:$A$265,0)),"")</f>
        <v/>
      </c>
      <c r="N2005" s="34" t="str">
        <f aca="false">IF(D2005="","",IFERROR(INDEX(I_COA!$G$6:$G$265,MATCH(D2005,I_COA!$A$6:$A$265,0)),"N"))</f>
        <v/>
      </c>
      <c r="O2005" s="11" t="str">
        <f aca="false">IF(N2005="N",ABS(J2005),"")</f>
        <v/>
      </c>
      <c r="P2005" s="18" t="str">
        <f aca="false">IF(N2005="N",B2005&amp;"|"&amp;ROUND(O2005,0),"")</f>
        <v/>
      </c>
      <c r="Q2005" s="18" t="str">
        <f aca="false">IF(N2005&lt;&gt;"Y","",IFERROR(INDEX($D$6:$D$4005,MATCH(B2005&amp;"|"&amp;ROUND(_xlfn.MAXIFS($O$6:$O$4005,$B$6:$B$4005,B2005,$N$6:$N$4005,"N"),0),$P$6:$P$4005,0)),"(tanpa lawan)"))</f>
        <v/>
      </c>
      <c r="R2005" s="44"/>
      <c r="S2005" s="9" t="str">
        <f aca="false">IF(N2005&lt;&gt;"Y","",IF(R2005&lt;&gt;"",R2005,IF(Q2005="(tanpa lawan)","Transfer antar rekening",IFERROR(INDEX(I_COA!$F$6:$F$265,MATCH(Q2005,I_COA!$A$6:$A$265,0)),"?"))))</f>
        <v/>
      </c>
    </row>
    <row r="2006" customFormat="false" ht="15" hidden="false" customHeight="false" outlineLevel="0" collapsed="false">
      <c r="A2006" s="37"/>
      <c r="B2006" s="44"/>
      <c r="C2006" s="44"/>
      <c r="D2006" s="44"/>
      <c r="E2006" s="44"/>
      <c r="F2006" s="44"/>
      <c r="G2006" s="42"/>
      <c r="H2006" s="42"/>
      <c r="I2006" s="44"/>
      <c r="J2006" s="11" t="str">
        <f aca="false">IF(D2006="","",N(G2006)-N(H2006))</f>
        <v/>
      </c>
      <c r="K2006" s="34" t="str">
        <f aca="false">IF(D2006="","",IFERROR(INDEX(I_COA!$C$6:$C$265,MATCH(D2006,I_COA!$A$6:$A$265,0)),"AKUN BARU"))</f>
        <v/>
      </c>
      <c r="L2006" s="34" t="str">
        <f aca="false">IF(K2006="LabaRugi",INDEX(I_COA!$D$6:$D$265,MATCH(D2006,I_COA!$A$6:$A$265,0)),"")</f>
        <v/>
      </c>
      <c r="M2006" s="34" t="str">
        <f aca="false">IF(K2006="Neraca",INDEX(I_COA!$E$6:$E$265,MATCH(D2006,I_COA!$A$6:$A$265,0)),"")</f>
        <v/>
      </c>
      <c r="N2006" s="34" t="str">
        <f aca="false">IF(D2006="","",IFERROR(INDEX(I_COA!$G$6:$G$265,MATCH(D2006,I_COA!$A$6:$A$265,0)),"N"))</f>
        <v/>
      </c>
      <c r="O2006" s="11" t="str">
        <f aca="false">IF(N2006="N",ABS(J2006),"")</f>
        <v/>
      </c>
      <c r="P2006" s="18" t="str">
        <f aca="false">IF(N2006="N",B2006&amp;"|"&amp;ROUND(O2006,0),"")</f>
        <v/>
      </c>
      <c r="Q2006" s="18" t="str">
        <f aca="false">IF(N2006&lt;&gt;"Y","",IFERROR(INDEX($D$6:$D$4005,MATCH(B2006&amp;"|"&amp;ROUND(_xlfn.MAXIFS($O$6:$O$4005,$B$6:$B$4005,B2006,$N$6:$N$4005,"N"),0),$P$6:$P$4005,0)),"(tanpa lawan)"))</f>
        <v/>
      </c>
      <c r="R2006" s="44"/>
      <c r="S2006" s="9" t="str">
        <f aca="false">IF(N2006&lt;&gt;"Y","",IF(R2006&lt;&gt;"",R2006,IF(Q2006="(tanpa lawan)","Transfer antar rekening",IFERROR(INDEX(I_COA!$F$6:$F$265,MATCH(Q2006,I_COA!$A$6:$A$265,0)),"?"))))</f>
        <v/>
      </c>
    </row>
    <row r="2007" customFormat="false" ht="15" hidden="false" customHeight="false" outlineLevel="0" collapsed="false">
      <c r="A2007" s="37"/>
      <c r="B2007" s="44"/>
      <c r="C2007" s="44"/>
      <c r="D2007" s="44"/>
      <c r="E2007" s="44"/>
      <c r="F2007" s="44"/>
      <c r="G2007" s="42"/>
      <c r="H2007" s="42"/>
      <c r="I2007" s="44"/>
      <c r="J2007" s="11" t="str">
        <f aca="false">IF(D2007="","",N(G2007)-N(H2007))</f>
        <v/>
      </c>
      <c r="K2007" s="34" t="str">
        <f aca="false">IF(D2007="","",IFERROR(INDEX(I_COA!$C$6:$C$265,MATCH(D2007,I_COA!$A$6:$A$265,0)),"AKUN BARU"))</f>
        <v/>
      </c>
      <c r="L2007" s="34" t="str">
        <f aca="false">IF(K2007="LabaRugi",INDEX(I_COA!$D$6:$D$265,MATCH(D2007,I_COA!$A$6:$A$265,0)),"")</f>
        <v/>
      </c>
      <c r="M2007" s="34" t="str">
        <f aca="false">IF(K2007="Neraca",INDEX(I_COA!$E$6:$E$265,MATCH(D2007,I_COA!$A$6:$A$265,0)),"")</f>
        <v/>
      </c>
      <c r="N2007" s="34" t="str">
        <f aca="false">IF(D2007="","",IFERROR(INDEX(I_COA!$G$6:$G$265,MATCH(D2007,I_COA!$A$6:$A$265,0)),"N"))</f>
        <v/>
      </c>
      <c r="O2007" s="11" t="str">
        <f aca="false">IF(N2007="N",ABS(J2007),"")</f>
        <v/>
      </c>
      <c r="P2007" s="18" t="str">
        <f aca="false">IF(N2007="N",B2007&amp;"|"&amp;ROUND(O2007,0),"")</f>
        <v/>
      </c>
      <c r="Q2007" s="18" t="str">
        <f aca="false">IF(N2007&lt;&gt;"Y","",IFERROR(INDEX($D$6:$D$4005,MATCH(B2007&amp;"|"&amp;ROUND(_xlfn.MAXIFS($O$6:$O$4005,$B$6:$B$4005,B2007,$N$6:$N$4005,"N"),0),$P$6:$P$4005,0)),"(tanpa lawan)"))</f>
        <v/>
      </c>
      <c r="R2007" s="44"/>
      <c r="S2007" s="9" t="str">
        <f aca="false">IF(N2007&lt;&gt;"Y","",IF(R2007&lt;&gt;"",R2007,IF(Q2007="(tanpa lawan)","Transfer antar rekening",IFERROR(INDEX(I_COA!$F$6:$F$265,MATCH(Q2007,I_COA!$A$6:$A$265,0)),"?"))))</f>
        <v/>
      </c>
    </row>
    <row r="2008" customFormat="false" ht="15" hidden="false" customHeight="false" outlineLevel="0" collapsed="false">
      <c r="A2008" s="37"/>
      <c r="B2008" s="44"/>
      <c r="C2008" s="44"/>
      <c r="D2008" s="44"/>
      <c r="E2008" s="44"/>
      <c r="F2008" s="44"/>
      <c r="G2008" s="42"/>
      <c r="H2008" s="42"/>
      <c r="I2008" s="44"/>
      <c r="J2008" s="11" t="str">
        <f aca="false">IF(D2008="","",N(G2008)-N(H2008))</f>
        <v/>
      </c>
      <c r="K2008" s="34" t="str">
        <f aca="false">IF(D2008="","",IFERROR(INDEX(I_COA!$C$6:$C$265,MATCH(D2008,I_COA!$A$6:$A$265,0)),"AKUN BARU"))</f>
        <v/>
      </c>
      <c r="L2008" s="34" t="str">
        <f aca="false">IF(K2008="LabaRugi",INDEX(I_COA!$D$6:$D$265,MATCH(D2008,I_COA!$A$6:$A$265,0)),"")</f>
        <v/>
      </c>
      <c r="M2008" s="34" t="str">
        <f aca="false">IF(K2008="Neraca",INDEX(I_COA!$E$6:$E$265,MATCH(D2008,I_COA!$A$6:$A$265,0)),"")</f>
        <v/>
      </c>
      <c r="N2008" s="34" t="str">
        <f aca="false">IF(D2008="","",IFERROR(INDEX(I_COA!$G$6:$G$265,MATCH(D2008,I_COA!$A$6:$A$265,0)),"N"))</f>
        <v/>
      </c>
      <c r="O2008" s="11" t="str">
        <f aca="false">IF(N2008="N",ABS(J2008),"")</f>
        <v/>
      </c>
      <c r="P2008" s="18" t="str">
        <f aca="false">IF(N2008="N",B2008&amp;"|"&amp;ROUND(O2008,0),"")</f>
        <v/>
      </c>
      <c r="Q2008" s="18" t="str">
        <f aca="false">IF(N2008&lt;&gt;"Y","",IFERROR(INDEX($D$6:$D$4005,MATCH(B2008&amp;"|"&amp;ROUND(_xlfn.MAXIFS($O$6:$O$4005,$B$6:$B$4005,B2008,$N$6:$N$4005,"N"),0),$P$6:$P$4005,0)),"(tanpa lawan)"))</f>
        <v/>
      </c>
      <c r="R2008" s="44"/>
      <c r="S2008" s="9" t="str">
        <f aca="false">IF(N2008&lt;&gt;"Y","",IF(R2008&lt;&gt;"",R2008,IF(Q2008="(tanpa lawan)","Transfer antar rekening",IFERROR(INDEX(I_COA!$F$6:$F$265,MATCH(Q2008,I_COA!$A$6:$A$265,0)),"?"))))</f>
        <v/>
      </c>
    </row>
    <row r="2009" customFormat="false" ht="15" hidden="false" customHeight="false" outlineLevel="0" collapsed="false">
      <c r="A2009" s="37"/>
      <c r="B2009" s="44"/>
      <c r="C2009" s="44"/>
      <c r="D2009" s="44"/>
      <c r="E2009" s="44"/>
      <c r="F2009" s="44"/>
      <c r="G2009" s="42"/>
      <c r="H2009" s="42"/>
      <c r="I2009" s="44"/>
      <c r="J2009" s="11" t="str">
        <f aca="false">IF(D2009="","",N(G2009)-N(H2009))</f>
        <v/>
      </c>
      <c r="K2009" s="34" t="str">
        <f aca="false">IF(D2009="","",IFERROR(INDEX(I_COA!$C$6:$C$265,MATCH(D2009,I_COA!$A$6:$A$265,0)),"AKUN BARU"))</f>
        <v/>
      </c>
      <c r="L2009" s="34" t="str">
        <f aca="false">IF(K2009="LabaRugi",INDEX(I_COA!$D$6:$D$265,MATCH(D2009,I_COA!$A$6:$A$265,0)),"")</f>
        <v/>
      </c>
      <c r="M2009" s="34" t="str">
        <f aca="false">IF(K2009="Neraca",INDEX(I_COA!$E$6:$E$265,MATCH(D2009,I_COA!$A$6:$A$265,0)),"")</f>
        <v/>
      </c>
      <c r="N2009" s="34" t="str">
        <f aca="false">IF(D2009="","",IFERROR(INDEX(I_COA!$G$6:$G$265,MATCH(D2009,I_COA!$A$6:$A$265,0)),"N"))</f>
        <v/>
      </c>
      <c r="O2009" s="11" t="str">
        <f aca="false">IF(N2009="N",ABS(J2009),"")</f>
        <v/>
      </c>
      <c r="P2009" s="18" t="str">
        <f aca="false">IF(N2009="N",B2009&amp;"|"&amp;ROUND(O2009,0),"")</f>
        <v/>
      </c>
      <c r="Q2009" s="18" t="str">
        <f aca="false">IF(N2009&lt;&gt;"Y","",IFERROR(INDEX($D$6:$D$4005,MATCH(B2009&amp;"|"&amp;ROUND(_xlfn.MAXIFS($O$6:$O$4005,$B$6:$B$4005,B2009,$N$6:$N$4005,"N"),0),$P$6:$P$4005,0)),"(tanpa lawan)"))</f>
        <v/>
      </c>
      <c r="R2009" s="44"/>
      <c r="S2009" s="9" t="str">
        <f aca="false">IF(N2009&lt;&gt;"Y","",IF(R2009&lt;&gt;"",R2009,IF(Q2009="(tanpa lawan)","Transfer antar rekening",IFERROR(INDEX(I_COA!$F$6:$F$265,MATCH(Q2009,I_COA!$A$6:$A$265,0)),"?"))))</f>
        <v/>
      </c>
    </row>
    <row r="2010" customFormat="false" ht="15" hidden="false" customHeight="false" outlineLevel="0" collapsed="false">
      <c r="A2010" s="37"/>
      <c r="B2010" s="44"/>
      <c r="C2010" s="44"/>
      <c r="D2010" s="44"/>
      <c r="E2010" s="44"/>
      <c r="F2010" s="44"/>
      <c r="G2010" s="42"/>
      <c r="H2010" s="42"/>
      <c r="I2010" s="44"/>
      <c r="J2010" s="11" t="str">
        <f aca="false">IF(D2010="","",N(G2010)-N(H2010))</f>
        <v/>
      </c>
      <c r="K2010" s="34" t="str">
        <f aca="false">IF(D2010="","",IFERROR(INDEX(I_COA!$C$6:$C$265,MATCH(D2010,I_COA!$A$6:$A$265,0)),"AKUN BARU"))</f>
        <v/>
      </c>
      <c r="L2010" s="34" t="str">
        <f aca="false">IF(K2010="LabaRugi",INDEX(I_COA!$D$6:$D$265,MATCH(D2010,I_COA!$A$6:$A$265,0)),"")</f>
        <v/>
      </c>
      <c r="M2010" s="34" t="str">
        <f aca="false">IF(K2010="Neraca",INDEX(I_COA!$E$6:$E$265,MATCH(D2010,I_COA!$A$6:$A$265,0)),"")</f>
        <v/>
      </c>
      <c r="N2010" s="34" t="str">
        <f aca="false">IF(D2010="","",IFERROR(INDEX(I_COA!$G$6:$G$265,MATCH(D2010,I_COA!$A$6:$A$265,0)),"N"))</f>
        <v/>
      </c>
      <c r="O2010" s="11" t="str">
        <f aca="false">IF(N2010="N",ABS(J2010),"")</f>
        <v/>
      </c>
      <c r="P2010" s="18" t="str">
        <f aca="false">IF(N2010="N",B2010&amp;"|"&amp;ROUND(O2010,0),"")</f>
        <v/>
      </c>
      <c r="Q2010" s="18" t="str">
        <f aca="false">IF(N2010&lt;&gt;"Y","",IFERROR(INDEX($D$6:$D$4005,MATCH(B2010&amp;"|"&amp;ROUND(_xlfn.MAXIFS($O$6:$O$4005,$B$6:$B$4005,B2010,$N$6:$N$4005,"N"),0),$P$6:$P$4005,0)),"(tanpa lawan)"))</f>
        <v/>
      </c>
      <c r="R2010" s="44"/>
      <c r="S2010" s="9" t="str">
        <f aca="false">IF(N2010&lt;&gt;"Y","",IF(R2010&lt;&gt;"",R2010,IF(Q2010="(tanpa lawan)","Transfer antar rekening",IFERROR(INDEX(I_COA!$F$6:$F$265,MATCH(Q2010,I_COA!$A$6:$A$265,0)),"?"))))</f>
        <v/>
      </c>
    </row>
    <row r="2011" customFormat="false" ht="15" hidden="false" customHeight="false" outlineLevel="0" collapsed="false">
      <c r="A2011" s="37"/>
      <c r="B2011" s="44"/>
      <c r="C2011" s="44"/>
      <c r="D2011" s="44"/>
      <c r="E2011" s="44"/>
      <c r="F2011" s="44"/>
      <c r="G2011" s="42"/>
      <c r="H2011" s="42"/>
      <c r="I2011" s="44"/>
      <c r="J2011" s="11" t="str">
        <f aca="false">IF(D2011="","",N(G2011)-N(H2011))</f>
        <v/>
      </c>
      <c r="K2011" s="34" t="str">
        <f aca="false">IF(D2011="","",IFERROR(INDEX(I_COA!$C$6:$C$265,MATCH(D2011,I_COA!$A$6:$A$265,0)),"AKUN BARU"))</f>
        <v/>
      </c>
      <c r="L2011" s="34" t="str">
        <f aca="false">IF(K2011="LabaRugi",INDEX(I_COA!$D$6:$D$265,MATCH(D2011,I_COA!$A$6:$A$265,0)),"")</f>
        <v/>
      </c>
      <c r="M2011" s="34" t="str">
        <f aca="false">IF(K2011="Neraca",INDEX(I_COA!$E$6:$E$265,MATCH(D2011,I_COA!$A$6:$A$265,0)),"")</f>
        <v/>
      </c>
      <c r="N2011" s="34" t="str">
        <f aca="false">IF(D2011="","",IFERROR(INDEX(I_COA!$G$6:$G$265,MATCH(D2011,I_COA!$A$6:$A$265,0)),"N"))</f>
        <v/>
      </c>
      <c r="O2011" s="11" t="str">
        <f aca="false">IF(N2011="N",ABS(J2011),"")</f>
        <v/>
      </c>
      <c r="P2011" s="18" t="str">
        <f aca="false">IF(N2011="N",B2011&amp;"|"&amp;ROUND(O2011,0),"")</f>
        <v/>
      </c>
      <c r="Q2011" s="18" t="str">
        <f aca="false">IF(N2011&lt;&gt;"Y","",IFERROR(INDEX($D$6:$D$4005,MATCH(B2011&amp;"|"&amp;ROUND(_xlfn.MAXIFS($O$6:$O$4005,$B$6:$B$4005,B2011,$N$6:$N$4005,"N"),0),$P$6:$P$4005,0)),"(tanpa lawan)"))</f>
        <v/>
      </c>
      <c r="R2011" s="44"/>
      <c r="S2011" s="9" t="str">
        <f aca="false">IF(N2011&lt;&gt;"Y","",IF(R2011&lt;&gt;"",R2011,IF(Q2011="(tanpa lawan)","Transfer antar rekening",IFERROR(INDEX(I_COA!$F$6:$F$265,MATCH(Q2011,I_COA!$A$6:$A$265,0)),"?"))))</f>
        <v/>
      </c>
    </row>
    <row r="2012" customFormat="false" ht="15" hidden="false" customHeight="false" outlineLevel="0" collapsed="false">
      <c r="A2012" s="37"/>
      <c r="B2012" s="44"/>
      <c r="C2012" s="44"/>
      <c r="D2012" s="44"/>
      <c r="E2012" s="44"/>
      <c r="F2012" s="44"/>
      <c r="G2012" s="42"/>
      <c r="H2012" s="42"/>
      <c r="I2012" s="44"/>
      <c r="J2012" s="11" t="str">
        <f aca="false">IF(D2012="","",N(G2012)-N(H2012))</f>
        <v/>
      </c>
      <c r="K2012" s="34" t="str">
        <f aca="false">IF(D2012="","",IFERROR(INDEX(I_COA!$C$6:$C$265,MATCH(D2012,I_COA!$A$6:$A$265,0)),"AKUN BARU"))</f>
        <v/>
      </c>
      <c r="L2012" s="34" t="str">
        <f aca="false">IF(K2012="LabaRugi",INDEX(I_COA!$D$6:$D$265,MATCH(D2012,I_COA!$A$6:$A$265,0)),"")</f>
        <v/>
      </c>
      <c r="M2012" s="34" t="str">
        <f aca="false">IF(K2012="Neraca",INDEX(I_COA!$E$6:$E$265,MATCH(D2012,I_COA!$A$6:$A$265,0)),"")</f>
        <v/>
      </c>
      <c r="N2012" s="34" t="str">
        <f aca="false">IF(D2012="","",IFERROR(INDEX(I_COA!$G$6:$G$265,MATCH(D2012,I_COA!$A$6:$A$265,0)),"N"))</f>
        <v/>
      </c>
      <c r="O2012" s="11" t="str">
        <f aca="false">IF(N2012="N",ABS(J2012),"")</f>
        <v/>
      </c>
      <c r="P2012" s="18" t="str">
        <f aca="false">IF(N2012="N",B2012&amp;"|"&amp;ROUND(O2012,0),"")</f>
        <v/>
      </c>
      <c r="Q2012" s="18" t="str">
        <f aca="false">IF(N2012&lt;&gt;"Y","",IFERROR(INDEX($D$6:$D$4005,MATCH(B2012&amp;"|"&amp;ROUND(_xlfn.MAXIFS($O$6:$O$4005,$B$6:$B$4005,B2012,$N$6:$N$4005,"N"),0),$P$6:$P$4005,0)),"(tanpa lawan)"))</f>
        <v/>
      </c>
      <c r="R2012" s="44"/>
      <c r="S2012" s="9" t="str">
        <f aca="false">IF(N2012&lt;&gt;"Y","",IF(R2012&lt;&gt;"",R2012,IF(Q2012="(tanpa lawan)","Transfer antar rekening",IFERROR(INDEX(I_COA!$F$6:$F$265,MATCH(Q2012,I_COA!$A$6:$A$265,0)),"?"))))</f>
        <v/>
      </c>
    </row>
    <row r="2013" customFormat="false" ht="15" hidden="false" customHeight="false" outlineLevel="0" collapsed="false">
      <c r="A2013" s="37"/>
      <c r="B2013" s="44"/>
      <c r="C2013" s="44"/>
      <c r="D2013" s="44"/>
      <c r="E2013" s="44"/>
      <c r="F2013" s="44"/>
      <c r="G2013" s="42"/>
      <c r="H2013" s="42"/>
      <c r="I2013" s="44"/>
      <c r="J2013" s="11" t="str">
        <f aca="false">IF(D2013="","",N(G2013)-N(H2013))</f>
        <v/>
      </c>
      <c r="K2013" s="34" t="str">
        <f aca="false">IF(D2013="","",IFERROR(INDEX(I_COA!$C$6:$C$265,MATCH(D2013,I_COA!$A$6:$A$265,0)),"AKUN BARU"))</f>
        <v/>
      </c>
      <c r="L2013" s="34" t="str">
        <f aca="false">IF(K2013="LabaRugi",INDEX(I_COA!$D$6:$D$265,MATCH(D2013,I_COA!$A$6:$A$265,0)),"")</f>
        <v/>
      </c>
      <c r="M2013" s="34" t="str">
        <f aca="false">IF(K2013="Neraca",INDEX(I_COA!$E$6:$E$265,MATCH(D2013,I_COA!$A$6:$A$265,0)),"")</f>
        <v/>
      </c>
      <c r="N2013" s="34" t="str">
        <f aca="false">IF(D2013="","",IFERROR(INDEX(I_COA!$G$6:$G$265,MATCH(D2013,I_COA!$A$6:$A$265,0)),"N"))</f>
        <v/>
      </c>
      <c r="O2013" s="11" t="str">
        <f aca="false">IF(N2013="N",ABS(J2013),"")</f>
        <v/>
      </c>
      <c r="P2013" s="18" t="str">
        <f aca="false">IF(N2013="N",B2013&amp;"|"&amp;ROUND(O2013,0),"")</f>
        <v/>
      </c>
      <c r="Q2013" s="18" t="str">
        <f aca="false">IF(N2013&lt;&gt;"Y","",IFERROR(INDEX($D$6:$D$4005,MATCH(B2013&amp;"|"&amp;ROUND(_xlfn.MAXIFS($O$6:$O$4005,$B$6:$B$4005,B2013,$N$6:$N$4005,"N"),0),$P$6:$P$4005,0)),"(tanpa lawan)"))</f>
        <v/>
      </c>
      <c r="R2013" s="44"/>
      <c r="S2013" s="9" t="str">
        <f aca="false">IF(N2013&lt;&gt;"Y","",IF(R2013&lt;&gt;"",R2013,IF(Q2013="(tanpa lawan)","Transfer antar rekening",IFERROR(INDEX(I_COA!$F$6:$F$265,MATCH(Q2013,I_COA!$A$6:$A$265,0)),"?"))))</f>
        <v/>
      </c>
    </row>
    <row r="2014" customFormat="false" ht="15" hidden="false" customHeight="false" outlineLevel="0" collapsed="false">
      <c r="A2014" s="37"/>
      <c r="B2014" s="44"/>
      <c r="C2014" s="44"/>
      <c r="D2014" s="44"/>
      <c r="E2014" s="44"/>
      <c r="F2014" s="44"/>
      <c r="G2014" s="42"/>
      <c r="H2014" s="42"/>
      <c r="I2014" s="44"/>
      <c r="J2014" s="11" t="str">
        <f aca="false">IF(D2014="","",N(G2014)-N(H2014))</f>
        <v/>
      </c>
      <c r="K2014" s="34" t="str">
        <f aca="false">IF(D2014="","",IFERROR(INDEX(I_COA!$C$6:$C$265,MATCH(D2014,I_COA!$A$6:$A$265,0)),"AKUN BARU"))</f>
        <v/>
      </c>
      <c r="L2014" s="34" t="str">
        <f aca="false">IF(K2014="LabaRugi",INDEX(I_COA!$D$6:$D$265,MATCH(D2014,I_COA!$A$6:$A$265,0)),"")</f>
        <v/>
      </c>
      <c r="M2014" s="34" t="str">
        <f aca="false">IF(K2014="Neraca",INDEX(I_COA!$E$6:$E$265,MATCH(D2014,I_COA!$A$6:$A$265,0)),"")</f>
        <v/>
      </c>
      <c r="N2014" s="34" t="str">
        <f aca="false">IF(D2014="","",IFERROR(INDEX(I_COA!$G$6:$G$265,MATCH(D2014,I_COA!$A$6:$A$265,0)),"N"))</f>
        <v/>
      </c>
      <c r="O2014" s="11" t="str">
        <f aca="false">IF(N2014="N",ABS(J2014),"")</f>
        <v/>
      </c>
      <c r="P2014" s="18" t="str">
        <f aca="false">IF(N2014="N",B2014&amp;"|"&amp;ROUND(O2014,0),"")</f>
        <v/>
      </c>
      <c r="Q2014" s="18" t="str">
        <f aca="false">IF(N2014&lt;&gt;"Y","",IFERROR(INDEX($D$6:$D$4005,MATCH(B2014&amp;"|"&amp;ROUND(_xlfn.MAXIFS($O$6:$O$4005,$B$6:$B$4005,B2014,$N$6:$N$4005,"N"),0),$P$6:$P$4005,0)),"(tanpa lawan)"))</f>
        <v/>
      </c>
      <c r="R2014" s="44"/>
      <c r="S2014" s="9" t="str">
        <f aca="false">IF(N2014&lt;&gt;"Y","",IF(R2014&lt;&gt;"",R2014,IF(Q2014="(tanpa lawan)","Transfer antar rekening",IFERROR(INDEX(I_COA!$F$6:$F$265,MATCH(Q2014,I_COA!$A$6:$A$265,0)),"?"))))</f>
        <v/>
      </c>
    </row>
    <row r="2015" customFormat="false" ht="15" hidden="false" customHeight="false" outlineLevel="0" collapsed="false">
      <c r="A2015" s="37"/>
      <c r="B2015" s="44"/>
      <c r="C2015" s="44"/>
      <c r="D2015" s="44"/>
      <c r="E2015" s="44"/>
      <c r="F2015" s="44"/>
      <c r="G2015" s="42"/>
      <c r="H2015" s="42"/>
      <c r="I2015" s="44"/>
      <c r="J2015" s="11" t="str">
        <f aca="false">IF(D2015="","",N(G2015)-N(H2015))</f>
        <v/>
      </c>
      <c r="K2015" s="34" t="str">
        <f aca="false">IF(D2015="","",IFERROR(INDEX(I_COA!$C$6:$C$265,MATCH(D2015,I_COA!$A$6:$A$265,0)),"AKUN BARU"))</f>
        <v/>
      </c>
      <c r="L2015" s="34" t="str">
        <f aca="false">IF(K2015="LabaRugi",INDEX(I_COA!$D$6:$D$265,MATCH(D2015,I_COA!$A$6:$A$265,0)),"")</f>
        <v/>
      </c>
      <c r="M2015" s="34" t="str">
        <f aca="false">IF(K2015="Neraca",INDEX(I_COA!$E$6:$E$265,MATCH(D2015,I_COA!$A$6:$A$265,0)),"")</f>
        <v/>
      </c>
      <c r="N2015" s="34" t="str">
        <f aca="false">IF(D2015="","",IFERROR(INDEX(I_COA!$G$6:$G$265,MATCH(D2015,I_COA!$A$6:$A$265,0)),"N"))</f>
        <v/>
      </c>
      <c r="O2015" s="11" t="str">
        <f aca="false">IF(N2015="N",ABS(J2015),"")</f>
        <v/>
      </c>
      <c r="P2015" s="18" t="str">
        <f aca="false">IF(N2015="N",B2015&amp;"|"&amp;ROUND(O2015,0),"")</f>
        <v/>
      </c>
      <c r="Q2015" s="18" t="str">
        <f aca="false">IF(N2015&lt;&gt;"Y","",IFERROR(INDEX($D$6:$D$4005,MATCH(B2015&amp;"|"&amp;ROUND(_xlfn.MAXIFS($O$6:$O$4005,$B$6:$B$4005,B2015,$N$6:$N$4005,"N"),0),$P$6:$P$4005,0)),"(tanpa lawan)"))</f>
        <v/>
      </c>
      <c r="R2015" s="44"/>
      <c r="S2015" s="9" t="str">
        <f aca="false">IF(N2015&lt;&gt;"Y","",IF(R2015&lt;&gt;"",R2015,IF(Q2015="(tanpa lawan)","Transfer antar rekening",IFERROR(INDEX(I_COA!$F$6:$F$265,MATCH(Q2015,I_COA!$A$6:$A$265,0)),"?"))))</f>
        <v/>
      </c>
    </row>
    <row r="2016" customFormat="false" ht="15" hidden="false" customHeight="false" outlineLevel="0" collapsed="false">
      <c r="A2016" s="37"/>
      <c r="B2016" s="44"/>
      <c r="C2016" s="44"/>
      <c r="D2016" s="44"/>
      <c r="E2016" s="44"/>
      <c r="F2016" s="44"/>
      <c r="G2016" s="42"/>
      <c r="H2016" s="42"/>
      <c r="I2016" s="44"/>
      <c r="J2016" s="11" t="str">
        <f aca="false">IF(D2016="","",N(G2016)-N(H2016))</f>
        <v/>
      </c>
      <c r="K2016" s="34" t="str">
        <f aca="false">IF(D2016="","",IFERROR(INDEX(I_COA!$C$6:$C$265,MATCH(D2016,I_COA!$A$6:$A$265,0)),"AKUN BARU"))</f>
        <v/>
      </c>
      <c r="L2016" s="34" t="str">
        <f aca="false">IF(K2016="LabaRugi",INDEX(I_COA!$D$6:$D$265,MATCH(D2016,I_COA!$A$6:$A$265,0)),"")</f>
        <v/>
      </c>
      <c r="M2016" s="34" t="str">
        <f aca="false">IF(K2016="Neraca",INDEX(I_COA!$E$6:$E$265,MATCH(D2016,I_COA!$A$6:$A$265,0)),"")</f>
        <v/>
      </c>
      <c r="N2016" s="34" t="str">
        <f aca="false">IF(D2016="","",IFERROR(INDEX(I_COA!$G$6:$G$265,MATCH(D2016,I_COA!$A$6:$A$265,0)),"N"))</f>
        <v/>
      </c>
      <c r="O2016" s="11" t="str">
        <f aca="false">IF(N2016="N",ABS(J2016),"")</f>
        <v/>
      </c>
      <c r="P2016" s="18" t="str">
        <f aca="false">IF(N2016="N",B2016&amp;"|"&amp;ROUND(O2016,0),"")</f>
        <v/>
      </c>
      <c r="Q2016" s="18" t="str">
        <f aca="false">IF(N2016&lt;&gt;"Y","",IFERROR(INDEX($D$6:$D$4005,MATCH(B2016&amp;"|"&amp;ROUND(_xlfn.MAXIFS($O$6:$O$4005,$B$6:$B$4005,B2016,$N$6:$N$4005,"N"),0),$P$6:$P$4005,0)),"(tanpa lawan)"))</f>
        <v/>
      </c>
      <c r="R2016" s="44"/>
      <c r="S2016" s="9" t="str">
        <f aca="false">IF(N2016&lt;&gt;"Y","",IF(R2016&lt;&gt;"",R2016,IF(Q2016="(tanpa lawan)","Transfer antar rekening",IFERROR(INDEX(I_COA!$F$6:$F$265,MATCH(Q2016,I_COA!$A$6:$A$265,0)),"?"))))</f>
        <v/>
      </c>
    </row>
    <row r="2017" customFormat="false" ht="15" hidden="false" customHeight="false" outlineLevel="0" collapsed="false">
      <c r="A2017" s="37"/>
      <c r="B2017" s="44"/>
      <c r="C2017" s="44"/>
      <c r="D2017" s="44"/>
      <c r="E2017" s="44"/>
      <c r="F2017" s="44"/>
      <c r="G2017" s="42"/>
      <c r="H2017" s="42"/>
      <c r="I2017" s="44"/>
      <c r="J2017" s="11" t="str">
        <f aca="false">IF(D2017="","",N(G2017)-N(H2017))</f>
        <v/>
      </c>
      <c r="K2017" s="34" t="str">
        <f aca="false">IF(D2017="","",IFERROR(INDEX(I_COA!$C$6:$C$265,MATCH(D2017,I_COA!$A$6:$A$265,0)),"AKUN BARU"))</f>
        <v/>
      </c>
      <c r="L2017" s="34" t="str">
        <f aca="false">IF(K2017="LabaRugi",INDEX(I_COA!$D$6:$D$265,MATCH(D2017,I_COA!$A$6:$A$265,0)),"")</f>
        <v/>
      </c>
      <c r="M2017" s="34" t="str">
        <f aca="false">IF(K2017="Neraca",INDEX(I_COA!$E$6:$E$265,MATCH(D2017,I_COA!$A$6:$A$265,0)),"")</f>
        <v/>
      </c>
      <c r="N2017" s="34" t="str">
        <f aca="false">IF(D2017="","",IFERROR(INDEX(I_COA!$G$6:$G$265,MATCH(D2017,I_COA!$A$6:$A$265,0)),"N"))</f>
        <v/>
      </c>
      <c r="O2017" s="11" t="str">
        <f aca="false">IF(N2017="N",ABS(J2017),"")</f>
        <v/>
      </c>
      <c r="P2017" s="18" t="str">
        <f aca="false">IF(N2017="N",B2017&amp;"|"&amp;ROUND(O2017,0),"")</f>
        <v/>
      </c>
      <c r="Q2017" s="18" t="str">
        <f aca="false">IF(N2017&lt;&gt;"Y","",IFERROR(INDEX($D$6:$D$4005,MATCH(B2017&amp;"|"&amp;ROUND(_xlfn.MAXIFS($O$6:$O$4005,$B$6:$B$4005,B2017,$N$6:$N$4005,"N"),0),$P$6:$P$4005,0)),"(tanpa lawan)"))</f>
        <v/>
      </c>
      <c r="R2017" s="44"/>
      <c r="S2017" s="9" t="str">
        <f aca="false">IF(N2017&lt;&gt;"Y","",IF(R2017&lt;&gt;"",R2017,IF(Q2017="(tanpa lawan)","Transfer antar rekening",IFERROR(INDEX(I_COA!$F$6:$F$265,MATCH(Q2017,I_COA!$A$6:$A$265,0)),"?"))))</f>
        <v/>
      </c>
    </row>
    <row r="2018" customFormat="false" ht="15" hidden="false" customHeight="false" outlineLevel="0" collapsed="false">
      <c r="A2018" s="37"/>
      <c r="B2018" s="44"/>
      <c r="C2018" s="44"/>
      <c r="D2018" s="44"/>
      <c r="E2018" s="44"/>
      <c r="F2018" s="44"/>
      <c r="G2018" s="42"/>
      <c r="H2018" s="42"/>
      <c r="I2018" s="44"/>
      <c r="J2018" s="11" t="str">
        <f aca="false">IF(D2018="","",N(G2018)-N(H2018))</f>
        <v/>
      </c>
      <c r="K2018" s="34" t="str">
        <f aca="false">IF(D2018="","",IFERROR(INDEX(I_COA!$C$6:$C$265,MATCH(D2018,I_COA!$A$6:$A$265,0)),"AKUN BARU"))</f>
        <v/>
      </c>
      <c r="L2018" s="34" t="str">
        <f aca="false">IF(K2018="LabaRugi",INDEX(I_COA!$D$6:$D$265,MATCH(D2018,I_COA!$A$6:$A$265,0)),"")</f>
        <v/>
      </c>
      <c r="M2018" s="34" t="str">
        <f aca="false">IF(K2018="Neraca",INDEX(I_COA!$E$6:$E$265,MATCH(D2018,I_COA!$A$6:$A$265,0)),"")</f>
        <v/>
      </c>
      <c r="N2018" s="34" t="str">
        <f aca="false">IF(D2018="","",IFERROR(INDEX(I_COA!$G$6:$G$265,MATCH(D2018,I_COA!$A$6:$A$265,0)),"N"))</f>
        <v/>
      </c>
      <c r="O2018" s="11" t="str">
        <f aca="false">IF(N2018="N",ABS(J2018),"")</f>
        <v/>
      </c>
      <c r="P2018" s="18" t="str">
        <f aca="false">IF(N2018="N",B2018&amp;"|"&amp;ROUND(O2018,0),"")</f>
        <v/>
      </c>
      <c r="Q2018" s="18" t="str">
        <f aca="false">IF(N2018&lt;&gt;"Y","",IFERROR(INDEX($D$6:$D$4005,MATCH(B2018&amp;"|"&amp;ROUND(_xlfn.MAXIFS($O$6:$O$4005,$B$6:$B$4005,B2018,$N$6:$N$4005,"N"),0),$P$6:$P$4005,0)),"(tanpa lawan)"))</f>
        <v/>
      </c>
      <c r="R2018" s="44"/>
      <c r="S2018" s="9" t="str">
        <f aca="false">IF(N2018&lt;&gt;"Y","",IF(R2018&lt;&gt;"",R2018,IF(Q2018="(tanpa lawan)","Transfer antar rekening",IFERROR(INDEX(I_COA!$F$6:$F$265,MATCH(Q2018,I_COA!$A$6:$A$265,0)),"?"))))</f>
        <v/>
      </c>
    </row>
    <row r="2019" customFormat="false" ht="15" hidden="false" customHeight="false" outlineLevel="0" collapsed="false">
      <c r="A2019" s="37"/>
      <c r="B2019" s="44"/>
      <c r="C2019" s="44"/>
      <c r="D2019" s="44"/>
      <c r="E2019" s="44"/>
      <c r="F2019" s="44"/>
      <c r="G2019" s="42"/>
      <c r="H2019" s="42"/>
      <c r="I2019" s="44"/>
      <c r="J2019" s="11" t="str">
        <f aca="false">IF(D2019="","",N(G2019)-N(H2019))</f>
        <v/>
      </c>
      <c r="K2019" s="34" t="str">
        <f aca="false">IF(D2019="","",IFERROR(INDEX(I_COA!$C$6:$C$265,MATCH(D2019,I_COA!$A$6:$A$265,0)),"AKUN BARU"))</f>
        <v/>
      </c>
      <c r="L2019" s="34" t="str">
        <f aca="false">IF(K2019="LabaRugi",INDEX(I_COA!$D$6:$D$265,MATCH(D2019,I_COA!$A$6:$A$265,0)),"")</f>
        <v/>
      </c>
      <c r="M2019" s="34" t="str">
        <f aca="false">IF(K2019="Neraca",INDEX(I_COA!$E$6:$E$265,MATCH(D2019,I_COA!$A$6:$A$265,0)),"")</f>
        <v/>
      </c>
      <c r="N2019" s="34" t="str">
        <f aca="false">IF(D2019="","",IFERROR(INDEX(I_COA!$G$6:$G$265,MATCH(D2019,I_COA!$A$6:$A$265,0)),"N"))</f>
        <v/>
      </c>
      <c r="O2019" s="11" t="str">
        <f aca="false">IF(N2019="N",ABS(J2019),"")</f>
        <v/>
      </c>
      <c r="P2019" s="18" t="str">
        <f aca="false">IF(N2019="N",B2019&amp;"|"&amp;ROUND(O2019,0),"")</f>
        <v/>
      </c>
      <c r="Q2019" s="18" t="str">
        <f aca="false">IF(N2019&lt;&gt;"Y","",IFERROR(INDEX($D$6:$D$4005,MATCH(B2019&amp;"|"&amp;ROUND(_xlfn.MAXIFS($O$6:$O$4005,$B$6:$B$4005,B2019,$N$6:$N$4005,"N"),0),$P$6:$P$4005,0)),"(tanpa lawan)"))</f>
        <v/>
      </c>
      <c r="R2019" s="44"/>
      <c r="S2019" s="9" t="str">
        <f aca="false">IF(N2019&lt;&gt;"Y","",IF(R2019&lt;&gt;"",R2019,IF(Q2019="(tanpa lawan)","Transfer antar rekening",IFERROR(INDEX(I_COA!$F$6:$F$265,MATCH(Q2019,I_COA!$A$6:$A$265,0)),"?"))))</f>
        <v/>
      </c>
    </row>
    <row r="2020" customFormat="false" ht="15" hidden="false" customHeight="false" outlineLevel="0" collapsed="false">
      <c r="A2020" s="37"/>
      <c r="B2020" s="44"/>
      <c r="C2020" s="44"/>
      <c r="D2020" s="44"/>
      <c r="E2020" s="44"/>
      <c r="F2020" s="44"/>
      <c r="G2020" s="42"/>
      <c r="H2020" s="42"/>
      <c r="I2020" s="44"/>
      <c r="J2020" s="11" t="str">
        <f aca="false">IF(D2020="","",N(G2020)-N(H2020))</f>
        <v/>
      </c>
      <c r="K2020" s="34" t="str">
        <f aca="false">IF(D2020="","",IFERROR(INDEX(I_COA!$C$6:$C$265,MATCH(D2020,I_COA!$A$6:$A$265,0)),"AKUN BARU"))</f>
        <v/>
      </c>
      <c r="L2020" s="34" t="str">
        <f aca="false">IF(K2020="LabaRugi",INDEX(I_COA!$D$6:$D$265,MATCH(D2020,I_COA!$A$6:$A$265,0)),"")</f>
        <v/>
      </c>
      <c r="M2020" s="34" t="str">
        <f aca="false">IF(K2020="Neraca",INDEX(I_COA!$E$6:$E$265,MATCH(D2020,I_COA!$A$6:$A$265,0)),"")</f>
        <v/>
      </c>
      <c r="N2020" s="34" t="str">
        <f aca="false">IF(D2020="","",IFERROR(INDEX(I_COA!$G$6:$G$265,MATCH(D2020,I_COA!$A$6:$A$265,0)),"N"))</f>
        <v/>
      </c>
      <c r="O2020" s="11" t="str">
        <f aca="false">IF(N2020="N",ABS(J2020),"")</f>
        <v/>
      </c>
      <c r="P2020" s="18" t="str">
        <f aca="false">IF(N2020="N",B2020&amp;"|"&amp;ROUND(O2020,0),"")</f>
        <v/>
      </c>
      <c r="Q2020" s="18" t="str">
        <f aca="false">IF(N2020&lt;&gt;"Y","",IFERROR(INDEX($D$6:$D$4005,MATCH(B2020&amp;"|"&amp;ROUND(_xlfn.MAXIFS($O$6:$O$4005,$B$6:$B$4005,B2020,$N$6:$N$4005,"N"),0),$P$6:$P$4005,0)),"(tanpa lawan)"))</f>
        <v/>
      </c>
      <c r="R2020" s="44"/>
      <c r="S2020" s="9" t="str">
        <f aca="false">IF(N2020&lt;&gt;"Y","",IF(R2020&lt;&gt;"",R2020,IF(Q2020="(tanpa lawan)","Transfer antar rekening",IFERROR(INDEX(I_COA!$F$6:$F$265,MATCH(Q2020,I_COA!$A$6:$A$265,0)),"?"))))</f>
        <v/>
      </c>
    </row>
    <row r="2021" customFormat="false" ht="15" hidden="false" customHeight="false" outlineLevel="0" collapsed="false">
      <c r="A2021" s="37"/>
      <c r="B2021" s="44"/>
      <c r="C2021" s="44"/>
      <c r="D2021" s="44"/>
      <c r="E2021" s="44"/>
      <c r="F2021" s="44"/>
      <c r="G2021" s="42"/>
      <c r="H2021" s="42"/>
      <c r="I2021" s="44"/>
      <c r="J2021" s="11" t="str">
        <f aca="false">IF(D2021="","",N(G2021)-N(H2021))</f>
        <v/>
      </c>
      <c r="K2021" s="34" t="str">
        <f aca="false">IF(D2021="","",IFERROR(INDEX(I_COA!$C$6:$C$265,MATCH(D2021,I_COA!$A$6:$A$265,0)),"AKUN BARU"))</f>
        <v/>
      </c>
      <c r="L2021" s="34" t="str">
        <f aca="false">IF(K2021="LabaRugi",INDEX(I_COA!$D$6:$D$265,MATCH(D2021,I_COA!$A$6:$A$265,0)),"")</f>
        <v/>
      </c>
      <c r="M2021" s="34" t="str">
        <f aca="false">IF(K2021="Neraca",INDEX(I_COA!$E$6:$E$265,MATCH(D2021,I_COA!$A$6:$A$265,0)),"")</f>
        <v/>
      </c>
      <c r="N2021" s="34" t="str">
        <f aca="false">IF(D2021="","",IFERROR(INDEX(I_COA!$G$6:$G$265,MATCH(D2021,I_COA!$A$6:$A$265,0)),"N"))</f>
        <v/>
      </c>
      <c r="O2021" s="11" t="str">
        <f aca="false">IF(N2021="N",ABS(J2021),"")</f>
        <v/>
      </c>
      <c r="P2021" s="18" t="str">
        <f aca="false">IF(N2021="N",B2021&amp;"|"&amp;ROUND(O2021,0),"")</f>
        <v/>
      </c>
      <c r="Q2021" s="18" t="str">
        <f aca="false">IF(N2021&lt;&gt;"Y","",IFERROR(INDEX($D$6:$D$4005,MATCH(B2021&amp;"|"&amp;ROUND(_xlfn.MAXIFS($O$6:$O$4005,$B$6:$B$4005,B2021,$N$6:$N$4005,"N"),0),$P$6:$P$4005,0)),"(tanpa lawan)"))</f>
        <v/>
      </c>
      <c r="R2021" s="44"/>
      <c r="S2021" s="9" t="str">
        <f aca="false">IF(N2021&lt;&gt;"Y","",IF(R2021&lt;&gt;"",R2021,IF(Q2021="(tanpa lawan)","Transfer antar rekening",IFERROR(INDEX(I_COA!$F$6:$F$265,MATCH(Q2021,I_COA!$A$6:$A$265,0)),"?"))))</f>
        <v/>
      </c>
    </row>
    <row r="2022" customFormat="false" ht="15" hidden="false" customHeight="false" outlineLevel="0" collapsed="false">
      <c r="A2022" s="37"/>
      <c r="B2022" s="44"/>
      <c r="C2022" s="44"/>
      <c r="D2022" s="44"/>
      <c r="E2022" s="44"/>
      <c r="F2022" s="44"/>
      <c r="G2022" s="42"/>
      <c r="H2022" s="42"/>
      <c r="I2022" s="44"/>
      <c r="J2022" s="11" t="str">
        <f aca="false">IF(D2022="","",N(G2022)-N(H2022))</f>
        <v/>
      </c>
      <c r="K2022" s="34" t="str">
        <f aca="false">IF(D2022="","",IFERROR(INDEX(I_COA!$C$6:$C$265,MATCH(D2022,I_COA!$A$6:$A$265,0)),"AKUN BARU"))</f>
        <v/>
      </c>
      <c r="L2022" s="34" t="str">
        <f aca="false">IF(K2022="LabaRugi",INDEX(I_COA!$D$6:$D$265,MATCH(D2022,I_COA!$A$6:$A$265,0)),"")</f>
        <v/>
      </c>
      <c r="M2022" s="34" t="str">
        <f aca="false">IF(K2022="Neraca",INDEX(I_COA!$E$6:$E$265,MATCH(D2022,I_COA!$A$6:$A$265,0)),"")</f>
        <v/>
      </c>
      <c r="N2022" s="34" t="str">
        <f aca="false">IF(D2022="","",IFERROR(INDEX(I_COA!$G$6:$G$265,MATCH(D2022,I_COA!$A$6:$A$265,0)),"N"))</f>
        <v/>
      </c>
      <c r="O2022" s="11" t="str">
        <f aca="false">IF(N2022="N",ABS(J2022),"")</f>
        <v/>
      </c>
      <c r="P2022" s="18" t="str">
        <f aca="false">IF(N2022="N",B2022&amp;"|"&amp;ROUND(O2022,0),"")</f>
        <v/>
      </c>
      <c r="Q2022" s="18" t="str">
        <f aca="false">IF(N2022&lt;&gt;"Y","",IFERROR(INDEX($D$6:$D$4005,MATCH(B2022&amp;"|"&amp;ROUND(_xlfn.MAXIFS($O$6:$O$4005,$B$6:$B$4005,B2022,$N$6:$N$4005,"N"),0),$P$6:$P$4005,0)),"(tanpa lawan)"))</f>
        <v/>
      </c>
      <c r="R2022" s="44"/>
      <c r="S2022" s="9" t="str">
        <f aca="false">IF(N2022&lt;&gt;"Y","",IF(R2022&lt;&gt;"",R2022,IF(Q2022="(tanpa lawan)","Transfer antar rekening",IFERROR(INDEX(I_COA!$F$6:$F$265,MATCH(Q2022,I_COA!$A$6:$A$265,0)),"?"))))</f>
        <v/>
      </c>
    </row>
    <row r="2023" customFormat="false" ht="15" hidden="false" customHeight="false" outlineLevel="0" collapsed="false">
      <c r="A2023" s="37"/>
      <c r="B2023" s="44"/>
      <c r="C2023" s="44"/>
      <c r="D2023" s="44"/>
      <c r="E2023" s="44"/>
      <c r="F2023" s="44"/>
      <c r="G2023" s="42"/>
      <c r="H2023" s="42"/>
      <c r="I2023" s="44"/>
      <c r="J2023" s="11" t="str">
        <f aca="false">IF(D2023="","",N(G2023)-N(H2023))</f>
        <v/>
      </c>
      <c r="K2023" s="34" t="str">
        <f aca="false">IF(D2023="","",IFERROR(INDEX(I_COA!$C$6:$C$265,MATCH(D2023,I_COA!$A$6:$A$265,0)),"AKUN BARU"))</f>
        <v/>
      </c>
      <c r="L2023" s="34" t="str">
        <f aca="false">IF(K2023="LabaRugi",INDEX(I_COA!$D$6:$D$265,MATCH(D2023,I_COA!$A$6:$A$265,0)),"")</f>
        <v/>
      </c>
      <c r="M2023" s="34" t="str">
        <f aca="false">IF(K2023="Neraca",INDEX(I_COA!$E$6:$E$265,MATCH(D2023,I_COA!$A$6:$A$265,0)),"")</f>
        <v/>
      </c>
      <c r="N2023" s="34" t="str">
        <f aca="false">IF(D2023="","",IFERROR(INDEX(I_COA!$G$6:$G$265,MATCH(D2023,I_COA!$A$6:$A$265,0)),"N"))</f>
        <v/>
      </c>
      <c r="O2023" s="11" t="str">
        <f aca="false">IF(N2023="N",ABS(J2023),"")</f>
        <v/>
      </c>
      <c r="P2023" s="18" t="str">
        <f aca="false">IF(N2023="N",B2023&amp;"|"&amp;ROUND(O2023,0),"")</f>
        <v/>
      </c>
      <c r="Q2023" s="18" t="str">
        <f aca="false">IF(N2023&lt;&gt;"Y","",IFERROR(INDEX($D$6:$D$4005,MATCH(B2023&amp;"|"&amp;ROUND(_xlfn.MAXIFS($O$6:$O$4005,$B$6:$B$4005,B2023,$N$6:$N$4005,"N"),0),$P$6:$P$4005,0)),"(tanpa lawan)"))</f>
        <v/>
      </c>
      <c r="R2023" s="44"/>
      <c r="S2023" s="9" t="str">
        <f aca="false">IF(N2023&lt;&gt;"Y","",IF(R2023&lt;&gt;"",R2023,IF(Q2023="(tanpa lawan)","Transfer antar rekening",IFERROR(INDEX(I_COA!$F$6:$F$265,MATCH(Q2023,I_COA!$A$6:$A$265,0)),"?"))))</f>
        <v/>
      </c>
    </row>
    <row r="2024" customFormat="false" ht="15" hidden="false" customHeight="false" outlineLevel="0" collapsed="false">
      <c r="A2024" s="37"/>
      <c r="B2024" s="44"/>
      <c r="C2024" s="44"/>
      <c r="D2024" s="44"/>
      <c r="E2024" s="44"/>
      <c r="F2024" s="44"/>
      <c r="G2024" s="42"/>
      <c r="H2024" s="42"/>
      <c r="I2024" s="44"/>
      <c r="J2024" s="11" t="str">
        <f aca="false">IF(D2024="","",N(G2024)-N(H2024))</f>
        <v/>
      </c>
      <c r="K2024" s="34" t="str">
        <f aca="false">IF(D2024="","",IFERROR(INDEX(I_COA!$C$6:$C$265,MATCH(D2024,I_COA!$A$6:$A$265,0)),"AKUN BARU"))</f>
        <v/>
      </c>
      <c r="L2024" s="34" t="str">
        <f aca="false">IF(K2024="LabaRugi",INDEX(I_COA!$D$6:$D$265,MATCH(D2024,I_COA!$A$6:$A$265,0)),"")</f>
        <v/>
      </c>
      <c r="M2024" s="34" t="str">
        <f aca="false">IF(K2024="Neraca",INDEX(I_COA!$E$6:$E$265,MATCH(D2024,I_COA!$A$6:$A$265,0)),"")</f>
        <v/>
      </c>
      <c r="N2024" s="34" t="str">
        <f aca="false">IF(D2024="","",IFERROR(INDEX(I_COA!$G$6:$G$265,MATCH(D2024,I_COA!$A$6:$A$265,0)),"N"))</f>
        <v/>
      </c>
      <c r="O2024" s="11" t="str">
        <f aca="false">IF(N2024="N",ABS(J2024),"")</f>
        <v/>
      </c>
      <c r="P2024" s="18" t="str">
        <f aca="false">IF(N2024="N",B2024&amp;"|"&amp;ROUND(O2024,0),"")</f>
        <v/>
      </c>
      <c r="Q2024" s="18" t="str">
        <f aca="false">IF(N2024&lt;&gt;"Y","",IFERROR(INDEX($D$6:$D$4005,MATCH(B2024&amp;"|"&amp;ROUND(_xlfn.MAXIFS($O$6:$O$4005,$B$6:$B$4005,B2024,$N$6:$N$4005,"N"),0),$P$6:$P$4005,0)),"(tanpa lawan)"))</f>
        <v/>
      </c>
      <c r="R2024" s="44"/>
      <c r="S2024" s="9" t="str">
        <f aca="false">IF(N2024&lt;&gt;"Y","",IF(R2024&lt;&gt;"",R2024,IF(Q2024="(tanpa lawan)","Transfer antar rekening",IFERROR(INDEX(I_COA!$F$6:$F$265,MATCH(Q2024,I_COA!$A$6:$A$265,0)),"?"))))</f>
        <v/>
      </c>
    </row>
    <row r="2025" customFormat="false" ht="15" hidden="false" customHeight="false" outlineLevel="0" collapsed="false">
      <c r="A2025" s="37"/>
      <c r="B2025" s="44"/>
      <c r="C2025" s="44"/>
      <c r="D2025" s="44"/>
      <c r="E2025" s="44"/>
      <c r="F2025" s="44"/>
      <c r="G2025" s="42"/>
      <c r="H2025" s="42"/>
      <c r="I2025" s="44"/>
      <c r="J2025" s="11" t="str">
        <f aca="false">IF(D2025="","",N(G2025)-N(H2025))</f>
        <v/>
      </c>
      <c r="K2025" s="34" t="str">
        <f aca="false">IF(D2025="","",IFERROR(INDEX(I_COA!$C$6:$C$265,MATCH(D2025,I_COA!$A$6:$A$265,0)),"AKUN BARU"))</f>
        <v/>
      </c>
      <c r="L2025" s="34" t="str">
        <f aca="false">IF(K2025="LabaRugi",INDEX(I_COA!$D$6:$D$265,MATCH(D2025,I_COA!$A$6:$A$265,0)),"")</f>
        <v/>
      </c>
      <c r="M2025" s="34" t="str">
        <f aca="false">IF(K2025="Neraca",INDEX(I_COA!$E$6:$E$265,MATCH(D2025,I_COA!$A$6:$A$265,0)),"")</f>
        <v/>
      </c>
      <c r="N2025" s="34" t="str">
        <f aca="false">IF(D2025="","",IFERROR(INDEX(I_COA!$G$6:$G$265,MATCH(D2025,I_COA!$A$6:$A$265,0)),"N"))</f>
        <v/>
      </c>
      <c r="O2025" s="11" t="str">
        <f aca="false">IF(N2025="N",ABS(J2025),"")</f>
        <v/>
      </c>
      <c r="P2025" s="18" t="str">
        <f aca="false">IF(N2025="N",B2025&amp;"|"&amp;ROUND(O2025,0),"")</f>
        <v/>
      </c>
      <c r="Q2025" s="18" t="str">
        <f aca="false">IF(N2025&lt;&gt;"Y","",IFERROR(INDEX($D$6:$D$4005,MATCH(B2025&amp;"|"&amp;ROUND(_xlfn.MAXIFS($O$6:$O$4005,$B$6:$B$4005,B2025,$N$6:$N$4005,"N"),0),$P$6:$P$4005,0)),"(tanpa lawan)"))</f>
        <v/>
      </c>
      <c r="R2025" s="44"/>
      <c r="S2025" s="9" t="str">
        <f aca="false">IF(N2025&lt;&gt;"Y","",IF(R2025&lt;&gt;"",R2025,IF(Q2025="(tanpa lawan)","Transfer antar rekening",IFERROR(INDEX(I_COA!$F$6:$F$265,MATCH(Q2025,I_COA!$A$6:$A$265,0)),"?"))))</f>
        <v/>
      </c>
    </row>
    <row r="2026" customFormat="false" ht="15" hidden="false" customHeight="false" outlineLevel="0" collapsed="false">
      <c r="A2026" s="37"/>
      <c r="B2026" s="44"/>
      <c r="C2026" s="44"/>
      <c r="D2026" s="44"/>
      <c r="E2026" s="44"/>
      <c r="F2026" s="44"/>
      <c r="G2026" s="42"/>
      <c r="H2026" s="42"/>
      <c r="I2026" s="44"/>
      <c r="J2026" s="11" t="str">
        <f aca="false">IF(D2026="","",N(G2026)-N(H2026))</f>
        <v/>
      </c>
      <c r="K2026" s="34" t="str">
        <f aca="false">IF(D2026="","",IFERROR(INDEX(I_COA!$C$6:$C$265,MATCH(D2026,I_COA!$A$6:$A$265,0)),"AKUN BARU"))</f>
        <v/>
      </c>
      <c r="L2026" s="34" t="str">
        <f aca="false">IF(K2026="LabaRugi",INDEX(I_COA!$D$6:$D$265,MATCH(D2026,I_COA!$A$6:$A$265,0)),"")</f>
        <v/>
      </c>
      <c r="M2026" s="34" t="str">
        <f aca="false">IF(K2026="Neraca",INDEX(I_COA!$E$6:$E$265,MATCH(D2026,I_COA!$A$6:$A$265,0)),"")</f>
        <v/>
      </c>
      <c r="N2026" s="34" t="str">
        <f aca="false">IF(D2026="","",IFERROR(INDEX(I_COA!$G$6:$G$265,MATCH(D2026,I_COA!$A$6:$A$265,0)),"N"))</f>
        <v/>
      </c>
      <c r="O2026" s="11" t="str">
        <f aca="false">IF(N2026="N",ABS(J2026),"")</f>
        <v/>
      </c>
      <c r="P2026" s="18" t="str">
        <f aca="false">IF(N2026="N",B2026&amp;"|"&amp;ROUND(O2026,0),"")</f>
        <v/>
      </c>
      <c r="Q2026" s="18" t="str">
        <f aca="false">IF(N2026&lt;&gt;"Y","",IFERROR(INDEX($D$6:$D$4005,MATCH(B2026&amp;"|"&amp;ROUND(_xlfn.MAXIFS($O$6:$O$4005,$B$6:$B$4005,B2026,$N$6:$N$4005,"N"),0),$P$6:$P$4005,0)),"(tanpa lawan)"))</f>
        <v/>
      </c>
      <c r="R2026" s="44"/>
      <c r="S2026" s="9" t="str">
        <f aca="false">IF(N2026&lt;&gt;"Y","",IF(R2026&lt;&gt;"",R2026,IF(Q2026="(tanpa lawan)","Transfer antar rekening",IFERROR(INDEX(I_COA!$F$6:$F$265,MATCH(Q2026,I_COA!$A$6:$A$265,0)),"?"))))</f>
        <v/>
      </c>
    </row>
    <row r="2027" customFormat="false" ht="15" hidden="false" customHeight="false" outlineLevel="0" collapsed="false">
      <c r="A2027" s="37"/>
      <c r="B2027" s="44"/>
      <c r="C2027" s="44"/>
      <c r="D2027" s="44"/>
      <c r="E2027" s="44"/>
      <c r="F2027" s="44"/>
      <c r="G2027" s="42"/>
      <c r="H2027" s="42"/>
      <c r="I2027" s="44"/>
      <c r="J2027" s="11" t="str">
        <f aca="false">IF(D2027="","",N(G2027)-N(H2027))</f>
        <v/>
      </c>
      <c r="K2027" s="34" t="str">
        <f aca="false">IF(D2027="","",IFERROR(INDEX(I_COA!$C$6:$C$265,MATCH(D2027,I_COA!$A$6:$A$265,0)),"AKUN BARU"))</f>
        <v/>
      </c>
      <c r="L2027" s="34" t="str">
        <f aca="false">IF(K2027="LabaRugi",INDEX(I_COA!$D$6:$D$265,MATCH(D2027,I_COA!$A$6:$A$265,0)),"")</f>
        <v/>
      </c>
      <c r="M2027" s="34" t="str">
        <f aca="false">IF(K2027="Neraca",INDEX(I_COA!$E$6:$E$265,MATCH(D2027,I_COA!$A$6:$A$265,0)),"")</f>
        <v/>
      </c>
      <c r="N2027" s="34" t="str">
        <f aca="false">IF(D2027="","",IFERROR(INDEX(I_COA!$G$6:$G$265,MATCH(D2027,I_COA!$A$6:$A$265,0)),"N"))</f>
        <v/>
      </c>
      <c r="O2027" s="11" t="str">
        <f aca="false">IF(N2027="N",ABS(J2027),"")</f>
        <v/>
      </c>
      <c r="P2027" s="18" t="str">
        <f aca="false">IF(N2027="N",B2027&amp;"|"&amp;ROUND(O2027,0),"")</f>
        <v/>
      </c>
      <c r="Q2027" s="18" t="str">
        <f aca="false">IF(N2027&lt;&gt;"Y","",IFERROR(INDEX($D$6:$D$4005,MATCH(B2027&amp;"|"&amp;ROUND(_xlfn.MAXIFS($O$6:$O$4005,$B$6:$B$4005,B2027,$N$6:$N$4005,"N"),0),$P$6:$P$4005,0)),"(tanpa lawan)"))</f>
        <v/>
      </c>
      <c r="R2027" s="44"/>
      <c r="S2027" s="9" t="str">
        <f aca="false">IF(N2027&lt;&gt;"Y","",IF(R2027&lt;&gt;"",R2027,IF(Q2027="(tanpa lawan)","Transfer antar rekening",IFERROR(INDEX(I_COA!$F$6:$F$265,MATCH(Q2027,I_COA!$A$6:$A$265,0)),"?"))))</f>
        <v/>
      </c>
    </row>
    <row r="2028" customFormat="false" ht="15" hidden="false" customHeight="false" outlineLevel="0" collapsed="false">
      <c r="A2028" s="37"/>
      <c r="B2028" s="44"/>
      <c r="C2028" s="44"/>
      <c r="D2028" s="44"/>
      <c r="E2028" s="44"/>
      <c r="F2028" s="44"/>
      <c r="G2028" s="42"/>
      <c r="H2028" s="42"/>
      <c r="I2028" s="44"/>
      <c r="J2028" s="11" t="str">
        <f aca="false">IF(D2028="","",N(G2028)-N(H2028))</f>
        <v/>
      </c>
      <c r="K2028" s="34" t="str">
        <f aca="false">IF(D2028="","",IFERROR(INDEX(I_COA!$C$6:$C$265,MATCH(D2028,I_COA!$A$6:$A$265,0)),"AKUN BARU"))</f>
        <v/>
      </c>
      <c r="L2028" s="34" t="str">
        <f aca="false">IF(K2028="LabaRugi",INDEX(I_COA!$D$6:$D$265,MATCH(D2028,I_COA!$A$6:$A$265,0)),"")</f>
        <v/>
      </c>
      <c r="M2028" s="34" t="str">
        <f aca="false">IF(K2028="Neraca",INDEX(I_COA!$E$6:$E$265,MATCH(D2028,I_COA!$A$6:$A$265,0)),"")</f>
        <v/>
      </c>
      <c r="N2028" s="34" t="str">
        <f aca="false">IF(D2028="","",IFERROR(INDEX(I_COA!$G$6:$G$265,MATCH(D2028,I_COA!$A$6:$A$265,0)),"N"))</f>
        <v/>
      </c>
      <c r="O2028" s="11" t="str">
        <f aca="false">IF(N2028="N",ABS(J2028),"")</f>
        <v/>
      </c>
      <c r="P2028" s="18" t="str">
        <f aca="false">IF(N2028="N",B2028&amp;"|"&amp;ROUND(O2028,0),"")</f>
        <v/>
      </c>
      <c r="Q2028" s="18" t="str">
        <f aca="false">IF(N2028&lt;&gt;"Y","",IFERROR(INDEX($D$6:$D$4005,MATCH(B2028&amp;"|"&amp;ROUND(_xlfn.MAXIFS($O$6:$O$4005,$B$6:$B$4005,B2028,$N$6:$N$4005,"N"),0),$P$6:$P$4005,0)),"(tanpa lawan)"))</f>
        <v/>
      </c>
      <c r="R2028" s="44"/>
      <c r="S2028" s="9" t="str">
        <f aca="false">IF(N2028&lt;&gt;"Y","",IF(R2028&lt;&gt;"",R2028,IF(Q2028="(tanpa lawan)","Transfer antar rekening",IFERROR(INDEX(I_COA!$F$6:$F$265,MATCH(Q2028,I_COA!$A$6:$A$265,0)),"?"))))</f>
        <v/>
      </c>
    </row>
    <row r="2029" customFormat="false" ht="15" hidden="false" customHeight="false" outlineLevel="0" collapsed="false">
      <c r="A2029" s="37"/>
      <c r="B2029" s="44"/>
      <c r="C2029" s="44"/>
      <c r="D2029" s="44"/>
      <c r="E2029" s="44"/>
      <c r="F2029" s="44"/>
      <c r="G2029" s="42"/>
      <c r="H2029" s="42"/>
      <c r="I2029" s="44"/>
      <c r="J2029" s="11" t="str">
        <f aca="false">IF(D2029="","",N(G2029)-N(H2029))</f>
        <v/>
      </c>
      <c r="K2029" s="34" t="str">
        <f aca="false">IF(D2029="","",IFERROR(INDEX(I_COA!$C$6:$C$265,MATCH(D2029,I_COA!$A$6:$A$265,0)),"AKUN BARU"))</f>
        <v/>
      </c>
      <c r="L2029" s="34" t="str">
        <f aca="false">IF(K2029="LabaRugi",INDEX(I_COA!$D$6:$D$265,MATCH(D2029,I_COA!$A$6:$A$265,0)),"")</f>
        <v/>
      </c>
      <c r="M2029" s="34" t="str">
        <f aca="false">IF(K2029="Neraca",INDEX(I_COA!$E$6:$E$265,MATCH(D2029,I_COA!$A$6:$A$265,0)),"")</f>
        <v/>
      </c>
      <c r="N2029" s="34" t="str">
        <f aca="false">IF(D2029="","",IFERROR(INDEX(I_COA!$G$6:$G$265,MATCH(D2029,I_COA!$A$6:$A$265,0)),"N"))</f>
        <v/>
      </c>
      <c r="O2029" s="11" t="str">
        <f aca="false">IF(N2029="N",ABS(J2029),"")</f>
        <v/>
      </c>
      <c r="P2029" s="18" t="str">
        <f aca="false">IF(N2029="N",B2029&amp;"|"&amp;ROUND(O2029,0),"")</f>
        <v/>
      </c>
      <c r="Q2029" s="18" t="str">
        <f aca="false">IF(N2029&lt;&gt;"Y","",IFERROR(INDEX($D$6:$D$4005,MATCH(B2029&amp;"|"&amp;ROUND(_xlfn.MAXIFS($O$6:$O$4005,$B$6:$B$4005,B2029,$N$6:$N$4005,"N"),0),$P$6:$P$4005,0)),"(tanpa lawan)"))</f>
        <v/>
      </c>
      <c r="R2029" s="44"/>
      <c r="S2029" s="9" t="str">
        <f aca="false">IF(N2029&lt;&gt;"Y","",IF(R2029&lt;&gt;"",R2029,IF(Q2029="(tanpa lawan)","Transfer antar rekening",IFERROR(INDEX(I_COA!$F$6:$F$265,MATCH(Q2029,I_COA!$A$6:$A$265,0)),"?"))))</f>
        <v/>
      </c>
    </row>
    <row r="2030" customFormat="false" ht="15" hidden="false" customHeight="false" outlineLevel="0" collapsed="false">
      <c r="A2030" s="37"/>
      <c r="B2030" s="44"/>
      <c r="C2030" s="44"/>
      <c r="D2030" s="44"/>
      <c r="E2030" s="44"/>
      <c r="F2030" s="44"/>
      <c r="G2030" s="42"/>
      <c r="H2030" s="42"/>
      <c r="I2030" s="44"/>
      <c r="J2030" s="11" t="str">
        <f aca="false">IF(D2030="","",N(G2030)-N(H2030))</f>
        <v/>
      </c>
      <c r="K2030" s="34" t="str">
        <f aca="false">IF(D2030="","",IFERROR(INDEX(I_COA!$C$6:$C$265,MATCH(D2030,I_COA!$A$6:$A$265,0)),"AKUN BARU"))</f>
        <v/>
      </c>
      <c r="L2030" s="34" t="str">
        <f aca="false">IF(K2030="LabaRugi",INDEX(I_COA!$D$6:$D$265,MATCH(D2030,I_COA!$A$6:$A$265,0)),"")</f>
        <v/>
      </c>
      <c r="M2030" s="34" t="str">
        <f aca="false">IF(K2030="Neraca",INDEX(I_COA!$E$6:$E$265,MATCH(D2030,I_COA!$A$6:$A$265,0)),"")</f>
        <v/>
      </c>
      <c r="N2030" s="34" t="str">
        <f aca="false">IF(D2030="","",IFERROR(INDEX(I_COA!$G$6:$G$265,MATCH(D2030,I_COA!$A$6:$A$265,0)),"N"))</f>
        <v/>
      </c>
      <c r="O2030" s="11" t="str">
        <f aca="false">IF(N2030="N",ABS(J2030),"")</f>
        <v/>
      </c>
      <c r="P2030" s="18" t="str">
        <f aca="false">IF(N2030="N",B2030&amp;"|"&amp;ROUND(O2030,0),"")</f>
        <v/>
      </c>
      <c r="Q2030" s="18" t="str">
        <f aca="false">IF(N2030&lt;&gt;"Y","",IFERROR(INDEX($D$6:$D$4005,MATCH(B2030&amp;"|"&amp;ROUND(_xlfn.MAXIFS($O$6:$O$4005,$B$6:$B$4005,B2030,$N$6:$N$4005,"N"),0),$P$6:$P$4005,0)),"(tanpa lawan)"))</f>
        <v/>
      </c>
      <c r="R2030" s="44"/>
      <c r="S2030" s="9" t="str">
        <f aca="false">IF(N2030&lt;&gt;"Y","",IF(R2030&lt;&gt;"",R2030,IF(Q2030="(tanpa lawan)","Transfer antar rekening",IFERROR(INDEX(I_COA!$F$6:$F$265,MATCH(Q2030,I_COA!$A$6:$A$265,0)),"?"))))</f>
        <v/>
      </c>
    </row>
    <row r="2031" customFormat="false" ht="15" hidden="false" customHeight="false" outlineLevel="0" collapsed="false">
      <c r="A2031" s="37"/>
      <c r="B2031" s="44"/>
      <c r="C2031" s="44"/>
      <c r="D2031" s="44"/>
      <c r="E2031" s="44"/>
      <c r="F2031" s="44"/>
      <c r="G2031" s="42"/>
      <c r="H2031" s="42"/>
      <c r="I2031" s="44"/>
      <c r="J2031" s="11" t="str">
        <f aca="false">IF(D2031="","",N(G2031)-N(H2031))</f>
        <v/>
      </c>
      <c r="K2031" s="34" t="str">
        <f aca="false">IF(D2031="","",IFERROR(INDEX(I_COA!$C$6:$C$265,MATCH(D2031,I_COA!$A$6:$A$265,0)),"AKUN BARU"))</f>
        <v/>
      </c>
      <c r="L2031" s="34" t="str">
        <f aca="false">IF(K2031="LabaRugi",INDEX(I_COA!$D$6:$D$265,MATCH(D2031,I_COA!$A$6:$A$265,0)),"")</f>
        <v/>
      </c>
      <c r="M2031" s="34" t="str">
        <f aca="false">IF(K2031="Neraca",INDEX(I_COA!$E$6:$E$265,MATCH(D2031,I_COA!$A$6:$A$265,0)),"")</f>
        <v/>
      </c>
      <c r="N2031" s="34" t="str">
        <f aca="false">IF(D2031="","",IFERROR(INDEX(I_COA!$G$6:$G$265,MATCH(D2031,I_COA!$A$6:$A$265,0)),"N"))</f>
        <v/>
      </c>
      <c r="O2031" s="11" t="str">
        <f aca="false">IF(N2031="N",ABS(J2031),"")</f>
        <v/>
      </c>
      <c r="P2031" s="18" t="str">
        <f aca="false">IF(N2031="N",B2031&amp;"|"&amp;ROUND(O2031,0),"")</f>
        <v/>
      </c>
      <c r="Q2031" s="18" t="str">
        <f aca="false">IF(N2031&lt;&gt;"Y","",IFERROR(INDEX($D$6:$D$4005,MATCH(B2031&amp;"|"&amp;ROUND(_xlfn.MAXIFS($O$6:$O$4005,$B$6:$B$4005,B2031,$N$6:$N$4005,"N"),0),$P$6:$P$4005,0)),"(tanpa lawan)"))</f>
        <v/>
      </c>
      <c r="R2031" s="44"/>
      <c r="S2031" s="9" t="str">
        <f aca="false">IF(N2031&lt;&gt;"Y","",IF(R2031&lt;&gt;"",R2031,IF(Q2031="(tanpa lawan)","Transfer antar rekening",IFERROR(INDEX(I_COA!$F$6:$F$265,MATCH(Q2031,I_COA!$A$6:$A$265,0)),"?"))))</f>
        <v/>
      </c>
    </row>
    <row r="2032" customFormat="false" ht="15" hidden="false" customHeight="false" outlineLevel="0" collapsed="false">
      <c r="A2032" s="37"/>
      <c r="B2032" s="44"/>
      <c r="C2032" s="44"/>
      <c r="D2032" s="44"/>
      <c r="E2032" s="44"/>
      <c r="F2032" s="44"/>
      <c r="G2032" s="42"/>
      <c r="H2032" s="42"/>
      <c r="I2032" s="44"/>
      <c r="J2032" s="11" t="str">
        <f aca="false">IF(D2032="","",N(G2032)-N(H2032))</f>
        <v/>
      </c>
      <c r="K2032" s="34" t="str">
        <f aca="false">IF(D2032="","",IFERROR(INDEX(I_COA!$C$6:$C$265,MATCH(D2032,I_COA!$A$6:$A$265,0)),"AKUN BARU"))</f>
        <v/>
      </c>
      <c r="L2032" s="34" t="str">
        <f aca="false">IF(K2032="LabaRugi",INDEX(I_COA!$D$6:$D$265,MATCH(D2032,I_COA!$A$6:$A$265,0)),"")</f>
        <v/>
      </c>
      <c r="M2032" s="34" t="str">
        <f aca="false">IF(K2032="Neraca",INDEX(I_COA!$E$6:$E$265,MATCH(D2032,I_COA!$A$6:$A$265,0)),"")</f>
        <v/>
      </c>
      <c r="N2032" s="34" t="str">
        <f aca="false">IF(D2032="","",IFERROR(INDEX(I_COA!$G$6:$G$265,MATCH(D2032,I_COA!$A$6:$A$265,0)),"N"))</f>
        <v/>
      </c>
      <c r="O2032" s="11" t="str">
        <f aca="false">IF(N2032="N",ABS(J2032),"")</f>
        <v/>
      </c>
      <c r="P2032" s="18" t="str">
        <f aca="false">IF(N2032="N",B2032&amp;"|"&amp;ROUND(O2032,0),"")</f>
        <v/>
      </c>
      <c r="Q2032" s="18" t="str">
        <f aca="false">IF(N2032&lt;&gt;"Y","",IFERROR(INDEX($D$6:$D$4005,MATCH(B2032&amp;"|"&amp;ROUND(_xlfn.MAXIFS($O$6:$O$4005,$B$6:$B$4005,B2032,$N$6:$N$4005,"N"),0),$P$6:$P$4005,0)),"(tanpa lawan)"))</f>
        <v/>
      </c>
      <c r="R2032" s="44"/>
      <c r="S2032" s="9" t="str">
        <f aca="false">IF(N2032&lt;&gt;"Y","",IF(R2032&lt;&gt;"",R2032,IF(Q2032="(tanpa lawan)","Transfer antar rekening",IFERROR(INDEX(I_COA!$F$6:$F$265,MATCH(Q2032,I_COA!$A$6:$A$265,0)),"?"))))</f>
        <v/>
      </c>
    </row>
    <row r="2033" customFormat="false" ht="15" hidden="false" customHeight="false" outlineLevel="0" collapsed="false">
      <c r="A2033" s="37"/>
      <c r="B2033" s="44"/>
      <c r="C2033" s="44"/>
      <c r="D2033" s="44"/>
      <c r="E2033" s="44"/>
      <c r="F2033" s="44"/>
      <c r="G2033" s="42"/>
      <c r="H2033" s="42"/>
      <c r="I2033" s="44"/>
      <c r="J2033" s="11" t="str">
        <f aca="false">IF(D2033="","",N(G2033)-N(H2033))</f>
        <v/>
      </c>
      <c r="K2033" s="34" t="str">
        <f aca="false">IF(D2033="","",IFERROR(INDEX(I_COA!$C$6:$C$265,MATCH(D2033,I_COA!$A$6:$A$265,0)),"AKUN BARU"))</f>
        <v/>
      </c>
      <c r="L2033" s="34" t="str">
        <f aca="false">IF(K2033="LabaRugi",INDEX(I_COA!$D$6:$D$265,MATCH(D2033,I_COA!$A$6:$A$265,0)),"")</f>
        <v/>
      </c>
      <c r="M2033" s="34" t="str">
        <f aca="false">IF(K2033="Neraca",INDEX(I_COA!$E$6:$E$265,MATCH(D2033,I_COA!$A$6:$A$265,0)),"")</f>
        <v/>
      </c>
      <c r="N2033" s="34" t="str">
        <f aca="false">IF(D2033="","",IFERROR(INDEX(I_COA!$G$6:$G$265,MATCH(D2033,I_COA!$A$6:$A$265,0)),"N"))</f>
        <v/>
      </c>
      <c r="O2033" s="11" t="str">
        <f aca="false">IF(N2033="N",ABS(J2033),"")</f>
        <v/>
      </c>
      <c r="P2033" s="18" t="str">
        <f aca="false">IF(N2033="N",B2033&amp;"|"&amp;ROUND(O2033,0),"")</f>
        <v/>
      </c>
      <c r="Q2033" s="18" t="str">
        <f aca="false">IF(N2033&lt;&gt;"Y","",IFERROR(INDEX($D$6:$D$4005,MATCH(B2033&amp;"|"&amp;ROUND(_xlfn.MAXIFS($O$6:$O$4005,$B$6:$B$4005,B2033,$N$6:$N$4005,"N"),0),$P$6:$P$4005,0)),"(tanpa lawan)"))</f>
        <v/>
      </c>
      <c r="R2033" s="44"/>
      <c r="S2033" s="9" t="str">
        <f aca="false">IF(N2033&lt;&gt;"Y","",IF(R2033&lt;&gt;"",R2033,IF(Q2033="(tanpa lawan)","Transfer antar rekening",IFERROR(INDEX(I_COA!$F$6:$F$265,MATCH(Q2033,I_COA!$A$6:$A$265,0)),"?"))))</f>
        <v/>
      </c>
    </row>
    <row r="2034" customFormat="false" ht="15" hidden="false" customHeight="false" outlineLevel="0" collapsed="false">
      <c r="A2034" s="37"/>
      <c r="B2034" s="44"/>
      <c r="C2034" s="44"/>
      <c r="D2034" s="44"/>
      <c r="E2034" s="44"/>
      <c r="F2034" s="44"/>
      <c r="G2034" s="42"/>
      <c r="H2034" s="42"/>
      <c r="I2034" s="44"/>
      <c r="J2034" s="11" t="str">
        <f aca="false">IF(D2034="","",N(G2034)-N(H2034))</f>
        <v/>
      </c>
      <c r="K2034" s="34" t="str">
        <f aca="false">IF(D2034="","",IFERROR(INDEX(I_COA!$C$6:$C$265,MATCH(D2034,I_COA!$A$6:$A$265,0)),"AKUN BARU"))</f>
        <v/>
      </c>
      <c r="L2034" s="34" t="str">
        <f aca="false">IF(K2034="LabaRugi",INDEX(I_COA!$D$6:$D$265,MATCH(D2034,I_COA!$A$6:$A$265,0)),"")</f>
        <v/>
      </c>
      <c r="M2034" s="34" t="str">
        <f aca="false">IF(K2034="Neraca",INDEX(I_COA!$E$6:$E$265,MATCH(D2034,I_COA!$A$6:$A$265,0)),"")</f>
        <v/>
      </c>
      <c r="N2034" s="34" t="str">
        <f aca="false">IF(D2034="","",IFERROR(INDEX(I_COA!$G$6:$G$265,MATCH(D2034,I_COA!$A$6:$A$265,0)),"N"))</f>
        <v/>
      </c>
      <c r="O2034" s="11" t="str">
        <f aca="false">IF(N2034="N",ABS(J2034),"")</f>
        <v/>
      </c>
      <c r="P2034" s="18" t="str">
        <f aca="false">IF(N2034="N",B2034&amp;"|"&amp;ROUND(O2034,0),"")</f>
        <v/>
      </c>
      <c r="Q2034" s="18" t="str">
        <f aca="false">IF(N2034&lt;&gt;"Y","",IFERROR(INDEX($D$6:$D$4005,MATCH(B2034&amp;"|"&amp;ROUND(_xlfn.MAXIFS($O$6:$O$4005,$B$6:$B$4005,B2034,$N$6:$N$4005,"N"),0),$P$6:$P$4005,0)),"(tanpa lawan)"))</f>
        <v/>
      </c>
      <c r="R2034" s="44"/>
      <c r="S2034" s="9" t="str">
        <f aca="false">IF(N2034&lt;&gt;"Y","",IF(R2034&lt;&gt;"",R2034,IF(Q2034="(tanpa lawan)","Transfer antar rekening",IFERROR(INDEX(I_COA!$F$6:$F$265,MATCH(Q2034,I_COA!$A$6:$A$265,0)),"?"))))</f>
        <v/>
      </c>
    </row>
    <row r="2035" customFormat="false" ht="15" hidden="false" customHeight="false" outlineLevel="0" collapsed="false">
      <c r="A2035" s="37"/>
      <c r="B2035" s="44"/>
      <c r="C2035" s="44"/>
      <c r="D2035" s="44"/>
      <c r="E2035" s="44"/>
      <c r="F2035" s="44"/>
      <c r="G2035" s="42"/>
      <c r="H2035" s="42"/>
      <c r="I2035" s="44"/>
      <c r="J2035" s="11" t="str">
        <f aca="false">IF(D2035="","",N(G2035)-N(H2035))</f>
        <v/>
      </c>
      <c r="K2035" s="34" t="str">
        <f aca="false">IF(D2035="","",IFERROR(INDEX(I_COA!$C$6:$C$265,MATCH(D2035,I_COA!$A$6:$A$265,0)),"AKUN BARU"))</f>
        <v/>
      </c>
      <c r="L2035" s="34" t="str">
        <f aca="false">IF(K2035="LabaRugi",INDEX(I_COA!$D$6:$D$265,MATCH(D2035,I_COA!$A$6:$A$265,0)),"")</f>
        <v/>
      </c>
      <c r="M2035" s="34" t="str">
        <f aca="false">IF(K2035="Neraca",INDEX(I_COA!$E$6:$E$265,MATCH(D2035,I_COA!$A$6:$A$265,0)),"")</f>
        <v/>
      </c>
      <c r="N2035" s="34" t="str">
        <f aca="false">IF(D2035="","",IFERROR(INDEX(I_COA!$G$6:$G$265,MATCH(D2035,I_COA!$A$6:$A$265,0)),"N"))</f>
        <v/>
      </c>
      <c r="O2035" s="11" t="str">
        <f aca="false">IF(N2035="N",ABS(J2035),"")</f>
        <v/>
      </c>
      <c r="P2035" s="18" t="str">
        <f aca="false">IF(N2035="N",B2035&amp;"|"&amp;ROUND(O2035,0),"")</f>
        <v/>
      </c>
      <c r="Q2035" s="18" t="str">
        <f aca="false">IF(N2035&lt;&gt;"Y","",IFERROR(INDEX($D$6:$D$4005,MATCH(B2035&amp;"|"&amp;ROUND(_xlfn.MAXIFS($O$6:$O$4005,$B$6:$B$4005,B2035,$N$6:$N$4005,"N"),0),$P$6:$P$4005,0)),"(tanpa lawan)"))</f>
        <v/>
      </c>
      <c r="R2035" s="44"/>
      <c r="S2035" s="9" t="str">
        <f aca="false">IF(N2035&lt;&gt;"Y","",IF(R2035&lt;&gt;"",R2035,IF(Q2035="(tanpa lawan)","Transfer antar rekening",IFERROR(INDEX(I_COA!$F$6:$F$265,MATCH(Q2035,I_COA!$A$6:$A$265,0)),"?"))))</f>
        <v/>
      </c>
    </row>
    <row r="2036" customFormat="false" ht="15" hidden="false" customHeight="false" outlineLevel="0" collapsed="false">
      <c r="A2036" s="37"/>
      <c r="B2036" s="44"/>
      <c r="C2036" s="44"/>
      <c r="D2036" s="44"/>
      <c r="E2036" s="44"/>
      <c r="F2036" s="44"/>
      <c r="G2036" s="42"/>
      <c r="H2036" s="42"/>
      <c r="I2036" s="44"/>
      <c r="J2036" s="11" t="str">
        <f aca="false">IF(D2036="","",N(G2036)-N(H2036))</f>
        <v/>
      </c>
      <c r="K2036" s="34" t="str">
        <f aca="false">IF(D2036="","",IFERROR(INDEX(I_COA!$C$6:$C$265,MATCH(D2036,I_COA!$A$6:$A$265,0)),"AKUN BARU"))</f>
        <v/>
      </c>
      <c r="L2036" s="34" t="str">
        <f aca="false">IF(K2036="LabaRugi",INDEX(I_COA!$D$6:$D$265,MATCH(D2036,I_COA!$A$6:$A$265,0)),"")</f>
        <v/>
      </c>
      <c r="M2036" s="34" t="str">
        <f aca="false">IF(K2036="Neraca",INDEX(I_COA!$E$6:$E$265,MATCH(D2036,I_COA!$A$6:$A$265,0)),"")</f>
        <v/>
      </c>
      <c r="N2036" s="34" t="str">
        <f aca="false">IF(D2036="","",IFERROR(INDEX(I_COA!$G$6:$G$265,MATCH(D2036,I_COA!$A$6:$A$265,0)),"N"))</f>
        <v/>
      </c>
      <c r="O2036" s="11" t="str">
        <f aca="false">IF(N2036="N",ABS(J2036),"")</f>
        <v/>
      </c>
      <c r="P2036" s="18" t="str">
        <f aca="false">IF(N2036="N",B2036&amp;"|"&amp;ROUND(O2036,0),"")</f>
        <v/>
      </c>
      <c r="Q2036" s="18" t="str">
        <f aca="false">IF(N2036&lt;&gt;"Y","",IFERROR(INDEX($D$6:$D$4005,MATCH(B2036&amp;"|"&amp;ROUND(_xlfn.MAXIFS($O$6:$O$4005,$B$6:$B$4005,B2036,$N$6:$N$4005,"N"),0),$P$6:$P$4005,0)),"(tanpa lawan)"))</f>
        <v/>
      </c>
      <c r="R2036" s="44"/>
      <c r="S2036" s="9" t="str">
        <f aca="false">IF(N2036&lt;&gt;"Y","",IF(R2036&lt;&gt;"",R2036,IF(Q2036="(tanpa lawan)","Transfer antar rekening",IFERROR(INDEX(I_COA!$F$6:$F$265,MATCH(Q2036,I_COA!$A$6:$A$265,0)),"?"))))</f>
        <v/>
      </c>
    </row>
    <row r="2037" customFormat="false" ht="15" hidden="false" customHeight="false" outlineLevel="0" collapsed="false">
      <c r="A2037" s="37"/>
      <c r="B2037" s="44"/>
      <c r="C2037" s="44"/>
      <c r="D2037" s="44"/>
      <c r="E2037" s="44"/>
      <c r="F2037" s="44"/>
      <c r="G2037" s="42"/>
      <c r="H2037" s="42"/>
      <c r="I2037" s="44"/>
      <c r="J2037" s="11" t="str">
        <f aca="false">IF(D2037="","",N(G2037)-N(H2037))</f>
        <v/>
      </c>
      <c r="K2037" s="34" t="str">
        <f aca="false">IF(D2037="","",IFERROR(INDEX(I_COA!$C$6:$C$265,MATCH(D2037,I_COA!$A$6:$A$265,0)),"AKUN BARU"))</f>
        <v/>
      </c>
      <c r="L2037" s="34" t="str">
        <f aca="false">IF(K2037="LabaRugi",INDEX(I_COA!$D$6:$D$265,MATCH(D2037,I_COA!$A$6:$A$265,0)),"")</f>
        <v/>
      </c>
      <c r="M2037" s="34" t="str">
        <f aca="false">IF(K2037="Neraca",INDEX(I_COA!$E$6:$E$265,MATCH(D2037,I_COA!$A$6:$A$265,0)),"")</f>
        <v/>
      </c>
      <c r="N2037" s="34" t="str">
        <f aca="false">IF(D2037="","",IFERROR(INDEX(I_COA!$G$6:$G$265,MATCH(D2037,I_COA!$A$6:$A$265,0)),"N"))</f>
        <v/>
      </c>
      <c r="O2037" s="11" t="str">
        <f aca="false">IF(N2037="N",ABS(J2037),"")</f>
        <v/>
      </c>
      <c r="P2037" s="18" t="str">
        <f aca="false">IF(N2037="N",B2037&amp;"|"&amp;ROUND(O2037,0),"")</f>
        <v/>
      </c>
      <c r="Q2037" s="18" t="str">
        <f aca="false">IF(N2037&lt;&gt;"Y","",IFERROR(INDEX($D$6:$D$4005,MATCH(B2037&amp;"|"&amp;ROUND(_xlfn.MAXIFS($O$6:$O$4005,$B$6:$B$4005,B2037,$N$6:$N$4005,"N"),0),$P$6:$P$4005,0)),"(tanpa lawan)"))</f>
        <v/>
      </c>
      <c r="R2037" s="44"/>
      <c r="S2037" s="9" t="str">
        <f aca="false">IF(N2037&lt;&gt;"Y","",IF(R2037&lt;&gt;"",R2037,IF(Q2037="(tanpa lawan)","Transfer antar rekening",IFERROR(INDEX(I_COA!$F$6:$F$265,MATCH(Q2037,I_COA!$A$6:$A$265,0)),"?"))))</f>
        <v/>
      </c>
    </row>
    <row r="2038" customFormat="false" ht="15" hidden="false" customHeight="false" outlineLevel="0" collapsed="false">
      <c r="A2038" s="37"/>
      <c r="B2038" s="44"/>
      <c r="C2038" s="44"/>
      <c r="D2038" s="44"/>
      <c r="E2038" s="44"/>
      <c r="F2038" s="44"/>
      <c r="G2038" s="42"/>
      <c r="H2038" s="42"/>
      <c r="I2038" s="44"/>
      <c r="J2038" s="11" t="str">
        <f aca="false">IF(D2038="","",N(G2038)-N(H2038))</f>
        <v/>
      </c>
      <c r="K2038" s="34" t="str">
        <f aca="false">IF(D2038="","",IFERROR(INDEX(I_COA!$C$6:$C$265,MATCH(D2038,I_COA!$A$6:$A$265,0)),"AKUN BARU"))</f>
        <v/>
      </c>
      <c r="L2038" s="34" t="str">
        <f aca="false">IF(K2038="LabaRugi",INDEX(I_COA!$D$6:$D$265,MATCH(D2038,I_COA!$A$6:$A$265,0)),"")</f>
        <v/>
      </c>
      <c r="M2038" s="34" t="str">
        <f aca="false">IF(K2038="Neraca",INDEX(I_COA!$E$6:$E$265,MATCH(D2038,I_COA!$A$6:$A$265,0)),"")</f>
        <v/>
      </c>
      <c r="N2038" s="34" t="str">
        <f aca="false">IF(D2038="","",IFERROR(INDEX(I_COA!$G$6:$G$265,MATCH(D2038,I_COA!$A$6:$A$265,0)),"N"))</f>
        <v/>
      </c>
      <c r="O2038" s="11" t="str">
        <f aca="false">IF(N2038="N",ABS(J2038),"")</f>
        <v/>
      </c>
      <c r="P2038" s="18" t="str">
        <f aca="false">IF(N2038="N",B2038&amp;"|"&amp;ROUND(O2038,0),"")</f>
        <v/>
      </c>
      <c r="Q2038" s="18" t="str">
        <f aca="false">IF(N2038&lt;&gt;"Y","",IFERROR(INDEX($D$6:$D$4005,MATCH(B2038&amp;"|"&amp;ROUND(_xlfn.MAXIFS($O$6:$O$4005,$B$6:$B$4005,B2038,$N$6:$N$4005,"N"),0),$P$6:$P$4005,0)),"(tanpa lawan)"))</f>
        <v/>
      </c>
      <c r="R2038" s="44"/>
      <c r="S2038" s="9" t="str">
        <f aca="false">IF(N2038&lt;&gt;"Y","",IF(R2038&lt;&gt;"",R2038,IF(Q2038="(tanpa lawan)","Transfer antar rekening",IFERROR(INDEX(I_COA!$F$6:$F$265,MATCH(Q2038,I_COA!$A$6:$A$265,0)),"?"))))</f>
        <v/>
      </c>
    </row>
    <row r="2039" customFormat="false" ht="15" hidden="false" customHeight="false" outlineLevel="0" collapsed="false">
      <c r="A2039" s="37"/>
      <c r="B2039" s="44"/>
      <c r="C2039" s="44"/>
      <c r="D2039" s="44"/>
      <c r="E2039" s="44"/>
      <c r="F2039" s="44"/>
      <c r="G2039" s="42"/>
      <c r="H2039" s="42"/>
      <c r="I2039" s="44"/>
      <c r="J2039" s="11" t="str">
        <f aca="false">IF(D2039="","",N(G2039)-N(H2039))</f>
        <v/>
      </c>
      <c r="K2039" s="34" t="str">
        <f aca="false">IF(D2039="","",IFERROR(INDEX(I_COA!$C$6:$C$265,MATCH(D2039,I_COA!$A$6:$A$265,0)),"AKUN BARU"))</f>
        <v/>
      </c>
      <c r="L2039" s="34" t="str">
        <f aca="false">IF(K2039="LabaRugi",INDEX(I_COA!$D$6:$D$265,MATCH(D2039,I_COA!$A$6:$A$265,0)),"")</f>
        <v/>
      </c>
      <c r="M2039" s="34" t="str">
        <f aca="false">IF(K2039="Neraca",INDEX(I_COA!$E$6:$E$265,MATCH(D2039,I_COA!$A$6:$A$265,0)),"")</f>
        <v/>
      </c>
      <c r="N2039" s="34" t="str">
        <f aca="false">IF(D2039="","",IFERROR(INDEX(I_COA!$G$6:$G$265,MATCH(D2039,I_COA!$A$6:$A$265,0)),"N"))</f>
        <v/>
      </c>
      <c r="O2039" s="11" t="str">
        <f aca="false">IF(N2039="N",ABS(J2039),"")</f>
        <v/>
      </c>
      <c r="P2039" s="18" t="str">
        <f aca="false">IF(N2039="N",B2039&amp;"|"&amp;ROUND(O2039,0),"")</f>
        <v/>
      </c>
      <c r="Q2039" s="18" t="str">
        <f aca="false">IF(N2039&lt;&gt;"Y","",IFERROR(INDEX($D$6:$D$4005,MATCH(B2039&amp;"|"&amp;ROUND(_xlfn.MAXIFS($O$6:$O$4005,$B$6:$B$4005,B2039,$N$6:$N$4005,"N"),0),$P$6:$P$4005,0)),"(tanpa lawan)"))</f>
        <v/>
      </c>
      <c r="R2039" s="44"/>
      <c r="S2039" s="9" t="str">
        <f aca="false">IF(N2039&lt;&gt;"Y","",IF(R2039&lt;&gt;"",R2039,IF(Q2039="(tanpa lawan)","Transfer antar rekening",IFERROR(INDEX(I_COA!$F$6:$F$265,MATCH(Q2039,I_COA!$A$6:$A$265,0)),"?"))))</f>
        <v/>
      </c>
    </row>
    <row r="2040" customFormat="false" ht="15" hidden="false" customHeight="false" outlineLevel="0" collapsed="false">
      <c r="A2040" s="37"/>
      <c r="B2040" s="44"/>
      <c r="C2040" s="44"/>
      <c r="D2040" s="44"/>
      <c r="E2040" s="44"/>
      <c r="F2040" s="44"/>
      <c r="G2040" s="42"/>
      <c r="H2040" s="42"/>
      <c r="I2040" s="44"/>
      <c r="J2040" s="11" t="str">
        <f aca="false">IF(D2040="","",N(G2040)-N(H2040))</f>
        <v/>
      </c>
      <c r="K2040" s="34" t="str">
        <f aca="false">IF(D2040="","",IFERROR(INDEX(I_COA!$C$6:$C$265,MATCH(D2040,I_COA!$A$6:$A$265,0)),"AKUN BARU"))</f>
        <v/>
      </c>
      <c r="L2040" s="34" t="str">
        <f aca="false">IF(K2040="LabaRugi",INDEX(I_COA!$D$6:$D$265,MATCH(D2040,I_COA!$A$6:$A$265,0)),"")</f>
        <v/>
      </c>
      <c r="M2040" s="34" t="str">
        <f aca="false">IF(K2040="Neraca",INDEX(I_COA!$E$6:$E$265,MATCH(D2040,I_COA!$A$6:$A$265,0)),"")</f>
        <v/>
      </c>
      <c r="N2040" s="34" t="str">
        <f aca="false">IF(D2040="","",IFERROR(INDEX(I_COA!$G$6:$G$265,MATCH(D2040,I_COA!$A$6:$A$265,0)),"N"))</f>
        <v/>
      </c>
      <c r="O2040" s="11" t="str">
        <f aca="false">IF(N2040="N",ABS(J2040),"")</f>
        <v/>
      </c>
      <c r="P2040" s="18" t="str">
        <f aca="false">IF(N2040="N",B2040&amp;"|"&amp;ROUND(O2040,0),"")</f>
        <v/>
      </c>
      <c r="Q2040" s="18" t="str">
        <f aca="false">IF(N2040&lt;&gt;"Y","",IFERROR(INDEX($D$6:$D$4005,MATCH(B2040&amp;"|"&amp;ROUND(_xlfn.MAXIFS($O$6:$O$4005,$B$6:$B$4005,B2040,$N$6:$N$4005,"N"),0),$P$6:$P$4005,0)),"(tanpa lawan)"))</f>
        <v/>
      </c>
      <c r="R2040" s="44"/>
      <c r="S2040" s="9" t="str">
        <f aca="false">IF(N2040&lt;&gt;"Y","",IF(R2040&lt;&gt;"",R2040,IF(Q2040="(tanpa lawan)","Transfer antar rekening",IFERROR(INDEX(I_COA!$F$6:$F$265,MATCH(Q2040,I_COA!$A$6:$A$265,0)),"?"))))</f>
        <v/>
      </c>
    </row>
    <row r="2041" customFormat="false" ht="15" hidden="false" customHeight="false" outlineLevel="0" collapsed="false">
      <c r="A2041" s="37"/>
      <c r="B2041" s="44"/>
      <c r="C2041" s="44"/>
      <c r="D2041" s="44"/>
      <c r="E2041" s="44"/>
      <c r="F2041" s="44"/>
      <c r="G2041" s="42"/>
      <c r="H2041" s="42"/>
      <c r="I2041" s="44"/>
      <c r="J2041" s="11" t="str">
        <f aca="false">IF(D2041="","",N(G2041)-N(H2041))</f>
        <v/>
      </c>
      <c r="K2041" s="34" t="str">
        <f aca="false">IF(D2041="","",IFERROR(INDEX(I_COA!$C$6:$C$265,MATCH(D2041,I_COA!$A$6:$A$265,0)),"AKUN BARU"))</f>
        <v/>
      </c>
      <c r="L2041" s="34" t="str">
        <f aca="false">IF(K2041="LabaRugi",INDEX(I_COA!$D$6:$D$265,MATCH(D2041,I_COA!$A$6:$A$265,0)),"")</f>
        <v/>
      </c>
      <c r="M2041" s="34" t="str">
        <f aca="false">IF(K2041="Neraca",INDEX(I_COA!$E$6:$E$265,MATCH(D2041,I_COA!$A$6:$A$265,0)),"")</f>
        <v/>
      </c>
      <c r="N2041" s="34" t="str">
        <f aca="false">IF(D2041="","",IFERROR(INDEX(I_COA!$G$6:$G$265,MATCH(D2041,I_COA!$A$6:$A$265,0)),"N"))</f>
        <v/>
      </c>
      <c r="O2041" s="11" t="str">
        <f aca="false">IF(N2041="N",ABS(J2041),"")</f>
        <v/>
      </c>
      <c r="P2041" s="18" t="str">
        <f aca="false">IF(N2041="N",B2041&amp;"|"&amp;ROUND(O2041,0),"")</f>
        <v/>
      </c>
      <c r="Q2041" s="18" t="str">
        <f aca="false">IF(N2041&lt;&gt;"Y","",IFERROR(INDEX($D$6:$D$4005,MATCH(B2041&amp;"|"&amp;ROUND(_xlfn.MAXIFS($O$6:$O$4005,$B$6:$B$4005,B2041,$N$6:$N$4005,"N"),0),$P$6:$P$4005,0)),"(tanpa lawan)"))</f>
        <v/>
      </c>
      <c r="R2041" s="44"/>
      <c r="S2041" s="9" t="str">
        <f aca="false">IF(N2041&lt;&gt;"Y","",IF(R2041&lt;&gt;"",R2041,IF(Q2041="(tanpa lawan)","Transfer antar rekening",IFERROR(INDEX(I_COA!$F$6:$F$265,MATCH(Q2041,I_COA!$A$6:$A$265,0)),"?"))))</f>
        <v/>
      </c>
    </row>
    <row r="2042" customFormat="false" ht="15" hidden="false" customHeight="false" outlineLevel="0" collapsed="false">
      <c r="A2042" s="37"/>
      <c r="B2042" s="44"/>
      <c r="C2042" s="44"/>
      <c r="D2042" s="44"/>
      <c r="E2042" s="44"/>
      <c r="F2042" s="44"/>
      <c r="G2042" s="42"/>
      <c r="H2042" s="42"/>
      <c r="I2042" s="44"/>
      <c r="J2042" s="11" t="str">
        <f aca="false">IF(D2042="","",N(G2042)-N(H2042))</f>
        <v/>
      </c>
      <c r="K2042" s="34" t="str">
        <f aca="false">IF(D2042="","",IFERROR(INDEX(I_COA!$C$6:$C$265,MATCH(D2042,I_COA!$A$6:$A$265,0)),"AKUN BARU"))</f>
        <v/>
      </c>
      <c r="L2042" s="34" t="str">
        <f aca="false">IF(K2042="LabaRugi",INDEX(I_COA!$D$6:$D$265,MATCH(D2042,I_COA!$A$6:$A$265,0)),"")</f>
        <v/>
      </c>
      <c r="M2042" s="34" t="str">
        <f aca="false">IF(K2042="Neraca",INDEX(I_COA!$E$6:$E$265,MATCH(D2042,I_COA!$A$6:$A$265,0)),"")</f>
        <v/>
      </c>
      <c r="N2042" s="34" t="str">
        <f aca="false">IF(D2042="","",IFERROR(INDEX(I_COA!$G$6:$G$265,MATCH(D2042,I_COA!$A$6:$A$265,0)),"N"))</f>
        <v/>
      </c>
      <c r="O2042" s="11" t="str">
        <f aca="false">IF(N2042="N",ABS(J2042),"")</f>
        <v/>
      </c>
      <c r="P2042" s="18" t="str">
        <f aca="false">IF(N2042="N",B2042&amp;"|"&amp;ROUND(O2042,0),"")</f>
        <v/>
      </c>
      <c r="Q2042" s="18" t="str">
        <f aca="false">IF(N2042&lt;&gt;"Y","",IFERROR(INDEX($D$6:$D$4005,MATCH(B2042&amp;"|"&amp;ROUND(_xlfn.MAXIFS($O$6:$O$4005,$B$6:$B$4005,B2042,$N$6:$N$4005,"N"),0),$P$6:$P$4005,0)),"(tanpa lawan)"))</f>
        <v/>
      </c>
      <c r="R2042" s="44"/>
      <c r="S2042" s="9" t="str">
        <f aca="false">IF(N2042&lt;&gt;"Y","",IF(R2042&lt;&gt;"",R2042,IF(Q2042="(tanpa lawan)","Transfer antar rekening",IFERROR(INDEX(I_COA!$F$6:$F$265,MATCH(Q2042,I_COA!$A$6:$A$265,0)),"?"))))</f>
        <v/>
      </c>
    </row>
    <row r="2043" customFormat="false" ht="15" hidden="false" customHeight="false" outlineLevel="0" collapsed="false">
      <c r="A2043" s="37"/>
      <c r="B2043" s="44"/>
      <c r="C2043" s="44"/>
      <c r="D2043" s="44"/>
      <c r="E2043" s="44"/>
      <c r="F2043" s="44"/>
      <c r="G2043" s="42"/>
      <c r="H2043" s="42"/>
      <c r="I2043" s="44"/>
      <c r="J2043" s="11" t="str">
        <f aca="false">IF(D2043="","",N(G2043)-N(H2043))</f>
        <v/>
      </c>
      <c r="K2043" s="34" t="str">
        <f aca="false">IF(D2043="","",IFERROR(INDEX(I_COA!$C$6:$C$265,MATCH(D2043,I_COA!$A$6:$A$265,0)),"AKUN BARU"))</f>
        <v/>
      </c>
      <c r="L2043" s="34" t="str">
        <f aca="false">IF(K2043="LabaRugi",INDEX(I_COA!$D$6:$D$265,MATCH(D2043,I_COA!$A$6:$A$265,0)),"")</f>
        <v/>
      </c>
      <c r="M2043" s="34" t="str">
        <f aca="false">IF(K2043="Neraca",INDEX(I_COA!$E$6:$E$265,MATCH(D2043,I_COA!$A$6:$A$265,0)),"")</f>
        <v/>
      </c>
      <c r="N2043" s="34" t="str">
        <f aca="false">IF(D2043="","",IFERROR(INDEX(I_COA!$G$6:$G$265,MATCH(D2043,I_COA!$A$6:$A$265,0)),"N"))</f>
        <v/>
      </c>
      <c r="O2043" s="11" t="str">
        <f aca="false">IF(N2043="N",ABS(J2043),"")</f>
        <v/>
      </c>
      <c r="P2043" s="18" t="str">
        <f aca="false">IF(N2043="N",B2043&amp;"|"&amp;ROUND(O2043,0),"")</f>
        <v/>
      </c>
      <c r="Q2043" s="18" t="str">
        <f aca="false">IF(N2043&lt;&gt;"Y","",IFERROR(INDEX($D$6:$D$4005,MATCH(B2043&amp;"|"&amp;ROUND(_xlfn.MAXIFS($O$6:$O$4005,$B$6:$B$4005,B2043,$N$6:$N$4005,"N"),0),$P$6:$P$4005,0)),"(tanpa lawan)"))</f>
        <v/>
      </c>
      <c r="R2043" s="44"/>
      <c r="S2043" s="9" t="str">
        <f aca="false">IF(N2043&lt;&gt;"Y","",IF(R2043&lt;&gt;"",R2043,IF(Q2043="(tanpa lawan)","Transfer antar rekening",IFERROR(INDEX(I_COA!$F$6:$F$265,MATCH(Q2043,I_COA!$A$6:$A$265,0)),"?"))))</f>
        <v/>
      </c>
    </row>
    <row r="2044" customFormat="false" ht="15" hidden="false" customHeight="false" outlineLevel="0" collapsed="false">
      <c r="A2044" s="37"/>
      <c r="B2044" s="44"/>
      <c r="C2044" s="44"/>
      <c r="D2044" s="44"/>
      <c r="E2044" s="44"/>
      <c r="F2044" s="44"/>
      <c r="G2044" s="42"/>
      <c r="H2044" s="42"/>
      <c r="I2044" s="44"/>
      <c r="J2044" s="11" t="str">
        <f aca="false">IF(D2044="","",N(G2044)-N(H2044))</f>
        <v/>
      </c>
      <c r="K2044" s="34" t="str">
        <f aca="false">IF(D2044="","",IFERROR(INDEX(I_COA!$C$6:$C$265,MATCH(D2044,I_COA!$A$6:$A$265,0)),"AKUN BARU"))</f>
        <v/>
      </c>
      <c r="L2044" s="34" t="str">
        <f aca="false">IF(K2044="LabaRugi",INDEX(I_COA!$D$6:$D$265,MATCH(D2044,I_COA!$A$6:$A$265,0)),"")</f>
        <v/>
      </c>
      <c r="M2044" s="34" t="str">
        <f aca="false">IF(K2044="Neraca",INDEX(I_COA!$E$6:$E$265,MATCH(D2044,I_COA!$A$6:$A$265,0)),"")</f>
        <v/>
      </c>
      <c r="N2044" s="34" t="str">
        <f aca="false">IF(D2044="","",IFERROR(INDEX(I_COA!$G$6:$G$265,MATCH(D2044,I_COA!$A$6:$A$265,0)),"N"))</f>
        <v/>
      </c>
      <c r="O2044" s="11" t="str">
        <f aca="false">IF(N2044="N",ABS(J2044),"")</f>
        <v/>
      </c>
      <c r="P2044" s="18" t="str">
        <f aca="false">IF(N2044="N",B2044&amp;"|"&amp;ROUND(O2044,0),"")</f>
        <v/>
      </c>
      <c r="Q2044" s="18" t="str">
        <f aca="false">IF(N2044&lt;&gt;"Y","",IFERROR(INDEX($D$6:$D$4005,MATCH(B2044&amp;"|"&amp;ROUND(_xlfn.MAXIFS($O$6:$O$4005,$B$6:$B$4005,B2044,$N$6:$N$4005,"N"),0),$P$6:$P$4005,0)),"(tanpa lawan)"))</f>
        <v/>
      </c>
      <c r="R2044" s="44"/>
      <c r="S2044" s="9" t="str">
        <f aca="false">IF(N2044&lt;&gt;"Y","",IF(R2044&lt;&gt;"",R2044,IF(Q2044="(tanpa lawan)","Transfer antar rekening",IFERROR(INDEX(I_COA!$F$6:$F$265,MATCH(Q2044,I_COA!$A$6:$A$265,0)),"?"))))</f>
        <v/>
      </c>
    </row>
    <row r="2045" customFormat="false" ht="15" hidden="false" customHeight="false" outlineLevel="0" collapsed="false">
      <c r="A2045" s="37"/>
      <c r="B2045" s="44"/>
      <c r="C2045" s="44"/>
      <c r="D2045" s="44"/>
      <c r="E2045" s="44"/>
      <c r="F2045" s="44"/>
      <c r="G2045" s="42"/>
      <c r="H2045" s="42"/>
      <c r="I2045" s="44"/>
      <c r="J2045" s="11" t="str">
        <f aca="false">IF(D2045="","",N(G2045)-N(H2045))</f>
        <v/>
      </c>
      <c r="K2045" s="34" t="str">
        <f aca="false">IF(D2045="","",IFERROR(INDEX(I_COA!$C$6:$C$265,MATCH(D2045,I_COA!$A$6:$A$265,0)),"AKUN BARU"))</f>
        <v/>
      </c>
      <c r="L2045" s="34" t="str">
        <f aca="false">IF(K2045="LabaRugi",INDEX(I_COA!$D$6:$D$265,MATCH(D2045,I_COA!$A$6:$A$265,0)),"")</f>
        <v/>
      </c>
      <c r="M2045" s="34" t="str">
        <f aca="false">IF(K2045="Neraca",INDEX(I_COA!$E$6:$E$265,MATCH(D2045,I_COA!$A$6:$A$265,0)),"")</f>
        <v/>
      </c>
      <c r="N2045" s="34" t="str">
        <f aca="false">IF(D2045="","",IFERROR(INDEX(I_COA!$G$6:$G$265,MATCH(D2045,I_COA!$A$6:$A$265,0)),"N"))</f>
        <v/>
      </c>
      <c r="O2045" s="11" t="str">
        <f aca="false">IF(N2045="N",ABS(J2045),"")</f>
        <v/>
      </c>
      <c r="P2045" s="18" t="str">
        <f aca="false">IF(N2045="N",B2045&amp;"|"&amp;ROUND(O2045,0),"")</f>
        <v/>
      </c>
      <c r="Q2045" s="18" t="str">
        <f aca="false">IF(N2045&lt;&gt;"Y","",IFERROR(INDEX($D$6:$D$4005,MATCH(B2045&amp;"|"&amp;ROUND(_xlfn.MAXIFS($O$6:$O$4005,$B$6:$B$4005,B2045,$N$6:$N$4005,"N"),0),$P$6:$P$4005,0)),"(tanpa lawan)"))</f>
        <v/>
      </c>
      <c r="R2045" s="44"/>
      <c r="S2045" s="9" t="str">
        <f aca="false">IF(N2045&lt;&gt;"Y","",IF(R2045&lt;&gt;"",R2045,IF(Q2045="(tanpa lawan)","Transfer antar rekening",IFERROR(INDEX(I_COA!$F$6:$F$265,MATCH(Q2045,I_COA!$A$6:$A$265,0)),"?"))))</f>
        <v/>
      </c>
    </row>
    <row r="2046" customFormat="false" ht="15" hidden="false" customHeight="false" outlineLevel="0" collapsed="false">
      <c r="A2046" s="37"/>
      <c r="B2046" s="44"/>
      <c r="C2046" s="44"/>
      <c r="D2046" s="44"/>
      <c r="E2046" s="44"/>
      <c r="F2046" s="44"/>
      <c r="G2046" s="42"/>
      <c r="H2046" s="42"/>
      <c r="I2046" s="44"/>
      <c r="J2046" s="11" t="str">
        <f aca="false">IF(D2046="","",N(G2046)-N(H2046))</f>
        <v/>
      </c>
      <c r="K2046" s="34" t="str">
        <f aca="false">IF(D2046="","",IFERROR(INDEX(I_COA!$C$6:$C$265,MATCH(D2046,I_COA!$A$6:$A$265,0)),"AKUN BARU"))</f>
        <v/>
      </c>
      <c r="L2046" s="34" t="str">
        <f aca="false">IF(K2046="LabaRugi",INDEX(I_COA!$D$6:$D$265,MATCH(D2046,I_COA!$A$6:$A$265,0)),"")</f>
        <v/>
      </c>
      <c r="M2046" s="34" t="str">
        <f aca="false">IF(K2046="Neraca",INDEX(I_COA!$E$6:$E$265,MATCH(D2046,I_COA!$A$6:$A$265,0)),"")</f>
        <v/>
      </c>
      <c r="N2046" s="34" t="str">
        <f aca="false">IF(D2046="","",IFERROR(INDEX(I_COA!$G$6:$G$265,MATCH(D2046,I_COA!$A$6:$A$265,0)),"N"))</f>
        <v/>
      </c>
      <c r="O2046" s="11" t="str">
        <f aca="false">IF(N2046="N",ABS(J2046),"")</f>
        <v/>
      </c>
      <c r="P2046" s="18" t="str">
        <f aca="false">IF(N2046="N",B2046&amp;"|"&amp;ROUND(O2046,0),"")</f>
        <v/>
      </c>
      <c r="Q2046" s="18" t="str">
        <f aca="false">IF(N2046&lt;&gt;"Y","",IFERROR(INDEX($D$6:$D$4005,MATCH(B2046&amp;"|"&amp;ROUND(_xlfn.MAXIFS($O$6:$O$4005,$B$6:$B$4005,B2046,$N$6:$N$4005,"N"),0),$P$6:$P$4005,0)),"(tanpa lawan)"))</f>
        <v/>
      </c>
      <c r="R2046" s="44"/>
      <c r="S2046" s="9" t="str">
        <f aca="false">IF(N2046&lt;&gt;"Y","",IF(R2046&lt;&gt;"",R2046,IF(Q2046="(tanpa lawan)","Transfer antar rekening",IFERROR(INDEX(I_COA!$F$6:$F$265,MATCH(Q2046,I_COA!$A$6:$A$265,0)),"?"))))</f>
        <v/>
      </c>
    </row>
    <row r="2047" customFormat="false" ht="15" hidden="false" customHeight="false" outlineLevel="0" collapsed="false">
      <c r="A2047" s="37"/>
      <c r="B2047" s="44"/>
      <c r="C2047" s="44"/>
      <c r="D2047" s="44"/>
      <c r="E2047" s="44"/>
      <c r="F2047" s="44"/>
      <c r="G2047" s="42"/>
      <c r="H2047" s="42"/>
      <c r="I2047" s="44"/>
      <c r="J2047" s="11" t="str">
        <f aca="false">IF(D2047="","",N(G2047)-N(H2047))</f>
        <v/>
      </c>
      <c r="K2047" s="34" t="str">
        <f aca="false">IF(D2047="","",IFERROR(INDEX(I_COA!$C$6:$C$265,MATCH(D2047,I_COA!$A$6:$A$265,0)),"AKUN BARU"))</f>
        <v/>
      </c>
      <c r="L2047" s="34" t="str">
        <f aca="false">IF(K2047="LabaRugi",INDEX(I_COA!$D$6:$D$265,MATCH(D2047,I_COA!$A$6:$A$265,0)),"")</f>
        <v/>
      </c>
      <c r="M2047" s="34" t="str">
        <f aca="false">IF(K2047="Neraca",INDEX(I_COA!$E$6:$E$265,MATCH(D2047,I_COA!$A$6:$A$265,0)),"")</f>
        <v/>
      </c>
      <c r="N2047" s="34" t="str">
        <f aca="false">IF(D2047="","",IFERROR(INDEX(I_COA!$G$6:$G$265,MATCH(D2047,I_COA!$A$6:$A$265,0)),"N"))</f>
        <v/>
      </c>
      <c r="O2047" s="11" t="str">
        <f aca="false">IF(N2047="N",ABS(J2047),"")</f>
        <v/>
      </c>
      <c r="P2047" s="18" t="str">
        <f aca="false">IF(N2047="N",B2047&amp;"|"&amp;ROUND(O2047,0),"")</f>
        <v/>
      </c>
      <c r="Q2047" s="18" t="str">
        <f aca="false">IF(N2047&lt;&gt;"Y","",IFERROR(INDEX($D$6:$D$4005,MATCH(B2047&amp;"|"&amp;ROUND(_xlfn.MAXIFS($O$6:$O$4005,$B$6:$B$4005,B2047,$N$6:$N$4005,"N"),0),$P$6:$P$4005,0)),"(tanpa lawan)"))</f>
        <v/>
      </c>
      <c r="R2047" s="44"/>
      <c r="S2047" s="9" t="str">
        <f aca="false">IF(N2047&lt;&gt;"Y","",IF(R2047&lt;&gt;"",R2047,IF(Q2047="(tanpa lawan)","Transfer antar rekening",IFERROR(INDEX(I_COA!$F$6:$F$265,MATCH(Q2047,I_COA!$A$6:$A$265,0)),"?"))))</f>
        <v/>
      </c>
    </row>
    <row r="2048" customFormat="false" ht="15" hidden="false" customHeight="false" outlineLevel="0" collapsed="false">
      <c r="A2048" s="37"/>
      <c r="B2048" s="44"/>
      <c r="C2048" s="44"/>
      <c r="D2048" s="44"/>
      <c r="E2048" s="44"/>
      <c r="F2048" s="44"/>
      <c r="G2048" s="42"/>
      <c r="H2048" s="42"/>
      <c r="I2048" s="44"/>
      <c r="J2048" s="11" t="str">
        <f aca="false">IF(D2048="","",N(G2048)-N(H2048))</f>
        <v/>
      </c>
      <c r="K2048" s="34" t="str">
        <f aca="false">IF(D2048="","",IFERROR(INDEX(I_COA!$C$6:$C$265,MATCH(D2048,I_COA!$A$6:$A$265,0)),"AKUN BARU"))</f>
        <v/>
      </c>
      <c r="L2048" s="34" t="str">
        <f aca="false">IF(K2048="LabaRugi",INDEX(I_COA!$D$6:$D$265,MATCH(D2048,I_COA!$A$6:$A$265,0)),"")</f>
        <v/>
      </c>
      <c r="M2048" s="34" t="str">
        <f aca="false">IF(K2048="Neraca",INDEX(I_COA!$E$6:$E$265,MATCH(D2048,I_COA!$A$6:$A$265,0)),"")</f>
        <v/>
      </c>
      <c r="N2048" s="34" t="str">
        <f aca="false">IF(D2048="","",IFERROR(INDEX(I_COA!$G$6:$G$265,MATCH(D2048,I_COA!$A$6:$A$265,0)),"N"))</f>
        <v/>
      </c>
      <c r="O2048" s="11" t="str">
        <f aca="false">IF(N2048="N",ABS(J2048),"")</f>
        <v/>
      </c>
      <c r="P2048" s="18" t="str">
        <f aca="false">IF(N2048="N",B2048&amp;"|"&amp;ROUND(O2048,0),"")</f>
        <v/>
      </c>
      <c r="Q2048" s="18" t="str">
        <f aca="false">IF(N2048&lt;&gt;"Y","",IFERROR(INDEX($D$6:$D$4005,MATCH(B2048&amp;"|"&amp;ROUND(_xlfn.MAXIFS($O$6:$O$4005,$B$6:$B$4005,B2048,$N$6:$N$4005,"N"),0),$P$6:$P$4005,0)),"(tanpa lawan)"))</f>
        <v/>
      </c>
      <c r="R2048" s="44"/>
      <c r="S2048" s="9" t="str">
        <f aca="false">IF(N2048&lt;&gt;"Y","",IF(R2048&lt;&gt;"",R2048,IF(Q2048="(tanpa lawan)","Transfer antar rekening",IFERROR(INDEX(I_COA!$F$6:$F$265,MATCH(Q2048,I_COA!$A$6:$A$265,0)),"?"))))</f>
        <v/>
      </c>
    </row>
    <row r="2049" customFormat="false" ht="15" hidden="false" customHeight="false" outlineLevel="0" collapsed="false">
      <c r="A2049" s="37"/>
      <c r="B2049" s="44"/>
      <c r="C2049" s="44"/>
      <c r="D2049" s="44"/>
      <c r="E2049" s="44"/>
      <c r="F2049" s="44"/>
      <c r="G2049" s="42"/>
      <c r="H2049" s="42"/>
      <c r="I2049" s="44"/>
      <c r="J2049" s="11" t="str">
        <f aca="false">IF(D2049="","",N(G2049)-N(H2049))</f>
        <v/>
      </c>
      <c r="K2049" s="34" t="str">
        <f aca="false">IF(D2049="","",IFERROR(INDEX(I_COA!$C$6:$C$265,MATCH(D2049,I_COA!$A$6:$A$265,0)),"AKUN BARU"))</f>
        <v/>
      </c>
      <c r="L2049" s="34" t="str">
        <f aca="false">IF(K2049="LabaRugi",INDEX(I_COA!$D$6:$D$265,MATCH(D2049,I_COA!$A$6:$A$265,0)),"")</f>
        <v/>
      </c>
      <c r="M2049" s="34" t="str">
        <f aca="false">IF(K2049="Neraca",INDEX(I_COA!$E$6:$E$265,MATCH(D2049,I_COA!$A$6:$A$265,0)),"")</f>
        <v/>
      </c>
      <c r="N2049" s="34" t="str">
        <f aca="false">IF(D2049="","",IFERROR(INDEX(I_COA!$G$6:$G$265,MATCH(D2049,I_COA!$A$6:$A$265,0)),"N"))</f>
        <v/>
      </c>
      <c r="O2049" s="11" t="str">
        <f aca="false">IF(N2049="N",ABS(J2049),"")</f>
        <v/>
      </c>
      <c r="P2049" s="18" t="str">
        <f aca="false">IF(N2049="N",B2049&amp;"|"&amp;ROUND(O2049,0),"")</f>
        <v/>
      </c>
      <c r="Q2049" s="18" t="str">
        <f aca="false">IF(N2049&lt;&gt;"Y","",IFERROR(INDEX($D$6:$D$4005,MATCH(B2049&amp;"|"&amp;ROUND(_xlfn.MAXIFS($O$6:$O$4005,$B$6:$B$4005,B2049,$N$6:$N$4005,"N"),0),$P$6:$P$4005,0)),"(tanpa lawan)"))</f>
        <v/>
      </c>
      <c r="R2049" s="44"/>
      <c r="S2049" s="9" t="str">
        <f aca="false">IF(N2049&lt;&gt;"Y","",IF(R2049&lt;&gt;"",R2049,IF(Q2049="(tanpa lawan)","Transfer antar rekening",IFERROR(INDEX(I_COA!$F$6:$F$265,MATCH(Q2049,I_COA!$A$6:$A$265,0)),"?"))))</f>
        <v/>
      </c>
    </row>
    <row r="2050" customFormat="false" ht="15" hidden="false" customHeight="false" outlineLevel="0" collapsed="false">
      <c r="A2050" s="37"/>
      <c r="B2050" s="44"/>
      <c r="C2050" s="44"/>
      <c r="D2050" s="44"/>
      <c r="E2050" s="44"/>
      <c r="F2050" s="44"/>
      <c r="G2050" s="42"/>
      <c r="H2050" s="42"/>
      <c r="I2050" s="44"/>
      <c r="J2050" s="11" t="str">
        <f aca="false">IF(D2050="","",N(G2050)-N(H2050))</f>
        <v/>
      </c>
      <c r="K2050" s="34" t="str">
        <f aca="false">IF(D2050="","",IFERROR(INDEX(I_COA!$C$6:$C$265,MATCH(D2050,I_COA!$A$6:$A$265,0)),"AKUN BARU"))</f>
        <v/>
      </c>
      <c r="L2050" s="34" t="str">
        <f aca="false">IF(K2050="LabaRugi",INDEX(I_COA!$D$6:$D$265,MATCH(D2050,I_COA!$A$6:$A$265,0)),"")</f>
        <v/>
      </c>
      <c r="M2050" s="34" t="str">
        <f aca="false">IF(K2050="Neraca",INDEX(I_COA!$E$6:$E$265,MATCH(D2050,I_COA!$A$6:$A$265,0)),"")</f>
        <v/>
      </c>
      <c r="N2050" s="34" t="str">
        <f aca="false">IF(D2050="","",IFERROR(INDEX(I_COA!$G$6:$G$265,MATCH(D2050,I_COA!$A$6:$A$265,0)),"N"))</f>
        <v/>
      </c>
      <c r="O2050" s="11" t="str">
        <f aca="false">IF(N2050="N",ABS(J2050),"")</f>
        <v/>
      </c>
      <c r="P2050" s="18" t="str">
        <f aca="false">IF(N2050="N",B2050&amp;"|"&amp;ROUND(O2050,0),"")</f>
        <v/>
      </c>
      <c r="Q2050" s="18" t="str">
        <f aca="false">IF(N2050&lt;&gt;"Y","",IFERROR(INDEX($D$6:$D$4005,MATCH(B2050&amp;"|"&amp;ROUND(_xlfn.MAXIFS($O$6:$O$4005,$B$6:$B$4005,B2050,$N$6:$N$4005,"N"),0),$P$6:$P$4005,0)),"(tanpa lawan)"))</f>
        <v/>
      </c>
      <c r="R2050" s="44"/>
      <c r="S2050" s="9" t="str">
        <f aca="false">IF(N2050&lt;&gt;"Y","",IF(R2050&lt;&gt;"",R2050,IF(Q2050="(tanpa lawan)","Transfer antar rekening",IFERROR(INDEX(I_COA!$F$6:$F$265,MATCH(Q2050,I_COA!$A$6:$A$265,0)),"?"))))</f>
        <v/>
      </c>
    </row>
    <row r="2051" customFormat="false" ht="15" hidden="false" customHeight="false" outlineLevel="0" collapsed="false">
      <c r="A2051" s="37"/>
      <c r="B2051" s="44"/>
      <c r="C2051" s="44"/>
      <c r="D2051" s="44"/>
      <c r="E2051" s="44"/>
      <c r="F2051" s="44"/>
      <c r="G2051" s="42"/>
      <c r="H2051" s="42"/>
      <c r="I2051" s="44"/>
      <c r="J2051" s="11" t="str">
        <f aca="false">IF(D2051="","",N(G2051)-N(H2051))</f>
        <v/>
      </c>
      <c r="K2051" s="34" t="str">
        <f aca="false">IF(D2051="","",IFERROR(INDEX(I_COA!$C$6:$C$265,MATCH(D2051,I_COA!$A$6:$A$265,0)),"AKUN BARU"))</f>
        <v/>
      </c>
      <c r="L2051" s="34" t="str">
        <f aca="false">IF(K2051="LabaRugi",INDEX(I_COA!$D$6:$D$265,MATCH(D2051,I_COA!$A$6:$A$265,0)),"")</f>
        <v/>
      </c>
      <c r="M2051" s="34" t="str">
        <f aca="false">IF(K2051="Neraca",INDEX(I_COA!$E$6:$E$265,MATCH(D2051,I_COA!$A$6:$A$265,0)),"")</f>
        <v/>
      </c>
      <c r="N2051" s="34" t="str">
        <f aca="false">IF(D2051="","",IFERROR(INDEX(I_COA!$G$6:$G$265,MATCH(D2051,I_COA!$A$6:$A$265,0)),"N"))</f>
        <v/>
      </c>
      <c r="O2051" s="11" t="str">
        <f aca="false">IF(N2051="N",ABS(J2051),"")</f>
        <v/>
      </c>
      <c r="P2051" s="18" t="str">
        <f aca="false">IF(N2051="N",B2051&amp;"|"&amp;ROUND(O2051,0),"")</f>
        <v/>
      </c>
      <c r="Q2051" s="18" t="str">
        <f aca="false">IF(N2051&lt;&gt;"Y","",IFERROR(INDEX($D$6:$D$4005,MATCH(B2051&amp;"|"&amp;ROUND(_xlfn.MAXIFS($O$6:$O$4005,$B$6:$B$4005,B2051,$N$6:$N$4005,"N"),0),$P$6:$P$4005,0)),"(tanpa lawan)"))</f>
        <v/>
      </c>
      <c r="R2051" s="44"/>
      <c r="S2051" s="9" t="str">
        <f aca="false">IF(N2051&lt;&gt;"Y","",IF(R2051&lt;&gt;"",R2051,IF(Q2051="(tanpa lawan)","Transfer antar rekening",IFERROR(INDEX(I_COA!$F$6:$F$265,MATCH(Q2051,I_COA!$A$6:$A$265,0)),"?"))))</f>
        <v/>
      </c>
    </row>
    <row r="2052" customFormat="false" ht="15" hidden="false" customHeight="false" outlineLevel="0" collapsed="false">
      <c r="A2052" s="37"/>
      <c r="B2052" s="44"/>
      <c r="C2052" s="44"/>
      <c r="D2052" s="44"/>
      <c r="E2052" s="44"/>
      <c r="F2052" s="44"/>
      <c r="G2052" s="42"/>
      <c r="H2052" s="42"/>
      <c r="I2052" s="44"/>
      <c r="J2052" s="11" t="str">
        <f aca="false">IF(D2052="","",N(G2052)-N(H2052))</f>
        <v/>
      </c>
      <c r="K2052" s="34" t="str">
        <f aca="false">IF(D2052="","",IFERROR(INDEX(I_COA!$C$6:$C$265,MATCH(D2052,I_COA!$A$6:$A$265,0)),"AKUN BARU"))</f>
        <v/>
      </c>
      <c r="L2052" s="34" t="str">
        <f aca="false">IF(K2052="LabaRugi",INDEX(I_COA!$D$6:$D$265,MATCH(D2052,I_COA!$A$6:$A$265,0)),"")</f>
        <v/>
      </c>
      <c r="M2052" s="34" t="str">
        <f aca="false">IF(K2052="Neraca",INDEX(I_COA!$E$6:$E$265,MATCH(D2052,I_COA!$A$6:$A$265,0)),"")</f>
        <v/>
      </c>
      <c r="N2052" s="34" t="str">
        <f aca="false">IF(D2052="","",IFERROR(INDEX(I_COA!$G$6:$G$265,MATCH(D2052,I_COA!$A$6:$A$265,0)),"N"))</f>
        <v/>
      </c>
      <c r="O2052" s="11" t="str">
        <f aca="false">IF(N2052="N",ABS(J2052),"")</f>
        <v/>
      </c>
      <c r="P2052" s="18" t="str">
        <f aca="false">IF(N2052="N",B2052&amp;"|"&amp;ROUND(O2052,0),"")</f>
        <v/>
      </c>
      <c r="Q2052" s="18" t="str">
        <f aca="false">IF(N2052&lt;&gt;"Y","",IFERROR(INDEX($D$6:$D$4005,MATCH(B2052&amp;"|"&amp;ROUND(_xlfn.MAXIFS($O$6:$O$4005,$B$6:$B$4005,B2052,$N$6:$N$4005,"N"),0),$P$6:$P$4005,0)),"(tanpa lawan)"))</f>
        <v/>
      </c>
      <c r="R2052" s="44"/>
      <c r="S2052" s="9" t="str">
        <f aca="false">IF(N2052&lt;&gt;"Y","",IF(R2052&lt;&gt;"",R2052,IF(Q2052="(tanpa lawan)","Transfer antar rekening",IFERROR(INDEX(I_COA!$F$6:$F$265,MATCH(Q2052,I_COA!$A$6:$A$265,0)),"?"))))</f>
        <v/>
      </c>
    </row>
    <row r="2053" customFormat="false" ht="15" hidden="false" customHeight="false" outlineLevel="0" collapsed="false">
      <c r="A2053" s="37"/>
      <c r="B2053" s="44"/>
      <c r="C2053" s="44"/>
      <c r="D2053" s="44"/>
      <c r="E2053" s="44"/>
      <c r="F2053" s="44"/>
      <c r="G2053" s="42"/>
      <c r="H2053" s="42"/>
      <c r="I2053" s="44"/>
      <c r="J2053" s="11" t="str">
        <f aca="false">IF(D2053="","",N(G2053)-N(H2053))</f>
        <v/>
      </c>
      <c r="K2053" s="34" t="str">
        <f aca="false">IF(D2053="","",IFERROR(INDEX(I_COA!$C$6:$C$265,MATCH(D2053,I_COA!$A$6:$A$265,0)),"AKUN BARU"))</f>
        <v/>
      </c>
      <c r="L2053" s="34" t="str">
        <f aca="false">IF(K2053="LabaRugi",INDEX(I_COA!$D$6:$D$265,MATCH(D2053,I_COA!$A$6:$A$265,0)),"")</f>
        <v/>
      </c>
      <c r="M2053" s="34" t="str">
        <f aca="false">IF(K2053="Neraca",INDEX(I_COA!$E$6:$E$265,MATCH(D2053,I_COA!$A$6:$A$265,0)),"")</f>
        <v/>
      </c>
      <c r="N2053" s="34" t="str">
        <f aca="false">IF(D2053="","",IFERROR(INDEX(I_COA!$G$6:$G$265,MATCH(D2053,I_COA!$A$6:$A$265,0)),"N"))</f>
        <v/>
      </c>
      <c r="O2053" s="11" t="str">
        <f aca="false">IF(N2053="N",ABS(J2053),"")</f>
        <v/>
      </c>
      <c r="P2053" s="18" t="str">
        <f aca="false">IF(N2053="N",B2053&amp;"|"&amp;ROUND(O2053,0),"")</f>
        <v/>
      </c>
      <c r="Q2053" s="18" t="str">
        <f aca="false">IF(N2053&lt;&gt;"Y","",IFERROR(INDEX($D$6:$D$4005,MATCH(B2053&amp;"|"&amp;ROUND(_xlfn.MAXIFS($O$6:$O$4005,$B$6:$B$4005,B2053,$N$6:$N$4005,"N"),0),$P$6:$P$4005,0)),"(tanpa lawan)"))</f>
        <v/>
      </c>
      <c r="R2053" s="44"/>
      <c r="S2053" s="9" t="str">
        <f aca="false">IF(N2053&lt;&gt;"Y","",IF(R2053&lt;&gt;"",R2053,IF(Q2053="(tanpa lawan)","Transfer antar rekening",IFERROR(INDEX(I_COA!$F$6:$F$265,MATCH(Q2053,I_COA!$A$6:$A$265,0)),"?"))))</f>
        <v/>
      </c>
    </row>
    <row r="2054" customFormat="false" ht="15" hidden="false" customHeight="false" outlineLevel="0" collapsed="false">
      <c r="A2054" s="37"/>
      <c r="B2054" s="44"/>
      <c r="C2054" s="44"/>
      <c r="D2054" s="44"/>
      <c r="E2054" s="44"/>
      <c r="F2054" s="44"/>
      <c r="G2054" s="42"/>
      <c r="H2054" s="42"/>
      <c r="I2054" s="44"/>
      <c r="J2054" s="11" t="str">
        <f aca="false">IF(D2054="","",N(G2054)-N(H2054))</f>
        <v/>
      </c>
      <c r="K2054" s="34" t="str">
        <f aca="false">IF(D2054="","",IFERROR(INDEX(I_COA!$C$6:$C$265,MATCH(D2054,I_COA!$A$6:$A$265,0)),"AKUN BARU"))</f>
        <v/>
      </c>
      <c r="L2054" s="34" t="str">
        <f aca="false">IF(K2054="LabaRugi",INDEX(I_COA!$D$6:$D$265,MATCH(D2054,I_COA!$A$6:$A$265,0)),"")</f>
        <v/>
      </c>
      <c r="M2054" s="34" t="str">
        <f aca="false">IF(K2054="Neraca",INDEX(I_COA!$E$6:$E$265,MATCH(D2054,I_COA!$A$6:$A$265,0)),"")</f>
        <v/>
      </c>
      <c r="N2054" s="34" t="str">
        <f aca="false">IF(D2054="","",IFERROR(INDEX(I_COA!$G$6:$G$265,MATCH(D2054,I_COA!$A$6:$A$265,0)),"N"))</f>
        <v/>
      </c>
      <c r="O2054" s="11" t="str">
        <f aca="false">IF(N2054="N",ABS(J2054),"")</f>
        <v/>
      </c>
      <c r="P2054" s="18" t="str">
        <f aca="false">IF(N2054="N",B2054&amp;"|"&amp;ROUND(O2054,0),"")</f>
        <v/>
      </c>
      <c r="Q2054" s="18" t="str">
        <f aca="false">IF(N2054&lt;&gt;"Y","",IFERROR(INDEX($D$6:$D$4005,MATCH(B2054&amp;"|"&amp;ROUND(_xlfn.MAXIFS($O$6:$O$4005,$B$6:$B$4005,B2054,$N$6:$N$4005,"N"),0),$P$6:$P$4005,0)),"(tanpa lawan)"))</f>
        <v/>
      </c>
      <c r="R2054" s="44"/>
      <c r="S2054" s="9" t="str">
        <f aca="false">IF(N2054&lt;&gt;"Y","",IF(R2054&lt;&gt;"",R2054,IF(Q2054="(tanpa lawan)","Transfer antar rekening",IFERROR(INDEX(I_COA!$F$6:$F$265,MATCH(Q2054,I_COA!$A$6:$A$265,0)),"?"))))</f>
        <v/>
      </c>
    </row>
    <row r="2055" customFormat="false" ht="15" hidden="false" customHeight="false" outlineLevel="0" collapsed="false">
      <c r="A2055" s="37"/>
      <c r="B2055" s="44"/>
      <c r="C2055" s="44"/>
      <c r="D2055" s="44"/>
      <c r="E2055" s="44"/>
      <c r="F2055" s="44"/>
      <c r="G2055" s="42"/>
      <c r="H2055" s="42"/>
      <c r="I2055" s="44"/>
      <c r="J2055" s="11" t="str">
        <f aca="false">IF(D2055="","",N(G2055)-N(H2055))</f>
        <v/>
      </c>
      <c r="K2055" s="34" t="str">
        <f aca="false">IF(D2055="","",IFERROR(INDEX(I_COA!$C$6:$C$265,MATCH(D2055,I_COA!$A$6:$A$265,0)),"AKUN BARU"))</f>
        <v/>
      </c>
      <c r="L2055" s="34" t="str">
        <f aca="false">IF(K2055="LabaRugi",INDEX(I_COA!$D$6:$D$265,MATCH(D2055,I_COA!$A$6:$A$265,0)),"")</f>
        <v/>
      </c>
      <c r="M2055" s="34" t="str">
        <f aca="false">IF(K2055="Neraca",INDEX(I_COA!$E$6:$E$265,MATCH(D2055,I_COA!$A$6:$A$265,0)),"")</f>
        <v/>
      </c>
      <c r="N2055" s="34" t="str">
        <f aca="false">IF(D2055="","",IFERROR(INDEX(I_COA!$G$6:$G$265,MATCH(D2055,I_COA!$A$6:$A$265,0)),"N"))</f>
        <v/>
      </c>
      <c r="O2055" s="11" t="str">
        <f aca="false">IF(N2055="N",ABS(J2055),"")</f>
        <v/>
      </c>
      <c r="P2055" s="18" t="str">
        <f aca="false">IF(N2055="N",B2055&amp;"|"&amp;ROUND(O2055,0),"")</f>
        <v/>
      </c>
      <c r="Q2055" s="18" t="str">
        <f aca="false">IF(N2055&lt;&gt;"Y","",IFERROR(INDEX($D$6:$D$4005,MATCH(B2055&amp;"|"&amp;ROUND(_xlfn.MAXIFS($O$6:$O$4005,$B$6:$B$4005,B2055,$N$6:$N$4005,"N"),0),$P$6:$P$4005,0)),"(tanpa lawan)"))</f>
        <v/>
      </c>
      <c r="R2055" s="44"/>
      <c r="S2055" s="9" t="str">
        <f aca="false">IF(N2055&lt;&gt;"Y","",IF(R2055&lt;&gt;"",R2055,IF(Q2055="(tanpa lawan)","Transfer antar rekening",IFERROR(INDEX(I_COA!$F$6:$F$265,MATCH(Q2055,I_COA!$A$6:$A$265,0)),"?"))))</f>
        <v/>
      </c>
    </row>
    <row r="2056" customFormat="false" ht="15" hidden="false" customHeight="false" outlineLevel="0" collapsed="false">
      <c r="A2056" s="37"/>
      <c r="B2056" s="44"/>
      <c r="C2056" s="44"/>
      <c r="D2056" s="44"/>
      <c r="E2056" s="44"/>
      <c r="F2056" s="44"/>
      <c r="G2056" s="42"/>
      <c r="H2056" s="42"/>
      <c r="I2056" s="44"/>
      <c r="J2056" s="11" t="str">
        <f aca="false">IF(D2056="","",N(G2056)-N(H2056))</f>
        <v/>
      </c>
      <c r="K2056" s="34" t="str">
        <f aca="false">IF(D2056="","",IFERROR(INDEX(I_COA!$C$6:$C$265,MATCH(D2056,I_COA!$A$6:$A$265,0)),"AKUN BARU"))</f>
        <v/>
      </c>
      <c r="L2056" s="34" t="str">
        <f aca="false">IF(K2056="LabaRugi",INDEX(I_COA!$D$6:$D$265,MATCH(D2056,I_COA!$A$6:$A$265,0)),"")</f>
        <v/>
      </c>
      <c r="M2056" s="34" t="str">
        <f aca="false">IF(K2056="Neraca",INDEX(I_COA!$E$6:$E$265,MATCH(D2056,I_COA!$A$6:$A$265,0)),"")</f>
        <v/>
      </c>
      <c r="N2056" s="34" t="str">
        <f aca="false">IF(D2056="","",IFERROR(INDEX(I_COA!$G$6:$G$265,MATCH(D2056,I_COA!$A$6:$A$265,0)),"N"))</f>
        <v/>
      </c>
      <c r="O2056" s="11" t="str">
        <f aca="false">IF(N2056="N",ABS(J2056),"")</f>
        <v/>
      </c>
      <c r="P2056" s="18" t="str">
        <f aca="false">IF(N2056="N",B2056&amp;"|"&amp;ROUND(O2056,0),"")</f>
        <v/>
      </c>
      <c r="Q2056" s="18" t="str">
        <f aca="false">IF(N2056&lt;&gt;"Y","",IFERROR(INDEX($D$6:$D$4005,MATCH(B2056&amp;"|"&amp;ROUND(_xlfn.MAXIFS($O$6:$O$4005,$B$6:$B$4005,B2056,$N$6:$N$4005,"N"),0),$P$6:$P$4005,0)),"(tanpa lawan)"))</f>
        <v/>
      </c>
      <c r="R2056" s="44"/>
      <c r="S2056" s="9" t="str">
        <f aca="false">IF(N2056&lt;&gt;"Y","",IF(R2056&lt;&gt;"",R2056,IF(Q2056="(tanpa lawan)","Transfer antar rekening",IFERROR(INDEX(I_COA!$F$6:$F$265,MATCH(Q2056,I_COA!$A$6:$A$265,0)),"?"))))</f>
        <v/>
      </c>
    </row>
    <row r="2057" customFormat="false" ht="15" hidden="false" customHeight="false" outlineLevel="0" collapsed="false">
      <c r="A2057" s="37"/>
      <c r="B2057" s="44"/>
      <c r="C2057" s="44"/>
      <c r="D2057" s="44"/>
      <c r="E2057" s="44"/>
      <c r="F2057" s="44"/>
      <c r="G2057" s="42"/>
      <c r="H2057" s="42"/>
      <c r="I2057" s="44"/>
      <c r="J2057" s="11" t="str">
        <f aca="false">IF(D2057="","",N(G2057)-N(H2057))</f>
        <v/>
      </c>
      <c r="K2057" s="34" t="str">
        <f aca="false">IF(D2057="","",IFERROR(INDEX(I_COA!$C$6:$C$265,MATCH(D2057,I_COA!$A$6:$A$265,0)),"AKUN BARU"))</f>
        <v/>
      </c>
      <c r="L2057" s="34" t="str">
        <f aca="false">IF(K2057="LabaRugi",INDEX(I_COA!$D$6:$D$265,MATCH(D2057,I_COA!$A$6:$A$265,0)),"")</f>
        <v/>
      </c>
      <c r="M2057" s="34" t="str">
        <f aca="false">IF(K2057="Neraca",INDEX(I_COA!$E$6:$E$265,MATCH(D2057,I_COA!$A$6:$A$265,0)),"")</f>
        <v/>
      </c>
      <c r="N2057" s="34" t="str">
        <f aca="false">IF(D2057="","",IFERROR(INDEX(I_COA!$G$6:$G$265,MATCH(D2057,I_COA!$A$6:$A$265,0)),"N"))</f>
        <v/>
      </c>
      <c r="O2057" s="11" t="str">
        <f aca="false">IF(N2057="N",ABS(J2057),"")</f>
        <v/>
      </c>
      <c r="P2057" s="18" t="str">
        <f aca="false">IF(N2057="N",B2057&amp;"|"&amp;ROUND(O2057,0),"")</f>
        <v/>
      </c>
      <c r="Q2057" s="18" t="str">
        <f aca="false">IF(N2057&lt;&gt;"Y","",IFERROR(INDEX($D$6:$D$4005,MATCH(B2057&amp;"|"&amp;ROUND(_xlfn.MAXIFS($O$6:$O$4005,$B$6:$B$4005,B2057,$N$6:$N$4005,"N"),0),$P$6:$P$4005,0)),"(tanpa lawan)"))</f>
        <v/>
      </c>
      <c r="R2057" s="44"/>
      <c r="S2057" s="9" t="str">
        <f aca="false">IF(N2057&lt;&gt;"Y","",IF(R2057&lt;&gt;"",R2057,IF(Q2057="(tanpa lawan)","Transfer antar rekening",IFERROR(INDEX(I_COA!$F$6:$F$265,MATCH(Q2057,I_COA!$A$6:$A$265,0)),"?"))))</f>
        <v/>
      </c>
    </row>
    <row r="2058" customFormat="false" ht="15" hidden="false" customHeight="false" outlineLevel="0" collapsed="false">
      <c r="A2058" s="37"/>
      <c r="B2058" s="44"/>
      <c r="C2058" s="44"/>
      <c r="D2058" s="44"/>
      <c r="E2058" s="44"/>
      <c r="F2058" s="44"/>
      <c r="G2058" s="42"/>
      <c r="H2058" s="42"/>
      <c r="I2058" s="44"/>
      <c r="J2058" s="11" t="str">
        <f aca="false">IF(D2058="","",N(G2058)-N(H2058))</f>
        <v/>
      </c>
      <c r="K2058" s="34" t="str">
        <f aca="false">IF(D2058="","",IFERROR(INDEX(I_COA!$C$6:$C$265,MATCH(D2058,I_COA!$A$6:$A$265,0)),"AKUN BARU"))</f>
        <v/>
      </c>
      <c r="L2058" s="34" t="str">
        <f aca="false">IF(K2058="LabaRugi",INDEX(I_COA!$D$6:$D$265,MATCH(D2058,I_COA!$A$6:$A$265,0)),"")</f>
        <v/>
      </c>
      <c r="M2058" s="34" t="str">
        <f aca="false">IF(K2058="Neraca",INDEX(I_COA!$E$6:$E$265,MATCH(D2058,I_COA!$A$6:$A$265,0)),"")</f>
        <v/>
      </c>
      <c r="N2058" s="34" t="str">
        <f aca="false">IF(D2058="","",IFERROR(INDEX(I_COA!$G$6:$G$265,MATCH(D2058,I_COA!$A$6:$A$265,0)),"N"))</f>
        <v/>
      </c>
      <c r="O2058" s="11" t="str">
        <f aca="false">IF(N2058="N",ABS(J2058),"")</f>
        <v/>
      </c>
      <c r="P2058" s="18" t="str">
        <f aca="false">IF(N2058="N",B2058&amp;"|"&amp;ROUND(O2058,0),"")</f>
        <v/>
      </c>
      <c r="Q2058" s="18" t="str">
        <f aca="false">IF(N2058&lt;&gt;"Y","",IFERROR(INDEX($D$6:$D$4005,MATCH(B2058&amp;"|"&amp;ROUND(_xlfn.MAXIFS($O$6:$O$4005,$B$6:$B$4005,B2058,$N$6:$N$4005,"N"),0),$P$6:$P$4005,0)),"(tanpa lawan)"))</f>
        <v/>
      </c>
      <c r="R2058" s="44"/>
      <c r="S2058" s="9" t="str">
        <f aca="false">IF(N2058&lt;&gt;"Y","",IF(R2058&lt;&gt;"",R2058,IF(Q2058="(tanpa lawan)","Transfer antar rekening",IFERROR(INDEX(I_COA!$F$6:$F$265,MATCH(Q2058,I_COA!$A$6:$A$265,0)),"?"))))</f>
        <v/>
      </c>
    </row>
    <row r="2059" customFormat="false" ht="15" hidden="false" customHeight="false" outlineLevel="0" collapsed="false">
      <c r="A2059" s="37"/>
      <c r="B2059" s="44"/>
      <c r="C2059" s="44"/>
      <c r="D2059" s="44"/>
      <c r="E2059" s="44"/>
      <c r="F2059" s="44"/>
      <c r="G2059" s="42"/>
      <c r="H2059" s="42"/>
      <c r="I2059" s="44"/>
      <c r="J2059" s="11" t="str">
        <f aca="false">IF(D2059="","",N(G2059)-N(H2059))</f>
        <v/>
      </c>
      <c r="K2059" s="34" t="str">
        <f aca="false">IF(D2059="","",IFERROR(INDEX(I_COA!$C$6:$C$265,MATCH(D2059,I_COA!$A$6:$A$265,0)),"AKUN BARU"))</f>
        <v/>
      </c>
      <c r="L2059" s="34" t="str">
        <f aca="false">IF(K2059="LabaRugi",INDEX(I_COA!$D$6:$D$265,MATCH(D2059,I_COA!$A$6:$A$265,0)),"")</f>
        <v/>
      </c>
      <c r="M2059" s="34" t="str">
        <f aca="false">IF(K2059="Neraca",INDEX(I_COA!$E$6:$E$265,MATCH(D2059,I_COA!$A$6:$A$265,0)),"")</f>
        <v/>
      </c>
      <c r="N2059" s="34" t="str">
        <f aca="false">IF(D2059="","",IFERROR(INDEX(I_COA!$G$6:$G$265,MATCH(D2059,I_COA!$A$6:$A$265,0)),"N"))</f>
        <v/>
      </c>
      <c r="O2059" s="11" t="str">
        <f aca="false">IF(N2059="N",ABS(J2059),"")</f>
        <v/>
      </c>
      <c r="P2059" s="18" t="str">
        <f aca="false">IF(N2059="N",B2059&amp;"|"&amp;ROUND(O2059,0),"")</f>
        <v/>
      </c>
      <c r="Q2059" s="18" t="str">
        <f aca="false">IF(N2059&lt;&gt;"Y","",IFERROR(INDEX($D$6:$D$4005,MATCH(B2059&amp;"|"&amp;ROUND(_xlfn.MAXIFS($O$6:$O$4005,$B$6:$B$4005,B2059,$N$6:$N$4005,"N"),0),$P$6:$P$4005,0)),"(tanpa lawan)"))</f>
        <v/>
      </c>
      <c r="R2059" s="44"/>
      <c r="S2059" s="9" t="str">
        <f aca="false">IF(N2059&lt;&gt;"Y","",IF(R2059&lt;&gt;"",R2059,IF(Q2059="(tanpa lawan)","Transfer antar rekening",IFERROR(INDEX(I_COA!$F$6:$F$265,MATCH(Q2059,I_COA!$A$6:$A$265,0)),"?"))))</f>
        <v/>
      </c>
    </row>
    <row r="2060" customFormat="false" ht="15" hidden="false" customHeight="false" outlineLevel="0" collapsed="false">
      <c r="A2060" s="37"/>
      <c r="B2060" s="44"/>
      <c r="C2060" s="44"/>
      <c r="D2060" s="44"/>
      <c r="E2060" s="44"/>
      <c r="F2060" s="44"/>
      <c r="G2060" s="42"/>
      <c r="H2060" s="42"/>
      <c r="I2060" s="44"/>
      <c r="J2060" s="11" t="str">
        <f aca="false">IF(D2060="","",N(G2060)-N(H2060))</f>
        <v/>
      </c>
      <c r="K2060" s="34" t="str">
        <f aca="false">IF(D2060="","",IFERROR(INDEX(I_COA!$C$6:$C$265,MATCH(D2060,I_COA!$A$6:$A$265,0)),"AKUN BARU"))</f>
        <v/>
      </c>
      <c r="L2060" s="34" t="str">
        <f aca="false">IF(K2060="LabaRugi",INDEX(I_COA!$D$6:$D$265,MATCH(D2060,I_COA!$A$6:$A$265,0)),"")</f>
        <v/>
      </c>
      <c r="M2060" s="34" t="str">
        <f aca="false">IF(K2060="Neraca",INDEX(I_COA!$E$6:$E$265,MATCH(D2060,I_COA!$A$6:$A$265,0)),"")</f>
        <v/>
      </c>
      <c r="N2060" s="34" t="str">
        <f aca="false">IF(D2060="","",IFERROR(INDEX(I_COA!$G$6:$G$265,MATCH(D2060,I_COA!$A$6:$A$265,0)),"N"))</f>
        <v/>
      </c>
      <c r="O2060" s="11" t="str">
        <f aca="false">IF(N2060="N",ABS(J2060),"")</f>
        <v/>
      </c>
      <c r="P2060" s="18" t="str">
        <f aca="false">IF(N2060="N",B2060&amp;"|"&amp;ROUND(O2060,0),"")</f>
        <v/>
      </c>
      <c r="Q2060" s="18" t="str">
        <f aca="false">IF(N2060&lt;&gt;"Y","",IFERROR(INDEX($D$6:$D$4005,MATCH(B2060&amp;"|"&amp;ROUND(_xlfn.MAXIFS($O$6:$O$4005,$B$6:$B$4005,B2060,$N$6:$N$4005,"N"),0),$P$6:$P$4005,0)),"(tanpa lawan)"))</f>
        <v/>
      </c>
      <c r="R2060" s="44"/>
      <c r="S2060" s="9" t="str">
        <f aca="false">IF(N2060&lt;&gt;"Y","",IF(R2060&lt;&gt;"",R2060,IF(Q2060="(tanpa lawan)","Transfer antar rekening",IFERROR(INDEX(I_COA!$F$6:$F$265,MATCH(Q2060,I_COA!$A$6:$A$265,0)),"?"))))</f>
        <v/>
      </c>
    </row>
    <row r="2061" customFormat="false" ht="15" hidden="false" customHeight="false" outlineLevel="0" collapsed="false">
      <c r="A2061" s="37"/>
      <c r="B2061" s="44"/>
      <c r="C2061" s="44"/>
      <c r="D2061" s="44"/>
      <c r="E2061" s="44"/>
      <c r="F2061" s="44"/>
      <c r="G2061" s="42"/>
      <c r="H2061" s="42"/>
      <c r="I2061" s="44"/>
      <c r="J2061" s="11" t="str">
        <f aca="false">IF(D2061="","",N(G2061)-N(H2061))</f>
        <v/>
      </c>
      <c r="K2061" s="34" t="str">
        <f aca="false">IF(D2061="","",IFERROR(INDEX(I_COA!$C$6:$C$265,MATCH(D2061,I_COA!$A$6:$A$265,0)),"AKUN BARU"))</f>
        <v/>
      </c>
      <c r="L2061" s="34" t="str">
        <f aca="false">IF(K2061="LabaRugi",INDEX(I_COA!$D$6:$D$265,MATCH(D2061,I_COA!$A$6:$A$265,0)),"")</f>
        <v/>
      </c>
      <c r="M2061" s="34" t="str">
        <f aca="false">IF(K2061="Neraca",INDEX(I_COA!$E$6:$E$265,MATCH(D2061,I_COA!$A$6:$A$265,0)),"")</f>
        <v/>
      </c>
      <c r="N2061" s="34" t="str">
        <f aca="false">IF(D2061="","",IFERROR(INDEX(I_COA!$G$6:$G$265,MATCH(D2061,I_COA!$A$6:$A$265,0)),"N"))</f>
        <v/>
      </c>
      <c r="O2061" s="11" t="str">
        <f aca="false">IF(N2061="N",ABS(J2061),"")</f>
        <v/>
      </c>
      <c r="P2061" s="18" t="str">
        <f aca="false">IF(N2061="N",B2061&amp;"|"&amp;ROUND(O2061,0),"")</f>
        <v/>
      </c>
      <c r="Q2061" s="18" t="str">
        <f aca="false">IF(N2061&lt;&gt;"Y","",IFERROR(INDEX($D$6:$D$4005,MATCH(B2061&amp;"|"&amp;ROUND(_xlfn.MAXIFS($O$6:$O$4005,$B$6:$B$4005,B2061,$N$6:$N$4005,"N"),0),$P$6:$P$4005,0)),"(tanpa lawan)"))</f>
        <v/>
      </c>
      <c r="R2061" s="44"/>
      <c r="S2061" s="9" t="str">
        <f aca="false">IF(N2061&lt;&gt;"Y","",IF(R2061&lt;&gt;"",R2061,IF(Q2061="(tanpa lawan)","Transfer antar rekening",IFERROR(INDEX(I_COA!$F$6:$F$265,MATCH(Q2061,I_COA!$A$6:$A$265,0)),"?"))))</f>
        <v/>
      </c>
    </row>
    <row r="2062" customFormat="false" ht="15" hidden="false" customHeight="false" outlineLevel="0" collapsed="false">
      <c r="A2062" s="37"/>
      <c r="B2062" s="44"/>
      <c r="C2062" s="44"/>
      <c r="D2062" s="44"/>
      <c r="E2062" s="44"/>
      <c r="F2062" s="44"/>
      <c r="G2062" s="42"/>
      <c r="H2062" s="42"/>
      <c r="I2062" s="44"/>
      <c r="J2062" s="11" t="str">
        <f aca="false">IF(D2062="","",N(G2062)-N(H2062))</f>
        <v/>
      </c>
      <c r="K2062" s="34" t="str">
        <f aca="false">IF(D2062="","",IFERROR(INDEX(I_COA!$C$6:$C$265,MATCH(D2062,I_COA!$A$6:$A$265,0)),"AKUN BARU"))</f>
        <v/>
      </c>
      <c r="L2062" s="34" t="str">
        <f aca="false">IF(K2062="LabaRugi",INDEX(I_COA!$D$6:$D$265,MATCH(D2062,I_COA!$A$6:$A$265,0)),"")</f>
        <v/>
      </c>
      <c r="M2062" s="34" t="str">
        <f aca="false">IF(K2062="Neraca",INDEX(I_COA!$E$6:$E$265,MATCH(D2062,I_COA!$A$6:$A$265,0)),"")</f>
        <v/>
      </c>
      <c r="N2062" s="34" t="str">
        <f aca="false">IF(D2062="","",IFERROR(INDEX(I_COA!$G$6:$G$265,MATCH(D2062,I_COA!$A$6:$A$265,0)),"N"))</f>
        <v/>
      </c>
      <c r="O2062" s="11" t="str">
        <f aca="false">IF(N2062="N",ABS(J2062),"")</f>
        <v/>
      </c>
      <c r="P2062" s="18" t="str">
        <f aca="false">IF(N2062="N",B2062&amp;"|"&amp;ROUND(O2062,0),"")</f>
        <v/>
      </c>
      <c r="Q2062" s="18" t="str">
        <f aca="false">IF(N2062&lt;&gt;"Y","",IFERROR(INDEX($D$6:$D$4005,MATCH(B2062&amp;"|"&amp;ROUND(_xlfn.MAXIFS($O$6:$O$4005,$B$6:$B$4005,B2062,$N$6:$N$4005,"N"),0),$P$6:$P$4005,0)),"(tanpa lawan)"))</f>
        <v/>
      </c>
      <c r="R2062" s="44"/>
      <c r="S2062" s="9" t="str">
        <f aca="false">IF(N2062&lt;&gt;"Y","",IF(R2062&lt;&gt;"",R2062,IF(Q2062="(tanpa lawan)","Transfer antar rekening",IFERROR(INDEX(I_COA!$F$6:$F$265,MATCH(Q2062,I_COA!$A$6:$A$265,0)),"?"))))</f>
        <v/>
      </c>
    </row>
    <row r="2063" customFormat="false" ht="15" hidden="false" customHeight="false" outlineLevel="0" collapsed="false">
      <c r="A2063" s="37"/>
      <c r="B2063" s="44"/>
      <c r="C2063" s="44"/>
      <c r="D2063" s="44"/>
      <c r="E2063" s="44"/>
      <c r="F2063" s="44"/>
      <c r="G2063" s="42"/>
      <c r="H2063" s="42"/>
      <c r="I2063" s="44"/>
      <c r="J2063" s="11" t="str">
        <f aca="false">IF(D2063="","",N(G2063)-N(H2063))</f>
        <v/>
      </c>
      <c r="K2063" s="34" t="str">
        <f aca="false">IF(D2063="","",IFERROR(INDEX(I_COA!$C$6:$C$265,MATCH(D2063,I_COA!$A$6:$A$265,0)),"AKUN BARU"))</f>
        <v/>
      </c>
      <c r="L2063" s="34" t="str">
        <f aca="false">IF(K2063="LabaRugi",INDEX(I_COA!$D$6:$D$265,MATCH(D2063,I_COA!$A$6:$A$265,0)),"")</f>
        <v/>
      </c>
      <c r="M2063" s="34" t="str">
        <f aca="false">IF(K2063="Neraca",INDEX(I_COA!$E$6:$E$265,MATCH(D2063,I_COA!$A$6:$A$265,0)),"")</f>
        <v/>
      </c>
      <c r="N2063" s="34" t="str">
        <f aca="false">IF(D2063="","",IFERROR(INDEX(I_COA!$G$6:$G$265,MATCH(D2063,I_COA!$A$6:$A$265,0)),"N"))</f>
        <v/>
      </c>
      <c r="O2063" s="11" t="str">
        <f aca="false">IF(N2063="N",ABS(J2063),"")</f>
        <v/>
      </c>
      <c r="P2063" s="18" t="str">
        <f aca="false">IF(N2063="N",B2063&amp;"|"&amp;ROUND(O2063,0),"")</f>
        <v/>
      </c>
      <c r="Q2063" s="18" t="str">
        <f aca="false">IF(N2063&lt;&gt;"Y","",IFERROR(INDEX($D$6:$D$4005,MATCH(B2063&amp;"|"&amp;ROUND(_xlfn.MAXIFS($O$6:$O$4005,$B$6:$B$4005,B2063,$N$6:$N$4005,"N"),0),$P$6:$P$4005,0)),"(tanpa lawan)"))</f>
        <v/>
      </c>
      <c r="R2063" s="44"/>
      <c r="S2063" s="9" t="str">
        <f aca="false">IF(N2063&lt;&gt;"Y","",IF(R2063&lt;&gt;"",R2063,IF(Q2063="(tanpa lawan)","Transfer antar rekening",IFERROR(INDEX(I_COA!$F$6:$F$265,MATCH(Q2063,I_COA!$A$6:$A$265,0)),"?"))))</f>
        <v/>
      </c>
    </row>
    <row r="2064" customFormat="false" ht="15" hidden="false" customHeight="false" outlineLevel="0" collapsed="false">
      <c r="A2064" s="37"/>
      <c r="B2064" s="44"/>
      <c r="C2064" s="44"/>
      <c r="D2064" s="44"/>
      <c r="E2064" s="44"/>
      <c r="F2064" s="44"/>
      <c r="G2064" s="42"/>
      <c r="H2064" s="42"/>
      <c r="I2064" s="44"/>
      <c r="J2064" s="11" t="str">
        <f aca="false">IF(D2064="","",N(G2064)-N(H2064))</f>
        <v/>
      </c>
      <c r="K2064" s="34" t="str">
        <f aca="false">IF(D2064="","",IFERROR(INDEX(I_COA!$C$6:$C$265,MATCH(D2064,I_COA!$A$6:$A$265,0)),"AKUN BARU"))</f>
        <v/>
      </c>
      <c r="L2064" s="34" t="str">
        <f aca="false">IF(K2064="LabaRugi",INDEX(I_COA!$D$6:$D$265,MATCH(D2064,I_COA!$A$6:$A$265,0)),"")</f>
        <v/>
      </c>
      <c r="M2064" s="34" t="str">
        <f aca="false">IF(K2064="Neraca",INDEX(I_COA!$E$6:$E$265,MATCH(D2064,I_COA!$A$6:$A$265,0)),"")</f>
        <v/>
      </c>
      <c r="N2064" s="34" t="str">
        <f aca="false">IF(D2064="","",IFERROR(INDEX(I_COA!$G$6:$G$265,MATCH(D2064,I_COA!$A$6:$A$265,0)),"N"))</f>
        <v/>
      </c>
      <c r="O2064" s="11" t="str">
        <f aca="false">IF(N2064="N",ABS(J2064),"")</f>
        <v/>
      </c>
      <c r="P2064" s="18" t="str">
        <f aca="false">IF(N2064="N",B2064&amp;"|"&amp;ROUND(O2064,0),"")</f>
        <v/>
      </c>
      <c r="Q2064" s="18" t="str">
        <f aca="false">IF(N2064&lt;&gt;"Y","",IFERROR(INDEX($D$6:$D$4005,MATCH(B2064&amp;"|"&amp;ROUND(_xlfn.MAXIFS($O$6:$O$4005,$B$6:$B$4005,B2064,$N$6:$N$4005,"N"),0),$P$6:$P$4005,0)),"(tanpa lawan)"))</f>
        <v/>
      </c>
      <c r="R2064" s="44"/>
      <c r="S2064" s="9" t="str">
        <f aca="false">IF(N2064&lt;&gt;"Y","",IF(R2064&lt;&gt;"",R2064,IF(Q2064="(tanpa lawan)","Transfer antar rekening",IFERROR(INDEX(I_COA!$F$6:$F$265,MATCH(Q2064,I_COA!$A$6:$A$265,0)),"?"))))</f>
        <v/>
      </c>
    </row>
    <row r="2065" customFormat="false" ht="15" hidden="false" customHeight="false" outlineLevel="0" collapsed="false">
      <c r="A2065" s="37"/>
      <c r="B2065" s="44"/>
      <c r="C2065" s="44"/>
      <c r="D2065" s="44"/>
      <c r="E2065" s="44"/>
      <c r="F2065" s="44"/>
      <c r="G2065" s="42"/>
      <c r="H2065" s="42"/>
      <c r="I2065" s="44"/>
      <c r="J2065" s="11" t="str">
        <f aca="false">IF(D2065="","",N(G2065)-N(H2065))</f>
        <v/>
      </c>
      <c r="K2065" s="34" t="str">
        <f aca="false">IF(D2065="","",IFERROR(INDEX(I_COA!$C$6:$C$265,MATCH(D2065,I_COA!$A$6:$A$265,0)),"AKUN BARU"))</f>
        <v/>
      </c>
      <c r="L2065" s="34" t="str">
        <f aca="false">IF(K2065="LabaRugi",INDEX(I_COA!$D$6:$D$265,MATCH(D2065,I_COA!$A$6:$A$265,0)),"")</f>
        <v/>
      </c>
      <c r="M2065" s="34" t="str">
        <f aca="false">IF(K2065="Neraca",INDEX(I_COA!$E$6:$E$265,MATCH(D2065,I_COA!$A$6:$A$265,0)),"")</f>
        <v/>
      </c>
      <c r="N2065" s="34" t="str">
        <f aca="false">IF(D2065="","",IFERROR(INDEX(I_COA!$G$6:$G$265,MATCH(D2065,I_COA!$A$6:$A$265,0)),"N"))</f>
        <v/>
      </c>
      <c r="O2065" s="11" t="str">
        <f aca="false">IF(N2065="N",ABS(J2065),"")</f>
        <v/>
      </c>
      <c r="P2065" s="18" t="str">
        <f aca="false">IF(N2065="N",B2065&amp;"|"&amp;ROUND(O2065,0),"")</f>
        <v/>
      </c>
      <c r="Q2065" s="18" t="str">
        <f aca="false">IF(N2065&lt;&gt;"Y","",IFERROR(INDEX($D$6:$D$4005,MATCH(B2065&amp;"|"&amp;ROUND(_xlfn.MAXIFS($O$6:$O$4005,$B$6:$B$4005,B2065,$N$6:$N$4005,"N"),0),$P$6:$P$4005,0)),"(tanpa lawan)"))</f>
        <v/>
      </c>
      <c r="R2065" s="44"/>
      <c r="S2065" s="9" t="str">
        <f aca="false">IF(N2065&lt;&gt;"Y","",IF(R2065&lt;&gt;"",R2065,IF(Q2065="(tanpa lawan)","Transfer antar rekening",IFERROR(INDEX(I_COA!$F$6:$F$265,MATCH(Q2065,I_COA!$A$6:$A$265,0)),"?"))))</f>
        <v/>
      </c>
    </row>
    <row r="2066" customFormat="false" ht="15" hidden="false" customHeight="false" outlineLevel="0" collapsed="false">
      <c r="A2066" s="37"/>
      <c r="B2066" s="44"/>
      <c r="C2066" s="44"/>
      <c r="D2066" s="44"/>
      <c r="E2066" s="44"/>
      <c r="F2066" s="44"/>
      <c r="G2066" s="42"/>
      <c r="H2066" s="42"/>
      <c r="I2066" s="44"/>
      <c r="J2066" s="11" t="str">
        <f aca="false">IF(D2066="","",N(G2066)-N(H2066))</f>
        <v/>
      </c>
      <c r="K2066" s="34" t="str">
        <f aca="false">IF(D2066="","",IFERROR(INDEX(I_COA!$C$6:$C$265,MATCH(D2066,I_COA!$A$6:$A$265,0)),"AKUN BARU"))</f>
        <v/>
      </c>
      <c r="L2066" s="34" t="str">
        <f aca="false">IF(K2066="LabaRugi",INDEX(I_COA!$D$6:$D$265,MATCH(D2066,I_COA!$A$6:$A$265,0)),"")</f>
        <v/>
      </c>
      <c r="M2066" s="34" t="str">
        <f aca="false">IF(K2066="Neraca",INDEX(I_COA!$E$6:$E$265,MATCH(D2066,I_COA!$A$6:$A$265,0)),"")</f>
        <v/>
      </c>
      <c r="N2066" s="34" t="str">
        <f aca="false">IF(D2066="","",IFERROR(INDEX(I_COA!$G$6:$G$265,MATCH(D2066,I_COA!$A$6:$A$265,0)),"N"))</f>
        <v/>
      </c>
      <c r="O2066" s="11" t="str">
        <f aca="false">IF(N2066="N",ABS(J2066),"")</f>
        <v/>
      </c>
      <c r="P2066" s="18" t="str">
        <f aca="false">IF(N2066="N",B2066&amp;"|"&amp;ROUND(O2066,0),"")</f>
        <v/>
      </c>
      <c r="Q2066" s="18" t="str">
        <f aca="false">IF(N2066&lt;&gt;"Y","",IFERROR(INDEX($D$6:$D$4005,MATCH(B2066&amp;"|"&amp;ROUND(_xlfn.MAXIFS($O$6:$O$4005,$B$6:$B$4005,B2066,$N$6:$N$4005,"N"),0),$P$6:$P$4005,0)),"(tanpa lawan)"))</f>
        <v/>
      </c>
      <c r="R2066" s="44"/>
      <c r="S2066" s="9" t="str">
        <f aca="false">IF(N2066&lt;&gt;"Y","",IF(R2066&lt;&gt;"",R2066,IF(Q2066="(tanpa lawan)","Transfer antar rekening",IFERROR(INDEX(I_COA!$F$6:$F$265,MATCH(Q2066,I_COA!$A$6:$A$265,0)),"?"))))</f>
        <v/>
      </c>
    </row>
    <row r="2067" customFormat="false" ht="15" hidden="false" customHeight="false" outlineLevel="0" collapsed="false">
      <c r="A2067" s="37"/>
      <c r="B2067" s="44"/>
      <c r="C2067" s="44"/>
      <c r="D2067" s="44"/>
      <c r="E2067" s="44"/>
      <c r="F2067" s="44"/>
      <c r="G2067" s="42"/>
      <c r="H2067" s="42"/>
      <c r="I2067" s="44"/>
      <c r="J2067" s="11" t="str">
        <f aca="false">IF(D2067="","",N(G2067)-N(H2067))</f>
        <v/>
      </c>
      <c r="K2067" s="34" t="str">
        <f aca="false">IF(D2067="","",IFERROR(INDEX(I_COA!$C$6:$C$265,MATCH(D2067,I_COA!$A$6:$A$265,0)),"AKUN BARU"))</f>
        <v/>
      </c>
      <c r="L2067" s="34" t="str">
        <f aca="false">IF(K2067="LabaRugi",INDEX(I_COA!$D$6:$D$265,MATCH(D2067,I_COA!$A$6:$A$265,0)),"")</f>
        <v/>
      </c>
      <c r="M2067" s="34" t="str">
        <f aca="false">IF(K2067="Neraca",INDEX(I_COA!$E$6:$E$265,MATCH(D2067,I_COA!$A$6:$A$265,0)),"")</f>
        <v/>
      </c>
      <c r="N2067" s="34" t="str">
        <f aca="false">IF(D2067="","",IFERROR(INDEX(I_COA!$G$6:$G$265,MATCH(D2067,I_COA!$A$6:$A$265,0)),"N"))</f>
        <v/>
      </c>
      <c r="O2067" s="11" t="str">
        <f aca="false">IF(N2067="N",ABS(J2067),"")</f>
        <v/>
      </c>
      <c r="P2067" s="18" t="str">
        <f aca="false">IF(N2067="N",B2067&amp;"|"&amp;ROUND(O2067,0),"")</f>
        <v/>
      </c>
      <c r="Q2067" s="18" t="str">
        <f aca="false">IF(N2067&lt;&gt;"Y","",IFERROR(INDEX($D$6:$D$4005,MATCH(B2067&amp;"|"&amp;ROUND(_xlfn.MAXIFS($O$6:$O$4005,$B$6:$B$4005,B2067,$N$6:$N$4005,"N"),0),$P$6:$P$4005,0)),"(tanpa lawan)"))</f>
        <v/>
      </c>
      <c r="R2067" s="44"/>
      <c r="S2067" s="9" t="str">
        <f aca="false">IF(N2067&lt;&gt;"Y","",IF(R2067&lt;&gt;"",R2067,IF(Q2067="(tanpa lawan)","Transfer antar rekening",IFERROR(INDEX(I_COA!$F$6:$F$265,MATCH(Q2067,I_COA!$A$6:$A$265,0)),"?"))))</f>
        <v/>
      </c>
    </row>
    <row r="2068" customFormat="false" ht="15" hidden="false" customHeight="false" outlineLevel="0" collapsed="false">
      <c r="A2068" s="37"/>
      <c r="B2068" s="44"/>
      <c r="C2068" s="44"/>
      <c r="D2068" s="44"/>
      <c r="E2068" s="44"/>
      <c r="F2068" s="44"/>
      <c r="G2068" s="42"/>
      <c r="H2068" s="42"/>
      <c r="I2068" s="44"/>
      <c r="J2068" s="11" t="str">
        <f aca="false">IF(D2068="","",N(G2068)-N(H2068))</f>
        <v/>
      </c>
      <c r="K2068" s="34" t="str">
        <f aca="false">IF(D2068="","",IFERROR(INDEX(I_COA!$C$6:$C$265,MATCH(D2068,I_COA!$A$6:$A$265,0)),"AKUN BARU"))</f>
        <v/>
      </c>
      <c r="L2068" s="34" t="str">
        <f aca="false">IF(K2068="LabaRugi",INDEX(I_COA!$D$6:$D$265,MATCH(D2068,I_COA!$A$6:$A$265,0)),"")</f>
        <v/>
      </c>
      <c r="M2068" s="34" t="str">
        <f aca="false">IF(K2068="Neraca",INDEX(I_COA!$E$6:$E$265,MATCH(D2068,I_COA!$A$6:$A$265,0)),"")</f>
        <v/>
      </c>
      <c r="N2068" s="34" t="str">
        <f aca="false">IF(D2068="","",IFERROR(INDEX(I_COA!$G$6:$G$265,MATCH(D2068,I_COA!$A$6:$A$265,0)),"N"))</f>
        <v/>
      </c>
      <c r="O2068" s="11" t="str">
        <f aca="false">IF(N2068="N",ABS(J2068),"")</f>
        <v/>
      </c>
      <c r="P2068" s="18" t="str">
        <f aca="false">IF(N2068="N",B2068&amp;"|"&amp;ROUND(O2068,0),"")</f>
        <v/>
      </c>
      <c r="Q2068" s="18" t="str">
        <f aca="false">IF(N2068&lt;&gt;"Y","",IFERROR(INDEX($D$6:$D$4005,MATCH(B2068&amp;"|"&amp;ROUND(_xlfn.MAXIFS($O$6:$O$4005,$B$6:$B$4005,B2068,$N$6:$N$4005,"N"),0),$P$6:$P$4005,0)),"(tanpa lawan)"))</f>
        <v/>
      </c>
      <c r="R2068" s="44"/>
      <c r="S2068" s="9" t="str">
        <f aca="false">IF(N2068&lt;&gt;"Y","",IF(R2068&lt;&gt;"",R2068,IF(Q2068="(tanpa lawan)","Transfer antar rekening",IFERROR(INDEX(I_COA!$F$6:$F$265,MATCH(Q2068,I_COA!$A$6:$A$265,0)),"?"))))</f>
        <v/>
      </c>
    </row>
    <row r="2069" customFormat="false" ht="15" hidden="false" customHeight="false" outlineLevel="0" collapsed="false">
      <c r="A2069" s="37"/>
      <c r="B2069" s="44"/>
      <c r="C2069" s="44"/>
      <c r="D2069" s="44"/>
      <c r="E2069" s="44"/>
      <c r="F2069" s="44"/>
      <c r="G2069" s="42"/>
      <c r="H2069" s="42"/>
      <c r="I2069" s="44"/>
      <c r="J2069" s="11" t="str">
        <f aca="false">IF(D2069="","",N(G2069)-N(H2069))</f>
        <v/>
      </c>
      <c r="K2069" s="34" t="str">
        <f aca="false">IF(D2069="","",IFERROR(INDEX(I_COA!$C$6:$C$265,MATCH(D2069,I_COA!$A$6:$A$265,0)),"AKUN BARU"))</f>
        <v/>
      </c>
      <c r="L2069" s="34" t="str">
        <f aca="false">IF(K2069="LabaRugi",INDEX(I_COA!$D$6:$D$265,MATCH(D2069,I_COA!$A$6:$A$265,0)),"")</f>
        <v/>
      </c>
      <c r="M2069" s="34" t="str">
        <f aca="false">IF(K2069="Neraca",INDEX(I_COA!$E$6:$E$265,MATCH(D2069,I_COA!$A$6:$A$265,0)),"")</f>
        <v/>
      </c>
      <c r="N2069" s="34" t="str">
        <f aca="false">IF(D2069="","",IFERROR(INDEX(I_COA!$G$6:$G$265,MATCH(D2069,I_COA!$A$6:$A$265,0)),"N"))</f>
        <v/>
      </c>
      <c r="O2069" s="11" t="str">
        <f aca="false">IF(N2069="N",ABS(J2069),"")</f>
        <v/>
      </c>
      <c r="P2069" s="18" t="str">
        <f aca="false">IF(N2069="N",B2069&amp;"|"&amp;ROUND(O2069,0),"")</f>
        <v/>
      </c>
      <c r="Q2069" s="18" t="str">
        <f aca="false">IF(N2069&lt;&gt;"Y","",IFERROR(INDEX($D$6:$D$4005,MATCH(B2069&amp;"|"&amp;ROUND(_xlfn.MAXIFS($O$6:$O$4005,$B$6:$B$4005,B2069,$N$6:$N$4005,"N"),0),$P$6:$P$4005,0)),"(tanpa lawan)"))</f>
        <v/>
      </c>
      <c r="R2069" s="44"/>
      <c r="S2069" s="9" t="str">
        <f aca="false">IF(N2069&lt;&gt;"Y","",IF(R2069&lt;&gt;"",R2069,IF(Q2069="(tanpa lawan)","Transfer antar rekening",IFERROR(INDEX(I_COA!$F$6:$F$265,MATCH(Q2069,I_COA!$A$6:$A$265,0)),"?"))))</f>
        <v/>
      </c>
    </row>
    <row r="2070" customFormat="false" ht="15" hidden="false" customHeight="false" outlineLevel="0" collapsed="false">
      <c r="A2070" s="37"/>
      <c r="B2070" s="44"/>
      <c r="C2070" s="44"/>
      <c r="D2070" s="44"/>
      <c r="E2070" s="44"/>
      <c r="F2070" s="44"/>
      <c r="G2070" s="42"/>
      <c r="H2070" s="42"/>
      <c r="I2070" s="44"/>
      <c r="J2070" s="11" t="str">
        <f aca="false">IF(D2070="","",N(G2070)-N(H2070))</f>
        <v/>
      </c>
      <c r="K2070" s="34" t="str">
        <f aca="false">IF(D2070="","",IFERROR(INDEX(I_COA!$C$6:$C$265,MATCH(D2070,I_COA!$A$6:$A$265,0)),"AKUN BARU"))</f>
        <v/>
      </c>
      <c r="L2070" s="34" t="str">
        <f aca="false">IF(K2070="LabaRugi",INDEX(I_COA!$D$6:$D$265,MATCH(D2070,I_COA!$A$6:$A$265,0)),"")</f>
        <v/>
      </c>
      <c r="M2070" s="34" t="str">
        <f aca="false">IF(K2070="Neraca",INDEX(I_COA!$E$6:$E$265,MATCH(D2070,I_COA!$A$6:$A$265,0)),"")</f>
        <v/>
      </c>
      <c r="N2070" s="34" t="str">
        <f aca="false">IF(D2070="","",IFERROR(INDEX(I_COA!$G$6:$G$265,MATCH(D2070,I_COA!$A$6:$A$265,0)),"N"))</f>
        <v/>
      </c>
      <c r="O2070" s="11" t="str">
        <f aca="false">IF(N2070="N",ABS(J2070),"")</f>
        <v/>
      </c>
      <c r="P2070" s="18" t="str">
        <f aca="false">IF(N2070="N",B2070&amp;"|"&amp;ROUND(O2070,0),"")</f>
        <v/>
      </c>
      <c r="Q2070" s="18" t="str">
        <f aca="false">IF(N2070&lt;&gt;"Y","",IFERROR(INDEX($D$6:$D$4005,MATCH(B2070&amp;"|"&amp;ROUND(_xlfn.MAXIFS($O$6:$O$4005,$B$6:$B$4005,B2070,$N$6:$N$4005,"N"),0),$P$6:$P$4005,0)),"(tanpa lawan)"))</f>
        <v/>
      </c>
      <c r="R2070" s="44"/>
      <c r="S2070" s="9" t="str">
        <f aca="false">IF(N2070&lt;&gt;"Y","",IF(R2070&lt;&gt;"",R2070,IF(Q2070="(tanpa lawan)","Transfer antar rekening",IFERROR(INDEX(I_COA!$F$6:$F$265,MATCH(Q2070,I_COA!$A$6:$A$265,0)),"?"))))</f>
        <v/>
      </c>
    </row>
    <row r="2071" customFormat="false" ht="15" hidden="false" customHeight="false" outlineLevel="0" collapsed="false">
      <c r="A2071" s="37"/>
      <c r="B2071" s="44"/>
      <c r="C2071" s="44"/>
      <c r="D2071" s="44"/>
      <c r="E2071" s="44"/>
      <c r="F2071" s="44"/>
      <c r="G2071" s="42"/>
      <c r="H2071" s="42"/>
      <c r="I2071" s="44"/>
      <c r="J2071" s="11" t="str">
        <f aca="false">IF(D2071="","",N(G2071)-N(H2071))</f>
        <v/>
      </c>
      <c r="K2071" s="34" t="str">
        <f aca="false">IF(D2071="","",IFERROR(INDEX(I_COA!$C$6:$C$265,MATCH(D2071,I_COA!$A$6:$A$265,0)),"AKUN BARU"))</f>
        <v/>
      </c>
      <c r="L2071" s="34" t="str">
        <f aca="false">IF(K2071="LabaRugi",INDEX(I_COA!$D$6:$D$265,MATCH(D2071,I_COA!$A$6:$A$265,0)),"")</f>
        <v/>
      </c>
      <c r="M2071" s="34" t="str">
        <f aca="false">IF(K2071="Neraca",INDEX(I_COA!$E$6:$E$265,MATCH(D2071,I_COA!$A$6:$A$265,0)),"")</f>
        <v/>
      </c>
      <c r="N2071" s="34" t="str">
        <f aca="false">IF(D2071="","",IFERROR(INDEX(I_COA!$G$6:$G$265,MATCH(D2071,I_COA!$A$6:$A$265,0)),"N"))</f>
        <v/>
      </c>
      <c r="O2071" s="11" t="str">
        <f aca="false">IF(N2071="N",ABS(J2071),"")</f>
        <v/>
      </c>
      <c r="P2071" s="18" t="str">
        <f aca="false">IF(N2071="N",B2071&amp;"|"&amp;ROUND(O2071,0),"")</f>
        <v/>
      </c>
      <c r="Q2071" s="18" t="str">
        <f aca="false">IF(N2071&lt;&gt;"Y","",IFERROR(INDEX($D$6:$D$4005,MATCH(B2071&amp;"|"&amp;ROUND(_xlfn.MAXIFS($O$6:$O$4005,$B$6:$B$4005,B2071,$N$6:$N$4005,"N"),0),$P$6:$P$4005,0)),"(tanpa lawan)"))</f>
        <v/>
      </c>
      <c r="R2071" s="44"/>
      <c r="S2071" s="9" t="str">
        <f aca="false">IF(N2071&lt;&gt;"Y","",IF(R2071&lt;&gt;"",R2071,IF(Q2071="(tanpa lawan)","Transfer antar rekening",IFERROR(INDEX(I_COA!$F$6:$F$265,MATCH(Q2071,I_COA!$A$6:$A$265,0)),"?"))))</f>
        <v/>
      </c>
    </row>
    <row r="2072" customFormat="false" ht="15" hidden="false" customHeight="false" outlineLevel="0" collapsed="false">
      <c r="A2072" s="37"/>
      <c r="B2072" s="44"/>
      <c r="C2072" s="44"/>
      <c r="D2072" s="44"/>
      <c r="E2072" s="44"/>
      <c r="F2072" s="44"/>
      <c r="G2072" s="42"/>
      <c r="H2072" s="42"/>
      <c r="I2072" s="44"/>
      <c r="J2072" s="11" t="str">
        <f aca="false">IF(D2072="","",N(G2072)-N(H2072))</f>
        <v/>
      </c>
      <c r="K2072" s="34" t="str">
        <f aca="false">IF(D2072="","",IFERROR(INDEX(I_COA!$C$6:$C$265,MATCH(D2072,I_COA!$A$6:$A$265,0)),"AKUN BARU"))</f>
        <v/>
      </c>
      <c r="L2072" s="34" t="str">
        <f aca="false">IF(K2072="LabaRugi",INDEX(I_COA!$D$6:$D$265,MATCH(D2072,I_COA!$A$6:$A$265,0)),"")</f>
        <v/>
      </c>
      <c r="M2072" s="34" t="str">
        <f aca="false">IF(K2072="Neraca",INDEX(I_COA!$E$6:$E$265,MATCH(D2072,I_COA!$A$6:$A$265,0)),"")</f>
        <v/>
      </c>
      <c r="N2072" s="34" t="str">
        <f aca="false">IF(D2072="","",IFERROR(INDEX(I_COA!$G$6:$G$265,MATCH(D2072,I_COA!$A$6:$A$265,0)),"N"))</f>
        <v/>
      </c>
      <c r="O2072" s="11" t="str">
        <f aca="false">IF(N2072="N",ABS(J2072),"")</f>
        <v/>
      </c>
      <c r="P2072" s="18" t="str">
        <f aca="false">IF(N2072="N",B2072&amp;"|"&amp;ROUND(O2072,0),"")</f>
        <v/>
      </c>
      <c r="Q2072" s="18" t="str">
        <f aca="false">IF(N2072&lt;&gt;"Y","",IFERROR(INDEX($D$6:$D$4005,MATCH(B2072&amp;"|"&amp;ROUND(_xlfn.MAXIFS($O$6:$O$4005,$B$6:$B$4005,B2072,$N$6:$N$4005,"N"),0),$P$6:$P$4005,0)),"(tanpa lawan)"))</f>
        <v/>
      </c>
      <c r="R2072" s="44"/>
      <c r="S2072" s="9" t="str">
        <f aca="false">IF(N2072&lt;&gt;"Y","",IF(R2072&lt;&gt;"",R2072,IF(Q2072="(tanpa lawan)","Transfer antar rekening",IFERROR(INDEX(I_COA!$F$6:$F$265,MATCH(Q2072,I_COA!$A$6:$A$265,0)),"?"))))</f>
        <v/>
      </c>
    </row>
    <row r="2073" customFormat="false" ht="15" hidden="false" customHeight="false" outlineLevel="0" collapsed="false">
      <c r="A2073" s="37"/>
      <c r="B2073" s="44"/>
      <c r="C2073" s="44"/>
      <c r="D2073" s="44"/>
      <c r="E2073" s="44"/>
      <c r="F2073" s="44"/>
      <c r="G2073" s="42"/>
      <c r="H2073" s="42"/>
      <c r="I2073" s="44"/>
      <c r="J2073" s="11" t="str">
        <f aca="false">IF(D2073="","",N(G2073)-N(H2073))</f>
        <v/>
      </c>
      <c r="K2073" s="34" t="str">
        <f aca="false">IF(D2073="","",IFERROR(INDEX(I_COA!$C$6:$C$265,MATCH(D2073,I_COA!$A$6:$A$265,0)),"AKUN BARU"))</f>
        <v/>
      </c>
      <c r="L2073" s="34" t="str">
        <f aca="false">IF(K2073="LabaRugi",INDEX(I_COA!$D$6:$D$265,MATCH(D2073,I_COA!$A$6:$A$265,0)),"")</f>
        <v/>
      </c>
      <c r="M2073" s="34" t="str">
        <f aca="false">IF(K2073="Neraca",INDEX(I_COA!$E$6:$E$265,MATCH(D2073,I_COA!$A$6:$A$265,0)),"")</f>
        <v/>
      </c>
      <c r="N2073" s="34" t="str">
        <f aca="false">IF(D2073="","",IFERROR(INDEX(I_COA!$G$6:$G$265,MATCH(D2073,I_COA!$A$6:$A$265,0)),"N"))</f>
        <v/>
      </c>
      <c r="O2073" s="11" t="str">
        <f aca="false">IF(N2073="N",ABS(J2073),"")</f>
        <v/>
      </c>
      <c r="P2073" s="18" t="str">
        <f aca="false">IF(N2073="N",B2073&amp;"|"&amp;ROUND(O2073,0),"")</f>
        <v/>
      </c>
      <c r="Q2073" s="18" t="str">
        <f aca="false">IF(N2073&lt;&gt;"Y","",IFERROR(INDEX($D$6:$D$4005,MATCH(B2073&amp;"|"&amp;ROUND(_xlfn.MAXIFS($O$6:$O$4005,$B$6:$B$4005,B2073,$N$6:$N$4005,"N"),0),$P$6:$P$4005,0)),"(tanpa lawan)"))</f>
        <v/>
      </c>
      <c r="R2073" s="44"/>
      <c r="S2073" s="9" t="str">
        <f aca="false">IF(N2073&lt;&gt;"Y","",IF(R2073&lt;&gt;"",R2073,IF(Q2073="(tanpa lawan)","Transfer antar rekening",IFERROR(INDEX(I_COA!$F$6:$F$265,MATCH(Q2073,I_COA!$A$6:$A$265,0)),"?"))))</f>
        <v/>
      </c>
    </row>
    <row r="2074" customFormat="false" ht="15" hidden="false" customHeight="false" outlineLevel="0" collapsed="false">
      <c r="A2074" s="37"/>
      <c r="B2074" s="44"/>
      <c r="C2074" s="44"/>
      <c r="D2074" s="44"/>
      <c r="E2074" s="44"/>
      <c r="F2074" s="44"/>
      <c r="G2074" s="42"/>
      <c r="H2074" s="42"/>
      <c r="I2074" s="44"/>
      <c r="J2074" s="11" t="str">
        <f aca="false">IF(D2074="","",N(G2074)-N(H2074))</f>
        <v/>
      </c>
      <c r="K2074" s="34" t="str">
        <f aca="false">IF(D2074="","",IFERROR(INDEX(I_COA!$C$6:$C$265,MATCH(D2074,I_COA!$A$6:$A$265,0)),"AKUN BARU"))</f>
        <v/>
      </c>
      <c r="L2074" s="34" t="str">
        <f aca="false">IF(K2074="LabaRugi",INDEX(I_COA!$D$6:$D$265,MATCH(D2074,I_COA!$A$6:$A$265,0)),"")</f>
        <v/>
      </c>
      <c r="M2074" s="34" t="str">
        <f aca="false">IF(K2074="Neraca",INDEX(I_COA!$E$6:$E$265,MATCH(D2074,I_COA!$A$6:$A$265,0)),"")</f>
        <v/>
      </c>
      <c r="N2074" s="34" t="str">
        <f aca="false">IF(D2074="","",IFERROR(INDEX(I_COA!$G$6:$G$265,MATCH(D2074,I_COA!$A$6:$A$265,0)),"N"))</f>
        <v/>
      </c>
      <c r="O2074" s="11" t="str">
        <f aca="false">IF(N2074="N",ABS(J2074),"")</f>
        <v/>
      </c>
      <c r="P2074" s="18" t="str">
        <f aca="false">IF(N2074="N",B2074&amp;"|"&amp;ROUND(O2074,0),"")</f>
        <v/>
      </c>
      <c r="Q2074" s="18" t="str">
        <f aca="false">IF(N2074&lt;&gt;"Y","",IFERROR(INDEX($D$6:$D$4005,MATCH(B2074&amp;"|"&amp;ROUND(_xlfn.MAXIFS($O$6:$O$4005,$B$6:$B$4005,B2074,$N$6:$N$4005,"N"),0),$P$6:$P$4005,0)),"(tanpa lawan)"))</f>
        <v/>
      </c>
      <c r="R2074" s="44"/>
      <c r="S2074" s="9" t="str">
        <f aca="false">IF(N2074&lt;&gt;"Y","",IF(R2074&lt;&gt;"",R2074,IF(Q2074="(tanpa lawan)","Transfer antar rekening",IFERROR(INDEX(I_COA!$F$6:$F$265,MATCH(Q2074,I_COA!$A$6:$A$265,0)),"?"))))</f>
        <v/>
      </c>
    </row>
    <row r="2075" customFormat="false" ht="15" hidden="false" customHeight="false" outlineLevel="0" collapsed="false">
      <c r="A2075" s="37"/>
      <c r="B2075" s="44"/>
      <c r="C2075" s="44"/>
      <c r="D2075" s="44"/>
      <c r="E2075" s="44"/>
      <c r="F2075" s="44"/>
      <c r="G2075" s="42"/>
      <c r="H2075" s="42"/>
      <c r="I2075" s="44"/>
      <c r="J2075" s="11" t="str">
        <f aca="false">IF(D2075="","",N(G2075)-N(H2075))</f>
        <v/>
      </c>
      <c r="K2075" s="34" t="str">
        <f aca="false">IF(D2075="","",IFERROR(INDEX(I_COA!$C$6:$C$265,MATCH(D2075,I_COA!$A$6:$A$265,0)),"AKUN BARU"))</f>
        <v/>
      </c>
      <c r="L2075" s="34" t="str">
        <f aca="false">IF(K2075="LabaRugi",INDEX(I_COA!$D$6:$D$265,MATCH(D2075,I_COA!$A$6:$A$265,0)),"")</f>
        <v/>
      </c>
      <c r="M2075" s="34" t="str">
        <f aca="false">IF(K2075="Neraca",INDEX(I_COA!$E$6:$E$265,MATCH(D2075,I_COA!$A$6:$A$265,0)),"")</f>
        <v/>
      </c>
      <c r="N2075" s="34" t="str">
        <f aca="false">IF(D2075="","",IFERROR(INDEX(I_COA!$G$6:$G$265,MATCH(D2075,I_COA!$A$6:$A$265,0)),"N"))</f>
        <v/>
      </c>
      <c r="O2075" s="11" t="str">
        <f aca="false">IF(N2075="N",ABS(J2075),"")</f>
        <v/>
      </c>
      <c r="P2075" s="18" t="str">
        <f aca="false">IF(N2075="N",B2075&amp;"|"&amp;ROUND(O2075,0),"")</f>
        <v/>
      </c>
      <c r="Q2075" s="18" t="str">
        <f aca="false">IF(N2075&lt;&gt;"Y","",IFERROR(INDEX($D$6:$D$4005,MATCH(B2075&amp;"|"&amp;ROUND(_xlfn.MAXIFS($O$6:$O$4005,$B$6:$B$4005,B2075,$N$6:$N$4005,"N"),0),$P$6:$P$4005,0)),"(tanpa lawan)"))</f>
        <v/>
      </c>
      <c r="R2075" s="44"/>
      <c r="S2075" s="9" t="str">
        <f aca="false">IF(N2075&lt;&gt;"Y","",IF(R2075&lt;&gt;"",R2075,IF(Q2075="(tanpa lawan)","Transfer antar rekening",IFERROR(INDEX(I_COA!$F$6:$F$265,MATCH(Q2075,I_COA!$A$6:$A$265,0)),"?"))))</f>
        <v/>
      </c>
    </row>
    <row r="2076" customFormat="false" ht="15" hidden="false" customHeight="false" outlineLevel="0" collapsed="false">
      <c r="A2076" s="37"/>
      <c r="B2076" s="44"/>
      <c r="C2076" s="44"/>
      <c r="D2076" s="44"/>
      <c r="E2076" s="44"/>
      <c r="F2076" s="44"/>
      <c r="G2076" s="42"/>
      <c r="H2076" s="42"/>
      <c r="I2076" s="44"/>
      <c r="J2076" s="11" t="str">
        <f aca="false">IF(D2076="","",N(G2076)-N(H2076))</f>
        <v/>
      </c>
      <c r="K2076" s="34" t="str">
        <f aca="false">IF(D2076="","",IFERROR(INDEX(I_COA!$C$6:$C$265,MATCH(D2076,I_COA!$A$6:$A$265,0)),"AKUN BARU"))</f>
        <v/>
      </c>
      <c r="L2076" s="34" t="str">
        <f aca="false">IF(K2076="LabaRugi",INDEX(I_COA!$D$6:$D$265,MATCH(D2076,I_COA!$A$6:$A$265,0)),"")</f>
        <v/>
      </c>
      <c r="M2076" s="34" t="str">
        <f aca="false">IF(K2076="Neraca",INDEX(I_COA!$E$6:$E$265,MATCH(D2076,I_COA!$A$6:$A$265,0)),"")</f>
        <v/>
      </c>
      <c r="N2076" s="34" t="str">
        <f aca="false">IF(D2076="","",IFERROR(INDEX(I_COA!$G$6:$G$265,MATCH(D2076,I_COA!$A$6:$A$265,0)),"N"))</f>
        <v/>
      </c>
      <c r="O2076" s="11" t="str">
        <f aca="false">IF(N2076="N",ABS(J2076),"")</f>
        <v/>
      </c>
      <c r="P2076" s="18" t="str">
        <f aca="false">IF(N2076="N",B2076&amp;"|"&amp;ROUND(O2076,0),"")</f>
        <v/>
      </c>
      <c r="Q2076" s="18" t="str">
        <f aca="false">IF(N2076&lt;&gt;"Y","",IFERROR(INDEX($D$6:$D$4005,MATCH(B2076&amp;"|"&amp;ROUND(_xlfn.MAXIFS($O$6:$O$4005,$B$6:$B$4005,B2076,$N$6:$N$4005,"N"),0),$P$6:$P$4005,0)),"(tanpa lawan)"))</f>
        <v/>
      </c>
      <c r="R2076" s="44"/>
      <c r="S2076" s="9" t="str">
        <f aca="false">IF(N2076&lt;&gt;"Y","",IF(R2076&lt;&gt;"",R2076,IF(Q2076="(tanpa lawan)","Transfer antar rekening",IFERROR(INDEX(I_COA!$F$6:$F$265,MATCH(Q2076,I_COA!$A$6:$A$265,0)),"?"))))</f>
        <v/>
      </c>
    </row>
    <row r="2077" customFormat="false" ht="15" hidden="false" customHeight="false" outlineLevel="0" collapsed="false">
      <c r="A2077" s="37"/>
      <c r="B2077" s="44"/>
      <c r="C2077" s="44"/>
      <c r="D2077" s="44"/>
      <c r="E2077" s="44"/>
      <c r="F2077" s="44"/>
      <c r="G2077" s="42"/>
      <c r="H2077" s="42"/>
      <c r="I2077" s="44"/>
      <c r="J2077" s="11" t="str">
        <f aca="false">IF(D2077="","",N(G2077)-N(H2077))</f>
        <v/>
      </c>
      <c r="K2077" s="34" t="str">
        <f aca="false">IF(D2077="","",IFERROR(INDEX(I_COA!$C$6:$C$265,MATCH(D2077,I_COA!$A$6:$A$265,0)),"AKUN BARU"))</f>
        <v/>
      </c>
      <c r="L2077" s="34" t="str">
        <f aca="false">IF(K2077="LabaRugi",INDEX(I_COA!$D$6:$D$265,MATCH(D2077,I_COA!$A$6:$A$265,0)),"")</f>
        <v/>
      </c>
      <c r="M2077" s="34" t="str">
        <f aca="false">IF(K2077="Neraca",INDEX(I_COA!$E$6:$E$265,MATCH(D2077,I_COA!$A$6:$A$265,0)),"")</f>
        <v/>
      </c>
      <c r="N2077" s="34" t="str">
        <f aca="false">IF(D2077="","",IFERROR(INDEX(I_COA!$G$6:$G$265,MATCH(D2077,I_COA!$A$6:$A$265,0)),"N"))</f>
        <v/>
      </c>
      <c r="O2077" s="11" t="str">
        <f aca="false">IF(N2077="N",ABS(J2077),"")</f>
        <v/>
      </c>
      <c r="P2077" s="18" t="str">
        <f aca="false">IF(N2077="N",B2077&amp;"|"&amp;ROUND(O2077,0),"")</f>
        <v/>
      </c>
      <c r="Q2077" s="18" t="str">
        <f aca="false">IF(N2077&lt;&gt;"Y","",IFERROR(INDEX($D$6:$D$4005,MATCH(B2077&amp;"|"&amp;ROUND(_xlfn.MAXIFS($O$6:$O$4005,$B$6:$B$4005,B2077,$N$6:$N$4005,"N"),0),$P$6:$P$4005,0)),"(tanpa lawan)"))</f>
        <v/>
      </c>
      <c r="R2077" s="44"/>
      <c r="S2077" s="9" t="str">
        <f aca="false">IF(N2077&lt;&gt;"Y","",IF(R2077&lt;&gt;"",R2077,IF(Q2077="(tanpa lawan)","Transfer antar rekening",IFERROR(INDEX(I_COA!$F$6:$F$265,MATCH(Q2077,I_COA!$A$6:$A$265,0)),"?"))))</f>
        <v/>
      </c>
    </row>
    <row r="2078" customFormat="false" ht="15" hidden="false" customHeight="false" outlineLevel="0" collapsed="false">
      <c r="A2078" s="37"/>
      <c r="B2078" s="44"/>
      <c r="C2078" s="44"/>
      <c r="D2078" s="44"/>
      <c r="E2078" s="44"/>
      <c r="F2078" s="44"/>
      <c r="G2078" s="42"/>
      <c r="H2078" s="42"/>
      <c r="I2078" s="44"/>
      <c r="J2078" s="11" t="str">
        <f aca="false">IF(D2078="","",N(G2078)-N(H2078))</f>
        <v/>
      </c>
      <c r="K2078" s="34" t="str">
        <f aca="false">IF(D2078="","",IFERROR(INDEX(I_COA!$C$6:$C$265,MATCH(D2078,I_COA!$A$6:$A$265,0)),"AKUN BARU"))</f>
        <v/>
      </c>
      <c r="L2078" s="34" t="str">
        <f aca="false">IF(K2078="LabaRugi",INDEX(I_COA!$D$6:$D$265,MATCH(D2078,I_COA!$A$6:$A$265,0)),"")</f>
        <v/>
      </c>
      <c r="M2078" s="34" t="str">
        <f aca="false">IF(K2078="Neraca",INDEX(I_COA!$E$6:$E$265,MATCH(D2078,I_COA!$A$6:$A$265,0)),"")</f>
        <v/>
      </c>
      <c r="N2078" s="34" t="str">
        <f aca="false">IF(D2078="","",IFERROR(INDEX(I_COA!$G$6:$G$265,MATCH(D2078,I_COA!$A$6:$A$265,0)),"N"))</f>
        <v/>
      </c>
      <c r="O2078" s="11" t="str">
        <f aca="false">IF(N2078="N",ABS(J2078),"")</f>
        <v/>
      </c>
      <c r="P2078" s="18" t="str">
        <f aca="false">IF(N2078="N",B2078&amp;"|"&amp;ROUND(O2078,0),"")</f>
        <v/>
      </c>
      <c r="Q2078" s="18" t="str">
        <f aca="false">IF(N2078&lt;&gt;"Y","",IFERROR(INDEX($D$6:$D$4005,MATCH(B2078&amp;"|"&amp;ROUND(_xlfn.MAXIFS($O$6:$O$4005,$B$6:$B$4005,B2078,$N$6:$N$4005,"N"),0),$P$6:$P$4005,0)),"(tanpa lawan)"))</f>
        <v/>
      </c>
      <c r="R2078" s="44"/>
      <c r="S2078" s="9" t="str">
        <f aca="false">IF(N2078&lt;&gt;"Y","",IF(R2078&lt;&gt;"",R2078,IF(Q2078="(tanpa lawan)","Transfer antar rekening",IFERROR(INDEX(I_COA!$F$6:$F$265,MATCH(Q2078,I_COA!$A$6:$A$265,0)),"?"))))</f>
        <v/>
      </c>
    </row>
    <row r="2079" customFormat="false" ht="15" hidden="false" customHeight="false" outlineLevel="0" collapsed="false">
      <c r="A2079" s="37"/>
      <c r="B2079" s="44"/>
      <c r="C2079" s="44"/>
      <c r="D2079" s="44"/>
      <c r="E2079" s="44"/>
      <c r="F2079" s="44"/>
      <c r="G2079" s="42"/>
      <c r="H2079" s="42"/>
      <c r="I2079" s="44"/>
      <c r="J2079" s="11" t="str">
        <f aca="false">IF(D2079="","",N(G2079)-N(H2079))</f>
        <v/>
      </c>
      <c r="K2079" s="34" t="str">
        <f aca="false">IF(D2079="","",IFERROR(INDEX(I_COA!$C$6:$C$265,MATCH(D2079,I_COA!$A$6:$A$265,0)),"AKUN BARU"))</f>
        <v/>
      </c>
      <c r="L2079" s="34" t="str">
        <f aca="false">IF(K2079="LabaRugi",INDEX(I_COA!$D$6:$D$265,MATCH(D2079,I_COA!$A$6:$A$265,0)),"")</f>
        <v/>
      </c>
      <c r="M2079" s="34" t="str">
        <f aca="false">IF(K2079="Neraca",INDEX(I_COA!$E$6:$E$265,MATCH(D2079,I_COA!$A$6:$A$265,0)),"")</f>
        <v/>
      </c>
      <c r="N2079" s="34" t="str">
        <f aca="false">IF(D2079="","",IFERROR(INDEX(I_COA!$G$6:$G$265,MATCH(D2079,I_COA!$A$6:$A$265,0)),"N"))</f>
        <v/>
      </c>
      <c r="O2079" s="11" t="str">
        <f aca="false">IF(N2079="N",ABS(J2079),"")</f>
        <v/>
      </c>
      <c r="P2079" s="18" t="str">
        <f aca="false">IF(N2079="N",B2079&amp;"|"&amp;ROUND(O2079,0),"")</f>
        <v/>
      </c>
      <c r="Q2079" s="18" t="str">
        <f aca="false">IF(N2079&lt;&gt;"Y","",IFERROR(INDEX($D$6:$D$4005,MATCH(B2079&amp;"|"&amp;ROUND(_xlfn.MAXIFS($O$6:$O$4005,$B$6:$B$4005,B2079,$N$6:$N$4005,"N"),0),$P$6:$P$4005,0)),"(tanpa lawan)"))</f>
        <v/>
      </c>
      <c r="R2079" s="44"/>
      <c r="S2079" s="9" t="str">
        <f aca="false">IF(N2079&lt;&gt;"Y","",IF(R2079&lt;&gt;"",R2079,IF(Q2079="(tanpa lawan)","Transfer antar rekening",IFERROR(INDEX(I_COA!$F$6:$F$265,MATCH(Q2079,I_COA!$A$6:$A$265,0)),"?"))))</f>
        <v/>
      </c>
    </row>
    <row r="2080" customFormat="false" ht="15" hidden="false" customHeight="false" outlineLevel="0" collapsed="false">
      <c r="A2080" s="37"/>
      <c r="B2080" s="44"/>
      <c r="C2080" s="44"/>
      <c r="D2080" s="44"/>
      <c r="E2080" s="44"/>
      <c r="F2080" s="44"/>
      <c r="G2080" s="42"/>
      <c r="H2080" s="42"/>
      <c r="I2080" s="44"/>
      <c r="J2080" s="11" t="str">
        <f aca="false">IF(D2080="","",N(G2080)-N(H2080))</f>
        <v/>
      </c>
      <c r="K2080" s="34" t="str">
        <f aca="false">IF(D2080="","",IFERROR(INDEX(I_COA!$C$6:$C$265,MATCH(D2080,I_COA!$A$6:$A$265,0)),"AKUN BARU"))</f>
        <v/>
      </c>
      <c r="L2080" s="34" t="str">
        <f aca="false">IF(K2080="LabaRugi",INDEX(I_COA!$D$6:$D$265,MATCH(D2080,I_COA!$A$6:$A$265,0)),"")</f>
        <v/>
      </c>
      <c r="M2080" s="34" t="str">
        <f aca="false">IF(K2080="Neraca",INDEX(I_COA!$E$6:$E$265,MATCH(D2080,I_COA!$A$6:$A$265,0)),"")</f>
        <v/>
      </c>
      <c r="N2080" s="34" t="str">
        <f aca="false">IF(D2080="","",IFERROR(INDEX(I_COA!$G$6:$G$265,MATCH(D2080,I_COA!$A$6:$A$265,0)),"N"))</f>
        <v/>
      </c>
      <c r="O2080" s="11" t="str">
        <f aca="false">IF(N2080="N",ABS(J2080),"")</f>
        <v/>
      </c>
      <c r="P2080" s="18" t="str">
        <f aca="false">IF(N2080="N",B2080&amp;"|"&amp;ROUND(O2080,0),"")</f>
        <v/>
      </c>
      <c r="Q2080" s="18" t="str">
        <f aca="false">IF(N2080&lt;&gt;"Y","",IFERROR(INDEX($D$6:$D$4005,MATCH(B2080&amp;"|"&amp;ROUND(_xlfn.MAXIFS($O$6:$O$4005,$B$6:$B$4005,B2080,$N$6:$N$4005,"N"),0),$P$6:$P$4005,0)),"(tanpa lawan)"))</f>
        <v/>
      </c>
      <c r="R2080" s="44"/>
      <c r="S2080" s="9" t="str">
        <f aca="false">IF(N2080&lt;&gt;"Y","",IF(R2080&lt;&gt;"",R2080,IF(Q2080="(tanpa lawan)","Transfer antar rekening",IFERROR(INDEX(I_COA!$F$6:$F$265,MATCH(Q2080,I_COA!$A$6:$A$265,0)),"?"))))</f>
        <v/>
      </c>
    </row>
    <row r="2081" customFormat="false" ht="15" hidden="false" customHeight="false" outlineLevel="0" collapsed="false">
      <c r="A2081" s="37"/>
      <c r="B2081" s="44"/>
      <c r="C2081" s="44"/>
      <c r="D2081" s="44"/>
      <c r="E2081" s="44"/>
      <c r="F2081" s="44"/>
      <c r="G2081" s="42"/>
      <c r="H2081" s="42"/>
      <c r="I2081" s="44"/>
      <c r="J2081" s="11" t="str">
        <f aca="false">IF(D2081="","",N(G2081)-N(H2081))</f>
        <v/>
      </c>
      <c r="K2081" s="34" t="str">
        <f aca="false">IF(D2081="","",IFERROR(INDEX(I_COA!$C$6:$C$265,MATCH(D2081,I_COA!$A$6:$A$265,0)),"AKUN BARU"))</f>
        <v/>
      </c>
      <c r="L2081" s="34" t="str">
        <f aca="false">IF(K2081="LabaRugi",INDEX(I_COA!$D$6:$D$265,MATCH(D2081,I_COA!$A$6:$A$265,0)),"")</f>
        <v/>
      </c>
      <c r="M2081" s="34" t="str">
        <f aca="false">IF(K2081="Neraca",INDEX(I_COA!$E$6:$E$265,MATCH(D2081,I_COA!$A$6:$A$265,0)),"")</f>
        <v/>
      </c>
      <c r="N2081" s="34" t="str">
        <f aca="false">IF(D2081="","",IFERROR(INDEX(I_COA!$G$6:$G$265,MATCH(D2081,I_COA!$A$6:$A$265,0)),"N"))</f>
        <v/>
      </c>
      <c r="O2081" s="11" t="str">
        <f aca="false">IF(N2081="N",ABS(J2081),"")</f>
        <v/>
      </c>
      <c r="P2081" s="18" t="str">
        <f aca="false">IF(N2081="N",B2081&amp;"|"&amp;ROUND(O2081,0),"")</f>
        <v/>
      </c>
      <c r="Q2081" s="18" t="str">
        <f aca="false">IF(N2081&lt;&gt;"Y","",IFERROR(INDEX($D$6:$D$4005,MATCH(B2081&amp;"|"&amp;ROUND(_xlfn.MAXIFS($O$6:$O$4005,$B$6:$B$4005,B2081,$N$6:$N$4005,"N"),0),$P$6:$P$4005,0)),"(tanpa lawan)"))</f>
        <v/>
      </c>
      <c r="R2081" s="44"/>
      <c r="S2081" s="9" t="str">
        <f aca="false">IF(N2081&lt;&gt;"Y","",IF(R2081&lt;&gt;"",R2081,IF(Q2081="(tanpa lawan)","Transfer antar rekening",IFERROR(INDEX(I_COA!$F$6:$F$265,MATCH(Q2081,I_COA!$A$6:$A$265,0)),"?"))))</f>
        <v/>
      </c>
    </row>
    <row r="2082" customFormat="false" ht="15" hidden="false" customHeight="false" outlineLevel="0" collapsed="false">
      <c r="A2082" s="37"/>
      <c r="B2082" s="44"/>
      <c r="C2082" s="44"/>
      <c r="D2082" s="44"/>
      <c r="E2082" s="44"/>
      <c r="F2082" s="44"/>
      <c r="G2082" s="42"/>
      <c r="H2082" s="42"/>
      <c r="I2082" s="44"/>
      <c r="J2082" s="11" t="str">
        <f aca="false">IF(D2082="","",N(G2082)-N(H2082))</f>
        <v/>
      </c>
      <c r="K2082" s="34" t="str">
        <f aca="false">IF(D2082="","",IFERROR(INDEX(I_COA!$C$6:$C$265,MATCH(D2082,I_COA!$A$6:$A$265,0)),"AKUN BARU"))</f>
        <v/>
      </c>
      <c r="L2082" s="34" t="str">
        <f aca="false">IF(K2082="LabaRugi",INDEX(I_COA!$D$6:$D$265,MATCH(D2082,I_COA!$A$6:$A$265,0)),"")</f>
        <v/>
      </c>
      <c r="M2082" s="34" t="str">
        <f aca="false">IF(K2082="Neraca",INDEX(I_COA!$E$6:$E$265,MATCH(D2082,I_COA!$A$6:$A$265,0)),"")</f>
        <v/>
      </c>
      <c r="N2082" s="34" t="str">
        <f aca="false">IF(D2082="","",IFERROR(INDEX(I_COA!$G$6:$G$265,MATCH(D2082,I_COA!$A$6:$A$265,0)),"N"))</f>
        <v/>
      </c>
      <c r="O2082" s="11" t="str">
        <f aca="false">IF(N2082="N",ABS(J2082),"")</f>
        <v/>
      </c>
      <c r="P2082" s="18" t="str">
        <f aca="false">IF(N2082="N",B2082&amp;"|"&amp;ROUND(O2082,0),"")</f>
        <v/>
      </c>
      <c r="Q2082" s="18" t="str">
        <f aca="false">IF(N2082&lt;&gt;"Y","",IFERROR(INDEX($D$6:$D$4005,MATCH(B2082&amp;"|"&amp;ROUND(_xlfn.MAXIFS($O$6:$O$4005,$B$6:$B$4005,B2082,$N$6:$N$4005,"N"),0),$P$6:$P$4005,0)),"(tanpa lawan)"))</f>
        <v/>
      </c>
      <c r="R2082" s="44"/>
      <c r="S2082" s="9" t="str">
        <f aca="false">IF(N2082&lt;&gt;"Y","",IF(R2082&lt;&gt;"",R2082,IF(Q2082="(tanpa lawan)","Transfer antar rekening",IFERROR(INDEX(I_COA!$F$6:$F$265,MATCH(Q2082,I_COA!$A$6:$A$265,0)),"?"))))</f>
        <v/>
      </c>
    </row>
    <row r="2083" customFormat="false" ht="15" hidden="false" customHeight="false" outlineLevel="0" collapsed="false">
      <c r="A2083" s="37"/>
      <c r="B2083" s="44"/>
      <c r="C2083" s="44"/>
      <c r="D2083" s="44"/>
      <c r="E2083" s="44"/>
      <c r="F2083" s="44"/>
      <c r="G2083" s="42"/>
      <c r="H2083" s="42"/>
      <c r="I2083" s="44"/>
      <c r="J2083" s="11" t="str">
        <f aca="false">IF(D2083="","",N(G2083)-N(H2083))</f>
        <v/>
      </c>
      <c r="K2083" s="34" t="str">
        <f aca="false">IF(D2083="","",IFERROR(INDEX(I_COA!$C$6:$C$265,MATCH(D2083,I_COA!$A$6:$A$265,0)),"AKUN BARU"))</f>
        <v/>
      </c>
      <c r="L2083" s="34" t="str">
        <f aca="false">IF(K2083="LabaRugi",INDEX(I_COA!$D$6:$D$265,MATCH(D2083,I_COA!$A$6:$A$265,0)),"")</f>
        <v/>
      </c>
      <c r="M2083" s="34" t="str">
        <f aca="false">IF(K2083="Neraca",INDEX(I_COA!$E$6:$E$265,MATCH(D2083,I_COA!$A$6:$A$265,0)),"")</f>
        <v/>
      </c>
      <c r="N2083" s="34" t="str">
        <f aca="false">IF(D2083="","",IFERROR(INDEX(I_COA!$G$6:$G$265,MATCH(D2083,I_COA!$A$6:$A$265,0)),"N"))</f>
        <v/>
      </c>
      <c r="O2083" s="11" t="str">
        <f aca="false">IF(N2083="N",ABS(J2083),"")</f>
        <v/>
      </c>
      <c r="P2083" s="18" t="str">
        <f aca="false">IF(N2083="N",B2083&amp;"|"&amp;ROUND(O2083,0),"")</f>
        <v/>
      </c>
      <c r="Q2083" s="18" t="str">
        <f aca="false">IF(N2083&lt;&gt;"Y","",IFERROR(INDEX($D$6:$D$4005,MATCH(B2083&amp;"|"&amp;ROUND(_xlfn.MAXIFS($O$6:$O$4005,$B$6:$B$4005,B2083,$N$6:$N$4005,"N"),0),$P$6:$P$4005,0)),"(tanpa lawan)"))</f>
        <v/>
      </c>
      <c r="R2083" s="44"/>
      <c r="S2083" s="9" t="str">
        <f aca="false">IF(N2083&lt;&gt;"Y","",IF(R2083&lt;&gt;"",R2083,IF(Q2083="(tanpa lawan)","Transfer antar rekening",IFERROR(INDEX(I_COA!$F$6:$F$265,MATCH(Q2083,I_COA!$A$6:$A$265,0)),"?"))))</f>
        <v/>
      </c>
    </row>
    <row r="2084" customFormat="false" ht="15" hidden="false" customHeight="false" outlineLevel="0" collapsed="false">
      <c r="A2084" s="37"/>
      <c r="B2084" s="44"/>
      <c r="C2084" s="44"/>
      <c r="D2084" s="44"/>
      <c r="E2084" s="44"/>
      <c r="F2084" s="44"/>
      <c r="G2084" s="42"/>
      <c r="H2084" s="42"/>
      <c r="I2084" s="44"/>
      <c r="J2084" s="11" t="str">
        <f aca="false">IF(D2084="","",N(G2084)-N(H2084))</f>
        <v/>
      </c>
      <c r="K2084" s="34" t="str">
        <f aca="false">IF(D2084="","",IFERROR(INDEX(I_COA!$C$6:$C$265,MATCH(D2084,I_COA!$A$6:$A$265,0)),"AKUN BARU"))</f>
        <v/>
      </c>
      <c r="L2084" s="34" t="str">
        <f aca="false">IF(K2084="LabaRugi",INDEX(I_COA!$D$6:$D$265,MATCH(D2084,I_COA!$A$6:$A$265,0)),"")</f>
        <v/>
      </c>
      <c r="M2084" s="34" t="str">
        <f aca="false">IF(K2084="Neraca",INDEX(I_COA!$E$6:$E$265,MATCH(D2084,I_COA!$A$6:$A$265,0)),"")</f>
        <v/>
      </c>
      <c r="N2084" s="34" t="str">
        <f aca="false">IF(D2084="","",IFERROR(INDEX(I_COA!$G$6:$G$265,MATCH(D2084,I_COA!$A$6:$A$265,0)),"N"))</f>
        <v/>
      </c>
      <c r="O2084" s="11" t="str">
        <f aca="false">IF(N2084="N",ABS(J2084),"")</f>
        <v/>
      </c>
      <c r="P2084" s="18" t="str">
        <f aca="false">IF(N2084="N",B2084&amp;"|"&amp;ROUND(O2084,0),"")</f>
        <v/>
      </c>
      <c r="Q2084" s="18" t="str">
        <f aca="false">IF(N2084&lt;&gt;"Y","",IFERROR(INDEX($D$6:$D$4005,MATCH(B2084&amp;"|"&amp;ROUND(_xlfn.MAXIFS($O$6:$O$4005,$B$6:$B$4005,B2084,$N$6:$N$4005,"N"),0),$P$6:$P$4005,0)),"(tanpa lawan)"))</f>
        <v/>
      </c>
      <c r="R2084" s="44"/>
      <c r="S2084" s="9" t="str">
        <f aca="false">IF(N2084&lt;&gt;"Y","",IF(R2084&lt;&gt;"",R2084,IF(Q2084="(tanpa lawan)","Transfer antar rekening",IFERROR(INDEX(I_COA!$F$6:$F$265,MATCH(Q2084,I_COA!$A$6:$A$265,0)),"?"))))</f>
        <v/>
      </c>
    </row>
    <row r="2085" customFormat="false" ht="15" hidden="false" customHeight="false" outlineLevel="0" collapsed="false">
      <c r="A2085" s="37"/>
      <c r="B2085" s="44"/>
      <c r="C2085" s="44"/>
      <c r="D2085" s="44"/>
      <c r="E2085" s="44"/>
      <c r="F2085" s="44"/>
      <c r="G2085" s="42"/>
      <c r="H2085" s="42"/>
      <c r="I2085" s="44"/>
      <c r="J2085" s="11" t="str">
        <f aca="false">IF(D2085="","",N(G2085)-N(H2085))</f>
        <v/>
      </c>
      <c r="K2085" s="34" t="str">
        <f aca="false">IF(D2085="","",IFERROR(INDEX(I_COA!$C$6:$C$265,MATCH(D2085,I_COA!$A$6:$A$265,0)),"AKUN BARU"))</f>
        <v/>
      </c>
      <c r="L2085" s="34" t="str">
        <f aca="false">IF(K2085="LabaRugi",INDEX(I_COA!$D$6:$D$265,MATCH(D2085,I_COA!$A$6:$A$265,0)),"")</f>
        <v/>
      </c>
      <c r="M2085" s="34" t="str">
        <f aca="false">IF(K2085="Neraca",INDEX(I_COA!$E$6:$E$265,MATCH(D2085,I_COA!$A$6:$A$265,0)),"")</f>
        <v/>
      </c>
      <c r="N2085" s="34" t="str">
        <f aca="false">IF(D2085="","",IFERROR(INDEX(I_COA!$G$6:$G$265,MATCH(D2085,I_COA!$A$6:$A$265,0)),"N"))</f>
        <v/>
      </c>
      <c r="O2085" s="11" t="str">
        <f aca="false">IF(N2085="N",ABS(J2085),"")</f>
        <v/>
      </c>
      <c r="P2085" s="18" t="str">
        <f aca="false">IF(N2085="N",B2085&amp;"|"&amp;ROUND(O2085,0),"")</f>
        <v/>
      </c>
      <c r="Q2085" s="18" t="str">
        <f aca="false">IF(N2085&lt;&gt;"Y","",IFERROR(INDEX($D$6:$D$4005,MATCH(B2085&amp;"|"&amp;ROUND(_xlfn.MAXIFS($O$6:$O$4005,$B$6:$B$4005,B2085,$N$6:$N$4005,"N"),0),$P$6:$P$4005,0)),"(tanpa lawan)"))</f>
        <v/>
      </c>
      <c r="R2085" s="44"/>
      <c r="S2085" s="9" t="str">
        <f aca="false">IF(N2085&lt;&gt;"Y","",IF(R2085&lt;&gt;"",R2085,IF(Q2085="(tanpa lawan)","Transfer antar rekening",IFERROR(INDEX(I_COA!$F$6:$F$265,MATCH(Q2085,I_COA!$A$6:$A$265,0)),"?"))))</f>
        <v/>
      </c>
    </row>
    <row r="2086" customFormat="false" ht="15" hidden="false" customHeight="false" outlineLevel="0" collapsed="false">
      <c r="A2086" s="37"/>
      <c r="B2086" s="44"/>
      <c r="C2086" s="44"/>
      <c r="D2086" s="44"/>
      <c r="E2086" s="44"/>
      <c r="F2086" s="44"/>
      <c r="G2086" s="42"/>
      <c r="H2086" s="42"/>
      <c r="I2086" s="44"/>
      <c r="J2086" s="11" t="str">
        <f aca="false">IF(D2086="","",N(G2086)-N(H2086))</f>
        <v/>
      </c>
      <c r="K2086" s="34" t="str">
        <f aca="false">IF(D2086="","",IFERROR(INDEX(I_COA!$C$6:$C$265,MATCH(D2086,I_COA!$A$6:$A$265,0)),"AKUN BARU"))</f>
        <v/>
      </c>
      <c r="L2086" s="34" t="str">
        <f aca="false">IF(K2086="LabaRugi",INDEX(I_COA!$D$6:$D$265,MATCH(D2086,I_COA!$A$6:$A$265,0)),"")</f>
        <v/>
      </c>
      <c r="M2086" s="34" t="str">
        <f aca="false">IF(K2086="Neraca",INDEX(I_COA!$E$6:$E$265,MATCH(D2086,I_COA!$A$6:$A$265,0)),"")</f>
        <v/>
      </c>
      <c r="N2086" s="34" t="str">
        <f aca="false">IF(D2086="","",IFERROR(INDEX(I_COA!$G$6:$G$265,MATCH(D2086,I_COA!$A$6:$A$265,0)),"N"))</f>
        <v/>
      </c>
      <c r="O2086" s="11" t="str">
        <f aca="false">IF(N2086="N",ABS(J2086),"")</f>
        <v/>
      </c>
      <c r="P2086" s="18" t="str">
        <f aca="false">IF(N2086="N",B2086&amp;"|"&amp;ROUND(O2086,0),"")</f>
        <v/>
      </c>
      <c r="Q2086" s="18" t="str">
        <f aca="false">IF(N2086&lt;&gt;"Y","",IFERROR(INDEX($D$6:$D$4005,MATCH(B2086&amp;"|"&amp;ROUND(_xlfn.MAXIFS($O$6:$O$4005,$B$6:$B$4005,B2086,$N$6:$N$4005,"N"),0),$P$6:$P$4005,0)),"(tanpa lawan)"))</f>
        <v/>
      </c>
      <c r="R2086" s="44"/>
      <c r="S2086" s="9" t="str">
        <f aca="false">IF(N2086&lt;&gt;"Y","",IF(R2086&lt;&gt;"",R2086,IF(Q2086="(tanpa lawan)","Transfer antar rekening",IFERROR(INDEX(I_COA!$F$6:$F$265,MATCH(Q2086,I_COA!$A$6:$A$265,0)),"?"))))</f>
        <v/>
      </c>
    </row>
    <row r="2087" customFormat="false" ht="15" hidden="false" customHeight="false" outlineLevel="0" collapsed="false">
      <c r="A2087" s="37"/>
      <c r="B2087" s="44"/>
      <c r="C2087" s="44"/>
      <c r="D2087" s="44"/>
      <c r="E2087" s="44"/>
      <c r="F2087" s="44"/>
      <c r="G2087" s="42"/>
      <c r="H2087" s="42"/>
      <c r="I2087" s="44"/>
      <c r="J2087" s="11" t="str">
        <f aca="false">IF(D2087="","",N(G2087)-N(H2087))</f>
        <v/>
      </c>
      <c r="K2087" s="34" t="str">
        <f aca="false">IF(D2087="","",IFERROR(INDEX(I_COA!$C$6:$C$265,MATCH(D2087,I_COA!$A$6:$A$265,0)),"AKUN BARU"))</f>
        <v/>
      </c>
      <c r="L2087" s="34" t="str">
        <f aca="false">IF(K2087="LabaRugi",INDEX(I_COA!$D$6:$D$265,MATCH(D2087,I_COA!$A$6:$A$265,0)),"")</f>
        <v/>
      </c>
      <c r="M2087" s="34" t="str">
        <f aca="false">IF(K2087="Neraca",INDEX(I_COA!$E$6:$E$265,MATCH(D2087,I_COA!$A$6:$A$265,0)),"")</f>
        <v/>
      </c>
      <c r="N2087" s="34" t="str">
        <f aca="false">IF(D2087="","",IFERROR(INDEX(I_COA!$G$6:$G$265,MATCH(D2087,I_COA!$A$6:$A$265,0)),"N"))</f>
        <v/>
      </c>
      <c r="O2087" s="11" t="str">
        <f aca="false">IF(N2087="N",ABS(J2087),"")</f>
        <v/>
      </c>
      <c r="P2087" s="18" t="str">
        <f aca="false">IF(N2087="N",B2087&amp;"|"&amp;ROUND(O2087,0),"")</f>
        <v/>
      </c>
      <c r="Q2087" s="18" t="str">
        <f aca="false">IF(N2087&lt;&gt;"Y","",IFERROR(INDEX($D$6:$D$4005,MATCH(B2087&amp;"|"&amp;ROUND(_xlfn.MAXIFS($O$6:$O$4005,$B$6:$B$4005,B2087,$N$6:$N$4005,"N"),0),$P$6:$P$4005,0)),"(tanpa lawan)"))</f>
        <v/>
      </c>
      <c r="R2087" s="44"/>
      <c r="S2087" s="9" t="str">
        <f aca="false">IF(N2087&lt;&gt;"Y","",IF(R2087&lt;&gt;"",R2087,IF(Q2087="(tanpa lawan)","Transfer antar rekening",IFERROR(INDEX(I_COA!$F$6:$F$265,MATCH(Q2087,I_COA!$A$6:$A$265,0)),"?"))))</f>
        <v/>
      </c>
    </row>
    <row r="2088" customFormat="false" ht="15" hidden="false" customHeight="false" outlineLevel="0" collapsed="false">
      <c r="A2088" s="37"/>
      <c r="B2088" s="44"/>
      <c r="C2088" s="44"/>
      <c r="D2088" s="44"/>
      <c r="E2088" s="44"/>
      <c r="F2088" s="44"/>
      <c r="G2088" s="42"/>
      <c r="H2088" s="42"/>
      <c r="I2088" s="44"/>
      <c r="J2088" s="11" t="str">
        <f aca="false">IF(D2088="","",N(G2088)-N(H2088))</f>
        <v/>
      </c>
      <c r="K2088" s="34" t="str">
        <f aca="false">IF(D2088="","",IFERROR(INDEX(I_COA!$C$6:$C$265,MATCH(D2088,I_COA!$A$6:$A$265,0)),"AKUN BARU"))</f>
        <v/>
      </c>
      <c r="L2088" s="34" t="str">
        <f aca="false">IF(K2088="LabaRugi",INDEX(I_COA!$D$6:$D$265,MATCH(D2088,I_COA!$A$6:$A$265,0)),"")</f>
        <v/>
      </c>
      <c r="M2088" s="34" t="str">
        <f aca="false">IF(K2088="Neraca",INDEX(I_COA!$E$6:$E$265,MATCH(D2088,I_COA!$A$6:$A$265,0)),"")</f>
        <v/>
      </c>
      <c r="N2088" s="34" t="str">
        <f aca="false">IF(D2088="","",IFERROR(INDEX(I_COA!$G$6:$G$265,MATCH(D2088,I_COA!$A$6:$A$265,0)),"N"))</f>
        <v/>
      </c>
      <c r="O2088" s="11" t="str">
        <f aca="false">IF(N2088="N",ABS(J2088),"")</f>
        <v/>
      </c>
      <c r="P2088" s="18" t="str">
        <f aca="false">IF(N2088="N",B2088&amp;"|"&amp;ROUND(O2088,0),"")</f>
        <v/>
      </c>
      <c r="Q2088" s="18" t="str">
        <f aca="false">IF(N2088&lt;&gt;"Y","",IFERROR(INDEX($D$6:$D$4005,MATCH(B2088&amp;"|"&amp;ROUND(_xlfn.MAXIFS($O$6:$O$4005,$B$6:$B$4005,B2088,$N$6:$N$4005,"N"),0),$P$6:$P$4005,0)),"(tanpa lawan)"))</f>
        <v/>
      </c>
      <c r="R2088" s="44"/>
      <c r="S2088" s="9" t="str">
        <f aca="false">IF(N2088&lt;&gt;"Y","",IF(R2088&lt;&gt;"",R2088,IF(Q2088="(tanpa lawan)","Transfer antar rekening",IFERROR(INDEX(I_COA!$F$6:$F$265,MATCH(Q2088,I_COA!$A$6:$A$265,0)),"?"))))</f>
        <v/>
      </c>
    </row>
    <row r="2089" customFormat="false" ht="15" hidden="false" customHeight="false" outlineLevel="0" collapsed="false">
      <c r="A2089" s="37"/>
      <c r="B2089" s="44"/>
      <c r="C2089" s="44"/>
      <c r="D2089" s="44"/>
      <c r="E2089" s="44"/>
      <c r="F2089" s="44"/>
      <c r="G2089" s="42"/>
      <c r="H2089" s="42"/>
      <c r="I2089" s="44"/>
      <c r="J2089" s="11" t="str">
        <f aca="false">IF(D2089="","",N(G2089)-N(H2089))</f>
        <v/>
      </c>
      <c r="K2089" s="34" t="str">
        <f aca="false">IF(D2089="","",IFERROR(INDEX(I_COA!$C$6:$C$265,MATCH(D2089,I_COA!$A$6:$A$265,0)),"AKUN BARU"))</f>
        <v/>
      </c>
      <c r="L2089" s="34" t="str">
        <f aca="false">IF(K2089="LabaRugi",INDEX(I_COA!$D$6:$D$265,MATCH(D2089,I_COA!$A$6:$A$265,0)),"")</f>
        <v/>
      </c>
      <c r="M2089" s="34" t="str">
        <f aca="false">IF(K2089="Neraca",INDEX(I_COA!$E$6:$E$265,MATCH(D2089,I_COA!$A$6:$A$265,0)),"")</f>
        <v/>
      </c>
      <c r="N2089" s="34" t="str">
        <f aca="false">IF(D2089="","",IFERROR(INDEX(I_COA!$G$6:$G$265,MATCH(D2089,I_COA!$A$6:$A$265,0)),"N"))</f>
        <v/>
      </c>
      <c r="O2089" s="11" t="str">
        <f aca="false">IF(N2089="N",ABS(J2089),"")</f>
        <v/>
      </c>
      <c r="P2089" s="18" t="str">
        <f aca="false">IF(N2089="N",B2089&amp;"|"&amp;ROUND(O2089,0),"")</f>
        <v/>
      </c>
      <c r="Q2089" s="18" t="str">
        <f aca="false">IF(N2089&lt;&gt;"Y","",IFERROR(INDEX($D$6:$D$4005,MATCH(B2089&amp;"|"&amp;ROUND(_xlfn.MAXIFS($O$6:$O$4005,$B$6:$B$4005,B2089,$N$6:$N$4005,"N"),0),$P$6:$P$4005,0)),"(tanpa lawan)"))</f>
        <v/>
      </c>
      <c r="R2089" s="44"/>
      <c r="S2089" s="9" t="str">
        <f aca="false">IF(N2089&lt;&gt;"Y","",IF(R2089&lt;&gt;"",R2089,IF(Q2089="(tanpa lawan)","Transfer antar rekening",IFERROR(INDEX(I_COA!$F$6:$F$265,MATCH(Q2089,I_COA!$A$6:$A$265,0)),"?"))))</f>
        <v/>
      </c>
    </row>
    <row r="2090" customFormat="false" ht="15" hidden="false" customHeight="false" outlineLevel="0" collapsed="false">
      <c r="A2090" s="37"/>
      <c r="B2090" s="44"/>
      <c r="C2090" s="44"/>
      <c r="D2090" s="44"/>
      <c r="E2090" s="44"/>
      <c r="F2090" s="44"/>
      <c r="G2090" s="42"/>
      <c r="H2090" s="42"/>
      <c r="I2090" s="44"/>
      <c r="J2090" s="11" t="str">
        <f aca="false">IF(D2090="","",N(G2090)-N(H2090))</f>
        <v/>
      </c>
      <c r="K2090" s="34" t="str">
        <f aca="false">IF(D2090="","",IFERROR(INDEX(I_COA!$C$6:$C$265,MATCH(D2090,I_COA!$A$6:$A$265,0)),"AKUN BARU"))</f>
        <v/>
      </c>
      <c r="L2090" s="34" t="str">
        <f aca="false">IF(K2090="LabaRugi",INDEX(I_COA!$D$6:$D$265,MATCH(D2090,I_COA!$A$6:$A$265,0)),"")</f>
        <v/>
      </c>
      <c r="M2090" s="34" t="str">
        <f aca="false">IF(K2090="Neraca",INDEX(I_COA!$E$6:$E$265,MATCH(D2090,I_COA!$A$6:$A$265,0)),"")</f>
        <v/>
      </c>
      <c r="N2090" s="34" t="str">
        <f aca="false">IF(D2090="","",IFERROR(INDEX(I_COA!$G$6:$G$265,MATCH(D2090,I_COA!$A$6:$A$265,0)),"N"))</f>
        <v/>
      </c>
      <c r="O2090" s="11" t="str">
        <f aca="false">IF(N2090="N",ABS(J2090),"")</f>
        <v/>
      </c>
      <c r="P2090" s="18" t="str">
        <f aca="false">IF(N2090="N",B2090&amp;"|"&amp;ROUND(O2090,0),"")</f>
        <v/>
      </c>
      <c r="Q2090" s="18" t="str">
        <f aca="false">IF(N2090&lt;&gt;"Y","",IFERROR(INDEX($D$6:$D$4005,MATCH(B2090&amp;"|"&amp;ROUND(_xlfn.MAXIFS($O$6:$O$4005,$B$6:$B$4005,B2090,$N$6:$N$4005,"N"),0),$P$6:$P$4005,0)),"(tanpa lawan)"))</f>
        <v/>
      </c>
      <c r="R2090" s="44"/>
      <c r="S2090" s="9" t="str">
        <f aca="false">IF(N2090&lt;&gt;"Y","",IF(R2090&lt;&gt;"",R2090,IF(Q2090="(tanpa lawan)","Transfer antar rekening",IFERROR(INDEX(I_COA!$F$6:$F$265,MATCH(Q2090,I_COA!$A$6:$A$265,0)),"?"))))</f>
        <v/>
      </c>
    </row>
    <row r="2091" customFormat="false" ht="15" hidden="false" customHeight="false" outlineLevel="0" collapsed="false">
      <c r="A2091" s="37"/>
      <c r="B2091" s="44"/>
      <c r="C2091" s="44"/>
      <c r="D2091" s="44"/>
      <c r="E2091" s="44"/>
      <c r="F2091" s="44"/>
      <c r="G2091" s="42"/>
      <c r="H2091" s="42"/>
      <c r="I2091" s="44"/>
      <c r="J2091" s="11" t="str">
        <f aca="false">IF(D2091="","",N(G2091)-N(H2091))</f>
        <v/>
      </c>
      <c r="K2091" s="34" t="str">
        <f aca="false">IF(D2091="","",IFERROR(INDEX(I_COA!$C$6:$C$265,MATCH(D2091,I_COA!$A$6:$A$265,0)),"AKUN BARU"))</f>
        <v/>
      </c>
      <c r="L2091" s="34" t="str">
        <f aca="false">IF(K2091="LabaRugi",INDEX(I_COA!$D$6:$D$265,MATCH(D2091,I_COA!$A$6:$A$265,0)),"")</f>
        <v/>
      </c>
      <c r="M2091" s="34" t="str">
        <f aca="false">IF(K2091="Neraca",INDEX(I_COA!$E$6:$E$265,MATCH(D2091,I_COA!$A$6:$A$265,0)),"")</f>
        <v/>
      </c>
      <c r="N2091" s="34" t="str">
        <f aca="false">IF(D2091="","",IFERROR(INDEX(I_COA!$G$6:$G$265,MATCH(D2091,I_COA!$A$6:$A$265,0)),"N"))</f>
        <v/>
      </c>
      <c r="O2091" s="11" t="str">
        <f aca="false">IF(N2091="N",ABS(J2091),"")</f>
        <v/>
      </c>
      <c r="P2091" s="18" t="str">
        <f aca="false">IF(N2091="N",B2091&amp;"|"&amp;ROUND(O2091,0),"")</f>
        <v/>
      </c>
      <c r="Q2091" s="18" t="str">
        <f aca="false">IF(N2091&lt;&gt;"Y","",IFERROR(INDEX($D$6:$D$4005,MATCH(B2091&amp;"|"&amp;ROUND(_xlfn.MAXIFS($O$6:$O$4005,$B$6:$B$4005,B2091,$N$6:$N$4005,"N"),0),$P$6:$P$4005,0)),"(tanpa lawan)"))</f>
        <v/>
      </c>
      <c r="R2091" s="44"/>
      <c r="S2091" s="9" t="str">
        <f aca="false">IF(N2091&lt;&gt;"Y","",IF(R2091&lt;&gt;"",R2091,IF(Q2091="(tanpa lawan)","Transfer antar rekening",IFERROR(INDEX(I_COA!$F$6:$F$265,MATCH(Q2091,I_COA!$A$6:$A$265,0)),"?"))))</f>
        <v/>
      </c>
    </row>
    <row r="2092" customFormat="false" ht="15" hidden="false" customHeight="false" outlineLevel="0" collapsed="false">
      <c r="A2092" s="37"/>
      <c r="B2092" s="44"/>
      <c r="C2092" s="44"/>
      <c r="D2092" s="44"/>
      <c r="E2092" s="44"/>
      <c r="F2092" s="44"/>
      <c r="G2092" s="42"/>
      <c r="H2092" s="42"/>
      <c r="I2092" s="44"/>
      <c r="J2092" s="11" t="str">
        <f aca="false">IF(D2092="","",N(G2092)-N(H2092))</f>
        <v/>
      </c>
      <c r="K2092" s="34" t="str">
        <f aca="false">IF(D2092="","",IFERROR(INDEX(I_COA!$C$6:$C$265,MATCH(D2092,I_COA!$A$6:$A$265,0)),"AKUN BARU"))</f>
        <v/>
      </c>
      <c r="L2092" s="34" t="str">
        <f aca="false">IF(K2092="LabaRugi",INDEX(I_COA!$D$6:$D$265,MATCH(D2092,I_COA!$A$6:$A$265,0)),"")</f>
        <v/>
      </c>
      <c r="M2092" s="34" t="str">
        <f aca="false">IF(K2092="Neraca",INDEX(I_COA!$E$6:$E$265,MATCH(D2092,I_COA!$A$6:$A$265,0)),"")</f>
        <v/>
      </c>
      <c r="N2092" s="34" t="str">
        <f aca="false">IF(D2092="","",IFERROR(INDEX(I_COA!$G$6:$G$265,MATCH(D2092,I_COA!$A$6:$A$265,0)),"N"))</f>
        <v/>
      </c>
      <c r="O2092" s="11" t="str">
        <f aca="false">IF(N2092="N",ABS(J2092),"")</f>
        <v/>
      </c>
      <c r="P2092" s="18" t="str">
        <f aca="false">IF(N2092="N",B2092&amp;"|"&amp;ROUND(O2092,0),"")</f>
        <v/>
      </c>
      <c r="Q2092" s="18" t="str">
        <f aca="false">IF(N2092&lt;&gt;"Y","",IFERROR(INDEX($D$6:$D$4005,MATCH(B2092&amp;"|"&amp;ROUND(_xlfn.MAXIFS($O$6:$O$4005,$B$6:$B$4005,B2092,$N$6:$N$4005,"N"),0),$P$6:$P$4005,0)),"(tanpa lawan)"))</f>
        <v/>
      </c>
      <c r="R2092" s="44"/>
      <c r="S2092" s="9" t="str">
        <f aca="false">IF(N2092&lt;&gt;"Y","",IF(R2092&lt;&gt;"",R2092,IF(Q2092="(tanpa lawan)","Transfer antar rekening",IFERROR(INDEX(I_COA!$F$6:$F$265,MATCH(Q2092,I_COA!$A$6:$A$265,0)),"?"))))</f>
        <v/>
      </c>
    </row>
    <row r="2093" customFormat="false" ht="15" hidden="false" customHeight="false" outlineLevel="0" collapsed="false">
      <c r="A2093" s="37"/>
      <c r="B2093" s="44"/>
      <c r="C2093" s="44"/>
      <c r="D2093" s="44"/>
      <c r="E2093" s="44"/>
      <c r="F2093" s="44"/>
      <c r="G2093" s="42"/>
      <c r="H2093" s="42"/>
      <c r="I2093" s="44"/>
      <c r="J2093" s="11" t="str">
        <f aca="false">IF(D2093="","",N(G2093)-N(H2093))</f>
        <v/>
      </c>
      <c r="K2093" s="34" t="str">
        <f aca="false">IF(D2093="","",IFERROR(INDEX(I_COA!$C$6:$C$265,MATCH(D2093,I_COA!$A$6:$A$265,0)),"AKUN BARU"))</f>
        <v/>
      </c>
      <c r="L2093" s="34" t="str">
        <f aca="false">IF(K2093="LabaRugi",INDEX(I_COA!$D$6:$D$265,MATCH(D2093,I_COA!$A$6:$A$265,0)),"")</f>
        <v/>
      </c>
      <c r="M2093" s="34" t="str">
        <f aca="false">IF(K2093="Neraca",INDEX(I_COA!$E$6:$E$265,MATCH(D2093,I_COA!$A$6:$A$265,0)),"")</f>
        <v/>
      </c>
      <c r="N2093" s="34" t="str">
        <f aca="false">IF(D2093="","",IFERROR(INDEX(I_COA!$G$6:$G$265,MATCH(D2093,I_COA!$A$6:$A$265,0)),"N"))</f>
        <v/>
      </c>
      <c r="O2093" s="11" t="str">
        <f aca="false">IF(N2093="N",ABS(J2093),"")</f>
        <v/>
      </c>
      <c r="P2093" s="18" t="str">
        <f aca="false">IF(N2093="N",B2093&amp;"|"&amp;ROUND(O2093,0),"")</f>
        <v/>
      </c>
      <c r="Q2093" s="18" t="str">
        <f aca="false">IF(N2093&lt;&gt;"Y","",IFERROR(INDEX($D$6:$D$4005,MATCH(B2093&amp;"|"&amp;ROUND(_xlfn.MAXIFS($O$6:$O$4005,$B$6:$B$4005,B2093,$N$6:$N$4005,"N"),0),$P$6:$P$4005,0)),"(tanpa lawan)"))</f>
        <v/>
      </c>
      <c r="R2093" s="44"/>
      <c r="S2093" s="9" t="str">
        <f aca="false">IF(N2093&lt;&gt;"Y","",IF(R2093&lt;&gt;"",R2093,IF(Q2093="(tanpa lawan)","Transfer antar rekening",IFERROR(INDEX(I_COA!$F$6:$F$265,MATCH(Q2093,I_COA!$A$6:$A$265,0)),"?"))))</f>
        <v/>
      </c>
    </row>
    <row r="2094" customFormat="false" ht="15" hidden="false" customHeight="false" outlineLevel="0" collapsed="false">
      <c r="A2094" s="37"/>
      <c r="B2094" s="44"/>
      <c r="C2094" s="44"/>
      <c r="D2094" s="44"/>
      <c r="E2094" s="44"/>
      <c r="F2094" s="44"/>
      <c r="G2094" s="42"/>
      <c r="H2094" s="42"/>
      <c r="I2094" s="44"/>
      <c r="J2094" s="11" t="str">
        <f aca="false">IF(D2094="","",N(G2094)-N(H2094))</f>
        <v/>
      </c>
      <c r="K2094" s="34" t="str">
        <f aca="false">IF(D2094="","",IFERROR(INDEX(I_COA!$C$6:$C$265,MATCH(D2094,I_COA!$A$6:$A$265,0)),"AKUN BARU"))</f>
        <v/>
      </c>
      <c r="L2094" s="34" t="str">
        <f aca="false">IF(K2094="LabaRugi",INDEX(I_COA!$D$6:$D$265,MATCH(D2094,I_COA!$A$6:$A$265,0)),"")</f>
        <v/>
      </c>
      <c r="M2094" s="34" t="str">
        <f aca="false">IF(K2094="Neraca",INDEX(I_COA!$E$6:$E$265,MATCH(D2094,I_COA!$A$6:$A$265,0)),"")</f>
        <v/>
      </c>
      <c r="N2094" s="34" t="str">
        <f aca="false">IF(D2094="","",IFERROR(INDEX(I_COA!$G$6:$G$265,MATCH(D2094,I_COA!$A$6:$A$265,0)),"N"))</f>
        <v/>
      </c>
      <c r="O2094" s="11" t="str">
        <f aca="false">IF(N2094="N",ABS(J2094),"")</f>
        <v/>
      </c>
      <c r="P2094" s="18" t="str">
        <f aca="false">IF(N2094="N",B2094&amp;"|"&amp;ROUND(O2094,0),"")</f>
        <v/>
      </c>
      <c r="Q2094" s="18" t="str">
        <f aca="false">IF(N2094&lt;&gt;"Y","",IFERROR(INDEX($D$6:$D$4005,MATCH(B2094&amp;"|"&amp;ROUND(_xlfn.MAXIFS($O$6:$O$4005,$B$6:$B$4005,B2094,$N$6:$N$4005,"N"),0),$P$6:$P$4005,0)),"(tanpa lawan)"))</f>
        <v/>
      </c>
      <c r="R2094" s="44"/>
      <c r="S2094" s="9" t="str">
        <f aca="false">IF(N2094&lt;&gt;"Y","",IF(R2094&lt;&gt;"",R2094,IF(Q2094="(tanpa lawan)","Transfer antar rekening",IFERROR(INDEX(I_COA!$F$6:$F$265,MATCH(Q2094,I_COA!$A$6:$A$265,0)),"?"))))</f>
        <v/>
      </c>
    </row>
    <row r="2095" customFormat="false" ht="15" hidden="false" customHeight="false" outlineLevel="0" collapsed="false">
      <c r="A2095" s="37"/>
      <c r="B2095" s="44"/>
      <c r="C2095" s="44"/>
      <c r="D2095" s="44"/>
      <c r="E2095" s="44"/>
      <c r="F2095" s="44"/>
      <c r="G2095" s="42"/>
      <c r="H2095" s="42"/>
      <c r="I2095" s="44"/>
      <c r="J2095" s="11" t="str">
        <f aca="false">IF(D2095="","",N(G2095)-N(H2095))</f>
        <v/>
      </c>
      <c r="K2095" s="34" t="str">
        <f aca="false">IF(D2095="","",IFERROR(INDEX(I_COA!$C$6:$C$265,MATCH(D2095,I_COA!$A$6:$A$265,0)),"AKUN BARU"))</f>
        <v/>
      </c>
      <c r="L2095" s="34" t="str">
        <f aca="false">IF(K2095="LabaRugi",INDEX(I_COA!$D$6:$D$265,MATCH(D2095,I_COA!$A$6:$A$265,0)),"")</f>
        <v/>
      </c>
      <c r="M2095" s="34" t="str">
        <f aca="false">IF(K2095="Neraca",INDEX(I_COA!$E$6:$E$265,MATCH(D2095,I_COA!$A$6:$A$265,0)),"")</f>
        <v/>
      </c>
      <c r="N2095" s="34" t="str">
        <f aca="false">IF(D2095="","",IFERROR(INDEX(I_COA!$G$6:$G$265,MATCH(D2095,I_COA!$A$6:$A$265,0)),"N"))</f>
        <v/>
      </c>
      <c r="O2095" s="11" t="str">
        <f aca="false">IF(N2095="N",ABS(J2095),"")</f>
        <v/>
      </c>
      <c r="P2095" s="18" t="str">
        <f aca="false">IF(N2095="N",B2095&amp;"|"&amp;ROUND(O2095,0),"")</f>
        <v/>
      </c>
      <c r="Q2095" s="18" t="str">
        <f aca="false">IF(N2095&lt;&gt;"Y","",IFERROR(INDEX($D$6:$D$4005,MATCH(B2095&amp;"|"&amp;ROUND(_xlfn.MAXIFS($O$6:$O$4005,$B$6:$B$4005,B2095,$N$6:$N$4005,"N"),0),$P$6:$P$4005,0)),"(tanpa lawan)"))</f>
        <v/>
      </c>
      <c r="R2095" s="44"/>
      <c r="S2095" s="9" t="str">
        <f aca="false">IF(N2095&lt;&gt;"Y","",IF(R2095&lt;&gt;"",R2095,IF(Q2095="(tanpa lawan)","Transfer antar rekening",IFERROR(INDEX(I_COA!$F$6:$F$265,MATCH(Q2095,I_COA!$A$6:$A$265,0)),"?"))))</f>
        <v/>
      </c>
    </row>
    <row r="2096" customFormat="false" ht="15" hidden="false" customHeight="false" outlineLevel="0" collapsed="false">
      <c r="A2096" s="37"/>
      <c r="B2096" s="44"/>
      <c r="C2096" s="44"/>
      <c r="D2096" s="44"/>
      <c r="E2096" s="44"/>
      <c r="F2096" s="44"/>
      <c r="G2096" s="42"/>
      <c r="H2096" s="42"/>
      <c r="I2096" s="44"/>
      <c r="J2096" s="11" t="str">
        <f aca="false">IF(D2096="","",N(G2096)-N(H2096))</f>
        <v/>
      </c>
      <c r="K2096" s="34" t="str">
        <f aca="false">IF(D2096="","",IFERROR(INDEX(I_COA!$C$6:$C$265,MATCH(D2096,I_COA!$A$6:$A$265,0)),"AKUN BARU"))</f>
        <v/>
      </c>
      <c r="L2096" s="34" t="str">
        <f aca="false">IF(K2096="LabaRugi",INDEX(I_COA!$D$6:$D$265,MATCH(D2096,I_COA!$A$6:$A$265,0)),"")</f>
        <v/>
      </c>
      <c r="M2096" s="34" t="str">
        <f aca="false">IF(K2096="Neraca",INDEX(I_COA!$E$6:$E$265,MATCH(D2096,I_COA!$A$6:$A$265,0)),"")</f>
        <v/>
      </c>
      <c r="N2096" s="34" t="str">
        <f aca="false">IF(D2096="","",IFERROR(INDEX(I_COA!$G$6:$G$265,MATCH(D2096,I_COA!$A$6:$A$265,0)),"N"))</f>
        <v/>
      </c>
      <c r="O2096" s="11" t="str">
        <f aca="false">IF(N2096="N",ABS(J2096),"")</f>
        <v/>
      </c>
      <c r="P2096" s="18" t="str">
        <f aca="false">IF(N2096="N",B2096&amp;"|"&amp;ROUND(O2096,0),"")</f>
        <v/>
      </c>
      <c r="Q2096" s="18" t="str">
        <f aca="false">IF(N2096&lt;&gt;"Y","",IFERROR(INDEX($D$6:$D$4005,MATCH(B2096&amp;"|"&amp;ROUND(_xlfn.MAXIFS($O$6:$O$4005,$B$6:$B$4005,B2096,$N$6:$N$4005,"N"),0),$P$6:$P$4005,0)),"(tanpa lawan)"))</f>
        <v/>
      </c>
      <c r="R2096" s="44"/>
      <c r="S2096" s="9" t="str">
        <f aca="false">IF(N2096&lt;&gt;"Y","",IF(R2096&lt;&gt;"",R2096,IF(Q2096="(tanpa lawan)","Transfer antar rekening",IFERROR(INDEX(I_COA!$F$6:$F$265,MATCH(Q2096,I_COA!$A$6:$A$265,0)),"?"))))</f>
        <v/>
      </c>
    </row>
    <row r="2097" customFormat="false" ht="15" hidden="false" customHeight="false" outlineLevel="0" collapsed="false">
      <c r="A2097" s="37"/>
      <c r="B2097" s="44"/>
      <c r="C2097" s="44"/>
      <c r="D2097" s="44"/>
      <c r="E2097" s="44"/>
      <c r="F2097" s="44"/>
      <c r="G2097" s="42"/>
      <c r="H2097" s="42"/>
      <c r="I2097" s="44"/>
      <c r="J2097" s="11" t="str">
        <f aca="false">IF(D2097="","",N(G2097)-N(H2097))</f>
        <v/>
      </c>
      <c r="K2097" s="34" t="str">
        <f aca="false">IF(D2097="","",IFERROR(INDEX(I_COA!$C$6:$C$265,MATCH(D2097,I_COA!$A$6:$A$265,0)),"AKUN BARU"))</f>
        <v/>
      </c>
      <c r="L2097" s="34" t="str">
        <f aca="false">IF(K2097="LabaRugi",INDEX(I_COA!$D$6:$D$265,MATCH(D2097,I_COA!$A$6:$A$265,0)),"")</f>
        <v/>
      </c>
      <c r="M2097" s="34" t="str">
        <f aca="false">IF(K2097="Neraca",INDEX(I_COA!$E$6:$E$265,MATCH(D2097,I_COA!$A$6:$A$265,0)),"")</f>
        <v/>
      </c>
      <c r="N2097" s="34" t="str">
        <f aca="false">IF(D2097="","",IFERROR(INDEX(I_COA!$G$6:$G$265,MATCH(D2097,I_COA!$A$6:$A$265,0)),"N"))</f>
        <v/>
      </c>
      <c r="O2097" s="11" t="str">
        <f aca="false">IF(N2097="N",ABS(J2097),"")</f>
        <v/>
      </c>
      <c r="P2097" s="18" t="str">
        <f aca="false">IF(N2097="N",B2097&amp;"|"&amp;ROUND(O2097,0),"")</f>
        <v/>
      </c>
      <c r="Q2097" s="18" t="str">
        <f aca="false">IF(N2097&lt;&gt;"Y","",IFERROR(INDEX($D$6:$D$4005,MATCH(B2097&amp;"|"&amp;ROUND(_xlfn.MAXIFS($O$6:$O$4005,$B$6:$B$4005,B2097,$N$6:$N$4005,"N"),0),$P$6:$P$4005,0)),"(tanpa lawan)"))</f>
        <v/>
      </c>
      <c r="R2097" s="44"/>
      <c r="S2097" s="9" t="str">
        <f aca="false">IF(N2097&lt;&gt;"Y","",IF(R2097&lt;&gt;"",R2097,IF(Q2097="(tanpa lawan)","Transfer antar rekening",IFERROR(INDEX(I_COA!$F$6:$F$265,MATCH(Q2097,I_COA!$A$6:$A$265,0)),"?"))))</f>
        <v/>
      </c>
    </row>
    <row r="2098" customFormat="false" ht="15" hidden="false" customHeight="false" outlineLevel="0" collapsed="false">
      <c r="A2098" s="37"/>
      <c r="B2098" s="44"/>
      <c r="C2098" s="44"/>
      <c r="D2098" s="44"/>
      <c r="E2098" s="44"/>
      <c r="F2098" s="44"/>
      <c r="G2098" s="42"/>
      <c r="H2098" s="42"/>
      <c r="I2098" s="44"/>
      <c r="J2098" s="11" t="str">
        <f aca="false">IF(D2098="","",N(G2098)-N(H2098))</f>
        <v/>
      </c>
      <c r="K2098" s="34" t="str">
        <f aca="false">IF(D2098="","",IFERROR(INDEX(I_COA!$C$6:$C$265,MATCH(D2098,I_COA!$A$6:$A$265,0)),"AKUN BARU"))</f>
        <v/>
      </c>
      <c r="L2098" s="34" t="str">
        <f aca="false">IF(K2098="LabaRugi",INDEX(I_COA!$D$6:$D$265,MATCH(D2098,I_COA!$A$6:$A$265,0)),"")</f>
        <v/>
      </c>
      <c r="M2098" s="34" t="str">
        <f aca="false">IF(K2098="Neraca",INDEX(I_COA!$E$6:$E$265,MATCH(D2098,I_COA!$A$6:$A$265,0)),"")</f>
        <v/>
      </c>
      <c r="N2098" s="34" t="str">
        <f aca="false">IF(D2098="","",IFERROR(INDEX(I_COA!$G$6:$G$265,MATCH(D2098,I_COA!$A$6:$A$265,0)),"N"))</f>
        <v/>
      </c>
      <c r="O2098" s="11" t="str">
        <f aca="false">IF(N2098="N",ABS(J2098),"")</f>
        <v/>
      </c>
      <c r="P2098" s="18" t="str">
        <f aca="false">IF(N2098="N",B2098&amp;"|"&amp;ROUND(O2098,0),"")</f>
        <v/>
      </c>
      <c r="Q2098" s="18" t="str">
        <f aca="false">IF(N2098&lt;&gt;"Y","",IFERROR(INDEX($D$6:$D$4005,MATCH(B2098&amp;"|"&amp;ROUND(_xlfn.MAXIFS($O$6:$O$4005,$B$6:$B$4005,B2098,$N$6:$N$4005,"N"),0),$P$6:$P$4005,0)),"(tanpa lawan)"))</f>
        <v/>
      </c>
      <c r="R2098" s="44"/>
      <c r="S2098" s="9" t="str">
        <f aca="false">IF(N2098&lt;&gt;"Y","",IF(R2098&lt;&gt;"",R2098,IF(Q2098="(tanpa lawan)","Transfer antar rekening",IFERROR(INDEX(I_COA!$F$6:$F$265,MATCH(Q2098,I_COA!$A$6:$A$265,0)),"?"))))</f>
        <v/>
      </c>
    </row>
    <row r="2099" customFormat="false" ht="15" hidden="false" customHeight="false" outlineLevel="0" collapsed="false">
      <c r="A2099" s="37"/>
      <c r="B2099" s="44"/>
      <c r="C2099" s="44"/>
      <c r="D2099" s="44"/>
      <c r="E2099" s="44"/>
      <c r="F2099" s="44"/>
      <c r="G2099" s="42"/>
      <c r="H2099" s="42"/>
      <c r="I2099" s="44"/>
      <c r="J2099" s="11" t="str">
        <f aca="false">IF(D2099="","",N(G2099)-N(H2099))</f>
        <v/>
      </c>
      <c r="K2099" s="34" t="str">
        <f aca="false">IF(D2099="","",IFERROR(INDEX(I_COA!$C$6:$C$265,MATCH(D2099,I_COA!$A$6:$A$265,0)),"AKUN BARU"))</f>
        <v/>
      </c>
      <c r="L2099" s="34" t="str">
        <f aca="false">IF(K2099="LabaRugi",INDEX(I_COA!$D$6:$D$265,MATCH(D2099,I_COA!$A$6:$A$265,0)),"")</f>
        <v/>
      </c>
      <c r="M2099" s="34" t="str">
        <f aca="false">IF(K2099="Neraca",INDEX(I_COA!$E$6:$E$265,MATCH(D2099,I_COA!$A$6:$A$265,0)),"")</f>
        <v/>
      </c>
      <c r="N2099" s="34" t="str">
        <f aca="false">IF(D2099="","",IFERROR(INDEX(I_COA!$G$6:$G$265,MATCH(D2099,I_COA!$A$6:$A$265,0)),"N"))</f>
        <v/>
      </c>
      <c r="O2099" s="11" t="str">
        <f aca="false">IF(N2099="N",ABS(J2099),"")</f>
        <v/>
      </c>
      <c r="P2099" s="18" t="str">
        <f aca="false">IF(N2099="N",B2099&amp;"|"&amp;ROUND(O2099,0),"")</f>
        <v/>
      </c>
      <c r="Q2099" s="18" t="str">
        <f aca="false">IF(N2099&lt;&gt;"Y","",IFERROR(INDEX($D$6:$D$4005,MATCH(B2099&amp;"|"&amp;ROUND(_xlfn.MAXIFS($O$6:$O$4005,$B$6:$B$4005,B2099,$N$6:$N$4005,"N"),0),$P$6:$P$4005,0)),"(tanpa lawan)"))</f>
        <v/>
      </c>
      <c r="R2099" s="44"/>
      <c r="S2099" s="9" t="str">
        <f aca="false">IF(N2099&lt;&gt;"Y","",IF(R2099&lt;&gt;"",R2099,IF(Q2099="(tanpa lawan)","Transfer antar rekening",IFERROR(INDEX(I_COA!$F$6:$F$265,MATCH(Q2099,I_COA!$A$6:$A$265,0)),"?"))))</f>
        <v/>
      </c>
    </row>
    <row r="2100" customFormat="false" ht="15" hidden="false" customHeight="false" outlineLevel="0" collapsed="false">
      <c r="A2100" s="37"/>
      <c r="B2100" s="44"/>
      <c r="C2100" s="44"/>
      <c r="D2100" s="44"/>
      <c r="E2100" s="44"/>
      <c r="F2100" s="44"/>
      <c r="G2100" s="42"/>
      <c r="H2100" s="42"/>
      <c r="I2100" s="44"/>
      <c r="J2100" s="11" t="str">
        <f aca="false">IF(D2100="","",N(G2100)-N(H2100))</f>
        <v/>
      </c>
      <c r="K2100" s="34" t="str">
        <f aca="false">IF(D2100="","",IFERROR(INDEX(I_COA!$C$6:$C$265,MATCH(D2100,I_COA!$A$6:$A$265,0)),"AKUN BARU"))</f>
        <v/>
      </c>
      <c r="L2100" s="34" t="str">
        <f aca="false">IF(K2100="LabaRugi",INDEX(I_COA!$D$6:$D$265,MATCH(D2100,I_COA!$A$6:$A$265,0)),"")</f>
        <v/>
      </c>
      <c r="M2100" s="34" t="str">
        <f aca="false">IF(K2100="Neraca",INDEX(I_COA!$E$6:$E$265,MATCH(D2100,I_COA!$A$6:$A$265,0)),"")</f>
        <v/>
      </c>
      <c r="N2100" s="34" t="str">
        <f aca="false">IF(D2100="","",IFERROR(INDEX(I_COA!$G$6:$G$265,MATCH(D2100,I_COA!$A$6:$A$265,0)),"N"))</f>
        <v/>
      </c>
      <c r="O2100" s="11" t="str">
        <f aca="false">IF(N2100="N",ABS(J2100),"")</f>
        <v/>
      </c>
      <c r="P2100" s="18" t="str">
        <f aca="false">IF(N2100="N",B2100&amp;"|"&amp;ROUND(O2100,0),"")</f>
        <v/>
      </c>
      <c r="Q2100" s="18" t="str">
        <f aca="false">IF(N2100&lt;&gt;"Y","",IFERROR(INDEX($D$6:$D$4005,MATCH(B2100&amp;"|"&amp;ROUND(_xlfn.MAXIFS($O$6:$O$4005,$B$6:$B$4005,B2100,$N$6:$N$4005,"N"),0),$P$6:$P$4005,0)),"(tanpa lawan)"))</f>
        <v/>
      </c>
      <c r="R2100" s="44"/>
      <c r="S2100" s="9" t="str">
        <f aca="false">IF(N2100&lt;&gt;"Y","",IF(R2100&lt;&gt;"",R2100,IF(Q2100="(tanpa lawan)","Transfer antar rekening",IFERROR(INDEX(I_COA!$F$6:$F$265,MATCH(Q2100,I_COA!$A$6:$A$265,0)),"?"))))</f>
        <v/>
      </c>
    </row>
    <row r="2101" customFormat="false" ht="15" hidden="false" customHeight="false" outlineLevel="0" collapsed="false">
      <c r="A2101" s="37"/>
      <c r="B2101" s="44"/>
      <c r="C2101" s="44"/>
      <c r="D2101" s="44"/>
      <c r="E2101" s="44"/>
      <c r="F2101" s="44"/>
      <c r="G2101" s="42"/>
      <c r="H2101" s="42"/>
      <c r="I2101" s="44"/>
      <c r="J2101" s="11" t="str">
        <f aca="false">IF(D2101="","",N(G2101)-N(H2101))</f>
        <v/>
      </c>
      <c r="K2101" s="34" t="str">
        <f aca="false">IF(D2101="","",IFERROR(INDEX(I_COA!$C$6:$C$265,MATCH(D2101,I_COA!$A$6:$A$265,0)),"AKUN BARU"))</f>
        <v/>
      </c>
      <c r="L2101" s="34" t="str">
        <f aca="false">IF(K2101="LabaRugi",INDEX(I_COA!$D$6:$D$265,MATCH(D2101,I_COA!$A$6:$A$265,0)),"")</f>
        <v/>
      </c>
      <c r="M2101" s="34" t="str">
        <f aca="false">IF(K2101="Neraca",INDEX(I_COA!$E$6:$E$265,MATCH(D2101,I_COA!$A$6:$A$265,0)),"")</f>
        <v/>
      </c>
      <c r="N2101" s="34" t="str">
        <f aca="false">IF(D2101="","",IFERROR(INDEX(I_COA!$G$6:$G$265,MATCH(D2101,I_COA!$A$6:$A$265,0)),"N"))</f>
        <v/>
      </c>
      <c r="O2101" s="11" t="str">
        <f aca="false">IF(N2101="N",ABS(J2101),"")</f>
        <v/>
      </c>
      <c r="P2101" s="18" t="str">
        <f aca="false">IF(N2101="N",B2101&amp;"|"&amp;ROUND(O2101,0),"")</f>
        <v/>
      </c>
      <c r="Q2101" s="18" t="str">
        <f aca="false">IF(N2101&lt;&gt;"Y","",IFERROR(INDEX($D$6:$D$4005,MATCH(B2101&amp;"|"&amp;ROUND(_xlfn.MAXIFS($O$6:$O$4005,$B$6:$B$4005,B2101,$N$6:$N$4005,"N"),0),$P$6:$P$4005,0)),"(tanpa lawan)"))</f>
        <v/>
      </c>
      <c r="R2101" s="44"/>
      <c r="S2101" s="9" t="str">
        <f aca="false">IF(N2101&lt;&gt;"Y","",IF(R2101&lt;&gt;"",R2101,IF(Q2101="(tanpa lawan)","Transfer antar rekening",IFERROR(INDEX(I_COA!$F$6:$F$265,MATCH(Q2101,I_COA!$A$6:$A$265,0)),"?"))))</f>
        <v/>
      </c>
    </row>
    <row r="2102" customFormat="false" ht="15" hidden="false" customHeight="false" outlineLevel="0" collapsed="false">
      <c r="A2102" s="37"/>
      <c r="B2102" s="44"/>
      <c r="C2102" s="44"/>
      <c r="D2102" s="44"/>
      <c r="E2102" s="44"/>
      <c r="F2102" s="44"/>
      <c r="G2102" s="42"/>
      <c r="H2102" s="42"/>
      <c r="I2102" s="44"/>
      <c r="J2102" s="11" t="str">
        <f aca="false">IF(D2102="","",N(G2102)-N(H2102))</f>
        <v/>
      </c>
      <c r="K2102" s="34" t="str">
        <f aca="false">IF(D2102="","",IFERROR(INDEX(I_COA!$C$6:$C$265,MATCH(D2102,I_COA!$A$6:$A$265,0)),"AKUN BARU"))</f>
        <v/>
      </c>
      <c r="L2102" s="34" t="str">
        <f aca="false">IF(K2102="LabaRugi",INDEX(I_COA!$D$6:$D$265,MATCH(D2102,I_COA!$A$6:$A$265,0)),"")</f>
        <v/>
      </c>
      <c r="M2102" s="34" t="str">
        <f aca="false">IF(K2102="Neraca",INDEX(I_COA!$E$6:$E$265,MATCH(D2102,I_COA!$A$6:$A$265,0)),"")</f>
        <v/>
      </c>
      <c r="N2102" s="34" t="str">
        <f aca="false">IF(D2102="","",IFERROR(INDEX(I_COA!$G$6:$G$265,MATCH(D2102,I_COA!$A$6:$A$265,0)),"N"))</f>
        <v/>
      </c>
      <c r="O2102" s="11" t="str">
        <f aca="false">IF(N2102="N",ABS(J2102),"")</f>
        <v/>
      </c>
      <c r="P2102" s="18" t="str">
        <f aca="false">IF(N2102="N",B2102&amp;"|"&amp;ROUND(O2102,0),"")</f>
        <v/>
      </c>
      <c r="Q2102" s="18" t="str">
        <f aca="false">IF(N2102&lt;&gt;"Y","",IFERROR(INDEX($D$6:$D$4005,MATCH(B2102&amp;"|"&amp;ROUND(_xlfn.MAXIFS($O$6:$O$4005,$B$6:$B$4005,B2102,$N$6:$N$4005,"N"),0),$P$6:$P$4005,0)),"(tanpa lawan)"))</f>
        <v/>
      </c>
      <c r="R2102" s="44"/>
      <c r="S2102" s="9" t="str">
        <f aca="false">IF(N2102&lt;&gt;"Y","",IF(R2102&lt;&gt;"",R2102,IF(Q2102="(tanpa lawan)","Transfer antar rekening",IFERROR(INDEX(I_COA!$F$6:$F$265,MATCH(Q2102,I_COA!$A$6:$A$265,0)),"?"))))</f>
        <v/>
      </c>
    </row>
    <row r="2103" customFormat="false" ht="15" hidden="false" customHeight="false" outlineLevel="0" collapsed="false">
      <c r="A2103" s="37"/>
      <c r="B2103" s="44"/>
      <c r="C2103" s="44"/>
      <c r="D2103" s="44"/>
      <c r="E2103" s="44"/>
      <c r="F2103" s="44"/>
      <c r="G2103" s="42"/>
      <c r="H2103" s="42"/>
      <c r="I2103" s="44"/>
      <c r="J2103" s="11" t="str">
        <f aca="false">IF(D2103="","",N(G2103)-N(H2103))</f>
        <v/>
      </c>
      <c r="K2103" s="34" t="str">
        <f aca="false">IF(D2103="","",IFERROR(INDEX(I_COA!$C$6:$C$265,MATCH(D2103,I_COA!$A$6:$A$265,0)),"AKUN BARU"))</f>
        <v/>
      </c>
      <c r="L2103" s="34" t="str">
        <f aca="false">IF(K2103="LabaRugi",INDEX(I_COA!$D$6:$D$265,MATCH(D2103,I_COA!$A$6:$A$265,0)),"")</f>
        <v/>
      </c>
      <c r="M2103" s="34" t="str">
        <f aca="false">IF(K2103="Neraca",INDEX(I_COA!$E$6:$E$265,MATCH(D2103,I_COA!$A$6:$A$265,0)),"")</f>
        <v/>
      </c>
      <c r="N2103" s="34" t="str">
        <f aca="false">IF(D2103="","",IFERROR(INDEX(I_COA!$G$6:$G$265,MATCH(D2103,I_COA!$A$6:$A$265,0)),"N"))</f>
        <v/>
      </c>
      <c r="O2103" s="11" t="str">
        <f aca="false">IF(N2103="N",ABS(J2103),"")</f>
        <v/>
      </c>
      <c r="P2103" s="18" t="str">
        <f aca="false">IF(N2103="N",B2103&amp;"|"&amp;ROUND(O2103,0),"")</f>
        <v/>
      </c>
      <c r="Q2103" s="18" t="str">
        <f aca="false">IF(N2103&lt;&gt;"Y","",IFERROR(INDEX($D$6:$D$4005,MATCH(B2103&amp;"|"&amp;ROUND(_xlfn.MAXIFS($O$6:$O$4005,$B$6:$B$4005,B2103,$N$6:$N$4005,"N"),0),$P$6:$P$4005,0)),"(tanpa lawan)"))</f>
        <v/>
      </c>
      <c r="R2103" s="44"/>
      <c r="S2103" s="9" t="str">
        <f aca="false">IF(N2103&lt;&gt;"Y","",IF(R2103&lt;&gt;"",R2103,IF(Q2103="(tanpa lawan)","Transfer antar rekening",IFERROR(INDEX(I_COA!$F$6:$F$265,MATCH(Q2103,I_COA!$A$6:$A$265,0)),"?"))))</f>
        <v/>
      </c>
    </row>
    <row r="2104" customFormat="false" ht="15" hidden="false" customHeight="false" outlineLevel="0" collapsed="false">
      <c r="A2104" s="37"/>
      <c r="B2104" s="44"/>
      <c r="C2104" s="44"/>
      <c r="D2104" s="44"/>
      <c r="E2104" s="44"/>
      <c r="F2104" s="44"/>
      <c r="G2104" s="42"/>
      <c r="H2104" s="42"/>
      <c r="I2104" s="44"/>
      <c r="J2104" s="11" t="str">
        <f aca="false">IF(D2104="","",N(G2104)-N(H2104))</f>
        <v/>
      </c>
      <c r="K2104" s="34" t="str">
        <f aca="false">IF(D2104="","",IFERROR(INDEX(I_COA!$C$6:$C$265,MATCH(D2104,I_COA!$A$6:$A$265,0)),"AKUN BARU"))</f>
        <v/>
      </c>
      <c r="L2104" s="34" t="str">
        <f aca="false">IF(K2104="LabaRugi",INDEX(I_COA!$D$6:$D$265,MATCH(D2104,I_COA!$A$6:$A$265,0)),"")</f>
        <v/>
      </c>
      <c r="M2104" s="34" t="str">
        <f aca="false">IF(K2104="Neraca",INDEX(I_COA!$E$6:$E$265,MATCH(D2104,I_COA!$A$6:$A$265,0)),"")</f>
        <v/>
      </c>
      <c r="N2104" s="34" t="str">
        <f aca="false">IF(D2104="","",IFERROR(INDEX(I_COA!$G$6:$G$265,MATCH(D2104,I_COA!$A$6:$A$265,0)),"N"))</f>
        <v/>
      </c>
      <c r="O2104" s="11" t="str">
        <f aca="false">IF(N2104="N",ABS(J2104),"")</f>
        <v/>
      </c>
      <c r="P2104" s="18" t="str">
        <f aca="false">IF(N2104="N",B2104&amp;"|"&amp;ROUND(O2104,0),"")</f>
        <v/>
      </c>
      <c r="Q2104" s="18" t="str">
        <f aca="false">IF(N2104&lt;&gt;"Y","",IFERROR(INDEX($D$6:$D$4005,MATCH(B2104&amp;"|"&amp;ROUND(_xlfn.MAXIFS($O$6:$O$4005,$B$6:$B$4005,B2104,$N$6:$N$4005,"N"),0),$P$6:$P$4005,0)),"(tanpa lawan)"))</f>
        <v/>
      </c>
      <c r="R2104" s="44"/>
      <c r="S2104" s="9" t="str">
        <f aca="false">IF(N2104&lt;&gt;"Y","",IF(R2104&lt;&gt;"",R2104,IF(Q2104="(tanpa lawan)","Transfer antar rekening",IFERROR(INDEX(I_COA!$F$6:$F$265,MATCH(Q2104,I_COA!$A$6:$A$265,0)),"?"))))</f>
        <v/>
      </c>
    </row>
    <row r="2105" customFormat="false" ht="15" hidden="false" customHeight="false" outlineLevel="0" collapsed="false">
      <c r="A2105" s="37"/>
      <c r="B2105" s="44"/>
      <c r="C2105" s="44"/>
      <c r="D2105" s="44"/>
      <c r="E2105" s="44"/>
      <c r="F2105" s="44"/>
      <c r="G2105" s="42"/>
      <c r="H2105" s="42"/>
      <c r="I2105" s="44"/>
      <c r="J2105" s="11" t="str">
        <f aca="false">IF(D2105="","",N(G2105)-N(H2105))</f>
        <v/>
      </c>
      <c r="K2105" s="34" t="str">
        <f aca="false">IF(D2105="","",IFERROR(INDEX(I_COA!$C$6:$C$265,MATCH(D2105,I_COA!$A$6:$A$265,0)),"AKUN BARU"))</f>
        <v/>
      </c>
      <c r="L2105" s="34" t="str">
        <f aca="false">IF(K2105="LabaRugi",INDEX(I_COA!$D$6:$D$265,MATCH(D2105,I_COA!$A$6:$A$265,0)),"")</f>
        <v/>
      </c>
      <c r="M2105" s="34" t="str">
        <f aca="false">IF(K2105="Neraca",INDEX(I_COA!$E$6:$E$265,MATCH(D2105,I_COA!$A$6:$A$265,0)),"")</f>
        <v/>
      </c>
      <c r="N2105" s="34" t="str">
        <f aca="false">IF(D2105="","",IFERROR(INDEX(I_COA!$G$6:$G$265,MATCH(D2105,I_COA!$A$6:$A$265,0)),"N"))</f>
        <v/>
      </c>
      <c r="O2105" s="11" t="str">
        <f aca="false">IF(N2105="N",ABS(J2105),"")</f>
        <v/>
      </c>
      <c r="P2105" s="18" t="str">
        <f aca="false">IF(N2105="N",B2105&amp;"|"&amp;ROUND(O2105,0),"")</f>
        <v/>
      </c>
      <c r="Q2105" s="18" t="str">
        <f aca="false">IF(N2105&lt;&gt;"Y","",IFERROR(INDEX($D$6:$D$4005,MATCH(B2105&amp;"|"&amp;ROUND(_xlfn.MAXIFS($O$6:$O$4005,$B$6:$B$4005,B2105,$N$6:$N$4005,"N"),0),$P$6:$P$4005,0)),"(tanpa lawan)"))</f>
        <v/>
      </c>
      <c r="R2105" s="44"/>
      <c r="S2105" s="9" t="str">
        <f aca="false">IF(N2105&lt;&gt;"Y","",IF(R2105&lt;&gt;"",R2105,IF(Q2105="(tanpa lawan)","Transfer antar rekening",IFERROR(INDEX(I_COA!$F$6:$F$265,MATCH(Q2105,I_COA!$A$6:$A$265,0)),"?"))))</f>
        <v/>
      </c>
    </row>
    <row r="2106" customFormat="false" ht="15" hidden="false" customHeight="false" outlineLevel="0" collapsed="false">
      <c r="A2106" s="37"/>
      <c r="B2106" s="44"/>
      <c r="C2106" s="44"/>
      <c r="D2106" s="44"/>
      <c r="E2106" s="44"/>
      <c r="F2106" s="44"/>
      <c r="G2106" s="42"/>
      <c r="H2106" s="42"/>
      <c r="I2106" s="44"/>
      <c r="J2106" s="11" t="str">
        <f aca="false">IF(D2106="","",N(G2106)-N(H2106))</f>
        <v/>
      </c>
      <c r="K2106" s="34" t="str">
        <f aca="false">IF(D2106="","",IFERROR(INDEX(I_COA!$C$6:$C$265,MATCH(D2106,I_COA!$A$6:$A$265,0)),"AKUN BARU"))</f>
        <v/>
      </c>
      <c r="L2106" s="34" t="str">
        <f aca="false">IF(K2106="LabaRugi",INDEX(I_COA!$D$6:$D$265,MATCH(D2106,I_COA!$A$6:$A$265,0)),"")</f>
        <v/>
      </c>
      <c r="M2106" s="34" t="str">
        <f aca="false">IF(K2106="Neraca",INDEX(I_COA!$E$6:$E$265,MATCH(D2106,I_COA!$A$6:$A$265,0)),"")</f>
        <v/>
      </c>
      <c r="N2106" s="34" t="str">
        <f aca="false">IF(D2106="","",IFERROR(INDEX(I_COA!$G$6:$G$265,MATCH(D2106,I_COA!$A$6:$A$265,0)),"N"))</f>
        <v/>
      </c>
      <c r="O2106" s="11" t="str">
        <f aca="false">IF(N2106="N",ABS(J2106),"")</f>
        <v/>
      </c>
      <c r="P2106" s="18" t="str">
        <f aca="false">IF(N2106="N",B2106&amp;"|"&amp;ROUND(O2106,0),"")</f>
        <v/>
      </c>
      <c r="Q2106" s="18" t="str">
        <f aca="false">IF(N2106&lt;&gt;"Y","",IFERROR(INDEX($D$6:$D$4005,MATCH(B2106&amp;"|"&amp;ROUND(_xlfn.MAXIFS($O$6:$O$4005,$B$6:$B$4005,B2106,$N$6:$N$4005,"N"),0),$P$6:$P$4005,0)),"(tanpa lawan)"))</f>
        <v/>
      </c>
      <c r="R2106" s="44"/>
      <c r="S2106" s="9" t="str">
        <f aca="false">IF(N2106&lt;&gt;"Y","",IF(R2106&lt;&gt;"",R2106,IF(Q2106="(tanpa lawan)","Transfer antar rekening",IFERROR(INDEX(I_COA!$F$6:$F$265,MATCH(Q2106,I_COA!$A$6:$A$265,0)),"?"))))</f>
        <v/>
      </c>
    </row>
    <row r="2107" customFormat="false" ht="15" hidden="false" customHeight="false" outlineLevel="0" collapsed="false">
      <c r="A2107" s="37"/>
      <c r="B2107" s="44"/>
      <c r="C2107" s="44"/>
      <c r="D2107" s="44"/>
      <c r="E2107" s="44"/>
      <c r="F2107" s="44"/>
      <c r="G2107" s="42"/>
      <c r="H2107" s="42"/>
      <c r="I2107" s="44"/>
      <c r="J2107" s="11" t="str">
        <f aca="false">IF(D2107="","",N(G2107)-N(H2107))</f>
        <v/>
      </c>
      <c r="K2107" s="34" t="str">
        <f aca="false">IF(D2107="","",IFERROR(INDEX(I_COA!$C$6:$C$265,MATCH(D2107,I_COA!$A$6:$A$265,0)),"AKUN BARU"))</f>
        <v/>
      </c>
      <c r="L2107" s="34" t="str">
        <f aca="false">IF(K2107="LabaRugi",INDEX(I_COA!$D$6:$D$265,MATCH(D2107,I_COA!$A$6:$A$265,0)),"")</f>
        <v/>
      </c>
      <c r="M2107" s="34" t="str">
        <f aca="false">IF(K2107="Neraca",INDEX(I_COA!$E$6:$E$265,MATCH(D2107,I_COA!$A$6:$A$265,0)),"")</f>
        <v/>
      </c>
      <c r="N2107" s="34" t="str">
        <f aca="false">IF(D2107="","",IFERROR(INDEX(I_COA!$G$6:$G$265,MATCH(D2107,I_COA!$A$6:$A$265,0)),"N"))</f>
        <v/>
      </c>
      <c r="O2107" s="11" t="str">
        <f aca="false">IF(N2107="N",ABS(J2107),"")</f>
        <v/>
      </c>
      <c r="P2107" s="18" t="str">
        <f aca="false">IF(N2107="N",B2107&amp;"|"&amp;ROUND(O2107,0),"")</f>
        <v/>
      </c>
      <c r="Q2107" s="18" t="str">
        <f aca="false">IF(N2107&lt;&gt;"Y","",IFERROR(INDEX($D$6:$D$4005,MATCH(B2107&amp;"|"&amp;ROUND(_xlfn.MAXIFS($O$6:$O$4005,$B$6:$B$4005,B2107,$N$6:$N$4005,"N"),0),$P$6:$P$4005,0)),"(tanpa lawan)"))</f>
        <v/>
      </c>
      <c r="R2107" s="44"/>
      <c r="S2107" s="9" t="str">
        <f aca="false">IF(N2107&lt;&gt;"Y","",IF(R2107&lt;&gt;"",R2107,IF(Q2107="(tanpa lawan)","Transfer antar rekening",IFERROR(INDEX(I_COA!$F$6:$F$265,MATCH(Q2107,I_COA!$A$6:$A$265,0)),"?"))))</f>
        <v/>
      </c>
    </row>
    <row r="2108" customFormat="false" ht="15" hidden="false" customHeight="false" outlineLevel="0" collapsed="false">
      <c r="A2108" s="37"/>
      <c r="B2108" s="44"/>
      <c r="C2108" s="44"/>
      <c r="D2108" s="44"/>
      <c r="E2108" s="44"/>
      <c r="F2108" s="44"/>
      <c r="G2108" s="42"/>
      <c r="H2108" s="42"/>
      <c r="I2108" s="44"/>
      <c r="J2108" s="11" t="str">
        <f aca="false">IF(D2108="","",N(G2108)-N(H2108))</f>
        <v/>
      </c>
      <c r="K2108" s="34" t="str">
        <f aca="false">IF(D2108="","",IFERROR(INDEX(I_COA!$C$6:$C$265,MATCH(D2108,I_COA!$A$6:$A$265,0)),"AKUN BARU"))</f>
        <v/>
      </c>
      <c r="L2108" s="34" t="str">
        <f aca="false">IF(K2108="LabaRugi",INDEX(I_COA!$D$6:$D$265,MATCH(D2108,I_COA!$A$6:$A$265,0)),"")</f>
        <v/>
      </c>
      <c r="M2108" s="34" t="str">
        <f aca="false">IF(K2108="Neraca",INDEX(I_COA!$E$6:$E$265,MATCH(D2108,I_COA!$A$6:$A$265,0)),"")</f>
        <v/>
      </c>
      <c r="N2108" s="34" t="str">
        <f aca="false">IF(D2108="","",IFERROR(INDEX(I_COA!$G$6:$G$265,MATCH(D2108,I_COA!$A$6:$A$265,0)),"N"))</f>
        <v/>
      </c>
      <c r="O2108" s="11" t="str">
        <f aca="false">IF(N2108="N",ABS(J2108),"")</f>
        <v/>
      </c>
      <c r="P2108" s="18" t="str">
        <f aca="false">IF(N2108="N",B2108&amp;"|"&amp;ROUND(O2108,0),"")</f>
        <v/>
      </c>
      <c r="Q2108" s="18" t="str">
        <f aca="false">IF(N2108&lt;&gt;"Y","",IFERROR(INDEX($D$6:$D$4005,MATCH(B2108&amp;"|"&amp;ROUND(_xlfn.MAXIFS($O$6:$O$4005,$B$6:$B$4005,B2108,$N$6:$N$4005,"N"),0),$P$6:$P$4005,0)),"(tanpa lawan)"))</f>
        <v/>
      </c>
      <c r="R2108" s="44"/>
      <c r="S2108" s="9" t="str">
        <f aca="false">IF(N2108&lt;&gt;"Y","",IF(R2108&lt;&gt;"",R2108,IF(Q2108="(tanpa lawan)","Transfer antar rekening",IFERROR(INDEX(I_COA!$F$6:$F$265,MATCH(Q2108,I_COA!$A$6:$A$265,0)),"?"))))</f>
        <v/>
      </c>
    </row>
    <row r="2109" customFormat="false" ht="15" hidden="false" customHeight="false" outlineLevel="0" collapsed="false">
      <c r="A2109" s="37"/>
      <c r="B2109" s="44"/>
      <c r="C2109" s="44"/>
      <c r="D2109" s="44"/>
      <c r="E2109" s="44"/>
      <c r="F2109" s="44"/>
      <c r="G2109" s="42"/>
      <c r="H2109" s="42"/>
      <c r="I2109" s="44"/>
      <c r="J2109" s="11" t="str">
        <f aca="false">IF(D2109="","",N(G2109)-N(H2109))</f>
        <v/>
      </c>
      <c r="K2109" s="34" t="str">
        <f aca="false">IF(D2109="","",IFERROR(INDEX(I_COA!$C$6:$C$265,MATCH(D2109,I_COA!$A$6:$A$265,0)),"AKUN BARU"))</f>
        <v/>
      </c>
      <c r="L2109" s="34" t="str">
        <f aca="false">IF(K2109="LabaRugi",INDEX(I_COA!$D$6:$D$265,MATCH(D2109,I_COA!$A$6:$A$265,0)),"")</f>
        <v/>
      </c>
      <c r="M2109" s="34" t="str">
        <f aca="false">IF(K2109="Neraca",INDEX(I_COA!$E$6:$E$265,MATCH(D2109,I_COA!$A$6:$A$265,0)),"")</f>
        <v/>
      </c>
      <c r="N2109" s="34" t="str">
        <f aca="false">IF(D2109="","",IFERROR(INDEX(I_COA!$G$6:$G$265,MATCH(D2109,I_COA!$A$6:$A$265,0)),"N"))</f>
        <v/>
      </c>
      <c r="O2109" s="11" t="str">
        <f aca="false">IF(N2109="N",ABS(J2109),"")</f>
        <v/>
      </c>
      <c r="P2109" s="18" t="str">
        <f aca="false">IF(N2109="N",B2109&amp;"|"&amp;ROUND(O2109,0),"")</f>
        <v/>
      </c>
      <c r="Q2109" s="18" t="str">
        <f aca="false">IF(N2109&lt;&gt;"Y","",IFERROR(INDEX($D$6:$D$4005,MATCH(B2109&amp;"|"&amp;ROUND(_xlfn.MAXIFS($O$6:$O$4005,$B$6:$B$4005,B2109,$N$6:$N$4005,"N"),0),$P$6:$P$4005,0)),"(tanpa lawan)"))</f>
        <v/>
      </c>
      <c r="R2109" s="44"/>
      <c r="S2109" s="9" t="str">
        <f aca="false">IF(N2109&lt;&gt;"Y","",IF(R2109&lt;&gt;"",R2109,IF(Q2109="(tanpa lawan)","Transfer antar rekening",IFERROR(INDEX(I_COA!$F$6:$F$265,MATCH(Q2109,I_COA!$A$6:$A$265,0)),"?"))))</f>
        <v/>
      </c>
    </row>
    <row r="2110" customFormat="false" ht="15" hidden="false" customHeight="false" outlineLevel="0" collapsed="false">
      <c r="A2110" s="37"/>
      <c r="B2110" s="44"/>
      <c r="C2110" s="44"/>
      <c r="D2110" s="44"/>
      <c r="E2110" s="44"/>
      <c r="F2110" s="44"/>
      <c r="G2110" s="42"/>
      <c r="H2110" s="42"/>
      <c r="I2110" s="44"/>
      <c r="J2110" s="11" t="str">
        <f aca="false">IF(D2110="","",N(G2110)-N(H2110))</f>
        <v/>
      </c>
      <c r="K2110" s="34" t="str">
        <f aca="false">IF(D2110="","",IFERROR(INDEX(I_COA!$C$6:$C$265,MATCH(D2110,I_COA!$A$6:$A$265,0)),"AKUN BARU"))</f>
        <v/>
      </c>
      <c r="L2110" s="34" t="str">
        <f aca="false">IF(K2110="LabaRugi",INDEX(I_COA!$D$6:$D$265,MATCH(D2110,I_COA!$A$6:$A$265,0)),"")</f>
        <v/>
      </c>
      <c r="M2110" s="34" t="str">
        <f aca="false">IF(K2110="Neraca",INDEX(I_COA!$E$6:$E$265,MATCH(D2110,I_COA!$A$6:$A$265,0)),"")</f>
        <v/>
      </c>
      <c r="N2110" s="34" t="str">
        <f aca="false">IF(D2110="","",IFERROR(INDEX(I_COA!$G$6:$G$265,MATCH(D2110,I_COA!$A$6:$A$265,0)),"N"))</f>
        <v/>
      </c>
      <c r="O2110" s="11" t="str">
        <f aca="false">IF(N2110="N",ABS(J2110),"")</f>
        <v/>
      </c>
      <c r="P2110" s="18" t="str">
        <f aca="false">IF(N2110="N",B2110&amp;"|"&amp;ROUND(O2110,0),"")</f>
        <v/>
      </c>
      <c r="Q2110" s="18" t="str">
        <f aca="false">IF(N2110&lt;&gt;"Y","",IFERROR(INDEX($D$6:$D$4005,MATCH(B2110&amp;"|"&amp;ROUND(_xlfn.MAXIFS($O$6:$O$4005,$B$6:$B$4005,B2110,$N$6:$N$4005,"N"),0),$P$6:$P$4005,0)),"(tanpa lawan)"))</f>
        <v/>
      </c>
      <c r="R2110" s="44"/>
      <c r="S2110" s="9" t="str">
        <f aca="false">IF(N2110&lt;&gt;"Y","",IF(R2110&lt;&gt;"",R2110,IF(Q2110="(tanpa lawan)","Transfer antar rekening",IFERROR(INDEX(I_COA!$F$6:$F$265,MATCH(Q2110,I_COA!$A$6:$A$265,0)),"?"))))</f>
        <v/>
      </c>
    </row>
    <row r="2111" customFormat="false" ht="15" hidden="false" customHeight="false" outlineLevel="0" collapsed="false">
      <c r="A2111" s="37"/>
      <c r="B2111" s="44"/>
      <c r="C2111" s="44"/>
      <c r="D2111" s="44"/>
      <c r="E2111" s="44"/>
      <c r="F2111" s="44"/>
      <c r="G2111" s="42"/>
      <c r="H2111" s="42"/>
      <c r="I2111" s="44"/>
      <c r="J2111" s="11" t="str">
        <f aca="false">IF(D2111="","",N(G2111)-N(H2111))</f>
        <v/>
      </c>
      <c r="K2111" s="34" t="str">
        <f aca="false">IF(D2111="","",IFERROR(INDEX(I_COA!$C$6:$C$265,MATCH(D2111,I_COA!$A$6:$A$265,0)),"AKUN BARU"))</f>
        <v/>
      </c>
      <c r="L2111" s="34" t="str">
        <f aca="false">IF(K2111="LabaRugi",INDEX(I_COA!$D$6:$D$265,MATCH(D2111,I_COA!$A$6:$A$265,0)),"")</f>
        <v/>
      </c>
      <c r="M2111" s="34" t="str">
        <f aca="false">IF(K2111="Neraca",INDEX(I_COA!$E$6:$E$265,MATCH(D2111,I_COA!$A$6:$A$265,0)),"")</f>
        <v/>
      </c>
      <c r="N2111" s="34" t="str">
        <f aca="false">IF(D2111="","",IFERROR(INDEX(I_COA!$G$6:$G$265,MATCH(D2111,I_COA!$A$6:$A$265,0)),"N"))</f>
        <v/>
      </c>
      <c r="O2111" s="11" t="str">
        <f aca="false">IF(N2111="N",ABS(J2111),"")</f>
        <v/>
      </c>
      <c r="P2111" s="18" t="str">
        <f aca="false">IF(N2111="N",B2111&amp;"|"&amp;ROUND(O2111,0),"")</f>
        <v/>
      </c>
      <c r="Q2111" s="18" t="str">
        <f aca="false">IF(N2111&lt;&gt;"Y","",IFERROR(INDEX($D$6:$D$4005,MATCH(B2111&amp;"|"&amp;ROUND(_xlfn.MAXIFS($O$6:$O$4005,$B$6:$B$4005,B2111,$N$6:$N$4005,"N"),0),$P$6:$P$4005,0)),"(tanpa lawan)"))</f>
        <v/>
      </c>
      <c r="R2111" s="44"/>
      <c r="S2111" s="9" t="str">
        <f aca="false">IF(N2111&lt;&gt;"Y","",IF(R2111&lt;&gt;"",R2111,IF(Q2111="(tanpa lawan)","Transfer antar rekening",IFERROR(INDEX(I_COA!$F$6:$F$265,MATCH(Q2111,I_COA!$A$6:$A$265,0)),"?"))))</f>
        <v/>
      </c>
    </row>
    <row r="2112" customFormat="false" ht="15" hidden="false" customHeight="false" outlineLevel="0" collapsed="false">
      <c r="A2112" s="37"/>
      <c r="B2112" s="44"/>
      <c r="C2112" s="44"/>
      <c r="D2112" s="44"/>
      <c r="E2112" s="44"/>
      <c r="F2112" s="44"/>
      <c r="G2112" s="42"/>
      <c r="H2112" s="42"/>
      <c r="I2112" s="44"/>
      <c r="J2112" s="11" t="str">
        <f aca="false">IF(D2112="","",N(G2112)-N(H2112))</f>
        <v/>
      </c>
      <c r="K2112" s="34" t="str">
        <f aca="false">IF(D2112="","",IFERROR(INDEX(I_COA!$C$6:$C$265,MATCH(D2112,I_COA!$A$6:$A$265,0)),"AKUN BARU"))</f>
        <v/>
      </c>
      <c r="L2112" s="34" t="str">
        <f aca="false">IF(K2112="LabaRugi",INDEX(I_COA!$D$6:$D$265,MATCH(D2112,I_COA!$A$6:$A$265,0)),"")</f>
        <v/>
      </c>
      <c r="M2112" s="34" t="str">
        <f aca="false">IF(K2112="Neraca",INDEX(I_COA!$E$6:$E$265,MATCH(D2112,I_COA!$A$6:$A$265,0)),"")</f>
        <v/>
      </c>
      <c r="N2112" s="34" t="str">
        <f aca="false">IF(D2112="","",IFERROR(INDEX(I_COA!$G$6:$G$265,MATCH(D2112,I_COA!$A$6:$A$265,0)),"N"))</f>
        <v/>
      </c>
      <c r="O2112" s="11" t="str">
        <f aca="false">IF(N2112="N",ABS(J2112),"")</f>
        <v/>
      </c>
      <c r="P2112" s="18" t="str">
        <f aca="false">IF(N2112="N",B2112&amp;"|"&amp;ROUND(O2112,0),"")</f>
        <v/>
      </c>
      <c r="Q2112" s="18" t="str">
        <f aca="false">IF(N2112&lt;&gt;"Y","",IFERROR(INDEX($D$6:$D$4005,MATCH(B2112&amp;"|"&amp;ROUND(_xlfn.MAXIFS($O$6:$O$4005,$B$6:$B$4005,B2112,$N$6:$N$4005,"N"),0),$P$6:$P$4005,0)),"(tanpa lawan)"))</f>
        <v/>
      </c>
      <c r="R2112" s="44"/>
      <c r="S2112" s="9" t="str">
        <f aca="false">IF(N2112&lt;&gt;"Y","",IF(R2112&lt;&gt;"",R2112,IF(Q2112="(tanpa lawan)","Transfer antar rekening",IFERROR(INDEX(I_COA!$F$6:$F$265,MATCH(Q2112,I_COA!$A$6:$A$265,0)),"?"))))</f>
        <v/>
      </c>
    </row>
    <row r="2113" customFormat="false" ht="15" hidden="false" customHeight="false" outlineLevel="0" collapsed="false">
      <c r="A2113" s="37"/>
      <c r="B2113" s="44"/>
      <c r="C2113" s="44"/>
      <c r="D2113" s="44"/>
      <c r="E2113" s="44"/>
      <c r="F2113" s="44"/>
      <c r="G2113" s="42"/>
      <c r="H2113" s="42"/>
      <c r="I2113" s="44"/>
      <c r="J2113" s="11" t="str">
        <f aca="false">IF(D2113="","",N(G2113)-N(H2113))</f>
        <v/>
      </c>
      <c r="K2113" s="34" t="str">
        <f aca="false">IF(D2113="","",IFERROR(INDEX(I_COA!$C$6:$C$265,MATCH(D2113,I_COA!$A$6:$A$265,0)),"AKUN BARU"))</f>
        <v/>
      </c>
      <c r="L2113" s="34" t="str">
        <f aca="false">IF(K2113="LabaRugi",INDEX(I_COA!$D$6:$D$265,MATCH(D2113,I_COA!$A$6:$A$265,0)),"")</f>
        <v/>
      </c>
      <c r="M2113" s="34" t="str">
        <f aca="false">IF(K2113="Neraca",INDEX(I_COA!$E$6:$E$265,MATCH(D2113,I_COA!$A$6:$A$265,0)),"")</f>
        <v/>
      </c>
      <c r="N2113" s="34" t="str">
        <f aca="false">IF(D2113="","",IFERROR(INDEX(I_COA!$G$6:$G$265,MATCH(D2113,I_COA!$A$6:$A$265,0)),"N"))</f>
        <v/>
      </c>
      <c r="O2113" s="11" t="str">
        <f aca="false">IF(N2113="N",ABS(J2113),"")</f>
        <v/>
      </c>
      <c r="P2113" s="18" t="str">
        <f aca="false">IF(N2113="N",B2113&amp;"|"&amp;ROUND(O2113,0),"")</f>
        <v/>
      </c>
      <c r="Q2113" s="18" t="str">
        <f aca="false">IF(N2113&lt;&gt;"Y","",IFERROR(INDEX($D$6:$D$4005,MATCH(B2113&amp;"|"&amp;ROUND(_xlfn.MAXIFS($O$6:$O$4005,$B$6:$B$4005,B2113,$N$6:$N$4005,"N"),0),$P$6:$P$4005,0)),"(tanpa lawan)"))</f>
        <v/>
      </c>
      <c r="R2113" s="44"/>
      <c r="S2113" s="9" t="str">
        <f aca="false">IF(N2113&lt;&gt;"Y","",IF(R2113&lt;&gt;"",R2113,IF(Q2113="(tanpa lawan)","Transfer antar rekening",IFERROR(INDEX(I_COA!$F$6:$F$265,MATCH(Q2113,I_COA!$A$6:$A$265,0)),"?"))))</f>
        <v/>
      </c>
    </row>
    <row r="2114" customFormat="false" ht="15" hidden="false" customHeight="false" outlineLevel="0" collapsed="false">
      <c r="A2114" s="37"/>
      <c r="B2114" s="44"/>
      <c r="C2114" s="44"/>
      <c r="D2114" s="44"/>
      <c r="E2114" s="44"/>
      <c r="F2114" s="44"/>
      <c r="G2114" s="42"/>
      <c r="H2114" s="42"/>
      <c r="I2114" s="44"/>
      <c r="J2114" s="11" t="str">
        <f aca="false">IF(D2114="","",N(G2114)-N(H2114))</f>
        <v/>
      </c>
      <c r="K2114" s="34" t="str">
        <f aca="false">IF(D2114="","",IFERROR(INDEX(I_COA!$C$6:$C$265,MATCH(D2114,I_COA!$A$6:$A$265,0)),"AKUN BARU"))</f>
        <v/>
      </c>
      <c r="L2114" s="34" t="str">
        <f aca="false">IF(K2114="LabaRugi",INDEX(I_COA!$D$6:$D$265,MATCH(D2114,I_COA!$A$6:$A$265,0)),"")</f>
        <v/>
      </c>
      <c r="M2114" s="34" t="str">
        <f aca="false">IF(K2114="Neraca",INDEX(I_COA!$E$6:$E$265,MATCH(D2114,I_COA!$A$6:$A$265,0)),"")</f>
        <v/>
      </c>
      <c r="N2114" s="34" t="str">
        <f aca="false">IF(D2114="","",IFERROR(INDEX(I_COA!$G$6:$G$265,MATCH(D2114,I_COA!$A$6:$A$265,0)),"N"))</f>
        <v/>
      </c>
      <c r="O2114" s="11" t="str">
        <f aca="false">IF(N2114="N",ABS(J2114),"")</f>
        <v/>
      </c>
      <c r="P2114" s="18" t="str">
        <f aca="false">IF(N2114="N",B2114&amp;"|"&amp;ROUND(O2114,0),"")</f>
        <v/>
      </c>
      <c r="Q2114" s="18" t="str">
        <f aca="false">IF(N2114&lt;&gt;"Y","",IFERROR(INDEX($D$6:$D$4005,MATCH(B2114&amp;"|"&amp;ROUND(_xlfn.MAXIFS($O$6:$O$4005,$B$6:$B$4005,B2114,$N$6:$N$4005,"N"),0),$P$6:$P$4005,0)),"(tanpa lawan)"))</f>
        <v/>
      </c>
      <c r="R2114" s="44"/>
      <c r="S2114" s="9" t="str">
        <f aca="false">IF(N2114&lt;&gt;"Y","",IF(R2114&lt;&gt;"",R2114,IF(Q2114="(tanpa lawan)","Transfer antar rekening",IFERROR(INDEX(I_COA!$F$6:$F$265,MATCH(Q2114,I_COA!$A$6:$A$265,0)),"?"))))</f>
        <v/>
      </c>
    </row>
    <row r="2115" customFormat="false" ht="15" hidden="false" customHeight="false" outlineLevel="0" collapsed="false">
      <c r="A2115" s="37"/>
      <c r="B2115" s="44"/>
      <c r="C2115" s="44"/>
      <c r="D2115" s="44"/>
      <c r="E2115" s="44"/>
      <c r="F2115" s="44"/>
      <c r="G2115" s="42"/>
      <c r="H2115" s="42"/>
      <c r="I2115" s="44"/>
      <c r="J2115" s="11" t="str">
        <f aca="false">IF(D2115="","",N(G2115)-N(H2115))</f>
        <v/>
      </c>
      <c r="K2115" s="34" t="str">
        <f aca="false">IF(D2115="","",IFERROR(INDEX(I_COA!$C$6:$C$265,MATCH(D2115,I_COA!$A$6:$A$265,0)),"AKUN BARU"))</f>
        <v/>
      </c>
      <c r="L2115" s="34" t="str">
        <f aca="false">IF(K2115="LabaRugi",INDEX(I_COA!$D$6:$D$265,MATCH(D2115,I_COA!$A$6:$A$265,0)),"")</f>
        <v/>
      </c>
      <c r="M2115" s="34" t="str">
        <f aca="false">IF(K2115="Neraca",INDEX(I_COA!$E$6:$E$265,MATCH(D2115,I_COA!$A$6:$A$265,0)),"")</f>
        <v/>
      </c>
      <c r="N2115" s="34" t="str">
        <f aca="false">IF(D2115="","",IFERROR(INDEX(I_COA!$G$6:$G$265,MATCH(D2115,I_COA!$A$6:$A$265,0)),"N"))</f>
        <v/>
      </c>
      <c r="O2115" s="11" t="str">
        <f aca="false">IF(N2115="N",ABS(J2115),"")</f>
        <v/>
      </c>
      <c r="P2115" s="18" t="str">
        <f aca="false">IF(N2115="N",B2115&amp;"|"&amp;ROUND(O2115,0),"")</f>
        <v/>
      </c>
      <c r="Q2115" s="18" t="str">
        <f aca="false">IF(N2115&lt;&gt;"Y","",IFERROR(INDEX($D$6:$D$4005,MATCH(B2115&amp;"|"&amp;ROUND(_xlfn.MAXIFS($O$6:$O$4005,$B$6:$B$4005,B2115,$N$6:$N$4005,"N"),0),$P$6:$P$4005,0)),"(tanpa lawan)"))</f>
        <v/>
      </c>
      <c r="R2115" s="44"/>
      <c r="S2115" s="9" t="str">
        <f aca="false">IF(N2115&lt;&gt;"Y","",IF(R2115&lt;&gt;"",R2115,IF(Q2115="(tanpa lawan)","Transfer antar rekening",IFERROR(INDEX(I_COA!$F$6:$F$265,MATCH(Q2115,I_COA!$A$6:$A$265,0)),"?"))))</f>
        <v/>
      </c>
    </row>
    <row r="2116" customFormat="false" ht="15" hidden="false" customHeight="false" outlineLevel="0" collapsed="false">
      <c r="A2116" s="37"/>
      <c r="B2116" s="44"/>
      <c r="C2116" s="44"/>
      <c r="D2116" s="44"/>
      <c r="E2116" s="44"/>
      <c r="F2116" s="44"/>
      <c r="G2116" s="42"/>
      <c r="H2116" s="42"/>
      <c r="I2116" s="44"/>
      <c r="J2116" s="11" t="str">
        <f aca="false">IF(D2116="","",N(G2116)-N(H2116))</f>
        <v/>
      </c>
      <c r="K2116" s="34" t="str">
        <f aca="false">IF(D2116="","",IFERROR(INDEX(I_COA!$C$6:$C$265,MATCH(D2116,I_COA!$A$6:$A$265,0)),"AKUN BARU"))</f>
        <v/>
      </c>
      <c r="L2116" s="34" t="str">
        <f aca="false">IF(K2116="LabaRugi",INDEX(I_COA!$D$6:$D$265,MATCH(D2116,I_COA!$A$6:$A$265,0)),"")</f>
        <v/>
      </c>
      <c r="M2116" s="34" t="str">
        <f aca="false">IF(K2116="Neraca",INDEX(I_COA!$E$6:$E$265,MATCH(D2116,I_COA!$A$6:$A$265,0)),"")</f>
        <v/>
      </c>
      <c r="N2116" s="34" t="str">
        <f aca="false">IF(D2116="","",IFERROR(INDEX(I_COA!$G$6:$G$265,MATCH(D2116,I_COA!$A$6:$A$265,0)),"N"))</f>
        <v/>
      </c>
      <c r="O2116" s="11" t="str">
        <f aca="false">IF(N2116="N",ABS(J2116),"")</f>
        <v/>
      </c>
      <c r="P2116" s="18" t="str">
        <f aca="false">IF(N2116="N",B2116&amp;"|"&amp;ROUND(O2116,0),"")</f>
        <v/>
      </c>
      <c r="Q2116" s="18" t="str">
        <f aca="false">IF(N2116&lt;&gt;"Y","",IFERROR(INDEX($D$6:$D$4005,MATCH(B2116&amp;"|"&amp;ROUND(_xlfn.MAXIFS($O$6:$O$4005,$B$6:$B$4005,B2116,$N$6:$N$4005,"N"),0),$P$6:$P$4005,0)),"(tanpa lawan)"))</f>
        <v/>
      </c>
      <c r="R2116" s="44"/>
      <c r="S2116" s="9" t="str">
        <f aca="false">IF(N2116&lt;&gt;"Y","",IF(R2116&lt;&gt;"",R2116,IF(Q2116="(tanpa lawan)","Transfer antar rekening",IFERROR(INDEX(I_COA!$F$6:$F$265,MATCH(Q2116,I_COA!$A$6:$A$265,0)),"?"))))</f>
        <v/>
      </c>
    </row>
    <row r="2117" customFormat="false" ht="15" hidden="false" customHeight="false" outlineLevel="0" collapsed="false">
      <c r="A2117" s="37"/>
      <c r="B2117" s="44"/>
      <c r="C2117" s="44"/>
      <c r="D2117" s="44"/>
      <c r="E2117" s="44"/>
      <c r="F2117" s="44"/>
      <c r="G2117" s="42"/>
      <c r="H2117" s="42"/>
      <c r="I2117" s="44"/>
      <c r="J2117" s="11" t="str">
        <f aca="false">IF(D2117="","",N(G2117)-N(H2117))</f>
        <v/>
      </c>
      <c r="K2117" s="34" t="str">
        <f aca="false">IF(D2117="","",IFERROR(INDEX(I_COA!$C$6:$C$265,MATCH(D2117,I_COA!$A$6:$A$265,0)),"AKUN BARU"))</f>
        <v/>
      </c>
      <c r="L2117" s="34" t="str">
        <f aca="false">IF(K2117="LabaRugi",INDEX(I_COA!$D$6:$D$265,MATCH(D2117,I_COA!$A$6:$A$265,0)),"")</f>
        <v/>
      </c>
      <c r="M2117" s="34" t="str">
        <f aca="false">IF(K2117="Neraca",INDEX(I_COA!$E$6:$E$265,MATCH(D2117,I_COA!$A$6:$A$265,0)),"")</f>
        <v/>
      </c>
      <c r="N2117" s="34" t="str">
        <f aca="false">IF(D2117="","",IFERROR(INDEX(I_COA!$G$6:$G$265,MATCH(D2117,I_COA!$A$6:$A$265,0)),"N"))</f>
        <v/>
      </c>
      <c r="O2117" s="11" t="str">
        <f aca="false">IF(N2117="N",ABS(J2117),"")</f>
        <v/>
      </c>
      <c r="P2117" s="18" t="str">
        <f aca="false">IF(N2117="N",B2117&amp;"|"&amp;ROUND(O2117,0),"")</f>
        <v/>
      </c>
      <c r="Q2117" s="18" t="str">
        <f aca="false">IF(N2117&lt;&gt;"Y","",IFERROR(INDEX($D$6:$D$4005,MATCH(B2117&amp;"|"&amp;ROUND(_xlfn.MAXIFS($O$6:$O$4005,$B$6:$B$4005,B2117,$N$6:$N$4005,"N"),0),$P$6:$P$4005,0)),"(tanpa lawan)"))</f>
        <v/>
      </c>
      <c r="R2117" s="44"/>
      <c r="S2117" s="9" t="str">
        <f aca="false">IF(N2117&lt;&gt;"Y","",IF(R2117&lt;&gt;"",R2117,IF(Q2117="(tanpa lawan)","Transfer antar rekening",IFERROR(INDEX(I_COA!$F$6:$F$265,MATCH(Q2117,I_COA!$A$6:$A$265,0)),"?"))))</f>
        <v/>
      </c>
    </row>
    <row r="2118" customFormat="false" ht="15" hidden="false" customHeight="false" outlineLevel="0" collapsed="false">
      <c r="A2118" s="37"/>
      <c r="B2118" s="44"/>
      <c r="C2118" s="44"/>
      <c r="D2118" s="44"/>
      <c r="E2118" s="44"/>
      <c r="F2118" s="44"/>
      <c r="G2118" s="42"/>
      <c r="H2118" s="42"/>
      <c r="I2118" s="44"/>
      <c r="J2118" s="11" t="str">
        <f aca="false">IF(D2118="","",N(G2118)-N(H2118))</f>
        <v/>
      </c>
      <c r="K2118" s="34" t="str">
        <f aca="false">IF(D2118="","",IFERROR(INDEX(I_COA!$C$6:$C$265,MATCH(D2118,I_COA!$A$6:$A$265,0)),"AKUN BARU"))</f>
        <v/>
      </c>
      <c r="L2118" s="34" t="str">
        <f aca="false">IF(K2118="LabaRugi",INDEX(I_COA!$D$6:$D$265,MATCH(D2118,I_COA!$A$6:$A$265,0)),"")</f>
        <v/>
      </c>
      <c r="M2118" s="34" t="str">
        <f aca="false">IF(K2118="Neraca",INDEX(I_COA!$E$6:$E$265,MATCH(D2118,I_COA!$A$6:$A$265,0)),"")</f>
        <v/>
      </c>
      <c r="N2118" s="34" t="str">
        <f aca="false">IF(D2118="","",IFERROR(INDEX(I_COA!$G$6:$G$265,MATCH(D2118,I_COA!$A$6:$A$265,0)),"N"))</f>
        <v/>
      </c>
      <c r="O2118" s="11" t="str">
        <f aca="false">IF(N2118="N",ABS(J2118),"")</f>
        <v/>
      </c>
      <c r="P2118" s="18" t="str">
        <f aca="false">IF(N2118="N",B2118&amp;"|"&amp;ROUND(O2118,0),"")</f>
        <v/>
      </c>
      <c r="Q2118" s="18" t="str">
        <f aca="false">IF(N2118&lt;&gt;"Y","",IFERROR(INDEX($D$6:$D$4005,MATCH(B2118&amp;"|"&amp;ROUND(_xlfn.MAXIFS($O$6:$O$4005,$B$6:$B$4005,B2118,$N$6:$N$4005,"N"),0),$P$6:$P$4005,0)),"(tanpa lawan)"))</f>
        <v/>
      </c>
      <c r="R2118" s="44"/>
      <c r="S2118" s="9" t="str">
        <f aca="false">IF(N2118&lt;&gt;"Y","",IF(R2118&lt;&gt;"",R2118,IF(Q2118="(tanpa lawan)","Transfer antar rekening",IFERROR(INDEX(I_COA!$F$6:$F$265,MATCH(Q2118,I_COA!$A$6:$A$265,0)),"?"))))</f>
        <v/>
      </c>
    </row>
    <row r="2119" customFormat="false" ht="15" hidden="false" customHeight="false" outlineLevel="0" collapsed="false">
      <c r="A2119" s="37"/>
      <c r="B2119" s="44"/>
      <c r="C2119" s="44"/>
      <c r="D2119" s="44"/>
      <c r="E2119" s="44"/>
      <c r="F2119" s="44"/>
      <c r="G2119" s="42"/>
      <c r="H2119" s="42"/>
      <c r="I2119" s="44"/>
      <c r="J2119" s="11" t="str">
        <f aca="false">IF(D2119="","",N(G2119)-N(H2119))</f>
        <v/>
      </c>
      <c r="K2119" s="34" t="str">
        <f aca="false">IF(D2119="","",IFERROR(INDEX(I_COA!$C$6:$C$265,MATCH(D2119,I_COA!$A$6:$A$265,0)),"AKUN BARU"))</f>
        <v/>
      </c>
      <c r="L2119" s="34" t="str">
        <f aca="false">IF(K2119="LabaRugi",INDEX(I_COA!$D$6:$D$265,MATCH(D2119,I_COA!$A$6:$A$265,0)),"")</f>
        <v/>
      </c>
      <c r="M2119" s="34" t="str">
        <f aca="false">IF(K2119="Neraca",INDEX(I_COA!$E$6:$E$265,MATCH(D2119,I_COA!$A$6:$A$265,0)),"")</f>
        <v/>
      </c>
      <c r="N2119" s="34" t="str">
        <f aca="false">IF(D2119="","",IFERROR(INDEX(I_COA!$G$6:$G$265,MATCH(D2119,I_COA!$A$6:$A$265,0)),"N"))</f>
        <v/>
      </c>
      <c r="O2119" s="11" t="str">
        <f aca="false">IF(N2119="N",ABS(J2119),"")</f>
        <v/>
      </c>
      <c r="P2119" s="18" t="str">
        <f aca="false">IF(N2119="N",B2119&amp;"|"&amp;ROUND(O2119,0),"")</f>
        <v/>
      </c>
      <c r="Q2119" s="18" t="str">
        <f aca="false">IF(N2119&lt;&gt;"Y","",IFERROR(INDEX($D$6:$D$4005,MATCH(B2119&amp;"|"&amp;ROUND(_xlfn.MAXIFS($O$6:$O$4005,$B$6:$B$4005,B2119,$N$6:$N$4005,"N"),0),$P$6:$P$4005,0)),"(tanpa lawan)"))</f>
        <v/>
      </c>
      <c r="R2119" s="44"/>
      <c r="S2119" s="9" t="str">
        <f aca="false">IF(N2119&lt;&gt;"Y","",IF(R2119&lt;&gt;"",R2119,IF(Q2119="(tanpa lawan)","Transfer antar rekening",IFERROR(INDEX(I_COA!$F$6:$F$265,MATCH(Q2119,I_COA!$A$6:$A$265,0)),"?"))))</f>
        <v/>
      </c>
    </row>
    <row r="2120" customFormat="false" ht="15" hidden="false" customHeight="false" outlineLevel="0" collapsed="false">
      <c r="A2120" s="37"/>
      <c r="B2120" s="44"/>
      <c r="C2120" s="44"/>
      <c r="D2120" s="44"/>
      <c r="E2120" s="44"/>
      <c r="F2120" s="44"/>
      <c r="G2120" s="42"/>
      <c r="H2120" s="42"/>
      <c r="I2120" s="44"/>
      <c r="J2120" s="11" t="str">
        <f aca="false">IF(D2120="","",N(G2120)-N(H2120))</f>
        <v/>
      </c>
      <c r="K2120" s="34" t="str">
        <f aca="false">IF(D2120="","",IFERROR(INDEX(I_COA!$C$6:$C$265,MATCH(D2120,I_COA!$A$6:$A$265,0)),"AKUN BARU"))</f>
        <v/>
      </c>
      <c r="L2120" s="34" t="str">
        <f aca="false">IF(K2120="LabaRugi",INDEX(I_COA!$D$6:$D$265,MATCH(D2120,I_COA!$A$6:$A$265,0)),"")</f>
        <v/>
      </c>
      <c r="M2120" s="34" t="str">
        <f aca="false">IF(K2120="Neraca",INDEX(I_COA!$E$6:$E$265,MATCH(D2120,I_COA!$A$6:$A$265,0)),"")</f>
        <v/>
      </c>
      <c r="N2120" s="34" t="str">
        <f aca="false">IF(D2120="","",IFERROR(INDEX(I_COA!$G$6:$G$265,MATCH(D2120,I_COA!$A$6:$A$265,0)),"N"))</f>
        <v/>
      </c>
      <c r="O2120" s="11" t="str">
        <f aca="false">IF(N2120="N",ABS(J2120),"")</f>
        <v/>
      </c>
      <c r="P2120" s="18" t="str">
        <f aca="false">IF(N2120="N",B2120&amp;"|"&amp;ROUND(O2120,0),"")</f>
        <v/>
      </c>
      <c r="Q2120" s="18" t="str">
        <f aca="false">IF(N2120&lt;&gt;"Y","",IFERROR(INDEX($D$6:$D$4005,MATCH(B2120&amp;"|"&amp;ROUND(_xlfn.MAXIFS($O$6:$O$4005,$B$6:$B$4005,B2120,$N$6:$N$4005,"N"),0),$P$6:$P$4005,0)),"(tanpa lawan)"))</f>
        <v/>
      </c>
      <c r="R2120" s="44"/>
      <c r="S2120" s="9" t="str">
        <f aca="false">IF(N2120&lt;&gt;"Y","",IF(R2120&lt;&gt;"",R2120,IF(Q2120="(tanpa lawan)","Transfer antar rekening",IFERROR(INDEX(I_COA!$F$6:$F$265,MATCH(Q2120,I_COA!$A$6:$A$265,0)),"?"))))</f>
        <v/>
      </c>
    </row>
    <row r="2121" customFormat="false" ht="15" hidden="false" customHeight="false" outlineLevel="0" collapsed="false">
      <c r="A2121" s="37"/>
      <c r="B2121" s="44"/>
      <c r="C2121" s="44"/>
      <c r="D2121" s="44"/>
      <c r="E2121" s="44"/>
      <c r="F2121" s="44"/>
      <c r="G2121" s="42"/>
      <c r="H2121" s="42"/>
      <c r="I2121" s="44"/>
      <c r="J2121" s="11" t="str">
        <f aca="false">IF(D2121="","",N(G2121)-N(H2121))</f>
        <v/>
      </c>
      <c r="K2121" s="34" t="str">
        <f aca="false">IF(D2121="","",IFERROR(INDEX(I_COA!$C$6:$C$265,MATCH(D2121,I_COA!$A$6:$A$265,0)),"AKUN BARU"))</f>
        <v/>
      </c>
      <c r="L2121" s="34" t="str">
        <f aca="false">IF(K2121="LabaRugi",INDEX(I_COA!$D$6:$D$265,MATCH(D2121,I_COA!$A$6:$A$265,0)),"")</f>
        <v/>
      </c>
      <c r="M2121" s="34" t="str">
        <f aca="false">IF(K2121="Neraca",INDEX(I_COA!$E$6:$E$265,MATCH(D2121,I_COA!$A$6:$A$265,0)),"")</f>
        <v/>
      </c>
      <c r="N2121" s="34" t="str">
        <f aca="false">IF(D2121="","",IFERROR(INDEX(I_COA!$G$6:$G$265,MATCH(D2121,I_COA!$A$6:$A$265,0)),"N"))</f>
        <v/>
      </c>
      <c r="O2121" s="11" t="str">
        <f aca="false">IF(N2121="N",ABS(J2121),"")</f>
        <v/>
      </c>
      <c r="P2121" s="18" t="str">
        <f aca="false">IF(N2121="N",B2121&amp;"|"&amp;ROUND(O2121,0),"")</f>
        <v/>
      </c>
      <c r="Q2121" s="18" t="str">
        <f aca="false">IF(N2121&lt;&gt;"Y","",IFERROR(INDEX($D$6:$D$4005,MATCH(B2121&amp;"|"&amp;ROUND(_xlfn.MAXIFS($O$6:$O$4005,$B$6:$B$4005,B2121,$N$6:$N$4005,"N"),0),$P$6:$P$4005,0)),"(tanpa lawan)"))</f>
        <v/>
      </c>
      <c r="R2121" s="44"/>
      <c r="S2121" s="9" t="str">
        <f aca="false">IF(N2121&lt;&gt;"Y","",IF(R2121&lt;&gt;"",R2121,IF(Q2121="(tanpa lawan)","Transfer antar rekening",IFERROR(INDEX(I_COA!$F$6:$F$265,MATCH(Q2121,I_COA!$A$6:$A$265,0)),"?"))))</f>
        <v/>
      </c>
    </row>
    <row r="2122" customFormat="false" ht="15" hidden="false" customHeight="false" outlineLevel="0" collapsed="false">
      <c r="A2122" s="37"/>
      <c r="B2122" s="44"/>
      <c r="C2122" s="44"/>
      <c r="D2122" s="44"/>
      <c r="E2122" s="44"/>
      <c r="F2122" s="44"/>
      <c r="G2122" s="42"/>
      <c r="H2122" s="42"/>
      <c r="I2122" s="44"/>
      <c r="J2122" s="11" t="str">
        <f aca="false">IF(D2122="","",N(G2122)-N(H2122))</f>
        <v/>
      </c>
      <c r="K2122" s="34" t="str">
        <f aca="false">IF(D2122="","",IFERROR(INDEX(I_COA!$C$6:$C$265,MATCH(D2122,I_COA!$A$6:$A$265,0)),"AKUN BARU"))</f>
        <v/>
      </c>
      <c r="L2122" s="34" t="str">
        <f aca="false">IF(K2122="LabaRugi",INDEX(I_COA!$D$6:$D$265,MATCH(D2122,I_COA!$A$6:$A$265,0)),"")</f>
        <v/>
      </c>
      <c r="M2122" s="34" t="str">
        <f aca="false">IF(K2122="Neraca",INDEX(I_COA!$E$6:$E$265,MATCH(D2122,I_COA!$A$6:$A$265,0)),"")</f>
        <v/>
      </c>
      <c r="N2122" s="34" t="str">
        <f aca="false">IF(D2122="","",IFERROR(INDEX(I_COA!$G$6:$G$265,MATCH(D2122,I_COA!$A$6:$A$265,0)),"N"))</f>
        <v/>
      </c>
      <c r="O2122" s="11" t="str">
        <f aca="false">IF(N2122="N",ABS(J2122),"")</f>
        <v/>
      </c>
      <c r="P2122" s="18" t="str">
        <f aca="false">IF(N2122="N",B2122&amp;"|"&amp;ROUND(O2122,0),"")</f>
        <v/>
      </c>
      <c r="Q2122" s="18" t="str">
        <f aca="false">IF(N2122&lt;&gt;"Y","",IFERROR(INDEX($D$6:$D$4005,MATCH(B2122&amp;"|"&amp;ROUND(_xlfn.MAXIFS($O$6:$O$4005,$B$6:$B$4005,B2122,$N$6:$N$4005,"N"),0),$P$6:$P$4005,0)),"(tanpa lawan)"))</f>
        <v/>
      </c>
      <c r="R2122" s="44"/>
      <c r="S2122" s="9" t="str">
        <f aca="false">IF(N2122&lt;&gt;"Y","",IF(R2122&lt;&gt;"",R2122,IF(Q2122="(tanpa lawan)","Transfer antar rekening",IFERROR(INDEX(I_COA!$F$6:$F$265,MATCH(Q2122,I_COA!$A$6:$A$265,0)),"?"))))</f>
        <v/>
      </c>
    </row>
    <row r="2123" customFormat="false" ht="15" hidden="false" customHeight="false" outlineLevel="0" collapsed="false">
      <c r="A2123" s="37"/>
      <c r="B2123" s="44"/>
      <c r="C2123" s="44"/>
      <c r="D2123" s="44"/>
      <c r="E2123" s="44"/>
      <c r="F2123" s="44"/>
      <c r="G2123" s="42"/>
      <c r="H2123" s="42"/>
      <c r="I2123" s="44"/>
      <c r="J2123" s="11" t="str">
        <f aca="false">IF(D2123="","",N(G2123)-N(H2123))</f>
        <v/>
      </c>
      <c r="K2123" s="34" t="str">
        <f aca="false">IF(D2123="","",IFERROR(INDEX(I_COA!$C$6:$C$265,MATCH(D2123,I_COA!$A$6:$A$265,0)),"AKUN BARU"))</f>
        <v/>
      </c>
      <c r="L2123" s="34" t="str">
        <f aca="false">IF(K2123="LabaRugi",INDEX(I_COA!$D$6:$D$265,MATCH(D2123,I_COA!$A$6:$A$265,0)),"")</f>
        <v/>
      </c>
      <c r="M2123" s="34" t="str">
        <f aca="false">IF(K2123="Neraca",INDEX(I_COA!$E$6:$E$265,MATCH(D2123,I_COA!$A$6:$A$265,0)),"")</f>
        <v/>
      </c>
      <c r="N2123" s="34" t="str">
        <f aca="false">IF(D2123="","",IFERROR(INDEX(I_COA!$G$6:$G$265,MATCH(D2123,I_COA!$A$6:$A$265,0)),"N"))</f>
        <v/>
      </c>
      <c r="O2123" s="11" t="str">
        <f aca="false">IF(N2123="N",ABS(J2123),"")</f>
        <v/>
      </c>
      <c r="P2123" s="18" t="str">
        <f aca="false">IF(N2123="N",B2123&amp;"|"&amp;ROUND(O2123,0),"")</f>
        <v/>
      </c>
      <c r="Q2123" s="18" t="str">
        <f aca="false">IF(N2123&lt;&gt;"Y","",IFERROR(INDEX($D$6:$D$4005,MATCH(B2123&amp;"|"&amp;ROUND(_xlfn.MAXIFS($O$6:$O$4005,$B$6:$B$4005,B2123,$N$6:$N$4005,"N"),0),$P$6:$P$4005,0)),"(tanpa lawan)"))</f>
        <v/>
      </c>
      <c r="R2123" s="44"/>
      <c r="S2123" s="9" t="str">
        <f aca="false">IF(N2123&lt;&gt;"Y","",IF(R2123&lt;&gt;"",R2123,IF(Q2123="(tanpa lawan)","Transfer antar rekening",IFERROR(INDEX(I_COA!$F$6:$F$265,MATCH(Q2123,I_COA!$A$6:$A$265,0)),"?"))))</f>
        <v/>
      </c>
    </row>
    <row r="2124" customFormat="false" ht="15" hidden="false" customHeight="false" outlineLevel="0" collapsed="false">
      <c r="A2124" s="37"/>
      <c r="B2124" s="44"/>
      <c r="C2124" s="44"/>
      <c r="D2124" s="44"/>
      <c r="E2124" s="44"/>
      <c r="F2124" s="44"/>
      <c r="G2124" s="42"/>
      <c r="H2124" s="42"/>
      <c r="I2124" s="44"/>
      <c r="J2124" s="11" t="str">
        <f aca="false">IF(D2124="","",N(G2124)-N(H2124))</f>
        <v/>
      </c>
      <c r="K2124" s="34" t="str">
        <f aca="false">IF(D2124="","",IFERROR(INDEX(I_COA!$C$6:$C$265,MATCH(D2124,I_COA!$A$6:$A$265,0)),"AKUN BARU"))</f>
        <v/>
      </c>
      <c r="L2124" s="34" t="str">
        <f aca="false">IF(K2124="LabaRugi",INDEX(I_COA!$D$6:$D$265,MATCH(D2124,I_COA!$A$6:$A$265,0)),"")</f>
        <v/>
      </c>
      <c r="M2124" s="34" t="str">
        <f aca="false">IF(K2124="Neraca",INDEX(I_COA!$E$6:$E$265,MATCH(D2124,I_COA!$A$6:$A$265,0)),"")</f>
        <v/>
      </c>
      <c r="N2124" s="34" t="str">
        <f aca="false">IF(D2124="","",IFERROR(INDEX(I_COA!$G$6:$G$265,MATCH(D2124,I_COA!$A$6:$A$265,0)),"N"))</f>
        <v/>
      </c>
      <c r="O2124" s="11" t="str">
        <f aca="false">IF(N2124="N",ABS(J2124),"")</f>
        <v/>
      </c>
      <c r="P2124" s="18" t="str">
        <f aca="false">IF(N2124="N",B2124&amp;"|"&amp;ROUND(O2124,0),"")</f>
        <v/>
      </c>
      <c r="Q2124" s="18" t="str">
        <f aca="false">IF(N2124&lt;&gt;"Y","",IFERROR(INDEX($D$6:$D$4005,MATCH(B2124&amp;"|"&amp;ROUND(_xlfn.MAXIFS($O$6:$O$4005,$B$6:$B$4005,B2124,$N$6:$N$4005,"N"),0),$P$6:$P$4005,0)),"(tanpa lawan)"))</f>
        <v/>
      </c>
      <c r="R2124" s="44"/>
      <c r="S2124" s="9" t="str">
        <f aca="false">IF(N2124&lt;&gt;"Y","",IF(R2124&lt;&gt;"",R2124,IF(Q2124="(tanpa lawan)","Transfer antar rekening",IFERROR(INDEX(I_COA!$F$6:$F$265,MATCH(Q2124,I_COA!$A$6:$A$265,0)),"?"))))</f>
        <v/>
      </c>
    </row>
    <row r="2125" customFormat="false" ht="15" hidden="false" customHeight="false" outlineLevel="0" collapsed="false">
      <c r="A2125" s="37"/>
      <c r="B2125" s="44"/>
      <c r="C2125" s="44"/>
      <c r="D2125" s="44"/>
      <c r="E2125" s="44"/>
      <c r="F2125" s="44"/>
      <c r="G2125" s="42"/>
      <c r="H2125" s="42"/>
      <c r="I2125" s="44"/>
      <c r="J2125" s="11" t="str">
        <f aca="false">IF(D2125="","",N(G2125)-N(H2125))</f>
        <v/>
      </c>
      <c r="K2125" s="34" t="str">
        <f aca="false">IF(D2125="","",IFERROR(INDEX(I_COA!$C$6:$C$265,MATCH(D2125,I_COA!$A$6:$A$265,0)),"AKUN BARU"))</f>
        <v/>
      </c>
      <c r="L2125" s="34" t="str">
        <f aca="false">IF(K2125="LabaRugi",INDEX(I_COA!$D$6:$D$265,MATCH(D2125,I_COA!$A$6:$A$265,0)),"")</f>
        <v/>
      </c>
      <c r="M2125" s="34" t="str">
        <f aca="false">IF(K2125="Neraca",INDEX(I_COA!$E$6:$E$265,MATCH(D2125,I_COA!$A$6:$A$265,0)),"")</f>
        <v/>
      </c>
      <c r="N2125" s="34" t="str">
        <f aca="false">IF(D2125="","",IFERROR(INDEX(I_COA!$G$6:$G$265,MATCH(D2125,I_COA!$A$6:$A$265,0)),"N"))</f>
        <v/>
      </c>
      <c r="O2125" s="11" t="str">
        <f aca="false">IF(N2125="N",ABS(J2125),"")</f>
        <v/>
      </c>
      <c r="P2125" s="18" t="str">
        <f aca="false">IF(N2125="N",B2125&amp;"|"&amp;ROUND(O2125,0),"")</f>
        <v/>
      </c>
      <c r="Q2125" s="18" t="str">
        <f aca="false">IF(N2125&lt;&gt;"Y","",IFERROR(INDEX($D$6:$D$4005,MATCH(B2125&amp;"|"&amp;ROUND(_xlfn.MAXIFS($O$6:$O$4005,$B$6:$B$4005,B2125,$N$6:$N$4005,"N"),0),$P$6:$P$4005,0)),"(tanpa lawan)"))</f>
        <v/>
      </c>
      <c r="R2125" s="44"/>
      <c r="S2125" s="9" t="str">
        <f aca="false">IF(N2125&lt;&gt;"Y","",IF(R2125&lt;&gt;"",R2125,IF(Q2125="(tanpa lawan)","Transfer antar rekening",IFERROR(INDEX(I_COA!$F$6:$F$265,MATCH(Q2125,I_COA!$A$6:$A$265,0)),"?"))))</f>
        <v/>
      </c>
    </row>
    <row r="2126" customFormat="false" ht="15" hidden="false" customHeight="false" outlineLevel="0" collapsed="false">
      <c r="A2126" s="37"/>
      <c r="B2126" s="44"/>
      <c r="C2126" s="44"/>
      <c r="D2126" s="44"/>
      <c r="E2126" s="44"/>
      <c r="F2126" s="44"/>
      <c r="G2126" s="42"/>
      <c r="H2126" s="42"/>
      <c r="I2126" s="44"/>
      <c r="J2126" s="11" t="str">
        <f aca="false">IF(D2126="","",N(G2126)-N(H2126))</f>
        <v/>
      </c>
      <c r="K2126" s="34" t="str">
        <f aca="false">IF(D2126="","",IFERROR(INDEX(I_COA!$C$6:$C$265,MATCH(D2126,I_COA!$A$6:$A$265,0)),"AKUN BARU"))</f>
        <v/>
      </c>
      <c r="L2126" s="34" t="str">
        <f aca="false">IF(K2126="LabaRugi",INDEX(I_COA!$D$6:$D$265,MATCH(D2126,I_COA!$A$6:$A$265,0)),"")</f>
        <v/>
      </c>
      <c r="M2126" s="34" t="str">
        <f aca="false">IF(K2126="Neraca",INDEX(I_COA!$E$6:$E$265,MATCH(D2126,I_COA!$A$6:$A$265,0)),"")</f>
        <v/>
      </c>
      <c r="N2126" s="34" t="str">
        <f aca="false">IF(D2126="","",IFERROR(INDEX(I_COA!$G$6:$G$265,MATCH(D2126,I_COA!$A$6:$A$265,0)),"N"))</f>
        <v/>
      </c>
      <c r="O2126" s="11" t="str">
        <f aca="false">IF(N2126="N",ABS(J2126),"")</f>
        <v/>
      </c>
      <c r="P2126" s="18" t="str">
        <f aca="false">IF(N2126="N",B2126&amp;"|"&amp;ROUND(O2126,0),"")</f>
        <v/>
      </c>
      <c r="Q2126" s="18" t="str">
        <f aca="false">IF(N2126&lt;&gt;"Y","",IFERROR(INDEX($D$6:$D$4005,MATCH(B2126&amp;"|"&amp;ROUND(_xlfn.MAXIFS($O$6:$O$4005,$B$6:$B$4005,B2126,$N$6:$N$4005,"N"),0),$P$6:$P$4005,0)),"(tanpa lawan)"))</f>
        <v/>
      </c>
      <c r="R2126" s="44"/>
      <c r="S2126" s="9" t="str">
        <f aca="false">IF(N2126&lt;&gt;"Y","",IF(R2126&lt;&gt;"",R2126,IF(Q2126="(tanpa lawan)","Transfer antar rekening",IFERROR(INDEX(I_COA!$F$6:$F$265,MATCH(Q2126,I_COA!$A$6:$A$265,0)),"?"))))</f>
        <v/>
      </c>
    </row>
    <row r="2127" customFormat="false" ht="15" hidden="false" customHeight="false" outlineLevel="0" collapsed="false">
      <c r="A2127" s="37"/>
      <c r="B2127" s="44"/>
      <c r="C2127" s="44"/>
      <c r="D2127" s="44"/>
      <c r="E2127" s="44"/>
      <c r="F2127" s="44"/>
      <c r="G2127" s="42"/>
      <c r="H2127" s="42"/>
      <c r="I2127" s="44"/>
      <c r="J2127" s="11" t="str">
        <f aca="false">IF(D2127="","",N(G2127)-N(H2127))</f>
        <v/>
      </c>
      <c r="K2127" s="34" t="str">
        <f aca="false">IF(D2127="","",IFERROR(INDEX(I_COA!$C$6:$C$265,MATCH(D2127,I_COA!$A$6:$A$265,0)),"AKUN BARU"))</f>
        <v/>
      </c>
      <c r="L2127" s="34" t="str">
        <f aca="false">IF(K2127="LabaRugi",INDEX(I_COA!$D$6:$D$265,MATCH(D2127,I_COA!$A$6:$A$265,0)),"")</f>
        <v/>
      </c>
      <c r="M2127" s="34" t="str">
        <f aca="false">IF(K2127="Neraca",INDEX(I_COA!$E$6:$E$265,MATCH(D2127,I_COA!$A$6:$A$265,0)),"")</f>
        <v/>
      </c>
      <c r="N2127" s="34" t="str">
        <f aca="false">IF(D2127="","",IFERROR(INDEX(I_COA!$G$6:$G$265,MATCH(D2127,I_COA!$A$6:$A$265,0)),"N"))</f>
        <v/>
      </c>
      <c r="O2127" s="11" t="str">
        <f aca="false">IF(N2127="N",ABS(J2127),"")</f>
        <v/>
      </c>
      <c r="P2127" s="18" t="str">
        <f aca="false">IF(N2127="N",B2127&amp;"|"&amp;ROUND(O2127,0),"")</f>
        <v/>
      </c>
      <c r="Q2127" s="18" t="str">
        <f aca="false">IF(N2127&lt;&gt;"Y","",IFERROR(INDEX($D$6:$D$4005,MATCH(B2127&amp;"|"&amp;ROUND(_xlfn.MAXIFS($O$6:$O$4005,$B$6:$B$4005,B2127,$N$6:$N$4005,"N"),0),$P$6:$P$4005,0)),"(tanpa lawan)"))</f>
        <v/>
      </c>
      <c r="R2127" s="44"/>
      <c r="S2127" s="9" t="str">
        <f aca="false">IF(N2127&lt;&gt;"Y","",IF(R2127&lt;&gt;"",R2127,IF(Q2127="(tanpa lawan)","Transfer antar rekening",IFERROR(INDEX(I_COA!$F$6:$F$265,MATCH(Q2127,I_COA!$A$6:$A$265,0)),"?"))))</f>
        <v/>
      </c>
    </row>
    <row r="2128" customFormat="false" ht="15" hidden="false" customHeight="false" outlineLevel="0" collapsed="false">
      <c r="A2128" s="37"/>
      <c r="B2128" s="44"/>
      <c r="C2128" s="44"/>
      <c r="D2128" s="44"/>
      <c r="E2128" s="44"/>
      <c r="F2128" s="44"/>
      <c r="G2128" s="42"/>
      <c r="H2128" s="42"/>
      <c r="I2128" s="44"/>
      <c r="J2128" s="11" t="str">
        <f aca="false">IF(D2128="","",N(G2128)-N(H2128))</f>
        <v/>
      </c>
      <c r="K2128" s="34" t="str">
        <f aca="false">IF(D2128="","",IFERROR(INDEX(I_COA!$C$6:$C$265,MATCH(D2128,I_COA!$A$6:$A$265,0)),"AKUN BARU"))</f>
        <v/>
      </c>
      <c r="L2128" s="34" t="str">
        <f aca="false">IF(K2128="LabaRugi",INDEX(I_COA!$D$6:$D$265,MATCH(D2128,I_COA!$A$6:$A$265,0)),"")</f>
        <v/>
      </c>
      <c r="M2128" s="34" t="str">
        <f aca="false">IF(K2128="Neraca",INDEX(I_COA!$E$6:$E$265,MATCH(D2128,I_COA!$A$6:$A$265,0)),"")</f>
        <v/>
      </c>
      <c r="N2128" s="34" t="str">
        <f aca="false">IF(D2128="","",IFERROR(INDEX(I_COA!$G$6:$G$265,MATCH(D2128,I_COA!$A$6:$A$265,0)),"N"))</f>
        <v/>
      </c>
      <c r="O2128" s="11" t="str">
        <f aca="false">IF(N2128="N",ABS(J2128),"")</f>
        <v/>
      </c>
      <c r="P2128" s="18" t="str">
        <f aca="false">IF(N2128="N",B2128&amp;"|"&amp;ROUND(O2128,0),"")</f>
        <v/>
      </c>
      <c r="Q2128" s="18" t="str">
        <f aca="false">IF(N2128&lt;&gt;"Y","",IFERROR(INDEX($D$6:$D$4005,MATCH(B2128&amp;"|"&amp;ROUND(_xlfn.MAXIFS($O$6:$O$4005,$B$6:$B$4005,B2128,$N$6:$N$4005,"N"),0),$P$6:$P$4005,0)),"(tanpa lawan)"))</f>
        <v/>
      </c>
      <c r="R2128" s="44"/>
      <c r="S2128" s="9" t="str">
        <f aca="false">IF(N2128&lt;&gt;"Y","",IF(R2128&lt;&gt;"",R2128,IF(Q2128="(tanpa lawan)","Transfer antar rekening",IFERROR(INDEX(I_COA!$F$6:$F$265,MATCH(Q2128,I_COA!$A$6:$A$265,0)),"?"))))</f>
        <v/>
      </c>
    </row>
    <row r="2129" customFormat="false" ht="15" hidden="false" customHeight="false" outlineLevel="0" collapsed="false">
      <c r="A2129" s="37"/>
      <c r="B2129" s="44"/>
      <c r="C2129" s="44"/>
      <c r="D2129" s="44"/>
      <c r="E2129" s="44"/>
      <c r="F2129" s="44"/>
      <c r="G2129" s="42"/>
      <c r="H2129" s="42"/>
      <c r="I2129" s="44"/>
      <c r="J2129" s="11" t="str">
        <f aca="false">IF(D2129="","",N(G2129)-N(H2129))</f>
        <v/>
      </c>
      <c r="K2129" s="34" t="str">
        <f aca="false">IF(D2129="","",IFERROR(INDEX(I_COA!$C$6:$C$265,MATCH(D2129,I_COA!$A$6:$A$265,0)),"AKUN BARU"))</f>
        <v/>
      </c>
      <c r="L2129" s="34" t="str">
        <f aca="false">IF(K2129="LabaRugi",INDEX(I_COA!$D$6:$D$265,MATCH(D2129,I_COA!$A$6:$A$265,0)),"")</f>
        <v/>
      </c>
      <c r="M2129" s="34" t="str">
        <f aca="false">IF(K2129="Neraca",INDEX(I_COA!$E$6:$E$265,MATCH(D2129,I_COA!$A$6:$A$265,0)),"")</f>
        <v/>
      </c>
      <c r="N2129" s="34" t="str">
        <f aca="false">IF(D2129="","",IFERROR(INDEX(I_COA!$G$6:$G$265,MATCH(D2129,I_COA!$A$6:$A$265,0)),"N"))</f>
        <v/>
      </c>
      <c r="O2129" s="11" t="str">
        <f aca="false">IF(N2129="N",ABS(J2129),"")</f>
        <v/>
      </c>
      <c r="P2129" s="18" t="str">
        <f aca="false">IF(N2129="N",B2129&amp;"|"&amp;ROUND(O2129,0),"")</f>
        <v/>
      </c>
      <c r="Q2129" s="18" t="str">
        <f aca="false">IF(N2129&lt;&gt;"Y","",IFERROR(INDEX($D$6:$D$4005,MATCH(B2129&amp;"|"&amp;ROUND(_xlfn.MAXIFS($O$6:$O$4005,$B$6:$B$4005,B2129,$N$6:$N$4005,"N"),0),$P$6:$P$4005,0)),"(tanpa lawan)"))</f>
        <v/>
      </c>
      <c r="R2129" s="44"/>
      <c r="S2129" s="9" t="str">
        <f aca="false">IF(N2129&lt;&gt;"Y","",IF(R2129&lt;&gt;"",R2129,IF(Q2129="(tanpa lawan)","Transfer antar rekening",IFERROR(INDEX(I_COA!$F$6:$F$265,MATCH(Q2129,I_COA!$A$6:$A$265,0)),"?"))))</f>
        <v/>
      </c>
    </row>
    <row r="2130" customFormat="false" ht="15" hidden="false" customHeight="false" outlineLevel="0" collapsed="false">
      <c r="A2130" s="37"/>
      <c r="B2130" s="44"/>
      <c r="C2130" s="44"/>
      <c r="D2130" s="44"/>
      <c r="E2130" s="44"/>
      <c r="F2130" s="44"/>
      <c r="G2130" s="42"/>
      <c r="H2130" s="42"/>
      <c r="I2130" s="44"/>
      <c r="J2130" s="11" t="str">
        <f aca="false">IF(D2130="","",N(G2130)-N(H2130))</f>
        <v/>
      </c>
      <c r="K2130" s="34" t="str">
        <f aca="false">IF(D2130="","",IFERROR(INDEX(I_COA!$C$6:$C$265,MATCH(D2130,I_COA!$A$6:$A$265,0)),"AKUN BARU"))</f>
        <v/>
      </c>
      <c r="L2130" s="34" t="str">
        <f aca="false">IF(K2130="LabaRugi",INDEX(I_COA!$D$6:$D$265,MATCH(D2130,I_COA!$A$6:$A$265,0)),"")</f>
        <v/>
      </c>
      <c r="M2130" s="34" t="str">
        <f aca="false">IF(K2130="Neraca",INDEX(I_COA!$E$6:$E$265,MATCH(D2130,I_COA!$A$6:$A$265,0)),"")</f>
        <v/>
      </c>
      <c r="N2130" s="34" t="str">
        <f aca="false">IF(D2130="","",IFERROR(INDEX(I_COA!$G$6:$G$265,MATCH(D2130,I_COA!$A$6:$A$265,0)),"N"))</f>
        <v/>
      </c>
      <c r="O2130" s="11" t="str">
        <f aca="false">IF(N2130="N",ABS(J2130),"")</f>
        <v/>
      </c>
      <c r="P2130" s="18" t="str">
        <f aca="false">IF(N2130="N",B2130&amp;"|"&amp;ROUND(O2130,0),"")</f>
        <v/>
      </c>
      <c r="Q2130" s="18" t="str">
        <f aca="false">IF(N2130&lt;&gt;"Y","",IFERROR(INDEX($D$6:$D$4005,MATCH(B2130&amp;"|"&amp;ROUND(_xlfn.MAXIFS($O$6:$O$4005,$B$6:$B$4005,B2130,$N$6:$N$4005,"N"),0),$P$6:$P$4005,0)),"(tanpa lawan)"))</f>
        <v/>
      </c>
      <c r="R2130" s="44"/>
      <c r="S2130" s="9" t="str">
        <f aca="false">IF(N2130&lt;&gt;"Y","",IF(R2130&lt;&gt;"",R2130,IF(Q2130="(tanpa lawan)","Transfer antar rekening",IFERROR(INDEX(I_COA!$F$6:$F$265,MATCH(Q2130,I_COA!$A$6:$A$265,0)),"?"))))</f>
        <v/>
      </c>
    </row>
    <row r="2131" customFormat="false" ht="15" hidden="false" customHeight="false" outlineLevel="0" collapsed="false">
      <c r="A2131" s="37"/>
      <c r="B2131" s="44"/>
      <c r="C2131" s="44"/>
      <c r="D2131" s="44"/>
      <c r="E2131" s="44"/>
      <c r="F2131" s="44"/>
      <c r="G2131" s="42"/>
      <c r="H2131" s="42"/>
      <c r="I2131" s="44"/>
      <c r="J2131" s="11" t="str">
        <f aca="false">IF(D2131="","",N(G2131)-N(H2131))</f>
        <v/>
      </c>
      <c r="K2131" s="34" t="str">
        <f aca="false">IF(D2131="","",IFERROR(INDEX(I_COA!$C$6:$C$265,MATCH(D2131,I_COA!$A$6:$A$265,0)),"AKUN BARU"))</f>
        <v/>
      </c>
      <c r="L2131" s="34" t="str">
        <f aca="false">IF(K2131="LabaRugi",INDEX(I_COA!$D$6:$D$265,MATCH(D2131,I_COA!$A$6:$A$265,0)),"")</f>
        <v/>
      </c>
      <c r="M2131" s="34" t="str">
        <f aca="false">IF(K2131="Neraca",INDEX(I_COA!$E$6:$E$265,MATCH(D2131,I_COA!$A$6:$A$265,0)),"")</f>
        <v/>
      </c>
      <c r="N2131" s="34" t="str">
        <f aca="false">IF(D2131="","",IFERROR(INDEX(I_COA!$G$6:$G$265,MATCH(D2131,I_COA!$A$6:$A$265,0)),"N"))</f>
        <v/>
      </c>
      <c r="O2131" s="11" t="str">
        <f aca="false">IF(N2131="N",ABS(J2131),"")</f>
        <v/>
      </c>
      <c r="P2131" s="18" t="str">
        <f aca="false">IF(N2131="N",B2131&amp;"|"&amp;ROUND(O2131,0),"")</f>
        <v/>
      </c>
      <c r="Q2131" s="18" t="str">
        <f aca="false">IF(N2131&lt;&gt;"Y","",IFERROR(INDEX($D$6:$D$4005,MATCH(B2131&amp;"|"&amp;ROUND(_xlfn.MAXIFS($O$6:$O$4005,$B$6:$B$4005,B2131,$N$6:$N$4005,"N"),0),$P$6:$P$4005,0)),"(tanpa lawan)"))</f>
        <v/>
      </c>
      <c r="R2131" s="44"/>
      <c r="S2131" s="9" t="str">
        <f aca="false">IF(N2131&lt;&gt;"Y","",IF(R2131&lt;&gt;"",R2131,IF(Q2131="(tanpa lawan)","Transfer antar rekening",IFERROR(INDEX(I_COA!$F$6:$F$265,MATCH(Q2131,I_COA!$A$6:$A$265,0)),"?"))))</f>
        <v/>
      </c>
    </row>
    <row r="2132" customFormat="false" ht="15" hidden="false" customHeight="false" outlineLevel="0" collapsed="false">
      <c r="A2132" s="37"/>
      <c r="B2132" s="44"/>
      <c r="C2132" s="44"/>
      <c r="D2132" s="44"/>
      <c r="E2132" s="44"/>
      <c r="F2132" s="44"/>
      <c r="G2132" s="42"/>
      <c r="H2132" s="42"/>
      <c r="I2132" s="44"/>
      <c r="J2132" s="11" t="str">
        <f aca="false">IF(D2132="","",N(G2132)-N(H2132))</f>
        <v/>
      </c>
      <c r="K2132" s="34" t="str">
        <f aca="false">IF(D2132="","",IFERROR(INDEX(I_COA!$C$6:$C$265,MATCH(D2132,I_COA!$A$6:$A$265,0)),"AKUN BARU"))</f>
        <v/>
      </c>
      <c r="L2132" s="34" t="str">
        <f aca="false">IF(K2132="LabaRugi",INDEX(I_COA!$D$6:$D$265,MATCH(D2132,I_COA!$A$6:$A$265,0)),"")</f>
        <v/>
      </c>
      <c r="M2132" s="34" t="str">
        <f aca="false">IF(K2132="Neraca",INDEX(I_COA!$E$6:$E$265,MATCH(D2132,I_COA!$A$6:$A$265,0)),"")</f>
        <v/>
      </c>
      <c r="N2132" s="34" t="str">
        <f aca="false">IF(D2132="","",IFERROR(INDEX(I_COA!$G$6:$G$265,MATCH(D2132,I_COA!$A$6:$A$265,0)),"N"))</f>
        <v/>
      </c>
      <c r="O2132" s="11" t="str">
        <f aca="false">IF(N2132="N",ABS(J2132),"")</f>
        <v/>
      </c>
      <c r="P2132" s="18" t="str">
        <f aca="false">IF(N2132="N",B2132&amp;"|"&amp;ROUND(O2132,0),"")</f>
        <v/>
      </c>
      <c r="Q2132" s="18" t="str">
        <f aca="false">IF(N2132&lt;&gt;"Y","",IFERROR(INDEX($D$6:$D$4005,MATCH(B2132&amp;"|"&amp;ROUND(_xlfn.MAXIFS($O$6:$O$4005,$B$6:$B$4005,B2132,$N$6:$N$4005,"N"),0),$P$6:$P$4005,0)),"(tanpa lawan)"))</f>
        <v/>
      </c>
      <c r="R2132" s="44"/>
      <c r="S2132" s="9" t="str">
        <f aca="false">IF(N2132&lt;&gt;"Y","",IF(R2132&lt;&gt;"",R2132,IF(Q2132="(tanpa lawan)","Transfer antar rekening",IFERROR(INDEX(I_COA!$F$6:$F$265,MATCH(Q2132,I_COA!$A$6:$A$265,0)),"?"))))</f>
        <v/>
      </c>
    </row>
    <row r="2133" customFormat="false" ht="15" hidden="false" customHeight="false" outlineLevel="0" collapsed="false">
      <c r="A2133" s="37"/>
      <c r="B2133" s="44"/>
      <c r="C2133" s="44"/>
      <c r="D2133" s="44"/>
      <c r="E2133" s="44"/>
      <c r="F2133" s="44"/>
      <c r="G2133" s="42"/>
      <c r="H2133" s="42"/>
      <c r="I2133" s="44"/>
      <c r="J2133" s="11" t="str">
        <f aca="false">IF(D2133="","",N(G2133)-N(H2133))</f>
        <v/>
      </c>
      <c r="K2133" s="34" t="str">
        <f aca="false">IF(D2133="","",IFERROR(INDEX(I_COA!$C$6:$C$265,MATCH(D2133,I_COA!$A$6:$A$265,0)),"AKUN BARU"))</f>
        <v/>
      </c>
      <c r="L2133" s="34" t="str">
        <f aca="false">IF(K2133="LabaRugi",INDEX(I_COA!$D$6:$D$265,MATCH(D2133,I_COA!$A$6:$A$265,0)),"")</f>
        <v/>
      </c>
      <c r="M2133" s="34" t="str">
        <f aca="false">IF(K2133="Neraca",INDEX(I_COA!$E$6:$E$265,MATCH(D2133,I_COA!$A$6:$A$265,0)),"")</f>
        <v/>
      </c>
      <c r="N2133" s="34" t="str">
        <f aca="false">IF(D2133="","",IFERROR(INDEX(I_COA!$G$6:$G$265,MATCH(D2133,I_COA!$A$6:$A$265,0)),"N"))</f>
        <v/>
      </c>
      <c r="O2133" s="11" t="str">
        <f aca="false">IF(N2133="N",ABS(J2133),"")</f>
        <v/>
      </c>
      <c r="P2133" s="18" t="str">
        <f aca="false">IF(N2133="N",B2133&amp;"|"&amp;ROUND(O2133,0),"")</f>
        <v/>
      </c>
      <c r="Q2133" s="18" t="str">
        <f aca="false">IF(N2133&lt;&gt;"Y","",IFERROR(INDEX($D$6:$D$4005,MATCH(B2133&amp;"|"&amp;ROUND(_xlfn.MAXIFS($O$6:$O$4005,$B$6:$B$4005,B2133,$N$6:$N$4005,"N"),0),$P$6:$P$4005,0)),"(tanpa lawan)"))</f>
        <v/>
      </c>
      <c r="R2133" s="44"/>
      <c r="S2133" s="9" t="str">
        <f aca="false">IF(N2133&lt;&gt;"Y","",IF(R2133&lt;&gt;"",R2133,IF(Q2133="(tanpa lawan)","Transfer antar rekening",IFERROR(INDEX(I_COA!$F$6:$F$265,MATCH(Q2133,I_COA!$A$6:$A$265,0)),"?"))))</f>
        <v/>
      </c>
    </row>
    <row r="2134" customFormat="false" ht="15" hidden="false" customHeight="false" outlineLevel="0" collapsed="false">
      <c r="A2134" s="37"/>
      <c r="B2134" s="44"/>
      <c r="C2134" s="44"/>
      <c r="D2134" s="44"/>
      <c r="E2134" s="44"/>
      <c r="F2134" s="44"/>
      <c r="G2134" s="42"/>
      <c r="H2134" s="42"/>
      <c r="I2134" s="44"/>
      <c r="J2134" s="11" t="str">
        <f aca="false">IF(D2134="","",N(G2134)-N(H2134))</f>
        <v/>
      </c>
      <c r="K2134" s="34" t="str">
        <f aca="false">IF(D2134="","",IFERROR(INDEX(I_COA!$C$6:$C$265,MATCH(D2134,I_COA!$A$6:$A$265,0)),"AKUN BARU"))</f>
        <v/>
      </c>
      <c r="L2134" s="34" t="str">
        <f aca="false">IF(K2134="LabaRugi",INDEX(I_COA!$D$6:$D$265,MATCH(D2134,I_COA!$A$6:$A$265,0)),"")</f>
        <v/>
      </c>
      <c r="M2134" s="34" t="str">
        <f aca="false">IF(K2134="Neraca",INDEX(I_COA!$E$6:$E$265,MATCH(D2134,I_COA!$A$6:$A$265,0)),"")</f>
        <v/>
      </c>
      <c r="N2134" s="34" t="str">
        <f aca="false">IF(D2134="","",IFERROR(INDEX(I_COA!$G$6:$G$265,MATCH(D2134,I_COA!$A$6:$A$265,0)),"N"))</f>
        <v/>
      </c>
      <c r="O2134" s="11" t="str">
        <f aca="false">IF(N2134="N",ABS(J2134),"")</f>
        <v/>
      </c>
      <c r="P2134" s="18" t="str">
        <f aca="false">IF(N2134="N",B2134&amp;"|"&amp;ROUND(O2134,0),"")</f>
        <v/>
      </c>
      <c r="Q2134" s="18" t="str">
        <f aca="false">IF(N2134&lt;&gt;"Y","",IFERROR(INDEX($D$6:$D$4005,MATCH(B2134&amp;"|"&amp;ROUND(_xlfn.MAXIFS($O$6:$O$4005,$B$6:$B$4005,B2134,$N$6:$N$4005,"N"),0),$P$6:$P$4005,0)),"(tanpa lawan)"))</f>
        <v/>
      </c>
      <c r="R2134" s="44"/>
      <c r="S2134" s="9" t="str">
        <f aca="false">IF(N2134&lt;&gt;"Y","",IF(R2134&lt;&gt;"",R2134,IF(Q2134="(tanpa lawan)","Transfer antar rekening",IFERROR(INDEX(I_COA!$F$6:$F$265,MATCH(Q2134,I_COA!$A$6:$A$265,0)),"?"))))</f>
        <v/>
      </c>
    </row>
    <row r="2135" customFormat="false" ht="15" hidden="false" customHeight="false" outlineLevel="0" collapsed="false">
      <c r="A2135" s="37"/>
      <c r="B2135" s="44"/>
      <c r="C2135" s="44"/>
      <c r="D2135" s="44"/>
      <c r="E2135" s="44"/>
      <c r="F2135" s="44"/>
      <c r="G2135" s="42"/>
      <c r="H2135" s="42"/>
      <c r="I2135" s="44"/>
      <c r="J2135" s="11" t="str">
        <f aca="false">IF(D2135="","",N(G2135)-N(H2135))</f>
        <v/>
      </c>
      <c r="K2135" s="34" t="str">
        <f aca="false">IF(D2135="","",IFERROR(INDEX(I_COA!$C$6:$C$265,MATCH(D2135,I_COA!$A$6:$A$265,0)),"AKUN BARU"))</f>
        <v/>
      </c>
      <c r="L2135" s="34" t="str">
        <f aca="false">IF(K2135="LabaRugi",INDEX(I_COA!$D$6:$D$265,MATCH(D2135,I_COA!$A$6:$A$265,0)),"")</f>
        <v/>
      </c>
      <c r="M2135" s="34" t="str">
        <f aca="false">IF(K2135="Neraca",INDEX(I_COA!$E$6:$E$265,MATCH(D2135,I_COA!$A$6:$A$265,0)),"")</f>
        <v/>
      </c>
      <c r="N2135" s="34" t="str">
        <f aca="false">IF(D2135="","",IFERROR(INDEX(I_COA!$G$6:$G$265,MATCH(D2135,I_COA!$A$6:$A$265,0)),"N"))</f>
        <v/>
      </c>
      <c r="O2135" s="11" t="str">
        <f aca="false">IF(N2135="N",ABS(J2135),"")</f>
        <v/>
      </c>
      <c r="P2135" s="18" t="str">
        <f aca="false">IF(N2135="N",B2135&amp;"|"&amp;ROUND(O2135,0),"")</f>
        <v/>
      </c>
      <c r="Q2135" s="18" t="str">
        <f aca="false">IF(N2135&lt;&gt;"Y","",IFERROR(INDEX($D$6:$D$4005,MATCH(B2135&amp;"|"&amp;ROUND(_xlfn.MAXIFS($O$6:$O$4005,$B$6:$B$4005,B2135,$N$6:$N$4005,"N"),0),$P$6:$P$4005,0)),"(tanpa lawan)"))</f>
        <v/>
      </c>
      <c r="R2135" s="44"/>
      <c r="S2135" s="9" t="str">
        <f aca="false">IF(N2135&lt;&gt;"Y","",IF(R2135&lt;&gt;"",R2135,IF(Q2135="(tanpa lawan)","Transfer antar rekening",IFERROR(INDEX(I_COA!$F$6:$F$265,MATCH(Q2135,I_COA!$A$6:$A$265,0)),"?"))))</f>
        <v/>
      </c>
    </row>
    <row r="2136" customFormat="false" ht="15" hidden="false" customHeight="false" outlineLevel="0" collapsed="false">
      <c r="A2136" s="37"/>
      <c r="B2136" s="44"/>
      <c r="C2136" s="44"/>
      <c r="D2136" s="44"/>
      <c r="E2136" s="44"/>
      <c r="F2136" s="44"/>
      <c r="G2136" s="42"/>
      <c r="H2136" s="42"/>
      <c r="I2136" s="44"/>
      <c r="J2136" s="11" t="str">
        <f aca="false">IF(D2136="","",N(G2136)-N(H2136))</f>
        <v/>
      </c>
      <c r="K2136" s="34" t="str">
        <f aca="false">IF(D2136="","",IFERROR(INDEX(I_COA!$C$6:$C$265,MATCH(D2136,I_COA!$A$6:$A$265,0)),"AKUN BARU"))</f>
        <v/>
      </c>
      <c r="L2136" s="34" t="str">
        <f aca="false">IF(K2136="LabaRugi",INDEX(I_COA!$D$6:$D$265,MATCH(D2136,I_COA!$A$6:$A$265,0)),"")</f>
        <v/>
      </c>
      <c r="M2136" s="34" t="str">
        <f aca="false">IF(K2136="Neraca",INDEX(I_COA!$E$6:$E$265,MATCH(D2136,I_COA!$A$6:$A$265,0)),"")</f>
        <v/>
      </c>
      <c r="N2136" s="34" t="str">
        <f aca="false">IF(D2136="","",IFERROR(INDEX(I_COA!$G$6:$G$265,MATCH(D2136,I_COA!$A$6:$A$265,0)),"N"))</f>
        <v/>
      </c>
      <c r="O2136" s="11" t="str">
        <f aca="false">IF(N2136="N",ABS(J2136),"")</f>
        <v/>
      </c>
      <c r="P2136" s="18" t="str">
        <f aca="false">IF(N2136="N",B2136&amp;"|"&amp;ROUND(O2136,0),"")</f>
        <v/>
      </c>
      <c r="Q2136" s="18" t="str">
        <f aca="false">IF(N2136&lt;&gt;"Y","",IFERROR(INDEX($D$6:$D$4005,MATCH(B2136&amp;"|"&amp;ROUND(_xlfn.MAXIFS($O$6:$O$4005,$B$6:$B$4005,B2136,$N$6:$N$4005,"N"),0),$P$6:$P$4005,0)),"(tanpa lawan)"))</f>
        <v/>
      </c>
      <c r="R2136" s="44"/>
      <c r="S2136" s="9" t="str">
        <f aca="false">IF(N2136&lt;&gt;"Y","",IF(R2136&lt;&gt;"",R2136,IF(Q2136="(tanpa lawan)","Transfer antar rekening",IFERROR(INDEX(I_COA!$F$6:$F$265,MATCH(Q2136,I_COA!$A$6:$A$265,0)),"?"))))</f>
        <v/>
      </c>
    </row>
    <row r="2137" customFormat="false" ht="15" hidden="false" customHeight="false" outlineLevel="0" collapsed="false">
      <c r="A2137" s="37"/>
      <c r="B2137" s="44"/>
      <c r="C2137" s="44"/>
      <c r="D2137" s="44"/>
      <c r="E2137" s="44"/>
      <c r="F2137" s="44"/>
      <c r="G2137" s="42"/>
      <c r="H2137" s="42"/>
      <c r="I2137" s="44"/>
      <c r="J2137" s="11" t="str">
        <f aca="false">IF(D2137="","",N(G2137)-N(H2137))</f>
        <v/>
      </c>
      <c r="K2137" s="34" t="str">
        <f aca="false">IF(D2137="","",IFERROR(INDEX(I_COA!$C$6:$C$265,MATCH(D2137,I_COA!$A$6:$A$265,0)),"AKUN BARU"))</f>
        <v/>
      </c>
      <c r="L2137" s="34" t="str">
        <f aca="false">IF(K2137="LabaRugi",INDEX(I_COA!$D$6:$D$265,MATCH(D2137,I_COA!$A$6:$A$265,0)),"")</f>
        <v/>
      </c>
      <c r="M2137" s="34" t="str">
        <f aca="false">IF(K2137="Neraca",INDEX(I_COA!$E$6:$E$265,MATCH(D2137,I_COA!$A$6:$A$265,0)),"")</f>
        <v/>
      </c>
      <c r="N2137" s="34" t="str">
        <f aca="false">IF(D2137="","",IFERROR(INDEX(I_COA!$G$6:$G$265,MATCH(D2137,I_COA!$A$6:$A$265,0)),"N"))</f>
        <v/>
      </c>
      <c r="O2137" s="11" t="str">
        <f aca="false">IF(N2137="N",ABS(J2137),"")</f>
        <v/>
      </c>
      <c r="P2137" s="18" t="str">
        <f aca="false">IF(N2137="N",B2137&amp;"|"&amp;ROUND(O2137,0),"")</f>
        <v/>
      </c>
      <c r="Q2137" s="18" t="str">
        <f aca="false">IF(N2137&lt;&gt;"Y","",IFERROR(INDEX($D$6:$D$4005,MATCH(B2137&amp;"|"&amp;ROUND(_xlfn.MAXIFS($O$6:$O$4005,$B$6:$B$4005,B2137,$N$6:$N$4005,"N"),0),$P$6:$P$4005,0)),"(tanpa lawan)"))</f>
        <v/>
      </c>
      <c r="R2137" s="44"/>
      <c r="S2137" s="9" t="str">
        <f aca="false">IF(N2137&lt;&gt;"Y","",IF(R2137&lt;&gt;"",R2137,IF(Q2137="(tanpa lawan)","Transfer antar rekening",IFERROR(INDEX(I_COA!$F$6:$F$265,MATCH(Q2137,I_COA!$A$6:$A$265,0)),"?"))))</f>
        <v/>
      </c>
    </row>
    <row r="2138" customFormat="false" ht="15" hidden="false" customHeight="false" outlineLevel="0" collapsed="false">
      <c r="A2138" s="37"/>
      <c r="B2138" s="44"/>
      <c r="C2138" s="44"/>
      <c r="D2138" s="44"/>
      <c r="E2138" s="44"/>
      <c r="F2138" s="44"/>
      <c r="G2138" s="42"/>
      <c r="H2138" s="42"/>
      <c r="I2138" s="44"/>
      <c r="J2138" s="11" t="str">
        <f aca="false">IF(D2138="","",N(G2138)-N(H2138))</f>
        <v/>
      </c>
      <c r="K2138" s="34" t="str">
        <f aca="false">IF(D2138="","",IFERROR(INDEX(I_COA!$C$6:$C$265,MATCH(D2138,I_COA!$A$6:$A$265,0)),"AKUN BARU"))</f>
        <v/>
      </c>
      <c r="L2138" s="34" t="str">
        <f aca="false">IF(K2138="LabaRugi",INDEX(I_COA!$D$6:$D$265,MATCH(D2138,I_COA!$A$6:$A$265,0)),"")</f>
        <v/>
      </c>
      <c r="M2138" s="34" t="str">
        <f aca="false">IF(K2138="Neraca",INDEX(I_COA!$E$6:$E$265,MATCH(D2138,I_COA!$A$6:$A$265,0)),"")</f>
        <v/>
      </c>
      <c r="N2138" s="34" t="str">
        <f aca="false">IF(D2138="","",IFERROR(INDEX(I_COA!$G$6:$G$265,MATCH(D2138,I_COA!$A$6:$A$265,0)),"N"))</f>
        <v/>
      </c>
      <c r="O2138" s="11" t="str">
        <f aca="false">IF(N2138="N",ABS(J2138),"")</f>
        <v/>
      </c>
      <c r="P2138" s="18" t="str">
        <f aca="false">IF(N2138="N",B2138&amp;"|"&amp;ROUND(O2138,0),"")</f>
        <v/>
      </c>
      <c r="Q2138" s="18" t="str">
        <f aca="false">IF(N2138&lt;&gt;"Y","",IFERROR(INDEX($D$6:$D$4005,MATCH(B2138&amp;"|"&amp;ROUND(_xlfn.MAXIFS($O$6:$O$4005,$B$6:$B$4005,B2138,$N$6:$N$4005,"N"),0),$P$6:$P$4005,0)),"(tanpa lawan)"))</f>
        <v/>
      </c>
      <c r="R2138" s="44"/>
      <c r="S2138" s="9" t="str">
        <f aca="false">IF(N2138&lt;&gt;"Y","",IF(R2138&lt;&gt;"",R2138,IF(Q2138="(tanpa lawan)","Transfer antar rekening",IFERROR(INDEX(I_COA!$F$6:$F$265,MATCH(Q2138,I_COA!$A$6:$A$265,0)),"?"))))</f>
        <v/>
      </c>
    </row>
    <row r="2139" customFormat="false" ht="15" hidden="false" customHeight="false" outlineLevel="0" collapsed="false">
      <c r="A2139" s="37"/>
      <c r="B2139" s="44"/>
      <c r="C2139" s="44"/>
      <c r="D2139" s="44"/>
      <c r="E2139" s="44"/>
      <c r="F2139" s="44"/>
      <c r="G2139" s="42"/>
      <c r="H2139" s="42"/>
      <c r="I2139" s="44"/>
      <c r="J2139" s="11" t="str">
        <f aca="false">IF(D2139="","",N(G2139)-N(H2139))</f>
        <v/>
      </c>
      <c r="K2139" s="34" t="str">
        <f aca="false">IF(D2139="","",IFERROR(INDEX(I_COA!$C$6:$C$265,MATCH(D2139,I_COA!$A$6:$A$265,0)),"AKUN BARU"))</f>
        <v/>
      </c>
      <c r="L2139" s="34" t="str">
        <f aca="false">IF(K2139="LabaRugi",INDEX(I_COA!$D$6:$D$265,MATCH(D2139,I_COA!$A$6:$A$265,0)),"")</f>
        <v/>
      </c>
      <c r="M2139" s="34" t="str">
        <f aca="false">IF(K2139="Neraca",INDEX(I_COA!$E$6:$E$265,MATCH(D2139,I_COA!$A$6:$A$265,0)),"")</f>
        <v/>
      </c>
      <c r="N2139" s="34" t="str">
        <f aca="false">IF(D2139="","",IFERROR(INDEX(I_COA!$G$6:$G$265,MATCH(D2139,I_COA!$A$6:$A$265,0)),"N"))</f>
        <v/>
      </c>
      <c r="O2139" s="11" t="str">
        <f aca="false">IF(N2139="N",ABS(J2139),"")</f>
        <v/>
      </c>
      <c r="P2139" s="18" t="str">
        <f aca="false">IF(N2139="N",B2139&amp;"|"&amp;ROUND(O2139,0),"")</f>
        <v/>
      </c>
      <c r="Q2139" s="18" t="str">
        <f aca="false">IF(N2139&lt;&gt;"Y","",IFERROR(INDEX($D$6:$D$4005,MATCH(B2139&amp;"|"&amp;ROUND(_xlfn.MAXIFS($O$6:$O$4005,$B$6:$B$4005,B2139,$N$6:$N$4005,"N"),0),$P$6:$P$4005,0)),"(tanpa lawan)"))</f>
        <v/>
      </c>
      <c r="R2139" s="44"/>
      <c r="S2139" s="9" t="str">
        <f aca="false">IF(N2139&lt;&gt;"Y","",IF(R2139&lt;&gt;"",R2139,IF(Q2139="(tanpa lawan)","Transfer antar rekening",IFERROR(INDEX(I_COA!$F$6:$F$265,MATCH(Q2139,I_COA!$A$6:$A$265,0)),"?"))))</f>
        <v/>
      </c>
    </row>
    <row r="2140" customFormat="false" ht="15" hidden="false" customHeight="false" outlineLevel="0" collapsed="false">
      <c r="A2140" s="37"/>
      <c r="B2140" s="44"/>
      <c r="C2140" s="44"/>
      <c r="D2140" s="44"/>
      <c r="E2140" s="44"/>
      <c r="F2140" s="44"/>
      <c r="G2140" s="42"/>
      <c r="H2140" s="42"/>
      <c r="I2140" s="44"/>
      <c r="J2140" s="11" t="str">
        <f aca="false">IF(D2140="","",N(G2140)-N(H2140))</f>
        <v/>
      </c>
      <c r="K2140" s="34" t="str">
        <f aca="false">IF(D2140="","",IFERROR(INDEX(I_COA!$C$6:$C$265,MATCH(D2140,I_COA!$A$6:$A$265,0)),"AKUN BARU"))</f>
        <v/>
      </c>
      <c r="L2140" s="34" t="str">
        <f aca="false">IF(K2140="LabaRugi",INDEX(I_COA!$D$6:$D$265,MATCH(D2140,I_COA!$A$6:$A$265,0)),"")</f>
        <v/>
      </c>
      <c r="M2140" s="34" t="str">
        <f aca="false">IF(K2140="Neraca",INDEX(I_COA!$E$6:$E$265,MATCH(D2140,I_COA!$A$6:$A$265,0)),"")</f>
        <v/>
      </c>
      <c r="N2140" s="34" t="str">
        <f aca="false">IF(D2140="","",IFERROR(INDEX(I_COA!$G$6:$G$265,MATCH(D2140,I_COA!$A$6:$A$265,0)),"N"))</f>
        <v/>
      </c>
      <c r="O2140" s="11" t="str">
        <f aca="false">IF(N2140="N",ABS(J2140),"")</f>
        <v/>
      </c>
      <c r="P2140" s="18" t="str">
        <f aca="false">IF(N2140="N",B2140&amp;"|"&amp;ROUND(O2140,0),"")</f>
        <v/>
      </c>
      <c r="Q2140" s="18" t="str">
        <f aca="false">IF(N2140&lt;&gt;"Y","",IFERROR(INDEX($D$6:$D$4005,MATCH(B2140&amp;"|"&amp;ROUND(_xlfn.MAXIFS($O$6:$O$4005,$B$6:$B$4005,B2140,$N$6:$N$4005,"N"),0),$P$6:$P$4005,0)),"(tanpa lawan)"))</f>
        <v/>
      </c>
      <c r="R2140" s="44"/>
      <c r="S2140" s="9" t="str">
        <f aca="false">IF(N2140&lt;&gt;"Y","",IF(R2140&lt;&gt;"",R2140,IF(Q2140="(tanpa lawan)","Transfer antar rekening",IFERROR(INDEX(I_COA!$F$6:$F$265,MATCH(Q2140,I_COA!$A$6:$A$265,0)),"?"))))</f>
        <v/>
      </c>
    </row>
    <row r="2141" customFormat="false" ht="15" hidden="false" customHeight="false" outlineLevel="0" collapsed="false">
      <c r="A2141" s="37"/>
      <c r="B2141" s="44"/>
      <c r="C2141" s="44"/>
      <c r="D2141" s="44"/>
      <c r="E2141" s="44"/>
      <c r="F2141" s="44"/>
      <c r="G2141" s="42"/>
      <c r="H2141" s="42"/>
      <c r="I2141" s="44"/>
      <c r="J2141" s="11" t="str">
        <f aca="false">IF(D2141="","",N(G2141)-N(H2141))</f>
        <v/>
      </c>
      <c r="K2141" s="34" t="str">
        <f aca="false">IF(D2141="","",IFERROR(INDEX(I_COA!$C$6:$C$265,MATCH(D2141,I_COA!$A$6:$A$265,0)),"AKUN BARU"))</f>
        <v/>
      </c>
      <c r="L2141" s="34" t="str">
        <f aca="false">IF(K2141="LabaRugi",INDEX(I_COA!$D$6:$D$265,MATCH(D2141,I_COA!$A$6:$A$265,0)),"")</f>
        <v/>
      </c>
      <c r="M2141" s="34" t="str">
        <f aca="false">IF(K2141="Neraca",INDEX(I_COA!$E$6:$E$265,MATCH(D2141,I_COA!$A$6:$A$265,0)),"")</f>
        <v/>
      </c>
      <c r="N2141" s="34" t="str">
        <f aca="false">IF(D2141="","",IFERROR(INDEX(I_COA!$G$6:$G$265,MATCH(D2141,I_COA!$A$6:$A$265,0)),"N"))</f>
        <v/>
      </c>
      <c r="O2141" s="11" t="str">
        <f aca="false">IF(N2141="N",ABS(J2141),"")</f>
        <v/>
      </c>
      <c r="P2141" s="18" t="str">
        <f aca="false">IF(N2141="N",B2141&amp;"|"&amp;ROUND(O2141,0),"")</f>
        <v/>
      </c>
      <c r="Q2141" s="18" t="str">
        <f aca="false">IF(N2141&lt;&gt;"Y","",IFERROR(INDEX($D$6:$D$4005,MATCH(B2141&amp;"|"&amp;ROUND(_xlfn.MAXIFS($O$6:$O$4005,$B$6:$B$4005,B2141,$N$6:$N$4005,"N"),0),$P$6:$P$4005,0)),"(tanpa lawan)"))</f>
        <v/>
      </c>
      <c r="R2141" s="44"/>
      <c r="S2141" s="9" t="str">
        <f aca="false">IF(N2141&lt;&gt;"Y","",IF(R2141&lt;&gt;"",R2141,IF(Q2141="(tanpa lawan)","Transfer antar rekening",IFERROR(INDEX(I_COA!$F$6:$F$265,MATCH(Q2141,I_COA!$A$6:$A$265,0)),"?"))))</f>
        <v/>
      </c>
    </row>
    <row r="2142" customFormat="false" ht="15" hidden="false" customHeight="false" outlineLevel="0" collapsed="false">
      <c r="A2142" s="37"/>
      <c r="B2142" s="44"/>
      <c r="C2142" s="44"/>
      <c r="D2142" s="44"/>
      <c r="E2142" s="44"/>
      <c r="F2142" s="44"/>
      <c r="G2142" s="42"/>
      <c r="H2142" s="42"/>
      <c r="I2142" s="44"/>
      <c r="J2142" s="11" t="str">
        <f aca="false">IF(D2142="","",N(G2142)-N(H2142))</f>
        <v/>
      </c>
      <c r="K2142" s="34" t="str">
        <f aca="false">IF(D2142="","",IFERROR(INDEX(I_COA!$C$6:$C$265,MATCH(D2142,I_COA!$A$6:$A$265,0)),"AKUN BARU"))</f>
        <v/>
      </c>
      <c r="L2142" s="34" t="str">
        <f aca="false">IF(K2142="LabaRugi",INDEX(I_COA!$D$6:$D$265,MATCH(D2142,I_COA!$A$6:$A$265,0)),"")</f>
        <v/>
      </c>
      <c r="M2142" s="34" t="str">
        <f aca="false">IF(K2142="Neraca",INDEX(I_COA!$E$6:$E$265,MATCH(D2142,I_COA!$A$6:$A$265,0)),"")</f>
        <v/>
      </c>
      <c r="N2142" s="34" t="str">
        <f aca="false">IF(D2142="","",IFERROR(INDEX(I_COA!$G$6:$G$265,MATCH(D2142,I_COA!$A$6:$A$265,0)),"N"))</f>
        <v/>
      </c>
      <c r="O2142" s="11" t="str">
        <f aca="false">IF(N2142="N",ABS(J2142),"")</f>
        <v/>
      </c>
      <c r="P2142" s="18" t="str">
        <f aca="false">IF(N2142="N",B2142&amp;"|"&amp;ROUND(O2142,0),"")</f>
        <v/>
      </c>
      <c r="Q2142" s="18" t="str">
        <f aca="false">IF(N2142&lt;&gt;"Y","",IFERROR(INDEX($D$6:$D$4005,MATCH(B2142&amp;"|"&amp;ROUND(_xlfn.MAXIFS($O$6:$O$4005,$B$6:$B$4005,B2142,$N$6:$N$4005,"N"),0),$P$6:$P$4005,0)),"(tanpa lawan)"))</f>
        <v/>
      </c>
      <c r="R2142" s="44"/>
      <c r="S2142" s="9" t="str">
        <f aca="false">IF(N2142&lt;&gt;"Y","",IF(R2142&lt;&gt;"",R2142,IF(Q2142="(tanpa lawan)","Transfer antar rekening",IFERROR(INDEX(I_COA!$F$6:$F$265,MATCH(Q2142,I_COA!$A$6:$A$265,0)),"?"))))</f>
        <v/>
      </c>
    </row>
    <row r="2143" customFormat="false" ht="15" hidden="false" customHeight="false" outlineLevel="0" collapsed="false">
      <c r="A2143" s="37"/>
      <c r="B2143" s="44"/>
      <c r="C2143" s="44"/>
      <c r="D2143" s="44"/>
      <c r="E2143" s="44"/>
      <c r="F2143" s="44"/>
      <c r="G2143" s="42"/>
      <c r="H2143" s="42"/>
      <c r="I2143" s="44"/>
      <c r="J2143" s="11" t="str">
        <f aca="false">IF(D2143="","",N(G2143)-N(H2143))</f>
        <v/>
      </c>
      <c r="K2143" s="34" t="str">
        <f aca="false">IF(D2143="","",IFERROR(INDEX(I_COA!$C$6:$C$265,MATCH(D2143,I_COA!$A$6:$A$265,0)),"AKUN BARU"))</f>
        <v/>
      </c>
      <c r="L2143" s="34" t="str">
        <f aca="false">IF(K2143="LabaRugi",INDEX(I_COA!$D$6:$D$265,MATCH(D2143,I_COA!$A$6:$A$265,0)),"")</f>
        <v/>
      </c>
      <c r="M2143" s="34" t="str">
        <f aca="false">IF(K2143="Neraca",INDEX(I_COA!$E$6:$E$265,MATCH(D2143,I_COA!$A$6:$A$265,0)),"")</f>
        <v/>
      </c>
      <c r="N2143" s="34" t="str">
        <f aca="false">IF(D2143="","",IFERROR(INDEX(I_COA!$G$6:$G$265,MATCH(D2143,I_COA!$A$6:$A$265,0)),"N"))</f>
        <v/>
      </c>
      <c r="O2143" s="11" t="str">
        <f aca="false">IF(N2143="N",ABS(J2143),"")</f>
        <v/>
      </c>
      <c r="P2143" s="18" t="str">
        <f aca="false">IF(N2143="N",B2143&amp;"|"&amp;ROUND(O2143,0),"")</f>
        <v/>
      </c>
      <c r="Q2143" s="18" t="str">
        <f aca="false">IF(N2143&lt;&gt;"Y","",IFERROR(INDEX($D$6:$D$4005,MATCH(B2143&amp;"|"&amp;ROUND(_xlfn.MAXIFS($O$6:$O$4005,$B$6:$B$4005,B2143,$N$6:$N$4005,"N"),0),$P$6:$P$4005,0)),"(tanpa lawan)"))</f>
        <v/>
      </c>
      <c r="R2143" s="44"/>
      <c r="S2143" s="9" t="str">
        <f aca="false">IF(N2143&lt;&gt;"Y","",IF(R2143&lt;&gt;"",R2143,IF(Q2143="(tanpa lawan)","Transfer antar rekening",IFERROR(INDEX(I_COA!$F$6:$F$265,MATCH(Q2143,I_COA!$A$6:$A$265,0)),"?"))))</f>
        <v/>
      </c>
    </row>
    <row r="2144" customFormat="false" ht="15" hidden="false" customHeight="false" outlineLevel="0" collapsed="false">
      <c r="A2144" s="37"/>
      <c r="B2144" s="44"/>
      <c r="C2144" s="44"/>
      <c r="D2144" s="44"/>
      <c r="E2144" s="44"/>
      <c r="F2144" s="44"/>
      <c r="G2144" s="42"/>
      <c r="H2144" s="42"/>
      <c r="I2144" s="44"/>
      <c r="J2144" s="11" t="str">
        <f aca="false">IF(D2144="","",N(G2144)-N(H2144))</f>
        <v/>
      </c>
      <c r="K2144" s="34" t="str">
        <f aca="false">IF(D2144="","",IFERROR(INDEX(I_COA!$C$6:$C$265,MATCH(D2144,I_COA!$A$6:$A$265,0)),"AKUN BARU"))</f>
        <v/>
      </c>
      <c r="L2144" s="34" t="str">
        <f aca="false">IF(K2144="LabaRugi",INDEX(I_COA!$D$6:$D$265,MATCH(D2144,I_COA!$A$6:$A$265,0)),"")</f>
        <v/>
      </c>
      <c r="M2144" s="34" t="str">
        <f aca="false">IF(K2144="Neraca",INDEX(I_COA!$E$6:$E$265,MATCH(D2144,I_COA!$A$6:$A$265,0)),"")</f>
        <v/>
      </c>
      <c r="N2144" s="34" t="str">
        <f aca="false">IF(D2144="","",IFERROR(INDEX(I_COA!$G$6:$G$265,MATCH(D2144,I_COA!$A$6:$A$265,0)),"N"))</f>
        <v/>
      </c>
      <c r="O2144" s="11" t="str">
        <f aca="false">IF(N2144="N",ABS(J2144),"")</f>
        <v/>
      </c>
      <c r="P2144" s="18" t="str">
        <f aca="false">IF(N2144="N",B2144&amp;"|"&amp;ROUND(O2144,0),"")</f>
        <v/>
      </c>
      <c r="Q2144" s="18" t="str">
        <f aca="false">IF(N2144&lt;&gt;"Y","",IFERROR(INDEX($D$6:$D$4005,MATCH(B2144&amp;"|"&amp;ROUND(_xlfn.MAXIFS($O$6:$O$4005,$B$6:$B$4005,B2144,$N$6:$N$4005,"N"),0),$P$6:$P$4005,0)),"(tanpa lawan)"))</f>
        <v/>
      </c>
      <c r="R2144" s="44"/>
      <c r="S2144" s="9" t="str">
        <f aca="false">IF(N2144&lt;&gt;"Y","",IF(R2144&lt;&gt;"",R2144,IF(Q2144="(tanpa lawan)","Transfer antar rekening",IFERROR(INDEX(I_COA!$F$6:$F$265,MATCH(Q2144,I_COA!$A$6:$A$265,0)),"?"))))</f>
        <v/>
      </c>
    </row>
    <row r="2145" customFormat="false" ht="15" hidden="false" customHeight="false" outlineLevel="0" collapsed="false">
      <c r="A2145" s="37"/>
      <c r="B2145" s="44"/>
      <c r="C2145" s="44"/>
      <c r="D2145" s="44"/>
      <c r="E2145" s="44"/>
      <c r="F2145" s="44"/>
      <c r="G2145" s="42"/>
      <c r="H2145" s="42"/>
      <c r="I2145" s="44"/>
      <c r="J2145" s="11" t="str">
        <f aca="false">IF(D2145="","",N(G2145)-N(H2145))</f>
        <v/>
      </c>
      <c r="K2145" s="34" t="str">
        <f aca="false">IF(D2145="","",IFERROR(INDEX(I_COA!$C$6:$C$265,MATCH(D2145,I_COA!$A$6:$A$265,0)),"AKUN BARU"))</f>
        <v/>
      </c>
      <c r="L2145" s="34" t="str">
        <f aca="false">IF(K2145="LabaRugi",INDEX(I_COA!$D$6:$D$265,MATCH(D2145,I_COA!$A$6:$A$265,0)),"")</f>
        <v/>
      </c>
      <c r="M2145" s="34" t="str">
        <f aca="false">IF(K2145="Neraca",INDEX(I_COA!$E$6:$E$265,MATCH(D2145,I_COA!$A$6:$A$265,0)),"")</f>
        <v/>
      </c>
      <c r="N2145" s="34" t="str">
        <f aca="false">IF(D2145="","",IFERROR(INDEX(I_COA!$G$6:$G$265,MATCH(D2145,I_COA!$A$6:$A$265,0)),"N"))</f>
        <v/>
      </c>
      <c r="O2145" s="11" t="str">
        <f aca="false">IF(N2145="N",ABS(J2145),"")</f>
        <v/>
      </c>
      <c r="P2145" s="18" t="str">
        <f aca="false">IF(N2145="N",B2145&amp;"|"&amp;ROUND(O2145,0),"")</f>
        <v/>
      </c>
      <c r="Q2145" s="18" t="str">
        <f aca="false">IF(N2145&lt;&gt;"Y","",IFERROR(INDEX($D$6:$D$4005,MATCH(B2145&amp;"|"&amp;ROUND(_xlfn.MAXIFS($O$6:$O$4005,$B$6:$B$4005,B2145,$N$6:$N$4005,"N"),0),$P$6:$P$4005,0)),"(tanpa lawan)"))</f>
        <v/>
      </c>
      <c r="R2145" s="44"/>
      <c r="S2145" s="9" t="str">
        <f aca="false">IF(N2145&lt;&gt;"Y","",IF(R2145&lt;&gt;"",R2145,IF(Q2145="(tanpa lawan)","Transfer antar rekening",IFERROR(INDEX(I_COA!$F$6:$F$265,MATCH(Q2145,I_COA!$A$6:$A$265,0)),"?"))))</f>
        <v/>
      </c>
    </row>
    <row r="2146" customFormat="false" ht="15" hidden="false" customHeight="false" outlineLevel="0" collapsed="false">
      <c r="A2146" s="37"/>
      <c r="B2146" s="44"/>
      <c r="C2146" s="44"/>
      <c r="D2146" s="44"/>
      <c r="E2146" s="44"/>
      <c r="F2146" s="44"/>
      <c r="G2146" s="42"/>
      <c r="H2146" s="42"/>
      <c r="I2146" s="44"/>
      <c r="J2146" s="11" t="str">
        <f aca="false">IF(D2146="","",N(G2146)-N(H2146))</f>
        <v/>
      </c>
      <c r="K2146" s="34" t="str">
        <f aca="false">IF(D2146="","",IFERROR(INDEX(I_COA!$C$6:$C$265,MATCH(D2146,I_COA!$A$6:$A$265,0)),"AKUN BARU"))</f>
        <v/>
      </c>
      <c r="L2146" s="34" t="str">
        <f aca="false">IF(K2146="LabaRugi",INDEX(I_COA!$D$6:$D$265,MATCH(D2146,I_COA!$A$6:$A$265,0)),"")</f>
        <v/>
      </c>
      <c r="M2146" s="34" t="str">
        <f aca="false">IF(K2146="Neraca",INDEX(I_COA!$E$6:$E$265,MATCH(D2146,I_COA!$A$6:$A$265,0)),"")</f>
        <v/>
      </c>
      <c r="N2146" s="34" t="str">
        <f aca="false">IF(D2146="","",IFERROR(INDEX(I_COA!$G$6:$G$265,MATCH(D2146,I_COA!$A$6:$A$265,0)),"N"))</f>
        <v/>
      </c>
      <c r="O2146" s="11" t="str">
        <f aca="false">IF(N2146="N",ABS(J2146),"")</f>
        <v/>
      </c>
      <c r="P2146" s="18" t="str">
        <f aca="false">IF(N2146="N",B2146&amp;"|"&amp;ROUND(O2146,0),"")</f>
        <v/>
      </c>
      <c r="Q2146" s="18" t="str">
        <f aca="false">IF(N2146&lt;&gt;"Y","",IFERROR(INDEX($D$6:$D$4005,MATCH(B2146&amp;"|"&amp;ROUND(_xlfn.MAXIFS($O$6:$O$4005,$B$6:$B$4005,B2146,$N$6:$N$4005,"N"),0),$P$6:$P$4005,0)),"(tanpa lawan)"))</f>
        <v/>
      </c>
      <c r="R2146" s="44"/>
      <c r="S2146" s="9" t="str">
        <f aca="false">IF(N2146&lt;&gt;"Y","",IF(R2146&lt;&gt;"",R2146,IF(Q2146="(tanpa lawan)","Transfer antar rekening",IFERROR(INDEX(I_COA!$F$6:$F$265,MATCH(Q2146,I_COA!$A$6:$A$265,0)),"?"))))</f>
        <v/>
      </c>
    </row>
    <row r="2147" customFormat="false" ht="15" hidden="false" customHeight="false" outlineLevel="0" collapsed="false">
      <c r="A2147" s="37"/>
      <c r="B2147" s="44"/>
      <c r="C2147" s="44"/>
      <c r="D2147" s="44"/>
      <c r="E2147" s="44"/>
      <c r="F2147" s="44"/>
      <c r="G2147" s="42"/>
      <c r="H2147" s="42"/>
      <c r="I2147" s="44"/>
      <c r="J2147" s="11" t="str">
        <f aca="false">IF(D2147="","",N(G2147)-N(H2147))</f>
        <v/>
      </c>
      <c r="K2147" s="34" t="str">
        <f aca="false">IF(D2147="","",IFERROR(INDEX(I_COA!$C$6:$C$265,MATCH(D2147,I_COA!$A$6:$A$265,0)),"AKUN BARU"))</f>
        <v/>
      </c>
      <c r="L2147" s="34" t="str">
        <f aca="false">IF(K2147="LabaRugi",INDEX(I_COA!$D$6:$D$265,MATCH(D2147,I_COA!$A$6:$A$265,0)),"")</f>
        <v/>
      </c>
      <c r="M2147" s="34" t="str">
        <f aca="false">IF(K2147="Neraca",INDEX(I_COA!$E$6:$E$265,MATCH(D2147,I_COA!$A$6:$A$265,0)),"")</f>
        <v/>
      </c>
      <c r="N2147" s="34" t="str">
        <f aca="false">IF(D2147="","",IFERROR(INDEX(I_COA!$G$6:$G$265,MATCH(D2147,I_COA!$A$6:$A$265,0)),"N"))</f>
        <v/>
      </c>
      <c r="O2147" s="11" t="str">
        <f aca="false">IF(N2147="N",ABS(J2147),"")</f>
        <v/>
      </c>
      <c r="P2147" s="18" t="str">
        <f aca="false">IF(N2147="N",B2147&amp;"|"&amp;ROUND(O2147,0),"")</f>
        <v/>
      </c>
      <c r="Q2147" s="18" t="str">
        <f aca="false">IF(N2147&lt;&gt;"Y","",IFERROR(INDEX($D$6:$D$4005,MATCH(B2147&amp;"|"&amp;ROUND(_xlfn.MAXIFS($O$6:$O$4005,$B$6:$B$4005,B2147,$N$6:$N$4005,"N"),0),$P$6:$P$4005,0)),"(tanpa lawan)"))</f>
        <v/>
      </c>
      <c r="R2147" s="44"/>
      <c r="S2147" s="9" t="str">
        <f aca="false">IF(N2147&lt;&gt;"Y","",IF(R2147&lt;&gt;"",R2147,IF(Q2147="(tanpa lawan)","Transfer antar rekening",IFERROR(INDEX(I_COA!$F$6:$F$265,MATCH(Q2147,I_COA!$A$6:$A$265,0)),"?"))))</f>
        <v/>
      </c>
    </row>
    <row r="2148" customFormat="false" ht="15" hidden="false" customHeight="false" outlineLevel="0" collapsed="false">
      <c r="A2148" s="37"/>
      <c r="B2148" s="44"/>
      <c r="C2148" s="44"/>
      <c r="D2148" s="44"/>
      <c r="E2148" s="44"/>
      <c r="F2148" s="44"/>
      <c r="G2148" s="42"/>
      <c r="H2148" s="42"/>
      <c r="I2148" s="44"/>
      <c r="J2148" s="11" t="str">
        <f aca="false">IF(D2148="","",N(G2148)-N(H2148))</f>
        <v/>
      </c>
      <c r="K2148" s="34" t="str">
        <f aca="false">IF(D2148="","",IFERROR(INDEX(I_COA!$C$6:$C$265,MATCH(D2148,I_COA!$A$6:$A$265,0)),"AKUN BARU"))</f>
        <v/>
      </c>
      <c r="L2148" s="34" t="str">
        <f aca="false">IF(K2148="LabaRugi",INDEX(I_COA!$D$6:$D$265,MATCH(D2148,I_COA!$A$6:$A$265,0)),"")</f>
        <v/>
      </c>
      <c r="M2148" s="34" t="str">
        <f aca="false">IF(K2148="Neraca",INDEX(I_COA!$E$6:$E$265,MATCH(D2148,I_COA!$A$6:$A$265,0)),"")</f>
        <v/>
      </c>
      <c r="N2148" s="34" t="str">
        <f aca="false">IF(D2148="","",IFERROR(INDEX(I_COA!$G$6:$G$265,MATCH(D2148,I_COA!$A$6:$A$265,0)),"N"))</f>
        <v/>
      </c>
      <c r="O2148" s="11" t="str">
        <f aca="false">IF(N2148="N",ABS(J2148),"")</f>
        <v/>
      </c>
      <c r="P2148" s="18" t="str">
        <f aca="false">IF(N2148="N",B2148&amp;"|"&amp;ROUND(O2148,0),"")</f>
        <v/>
      </c>
      <c r="Q2148" s="18" t="str">
        <f aca="false">IF(N2148&lt;&gt;"Y","",IFERROR(INDEX($D$6:$D$4005,MATCH(B2148&amp;"|"&amp;ROUND(_xlfn.MAXIFS($O$6:$O$4005,$B$6:$B$4005,B2148,$N$6:$N$4005,"N"),0),$P$6:$P$4005,0)),"(tanpa lawan)"))</f>
        <v/>
      </c>
      <c r="R2148" s="44"/>
      <c r="S2148" s="9" t="str">
        <f aca="false">IF(N2148&lt;&gt;"Y","",IF(R2148&lt;&gt;"",R2148,IF(Q2148="(tanpa lawan)","Transfer antar rekening",IFERROR(INDEX(I_COA!$F$6:$F$265,MATCH(Q2148,I_COA!$A$6:$A$265,0)),"?"))))</f>
        <v/>
      </c>
    </row>
    <row r="2149" customFormat="false" ht="15" hidden="false" customHeight="false" outlineLevel="0" collapsed="false">
      <c r="A2149" s="37"/>
      <c r="B2149" s="44"/>
      <c r="C2149" s="44"/>
      <c r="D2149" s="44"/>
      <c r="E2149" s="44"/>
      <c r="F2149" s="44"/>
      <c r="G2149" s="42"/>
      <c r="H2149" s="42"/>
      <c r="I2149" s="44"/>
      <c r="J2149" s="11" t="str">
        <f aca="false">IF(D2149="","",N(G2149)-N(H2149))</f>
        <v/>
      </c>
      <c r="K2149" s="34" t="str">
        <f aca="false">IF(D2149="","",IFERROR(INDEX(I_COA!$C$6:$C$265,MATCH(D2149,I_COA!$A$6:$A$265,0)),"AKUN BARU"))</f>
        <v/>
      </c>
      <c r="L2149" s="34" t="str">
        <f aca="false">IF(K2149="LabaRugi",INDEX(I_COA!$D$6:$D$265,MATCH(D2149,I_COA!$A$6:$A$265,0)),"")</f>
        <v/>
      </c>
      <c r="M2149" s="34" t="str">
        <f aca="false">IF(K2149="Neraca",INDEX(I_COA!$E$6:$E$265,MATCH(D2149,I_COA!$A$6:$A$265,0)),"")</f>
        <v/>
      </c>
      <c r="N2149" s="34" t="str">
        <f aca="false">IF(D2149="","",IFERROR(INDEX(I_COA!$G$6:$G$265,MATCH(D2149,I_COA!$A$6:$A$265,0)),"N"))</f>
        <v/>
      </c>
      <c r="O2149" s="11" t="str">
        <f aca="false">IF(N2149="N",ABS(J2149),"")</f>
        <v/>
      </c>
      <c r="P2149" s="18" t="str">
        <f aca="false">IF(N2149="N",B2149&amp;"|"&amp;ROUND(O2149,0),"")</f>
        <v/>
      </c>
      <c r="Q2149" s="18" t="str">
        <f aca="false">IF(N2149&lt;&gt;"Y","",IFERROR(INDEX($D$6:$D$4005,MATCH(B2149&amp;"|"&amp;ROUND(_xlfn.MAXIFS($O$6:$O$4005,$B$6:$B$4005,B2149,$N$6:$N$4005,"N"),0),$P$6:$P$4005,0)),"(tanpa lawan)"))</f>
        <v/>
      </c>
      <c r="R2149" s="44"/>
      <c r="S2149" s="9" t="str">
        <f aca="false">IF(N2149&lt;&gt;"Y","",IF(R2149&lt;&gt;"",R2149,IF(Q2149="(tanpa lawan)","Transfer antar rekening",IFERROR(INDEX(I_COA!$F$6:$F$265,MATCH(Q2149,I_COA!$A$6:$A$265,0)),"?"))))</f>
        <v/>
      </c>
    </row>
    <row r="2150" customFormat="false" ht="15" hidden="false" customHeight="false" outlineLevel="0" collapsed="false">
      <c r="A2150" s="37"/>
      <c r="B2150" s="44"/>
      <c r="C2150" s="44"/>
      <c r="D2150" s="44"/>
      <c r="E2150" s="44"/>
      <c r="F2150" s="44"/>
      <c r="G2150" s="42"/>
      <c r="H2150" s="42"/>
      <c r="I2150" s="44"/>
      <c r="J2150" s="11" t="str">
        <f aca="false">IF(D2150="","",N(G2150)-N(H2150))</f>
        <v/>
      </c>
      <c r="K2150" s="34" t="str">
        <f aca="false">IF(D2150="","",IFERROR(INDEX(I_COA!$C$6:$C$265,MATCH(D2150,I_COA!$A$6:$A$265,0)),"AKUN BARU"))</f>
        <v/>
      </c>
      <c r="L2150" s="34" t="str">
        <f aca="false">IF(K2150="LabaRugi",INDEX(I_COA!$D$6:$D$265,MATCH(D2150,I_COA!$A$6:$A$265,0)),"")</f>
        <v/>
      </c>
      <c r="M2150" s="34" t="str">
        <f aca="false">IF(K2150="Neraca",INDEX(I_COA!$E$6:$E$265,MATCH(D2150,I_COA!$A$6:$A$265,0)),"")</f>
        <v/>
      </c>
      <c r="N2150" s="34" t="str">
        <f aca="false">IF(D2150="","",IFERROR(INDEX(I_COA!$G$6:$G$265,MATCH(D2150,I_COA!$A$6:$A$265,0)),"N"))</f>
        <v/>
      </c>
      <c r="O2150" s="11" t="str">
        <f aca="false">IF(N2150="N",ABS(J2150),"")</f>
        <v/>
      </c>
      <c r="P2150" s="18" t="str">
        <f aca="false">IF(N2150="N",B2150&amp;"|"&amp;ROUND(O2150,0),"")</f>
        <v/>
      </c>
      <c r="Q2150" s="18" t="str">
        <f aca="false">IF(N2150&lt;&gt;"Y","",IFERROR(INDEX($D$6:$D$4005,MATCH(B2150&amp;"|"&amp;ROUND(_xlfn.MAXIFS($O$6:$O$4005,$B$6:$B$4005,B2150,$N$6:$N$4005,"N"),0),$P$6:$P$4005,0)),"(tanpa lawan)"))</f>
        <v/>
      </c>
      <c r="R2150" s="44"/>
      <c r="S2150" s="9" t="str">
        <f aca="false">IF(N2150&lt;&gt;"Y","",IF(R2150&lt;&gt;"",R2150,IF(Q2150="(tanpa lawan)","Transfer antar rekening",IFERROR(INDEX(I_COA!$F$6:$F$265,MATCH(Q2150,I_COA!$A$6:$A$265,0)),"?"))))</f>
        <v/>
      </c>
    </row>
    <row r="2151" customFormat="false" ht="15" hidden="false" customHeight="false" outlineLevel="0" collapsed="false">
      <c r="A2151" s="37"/>
      <c r="B2151" s="44"/>
      <c r="C2151" s="44"/>
      <c r="D2151" s="44"/>
      <c r="E2151" s="44"/>
      <c r="F2151" s="44"/>
      <c r="G2151" s="42"/>
      <c r="H2151" s="42"/>
      <c r="I2151" s="44"/>
      <c r="J2151" s="11" t="str">
        <f aca="false">IF(D2151="","",N(G2151)-N(H2151))</f>
        <v/>
      </c>
      <c r="K2151" s="34" t="str">
        <f aca="false">IF(D2151="","",IFERROR(INDEX(I_COA!$C$6:$C$265,MATCH(D2151,I_COA!$A$6:$A$265,0)),"AKUN BARU"))</f>
        <v/>
      </c>
      <c r="L2151" s="34" t="str">
        <f aca="false">IF(K2151="LabaRugi",INDEX(I_COA!$D$6:$D$265,MATCH(D2151,I_COA!$A$6:$A$265,0)),"")</f>
        <v/>
      </c>
      <c r="M2151" s="34" t="str">
        <f aca="false">IF(K2151="Neraca",INDEX(I_COA!$E$6:$E$265,MATCH(D2151,I_COA!$A$6:$A$265,0)),"")</f>
        <v/>
      </c>
      <c r="N2151" s="34" t="str">
        <f aca="false">IF(D2151="","",IFERROR(INDEX(I_COA!$G$6:$G$265,MATCH(D2151,I_COA!$A$6:$A$265,0)),"N"))</f>
        <v/>
      </c>
      <c r="O2151" s="11" t="str">
        <f aca="false">IF(N2151="N",ABS(J2151),"")</f>
        <v/>
      </c>
      <c r="P2151" s="18" t="str">
        <f aca="false">IF(N2151="N",B2151&amp;"|"&amp;ROUND(O2151,0),"")</f>
        <v/>
      </c>
      <c r="Q2151" s="18" t="str">
        <f aca="false">IF(N2151&lt;&gt;"Y","",IFERROR(INDEX($D$6:$D$4005,MATCH(B2151&amp;"|"&amp;ROUND(_xlfn.MAXIFS($O$6:$O$4005,$B$6:$B$4005,B2151,$N$6:$N$4005,"N"),0),$P$6:$P$4005,0)),"(tanpa lawan)"))</f>
        <v/>
      </c>
      <c r="R2151" s="44"/>
      <c r="S2151" s="9" t="str">
        <f aca="false">IF(N2151&lt;&gt;"Y","",IF(R2151&lt;&gt;"",R2151,IF(Q2151="(tanpa lawan)","Transfer antar rekening",IFERROR(INDEX(I_COA!$F$6:$F$265,MATCH(Q2151,I_COA!$A$6:$A$265,0)),"?"))))</f>
        <v/>
      </c>
    </row>
    <row r="2152" customFormat="false" ht="15" hidden="false" customHeight="false" outlineLevel="0" collapsed="false">
      <c r="A2152" s="37"/>
      <c r="B2152" s="44"/>
      <c r="C2152" s="44"/>
      <c r="D2152" s="44"/>
      <c r="E2152" s="44"/>
      <c r="F2152" s="44"/>
      <c r="G2152" s="42"/>
      <c r="H2152" s="42"/>
      <c r="I2152" s="44"/>
      <c r="J2152" s="11" t="str">
        <f aca="false">IF(D2152="","",N(G2152)-N(H2152))</f>
        <v/>
      </c>
      <c r="K2152" s="34" t="str">
        <f aca="false">IF(D2152="","",IFERROR(INDEX(I_COA!$C$6:$C$265,MATCH(D2152,I_COA!$A$6:$A$265,0)),"AKUN BARU"))</f>
        <v/>
      </c>
      <c r="L2152" s="34" t="str">
        <f aca="false">IF(K2152="LabaRugi",INDEX(I_COA!$D$6:$D$265,MATCH(D2152,I_COA!$A$6:$A$265,0)),"")</f>
        <v/>
      </c>
      <c r="M2152" s="34" t="str">
        <f aca="false">IF(K2152="Neraca",INDEX(I_COA!$E$6:$E$265,MATCH(D2152,I_COA!$A$6:$A$265,0)),"")</f>
        <v/>
      </c>
      <c r="N2152" s="34" t="str">
        <f aca="false">IF(D2152="","",IFERROR(INDEX(I_COA!$G$6:$G$265,MATCH(D2152,I_COA!$A$6:$A$265,0)),"N"))</f>
        <v/>
      </c>
      <c r="O2152" s="11" t="str">
        <f aca="false">IF(N2152="N",ABS(J2152),"")</f>
        <v/>
      </c>
      <c r="P2152" s="18" t="str">
        <f aca="false">IF(N2152="N",B2152&amp;"|"&amp;ROUND(O2152,0),"")</f>
        <v/>
      </c>
      <c r="Q2152" s="18" t="str">
        <f aca="false">IF(N2152&lt;&gt;"Y","",IFERROR(INDEX($D$6:$D$4005,MATCH(B2152&amp;"|"&amp;ROUND(_xlfn.MAXIFS($O$6:$O$4005,$B$6:$B$4005,B2152,$N$6:$N$4005,"N"),0),$P$6:$P$4005,0)),"(tanpa lawan)"))</f>
        <v/>
      </c>
      <c r="R2152" s="44"/>
      <c r="S2152" s="9" t="str">
        <f aca="false">IF(N2152&lt;&gt;"Y","",IF(R2152&lt;&gt;"",R2152,IF(Q2152="(tanpa lawan)","Transfer antar rekening",IFERROR(INDEX(I_COA!$F$6:$F$265,MATCH(Q2152,I_COA!$A$6:$A$265,0)),"?"))))</f>
        <v/>
      </c>
    </row>
    <row r="2153" customFormat="false" ht="15" hidden="false" customHeight="false" outlineLevel="0" collapsed="false">
      <c r="A2153" s="37"/>
      <c r="B2153" s="44"/>
      <c r="C2153" s="44"/>
      <c r="D2153" s="44"/>
      <c r="E2153" s="44"/>
      <c r="F2153" s="44"/>
      <c r="G2153" s="42"/>
      <c r="H2153" s="42"/>
      <c r="I2153" s="44"/>
      <c r="J2153" s="11" t="str">
        <f aca="false">IF(D2153="","",N(G2153)-N(H2153))</f>
        <v/>
      </c>
      <c r="K2153" s="34" t="str">
        <f aca="false">IF(D2153="","",IFERROR(INDEX(I_COA!$C$6:$C$265,MATCH(D2153,I_COA!$A$6:$A$265,0)),"AKUN BARU"))</f>
        <v/>
      </c>
      <c r="L2153" s="34" t="str">
        <f aca="false">IF(K2153="LabaRugi",INDEX(I_COA!$D$6:$D$265,MATCH(D2153,I_COA!$A$6:$A$265,0)),"")</f>
        <v/>
      </c>
      <c r="M2153" s="34" t="str">
        <f aca="false">IF(K2153="Neraca",INDEX(I_COA!$E$6:$E$265,MATCH(D2153,I_COA!$A$6:$A$265,0)),"")</f>
        <v/>
      </c>
      <c r="N2153" s="34" t="str">
        <f aca="false">IF(D2153="","",IFERROR(INDEX(I_COA!$G$6:$G$265,MATCH(D2153,I_COA!$A$6:$A$265,0)),"N"))</f>
        <v/>
      </c>
      <c r="O2153" s="11" t="str">
        <f aca="false">IF(N2153="N",ABS(J2153),"")</f>
        <v/>
      </c>
      <c r="P2153" s="18" t="str">
        <f aca="false">IF(N2153="N",B2153&amp;"|"&amp;ROUND(O2153,0),"")</f>
        <v/>
      </c>
      <c r="Q2153" s="18" t="str">
        <f aca="false">IF(N2153&lt;&gt;"Y","",IFERROR(INDEX($D$6:$D$4005,MATCH(B2153&amp;"|"&amp;ROUND(_xlfn.MAXIFS($O$6:$O$4005,$B$6:$B$4005,B2153,$N$6:$N$4005,"N"),0),$P$6:$P$4005,0)),"(tanpa lawan)"))</f>
        <v/>
      </c>
      <c r="R2153" s="44"/>
      <c r="S2153" s="9" t="str">
        <f aca="false">IF(N2153&lt;&gt;"Y","",IF(R2153&lt;&gt;"",R2153,IF(Q2153="(tanpa lawan)","Transfer antar rekening",IFERROR(INDEX(I_COA!$F$6:$F$265,MATCH(Q2153,I_COA!$A$6:$A$265,0)),"?"))))</f>
        <v/>
      </c>
    </row>
    <row r="2154" customFormat="false" ht="15" hidden="false" customHeight="false" outlineLevel="0" collapsed="false">
      <c r="A2154" s="37"/>
      <c r="B2154" s="44"/>
      <c r="C2154" s="44"/>
      <c r="D2154" s="44"/>
      <c r="E2154" s="44"/>
      <c r="F2154" s="44"/>
      <c r="G2154" s="42"/>
      <c r="H2154" s="42"/>
      <c r="I2154" s="44"/>
      <c r="J2154" s="11" t="str">
        <f aca="false">IF(D2154="","",N(G2154)-N(H2154))</f>
        <v/>
      </c>
      <c r="K2154" s="34" t="str">
        <f aca="false">IF(D2154="","",IFERROR(INDEX(I_COA!$C$6:$C$265,MATCH(D2154,I_COA!$A$6:$A$265,0)),"AKUN BARU"))</f>
        <v/>
      </c>
      <c r="L2154" s="34" t="str">
        <f aca="false">IF(K2154="LabaRugi",INDEX(I_COA!$D$6:$D$265,MATCH(D2154,I_COA!$A$6:$A$265,0)),"")</f>
        <v/>
      </c>
      <c r="M2154" s="34" t="str">
        <f aca="false">IF(K2154="Neraca",INDEX(I_COA!$E$6:$E$265,MATCH(D2154,I_COA!$A$6:$A$265,0)),"")</f>
        <v/>
      </c>
      <c r="N2154" s="34" t="str">
        <f aca="false">IF(D2154="","",IFERROR(INDEX(I_COA!$G$6:$G$265,MATCH(D2154,I_COA!$A$6:$A$265,0)),"N"))</f>
        <v/>
      </c>
      <c r="O2154" s="11" t="str">
        <f aca="false">IF(N2154="N",ABS(J2154),"")</f>
        <v/>
      </c>
      <c r="P2154" s="18" t="str">
        <f aca="false">IF(N2154="N",B2154&amp;"|"&amp;ROUND(O2154,0),"")</f>
        <v/>
      </c>
      <c r="Q2154" s="18" t="str">
        <f aca="false">IF(N2154&lt;&gt;"Y","",IFERROR(INDEX($D$6:$D$4005,MATCH(B2154&amp;"|"&amp;ROUND(_xlfn.MAXIFS($O$6:$O$4005,$B$6:$B$4005,B2154,$N$6:$N$4005,"N"),0),$P$6:$P$4005,0)),"(tanpa lawan)"))</f>
        <v/>
      </c>
      <c r="R2154" s="44"/>
      <c r="S2154" s="9" t="str">
        <f aca="false">IF(N2154&lt;&gt;"Y","",IF(R2154&lt;&gt;"",R2154,IF(Q2154="(tanpa lawan)","Transfer antar rekening",IFERROR(INDEX(I_COA!$F$6:$F$265,MATCH(Q2154,I_COA!$A$6:$A$265,0)),"?"))))</f>
        <v/>
      </c>
    </row>
    <row r="2155" customFormat="false" ht="15" hidden="false" customHeight="false" outlineLevel="0" collapsed="false">
      <c r="A2155" s="37"/>
      <c r="B2155" s="44"/>
      <c r="C2155" s="44"/>
      <c r="D2155" s="44"/>
      <c r="E2155" s="44"/>
      <c r="F2155" s="44"/>
      <c r="G2155" s="42"/>
      <c r="H2155" s="42"/>
      <c r="I2155" s="44"/>
      <c r="J2155" s="11" t="str">
        <f aca="false">IF(D2155="","",N(G2155)-N(H2155))</f>
        <v/>
      </c>
      <c r="K2155" s="34" t="str">
        <f aca="false">IF(D2155="","",IFERROR(INDEX(I_COA!$C$6:$C$265,MATCH(D2155,I_COA!$A$6:$A$265,0)),"AKUN BARU"))</f>
        <v/>
      </c>
      <c r="L2155" s="34" t="str">
        <f aca="false">IF(K2155="LabaRugi",INDEX(I_COA!$D$6:$D$265,MATCH(D2155,I_COA!$A$6:$A$265,0)),"")</f>
        <v/>
      </c>
      <c r="M2155" s="34" t="str">
        <f aca="false">IF(K2155="Neraca",INDEX(I_COA!$E$6:$E$265,MATCH(D2155,I_COA!$A$6:$A$265,0)),"")</f>
        <v/>
      </c>
      <c r="N2155" s="34" t="str">
        <f aca="false">IF(D2155="","",IFERROR(INDEX(I_COA!$G$6:$G$265,MATCH(D2155,I_COA!$A$6:$A$265,0)),"N"))</f>
        <v/>
      </c>
      <c r="O2155" s="11" t="str">
        <f aca="false">IF(N2155="N",ABS(J2155),"")</f>
        <v/>
      </c>
      <c r="P2155" s="18" t="str">
        <f aca="false">IF(N2155="N",B2155&amp;"|"&amp;ROUND(O2155,0),"")</f>
        <v/>
      </c>
      <c r="Q2155" s="18" t="str">
        <f aca="false">IF(N2155&lt;&gt;"Y","",IFERROR(INDEX($D$6:$D$4005,MATCH(B2155&amp;"|"&amp;ROUND(_xlfn.MAXIFS($O$6:$O$4005,$B$6:$B$4005,B2155,$N$6:$N$4005,"N"),0),$P$6:$P$4005,0)),"(tanpa lawan)"))</f>
        <v/>
      </c>
      <c r="R2155" s="44"/>
      <c r="S2155" s="9" t="str">
        <f aca="false">IF(N2155&lt;&gt;"Y","",IF(R2155&lt;&gt;"",R2155,IF(Q2155="(tanpa lawan)","Transfer antar rekening",IFERROR(INDEX(I_COA!$F$6:$F$265,MATCH(Q2155,I_COA!$A$6:$A$265,0)),"?"))))</f>
        <v/>
      </c>
    </row>
    <row r="2156" customFormat="false" ht="15" hidden="false" customHeight="false" outlineLevel="0" collapsed="false">
      <c r="A2156" s="37"/>
      <c r="B2156" s="44"/>
      <c r="C2156" s="44"/>
      <c r="D2156" s="44"/>
      <c r="E2156" s="44"/>
      <c r="F2156" s="44"/>
      <c r="G2156" s="42"/>
      <c r="H2156" s="42"/>
      <c r="I2156" s="44"/>
      <c r="J2156" s="11" t="str">
        <f aca="false">IF(D2156="","",N(G2156)-N(H2156))</f>
        <v/>
      </c>
      <c r="K2156" s="34" t="str">
        <f aca="false">IF(D2156="","",IFERROR(INDEX(I_COA!$C$6:$C$265,MATCH(D2156,I_COA!$A$6:$A$265,0)),"AKUN BARU"))</f>
        <v/>
      </c>
      <c r="L2156" s="34" t="str">
        <f aca="false">IF(K2156="LabaRugi",INDEX(I_COA!$D$6:$D$265,MATCH(D2156,I_COA!$A$6:$A$265,0)),"")</f>
        <v/>
      </c>
      <c r="M2156" s="34" t="str">
        <f aca="false">IF(K2156="Neraca",INDEX(I_COA!$E$6:$E$265,MATCH(D2156,I_COA!$A$6:$A$265,0)),"")</f>
        <v/>
      </c>
      <c r="N2156" s="34" t="str">
        <f aca="false">IF(D2156="","",IFERROR(INDEX(I_COA!$G$6:$G$265,MATCH(D2156,I_COA!$A$6:$A$265,0)),"N"))</f>
        <v/>
      </c>
      <c r="O2156" s="11" t="str">
        <f aca="false">IF(N2156="N",ABS(J2156),"")</f>
        <v/>
      </c>
      <c r="P2156" s="18" t="str">
        <f aca="false">IF(N2156="N",B2156&amp;"|"&amp;ROUND(O2156,0),"")</f>
        <v/>
      </c>
      <c r="Q2156" s="18" t="str">
        <f aca="false">IF(N2156&lt;&gt;"Y","",IFERROR(INDEX($D$6:$D$4005,MATCH(B2156&amp;"|"&amp;ROUND(_xlfn.MAXIFS($O$6:$O$4005,$B$6:$B$4005,B2156,$N$6:$N$4005,"N"),0),$P$6:$P$4005,0)),"(tanpa lawan)"))</f>
        <v/>
      </c>
      <c r="R2156" s="44"/>
      <c r="S2156" s="9" t="str">
        <f aca="false">IF(N2156&lt;&gt;"Y","",IF(R2156&lt;&gt;"",R2156,IF(Q2156="(tanpa lawan)","Transfer antar rekening",IFERROR(INDEX(I_COA!$F$6:$F$265,MATCH(Q2156,I_COA!$A$6:$A$265,0)),"?"))))</f>
        <v/>
      </c>
    </row>
    <row r="2157" customFormat="false" ht="15" hidden="false" customHeight="false" outlineLevel="0" collapsed="false">
      <c r="A2157" s="37"/>
      <c r="B2157" s="44"/>
      <c r="C2157" s="44"/>
      <c r="D2157" s="44"/>
      <c r="E2157" s="44"/>
      <c r="F2157" s="44"/>
      <c r="G2157" s="42"/>
      <c r="H2157" s="42"/>
      <c r="I2157" s="44"/>
      <c r="J2157" s="11" t="str">
        <f aca="false">IF(D2157="","",N(G2157)-N(H2157))</f>
        <v/>
      </c>
      <c r="K2157" s="34" t="str">
        <f aca="false">IF(D2157="","",IFERROR(INDEX(I_COA!$C$6:$C$265,MATCH(D2157,I_COA!$A$6:$A$265,0)),"AKUN BARU"))</f>
        <v/>
      </c>
      <c r="L2157" s="34" t="str">
        <f aca="false">IF(K2157="LabaRugi",INDEX(I_COA!$D$6:$D$265,MATCH(D2157,I_COA!$A$6:$A$265,0)),"")</f>
        <v/>
      </c>
      <c r="M2157" s="34" t="str">
        <f aca="false">IF(K2157="Neraca",INDEX(I_COA!$E$6:$E$265,MATCH(D2157,I_COA!$A$6:$A$265,0)),"")</f>
        <v/>
      </c>
      <c r="N2157" s="34" t="str">
        <f aca="false">IF(D2157="","",IFERROR(INDEX(I_COA!$G$6:$G$265,MATCH(D2157,I_COA!$A$6:$A$265,0)),"N"))</f>
        <v/>
      </c>
      <c r="O2157" s="11" t="str">
        <f aca="false">IF(N2157="N",ABS(J2157),"")</f>
        <v/>
      </c>
      <c r="P2157" s="18" t="str">
        <f aca="false">IF(N2157="N",B2157&amp;"|"&amp;ROUND(O2157,0),"")</f>
        <v/>
      </c>
      <c r="Q2157" s="18" t="str">
        <f aca="false">IF(N2157&lt;&gt;"Y","",IFERROR(INDEX($D$6:$D$4005,MATCH(B2157&amp;"|"&amp;ROUND(_xlfn.MAXIFS($O$6:$O$4005,$B$6:$B$4005,B2157,$N$6:$N$4005,"N"),0),$P$6:$P$4005,0)),"(tanpa lawan)"))</f>
        <v/>
      </c>
      <c r="R2157" s="44"/>
      <c r="S2157" s="9" t="str">
        <f aca="false">IF(N2157&lt;&gt;"Y","",IF(R2157&lt;&gt;"",R2157,IF(Q2157="(tanpa lawan)","Transfer antar rekening",IFERROR(INDEX(I_COA!$F$6:$F$265,MATCH(Q2157,I_COA!$A$6:$A$265,0)),"?"))))</f>
        <v/>
      </c>
    </row>
    <row r="2158" customFormat="false" ht="15" hidden="false" customHeight="false" outlineLevel="0" collapsed="false">
      <c r="A2158" s="37"/>
      <c r="B2158" s="44"/>
      <c r="C2158" s="44"/>
      <c r="D2158" s="44"/>
      <c r="E2158" s="44"/>
      <c r="F2158" s="44"/>
      <c r="G2158" s="42"/>
      <c r="H2158" s="42"/>
      <c r="I2158" s="44"/>
      <c r="J2158" s="11" t="str">
        <f aca="false">IF(D2158="","",N(G2158)-N(H2158))</f>
        <v/>
      </c>
      <c r="K2158" s="34" t="str">
        <f aca="false">IF(D2158="","",IFERROR(INDEX(I_COA!$C$6:$C$265,MATCH(D2158,I_COA!$A$6:$A$265,0)),"AKUN BARU"))</f>
        <v/>
      </c>
      <c r="L2158" s="34" t="str">
        <f aca="false">IF(K2158="LabaRugi",INDEX(I_COA!$D$6:$D$265,MATCH(D2158,I_COA!$A$6:$A$265,0)),"")</f>
        <v/>
      </c>
      <c r="M2158" s="34" t="str">
        <f aca="false">IF(K2158="Neraca",INDEX(I_COA!$E$6:$E$265,MATCH(D2158,I_COA!$A$6:$A$265,0)),"")</f>
        <v/>
      </c>
      <c r="N2158" s="34" t="str">
        <f aca="false">IF(D2158="","",IFERROR(INDEX(I_COA!$G$6:$G$265,MATCH(D2158,I_COA!$A$6:$A$265,0)),"N"))</f>
        <v/>
      </c>
      <c r="O2158" s="11" t="str">
        <f aca="false">IF(N2158="N",ABS(J2158),"")</f>
        <v/>
      </c>
      <c r="P2158" s="18" t="str">
        <f aca="false">IF(N2158="N",B2158&amp;"|"&amp;ROUND(O2158,0),"")</f>
        <v/>
      </c>
      <c r="Q2158" s="18" t="str">
        <f aca="false">IF(N2158&lt;&gt;"Y","",IFERROR(INDEX($D$6:$D$4005,MATCH(B2158&amp;"|"&amp;ROUND(_xlfn.MAXIFS($O$6:$O$4005,$B$6:$B$4005,B2158,$N$6:$N$4005,"N"),0),$P$6:$P$4005,0)),"(tanpa lawan)"))</f>
        <v/>
      </c>
      <c r="R2158" s="44"/>
      <c r="S2158" s="9" t="str">
        <f aca="false">IF(N2158&lt;&gt;"Y","",IF(R2158&lt;&gt;"",R2158,IF(Q2158="(tanpa lawan)","Transfer antar rekening",IFERROR(INDEX(I_COA!$F$6:$F$265,MATCH(Q2158,I_COA!$A$6:$A$265,0)),"?"))))</f>
        <v/>
      </c>
    </row>
    <row r="2159" customFormat="false" ht="15" hidden="false" customHeight="false" outlineLevel="0" collapsed="false">
      <c r="A2159" s="37"/>
      <c r="B2159" s="44"/>
      <c r="C2159" s="44"/>
      <c r="D2159" s="44"/>
      <c r="E2159" s="44"/>
      <c r="F2159" s="44"/>
      <c r="G2159" s="42"/>
      <c r="H2159" s="42"/>
      <c r="I2159" s="44"/>
      <c r="J2159" s="11" t="str">
        <f aca="false">IF(D2159="","",N(G2159)-N(H2159))</f>
        <v/>
      </c>
      <c r="K2159" s="34" t="str">
        <f aca="false">IF(D2159="","",IFERROR(INDEX(I_COA!$C$6:$C$265,MATCH(D2159,I_COA!$A$6:$A$265,0)),"AKUN BARU"))</f>
        <v/>
      </c>
      <c r="L2159" s="34" t="str">
        <f aca="false">IF(K2159="LabaRugi",INDEX(I_COA!$D$6:$D$265,MATCH(D2159,I_COA!$A$6:$A$265,0)),"")</f>
        <v/>
      </c>
      <c r="M2159" s="34" t="str">
        <f aca="false">IF(K2159="Neraca",INDEX(I_COA!$E$6:$E$265,MATCH(D2159,I_COA!$A$6:$A$265,0)),"")</f>
        <v/>
      </c>
      <c r="N2159" s="34" t="str">
        <f aca="false">IF(D2159="","",IFERROR(INDEX(I_COA!$G$6:$G$265,MATCH(D2159,I_COA!$A$6:$A$265,0)),"N"))</f>
        <v/>
      </c>
      <c r="O2159" s="11" t="str">
        <f aca="false">IF(N2159="N",ABS(J2159),"")</f>
        <v/>
      </c>
      <c r="P2159" s="18" t="str">
        <f aca="false">IF(N2159="N",B2159&amp;"|"&amp;ROUND(O2159,0),"")</f>
        <v/>
      </c>
      <c r="Q2159" s="18" t="str">
        <f aca="false">IF(N2159&lt;&gt;"Y","",IFERROR(INDEX($D$6:$D$4005,MATCH(B2159&amp;"|"&amp;ROUND(_xlfn.MAXIFS($O$6:$O$4005,$B$6:$B$4005,B2159,$N$6:$N$4005,"N"),0),$P$6:$P$4005,0)),"(tanpa lawan)"))</f>
        <v/>
      </c>
      <c r="R2159" s="44"/>
      <c r="S2159" s="9" t="str">
        <f aca="false">IF(N2159&lt;&gt;"Y","",IF(R2159&lt;&gt;"",R2159,IF(Q2159="(tanpa lawan)","Transfer antar rekening",IFERROR(INDEX(I_COA!$F$6:$F$265,MATCH(Q2159,I_COA!$A$6:$A$265,0)),"?"))))</f>
        <v/>
      </c>
    </row>
    <row r="2160" customFormat="false" ht="15" hidden="false" customHeight="false" outlineLevel="0" collapsed="false">
      <c r="A2160" s="37"/>
      <c r="B2160" s="44"/>
      <c r="C2160" s="44"/>
      <c r="D2160" s="44"/>
      <c r="E2160" s="44"/>
      <c r="F2160" s="44"/>
      <c r="G2160" s="42"/>
      <c r="H2160" s="42"/>
      <c r="I2160" s="44"/>
      <c r="J2160" s="11" t="str">
        <f aca="false">IF(D2160="","",N(G2160)-N(H2160))</f>
        <v/>
      </c>
      <c r="K2160" s="34" t="str">
        <f aca="false">IF(D2160="","",IFERROR(INDEX(I_COA!$C$6:$C$265,MATCH(D2160,I_COA!$A$6:$A$265,0)),"AKUN BARU"))</f>
        <v/>
      </c>
      <c r="L2160" s="34" t="str">
        <f aca="false">IF(K2160="LabaRugi",INDEX(I_COA!$D$6:$D$265,MATCH(D2160,I_COA!$A$6:$A$265,0)),"")</f>
        <v/>
      </c>
      <c r="M2160" s="34" t="str">
        <f aca="false">IF(K2160="Neraca",INDEX(I_COA!$E$6:$E$265,MATCH(D2160,I_COA!$A$6:$A$265,0)),"")</f>
        <v/>
      </c>
      <c r="N2160" s="34" t="str">
        <f aca="false">IF(D2160="","",IFERROR(INDEX(I_COA!$G$6:$G$265,MATCH(D2160,I_COA!$A$6:$A$265,0)),"N"))</f>
        <v/>
      </c>
      <c r="O2160" s="11" t="str">
        <f aca="false">IF(N2160="N",ABS(J2160),"")</f>
        <v/>
      </c>
      <c r="P2160" s="18" t="str">
        <f aca="false">IF(N2160="N",B2160&amp;"|"&amp;ROUND(O2160,0),"")</f>
        <v/>
      </c>
      <c r="Q2160" s="18" t="str">
        <f aca="false">IF(N2160&lt;&gt;"Y","",IFERROR(INDEX($D$6:$D$4005,MATCH(B2160&amp;"|"&amp;ROUND(_xlfn.MAXIFS($O$6:$O$4005,$B$6:$B$4005,B2160,$N$6:$N$4005,"N"),0),$P$6:$P$4005,0)),"(tanpa lawan)"))</f>
        <v/>
      </c>
      <c r="R2160" s="44"/>
      <c r="S2160" s="9" t="str">
        <f aca="false">IF(N2160&lt;&gt;"Y","",IF(R2160&lt;&gt;"",R2160,IF(Q2160="(tanpa lawan)","Transfer antar rekening",IFERROR(INDEX(I_COA!$F$6:$F$265,MATCH(Q2160,I_COA!$A$6:$A$265,0)),"?"))))</f>
        <v/>
      </c>
    </row>
    <row r="2161" customFormat="false" ht="15" hidden="false" customHeight="false" outlineLevel="0" collapsed="false">
      <c r="A2161" s="37"/>
      <c r="B2161" s="44"/>
      <c r="C2161" s="44"/>
      <c r="D2161" s="44"/>
      <c r="E2161" s="44"/>
      <c r="F2161" s="44"/>
      <c r="G2161" s="42"/>
      <c r="H2161" s="42"/>
      <c r="I2161" s="44"/>
      <c r="J2161" s="11" t="str">
        <f aca="false">IF(D2161="","",N(G2161)-N(H2161))</f>
        <v/>
      </c>
      <c r="K2161" s="34" t="str">
        <f aca="false">IF(D2161="","",IFERROR(INDEX(I_COA!$C$6:$C$265,MATCH(D2161,I_COA!$A$6:$A$265,0)),"AKUN BARU"))</f>
        <v/>
      </c>
      <c r="L2161" s="34" t="str">
        <f aca="false">IF(K2161="LabaRugi",INDEX(I_COA!$D$6:$D$265,MATCH(D2161,I_COA!$A$6:$A$265,0)),"")</f>
        <v/>
      </c>
      <c r="M2161" s="34" t="str">
        <f aca="false">IF(K2161="Neraca",INDEX(I_COA!$E$6:$E$265,MATCH(D2161,I_COA!$A$6:$A$265,0)),"")</f>
        <v/>
      </c>
      <c r="N2161" s="34" t="str">
        <f aca="false">IF(D2161="","",IFERROR(INDEX(I_COA!$G$6:$G$265,MATCH(D2161,I_COA!$A$6:$A$265,0)),"N"))</f>
        <v/>
      </c>
      <c r="O2161" s="11" t="str">
        <f aca="false">IF(N2161="N",ABS(J2161),"")</f>
        <v/>
      </c>
      <c r="P2161" s="18" t="str">
        <f aca="false">IF(N2161="N",B2161&amp;"|"&amp;ROUND(O2161,0),"")</f>
        <v/>
      </c>
      <c r="Q2161" s="18" t="str">
        <f aca="false">IF(N2161&lt;&gt;"Y","",IFERROR(INDEX($D$6:$D$4005,MATCH(B2161&amp;"|"&amp;ROUND(_xlfn.MAXIFS($O$6:$O$4005,$B$6:$B$4005,B2161,$N$6:$N$4005,"N"),0),$P$6:$P$4005,0)),"(tanpa lawan)"))</f>
        <v/>
      </c>
      <c r="R2161" s="44"/>
      <c r="S2161" s="9" t="str">
        <f aca="false">IF(N2161&lt;&gt;"Y","",IF(R2161&lt;&gt;"",R2161,IF(Q2161="(tanpa lawan)","Transfer antar rekening",IFERROR(INDEX(I_COA!$F$6:$F$265,MATCH(Q2161,I_COA!$A$6:$A$265,0)),"?"))))</f>
        <v/>
      </c>
    </row>
    <row r="2162" customFormat="false" ht="15" hidden="false" customHeight="false" outlineLevel="0" collapsed="false">
      <c r="A2162" s="37"/>
      <c r="B2162" s="44"/>
      <c r="C2162" s="44"/>
      <c r="D2162" s="44"/>
      <c r="E2162" s="44"/>
      <c r="F2162" s="44"/>
      <c r="G2162" s="42"/>
      <c r="H2162" s="42"/>
      <c r="I2162" s="44"/>
      <c r="J2162" s="11" t="str">
        <f aca="false">IF(D2162="","",N(G2162)-N(H2162))</f>
        <v/>
      </c>
      <c r="K2162" s="34" t="str">
        <f aca="false">IF(D2162="","",IFERROR(INDEX(I_COA!$C$6:$C$265,MATCH(D2162,I_COA!$A$6:$A$265,0)),"AKUN BARU"))</f>
        <v/>
      </c>
      <c r="L2162" s="34" t="str">
        <f aca="false">IF(K2162="LabaRugi",INDEX(I_COA!$D$6:$D$265,MATCH(D2162,I_COA!$A$6:$A$265,0)),"")</f>
        <v/>
      </c>
      <c r="M2162" s="34" t="str">
        <f aca="false">IF(K2162="Neraca",INDEX(I_COA!$E$6:$E$265,MATCH(D2162,I_COA!$A$6:$A$265,0)),"")</f>
        <v/>
      </c>
      <c r="N2162" s="34" t="str">
        <f aca="false">IF(D2162="","",IFERROR(INDEX(I_COA!$G$6:$G$265,MATCH(D2162,I_COA!$A$6:$A$265,0)),"N"))</f>
        <v/>
      </c>
      <c r="O2162" s="11" t="str">
        <f aca="false">IF(N2162="N",ABS(J2162),"")</f>
        <v/>
      </c>
      <c r="P2162" s="18" t="str">
        <f aca="false">IF(N2162="N",B2162&amp;"|"&amp;ROUND(O2162,0),"")</f>
        <v/>
      </c>
      <c r="Q2162" s="18" t="str">
        <f aca="false">IF(N2162&lt;&gt;"Y","",IFERROR(INDEX($D$6:$D$4005,MATCH(B2162&amp;"|"&amp;ROUND(_xlfn.MAXIFS($O$6:$O$4005,$B$6:$B$4005,B2162,$N$6:$N$4005,"N"),0),$P$6:$P$4005,0)),"(tanpa lawan)"))</f>
        <v/>
      </c>
      <c r="R2162" s="44"/>
      <c r="S2162" s="9" t="str">
        <f aca="false">IF(N2162&lt;&gt;"Y","",IF(R2162&lt;&gt;"",R2162,IF(Q2162="(tanpa lawan)","Transfer antar rekening",IFERROR(INDEX(I_COA!$F$6:$F$265,MATCH(Q2162,I_COA!$A$6:$A$265,0)),"?"))))</f>
        <v/>
      </c>
    </row>
    <row r="2163" customFormat="false" ht="15" hidden="false" customHeight="false" outlineLevel="0" collapsed="false">
      <c r="A2163" s="37"/>
      <c r="B2163" s="44"/>
      <c r="C2163" s="44"/>
      <c r="D2163" s="44"/>
      <c r="E2163" s="44"/>
      <c r="F2163" s="44"/>
      <c r="G2163" s="42"/>
      <c r="H2163" s="42"/>
      <c r="I2163" s="44"/>
      <c r="J2163" s="11" t="str">
        <f aca="false">IF(D2163="","",N(G2163)-N(H2163))</f>
        <v/>
      </c>
      <c r="K2163" s="34" t="str">
        <f aca="false">IF(D2163="","",IFERROR(INDEX(I_COA!$C$6:$C$265,MATCH(D2163,I_COA!$A$6:$A$265,0)),"AKUN BARU"))</f>
        <v/>
      </c>
      <c r="L2163" s="34" t="str">
        <f aca="false">IF(K2163="LabaRugi",INDEX(I_COA!$D$6:$D$265,MATCH(D2163,I_COA!$A$6:$A$265,0)),"")</f>
        <v/>
      </c>
      <c r="M2163" s="34" t="str">
        <f aca="false">IF(K2163="Neraca",INDEX(I_COA!$E$6:$E$265,MATCH(D2163,I_COA!$A$6:$A$265,0)),"")</f>
        <v/>
      </c>
      <c r="N2163" s="34" t="str">
        <f aca="false">IF(D2163="","",IFERROR(INDEX(I_COA!$G$6:$G$265,MATCH(D2163,I_COA!$A$6:$A$265,0)),"N"))</f>
        <v/>
      </c>
      <c r="O2163" s="11" t="str">
        <f aca="false">IF(N2163="N",ABS(J2163),"")</f>
        <v/>
      </c>
      <c r="P2163" s="18" t="str">
        <f aca="false">IF(N2163="N",B2163&amp;"|"&amp;ROUND(O2163,0),"")</f>
        <v/>
      </c>
      <c r="Q2163" s="18" t="str">
        <f aca="false">IF(N2163&lt;&gt;"Y","",IFERROR(INDEX($D$6:$D$4005,MATCH(B2163&amp;"|"&amp;ROUND(_xlfn.MAXIFS($O$6:$O$4005,$B$6:$B$4005,B2163,$N$6:$N$4005,"N"),0),$P$6:$P$4005,0)),"(tanpa lawan)"))</f>
        <v/>
      </c>
      <c r="R2163" s="44"/>
      <c r="S2163" s="9" t="str">
        <f aca="false">IF(N2163&lt;&gt;"Y","",IF(R2163&lt;&gt;"",R2163,IF(Q2163="(tanpa lawan)","Transfer antar rekening",IFERROR(INDEX(I_COA!$F$6:$F$265,MATCH(Q2163,I_COA!$A$6:$A$265,0)),"?"))))</f>
        <v/>
      </c>
    </row>
    <row r="2164" customFormat="false" ht="15" hidden="false" customHeight="false" outlineLevel="0" collapsed="false">
      <c r="A2164" s="37"/>
      <c r="B2164" s="44"/>
      <c r="C2164" s="44"/>
      <c r="D2164" s="44"/>
      <c r="E2164" s="44"/>
      <c r="F2164" s="44"/>
      <c r="G2164" s="42"/>
      <c r="H2164" s="42"/>
      <c r="I2164" s="44"/>
      <c r="J2164" s="11" t="str">
        <f aca="false">IF(D2164="","",N(G2164)-N(H2164))</f>
        <v/>
      </c>
      <c r="K2164" s="34" t="str">
        <f aca="false">IF(D2164="","",IFERROR(INDEX(I_COA!$C$6:$C$265,MATCH(D2164,I_COA!$A$6:$A$265,0)),"AKUN BARU"))</f>
        <v/>
      </c>
      <c r="L2164" s="34" t="str">
        <f aca="false">IF(K2164="LabaRugi",INDEX(I_COA!$D$6:$D$265,MATCH(D2164,I_COA!$A$6:$A$265,0)),"")</f>
        <v/>
      </c>
      <c r="M2164" s="34" t="str">
        <f aca="false">IF(K2164="Neraca",INDEX(I_COA!$E$6:$E$265,MATCH(D2164,I_COA!$A$6:$A$265,0)),"")</f>
        <v/>
      </c>
      <c r="N2164" s="34" t="str">
        <f aca="false">IF(D2164="","",IFERROR(INDEX(I_COA!$G$6:$G$265,MATCH(D2164,I_COA!$A$6:$A$265,0)),"N"))</f>
        <v/>
      </c>
      <c r="O2164" s="11" t="str">
        <f aca="false">IF(N2164="N",ABS(J2164),"")</f>
        <v/>
      </c>
      <c r="P2164" s="18" t="str">
        <f aca="false">IF(N2164="N",B2164&amp;"|"&amp;ROUND(O2164,0),"")</f>
        <v/>
      </c>
      <c r="Q2164" s="18" t="str">
        <f aca="false">IF(N2164&lt;&gt;"Y","",IFERROR(INDEX($D$6:$D$4005,MATCH(B2164&amp;"|"&amp;ROUND(_xlfn.MAXIFS($O$6:$O$4005,$B$6:$B$4005,B2164,$N$6:$N$4005,"N"),0),$P$6:$P$4005,0)),"(tanpa lawan)"))</f>
        <v/>
      </c>
      <c r="R2164" s="44"/>
      <c r="S2164" s="9" t="str">
        <f aca="false">IF(N2164&lt;&gt;"Y","",IF(R2164&lt;&gt;"",R2164,IF(Q2164="(tanpa lawan)","Transfer antar rekening",IFERROR(INDEX(I_COA!$F$6:$F$265,MATCH(Q2164,I_COA!$A$6:$A$265,0)),"?"))))</f>
        <v/>
      </c>
    </row>
    <row r="2165" customFormat="false" ht="15" hidden="false" customHeight="false" outlineLevel="0" collapsed="false">
      <c r="A2165" s="37"/>
      <c r="B2165" s="44"/>
      <c r="C2165" s="44"/>
      <c r="D2165" s="44"/>
      <c r="E2165" s="44"/>
      <c r="F2165" s="44"/>
      <c r="G2165" s="42"/>
      <c r="H2165" s="42"/>
      <c r="I2165" s="44"/>
      <c r="J2165" s="11" t="str">
        <f aca="false">IF(D2165="","",N(G2165)-N(H2165))</f>
        <v/>
      </c>
      <c r="K2165" s="34" t="str">
        <f aca="false">IF(D2165="","",IFERROR(INDEX(I_COA!$C$6:$C$265,MATCH(D2165,I_COA!$A$6:$A$265,0)),"AKUN BARU"))</f>
        <v/>
      </c>
      <c r="L2165" s="34" t="str">
        <f aca="false">IF(K2165="LabaRugi",INDEX(I_COA!$D$6:$D$265,MATCH(D2165,I_COA!$A$6:$A$265,0)),"")</f>
        <v/>
      </c>
      <c r="M2165" s="34" t="str">
        <f aca="false">IF(K2165="Neraca",INDEX(I_COA!$E$6:$E$265,MATCH(D2165,I_COA!$A$6:$A$265,0)),"")</f>
        <v/>
      </c>
      <c r="N2165" s="34" t="str">
        <f aca="false">IF(D2165="","",IFERROR(INDEX(I_COA!$G$6:$G$265,MATCH(D2165,I_COA!$A$6:$A$265,0)),"N"))</f>
        <v/>
      </c>
      <c r="O2165" s="11" t="str">
        <f aca="false">IF(N2165="N",ABS(J2165),"")</f>
        <v/>
      </c>
      <c r="P2165" s="18" t="str">
        <f aca="false">IF(N2165="N",B2165&amp;"|"&amp;ROUND(O2165,0),"")</f>
        <v/>
      </c>
      <c r="Q2165" s="18" t="str">
        <f aca="false">IF(N2165&lt;&gt;"Y","",IFERROR(INDEX($D$6:$D$4005,MATCH(B2165&amp;"|"&amp;ROUND(_xlfn.MAXIFS($O$6:$O$4005,$B$6:$B$4005,B2165,$N$6:$N$4005,"N"),0),$P$6:$P$4005,0)),"(tanpa lawan)"))</f>
        <v/>
      </c>
      <c r="R2165" s="44"/>
      <c r="S2165" s="9" t="str">
        <f aca="false">IF(N2165&lt;&gt;"Y","",IF(R2165&lt;&gt;"",R2165,IF(Q2165="(tanpa lawan)","Transfer antar rekening",IFERROR(INDEX(I_COA!$F$6:$F$265,MATCH(Q2165,I_COA!$A$6:$A$265,0)),"?"))))</f>
        <v/>
      </c>
    </row>
    <row r="2166" customFormat="false" ht="15" hidden="false" customHeight="false" outlineLevel="0" collapsed="false">
      <c r="A2166" s="37"/>
      <c r="B2166" s="44"/>
      <c r="C2166" s="44"/>
      <c r="D2166" s="44"/>
      <c r="E2166" s="44"/>
      <c r="F2166" s="44"/>
      <c r="G2166" s="42"/>
      <c r="H2166" s="42"/>
      <c r="I2166" s="44"/>
      <c r="J2166" s="11" t="str">
        <f aca="false">IF(D2166="","",N(G2166)-N(H2166))</f>
        <v/>
      </c>
      <c r="K2166" s="34" t="str">
        <f aca="false">IF(D2166="","",IFERROR(INDEX(I_COA!$C$6:$C$265,MATCH(D2166,I_COA!$A$6:$A$265,0)),"AKUN BARU"))</f>
        <v/>
      </c>
      <c r="L2166" s="34" t="str">
        <f aca="false">IF(K2166="LabaRugi",INDEX(I_COA!$D$6:$D$265,MATCH(D2166,I_COA!$A$6:$A$265,0)),"")</f>
        <v/>
      </c>
      <c r="M2166" s="34" t="str">
        <f aca="false">IF(K2166="Neraca",INDEX(I_COA!$E$6:$E$265,MATCH(D2166,I_COA!$A$6:$A$265,0)),"")</f>
        <v/>
      </c>
      <c r="N2166" s="34" t="str">
        <f aca="false">IF(D2166="","",IFERROR(INDEX(I_COA!$G$6:$G$265,MATCH(D2166,I_COA!$A$6:$A$265,0)),"N"))</f>
        <v/>
      </c>
      <c r="O2166" s="11" t="str">
        <f aca="false">IF(N2166="N",ABS(J2166),"")</f>
        <v/>
      </c>
      <c r="P2166" s="18" t="str">
        <f aca="false">IF(N2166="N",B2166&amp;"|"&amp;ROUND(O2166,0),"")</f>
        <v/>
      </c>
      <c r="Q2166" s="18" t="str">
        <f aca="false">IF(N2166&lt;&gt;"Y","",IFERROR(INDEX($D$6:$D$4005,MATCH(B2166&amp;"|"&amp;ROUND(_xlfn.MAXIFS($O$6:$O$4005,$B$6:$B$4005,B2166,$N$6:$N$4005,"N"),0),$P$6:$P$4005,0)),"(tanpa lawan)"))</f>
        <v/>
      </c>
      <c r="R2166" s="44"/>
      <c r="S2166" s="9" t="str">
        <f aca="false">IF(N2166&lt;&gt;"Y","",IF(R2166&lt;&gt;"",R2166,IF(Q2166="(tanpa lawan)","Transfer antar rekening",IFERROR(INDEX(I_COA!$F$6:$F$265,MATCH(Q2166,I_COA!$A$6:$A$265,0)),"?"))))</f>
        <v/>
      </c>
    </row>
    <row r="2167" customFormat="false" ht="15" hidden="false" customHeight="false" outlineLevel="0" collapsed="false">
      <c r="A2167" s="37"/>
      <c r="B2167" s="44"/>
      <c r="C2167" s="44"/>
      <c r="D2167" s="44"/>
      <c r="E2167" s="44"/>
      <c r="F2167" s="44"/>
      <c r="G2167" s="42"/>
      <c r="H2167" s="42"/>
      <c r="I2167" s="44"/>
      <c r="J2167" s="11" t="str">
        <f aca="false">IF(D2167="","",N(G2167)-N(H2167))</f>
        <v/>
      </c>
      <c r="K2167" s="34" t="str">
        <f aca="false">IF(D2167="","",IFERROR(INDEX(I_COA!$C$6:$C$265,MATCH(D2167,I_COA!$A$6:$A$265,0)),"AKUN BARU"))</f>
        <v/>
      </c>
      <c r="L2167" s="34" t="str">
        <f aca="false">IF(K2167="LabaRugi",INDEX(I_COA!$D$6:$D$265,MATCH(D2167,I_COA!$A$6:$A$265,0)),"")</f>
        <v/>
      </c>
      <c r="M2167" s="34" t="str">
        <f aca="false">IF(K2167="Neraca",INDEX(I_COA!$E$6:$E$265,MATCH(D2167,I_COA!$A$6:$A$265,0)),"")</f>
        <v/>
      </c>
      <c r="N2167" s="34" t="str">
        <f aca="false">IF(D2167="","",IFERROR(INDEX(I_COA!$G$6:$G$265,MATCH(D2167,I_COA!$A$6:$A$265,0)),"N"))</f>
        <v/>
      </c>
      <c r="O2167" s="11" t="str">
        <f aca="false">IF(N2167="N",ABS(J2167),"")</f>
        <v/>
      </c>
      <c r="P2167" s="18" t="str">
        <f aca="false">IF(N2167="N",B2167&amp;"|"&amp;ROUND(O2167,0),"")</f>
        <v/>
      </c>
      <c r="Q2167" s="18" t="str">
        <f aca="false">IF(N2167&lt;&gt;"Y","",IFERROR(INDEX($D$6:$D$4005,MATCH(B2167&amp;"|"&amp;ROUND(_xlfn.MAXIFS($O$6:$O$4005,$B$6:$B$4005,B2167,$N$6:$N$4005,"N"),0),$P$6:$P$4005,0)),"(tanpa lawan)"))</f>
        <v/>
      </c>
      <c r="R2167" s="44"/>
      <c r="S2167" s="9" t="str">
        <f aca="false">IF(N2167&lt;&gt;"Y","",IF(R2167&lt;&gt;"",R2167,IF(Q2167="(tanpa lawan)","Transfer antar rekening",IFERROR(INDEX(I_COA!$F$6:$F$265,MATCH(Q2167,I_COA!$A$6:$A$265,0)),"?"))))</f>
        <v/>
      </c>
    </row>
    <row r="2168" customFormat="false" ht="15" hidden="false" customHeight="false" outlineLevel="0" collapsed="false">
      <c r="A2168" s="37"/>
      <c r="B2168" s="44"/>
      <c r="C2168" s="44"/>
      <c r="D2168" s="44"/>
      <c r="E2168" s="44"/>
      <c r="F2168" s="44"/>
      <c r="G2168" s="42"/>
      <c r="H2168" s="42"/>
      <c r="I2168" s="44"/>
      <c r="J2168" s="11" t="str">
        <f aca="false">IF(D2168="","",N(G2168)-N(H2168))</f>
        <v/>
      </c>
      <c r="K2168" s="34" t="str">
        <f aca="false">IF(D2168="","",IFERROR(INDEX(I_COA!$C$6:$C$265,MATCH(D2168,I_COA!$A$6:$A$265,0)),"AKUN BARU"))</f>
        <v/>
      </c>
      <c r="L2168" s="34" t="str">
        <f aca="false">IF(K2168="LabaRugi",INDEX(I_COA!$D$6:$D$265,MATCH(D2168,I_COA!$A$6:$A$265,0)),"")</f>
        <v/>
      </c>
      <c r="M2168" s="34" t="str">
        <f aca="false">IF(K2168="Neraca",INDEX(I_COA!$E$6:$E$265,MATCH(D2168,I_COA!$A$6:$A$265,0)),"")</f>
        <v/>
      </c>
      <c r="N2168" s="34" t="str">
        <f aca="false">IF(D2168="","",IFERROR(INDEX(I_COA!$G$6:$G$265,MATCH(D2168,I_COA!$A$6:$A$265,0)),"N"))</f>
        <v/>
      </c>
      <c r="O2168" s="11" t="str">
        <f aca="false">IF(N2168="N",ABS(J2168),"")</f>
        <v/>
      </c>
      <c r="P2168" s="18" t="str">
        <f aca="false">IF(N2168="N",B2168&amp;"|"&amp;ROUND(O2168,0),"")</f>
        <v/>
      </c>
      <c r="Q2168" s="18" t="str">
        <f aca="false">IF(N2168&lt;&gt;"Y","",IFERROR(INDEX($D$6:$D$4005,MATCH(B2168&amp;"|"&amp;ROUND(_xlfn.MAXIFS($O$6:$O$4005,$B$6:$B$4005,B2168,$N$6:$N$4005,"N"),0),$P$6:$P$4005,0)),"(tanpa lawan)"))</f>
        <v/>
      </c>
      <c r="R2168" s="44"/>
      <c r="S2168" s="9" t="str">
        <f aca="false">IF(N2168&lt;&gt;"Y","",IF(R2168&lt;&gt;"",R2168,IF(Q2168="(tanpa lawan)","Transfer antar rekening",IFERROR(INDEX(I_COA!$F$6:$F$265,MATCH(Q2168,I_COA!$A$6:$A$265,0)),"?"))))</f>
        <v/>
      </c>
    </row>
    <row r="2169" customFormat="false" ht="15" hidden="false" customHeight="false" outlineLevel="0" collapsed="false">
      <c r="A2169" s="37"/>
      <c r="B2169" s="44"/>
      <c r="C2169" s="44"/>
      <c r="D2169" s="44"/>
      <c r="E2169" s="44"/>
      <c r="F2169" s="44"/>
      <c r="G2169" s="42"/>
      <c r="H2169" s="42"/>
      <c r="I2169" s="44"/>
      <c r="J2169" s="11" t="str">
        <f aca="false">IF(D2169="","",N(G2169)-N(H2169))</f>
        <v/>
      </c>
      <c r="K2169" s="34" t="str">
        <f aca="false">IF(D2169="","",IFERROR(INDEX(I_COA!$C$6:$C$265,MATCH(D2169,I_COA!$A$6:$A$265,0)),"AKUN BARU"))</f>
        <v/>
      </c>
      <c r="L2169" s="34" t="str">
        <f aca="false">IF(K2169="LabaRugi",INDEX(I_COA!$D$6:$D$265,MATCH(D2169,I_COA!$A$6:$A$265,0)),"")</f>
        <v/>
      </c>
      <c r="M2169" s="34" t="str">
        <f aca="false">IF(K2169="Neraca",INDEX(I_COA!$E$6:$E$265,MATCH(D2169,I_COA!$A$6:$A$265,0)),"")</f>
        <v/>
      </c>
      <c r="N2169" s="34" t="str">
        <f aca="false">IF(D2169="","",IFERROR(INDEX(I_COA!$G$6:$G$265,MATCH(D2169,I_COA!$A$6:$A$265,0)),"N"))</f>
        <v/>
      </c>
      <c r="O2169" s="11" t="str">
        <f aca="false">IF(N2169="N",ABS(J2169),"")</f>
        <v/>
      </c>
      <c r="P2169" s="18" t="str">
        <f aca="false">IF(N2169="N",B2169&amp;"|"&amp;ROUND(O2169,0),"")</f>
        <v/>
      </c>
      <c r="Q2169" s="18" t="str">
        <f aca="false">IF(N2169&lt;&gt;"Y","",IFERROR(INDEX($D$6:$D$4005,MATCH(B2169&amp;"|"&amp;ROUND(_xlfn.MAXIFS($O$6:$O$4005,$B$6:$B$4005,B2169,$N$6:$N$4005,"N"),0),$P$6:$P$4005,0)),"(tanpa lawan)"))</f>
        <v/>
      </c>
      <c r="R2169" s="44"/>
      <c r="S2169" s="9" t="str">
        <f aca="false">IF(N2169&lt;&gt;"Y","",IF(R2169&lt;&gt;"",R2169,IF(Q2169="(tanpa lawan)","Transfer antar rekening",IFERROR(INDEX(I_COA!$F$6:$F$265,MATCH(Q2169,I_COA!$A$6:$A$265,0)),"?"))))</f>
        <v/>
      </c>
    </row>
    <row r="2170" customFormat="false" ht="15" hidden="false" customHeight="false" outlineLevel="0" collapsed="false">
      <c r="A2170" s="37"/>
      <c r="B2170" s="44"/>
      <c r="C2170" s="44"/>
      <c r="D2170" s="44"/>
      <c r="E2170" s="44"/>
      <c r="F2170" s="44"/>
      <c r="G2170" s="42"/>
      <c r="H2170" s="42"/>
      <c r="I2170" s="44"/>
      <c r="J2170" s="11" t="str">
        <f aca="false">IF(D2170="","",N(G2170)-N(H2170))</f>
        <v/>
      </c>
      <c r="K2170" s="34" t="str">
        <f aca="false">IF(D2170="","",IFERROR(INDEX(I_COA!$C$6:$C$265,MATCH(D2170,I_COA!$A$6:$A$265,0)),"AKUN BARU"))</f>
        <v/>
      </c>
      <c r="L2170" s="34" t="str">
        <f aca="false">IF(K2170="LabaRugi",INDEX(I_COA!$D$6:$D$265,MATCH(D2170,I_COA!$A$6:$A$265,0)),"")</f>
        <v/>
      </c>
      <c r="M2170" s="34" t="str">
        <f aca="false">IF(K2170="Neraca",INDEX(I_COA!$E$6:$E$265,MATCH(D2170,I_COA!$A$6:$A$265,0)),"")</f>
        <v/>
      </c>
      <c r="N2170" s="34" t="str">
        <f aca="false">IF(D2170="","",IFERROR(INDEX(I_COA!$G$6:$G$265,MATCH(D2170,I_COA!$A$6:$A$265,0)),"N"))</f>
        <v/>
      </c>
      <c r="O2170" s="11" t="str">
        <f aca="false">IF(N2170="N",ABS(J2170),"")</f>
        <v/>
      </c>
      <c r="P2170" s="18" t="str">
        <f aca="false">IF(N2170="N",B2170&amp;"|"&amp;ROUND(O2170,0),"")</f>
        <v/>
      </c>
      <c r="Q2170" s="18" t="str">
        <f aca="false">IF(N2170&lt;&gt;"Y","",IFERROR(INDEX($D$6:$D$4005,MATCH(B2170&amp;"|"&amp;ROUND(_xlfn.MAXIFS($O$6:$O$4005,$B$6:$B$4005,B2170,$N$6:$N$4005,"N"),0),$P$6:$P$4005,0)),"(tanpa lawan)"))</f>
        <v/>
      </c>
      <c r="R2170" s="44"/>
      <c r="S2170" s="9" t="str">
        <f aca="false">IF(N2170&lt;&gt;"Y","",IF(R2170&lt;&gt;"",R2170,IF(Q2170="(tanpa lawan)","Transfer antar rekening",IFERROR(INDEX(I_COA!$F$6:$F$265,MATCH(Q2170,I_COA!$A$6:$A$265,0)),"?"))))</f>
        <v/>
      </c>
    </row>
    <row r="2171" customFormat="false" ht="15" hidden="false" customHeight="false" outlineLevel="0" collapsed="false">
      <c r="A2171" s="37"/>
      <c r="B2171" s="44"/>
      <c r="C2171" s="44"/>
      <c r="D2171" s="44"/>
      <c r="E2171" s="44"/>
      <c r="F2171" s="44"/>
      <c r="G2171" s="42"/>
      <c r="H2171" s="42"/>
      <c r="I2171" s="44"/>
      <c r="J2171" s="11" t="str">
        <f aca="false">IF(D2171="","",N(G2171)-N(H2171))</f>
        <v/>
      </c>
      <c r="K2171" s="34" t="str">
        <f aca="false">IF(D2171="","",IFERROR(INDEX(I_COA!$C$6:$C$265,MATCH(D2171,I_COA!$A$6:$A$265,0)),"AKUN BARU"))</f>
        <v/>
      </c>
      <c r="L2171" s="34" t="str">
        <f aca="false">IF(K2171="LabaRugi",INDEX(I_COA!$D$6:$D$265,MATCH(D2171,I_COA!$A$6:$A$265,0)),"")</f>
        <v/>
      </c>
      <c r="M2171" s="34" t="str">
        <f aca="false">IF(K2171="Neraca",INDEX(I_COA!$E$6:$E$265,MATCH(D2171,I_COA!$A$6:$A$265,0)),"")</f>
        <v/>
      </c>
      <c r="N2171" s="34" t="str">
        <f aca="false">IF(D2171="","",IFERROR(INDEX(I_COA!$G$6:$G$265,MATCH(D2171,I_COA!$A$6:$A$265,0)),"N"))</f>
        <v/>
      </c>
      <c r="O2171" s="11" t="str">
        <f aca="false">IF(N2171="N",ABS(J2171),"")</f>
        <v/>
      </c>
      <c r="P2171" s="18" t="str">
        <f aca="false">IF(N2171="N",B2171&amp;"|"&amp;ROUND(O2171,0),"")</f>
        <v/>
      </c>
      <c r="Q2171" s="18" t="str">
        <f aca="false">IF(N2171&lt;&gt;"Y","",IFERROR(INDEX($D$6:$D$4005,MATCH(B2171&amp;"|"&amp;ROUND(_xlfn.MAXIFS($O$6:$O$4005,$B$6:$B$4005,B2171,$N$6:$N$4005,"N"),0),$P$6:$P$4005,0)),"(tanpa lawan)"))</f>
        <v/>
      </c>
      <c r="R2171" s="44"/>
      <c r="S2171" s="9" t="str">
        <f aca="false">IF(N2171&lt;&gt;"Y","",IF(R2171&lt;&gt;"",R2171,IF(Q2171="(tanpa lawan)","Transfer antar rekening",IFERROR(INDEX(I_COA!$F$6:$F$265,MATCH(Q2171,I_COA!$A$6:$A$265,0)),"?"))))</f>
        <v/>
      </c>
    </row>
    <row r="2172" customFormat="false" ht="15" hidden="false" customHeight="false" outlineLevel="0" collapsed="false">
      <c r="A2172" s="37"/>
      <c r="B2172" s="44"/>
      <c r="C2172" s="44"/>
      <c r="D2172" s="44"/>
      <c r="E2172" s="44"/>
      <c r="F2172" s="44"/>
      <c r="G2172" s="42"/>
      <c r="H2172" s="42"/>
      <c r="I2172" s="44"/>
      <c r="J2172" s="11" t="str">
        <f aca="false">IF(D2172="","",N(G2172)-N(H2172))</f>
        <v/>
      </c>
      <c r="K2172" s="34" t="str">
        <f aca="false">IF(D2172="","",IFERROR(INDEX(I_COA!$C$6:$C$265,MATCH(D2172,I_COA!$A$6:$A$265,0)),"AKUN BARU"))</f>
        <v/>
      </c>
      <c r="L2172" s="34" t="str">
        <f aca="false">IF(K2172="LabaRugi",INDEX(I_COA!$D$6:$D$265,MATCH(D2172,I_COA!$A$6:$A$265,0)),"")</f>
        <v/>
      </c>
      <c r="M2172" s="34" t="str">
        <f aca="false">IF(K2172="Neraca",INDEX(I_COA!$E$6:$E$265,MATCH(D2172,I_COA!$A$6:$A$265,0)),"")</f>
        <v/>
      </c>
      <c r="N2172" s="34" t="str">
        <f aca="false">IF(D2172="","",IFERROR(INDEX(I_COA!$G$6:$G$265,MATCH(D2172,I_COA!$A$6:$A$265,0)),"N"))</f>
        <v/>
      </c>
      <c r="O2172" s="11" t="str">
        <f aca="false">IF(N2172="N",ABS(J2172),"")</f>
        <v/>
      </c>
      <c r="P2172" s="18" t="str">
        <f aca="false">IF(N2172="N",B2172&amp;"|"&amp;ROUND(O2172,0),"")</f>
        <v/>
      </c>
      <c r="Q2172" s="18" t="str">
        <f aca="false">IF(N2172&lt;&gt;"Y","",IFERROR(INDEX($D$6:$D$4005,MATCH(B2172&amp;"|"&amp;ROUND(_xlfn.MAXIFS($O$6:$O$4005,$B$6:$B$4005,B2172,$N$6:$N$4005,"N"),0),$P$6:$P$4005,0)),"(tanpa lawan)"))</f>
        <v/>
      </c>
      <c r="R2172" s="44"/>
      <c r="S2172" s="9" t="str">
        <f aca="false">IF(N2172&lt;&gt;"Y","",IF(R2172&lt;&gt;"",R2172,IF(Q2172="(tanpa lawan)","Transfer antar rekening",IFERROR(INDEX(I_COA!$F$6:$F$265,MATCH(Q2172,I_COA!$A$6:$A$265,0)),"?"))))</f>
        <v/>
      </c>
    </row>
    <row r="2173" customFormat="false" ht="15" hidden="false" customHeight="false" outlineLevel="0" collapsed="false">
      <c r="A2173" s="37"/>
      <c r="B2173" s="44"/>
      <c r="C2173" s="44"/>
      <c r="D2173" s="44"/>
      <c r="E2173" s="44"/>
      <c r="F2173" s="44"/>
      <c r="G2173" s="42"/>
      <c r="H2173" s="42"/>
      <c r="I2173" s="44"/>
      <c r="J2173" s="11" t="str">
        <f aca="false">IF(D2173="","",N(G2173)-N(H2173))</f>
        <v/>
      </c>
      <c r="K2173" s="34" t="str">
        <f aca="false">IF(D2173="","",IFERROR(INDEX(I_COA!$C$6:$C$265,MATCH(D2173,I_COA!$A$6:$A$265,0)),"AKUN BARU"))</f>
        <v/>
      </c>
      <c r="L2173" s="34" t="str">
        <f aca="false">IF(K2173="LabaRugi",INDEX(I_COA!$D$6:$D$265,MATCH(D2173,I_COA!$A$6:$A$265,0)),"")</f>
        <v/>
      </c>
      <c r="M2173" s="34" t="str">
        <f aca="false">IF(K2173="Neraca",INDEX(I_COA!$E$6:$E$265,MATCH(D2173,I_COA!$A$6:$A$265,0)),"")</f>
        <v/>
      </c>
      <c r="N2173" s="34" t="str">
        <f aca="false">IF(D2173="","",IFERROR(INDEX(I_COA!$G$6:$G$265,MATCH(D2173,I_COA!$A$6:$A$265,0)),"N"))</f>
        <v/>
      </c>
      <c r="O2173" s="11" t="str">
        <f aca="false">IF(N2173="N",ABS(J2173),"")</f>
        <v/>
      </c>
      <c r="P2173" s="18" t="str">
        <f aca="false">IF(N2173="N",B2173&amp;"|"&amp;ROUND(O2173,0),"")</f>
        <v/>
      </c>
      <c r="Q2173" s="18" t="str">
        <f aca="false">IF(N2173&lt;&gt;"Y","",IFERROR(INDEX($D$6:$D$4005,MATCH(B2173&amp;"|"&amp;ROUND(_xlfn.MAXIFS($O$6:$O$4005,$B$6:$B$4005,B2173,$N$6:$N$4005,"N"),0),$P$6:$P$4005,0)),"(tanpa lawan)"))</f>
        <v/>
      </c>
      <c r="R2173" s="44"/>
      <c r="S2173" s="9" t="str">
        <f aca="false">IF(N2173&lt;&gt;"Y","",IF(R2173&lt;&gt;"",R2173,IF(Q2173="(tanpa lawan)","Transfer antar rekening",IFERROR(INDEX(I_COA!$F$6:$F$265,MATCH(Q2173,I_COA!$A$6:$A$265,0)),"?"))))</f>
        <v/>
      </c>
    </row>
    <row r="2174" customFormat="false" ht="15" hidden="false" customHeight="false" outlineLevel="0" collapsed="false">
      <c r="A2174" s="37"/>
      <c r="B2174" s="44"/>
      <c r="C2174" s="44"/>
      <c r="D2174" s="44"/>
      <c r="E2174" s="44"/>
      <c r="F2174" s="44"/>
      <c r="G2174" s="42"/>
      <c r="H2174" s="42"/>
      <c r="I2174" s="44"/>
      <c r="J2174" s="11" t="str">
        <f aca="false">IF(D2174="","",N(G2174)-N(H2174))</f>
        <v/>
      </c>
      <c r="K2174" s="34" t="str">
        <f aca="false">IF(D2174="","",IFERROR(INDEX(I_COA!$C$6:$C$265,MATCH(D2174,I_COA!$A$6:$A$265,0)),"AKUN BARU"))</f>
        <v/>
      </c>
      <c r="L2174" s="34" t="str">
        <f aca="false">IF(K2174="LabaRugi",INDEX(I_COA!$D$6:$D$265,MATCH(D2174,I_COA!$A$6:$A$265,0)),"")</f>
        <v/>
      </c>
      <c r="M2174" s="34" t="str">
        <f aca="false">IF(K2174="Neraca",INDEX(I_COA!$E$6:$E$265,MATCH(D2174,I_COA!$A$6:$A$265,0)),"")</f>
        <v/>
      </c>
      <c r="N2174" s="34" t="str">
        <f aca="false">IF(D2174="","",IFERROR(INDEX(I_COA!$G$6:$G$265,MATCH(D2174,I_COA!$A$6:$A$265,0)),"N"))</f>
        <v/>
      </c>
      <c r="O2174" s="11" t="str">
        <f aca="false">IF(N2174="N",ABS(J2174),"")</f>
        <v/>
      </c>
      <c r="P2174" s="18" t="str">
        <f aca="false">IF(N2174="N",B2174&amp;"|"&amp;ROUND(O2174,0),"")</f>
        <v/>
      </c>
      <c r="Q2174" s="18" t="str">
        <f aca="false">IF(N2174&lt;&gt;"Y","",IFERROR(INDEX($D$6:$D$4005,MATCH(B2174&amp;"|"&amp;ROUND(_xlfn.MAXIFS($O$6:$O$4005,$B$6:$B$4005,B2174,$N$6:$N$4005,"N"),0),$P$6:$P$4005,0)),"(tanpa lawan)"))</f>
        <v/>
      </c>
      <c r="R2174" s="44"/>
      <c r="S2174" s="9" t="str">
        <f aca="false">IF(N2174&lt;&gt;"Y","",IF(R2174&lt;&gt;"",R2174,IF(Q2174="(tanpa lawan)","Transfer antar rekening",IFERROR(INDEX(I_COA!$F$6:$F$265,MATCH(Q2174,I_COA!$A$6:$A$265,0)),"?"))))</f>
        <v/>
      </c>
    </row>
    <row r="2175" customFormat="false" ht="15" hidden="false" customHeight="false" outlineLevel="0" collapsed="false">
      <c r="A2175" s="37"/>
      <c r="B2175" s="44"/>
      <c r="C2175" s="44"/>
      <c r="D2175" s="44"/>
      <c r="E2175" s="44"/>
      <c r="F2175" s="44"/>
      <c r="G2175" s="42"/>
      <c r="H2175" s="42"/>
      <c r="I2175" s="44"/>
      <c r="J2175" s="11" t="str">
        <f aca="false">IF(D2175="","",N(G2175)-N(H2175))</f>
        <v/>
      </c>
      <c r="K2175" s="34" t="str">
        <f aca="false">IF(D2175="","",IFERROR(INDEX(I_COA!$C$6:$C$265,MATCH(D2175,I_COA!$A$6:$A$265,0)),"AKUN BARU"))</f>
        <v/>
      </c>
      <c r="L2175" s="34" t="str">
        <f aca="false">IF(K2175="LabaRugi",INDEX(I_COA!$D$6:$D$265,MATCH(D2175,I_COA!$A$6:$A$265,0)),"")</f>
        <v/>
      </c>
      <c r="M2175" s="34" t="str">
        <f aca="false">IF(K2175="Neraca",INDEX(I_COA!$E$6:$E$265,MATCH(D2175,I_COA!$A$6:$A$265,0)),"")</f>
        <v/>
      </c>
      <c r="N2175" s="34" t="str">
        <f aca="false">IF(D2175="","",IFERROR(INDEX(I_COA!$G$6:$G$265,MATCH(D2175,I_COA!$A$6:$A$265,0)),"N"))</f>
        <v/>
      </c>
      <c r="O2175" s="11" t="str">
        <f aca="false">IF(N2175="N",ABS(J2175),"")</f>
        <v/>
      </c>
      <c r="P2175" s="18" t="str">
        <f aca="false">IF(N2175="N",B2175&amp;"|"&amp;ROUND(O2175,0),"")</f>
        <v/>
      </c>
      <c r="Q2175" s="18" t="str">
        <f aca="false">IF(N2175&lt;&gt;"Y","",IFERROR(INDEX($D$6:$D$4005,MATCH(B2175&amp;"|"&amp;ROUND(_xlfn.MAXIFS($O$6:$O$4005,$B$6:$B$4005,B2175,$N$6:$N$4005,"N"),0),$P$6:$P$4005,0)),"(tanpa lawan)"))</f>
        <v/>
      </c>
      <c r="R2175" s="44"/>
      <c r="S2175" s="9" t="str">
        <f aca="false">IF(N2175&lt;&gt;"Y","",IF(R2175&lt;&gt;"",R2175,IF(Q2175="(tanpa lawan)","Transfer antar rekening",IFERROR(INDEX(I_COA!$F$6:$F$265,MATCH(Q2175,I_COA!$A$6:$A$265,0)),"?"))))</f>
        <v/>
      </c>
    </row>
    <row r="2176" customFormat="false" ht="15" hidden="false" customHeight="false" outlineLevel="0" collapsed="false">
      <c r="A2176" s="37"/>
      <c r="B2176" s="44"/>
      <c r="C2176" s="44"/>
      <c r="D2176" s="44"/>
      <c r="E2176" s="44"/>
      <c r="F2176" s="44"/>
      <c r="G2176" s="42"/>
      <c r="H2176" s="42"/>
      <c r="I2176" s="44"/>
      <c r="J2176" s="11" t="str">
        <f aca="false">IF(D2176="","",N(G2176)-N(H2176))</f>
        <v/>
      </c>
      <c r="K2176" s="34" t="str">
        <f aca="false">IF(D2176="","",IFERROR(INDEX(I_COA!$C$6:$C$265,MATCH(D2176,I_COA!$A$6:$A$265,0)),"AKUN BARU"))</f>
        <v/>
      </c>
      <c r="L2176" s="34" t="str">
        <f aca="false">IF(K2176="LabaRugi",INDEX(I_COA!$D$6:$D$265,MATCH(D2176,I_COA!$A$6:$A$265,0)),"")</f>
        <v/>
      </c>
      <c r="M2176" s="34" t="str">
        <f aca="false">IF(K2176="Neraca",INDEX(I_COA!$E$6:$E$265,MATCH(D2176,I_COA!$A$6:$A$265,0)),"")</f>
        <v/>
      </c>
      <c r="N2176" s="34" t="str">
        <f aca="false">IF(D2176="","",IFERROR(INDEX(I_COA!$G$6:$G$265,MATCH(D2176,I_COA!$A$6:$A$265,0)),"N"))</f>
        <v/>
      </c>
      <c r="O2176" s="11" t="str">
        <f aca="false">IF(N2176="N",ABS(J2176),"")</f>
        <v/>
      </c>
      <c r="P2176" s="18" t="str">
        <f aca="false">IF(N2176="N",B2176&amp;"|"&amp;ROUND(O2176,0),"")</f>
        <v/>
      </c>
      <c r="Q2176" s="18" t="str">
        <f aca="false">IF(N2176&lt;&gt;"Y","",IFERROR(INDEX($D$6:$D$4005,MATCH(B2176&amp;"|"&amp;ROUND(_xlfn.MAXIFS($O$6:$O$4005,$B$6:$B$4005,B2176,$N$6:$N$4005,"N"),0),$P$6:$P$4005,0)),"(tanpa lawan)"))</f>
        <v/>
      </c>
      <c r="R2176" s="44"/>
      <c r="S2176" s="9" t="str">
        <f aca="false">IF(N2176&lt;&gt;"Y","",IF(R2176&lt;&gt;"",R2176,IF(Q2176="(tanpa lawan)","Transfer antar rekening",IFERROR(INDEX(I_COA!$F$6:$F$265,MATCH(Q2176,I_COA!$A$6:$A$265,0)),"?"))))</f>
        <v/>
      </c>
    </row>
    <row r="2177" customFormat="false" ht="15" hidden="false" customHeight="false" outlineLevel="0" collapsed="false">
      <c r="A2177" s="37"/>
      <c r="B2177" s="44"/>
      <c r="C2177" s="44"/>
      <c r="D2177" s="44"/>
      <c r="E2177" s="44"/>
      <c r="F2177" s="44"/>
      <c r="G2177" s="42"/>
      <c r="H2177" s="42"/>
      <c r="I2177" s="44"/>
      <c r="J2177" s="11" t="str">
        <f aca="false">IF(D2177="","",N(G2177)-N(H2177))</f>
        <v/>
      </c>
      <c r="K2177" s="34" t="str">
        <f aca="false">IF(D2177="","",IFERROR(INDEX(I_COA!$C$6:$C$265,MATCH(D2177,I_COA!$A$6:$A$265,0)),"AKUN BARU"))</f>
        <v/>
      </c>
      <c r="L2177" s="34" t="str">
        <f aca="false">IF(K2177="LabaRugi",INDEX(I_COA!$D$6:$D$265,MATCH(D2177,I_COA!$A$6:$A$265,0)),"")</f>
        <v/>
      </c>
      <c r="M2177" s="34" t="str">
        <f aca="false">IF(K2177="Neraca",INDEX(I_COA!$E$6:$E$265,MATCH(D2177,I_COA!$A$6:$A$265,0)),"")</f>
        <v/>
      </c>
      <c r="N2177" s="34" t="str">
        <f aca="false">IF(D2177="","",IFERROR(INDEX(I_COA!$G$6:$G$265,MATCH(D2177,I_COA!$A$6:$A$265,0)),"N"))</f>
        <v/>
      </c>
      <c r="O2177" s="11" t="str">
        <f aca="false">IF(N2177="N",ABS(J2177),"")</f>
        <v/>
      </c>
      <c r="P2177" s="18" t="str">
        <f aca="false">IF(N2177="N",B2177&amp;"|"&amp;ROUND(O2177,0),"")</f>
        <v/>
      </c>
      <c r="Q2177" s="18" t="str">
        <f aca="false">IF(N2177&lt;&gt;"Y","",IFERROR(INDEX($D$6:$D$4005,MATCH(B2177&amp;"|"&amp;ROUND(_xlfn.MAXIFS($O$6:$O$4005,$B$6:$B$4005,B2177,$N$6:$N$4005,"N"),0),$P$6:$P$4005,0)),"(tanpa lawan)"))</f>
        <v/>
      </c>
      <c r="R2177" s="44"/>
      <c r="S2177" s="9" t="str">
        <f aca="false">IF(N2177&lt;&gt;"Y","",IF(R2177&lt;&gt;"",R2177,IF(Q2177="(tanpa lawan)","Transfer antar rekening",IFERROR(INDEX(I_COA!$F$6:$F$265,MATCH(Q2177,I_COA!$A$6:$A$265,0)),"?"))))</f>
        <v/>
      </c>
    </row>
    <row r="2178" customFormat="false" ht="15" hidden="false" customHeight="false" outlineLevel="0" collapsed="false">
      <c r="A2178" s="37"/>
      <c r="B2178" s="44"/>
      <c r="C2178" s="44"/>
      <c r="D2178" s="44"/>
      <c r="E2178" s="44"/>
      <c r="F2178" s="44"/>
      <c r="G2178" s="42"/>
      <c r="H2178" s="42"/>
      <c r="I2178" s="44"/>
      <c r="J2178" s="11" t="str">
        <f aca="false">IF(D2178="","",N(G2178)-N(H2178))</f>
        <v/>
      </c>
      <c r="K2178" s="34" t="str">
        <f aca="false">IF(D2178="","",IFERROR(INDEX(I_COA!$C$6:$C$265,MATCH(D2178,I_COA!$A$6:$A$265,0)),"AKUN BARU"))</f>
        <v/>
      </c>
      <c r="L2178" s="34" t="str">
        <f aca="false">IF(K2178="LabaRugi",INDEX(I_COA!$D$6:$D$265,MATCH(D2178,I_COA!$A$6:$A$265,0)),"")</f>
        <v/>
      </c>
      <c r="M2178" s="34" t="str">
        <f aca="false">IF(K2178="Neraca",INDEX(I_COA!$E$6:$E$265,MATCH(D2178,I_COA!$A$6:$A$265,0)),"")</f>
        <v/>
      </c>
      <c r="N2178" s="34" t="str">
        <f aca="false">IF(D2178="","",IFERROR(INDEX(I_COA!$G$6:$G$265,MATCH(D2178,I_COA!$A$6:$A$265,0)),"N"))</f>
        <v/>
      </c>
      <c r="O2178" s="11" t="str">
        <f aca="false">IF(N2178="N",ABS(J2178),"")</f>
        <v/>
      </c>
      <c r="P2178" s="18" t="str">
        <f aca="false">IF(N2178="N",B2178&amp;"|"&amp;ROUND(O2178,0),"")</f>
        <v/>
      </c>
      <c r="Q2178" s="18" t="str">
        <f aca="false">IF(N2178&lt;&gt;"Y","",IFERROR(INDEX($D$6:$D$4005,MATCH(B2178&amp;"|"&amp;ROUND(_xlfn.MAXIFS($O$6:$O$4005,$B$6:$B$4005,B2178,$N$6:$N$4005,"N"),0),$P$6:$P$4005,0)),"(tanpa lawan)"))</f>
        <v/>
      </c>
      <c r="R2178" s="44"/>
      <c r="S2178" s="9" t="str">
        <f aca="false">IF(N2178&lt;&gt;"Y","",IF(R2178&lt;&gt;"",R2178,IF(Q2178="(tanpa lawan)","Transfer antar rekening",IFERROR(INDEX(I_COA!$F$6:$F$265,MATCH(Q2178,I_COA!$A$6:$A$265,0)),"?"))))</f>
        <v/>
      </c>
    </row>
    <row r="2179" customFormat="false" ht="15" hidden="false" customHeight="false" outlineLevel="0" collapsed="false">
      <c r="A2179" s="37"/>
      <c r="B2179" s="44"/>
      <c r="C2179" s="44"/>
      <c r="D2179" s="44"/>
      <c r="E2179" s="44"/>
      <c r="F2179" s="44"/>
      <c r="G2179" s="42"/>
      <c r="H2179" s="42"/>
      <c r="I2179" s="44"/>
      <c r="J2179" s="11" t="str">
        <f aca="false">IF(D2179="","",N(G2179)-N(H2179))</f>
        <v/>
      </c>
      <c r="K2179" s="34" t="str">
        <f aca="false">IF(D2179="","",IFERROR(INDEX(I_COA!$C$6:$C$265,MATCH(D2179,I_COA!$A$6:$A$265,0)),"AKUN BARU"))</f>
        <v/>
      </c>
      <c r="L2179" s="34" t="str">
        <f aca="false">IF(K2179="LabaRugi",INDEX(I_COA!$D$6:$D$265,MATCH(D2179,I_COA!$A$6:$A$265,0)),"")</f>
        <v/>
      </c>
      <c r="M2179" s="34" t="str">
        <f aca="false">IF(K2179="Neraca",INDEX(I_COA!$E$6:$E$265,MATCH(D2179,I_COA!$A$6:$A$265,0)),"")</f>
        <v/>
      </c>
      <c r="N2179" s="34" t="str">
        <f aca="false">IF(D2179="","",IFERROR(INDEX(I_COA!$G$6:$G$265,MATCH(D2179,I_COA!$A$6:$A$265,0)),"N"))</f>
        <v/>
      </c>
      <c r="O2179" s="11" t="str">
        <f aca="false">IF(N2179="N",ABS(J2179),"")</f>
        <v/>
      </c>
      <c r="P2179" s="18" t="str">
        <f aca="false">IF(N2179="N",B2179&amp;"|"&amp;ROUND(O2179,0),"")</f>
        <v/>
      </c>
      <c r="Q2179" s="18" t="str">
        <f aca="false">IF(N2179&lt;&gt;"Y","",IFERROR(INDEX($D$6:$D$4005,MATCH(B2179&amp;"|"&amp;ROUND(_xlfn.MAXIFS($O$6:$O$4005,$B$6:$B$4005,B2179,$N$6:$N$4005,"N"),0),$P$6:$P$4005,0)),"(tanpa lawan)"))</f>
        <v/>
      </c>
      <c r="R2179" s="44"/>
      <c r="S2179" s="9" t="str">
        <f aca="false">IF(N2179&lt;&gt;"Y","",IF(R2179&lt;&gt;"",R2179,IF(Q2179="(tanpa lawan)","Transfer antar rekening",IFERROR(INDEX(I_COA!$F$6:$F$265,MATCH(Q2179,I_COA!$A$6:$A$265,0)),"?"))))</f>
        <v/>
      </c>
    </row>
    <row r="2180" customFormat="false" ht="15" hidden="false" customHeight="false" outlineLevel="0" collapsed="false">
      <c r="A2180" s="37"/>
      <c r="B2180" s="44"/>
      <c r="C2180" s="44"/>
      <c r="D2180" s="44"/>
      <c r="E2180" s="44"/>
      <c r="F2180" s="44"/>
      <c r="G2180" s="42"/>
      <c r="H2180" s="42"/>
      <c r="I2180" s="44"/>
      <c r="J2180" s="11" t="str">
        <f aca="false">IF(D2180="","",N(G2180)-N(H2180))</f>
        <v/>
      </c>
      <c r="K2180" s="34" t="str">
        <f aca="false">IF(D2180="","",IFERROR(INDEX(I_COA!$C$6:$C$265,MATCH(D2180,I_COA!$A$6:$A$265,0)),"AKUN BARU"))</f>
        <v/>
      </c>
      <c r="L2180" s="34" t="str">
        <f aca="false">IF(K2180="LabaRugi",INDEX(I_COA!$D$6:$D$265,MATCH(D2180,I_COA!$A$6:$A$265,0)),"")</f>
        <v/>
      </c>
      <c r="M2180" s="34" t="str">
        <f aca="false">IF(K2180="Neraca",INDEX(I_COA!$E$6:$E$265,MATCH(D2180,I_COA!$A$6:$A$265,0)),"")</f>
        <v/>
      </c>
      <c r="N2180" s="34" t="str">
        <f aca="false">IF(D2180="","",IFERROR(INDEX(I_COA!$G$6:$G$265,MATCH(D2180,I_COA!$A$6:$A$265,0)),"N"))</f>
        <v/>
      </c>
      <c r="O2180" s="11" t="str">
        <f aca="false">IF(N2180="N",ABS(J2180),"")</f>
        <v/>
      </c>
      <c r="P2180" s="18" t="str">
        <f aca="false">IF(N2180="N",B2180&amp;"|"&amp;ROUND(O2180,0),"")</f>
        <v/>
      </c>
      <c r="Q2180" s="18" t="str">
        <f aca="false">IF(N2180&lt;&gt;"Y","",IFERROR(INDEX($D$6:$D$4005,MATCH(B2180&amp;"|"&amp;ROUND(_xlfn.MAXIFS($O$6:$O$4005,$B$6:$B$4005,B2180,$N$6:$N$4005,"N"),0),$P$6:$P$4005,0)),"(tanpa lawan)"))</f>
        <v/>
      </c>
      <c r="R2180" s="44"/>
      <c r="S2180" s="9" t="str">
        <f aca="false">IF(N2180&lt;&gt;"Y","",IF(R2180&lt;&gt;"",R2180,IF(Q2180="(tanpa lawan)","Transfer antar rekening",IFERROR(INDEX(I_COA!$F$6:$F$265,MATCH(Q2180,I_COA!$A$6:$A$265,0)),"?"))))</f>
        <v/>
      </c>
    </row>
    <row r="2181" customFormat="false" ht="15" hidden="false" customHeight="false" outlineLevel="0" collapsed="false">
      <c r="A2181" s="37"/>
      <c r="B2181" s="44"/>
      <c r="C2181" s="44"/>
      <c r="D2181" s="44"/>
      <c r="E2181" s="44"/>
      <c r="F2181" s="44"/>
      <c r="G2181" s="42"/>
      <c r="H2181" s="42"/>
      <c r="I2181" s="44"/>
      <c r="J2181" s="11" t="str">
        <f aca="false">IF(D2181="","",N(G2181)-N(H2181))</f>
        <v/>
      </c>
      <c r="K2181" s="34" t="str">
        <f aca="false">IF(D2181="","",IFERROR(INDEX(I_COA!$C$6:$C$265,MATCH(D2181,I_COA!$A$6:$A$265,0)),"AKUN BARU"))</f>
        <v/>
      </c>
      <c r="L2181" s="34" t="str">
        <f aca="false">IF(K2181="LabaRugi",INDEX(I_COA!$D$6:$D$265,MATCH(D2181,I_COA!$A$6:$A$265,0)),"")</f>
        <v/>
      </c>
      <c r="M2181" s="34" t="str">
        <f aca="false">IF(K2181="Neraca",INDEX(I_COA!$E$6:$E$265,MATCH(D2181,I_COA!$A$6:$A$265,0)),"")</f>
        <v/>
      </c>
      <c r="N2181" s="34" t="str">
        <f aca="false">IF(D2181="","",IFERROR(INDEX(I_COA!$G$6:$G$265,MATCH(D2181,I_COA!$A$6:$A$265,0)),"N"))</f>
        <v/>
      </c>
      <c r="O2181" s="11" t="str">
        <f aca="false">IF(N2181="N",ABS(J2181),"")</f>
        <v/>
      </c>
      <c r="P2181" s="18" t="str">
        <f aca="false">IF(N2181="N",B2181&amp;"|"&amp;ROUND(O2181,0),"")</f>
        <v/>
      </c>
      <c r="Q2181" s="18" t="str">
        <f aca="false">IF(N2181&lt;&gt;"Y","",IFERROR(INDEX($D$6:$D$4005,MATCH(B2181&amp;"|"&amp;ROUND(_xlfn.MAXIFS($O$6:$O$4005,$B$6:$B$4005,B2181,$N$6:$N$4005,"N"),0),$P$6:$P$4005,0)),"(tanpa lawan)"))</f>
        <v/>
      </c>
      <c r="R2181" s="44"/>
      <c r="S2181" s="9" t="str">
        <f aca="false">IF(N2181&lt;&gt;"Y","",IF(R2181&lt;&gt;"",R2181,IF(Q2181="(tanpa lawan)","Transfer antar rekening",IFERROR(INDEX(I_COA!$F$6:$F$265,MATCH(Q2181,I_COA!$A$6:$A$265,0)),"?"))))</f>
        <v/>
      </c>
    </row>
    <row r="2182" customFormat="false" ht="15" hidden="false" customHeight="false" outlineLevel="0" collapsed="false">
      <c r="A2182" s="37"/>
      <c r="B2182" s="44"/>
      <c r="C2182" s="44"/>
      <c r="D2182" s="44"/>
      <c r="E2182" s="44"/>
      <c r="F2182" s="44"/>
      <c r="G2182" s="42"/>
      <c r="H2182" s="42"/>
      <c r="I2182" s="44"/>
      <c r="J2182" s="11" t="str">
        <f aca="false">IF(D2182="","",N(G2182)-N(H2182))</f>
        <v/>
      </c>
      <c r="K2182" s="34" t="str">
        <f aca="false">IF(D2182="","",IFERROR(INDEX(I_COA!$C$6:$C$265,MATCH(D2182,I_COA!$A$6:$A$265,0)),"AKUN BARU"))</f>
        <v/>
      </c>
      <c r="L2182" s="34" t="str">
        <f aca="false">IF(K2182="LabaRugi",INDEX(I_COA!$D$6:$D$265,MATCH(D2182,I_COA!$A$6:$A$265,0)),"")</f>
        <v/>
      </c>
      <c r="M2182" s="34" t="str">
        <f aca="false">IF(K2182="Neraca",INDEX(I_COA!$E$6:$E$265,MATCH(D2182,I_COA!$A$6:$A$265,0)),"")</f>
        <v/>
      </c>
      <c r="N2182" s="34" t="str">
        <f aca="false">IF(D2182="","",IFERROR(INDEX(I_COA!$G$6:$G$265,MATCH(D2182,I_COA!$A$6:$A$265,0)),"N"))</f>
        <v/>
      </c>
      <c r="O2182" s="11" t="str">
        <f aca="false">IF(N2182="N",ABS(J2182),"")</f>
        <v/>
      </c>
      <c r="P2182" s="18" t="str">
        <f aca="false">IF(N2182="N",B2182&amp;"|"&amp;ROUND(O2182,0),"")</f>
        <v/>
      </c>
      <c r="Q2182" s="18" t="str">
        <f aca="false">IF(N2182&lt;&gt;"Y","",IFERROR(INDEX($D$6:$D$4005,MATCH(B2182&amp;"|"&amp;ROUND(_xlfn.MAXIFS($O$6:$O$4005,$B$6:$B$4005,B2182,$N$6:$N$4005,"N"),0),$P$6:$P$4005,0)),"(tanpa lawan)"))</f>
        <v/>
      </c>
      <c r="R2182" s="44"/>
      <c r="S2182" s="9" t="str">
        <f aca="false">IF(N2182&lt;&gt;"Y","",IF(R2182&lt;&gt;"",R2182,IF(Q2182="(tanpa lawan)","Transfer antar rekening",IFERROR(INDEX(I_COA!$F$6:$F$265,MATCH(Q2182,I_COA!$A$6:$A$265,0)),"?"))))</f>
        <v/>
      </c>
    </row>
    <row r="2183" customFormat="false" ht="15" hidden="false" customHeight="false" outlineLevel="0" collapsed="false">
      <c r="A2183" s="37"/>
      <c r="B2183" s="44"/>
      <c r="C2183" s="44"/>
      <c r="D2183" s="44"/>
      <c r="E2183" s="44"/>
      <c r="F2183" s="44"/>
      <c r="G2183" s="42"/>
      <c r="H2183" s="42"/>
      <c r="I2183" s="44"/>
      <c r="J2183" s="11" t="str">
        <f aca="false">IF(D2183="","",N(G2183)-N(H2183))</f>
        <v/>
      </c>
      <c r="K2183" s="34" t="str">
        <f aca="false">IF(D2183="","",IFERROR(INDEX(I_COA!$C$6:$C$265,MATCH(D2183,I_COA!$A$6:$A$265,0)),"AKUN BARU"))</f>
        <v/>
      </c>
      <c r="L2183" s="34" t="str">
        <f aca="false">IF(K2183="LabaRugi",INDEX(I_COA!$D$6:$D$265,MATCH(D2183,I_COA!$A$6:$A$265,0)),"")</f>
        <v/>
      </c>
      <c r="M2183" s="34" t="str">
        <f aca="false">IF(K2183="Neraca",INDEX(I_COA!$E$6:$E$265,MATCH(D2183,I_COA!$A$6:$A$265,0)),"")</f>
        <v/>
      </c>
      <c r="N2183" s="34" t="str">
        <f aca="false">IF(D2183="","",IFERROR(INDEX(I_COA!$G$6:$G$265,MATCH(D2183,I_COA!$A$6:$A$265,0)),"N"))</f>
        <v/>
      </c>
      <c r="O2183" s="11" t="str">
        <f aca="false">IF(N2183="N",ABS(J2183),"")</f>
        <v/>
      </c>
      <c r="P2183" s="18" t="str">
        <f aca="false">IF(N2183="N",B2183&amp;"|"&amp;ROUND(O2183,0),"")</f>
        <v/>
      </c>
      <c r="Q2183" s="18" t="str">
        <f aca="false">IF(N2183&lt;&gt;"Y","",IFERROR(INDEX($D$6:$D$4005,MATCH(B2183&amp;"|"&amp;ROUND(_xlfn.MAXIFS($O$6:$O$4005,$B$6:$B$4005,B2183,$N$6:$N$4005,"N"),0),$P$6:$P$4005,0)),"(tanpa lawan)"))</f>
        <v/>
      </c>
      <c r="R2183" s="44"/>
      <c r="S2183" s="9" t="str">
        <f aca="false">IF(N2183&lt;&gt;"Y","",IF(R2183&lt;&gt;"",R2183,IF(Q2183="(tanpa lawan)","Transfer antar rekening",IFERROR(INDEX(I_COA!$F$6:$F$265,MATCH(Q2183,I_COA!$A$6:$A$265,0)),"?"))))</f>
        <v/>
      </c>
    </row>
    <row r="2184" customFormat="false" ht="15" hidden="false" customHeight="false" outlineLevel="0" collapsed="false">
      <c r="A2184" s="37"/>
      <c r="B2184" s="44"/>
      <c r="C2184" s="44"/>
      <c r="D2184" s="44"/>
      <c r="E2184" s="44"/>
      <c r="F2184" s="44"/>
      <c r="G2184" s="42"/>
      <c r="H2184" s="42"/>
      <c r="I2184" s="44"/>
      <c r="J2184" s="11" t="str">
        <f aca="false">IF(D2184="","",N(G2184)-N(H2184))</f>
        <v/>
      </c>
      <c r="K2184" s="34" t="str">
        <f aca="false">IF(D2184="","",IFERROR(INDEX(I_COA!$C$6:$C$265,MATCH(D2184,I_COA!$A$6:$A$265,0)),"AKUN BARU"))</f>
        <v/>
      </c>
      <c r="L2184" s="34" t="str">
        <f aca="false">IF(K2184="LabaRugi",INDEX(I_COA!$D$6:$D$265,MATCH(D2184,I_COA!$A$6:$A$265,0)),"")</f>
        <v/>
      </c>
      <c r="M2184" s="34" t="str">
        <f aca="false">IF(K2184="Neraca",INDEX(I_COA!$E$6:$E$265,MATCH(D2184,I_COA!$A$6:$A$265,0)),"")</f>
        <v/>
      </c>
      <c r="N2184" s="34" t="str">
        <f aca="false">IF(D2184="","",IFERROR(INDEX(I_COA!$G$6:$G$265,MATCH(D2184,I_COA!$A$6:$A$265,0)),"N"))</f>
        <v/>
      </c>
      <c r="O2184" s="11" t="str">
        <f aca="false">IF(N2184="N",ABS(J2184),"")</f>
        <v/>
      </c>
      <c r="P2184" s="18" t="str">
        <f aca="false">IF(N2184="N",B2184&amp;"|"&amp;ROUND(O2184,0),"")</f>
        <v/>
      </c>
      <c r="Q2184" s="18" t="str">
        <f aca="false">IF(N2184&lt;&gt;"Y","",IFERROR(INDEX($D$6:$D$4005,MATCH(B2184&amp;"|"&amp;ROUND(_xlfn.MAXIFS($O$6:$O$4005,$B$6:$B$4005,B2184,$N$6:$N$4005,"N"),0),$P$6:$P$4005,0)),"(tanpa lawan)"))</f>
        <v/>
      </c>
      <c r="R2184" s="44"/>
      <c r="S2184" s="9" t="str">
        <f aca="false">IF(N2184&lt;&gt;"Y","",IF(R2184&lt;&gt;"",R2184,IF(Q2184="(tanpa lawan)","Transfer antar rekening",IFERROR(INDEX(I_COA!$F$6:$F$265,MATCH(Q2184,I_COA!$A$6:$A$265,0)),"?"))))</f>
        <v/>
      </c>
    </row>
    <row r="2185" customFormat="false" ht="15" hidden="false" customHeight="false" outlineLevel="0" collapsed="false">
      <c r="A2185" s="37"/>
      <c r="B2185" s="44"/>
      <c r="C2185" s="44"/>
      <c r="D2185" s="44"/>
      <c r="E2185" s="44"/>
      <c r="F2185" s="44"/>
      <c r="G2185" s="42"/>
      <c r="H2185" s="42"/>
      <c r="I2185" s="44"/>
      <c r="J2185" s="11" t="str">
        <f aca="false">IF(D2185="","",N(G2185)-N(H2185))</f>
        <v/>
      </c>
      <c r="K2185" s="34" t="str">
        <f aca="false">IF(D2185="","",IFERROR(INDEX(I_COA!$C$6:$C$265,MATCH(D2185,I_COA!$A$6:$A$265,0)),"AKUN BARU"))</f>
        <v/>
      </c>
      <c r="L2185" s="34" t="str">
        <f aca="false">IF(K2185="LabaRugi",INDEX(I_COA!$D$6:$D$265,MATCH(D2185,I_COA!$A$6:$A$265,0)),"")</f>
        <v/>
      </c>
      <c r="M2185" s="34" t="str">
        <f aca="false">IF(K2185="Neraca",INDEX(I_COA!$E$6:$E$265,MATCH(D2185,I_COA!$A$6:$A$265,0)),"")</f>
        <v/>
      </c>
      <c r="N2185" s="34" t="str">
        <f aca="false">IF(D2185="","",IFERROR(INDEX(I_COA!$G$6:$G$265,MATCH(D2185,I_COA!$A$6:$A$265,0)),"N"))</f>
        <v/>
      </c>
      <c r="O2185" s="11" t="str">
        <f aca="false">IF(N2185="N",ABS(J2185),"")</f>
        <v/>
      </c>
      <c r="P2185" s="18" t="str">
        <f aca="false">IF(N2185="N",B2185&amp;"|"&amp;ROUND(O2185,0),"")</f>
        <v/>
      </c>
      <c r="Q2185" s="18" t="str">
        <f aca="false">IF(N2185&lt;&gt;"Y","",IFERROR(INDEX($D$6:$D$4005,MATCH(B2185&amp;"|"&amp;ROUND(_xlfn.MAXIFS($O$6:$O$4005,$B$6:$B$4005,B2185,$N$6:$N$4005,"N"),0),$P$6:$P$4005,0)),"(tanpa lawan)"))</f>
        <v/>
      </c>
      <c r="R2185" s="44"/>
      <c r="S2185" s="9" t="str">
        <f aca="false">IF(N2185&lt;&gt;"Y","",IF(R2185&lt;&gt;"",R2185,IF(Q2185="(tanpa lawan)","Transfer antar rekening",IFERROR(INDEX(I_COA!$F$6:$F$265,MATCH(Q2185,I_COA!$A$6:$A$265,0)),"?"))))</f>
        <v/>
      </c>
    </row>
    <row r="2186" customFormat="false" ht="15" hidden="false" customHeight="false" outlineLevel="0" collapsed="false">
      <c r="A2186" s="37"/>
      <c r="B2186" s="44"/>
      <c r="C2186" s="44"/>
      <c r="D2186" s="44"/>
      <c r="E2186" s="44"/>
      <c r="F2186" s="44"/>
      <c r="G2186" s="42"/>
      <c r="H2186" s="42"/>
      <c r="I2186" s="44"/>
      <c r="J2186" s="11" t="str">
        <f aca="false">IF(D2186="","",N(G2186)-N(H2186))</f>
        <v/>
      </c>
      <c r="K2186" s="34" t="str">
        <f aca="false">IF(D2186="","",IFERROR(INDEX(I_COA!$C$6:$C$265,MATCH(D2186,I_COA!$A$6:$A$265,0)),"AKUN BARU"))</f>
        <v/>
      </c>
      <c r="L2186" s="34" t="str">
        <f aca="false">IF(K2186="LabaRugi",INDEX(I_COA!$D$6:$D$265,MATCH(D2186,I_COA!$A$6:$A$265,0)),"")</f>
        <v/>
      </c>
      <c r="M2186" s="34" t="str">
        <f aca="false">IF(K2186="Neraca",INDEX(I_COA!$E$6:$E$265,MATCH(D2186,I_COA!$A$6:$A$265,0)),"")</f>
        <v/>
      </c>
      <c r="N2186" s="34" t="str">
        <f aca="false">IF(D2186="","",IFERROR(INDEX(I_COA!$G$6:$G$265,MATCH(D2186,I_COA!$A$6:$A$265,0)),"N"))</f>
        <v/>
      </c>
      <c r="O2186" s="11" t="str">
        <f aca="false">IF(N2186="N",ABS(J2186),"")</f>
        <v/>
      </c>
      <c r="P2186" s="18" t="str">
        <f aca="false">IF(N2186="N",B2186&amp;"|"&amp;ROUND(O2186,0),"")</f>
        <v/>
      </c>
      <c r="Q2186" s="18" t="str">
        <f aca="false">IF(N2186&lt;&gt;"Y","",IFERROR(INDEX($D$6:$D$4005,MATCH(B2186&amp;"|"&amp;ROUND(_xlfn.MAXIFS($O$6:$O$4005,$B$6:$B$4005,B2186,$N$6:$N$4005,"N"),0),$P$6:$P$4005,0)),"(tanpa lawan)"))</f>
        <v/>
      </c>
      <c r="R2186" s="44"/>
      <c r="S2186" s="9" t="str">
        <f aca="false">IF(N2186&lt;&gt;"Y","",IF(R2186&lt;&gt;"",R2186,IF(Q2186="(tanpa lawan)","Transfer antar rekening",IFERROR(INDEX(I_COA!$F$6:$F$265,MATCH(Q2186,I_COA!$A$6:$A$265,0)),"?"))))</f>
        <v/>
      </c>
    </row>
    <row r="2187" customFormat="false" ht="15" hidden="false" customHeight="false" outlineLevel="0" collapsed="false">
      <c r="A2187" s="37"/>
      <c r="B2187" s="44"/>
      <c r="C2187" s="44"/>
      <c r="D2187" s="44"/>
      <c r="E2187" s="44"/>
      <c r="F2187" s="44"/>
      <c r="G2187" s="42"/>
      <c r="H2187" s="42"/>
      <c r="I2187" s="44"/>
      <c r="J2187" s="11" t="str">
        <f aca="false">IF(D2187="","",N(G2187)-N(H2187))</f>
        <v/>
      </c>
      <c r="K2187" s="34" t="str">
        <f aca="false">IF(D2187="","",IFERROR(INDEX(I_COA!$C$6:$C$265,MATCH(D2187,I_COA!$A$6:$A$265,0)),"AKUN BARU"))</f>
        <v/>
      </c>
      <c r="L2187" s="34" t="str">
        <f aca="false">IF(K2187="LabaRugi",INDEX(I_COA!$D$6:$D$265,MATCH(D2187,I_COA!$A$6:$A$265,0)),"")</f>
        <v/>
      </c>
      <c r="M2187" s="34" t="str">
        <f aca="false">IF(K2187="Neraca",INDEX(I_COA!$E$6:$E$265,MATCH(D2187,I_COA!$A$6:$A$265,0)),"")</f>
        <v/>
      </c>
      <c r="N2187" s="34" t="str">
        <f aca="false">IF(D2187="","",IFERROR(INDEX(I_COA!$G$6:$G$265,MATCH(D2187,I_COA!$A$6:$A$265,0)),"N"))</f>
        <v/>
      </c>
      <c r="O2187" s="11" t="str">
        <f aca="false">IF(N2187="N",ABS(J2187),"")</f>
        <v/>
      </c>
      <c r="P2187" s="18" t="str">
        <f aca="false">IF(N2187="N",B2187&amp;"|"&amp;ROUND(O2187,0),"")</f>
        <v/>
      </c>
      <c r="Q2187" s="18" t="str">
        <f aca="false">IF(N2187&lt;&gt;"Y","",IFERROR(INDEX($D$6:$D$4005,MATCH(B2187&amp;"|"&amp;ROUND(_xlfn.MAXIFS($O$6:$O$4005,$B$6:$B$4005,B2187,$N$6:$N$4005,"N"),0),$P$6:$P$4005,0)),"(tanpa lawan)"))</f>
        <v/>
      </c>
      <c r="R2187" s="44"/>
      <c r="S2187" s="9" t="str">
        <f aca="false">IF(N2187&lt;&gt;"Y","",IF(R2187&lt;&gt;"",R2187,IF(Q2187="(tanpa lawan)","Transfer antar rekening",IFERROR(INDEX(I_COA!$F$6:$F$265,MATCH(Q2187,I_COA!$A$6:$A$265,0)),"?"))))</f>
        <v/>
      </c>
    </row>
    <row r="2188" customFormat="false" ht="15" hidden="false" customHeight="false" outlineLevel="0" collapsed="false">
      <c r="A2188" s="37"/>
      <c r="B2188" s="44"/>
      <c r="C2188" s="44"/>
      <c r="D2188" s="44"/>
      <c r="E2188" s="44"/>
      <c r="F2188" s="44"/>
      <c r="G2188" s="42"/>
      <c r="H2188" s="42"/>
      <c r="I2188" s="44"/>
      <c r="J2188" s="11" t="str">
        <f aca="false">IF(D2188="","",N(G2188)-N(H2188))</f>
        <v/>
      </c>
      <c r="K2188" s="34" t="str">
        <f aca="false">IF(D2188="","",IFERROR(INDEX(I_COA!$C$6:$C$265,MATCH(D2188,I_COA!$A$6:$A$265,0)),"AKUN BARU"))</f>
        <v/>
      </c>
      <c r="L2188" s="34" t="str">
        <f aca="false">IF(K2188="LabaRugi",INDEX(I_COA!$D$6:$D$265,MATCH(D2188,I_COA!$A$6:$A$265,0)),"")</f>
        <v/>
      </c>
      <c r="M2188" s="34" t="str">
        <f aca="false">IF(K2188="Neraca",INDEX(I_COA!$E$6:$E$265,MATCH(D2188,I_COA!$A$6:$A$265,0)),"")</f>
        <v/>
      </c>
      <c r="N2188" s="34" t="str">
        <f aca="false">IF(D2188="","",IFERROR(INDEX(I_COA!$G$6:$G$265,MATCH(D2188,I_COA!$A$6:$A$265,0)),"N"))</f>
        <v/>
      </c>
      <c r="O2188" s="11" t="str">
        <f aca="false">IF(N2188="N",ABS(J2188),"")</f>
        <v/>
      </c>
      <c r="P2188" s="18" t="str">
        <f aca="false">IF(N2188="N",B2188&amp;"|"&amp;ROUND(O2188,0),"")</f>
        <v/>
      </c>
      <c r="Q2188" s="18" t="str">
        <f aca="false">IF(N2188&lt;&gt;"Y","",IFERROR(INDEX($D$6:$D$4005,MATCH(B2188&amp;"|"&amp;ROUND(_xlfn.MAXIFS($O$6:$O$4005,$B$6:$B$4005,B2188,$N$6:$N$4005,"N"),0),$P$6:$P$4005,0)),"(tanpa lawan)"))</f>
        <v/>
      </c>
      <c r="R2188" s="44"/>
      <c r="S2188" s="9" t="str">
        <f aca="false">IF(N2188&lt;&gt;"Y","",IF(R2188&lt;&gt;"",R2188,IF(Q2188="(tanpa lawan)","Transfer antar rekening",IFERROR(INDEX(I_COA!$F$6:$F$265,MATCH(Q2188,I_COA!$A$6:$A$265,0)),"?"))))</f>
        <v/>
      </c>
    </row>
    <row r="2189" customFormat="false" ht="15" hidden="false" customHeight="false" outlineLevel="0" collapsed="false">
      <c r="A2189" s="37"/>
      <c r="B2189" s="44"/>
      <c r="C2189" s="44"/>
      <c r="D2189" s="44"/>
      <c r="E2189" s="44"/>
      <c r="F2189" s="44"/>
      <c r="G2189" s="42"/>
      <c r="H2189" s="42"/>
      <c r="I2189" s="44"/>
      <c r="J2189" s="11" t="str">
        <f aca="false">IF(D2189="","",N(G2189)-N(H2189))</f>
        <v/>
      </c>
      <c r="K2189" s="34" t="str">
        <f aca="false">IF(D2189="","",IFERROR(INDEX(I_COA!$C$6:$C$265,MATCH(D2189,I_COA!$A$6:$A$265,0)),"AKUN BARU"))</f>
        <v/>
      </c>
      <c r="L2189" s="34" t="str">
        <f aca="false">IF(K2189="LabaRugi",INDEX(I_COA!$D$6:$D$265,MATCH(D2189,I_COA!$A$6:$A$265,0)),"")</f>
        <v/>
      </c>
      <c r="M2189" s="34" t="str">
        <f aca="false">IF(K2189="Neraca",INDEX(I_COA!$E$6:$E$265,MATCH(D2189,I_COA!$A$6:$A$265,0)),"")</f>
        <v/>
      </c>
      <c r="N2189" s="34" t="str">
        <f aca="false">IF(D2189="","",IFERROR(INDEX(I_COA!$G$6:$G$265,MATCH(D2189,I_COA!$A$6:$A$265,0)),"N"))</f>
        <v/>
      </c>
      <c r="O2189" s="11" t="str">
        <f aca="false">IF(N2189="N",ABS(J2189),"")</f>
        <v/>
      </c>
      <c r="P2189" s="18" t="str">
        <f aca="false">IF(N2189="N",B2189&amp;"|"&amp;ROUND(O2189,0),"")</f>
        <v/>
      </c>
      <c r="Q2189" s="18" t="str">
        <f aca="false">IF(N2189&lt;&gt;"Y","",IFERROR(INDEX($D$6:$D$4005,MATCH(B2189&amp;"|"&amp;ROUND(_xlfn.MAXIFS($O$6:$O$4005,$B$6:$B$4005,B2189,$N$6:$N$4005,"N"),0),$P$6:$P$4005,0)),"(tanpa lawan)"))</f>
        <v/>
      </c>
      <c r="R2189" s="44"/>
      <c r="S2189" s="9" t="str">
        <f aca="false">IF(N2189&lt;&gt;"Y","",IF(R2189&lt;&gt;"",R2189,IF(Q2189="(tanpa lawan)","Transfer antar rekening",IFERROR(INDEX(I_COA!$F$6:$F$265,MATCH(Q2189,I_COA!$A$6:$A$265,0)),"?"))))</f>
        <v/>
      </c>
    </row>
    <row r="2190" customFormat="false" ht="15" hidden="false" customHeight="false" outlineLevel="0" collapsed="false">
      <c r="A2190" s="37"/>
      <c r="B2190" s="44"/>
      <c r="C2190" s="44"/>
      <c r="D2190" s="44"/>
      <c r="E2190" s="44"/>
      <c r="F2190" s="44"/>
      <c r="G2190" s="42"/>
      <c r="H2190" s="42"/>
      <c r="I2190" s="44"/>
      <c r="J2190" s="11" t="str">
        <f aca="false">IF(D2190="","",N(G2190)-N(H2190))</f>
        <v/>
      </c>
      <c r="K2190" s="34" t="str">
        <f aca="false">IF(D2190="","",IFERROR(INDEX(I_COA!$C$6:$C$265,MATCH(D2190,I_COA!$A$6:$A$265,0)),"AKUN BARU"))</f>
        <v/>
      </c>
      <c r="L2190" s="34" t="str">
        <f aca="false">IF(K2190="LabaRugi",INDEX(I_COA!$D$6:$D$265,MATCH(D2190,I_COA!$A$6:$A$265,0)),"")</f>
        <v/>
      </c>
      <c r="M2190" s="34" t="str">
        <f aca="false">IF(K2190="Neraca",INDEX(I_COA!$E$6:$E$265,MATCH(D2190,I_COA!$A$6:$A$265,0)),"")</f>
        <v/>
      </c>
      <c r="N2190" s="34" t="str">
        <f aca="false">IF(D2190="","",IFERROR(INDEX(I_COA!$G$6:$G$265,MATCH(D2190,I_COA!$A$6:$A$265,0)),"N"))</f>
        <v/>
      </c>
      <c r="O2190" s="11" t="str">
        <f aca="false">IF(N2190="N",ABS(J2190),"")</f>
        <v/>
      </c>
      <c r="P2190" s="18" t="str">
        <f aca="false">IF(N2190="N",B2190&amp;"|"&amp;ROUND(O2190,0),"")</f>
        <v/>
      </c>
      <c r="Q2190" s="18" t="str">
        <f aca="false">IF(N2190&lt;&gt;"Y","",IFERROR(INDEX($D$6:$D$4005,MATCH(B2190&amp;"|"&amp;ROUND(_xlfn.MAXIFS($O$6:$O$4005,$B$6:$B$4005,B2190,$N$6:$N$4005,"N"),0),$P$6:$P$4005,0)),"(tanpa lawan)"))</f>
        <v/>
      </c>
      <c r="R2190" s="44"/>
      <c r="S2190" s="9" t="str">
        <f aca="false">IF(N2190&lt;&gt;"Y","",IF(R2190&lt;&gt;"",R2190,IF(Q2190="(tanpa lawan)","Transfer antar rekening",IFERROR(INDEX(I_COA!$F$6:$F$265,MATCH(Q2190,I_COA!$A$6:$A$265,0)),"?"))))</f>
        <v/>
      </c>
    </row>
    <row r="2191" customFormat="false" ht="15" hidden="false" customHeight="false" outlineLevel="0" collapsed="false">
      <c r="A2191" s="37"/>
      <c r="B2191" s="44"/>
      <c r="C2191" s="44"/>
      <c r="D2191" s="44"/>
      <c r="E2191" s="44"/>
      <c r="F2191" s="44"/>
      <c r="G2191" s="42"/>
      <c r="H2191" s="42"/>
      <c r="I2191" s="44"/>
      <c r="J2191" s="11" t="str">
        <f aca="false">IF(D2191="","",N(G2191)-N(H2191))</f>
        <v/>
      </c>
      <c r="K2191" s="34" t="str">
        <f aca="false">IF(D2191="","",IFERROR(INDEX(I_COA!$C$6:$C$265,MATCH(D2191,I_COA!$A$6:$A$265,0)),"AKUN BARU"))</f>
        <v/>
      </c>
      <c r="L2191" s="34" t="str">
        <f aca="false">IF(K2191="LabaRugi",INDEX(I_COA!$D$6:$D$265,MATCH(D2191,I_COA!$A$6:$A$265,0)),"")</f>
        <v/>
      </c>
      <c r="M2191" s="34" t="str">
        <f aca="false">IF(K2191="Neraca",INDEX(I_COA!$E$6:$E$265,MATCH(D2191,I_COA!$A$6:$A$265,0)),"")</f>
        <v/>
      </c>
      <c r="N2191" s="34" t="str">
        <f aca="false">IF(D2191="","",IFERROR(INDEX(I_COA!$G$6:$G$265,MATCH(D2191,I_COA!$A$6:$A$265,0)),"N"))</f>
        <v/>
      </c>
      <c r="O2191" s="11" t="str">
        <f aca="false">IF(N2191="N",ABS(J2191),"")</f>
        <v/>
      </c>
      <c r="P2191" s="18" t="str">
        <f aca="false">IF(N2191="N",B2191&amp;"|"&amp;ROUND(O2191,0),"")</f>
        <v/>
      </c>
      <c r="Q2191" s="18" t="str">
        <f aca="false">IF(N2191&lt;&gt;"Y","",IFERROR(INDEX($D$6:$D$4005,MATCH(B2191&amp;"|"&amp;ROUND(_xlfn.MAXIFS($O$6:$O$4005,$B$6:$B$4005,B2191,$N$6:$N$4005,"N"),0),$P$6:$P$4005,0)),"(tanpa lawan)"))</f>
        <v/>
      </c>
      <c r="R2191" s="44"/>
      <c r="S2191" s="9" t="str">
        <f aca="false">IF(N2191&lt;&gt;"Y","",IF(R2191&lt;&gt;"",R2191,IF(Q2191="(tanpa lawan)","Transfer antar rekening",IFERROR(INDEX(I_COA!$F$6:$F$265,MATCH(Q2191,I_COA!$A$6:$A$265,0)),"?"))))</f>
        <v/>
      </c>
    </row>
    <row r="2192" customFormat="false" ht="15" hidden="false" customHeight="false" outlineLevel="0" collapsed="false">
      <c r="A2192" s="37"/>
      <c r="B2192" s="44"/>
      <c r="C2192" s="44"/>
      <c r="D2192" s="44"/>
      <c r="E2192" s="44"/>
      <c r="F2192" s="44"/>
      <c r="G2192" s="42"/>
      <c r="H2192" s="42"/>
      <c r="I2192" s="44"/>
      <c r="J2192" s="11" t="str">
        <f aca="false">IF(D2192="","",N(G2192)-N(H2192))</f>
        <v/>
      </c>
      <c r="K2192" s="34" t="str">
        <f aca="false">IF(D2192="","",IFERROR(INDEX(I_COA!$C$6:$C$265,MATCH(D2192,I_COA!$A$6:$A$265,0)),"AKUN BARU"))</f>
        <v/>
      </c>
      <c r="L2192" s="34" t="str">
        <f aca="false">IF(K2192="LabaRugi",INDEX(I_COA!$D$6:$D$265,MATCH(D2192,I_COA!$A$6:$A$265,0)),"")</f>
        <v/>
      </c>
      <c r="M2192" s="34" t="str">
        <f aca="false">IF(K2192="Neraca",INDEX(I_COA!$E$6:$E$265,MATCH(D2192,I_COA!$A$6:$A$265,0)),"")</f>
        <v/>
      </c>
      <c r="N2192" s="34" t="str">
        <f aca="false">IF(D2192="","",IFERROR(INDEX(I_COA!$G$6:$G$265,MATCH(D2192,I_COA!$A$6:$A$265,0)),"N"))</f>
        <v/>
      </c>
      <c r="O2192" s="11" t="str">
        <f aca="false">IF(N2192="N",ABS(J2192),"")</f>
        <v/>
      </c>
      <c r="P2192" s="18" t="str">
        <f aca="false">IF(N2192="N",B2192&amp;"|"&amp;ROUND(O2192,0),"")</f>
        <v/>
      </c>
      <c r="Q2192" s="18" t="str">
        <f aca="false">IF(N2192&lt;&gt;"Y","",IFERROR(INDEX($D$6:$D$4005,MATCH(B2192&amp;"|"&amp;ROUND(_xlfn.MAXIFS($O$6:$O$4005,$B$6:$B$4005,B2192,$N$6:$N$4005,"N"),0),$P$6:$P$4005,0)),"(tanpa lawan)"))</f>
        <v/>
      </c>
      <c r="R2192" s="44"/>
      <c r="S2192" s="9" t="str">
        <f aca="false">IF(N2192&lt;&gt;"Y","",IF(R2192&lt;&gt;"",R2192,IF(Q2192="(tanpa lawan)","Transfer antar rekening",IFERROR(INDEX(I_COA!$F$6:$F$265,MATCH(Q2192,I_COA!$A$6:$A$265,0)),"?"))))</f>
        <v/>
      </c>
    </row>
    <row r="2193" customFormat="false" ht="15" hidden="false" customHeight="false" outlineLevel="0" collapsed="false">
      <c r="A2193" s="37"/>
      <c r="B2193" s="44"/>
      <c r="C2193" s="44"/>
      <c r="D2193" s="44"/>
      <c r="E2193" s="44"/>
      <c r="F2193" s="44"/>
      <c r="G2193" s="42"/>
      <c r="H2193" s="42"/>
      <c r="I2193" s="44"/>
      <c r="J2193" s="11" t="str">
        <f aca="false">IF(D2193="","",N(G2193)-N(H2193))</f>
        <v/>
      </c>
      <c r="K2193" s="34" t="str">
        <f aca="false">IF(D2193="","",IFERROR(INDEX(I_COA!$C$6:$C$265,MATCH(D2193,I_COA!$A$6:$A$265,0)),"AKUN BARU"))</f>
        <v/>
      </c>
      <c r="L2193" s="34" t="str">
        <f aca="false">IF(K2193="LabaRugi",INDEX(I_COA!$D$6:$D$265,MATCH(D2193,I_COA!$A$6:$A$265,0)),"")</f>
        <v/>
      </c>
      <c r="M2193" s="34" t="str">
        <f aca="false">IF(K2193="Neraca",INDEX(I_COA!$E$6:$E$265,MATCH(D2193,I_COA!$A$6:$A$265,0)),"")</f>
        <v/>
      </c>
      <c r="N2193" s="34" t="str">
        <f aca="false">IF(D2193="","",IFERROR(INDEX(I_COA!$G$6:$G$265,MATCH(D2193,I_COA!$A$6:$A$265,0)),"N"))</f>
        <v/>
      </c>
      <c r="O2193" s="11" t="str">
        <f aca="false">IF(N2193="N",ABS(J2193),"")</f>
        <v/>
      </c>
      <c r="P2193" s="18" t="str">
        <f aca="false">IF(N2193="N",B2193&amp;"|"&amp;ROUND(O2193,0),"")</f>
        <v/>
      </c>
      <c r="Q2193" s="18" t="str">
        <f aca="false">IF(N2193&lt;&gt;"Y","",IFERROR(INDEX($D$6:$D$4005,MATCH(B2193&amp;"|"&amp;ROUND(_xlfn.MAXIFS($O$6:$O$4005,$B$6:$B$4005,B2193,$N$6:$N$4005,"N"),0),$P$6:$P$4005,0)),"(tanpa lawan)"))</f>
        <v/>
      </c>
      <c r="R2193" s="44"/>
      <c r="S2193" s="9" t="str">
        <f aca="false">IF(N2193&lt;&gt;"Y","",IF(R2193&lt;&gt;"",R2193,IF(Q2193="(tanpa lawan)","Transfer antar rekening",IFERROR(INDEX(I_COA!$F$6:$F$265,MATCH(Q2193,I_COA!$A$6:$A$265,0)),"?"))))</f>
        <v/>
      </c>
    </row>
    <row r="2194" customFormat="false" ht="15" hidden="false" customHeight="false" outlineLevel="0" collapsed="false">
      <c r="A2194" s="37"/>
      <c r="B2194" s="44"/>
      <c r="C2194" s="44"/>
      <c r="D2194" s="44"/>
      <c r="E2194" s="44"/>
      <c r="F2194" s="44"/>
      <c r="G2194" s="42"/>
      <c r="H2194" s="42"/>
      <c r="I2194" s="44"/>
      <c r="J2194" s="11" t="str">
        <f aca="false">IF(D2194="","",N(G2194)-N(H2194))</f>
        <v/>
      </c>
      <c r="K2194" s="34" t="str">
        <f aca="false">IF(D2194="","",IFERROR(INDEX(I_COA!$C$6:$C$265,MATCH(D2194,I_COA!$A$6:$A$265,0)),"AKUN BARU"))</f>
        <v/>
      </c>
      <c r="L2194" s="34" t="str">
        <f aca="false">IF(K2194="LabaRugi",INDEX(I_COA!$D$6:$D$265,MATCH(D2194,I_COA!$A$6:$A$265,0)),"")</f>
        <v/>
      </c>
      <c r="M2194" s="34" t="str">
        <f aca="false">IF(K2194="Neraca",INDEX(I_COA!$E$6:$E$265,MATCH(D2194,I_COA!$A$6:$A$265,0)),"")</f>
        <v/>
      </c>
      <c r="N2194" s="34" t="str">
        <f aca="false">IF(D2194="","",IFERROR(INDEX(I_COA!$G$6:$G$265,MATCH(D2194,I_COA!$A$6:$A$265,0)),"N"))</f>
        <v/>
      </c>
      <c r="O2194" s="11" t="str">
        <f aca="false">IF(N2194="N",ABS(J2194),"")</f>
        <v/>
      </c>
      <c r="P2194" s="18" t="str">
        <f aca="false">IF(N2194="N",B2194&amp;"|"&amp;ROUND(O2194,0),"")</f>
        <v/>
      </c>
      <c r="Q2194" s="18" t="str">
        <f aca="false">IF(N2194&lt;&gt;"Y","",IFERROR(INDEX($D$6:$D$4005,MATCH(B2194&amp;"|"&amp;ROUND(_xlfn.MAXIFS($O$6:$O$4005,$B$6:$B$4005,B2194,$N$6:$N$4005,"N"),0),$P$6:$P$4005,0)),"(tanpa lawan)"))</f>
        <v/>
      </c>
      <c r="R2194" s="44"/>
      <c r="S2194" s="9" t="str">
        <f aca="false">IF(N2194&lt;&gt;"Y","",IF(R2194&lt;&gt;"",R2194,IF(Q2194="(tanpa lawan)","Transfer antar rekening",IFERROR(INDEX(I_COA!$F$6:$F$265,MATCH(Q2194,I_COA!$A$6:$A$265,0)),"?"))))</f>
        <v/>
      </c>
    </row>
    <row r="2195" customFormat="false" ht="15" hidden="false" customHeight="false" outlineLevel="0" collapsed="false">
      <c r="A2195" s="37"/>
      <c r="B2195" s="44"/>
      <c r="C2195" s="44"/>
      <c r="D2195" s="44"/>
      <c r="E2195" s="44"/>
      <c r="F2195" s="44"/>
      <c r="G2195" s="42"/>
      <c r="H2195" s="42"/>
      <c r="I2195" s="44"/>
      <c r="J2195" s="11" t="str">
        <f aca="false">IF(D2195="","",N(G2195)-N(H2195))</f>
        <v/>
      </c>
      <c r="K2195" s="34" t="str">
        <f aca="false">IF(D2195="","",IFERROR(INDEX(I_COA!$C$6:$C$265,MATCH(D2195,I_COA!$A$6:$A$265,0)),"AKUN BARU"))</f>
        <v/>
      </c>
      <c r="L2195" s="34" t="str">
        <f aca="false">IF(K2195="LabaRugi",INDEX(I_COA!$D$6:$D$265,MATCH(D2195,I_COA!$A$6:$A$265,0)),"")</f>
        <v/>
      </c>
      <c r="M2195" s="34" t="str">
        <f aca="false">IF(K2195="Neraca",INDEX(I_COA!$E$6:$E$265,MATCH(D2195,I_COA!$A$6:$A$265,0)),"")</f>
        <v/>
      </c>
      <c r="N2195" s="34" t="str">
        <f aca="false">IF(D2195="","",IFERROR(INDEX(I_COA!$G$6:$G$265,MATCH(D2195,I_COA!$A$6:$A$265,0)),"N"))</f>
        <v/>
      </c>
      <c r="O2195" s="11" t="str">
        <f aca="false">IF(N2195="N",ABS(J2195),"")</f>
        <v/>
      </c>
      <c r="P2195" s="18" t="str">
        <f aca="false">IF(N2195="N",B2195&amp;"|"&amp;ROUND(O2195,0),"")</f>
        <v/>
      </c>
      <c r="Q2195" s="18" t="str">
        <f aca="false">IF(N2195&lt;&gt;"Y","",IFERROR(INDEX($D$6:$D$4005,MATCH(B2195&amp;"|"&amp;ROUND(_xlfn.MAXIFS($O$6:$O$4005,$B$6:$B$4005,B2195,$N$6:$N$4005,"N"),0),$P$6:$P$4005,0)),"(tanpa lawan)"))</f>
        <v/>
      </c>
      <c r="R2195" s="44"/>
      <c r="S2195" s="9" t="str">
        <f aca="false">IF(N2195&lt;&gt;"Y","",IF(R2195&lt;&gt;"",R2195,IF(Q2195="(tanpa lawan)","Transfer antar rekening",IFERROR(INDEX(I_COA!$F$6:$F$265,MATCH(Q2195,I_COA!$A$6:$A$265,0)),"?"))))</f>
        <v/>
      </c>
    </row>
    <row r="2196" customFormat="false" ht="15" hidden="false" customHeight="false" outlineLevel="0" collapsed="false">
      <c r="A2196" s="37"/>
      <c r="B2196" s="44"/>
      <c r="C2196" s="44"/>
      <c r="D2196" s="44"/>
      <c r="E2196" s="44"/>
      <c r="F2196" s="44"/>
      <c r="G2196" s="42"/>
      <c r="H2196" s="42"/>
      <c r="I2196" s="44"/>
      <c r="J2196" s="11" t="str">
        <f aca="false">IF(D2196="","",N(G2196)-N(H2196))</f>
        <v/>
      </c>
      <c r="K2196" s="34" t="str">
        <f aca="false">IF(D2196="","",IFERROR(INDEX(I_COA!$C$6:$C$265,MATCH(D2196,I_COA!$A$6:$A$265,0)),"AKUN BARU"))</f>
        <v/>
      </c>
      <c r="L2196" s="34" t="str">
        <f aca="false">IF(K2196="LabaRugi",INDEX(I_COA!$D$6:$D$265,MATCH(D2196,I_COA!$A$6:$A$265,0)),"")</f>
        <v/>
      </c>
      <c r="M2196" s="34" t="str">
        <f aca="false">IF(K2196="Neraca",INDEX(I_COA!$E$6:$E$265,MATCH(D2196,I_COA!$A$6:$A$265,0)),"")</f>
        <v/>
      </c>
      <c r="N2196" s="34" t="str">
        <f aca="false">IF(D2196="","",IFERROR(INDEX(I_COA!$G$6:$G$265,MATCH(D2196,I_COA!$A$6:$A$265,0)),"N"))</f>
        <v/>
      </c>
      <c r="O2196" s="11" t="str">
        <f aca="false">IF(N2196="N",ABS(J2196),"")</f>
        <v/>
      </c>
      <c r="P2196" s="18" t="str">
        <f aca="false">IF(N2196="N",B2196&amp;"|"&amp;ROUND(O2196,0),"")</f>
        <v/>
      </c>
      <c r="Q2196" s="18" t="str">
        <f aca="false">IF(N2196&lt;&gt;"Y","",IFERROR(INDEX($D$6:$D$4005,MATCH(B2196&amp;"|"&amp;ROUND(_xlfn.MAXIFS($O$6:$O$4005,$B$6:$B$4005,B2196,$N$6:$N$4005,"N"),0),$P$6:$P$4005,0)),"(tanpa lawan)"))</f>
        <v/>
      </c>
      <c r="R2196" s="44"/>
      <c r="S2196" s="9" t="str">
        <f aca="false">IF(N2196&lt;&gt;"Y","",IF(R2196&lt;&gt;"",R2196,IF(Q2196="(tanpa lawan)","Transfer antar rekening",IFERROR(INDEX(I_COA!$F$6:$F$265,MATCH(Q2196,I_COA!$A$6:$A$265,0)),"?"))))</f>
        <v/>
      </c>
    </row>
    <row r="2197" customFormat="false" ht="15" hidden="false" customHeight="false" outlineLevel="0" collapsed="false">
      <c r="A2197" s="37"/>
      <c r="B2197" s="44"/>
      <c r="C2197" s="44"/>
      <c r="D2197" s="44"/>
      <c r="E2197" s="44"/>
      <c r="F2197" s="44"/>
      <c r="G2197" s="42"/>
      <c r="H2197" s="42"/>
      <c r="I2197" s="44"/>
      <c r="J2197" s="11" t="str">
        <f aca="false">IF(D2197="","",N(G2197)-N(H2197))</f>
        <v/>
      </c>
      <c r="K2197" s="34" t="str">
        <f aca="false">IF(D2197="","",IFERROR(INDEX(I_COA!$C$6:$C$265,MATCH(D2197,I_COA!$A$6:$A$265,0)),"AKUN BARU"))</f>
        <v/>
      </c>
      <c r="L2197" s="34" t="str">
        <f aca="false">IF(K2197="LabaRugi",INDEX(I_COA!$D$6:$D$265,MATCH(D2197,I_COA!$A$6:$A$265,0)),"")</f>
        <v/>
      </c>
      <c r="M2197" s="34" t="str">
        <f aca="false">IF(K2197="Neraca",INDEX(I_COA!$E$6:$E$265,MATCH(D2197,I_COA!$A$6:$A$265,0)),"")</f>
        <v/>
      </c>
      <c r="N2197" s="34" t="str">
        <f aca="false">IF(D2197="","",IFERROR(INDEX(I_COA!$G$6:$G$265,MATCH(D2197,I_COA!$A$6:$A$265,0)),"N"))</f>
        <v/>
      </c>
      <c r="O2197" s="11" t="str">
        <f aca="false">IF(N2197="N",ABS(J2197),"")</f>
        <v/>
      </c>
      <c r="P2197" s="18" t="str">
        <f aca="false">IF(N2197="N",B2197&amp;"|"&amp;ROUND(O2197,0),"")</f>
        <v/>
      </c>
      <c r="Q2197" s="18" t="str">
        <f aca="false">IF(N2197&lt;&gt;"Y","",IFERROR(INDEX($D$6:$D$4005,MATCH(B2197&amp;"|"&amp;ROUND(_xlfn.MAXIFS($O$6:$O$4005,$B$6:$B$4005,B2197,$N$6:$N$4005,"N"),0),$P$6:$P$4005,0)),"(tanpa lawan)"))</f>
        <v/>
      </c>
      <c r="R2197" s="44"/>
      <c r="S2197" s="9" t="str">
        <f aca="false">IF(N2197&lt;&gt;"Y","",IF(R2197&lt;&gt;"",R2197,IF(Q2197="(tanpa lawan)","Transfer antar rekening",IFERROR(INDEX(I_COA!$F$6:$F$265,MATCH(Q2197,I_COA!$A$6:$A$265,0)),"?"))))</f>
        <v/>
      </c>
    </row>
    <row r="2198" customFormat="false" ht="15" hidden="false" customHeight="false" outlineLevel="0" collapsed="false">
      <c r="A2198" s="37"/>
      <c r="B2198" s="44"/>
      <c r="C2198" s="44"/>
      <c r="D2198" s="44"/>
      <c r="E2198" s="44"/>
      <c r="F2198" s="44"/>
      <c r="G2198" s="42"/>
      <c r="H2198" s="42"/>
      <c r="I2198" s="44"/>
      <c r="J2198" s="11" t="str">
        <f aca="false">IF(D2198="","",N(G2198)-N(H2198))</f>
        <v/>
      </c>
      <c r="K2198" s="34" t="str">
        <f aca="false">IF(D2198="","",IFERROR(INDEX(I_COA!$C$6:$C$265,MATCH(D2198,I_COA!$A$6:$A$265,0)),"AKUN BARU"))</f>
        <v/>
      </c>
      <c r="L2198" s="34" t="str">
        <f aca="false">IF(K2198="LabaRugi",INDEX(I_COA!$D$6:$D$265,MATCH(D2198,I_COA!$A$6:$A$265,0)),"")</f>
        <v/>
      </c>
      <c r="M2198" s="34" t="str">
        <f aca="false">IF(K2198="Neraca",INDEX(I_COA!$E$6:$E$265,MATCH(D2198,I_COA!$A$6:$A$265,0)),"")</f>
        <v/>
      </c>
      <c r="N2198" s="34" t="str">
        <f aca="false">IF(D2198="","",IFERROR(INDEX(I_COA!$G$6:$G$265,MATCH(D2198,I_COA!$A$6:$A$265,0)),"N"))</f>
        <v/>
      </c>
      <c r="O2198" s="11" t="str">
        <f aca="false">IF(N2198="N",ABS(J2198),"")</f>
        <v/>
      </c>
      <c r="P2198" s="18" t="str">
        <f aca="false">IF(N2198="N",B2198&amp;"|"&amp;ROUND(O2198,0),"")</f>
        <v/>
      </c>
      <c r="Q2198" s="18" t="str">
        <f aca="false">IF(N2198&lt;&gt;"Y","",IFERROR(INDEX($D$6:$D$4005,MATCH(B2198&amp;"|"&amp;ROUND(_xlfn.MAXIFS($O$6:$O$4005,$B$6:$B$4005,B2198,$N$6:$N$4005,"N"),0),$P$6:$P$4005,0)),"(tanpa lawan)"))</f>
        <v/>
      </c>
      <c r="R2198" s="44"/>
      <c r="S2198" s="9" t="str">
        <f aca="false">IF(N2198&lt;&gt;"Y","",IF(R2198&lt;&gt;"",R2198,IF(Q2198="(tanpa lawan)","Transfer antar rekening",IFERROR(INDEX(I_COA!$F$6:$F$265,MATCH(Q2198,I_COA!$A$6:$A$265,0)),"?"))))</f>
        <v/>
      </c>
    </row>
    <row r="2199" customFormat="false" ht="15" hidden="false" customHeight="false" outlineLevel="0" collapsed="false">
      <c r="A2199" s="37"/>
      <c r="B2199" s="44"/>
      <c r="C2199" s="44"/>
      <c r="D2199" s="44"/>
      <c r="E2199" s="44"/>
      <c r="F2199" s="44"/>
      <c r="G2199" s="42"/>
      <c r="H2199" s="42"/>
      <c r="I2199" s="44"/>
      <c r="J2199" s="11" t="str">
        <f aca="false">IF(D2199="","",N(G2199)-N(H2199))</f>
        <v/>
      </c>
      <c r="K2199" s="34" t="str">
        <f aca="false">IF(D2199="","",IFERROR(INDEX(I_COA!$C$6:$C$265,MATCH(D2199,I_COA!$A$6:$A$265,0)),"AKUN BARU"))</f>
        <v/>
      </c>
      <c r="L2199" s="34" t="str">
        <f aca="false">IF(K2199="LabaRugi",INDEX(I_COA!$D$6:$D$265,MATCH(D2199,I_COA!$A$6:$A$265,0)),"")</f>
        <v/>
      </c>
      <c r="M2199" s="34" t="str">
        <f aca="false">IF(K2199="Neraca",INDEX(I_COA!$E$6:$E$265,MATCH(D2199,I_COA!$A$6:$A$265,0)),"")</f>
        <v/>
      </c>
      <c r="N2199" s="34" t="str">
        <f aca="false">IF(D2199="","",IFERROR(INDEX(I_COA!$G$6:$G$265,MATCH(D2199,I_COA!$A$6:$A$265,0)),"N"))</f>
        <v/>
      </c>
      <c r="O2199" s="11" t="str">
        <f aca="false">IF(N2199="N",ABS(J2199),"")</f>
        <v/>
      </c>
      <c r="P2199" s="18" t="str">
        <f aca="false">IF(N2199="N",B2199&amp;"|"&amp;ROUND(O2199,0),"")</f>
        <v/>
      </c>
      <c r="Q2199" s="18" t="str">
        <f aca="false">IF(N2199&lt;&gt;"Y","",IFERROR(INDEX($D$6:$D$4005,MATCH(B2199&amp;"|"&amp;ROUND(_xlfn.MAXIFS($O$6:$O$4005,$B$6:$B$4005,B2199,$N$6:$N$4005,"N"),0),$P$6:$P$4005,0)),"(tanpa lawan)"))</f>
        <v/>
      </c>
      <c r="R2199" s="44"/>
      <c r="S2199" s="9" t="str">
        <f aca="false">IF(N2199&lt;&gt;"Y","",IF(R2199&lt;&gt;"",R2199,IF(Q2199="(tanpa lawan)","Transfer antar rekening",IFERROR(INDEX(I_COA!$F$6:$F$265,MATCH(Q2199,I_COA!$A$6:$A$265,0)),"?"))))</f>
        <v/>
      </c>
    </row>
    <row r="2200" customFormat="false" ht="15" hidden="false" customHeight="false" outlineLevel="0" collapsed="false">
      <c r="A2200" s="37"/>
      <c r="B2200" s="44"/>
      <c r="C2200" s="44"/>
      <c r="D2200" s="44"/>
      <c r="E2200" s="44"/>
      <c r="F2200" s="44"/>
      <c r="G2200" s="42"/>
      <c r="H2200" s="42"/>
      <c r="I2200" s="44"/>
      <c r="J2200" s="11" t="str">
        <f aca="false">IF(D2200="","",N(G2200)-N(H2200))</f>
        <v/>
      </c>
      <c r="K2200" s="34" t="str">
        <f aca="false">IF(D2200="","",IFERROR(INDEX(I_COA!$C$6:$C$265,MATCH(D2200,I_COA!$A$6:$A$265,0)),"AKUN BARU"))</f>
        <v/>
      </c>
      <c r="L2200" s="34" t="str">
        <f aca="false">IF(K2200="LabaRugi",INDEX(I_COA!$D$6:$D$265,MATCH(D2200,I_COA!$A$6:$A$265,0)),"")</f>
        <v/>
      </c>
      <c r="M2200" s="34" t="str">
        <f aca="false">IF(K2200="Neraca",INDEX(I_COA!$E$6:$E$265,MATCH(D2200,I_COA!$A$6:$A$265,0)),"")</f>
        <v/>
      </c>
      <c r="N2200" s="34" t="str">
        <f aca="false">IF(D2200="","",IFERROR(INDEX(I_COA!$G$6:$G$265,MATCH(D2200,I_COA!$A$6:$A$265,0)),"N"))</f>
        <v/>
      </c>
      <c r="O2200" s="11" t="str">
        <f aca="false">IF(N2200="N",ABS(J2200),"")</f>
        <v/>
      </c>
      <c r="P2200" s="18" t="str">
        <f aca="false">IF(N2200="N",B2200&amp;"|"&amp;ROUND(O2200,0),"")</f>
        <v/>
      </c>
      <c r="Q2200" s="18" t="str">
        <f aca="false">IF(N2200&lt;&gt;"Y","",IFERROR(INDEX($D$6:$D$4005,MATCH(B2200&amp;"|"&amp;ROUND(_xlfn.MAXIFS($O$6:$O$4005,$B$6:$B$4005,B2200,$N$6:$N$4005,"N"),0),$P$6:$P$4005,0)),"(tanpa lawan)"))</f>
        <v/>
      </c>
      <c r="R2200" s="44"/>
      <c r="S2200" s="9" t="str">
        <f aca="false">IF(N2200&lt;&gt;"Y","",IF(R2200&lt;&gt;"",R2200,IF(Q2200="(tanpa lawan)","Transfer antar rekening",IFERROR(INDEX(I_COA!$F$6:$F$265,MATCH(Q2200,I_COA!$A$6:$A$265,0)),"?"))))</f>
        <v/>
      </c>
    </row>
    <row r="2201" customFormat="false" ht="15" hidden="false" customHeight="false" outlineLevel="0" collapsed="false">
      <c r="A2201" s="37"/>
      <c r="B2201" s="44"/>
      <c r="C2201" s="44"/>
      <c r="D2201" s="44"/>
      <c r="E2201" s="44"/>
      <c r="F2201" s="44"/>
      <c r="G2201" s="42"/>
      <c r="H2201" s="42"/>
      <c r="I2201" s="44"/>
      <c r="J2201" s="11" t="str">
        <f aca="false">IF(D2201="","",N(G2201)-N(H2201))</f>
        <v/>
      </c>
      <c r="K2201" s="34" t="str">
        <f aca="false">IF(D2201="","",IFERROR(INDEX(I_COA!$C$6:$C$265,MATCH(D2201,I_COA!$A$6:$A$265,0)),"AKUN BARU"))</f>
        <v/>
      </c>
      <c r="L2201" s="34" t="str">
        <f aca="false">IF(K2201="LabaRugi",INDEX(I_COA!$D$6:$D$265,MATCH(D2201,I_COA!$A$6:$A$265,0)),"")</f>
        <v/>
      </c>
      <c r="M2201" s="34" t="str">
        <f aca="false">IF(K2201="Neraca",INDEX(I_COA!$E$6:$E$265,MATCH(D2201,I_COA!$A$6:$A$265,0)),"")</f>
        <v/>
      </c>
      <c r="N2201" s="34" t="str">
        <f aca="false">IF(D2201="","",IFERROR(INDEX(I_COA!$G$6:$G$265,MATCH(D2201,I_COA!$A$6:$A$265,0)),"N"))</f>
        <v/>
      </c>
      <c r="O2201" s="11" t="str">
        <f aca="false">IF(N2201="N",ABS(J2201),"")</f>
        <v/>
      </c>
      <c r="P2201" s="18" t="str">
        <f aca="false">IF(N2201="N",B2201&amp;"|"&amp;ROUND(O2201,0),"")</f>
        <v/>
      </c>
      <c r="Q2201" s="18" t="str">
        <f aca="false">IF(N2201&lt;&gt;"Y","",IFERROR(INDEX($D$6:$D$4005,MATCH(B2201&amp;"|"&amp;ROUND(_xlfn.MAXIFS($O$6:$O$4005,$B$6:$B$4005,B2201,$N$6:$N$4005,"N"),0),$P$6:$P$4005,0)),"(tanpa lawan)"))</f>
        <v/>
      </c>
      <c r="R2201" s="44"/>
      <c r="S2201" s="9" t="str">
        <f aca="false">IF(N2201&lt;&gt;"Y","",IF(R2201&lt;&gt;"",R2201,IF(Q2201="(tanpa lawan)","Transfer antar rekening",IFERROR(INDEX(I_COA!$F$6:$F$265,MATCH(Q2201,I_COA!$A$6:$A$265,0)),"?"))))</f>
        <v/>
      </c>
    </row>
    <row r="2202" customFormat="false" ht="15" hidden="false" customHeight="false" outlineLevel="0" collapsed="false">
      <c r="A2202" s="37"/>
      <c r="B2202" s="44"/>
      <c r="C2202" s="44"/>
      <c r="D2202" s="44"/>
      <c r="E2202" s="44"/>
      <c r="F2202" s="44"/>
      <c r="G2202" s="42"/>
      <c r="H2202" s="42"/>
      <c r="I2202" s="44"/>
      <c r="J2202" s="11" t="str">
        <f aca="false">IF(D2202="","",N(G2202)-N(H2202))</f>
        <v/>
      </c>
      <c r="K2202" s="34" t="str">
        <f aca="false">IF(D2202="","",IFERROR(INDEX(I_COA!$C$6:$C$265,MATCH(D2202,I_COA!$A$6:$A$265,0)),"AKUN BARU"))</f>
        <v/>
      </c>
      <c r="L2202" s="34" t="str">
        <f aca="false">IF(K2202="LabaRugi",INDEX(I_COA!$D$6:$D$265,MATCH(D2202,I_COA!$A$6:$A$265,0)),"")</f>
        <v/>
      </c>
      <c r="M2202" s="34" t="str">
        <f aca="false">IF(K2202="Neraca",INDEX(I_COA!$E$6:$E$265,MATCH(D2202,I_COA!$A$6:$A$265,0)),"")</f>
        <v/>
      </c>
      <c r="N2202" s="34" t="str">
        <f aca="false">IF(D2202="","",IFERROR(INDEX(I_COA!$G$6:$G$265,MATCH(D2202,I_COA!$A$6:$A$265,0)),"N"))</f>
        <v/>
      </c>
      <c r="O2202" s="11" t="str">
        <f aca="false">IF(N2202="N",ABS(J2202),"")</f>
        <v/>
      </c>
      <c r="P2202" s="18" t="str">
        <f aca="false">IF(N2202="N",B2202&amp;"|"&amp;ROUND(O2202,0),"")</f>
        <v/>
      </c>
      <c r="Q2202" s="18" t="str">
        <f aca="false">IF(N2202&lt;&gt;"Y","",IFERROR(INDEX($D$6:$D$4005,MATCH(B2202&amp;"|"&amp;ROUND(_xlfn.MAXIFS($O$6:$O$4005,$B$6:$B$4005,B2202,$N$6:$N$4005,"N"),0),$P$6:$P$4005,0)),"(tanpa lawan)"))</f>
        <v/>
      </c>
      <c r="R2202" s="44"/>
      <c r="S2202" s="9" t="str">
        <f aca="false">IF(N2202&lt;&gt;"Y","",IF(R2202&lt;&gt;"",R2202,IF(Q2202="(tanpa lawan)","Transfer antar rekening",IFERROR(INDEX(I_COA!$F$6:$F$265,MATCH(Q2202,I_COA!$A$6:$A$265,0)),"?"))))</f>
        <v/>
      </c>
    </row>
    <row r="2203" customFormat="false" ht="15" hidden="false" customHeight="false" outlineLevel="0" collapsed="false">
      <c r="A2203" s="37"/>
      <c r="B2203" s="44"/>
      <c r="C2203" s="44"/>
      <c r="D2203" s="44"/>
      <c r="E2203" s="44"/>
      <c r="F2203" s="44"/>
      <c r="G2203" s="42"/>
      <c r="H2203" s="42"/>
      <c r="I2203" s="44"/>
      <c r="J2203" s="11" t="str">
        <f aca="false">IF(D2203="","",N(G2203)-N(H2203))</f>
        <v/>
      </c>
      <c r="K2203" s="34" t="str">
        <f aca="false">IF(D2203="","",IFERROR(INDEX(I_COA!$C$6:$C$265,MATCH(D2203,I_COA!$A$6:$A$265,0)),"AKUN BARU"))</f>
        <v/>
      </c>
      <c r="L2203" s="34" t="str">
        <f aca="false">IF(K2203="LabaRugi",INDEX(I_COA!$D$6:$D$265,MATCH(D2203,I_COA!$A$6:$A$265,0)),"")</f>
        <v/>
      </c>
      <c r="M2203" s="34" t="str">
        <f aca="false">IF(K2203="Neraca",INDEX(I_COA!$E$6:$E$265,MATCH(D2203,I_COA!$A$6:$A$265,0)),"")</f>
        <v/>
      </c>
      <c r="N2203" s="34" t="str">
        <f aca="false">IF(D2203="","",IFERROR(INDEX(I_COA!$G$6:$G$265,MATCH(D2203,I_COA!$A$6:$A$265,0)),"N"))</f>
        <v/>
      </c>
      <c r="O2203" s="11" t="str">
        <f aca="false">IF(N2203="N",ABS(J2203),"")</f>
        <v/>
      </c>
      <c r="P2203" s="18" t="str">
        <f aca="false">IF(N2203="N",B2203&amp;"|"&amp;ROUND(O2203,0),"")</f>
        <v/>
      </c>
      <c r="Q2203" s="18" t="str">
        <f aca="false">IF(N2203&lt;&gt;"Y","",IFERROR(INDEX($D$6:$D$4005,MATCH(B2203&amp;"|"&amp;ROUND(_xlfn.MAXIFS($O$6:$O$4005,$B$6:$B$4005,B2203,$N$6:$N$4005,"N"),0),$P$6:$P$4005,0)),"(tanpa lawan)"))</f>
        <v/>
      </c>
      <c r="R2203" s="44"/>
      <c r="S2203" s="9" t="str">
        <f aca="false">IF(N2203&lt;&gt;"Y","",IF(R2203&lt;&gt;"",R2203,IF(Q2203="(tanpa lawan)","Transfer antar rekening",IFERROR(INDEX(I_COA!$F$6:$F$265,MATCH(Q2203,I_COA!$A$6:$A$265,0)),"?"))))</f>
        <v/>
      </c>
    </row>
    <row r="2204" customFormat="false" ht="15" hidden="false" customHeight="false" outlineLevel="0" collapsed="false">
      <c r="A2204" s="37"/>
      <c r="B2204" s="44"/>
      <c r="C2204" s="44"/>
      <c r="D2204" s="44"/>
      <c r="E2204" s="44"/>
      <c r="F2204" s="44"/>
      <c r="G2204" s="42"/>
      <c r="H2204" s="42"/>
      <c r="I2204" s="44"/>
      <c r="J2204" s="11" t="str">
        <f aca="false">IF(D2204="","",N(G2204)-N(H2204))</f>
        <v/>
      </c>
      <c r="K2204" s="34" t="str">
        <f aca="false">IF(D2204="","",IFERROR(INDEX(I_COA!$C$6:$C$265,MATCH(D2204,I_COA!$A$6:$A$265,0)),"AKUN BARU"))</f>
        <v/>
      </c>
      <c r="L2204" s="34" t="str">
        <f aca="false">IF(K2204="LabaRugi",INDEX(I_COA!$D$6:$D$265,MATCH(D2204,I_COA!$A$6:$A$265,0)),"")</f>
        <v/>
      </c>
      <c r="M2204" s="34" t="str">
        <f aca="false">IF(K2204="Neraca",INDEX(I_COA!$E$6:$E$265,MATCH(D2204,I_COA!$A$6:$A$265,0)),"")</f>
        <v/>
      </c>
      <c r="N2204" s="34" t="str">
        <f aca="false">IF(D2204="","",IFERROR(INDEX(I_COA!$G$6:$G$265,MATCH(D2204,I_COA!$A$6:$A$265,0)),"N"))</f>
        <v/>
      </c>
      <c r="O2204" s="11" t="str">
        <f aca="false">IF(N2204="N",ABS(J2204),"")</f>
        <v/>
      </c>
      <c r="P2204" s="18" t="str">
        <f aca="false">IF(N2204="N",B2204&amp;"|"&amp;ROUND(O2204,0),"")</f>
        <v/>
      </c>
      <c r="Q2204" s="18" t="str">
        <f aca="false">IF(N2204&lt;&gt;"Y","",IFERROR(INDEX($D$6:$D$4005,MATCH(B2204&amp;"|"&amp;ROUND(_xlfn.MAXIFS($O$6:$O$4005,$B$6:$B$4005,B2204,$N$6:$N$4005,"N"),0),$P$6:$P$4005,0)),"(tanpa lawan)"))</f>
        <v/>
      </c>
      <c r="R2204" s="44"/>
      <c r="S2204" s="9" t="str">
        <f aca="false">IF(N2204&lt;&gt;"Y","",IF(R2204&lt;&gt;"",R2204,IF(Q2204="(tanpa lawan)","Transfer antar rekening",IFERROR(INDEX(I_COA!$F$6:$F$265,MATCH(Q2204,I_COA!$A$6:$A$265,0)),"?"))))</f>
        <v/>
      </c>
    </row>
    <row r="2205" customFormat="false" ht="15" hidden="false" customHeight="false" outlineLevel="0" collapsed="false">
      <c r="A2205" s="37"/>
      <c r="B2205" s="44"/>
      <c r="C2205" s="44"/>
      <c r="D2205" s="44"/>
      <c r="E2205" s="44"/>
      <c r="F2205" s="44"/>
      <c r="G2205" s="42"/>
      <c r="H2205" s="42"/>
      <c r="I2205" s="44"/>
      <c r="J2205" s="11" t="str">
        <f aca="false">IF(D2205="","",N(G2205)-N(H2205))</f>
        <v/>
      </c>
      <c r="K2205" s="34" t="str">
        <f aca="false">IF(D2205="","",IFERROR(INDEX(I_COA!$C$6:$C$265,MATCH(D2205,I_COA!$A$6:$A$265,0)),"AKUN BARU"))</f>
        <v/>
      </c>
      <c r="L2205" s="34" t="str">
        <f aca="false">IF(K2205="LabaRugi",INDEX(I_COA!$D$6:$D$265,MATCH(D2205,I_COA!$A$6:$A$265,0)),"")</f>
        <v/>
      </c>
      <c r="M2205" s="34" t="str">
        <f aca="false">IF(K2205="Neraca",INDEX(I_COA!$E$6:$E$265,MATCH(D2205,I_COA!$A$6:$A$265,0)),"")</f>
        <v/>
      </c>
      <c r="N2205" s="34" t="str">
        <f aca="false">IF(D2205="","",IFERROR(INDEX(I_COA!$G$6:$G$265,MATCH(D2205,I_COA!$A$6:$A$265,0)),"N"))</f>
        <v/>
      </c>
      <c r="O2205" s="11" t="str">
        <f aca="false">IF(N2205="N",ABS(J2205),"")</f>
        <v/>
      </c>
      <c r="P2205" s="18" t="str">
        <f aca="false">IF(N2205="N",B2205&amp;"|"&amp;ROUND(O2205,0),"")</f>
        <v/>
      </c>
      <c r="Q2205" s="18" t="str">
        <f aca="false">IF(N2205&lt;&gt;"Y","",IFERROR(INDEX($D$6:$D$4005,MATCH(B2205&amp;"|"&amp;ROUND(_xlfn.MAXIFS($O$6:$O$4005,$B$6:$B$4005,B2205,$N$6:$N$4005,"N"),0),$P$6:$P$4005,0)),"(tanpa lawan)"))</f>
        <v/>
      </c>
      <c r="R2205" s="44"/>
      <c r="S2205" s="9" t="str">
        <f aca="false">IF(N2205&lt;&gt;"Y","",IF(R2205&lt;&gt;"",R2205,IF(Q2205="(tanpa lawan)","Transfer antar rekening",IFERROR(INDEX(I_COA!$F$6:$F$265,MATCH(Q2205,I_COA!$A$6:$A$265,0)),"?"))))</f>
        <v/>
      </c>
    </row>
    <row r="2206" customFormat="false" ht="15" hidden="false" customHeight="false" outlineLevel="0" collapsed="false">
      <c r="A2206" s="37"/>
      <c r="B2206" s="44"/>
      <c r="C2206" s="44"/>
      <c r="D2206" s="44"/>
      <c r="E2206" s="44"/>
      <c r="F2206" s="44"/>
      <c r="G2206" s="42"/>
      <c r="H2206" s="42"/>
      <c r="I2206" s="44"/>
      <c r="J2206" s="11" t="str">
        <f aca="false">IF(D2206="","",N(G2206)-N(H2206))</f>
        <v/>
      </c>
      <c r="K2206" s="34" t="str">
        <f aca="false">IF(D2206="","",IFERROR(INDEX(I_COA!$C$6:$C$265,MATCH(D2206,I_COA!$A$6:$A$265,0)),"AKUN BARU"))</f>
        <v/>
      </c>
      <c r="L2206" s="34" t="str">
        <f aca="false">IF(K2206="LabaRugi",INDEX(I_COA!$D$6:$D$265,MATCH(D2206,I_COA!$A$6:$A$265,0)),"")</f>
        <v/>
      </c>
      <c r="M2206" s="34" t="str">
        <f aca="false">IF(K2206="Neraca",INDEX(I_COA!$E$6:$E$265,MATCH(D2206,I_COA!$A$6:$A$265,0)),"")</f>
        <v/>
      </c>
      <c r="N2206" s="34" t="str">
        <f aca="false">IF(D2206="","",IFERROR(INDEX(I_COA!$G$6:$G$265,MATCH(D2206,I_COA!$A$6:$A$265,0)),"N"))</f>
        <v/>
      </c>
      <c r="O2206" s="11" t="str">
        <f aca="false">IF(N2206="N",ABS(J2206),"")</f>
        <v/>
      </c>
      <c r="P2206" s="18" t="str">
        <f aca="false">IF(N2206="N",B2206&amp;"|"&amp;ROUND(O2206,0),"")</f>
        <v/>
      </c>
      <c r="Q2206" s="18" t="str">
        <f aca="false">IF(N2206&lt;&gt;"Y","",IFERROR(INDEX($D$6:$D$4005,MATCH(B2206&amp;"|"&amp;ROUND(_xlfn.MAXIFS($O$6:$O$4005,$B$6:$B$4005,B2206,$N$6:$N$4005,"N"),0),$P$6:$P$4005,0)),"(tanpa lawan)"))</f>
        <v/>
      </c>
      <c r="R2206" s="44"/>
      <c r="S2206" s="9" t="str">
        <f aca="false">IF(N2206&lt;&gt;"Y","",IF(R2206&lt;&gt;"",R2206,IF(Q2206="(tanpa lawan)","Transfer antar rekening",IFERROR(INDEX(I_COA!$F$6:$F$265,MATCH(Q2206,I_COA!$A$6:$A$265,0)),"?"))))</f>
        <v/>
      </c>
    </row>
    <row r="2207" customFormat="false" ht="15" hidden="false" customHeight="false" outlineLevel="0" collapsed="false">
      <c r="A2207" s="37"/>
      <c r="B2207" s="44"/>
      <c r="C2207" s="44"/>
      <c r="D2207" s="44"/>
      <c r="E2207" s="44"/>
      <c r="F2207" s="44"/>
      <c r="G2207" s="42"/>
      <c r="H2207" s="42"/>
      <c r="I2207" s="44"/>
      <c r="J2207" s="11" t="str">
        <f aca="false">IF(D2207="","",N(G2207)-N(H2207))</f>
        <v/>
      </c>
      <c r="K2207" s="34" t="str">
        <f aca="false">IF(D2207="","",IFERROR(INDEX(I_COA!$C$6:$C$265,MATCH(D2207,I_COA!$A$6:$A$265,0)),"AKUN BARU"))</f>
        <v/>
      </c>
      <c r="L2207" s="34" t="str">
        <f aca="false">IF(K2207="LabaRugi",INDEX(I_COA!$D$6:$D$265,MATCH(D2207,I_COA!$A$6:$A$265,0)),"")</f>
        <v/>
      </c>
      <c r="M2207" s="34" t="str">
        <f aca="false">IF(K2207="Neraca",INDEX(I_COA!$E$6:$E$265,MATCH(D2207,I_COA!$A$6:$A$265,0)),"")</f>
        <v/>
      </c>
      <c r="N2207" s="34" t="str">
        <f aca="false">IF(D2207="","",IFERROR(INDEX(I_COA!$G$6:$G$265,MATCH(D2207,I_COA!$A$6:$A$265,0)),"N"))</f>
        <v/>
      </c>
      <c r="O2207" s="11" t="str">
        <f aca="false">IF(N2207="N",ABS(J2207),"")</f>
        <v/>
      </c>
      <c r="P2207" s="18" t="str">
        <f aca="false">IF(N2207="N",B2207&amp;"|"&amp;ROUND(O2207,0),"")</f>
        <v/>
      </c>
      <c r="Q2207" s="18" t="str">
        <f aca="false">IF(N2207&lt;&gt;"Y","",IFERROR(INDEX($D$6:$D$4005,MATCH(B2207&amp;"|"&amp;ROUND(_xlfn.MAXIFS($O$6:$O$4005,$B$6:$B$4005,B2207,$N$6:$N$4005,"N"),0),$P$6:$P$4005,0)),"(tanpa lawan)"))</f>
        <v/>
      </c>
      <c r="R2207" s="44"/>
      <c r="S2207" s="9" t="str">
        <f aca="false">IF(N2207&lt;&gt;"Y","",IF(R2207&lt;&gt;"",R2207,IF(Q2207="(tanpa lawan)","Transfer antar rekening",IFERROR(INDEX(I_COA!$F$6:$F$265,MATCH(Q2207,I_COA!$A$6:$A$265,0)),"?"))))</f>
        <v/>
      </c>
    </row>
    <row r="2208" customFormat="false" ht="15" hidden="false" customHeight="false" outlineLevel="0" collapsed="false">
      <c r="A2208" s="37"/>
      <c r="B2208" s="44"/>
      <c r="C2208" s="44"/>
      <c r="D2208" s="44"/>
      <c r="E2208" s="44"/>
      <c r="F2208" s="44"/>
      <c r="G2208" s="42"/>
      <c r="H2208" s="42"/>
      <c r="I2208" s="44"/>
      <c r="J2208" s="11" t="str">
        <f aca="false">IF(D2208="","",N(G2208)-N(H2208))</f>
        <v/>
      </c>
      <c r="K2208" s="34" t="str">
        <f aca="false">IF(D2208="","",IFERROR(INDEX(I_COA!$C$6:$C$265,MATCH(D2208,I_COA!$A$6:$A$265,0)),"AKUN BARU"))</f>
        <v/>
      </c>
      <c r="L2208" s="34" t="str">
        <f aca="false">IF(K2208="LabaRugi",INDEX(I_COA!$D$6:$D$265,MATCH(D2208,I_COA!$A$6:$A$265,0)),"")</f>
        <v/>
      </c>
      <c r="M2208" s="34" t="str">
        <f aca="false">IF(K2208="Neraca",INDEX(I_COA!$E$6:$E$265,MATCH(D2208,I_COA!$A$6:$A$265,0)),"")</f>
        <v/>
      </c>
      <c r="N2208" s="34" t="str">
        <f aca="false">IF(D2208="","",IFERROR(INDEX(I_COA!$G$6:$G$265,MATCH(D2208,I_COA!$A$6:$A$265,0)),"N"))</f>
        <v/>
      </c>
      <c r="O2208" s="11" t="str">
        <f aca="false">IF(N2208="N",ABS(J2208),"")</f>
        <v/>
      </c>
      <c r="P2208" s="18" t="str">
        <f aca="false">IF(N2208="N",B2208&amp;"|"&amp;ROUND(O2208,0),"")</f>
        <v/>
      </c>
      <c r="Q2208" s="18" t="str">
        <f aca="false">IF(N2208&lt;&gt;"Y","",IFERROR(INDEX($D$6:$D$4005,MATCH(B2208&amp;"|"&amp;ROUND(_xlfn.MAXIFS($O$6:$O$4005,$B$6:$B$4005,B2208,$N$6:$N$4005,"N"),0),$P$6:$P$4005,0)),"(tanpa lawan)"))</f>
        <v/>
      </c>
      <c r="R2208" s="44"/>
      <c r="S2208" s="9" t="str">
        <f aca="false">IF(N2208&lt;&gt;"Y","",IF(R2208&lt;&gt;"",R2208,IF(Q2208="(tanpa lawan)","Transfer antar rekening",IFERROR(INDEX(I_COA!$F$6:$F$265,MATCH(Q2208,I_COA!$A$6:$A$265,0)),"?"))))</f>
        <v/>
      </c>
    </row>
    <row r="2209" customFormat="false" ht="15" hidden="false" customHeight="false" outlineLevel="0" collapsed="false">
      <c r="A2209" s="37"/>
      <c r="B2209" s="44"/>
      <c r="C2209" s="44"/>
      <c r="D2209" s="44"/>
      <c r="E2209" s="44"/>
      <c r="F2209" s="44"/>
      <c r="G2209" s="42"/>
      <c r="H2209" s="42"/>
      <c r="I2209" s="44"/>
      <c r="J2209" s="11" t="str">
        <f aca="false">IF(D2209="","",N(G2209)-N(H2209))</f>
        <v/>
      </c>
      <c r="K2209" s="34" t="str">
        <f aca="false">IF(D2209="","",IFERROR(INDEX(I_COA!$C$6:$C$265,MATCH(D2209,I_COA!$A$6:$A$265,0)),"AKUN BARU"))</f>
        <v/>
      </c>
      <c r="L2209" s="34" t="str">
        <f aca="false">IF(K2209="LabaRugi",INDEX(I_COA!$D$6:$D$265,MATCH(D2209,I_COA!$A$6:$A$265,0)),"")</f>
        <v/>
      </c>
      <c r="M2209" s="34" t="str">
        <f aca="false">IF(K2209="Neraca",INDEX(I_COA!$E$6:$E$265,MATCH(D2209,I_COA!$A$6:$A$265,0)),"")</f>
        <v/>
      </c>
      <c r="N2209" s="34" t="str">
        <f aca="false">IF(D2209="","",IFERROR(INDEX(I_COA!$G$6:$G$265,MATCH(D2209,I_COA!$A$6:$A$265,0)),"N"))</f>
        <v/>
      </c>
      <c r="O2209" s="11" t="str">
        <f aca="false">IF(N2209="N",ABS(J2209),"")</f>
        <v/>
      </c>
      <c r="P2209" s="18" t="str">
        <f aca="false">IF(N2209="N",B2209&amp;"|"&amp;ROUND(O2209,0),"")</f>
        <v/>
      </c>
      <c r="Q2209" s="18" t="str">
        <f aca="false">IF(N2209&lt;&gt;"Y","",IFERROR(INDEX($D$6:$D$4005,MATCH(B2209&amp;"|"&amp;ROUND(_xlfn.MAXIFS($O$6:$O$4005,$B$6:$B$4005,B2209,$N$6:$N$4005,"N"),0),$P$6:$P$4005,0)),"(tanpa lawan)"))</f>
        <v/>
      </c>
      <c r="R2209" s="44"/>
      <c r="S2209" s="9" t="str">
        <f aca="false">IF(N2209&lt;&gt;"Y","",IF(R2209&lt;&gt;"",R2209,IF(Q2209="(tanpa lawan)","Transfer antar rekening",IFERROR(INDEX(I_COA!$F$6:$F$265,MATCH(Q2209,I_COA!$A$6:$A$265,0)),"?"))))</f>
        <v/>
      </c>
    </row>
    <row r="2210" customFormat="false" ht="15" hidden="false" customHeight="false" outlineLevel="0" collapsed="false">
      <c r="A2210" s="37"/>
      <c r="B2210" s="44"/>
      <c r="C2210" s="44"/>
      <c r="D2210" s="44"/>
      <c r="E2210" s="44"/>
      <c r="F2210" s="44"/>
      <c r="G2210" s="42"/>
      <c r="H2210" s="42"/>
      <c r="I2210" s="44"/>
      <c r="J2210" s="11" t="str">
        <f aca="false">IF(D2210="","",N(G2210)-N(H2210))</f>
        <v/>
      </c>
      <c r="K2210" s="34" t="str">
        <f aca="false">IF(D2210="","",IFERROR(INDEX(I_COA!$C$6:$C$265,MATCH(D2210,I_COA!$A$6:$A$265,0)),"AKUN BARU"))</f>
        <v/>
      </c>
      <c r="L2210" s="34" t="str">
        <f aca="false">IF(K2210="LabaRugi",INDEX(I_COA!$D$6:$D$265,MATCH(D2210,I_COA!$A$6:$A$265,0)),"")</f>
        <v/>
      </c>
      <c r="M2210" s="34" t="str">
        <f aca="false">IF(K2210="Neraca",INDEX(I_COA!$E$6:$E$265,MATCH(D2210,I_COA!$A$6:$A$265,0)),"")</f>
        <v/>
      </c>
      <c r="N2210" s="34" t="str">
        <f aca="false">IF(D2210="","",IFERROR(INDEX(I_COA!$G$6:$G$265,MATCH(D2210,I_COA!$A$6:$A$265,0)),"N"))</f>
        <v/>
      </c>
      <c r="O2210" s="11" t="str">
        <f aca="false">IF(N2210="N",ABS(J2210),"")</f>
        <v/>
      </c>
      <c r="P2210" s="18" t="str">
        <f aca="false">IF(N2210="N",B2210&amp;"|"&amp;ROUND(O2210,0),"")</f>
        <v/>
      </c>
      <c r="Q2210" s="18" t="str">
        <f aca="false">IF(N2210&lt;&gt;"Y","",IFERROR(INDEX($D$6:$D$4005,MATCH(B2210&amp;"|"&amp;ROUND(_xlfn.MAXIFS($O$6:$O$4005,$B$6:$B$4005,B2210,$N$6:$N$4005,"N"),0),$P$6:$P$4005,0)),"(tanpa lawan)"))</f>
        <v/>
      </c>
      <c r="R2210" s="44"/>
      <c r="S2210" s="9" t="str">
        <f aca="false">IF(N2210&lt;&gt;"Y","",IF(R2210&lt;&gt;"",R2210,IF(Q2210="(tanpa lawan)","Transfer antar rekening",IFERROR(INDEX(I_COA!$F$6:$F$265,MATCH(Q2210,I_COA!$A$6:$A$265,0)),"?"))))</f>
        <v/>
      </c>
    </row>
    <row r="2211" customFormat="false" ht="15" hidden="false" customHeight="false" outlineLevel="0" collapsed="false">
      <c r="A2211" s="37"/>
      <c r="B2211" s="44"/>
      <c r="C2211" s="44"/>
      <c r="D2211" s="44"/>
      <c r="E2211" s="44"/>
      <c r="F2211" s="44"/>
      <c r="G2211" s="42"/>
      <c r="H2211" s="42"/>
      <c r="I2211" s="44"/>
      <c r="J2211" s="11" t="str">
        <f aca="false">IF(D2211="","",N(G2211)-N(H2211))</f>
        <v/>
      </c>
      <c r="K2211" s="34" t="str">
        <f aca="false">IF(D2211="","",IFERROR(INDEX(I_COA!$C$6:$C$265,MATCH(D2211,I_COA!$A$6:$A$265,0)),"AKUN BARU"))</f>
        <v/>
      </c>
      <c r="L2211" s="34" t="str">
        <f aca="false">IF(K2211="LabaRugi",INDEX(I_COA!$D$6:$D$265,MATCH(D2211,I_COA!$A$6:$A$265,0)),"")</f>
        <v/>
      </c>
      <c r="M2211" s="34" t="str">
        <f aca="false">IF(K2211="Neraca",INDEX(I_COA!$E$6:$E$265,MATCH(D2211,I_COA!$A$6:$A$265,0)),"")</f>
        <v/>
      </c>
      <c r="N2211" s="34" t="str">
        <f aca="false">IF(D2211="","",IFERROR(INDEX(I_COA!$G$6:$G$265,MATCH(D2211,I_COA!$A$6:$A$265,0)),"N"))</f>
        <v/>
      </c>
      <c r="O2211" s="11" t="str">
        <f aca="false">IF(N2211="N",ABS(J2211),"")</f>
        <v/>
      </c>
      <c r="P2211" s="18" t="str">
        <f aca="false">IF(N2211="N",B2211&amp;"|"&amp;ROUND(O2211,0),"")</f>
        <v/>
      </c>
      <c r="Q2211" s="18" t="str">
        <f aca="false">IF(N2211&lt;&gt;"Y","",IFERROR(INDEX($D$6:$D$4005,MATCH(B2211&amp;"|"&amp;ROUND(_xlfn.MAXIFS($O$6:$O$4005,$B$6:$B$4005,B2211,$N$6:$N$4005,"N"),0),$P$6:$P$4005,0)),"(tanpa lawan)"))</f>
        <v/>
      </c>
      <c r="R2211" s="44"/>
      <c r="S2211" s="9" t="str">
        <f aca="false">IF(N2211&lt;&gt;"Y","",IF(R2211&lt;&gt;"",R2211,IF(Q2211="(tanpa lawan)","Transfer antar rekening",IFERROR(INDEX(I_COA!$F$6:$F$265,MATCH(Q2211,I_COA!$A$6:$A$265,0)),"?"))))</f>
        <v/>
      </c>
    </row>
    <row r="2212" customFormat="false" ht="15" hidden="false" customHeight="false" outlineLevel="0" collapsed="false">
      <c r="A2212" s="37"/>
      <c r="B2212" s="44"/>
      <c r="C2212" s="44"/>
      <c r="D2212" s="44"/>
      <c r="E2212" s="44"/>
      <c r="F2212" s="44"/>
      <c r="G2212" s="42"/>
      <c r="H2212" s="42"/>
      <c r="I2212" s="44"/>
      <c r="J2212" s="11" t="str">
        <f aca="false">IF(D2212="","",N(G2212)-N(H2212))</f>
        <v/>
      </c>
      <c r="K2212" s="34" t="str">
        <f aca="false">IF(D2212="","",IFERROR(INDEX(I_COA!$C$6:$C$265,MATCH(D2212,I_COA!$A$6:$A$265,0)),"AKUN BARU"))</f>
        <v/>
      </c>
      <c r="L2212" s="34" t="str">
        <f aca="false">IF(K2212="LabaRugi",INDEX(I_COA!$D$6:$D$265,MATCH(D2212,I_COA!$A$6:$A$265,0)),"")</f>
        <v/>
      </c>
      <c r="M2212" s="34" t="str">
        <f aca="false">IF(K2212="Neraca",INDEX(I_COA!$E$6:$E$265,MATCH(D2212,I_COA!$A$6:$A$265,0)),"")</f>
        <v/>
      </c>
      <c r="N2212" s="34" t="str">
        <f aca="false">IF(D2212="","",IFERROR(INDEX(I_COA!$G$6:$G$265,MATCH(D2212,I_COA!$A$6:$A$265,0)),"N"))</f>
        <v/>
      </c>
      <c r="O2212" s="11" t="str">
        <f aca="false">IF(N2212="N",ABS(J2212),"")</f>
        <v/>
      </c>
      <c r="P2212" s="18" t="str">
        <f aca="false">IF(N2212="N",B2212&amp;"|"&amp;ROUND(O2212,0),"")</f>
        <v/>
      </c>
      <c r="Q2212" s="18" t="str">
        <f aca="false">IF(N2212&lt;&gt;"Y","",IFERROR(INDEX($D$6:$D$4005,MATCH(B2212&amp;"|"&amp;ROUND(_xlfn.MAXIFS($O$6:$O$4005,$B$6:$B$4005,B2212,$N$6:$N$4005,"N"),0),$P$6:$P$4005,0)),"(tanpa lawan)"))</f>
        <v/>
      </c>
      <c r="R2212" s="44"/>
      <c r="S2212" s="9" t="str">
        <f aca="false">IF(N2212&lt;&gt;"Y","",IF(R2212&lt;&gt;"",R2212,IF(Q2212="(tanpa lawan)","Transfer antar rekening",IFERROR(INDEX(I_COA!$F$6:$F$265,MATCH(Q2212,I_COA!$A$6:$A$265,0)),"?"))))</f>
        <v/>
      </c>
    </row>
    <row r="2213" customFormat="false" ht="15" hidden="false" customHeight="false" outlineLevel="0" collapsed="false">
      <c r="A2213" s="37"/>
      <c r="B2213" s="44"/>
      <c r="C2213" s="44"/>
      <c r="D2213" s="44"/>
      <c r="E2213" s="44"/>
      <c r="F2213" s="44"/>
      <c r="G2213" s="42"/>
      <c r="H2213" s="42"/>
      <c r="I2213" s="44"/>
      <c r="J2213" s="11" t="str">
        <f aca="false">IF(D2213="","",N(G2213)-N(H2213))</f>
        <v/>
      </c>
      <c r="K2213" s="34" t="str">
        <f aca="false">IF(D2213="","",IFERROR(INDEX(I_COA!$C$6:$C$265,MATCH(D2213,I_COA!$A$6:$A$265,0)),"AKUN BARU"))</f>
        <v/>
      </c>
      <c r="L2213" s="34" t="str">
        <f aca="false">IF(K2213="LabaRugi",INDEX(I_COA!$D$6:$D$265,MATCH(D2213,I_COA!$A$6:$A$265,0)),"")</f>
        <v/>
      </c>
      <c r="M2213" s="34" t="str">
        <f aca="false">IF(K2213="Neraca",INDEX(I_COA!$E$6:$E$265,MATCH(D2213,I_COA!$A$6:$A$265,0)),"")</f>
        <v/>
      </c>
      <c r="N2213" s="34" t="str">
        <f aca="false">IF(D2213="","",IFERROR(INDEX(I_COA!$G$6:$G$265,MATCH(D2213,I_COA!$A$6:$A$265,0)),"N"))</f>
        <v/>
      </c>
      <c r="O2213" s="11" t="str">
        <f aca="false">IF(N2213="N",ABS(J2213),"")</f>
        <v/>
      </c>
      <c r="P2213" s="18" t="str">
        <f aca="false">IF(N2213="N",B2213&amp;"|"&amp;ROUND(O2213,0),"")</f>
        <v/>
      </c>
      <c r="Q2213" s="18" t="str">
        <f aca="false">IF(N2213&lt;&gt;"Y","",IFERROR(INDEX($D$6:$D$4005,MATCH(B2213&amp;"|"&amp;ROUND(_xlfn.MAXIFS($O$6:$O$4005,$B$6:$B$4005,B2213,$N$6:$N$4005,"N"),0),$P$6:$P$4005,0)),"(tanpa lawan)"))</f>
        <v/>
      </c>
      <c r="R2213" s="44"/>
      <c r="S2213" s="9" t="str">
        <f aca="false">IF(N2213&lt;&gt;"Y","",IF(R2213&lt;&gt;"",R2213,IF(Q2213="(tanpa lawan)","Transfer antar rekening",IFERROR(INDEX(I_COA!$F$6:$F$265,MATCH(Q2213,I_COA!$A$6:$A$265,0)),"?"))))</f>
        <v/>
      </c>
    </row>
    <row r="2214" customFormat="false" ht="15" hidden="false" customHeight="false" outlineLevel="0" collapsed="false">
      <c r="A2214" s="37"/>
      <c r="B2214" s="44"/>
      <c r="C2214" s="44"/>
      <c r="D2214" s="44"/>
      <c r="E2214" s="44"/>
      <c r="F2214" s="44"/>
      <c r="G2214" s="42"/>
      <c r="H2214" s="42"/>
      <c r="I2214" s="44"/>
      <c r="J2214" s="11" t="str">
        <f aca="false">IF(D2214="","",N(G2214)-N(H2214))</f>
        <v/>
      </c>
      <c r="K2214" s="34" t="str">
        <f aca="false">IF(D2214="","",IFERROR(INDEX(I_COA!$C$6:$C$265,MATCH(D2214,I_COA!$A$6:$A$265,0)),"AKUN BARU"))</f>
        <v/>
      </c>
      <c r="L2214" s="34" t="str">
        <f aca="false">IF(K2214="LabaRugi",INDEX(I_COA!$D$6:$D$265,MATCH(D2214,I_COA!$A$6:$A$265,0)),"")</f>
        <v/>
      </c>
      <c r="M2214" s="34" t="str">
        <f aca="false">IF(K2214="Neraca",INDEX(I_COA!$E$6:$E$265,MATCH(D2214,I_COA!$A$6:$A$265,0)),"")</f>
        <v/>
      </c>
      <c r="N2214" s="34" t="str">
        <f aca="false">IF(D2214="","",IFERROR(INDEX(I_COA!$G$6:$G$265,MATCH(D2214,I_COA!$A$6:$A$265,0)),"N"))</f>
        <v/>
      </c>
      <c r="O2214" s="11" t="str">
        <f aca="false">IF(N2214="N",ABS(J2214),"")</f>
        <v/>
      </c>
      <c r="P2214" s="18" t="str">
        <f aca="false">IF(N2214="N",B2214&amp;"|"&amp;ROUND(O2214,0),"")</f>
        <v/>
      </c>
      <c r="Q2214" s="18" t="str">
        <f aca="false">IF(N2214&lt;&gt;"Y","",IFERROR(INDEX($D$6:$D$4005,MATCH(B2214&amp;"|"&amp;ROUND(_xlfn.MAXIFS($O$6:$O$4005,$B$6:$B$4005,B2214,$N$6:$N$4005,"N"),0),$P$6:$P$4005,0)),"(tanpa lawan)"))</f>
        <v/>
      </c>
      <c r="R2214" s="44"/>
      <c r="S2214" s="9" t="str">
        <f aca="false">IF(N2214&lt;&gt;"Y","",IF(R2214&lt;&gt;"",R2214,IF(Q2214="(tanpa lawan)","Transfer antar rekening",IFERROR(INDEX(I_COA!$F$6:$F$265,MATCH(Q2214,I_COA!$A$6:$A$265,0)),"?"))))</f>
        <v/>
      </c>
    </row>
    <row r="2215" customFormat="false" ht="15" hidden="false" customHeight="false" outlineLevel="0" collapsed="false">
      <c r="A2215" s="37"/>
      <c r="B2215" s="44"/>
      <c r="C2215" s="44"/>
      <c r="D2215" s="44"/>
      <c r="E2215" s="44"/>
      <c r="F2215" s="44"/>
      <c r="G2215" s="42"/>
      <c r="H2215" s="42"/>
      <c r="I2215" s="44"/>
      <c r="J2215" s="11" t="str">
        <f aca="false">IF(D2215="","",N(G2215)-N(H2215))</f>
        <v/>
      </c>
      <c r="K2215" s="34" t="str">
        <f aca="false">IF(D2215="","",IFERROR(INDEX(I_COA!$C$6:$C$265,MATCH(D2215,I_COA!$A$6:$A$265,0)),"AKUN BARU"))</f>
        <v/>
      </c>
      <c r="L2215" s="34" t="str">
        <f aca="false">IF(K2215="LabaRugi",INDEX(I_COA!$D$6:$D$265,MATCH(D2215,I_COA!$A$6:$A$265,0)),"")</f>
        <v/>
      </c>
      <c r="M2215" s="34" t="str">
        <f aca="false">IF(K2215="Neraca",INDEX(I_COA!$E$6:$E$265,MATCH(D2215,I_COA!$A$6:$A$265,0)),"")</f>
        <v/>
      </c>
      <c r="N2215" s="34" t="str">
        <f aca="false">IF(D2215="","",IFERROR(INDEX(I_COA!$G$6:$G$265,MATCH(D2215,I_COA!$A$6:$A$265,0)),"N"))</f>
        <v/>
      </c>
      <c r="O2215" s="11" t="str">
        <f aca="false">IF(N2215="N",ABS(J2215),"")</f>
        <v/>
      </c>
      <c r="P2215" s="18" t="str">
        <f aca="false">IF(N2215="N",B2215&amp;"|"&amp;ROUND(O2215,0),"")</f>
        <v/>
      </c>
      <c r="Q2215" s="18" t="str">
        <f aca="false">IF(N2215&lt;&gt;"Y","",IFERROR(INDEX($D$6:$D$4005,MATCH(B2215&amp;"|"&amp;ROUND(_xlfn.MAXIFS($O$6:$O$4005,$B$6:$B$4005,B2215,$N$6:$N$4005,"N"),0),$P$6:$P$4005,0)),"(tanpa lawan)"))</f>
        <v/>
      </c>
      <c r="R2215" s="44"/>
      <c r="S2215" s="9" t="str">
        <f aca="false">IF(N2215&lt;&gt;"Y","",IF(R2215&lt;&gt;"",R2215,IF(Q2215="(tanpa lawan)","Transfer antar rekening",IFERROR(INDEX(I_COA!$F$6:$F$265,MATCH(Q2215,I_COA!$A$6:$A$265,0)),"?"))))</f>
        <v/>
      </c>
    </row>
    <row r="2216" customFormat="false" ht="15" hidden="false" customHeight="false" outlineLevel="0" collapsed="false">
      <c r="A2216" s="37"/>
      <c r="B2216" s="44"/>
      <c r="C2216" s="44"/>
      <c r="D2216" s="44"/>
      <c r="E2216" s="44"/>
      <c r="F2216" s="44"/>
      <c r="G2216" s="42"/>
      <c r="H2216" s="42"/>
      <c r="I2216" s="44"/>
      <c r="J2216" s="11" t="str">
        <f aca="false">IF(D2216="","",N(G2216)-N(H2216))</f>
        <v/>
      </c>
      <c r="K2216" s="34" t="str">
        <f aca="false">IF(D2216="","",IFERROR(INDEX(I_COA!$C$6:$C$265,MATCH(D2216,I_COA!$A$6:$A$265,0)),"AKUN BARU"))</f>
        <v/>
      </c>
      <c r="L2216" s="34" t="str">
        <f aca="false">IF(K2216="LabaRugi",INDEX(I_COA!$D$6:$D$265,MATCH(D2216,I_COA!$A$6:$A$265,0)),"")</f>
        <v/>
      </c>
      <c r="M2216" s="34" t="str">
        <f aca="false">IF(K2216="Neraca",INDEX(I_COA!$E$6:$E$265,MATCH(D2216,I_COA!$A$6:$A$265,0)),"")</f>
        <v/>
      </c>
      <c r="N2216" s="34" t="str">
        <f aca="false">IF(D2216="","",IFERROR(INDEX(I_COA!$G$6:$G$265,MATCH(D2216,I_COA!$A$6:$A$265,0)),"N"))</f>
        <v/>
      </c>
      <c r="O2216" s="11" t="str">
        <f aca="false">IF(N2216="N",ABS(J2216),"")</f>
        <v/>
      </c>
      <c r="P2216" s="18" t="str">
        <f aca="false">IF(N2216="N",B2216&amp;"|"&amp;ROUND(O2216,0),"")</f>
        <v/>
      </c>
      <c r="Q2216" s="18" t="str">
        <f aca="false">IF(N2216&lt;&gt;"Y","",IFERROR(INDEX($D$6:$D$4005,MATCH(B2216&amp;"|"&amp;ROUND(_xlfn.MAXIFS($O$6:$O$4005,$B$6:$B$4005,B2216,$N$6:$N$4005,"N"),0),$P$6:$P$4005,0)),"(tanpa lawan)"))</f>
        <v/>
      </c>
      <c r="R2216" s="44"/>
      <c r="S2216" s="9" t="str">
        <f aca="false">IF(N2216&lt;&gt;"Y","",IF(R2216&lt;&gt;"",R2216,IF(Q2216="(tanpa lawan)","Transfer antar rekening",IFERROR(INDEX(I_COA!$F$6:$F$265,MATCH(Q2216,I_COA!$A$6:$A$265,0)),"?"))))</f>
        <v/>
      </c>
    </row>
    <row r="2217" customFormat="false" ht="15" hidden="false" customHeight="false" outlineLevel="0" collapsed="false">
      <c r="A2217" s="37"/>
      <c r="B2217" s="44"/>
      <c r="C2217" s="44"/>
      <c r="D2217" s="44"/>
      <c r="E2217" s="44"/>
      <c r="F2217" s="44"/>
      <c r="G2217" s="42"/>
      <c r="H2217" s="42"/>
      <c r="I2217" s="44"/>
      <c r="J2217" s="11" t="str">
        <f aca="false">IF(D2217="","",N(G2217)-N(H2217))</f>
        <v/>
      </c>
      <c r="K2217" s="34" t="str">
        <f aca="false">IF(D2217="","",IFERROR(INDEX(I_COA!$C$6:$C$265,MATCH(D2217,I_COA!$A$6:$A$265,0)),"AKUN BARU"))</f>
        <v/>
      </c>
      <c r="L2217" s="34" t="str">
        <f aca="false">IF(K2217="LabaRugi",INDEX(I_COA!$D$6:$D$265,MATCH(D2217,I_COA!$A$6:$A$265,0)),"")</f>
        <v/>
      </c>
      <c r="M2217" s="34" t="str">
        <f aca="false">IF(K2217="Neraca",INDEX(I_COA!$E$6:$E$265,MATCH(D2217,I_COA!$A$6:$A$265,0)),"")</f>
        <v/>
      </c>
      <c r="N2217" s="34" t="str">
        <f aca="false">IF(D2217="","",IFERROR(INDEX(I_COA!$G$6:$G$265,MATCH(D2217,I_COA!$A$6:$A$265,0)),"N"))</f>
        <v/>
      </c>
      <c r="O2217" s="11" t="str">
        <f aca="false">IF(N2217="N",ABS(J2217),"")</f>
        <v/>
      </c>
      <c r="P2217" s="18" t="str">
        <f aca="false">IF(N2217="N",B2217&amp;"|"&amp;ROUND(O2217,0),"")</f>
        <v/>
      </c>
      <c r="Q2217" s="18" t="str">
        <f aca="false">IF(N2217&lt;&gt;"Y","",IFERROR(INDEX($D$6:$D$4005,MATCH(B2217&amp;"|"&amp;ROUND(_xlfn.MAXIFS($O$6:$O$4005,$B$6:$B$4005,B2217,$N$6:$N$4005,"N"),0),$P$6:$P$4005,0)),"(tanpa lawan)"))</f>
        <v/>
      </c>
      <c r="R2217" s="44"/>
      <c r="S2217" s="9" t="str">
        <f aca="false">IF(N2217&lt;&gt;"Y","",IF(R2217&lt;&gt;"",R2217,IF(Q2217="(tanpa lawan)","Transfer antar rekening",IFERROR(INDEX(I_COA!$F$6:$F$265,MATCH(Q2217,I_COA!$A$6:$A$265,0)),"?"))))</f>
        <v/>
      </c>
    </row>
    <row r="2218" customFormat="false" ht="15" hidden="false" customHeight="false" outlineLevel="0" collapsed="false">
      <c r="A2218" s="37"/>
      <c r="B2218" s="44"/>
      <c r="C2218" s="44"/>
      <c r="D2218" s="44"/>
      <c r="E2218" s="44"/>
      <c r="F2218" s="44"/>
      <c r="G2218" s="42"/>
      <c r="H2218" s="42"/>
      <c r="I2218" s="44"/>
      <c r="J2218" s="11" t="str">
        <f aca="false">IF(D2218="","",N(G2218)-N(H2218))</f>
        <v/>
      </c>
      <c r="K2218" s="34" t="str">
        <f aca="false">IF(D2218="","",IFERROR(INDEX(I_COA!$C$6:$C$265,MATCH(D2218,I_COA!$A$6:$A$265,0)),"AKUN BARU"))</f>
        <v/>
      </c>
      <c r="L2218" s="34" t="str">
        <f aca="false">IF(K2218="LabaRugi",INDEX(I_COA!$D$6:$D$265,MATCH(D2218,I_COA!$A$6:$A$265,0)),"")</f>
        <v/>
      </c>
      <c r="M2218" s="34" t="str">
        <f aca="false">IF(K2218="Neraca",INDEX(I_COA!$E$6:$E$265,MATCH(D2218,I_COA!$A$6:$A$265,0)),"")</f>
        <v/>
      </c>
      <c r="N2218" s="34" t="str">
        <f aca="false">IF(D2218="","",IFERROR(INDEX(I_COA!$G$6:$G$265,MATCH(D2218,I_COA!$A$6:$A$265,0)),"N"))</f>
        <v/>
      </c>
      <c r="O2218" s="11" t="str">
        <f aca="false">IF(N2218="N",ABS(J2218),"")</f>
        <v/>
      </c>
      <c r="P2218" s="18" t="str">
        <f aca="false">IF(N2218="N",B2218&amp;"|"&amp;ROUND(O2218,0),"")</f>
        <v/>
      </c>
      <c r="Q2218" s="18" t="str">
        <f aca="false">IF(N2218&lt;&gt;"Y","",IFERROR(INDEX($D$6:$D$4005,MATCH(B2218&amp;"|"&amp;ROUND(_xlfn.MAXIFS($O$6:$O$4005,$B$6:$B$4005,B2218,$N$6:$N$4005,"N"),0),$P$6:$P$4005,0)),"(tanpa lawan)"))</f>
        <v/>
      </c>
      <c r="R2218" s="44"/>
      <c r="S2218" s="9" t="str">
        <f aca="false">IF(N2218&lt;&gt;"Y","",IF(R2218&lt;&gt;"",R2218,IF(Q2218="(tanpa lawan)","Transfer antar rekening",IFERROR(INDEX(I_COA!$F$6:$F$265,MATCH(Q2218,I_COA!$A$6:$A$265,0)),"?"))))</f>
        <v/>
      </c>
    </row>
    <row r="2219" customFormat="false" ht="15" hidden="false" customHeight="false" outlineLevel="0" collapsed="false">
      <c r="A2219" s="37"/>
      <c r="B2219" s="44"/>
      <c r="C2219" s="44"/>
      <c r="D2219" s="44"/>
      <c r="E2219" s="44"/>
      <c r="F2219" s="44"/>
      <c r="G2219" s="42"/>
      <c r="H2219" s="42"/>
      <c r="I2219" s="44"/>
      <c r="J2219" s="11" t="str">
        <f aca="false">IF(D2219="","",N(G2219)-N(H2219))</f>
        <v/>
      </c>
      <c r="K2219" s="34" t="str">
        <f aca="false">IF(D2219="","",IFERROR(INDEX(I_COA!$C$6:$C$265,MATCH(D2219,I_COA!$A$6:$A$265,0)),"AKUN BARU"))</f>
        <v/>
      </c>
      <c r="L2219" s="34" t="str">
        <f aca="false">IF(K2219="LabaRugi",INDEX(I_COA!$D$6:$D$265,MATCH(D2219,I_COA!$A$6:$A$265,0)),"")</f>
        <v/>
      </c>
      <c r="M2219" s="34" t="str">
        <f aca="false">IF(K2219="Neraca",INDEX(I_COA!$E$6:$E$265,MATCH(D2219,I_COA!$A$6:$A$265,0)),"")</f>
        <v/>
      </c>
      <c r="N2219" s="34" t="str">
        <f aca="false">IF(D2219="","",IFERROR(INDEX(I_COA!$G$6:$G$265,MATCH(D2219,I_COA!$A$6:$A$265,0)),"N"))</f>
        <v/>
      </c>
      <c r="O2219" s="11" t="str">
        <f aca="false">IF(N2219="N",ABS(J2219),"")</f>
        <v/>
      </c>
      <c r="P2219" s="18" t="str">
        <f aca="false">IF(N2219="N",B2219&amp;"|"&amp;ROUND(O2219,0),"")</f>
        <v/>
      </c>
      <c r="Q2219" s="18" t="str">
        <f aca="false">IF(N2219&lt;&gt;"Y","",IFERROR(INDEX($D$6:$D$4005,MATCH(B2219&amp;"|"&amp;ROUND(_xlfn.MAXIFS($O$6:$O$4005,$B$6:$B$4005,B2219,$N$6:$N$4005,"N"),0),$P$6:$P$4005,0)),"(tanpa lawan)"))</f>
        <v/>
      </c>
      <c r="R2219" s="44"/>
      <c r="S2219" s="9" t="str">
        <f aca="false">IF(N2219&lt;&gt;"Y","",IF(R2219&lt;&gt;"",R2219,IF(Q2219="(tanpa lawan)","Transfer antar rekening",IFERROR(INDEX(I_COA!$F$6:$F$265,MATCH(Q2219,I_COA!$A$6:$A$265,0)),"?"))))</f>
        <v/>
      </c>
    </row>
    <row r="2220" customFormat="false" ht="15" hidden="false" customHeight="false" outlineLevel="0" collapsed="false">
      <c r="A2220" s="37"/>
      <c r="B2220" s="44"/>
      <c r="C2220" s="44"/>
      <c r="D2220" s="44"/>
      <c r="E2220" s="44"/>
      <c r="F2220" s="44"/>
      <c r="G2220" s="42"/>
      <c r="H2220" s="42"/>
      <c r="I2220" s="44"/>
      <c r="J2220" s="11" t="str">
        <f aca="false">IF(D2220="","",N(G2220)-N(H2220))</f>
        <v/>
      </c>
      <c r="K2220" s="34" t="str">
        <f aca="false">IF(D2220="","",IFERROR(INDEX(I_COA!$C$6:$C$265,MATCH(D2220,I_COA!$A$6:$A$265,0)),"AKUN BARU"))</f>
        <v/>
      </c>
      <c r="L2220" s="34" t="str">
        <f aca="false">IF(K2220="LabaRugi",INDEX(I_COA!$D$6:$D$265,MATCH(D2220,I_COA!$A$6:$A$265,0)),"")</f>
        <v/>
      </c>
      <c r="M2220" s="34" t="str">
        <f aca="false">IF(K2220="Neraca",INDEX(I_COA!$E$6:$E$265,MATCH(D2220,I_COA!$A$6:$A$265,0)),"")</f>
        <v/>
      </c>
      <c r="N2220" s="34" t="str">
        <f aca="false">IF(D2220="","",IFERROR(INDEX(I_COA!$G$6:$G$265,MATCH(D2220,I_COA!$A$6:$A$265,0)),"N"))</f>
        <v/>
      </c>
      <c r="O2220" s="11" t="str">
        <f aca="false">IF(N2220="N",ABS(J2220),"")</f>
        <v/>
      </c>
      <c r="P2220" s="18" t="str">
        <f aca="false">IF(N2220="N",B2220&amp;"|"&amp;ROUND(O2220,0),"")</f>
        <v/>
      </c>
      <c r="Q2220" s="18" t="str">
        <f aca="false">IF(N2220&lt;&gt;"Y","",IFERROR(INDEX($D$6:$D$4005,MATCH(B2220&amp;"|"&amp;ROUND(_xlfn.MAXIFS($O$6:$O$4005,$B$6:$B$4005,B2220,$N$6:$N$4005,"N"),0),$P$6:$P$4005,0)),"(tanpa lawan)"))</f>
        <v/>
      </c>
      <c r="R2220" s="44"/>
      <c r="S2220" s="9" t="str">
        <f aca="false">IF(N2220&lt;&gt;"Y","",IF(R2220&lt;&gt;"",R2220,IF(Q2220="(tanpa lawan)","Transfer antar rekening",IFERROR(INDEX(I_COA!$F$6:$F$265,MATCH(Q2220,I_COA!$A$6:$A$265,0)),"?"))))</f>
        <v/>
      </c>
    </row>
    <row r="2221" customFormat="false" ht="15" hidden="false" customHeight="false" outlineLevel="0" collapsed="false">
      <c r="A2221" s="37"/>
      <c r="B2221" s="44"/>
      <c r="C2221" s="44"/>
      <c r="D2221" s="44"/>
      <c r="E2221" s="44"/>
      <c r="F2221" s="44"/>
      <c r="G2221" s="42"/>
      <c r="H2221" s="42"/>
      <c r="I2221" s="44"/>
      <c r="J2221" s="11" t="str">
        <f aca="false">IF(D2221="","",N(G2221)-N(H2221))</f>
        <v/>
      </c>
      <c r="K2221" s="34" t="str">
        <f aca="false">IF(D2221="","",IFERROR(INDEX(I_COA!$C$6:$C$265,MATCH(D2221,I_COA!$A$6:$A$265,0)),"AKUN BARU"))</f>
        <v/>
      </c>
      <c r="L2221" s="34" t="str">
        <f aca="false">IF(K2221="LabaRugi",INDEX(I_COA!$D$6:$D$265,MATCH(D2221,I_COA!$A$6:$A$265,0)),"")</f>
        <v/>
      </c>
      <c r="M2221" s="34" t="str">
        <f aca="false">IF(K2221="Neraca",INDEX(I_COA!$E$6:$E$265,MATCH(D2221,I_COA!$A$6:$A$265,0)),"")</f>
        <v/>
      </c>
      <c r="N2221" s="34" t="str">
        <f aca="false">IF(D2221="","",IFERROR(INDEX(I_COA!$G$6:$G$265,MATCH(D2221,I_COA!$A$6:$A$265,0)),"N"))</f>
        <v/>
      </c>
      <c r="O2221" s="11" t="str">
        <f aca="false">IF(N2221="N",ABS(J2221),"")</f>
        <v/>
      </c>
      <c r="P2221" s="18" t="str">
        <f aca="false">IF(N2221="N",B2221&amp;"|"&amp;ROUND(O2221,0),"")</f>
        <v/>
      </c>
      <c r="Q2221" s="18" t="str">
        <f aca="false">IF(N2221&lt;&gt;"Y","",IFERROR(INDEX($D$6:$D$4005,MATCH(B2221&amp;"|"&amp;ROUND(_xlfn.MAXIFS($O$6:$O$4005,$B$6:$B$4005,B2221,$N$6:$N$4005,"N"),0),$P$6:$P$4005,0)),"(tanpa lawan)"))</f>
        <v/>
      </c>
      <c r="R2221" s="44"/>
      <c r="S2221" s="9" t="str">
        <f aca="false">IF(N2221&lt;&gt;"Y","",IF(R2221&lt;&gt;"",R2221,IF(Q2221="(tanpa lawan)","Transfer antar rekening",IFERROR(INDEX(I_COA!$F$6:$F$265,MATCH(Q2221,I_COA!$A$6:$A$265,0)),"?"))))</f>
        <v/>
      </c>
    </row>
    <row r="2222" customFormat="false" ht="15" hidden="false" customHeight="false" outlineLevel="0" collapsed="false">
      <c r="A2222" s="37"/>
      <c r="B2222" s="44"/>
      <c r="C2222" s="44"/>
      <c r="D2222" s="44"/>
      <c r="E2222" s="44"/>
      <c r="F2222" s="44"/>
      <c r="G2222" s="42"/>
      <c r="H2222" s="42"/>
      <c r="I2222" s="44"/>
      <c r="J2222" s="11" t="str">
        <f aca="false">IF(D2222="","",N(G2222)-N(H2222))</f>
        <v/>
      </c>
      <c r="K2222" s="34" t="str">
        <f aca="false">IF(D2222="","",IFERROR(INDEX(I_COA!$C$6:$C$265,MATCH(D2222,I_COA!$A$6:$A$265,0)),"AKUN BARU"))</f>
        <v/>
      </c>
      <c r="L2222" s="34" t="str">
        <f aca="false">IF(K2222="LabaRugi",INDEX(I_COA!$D$6:$D$265,MATCH(D2222,I_COA!$A$6:$A$265,0)),"")</f>
        <v/>
      </c>
      <c r="M2222" s="34" t="str">
        <f aca="false">IF(K2222="Neraca",INDEX(I_COA!$E$6:$E$265,MATCH(D2222,I_COA!$A$6:$A$265,0)),"")</f>
        <v/>
      </c>
      <c r="N2222" s="34" t="str">
        <f aca="false">IF(D2222="","",IFERROR(INDEX(I_COA!$G$6:$G$265,MATCH(D2222,I_COA!$A$6:$A$265,0)),"N"))</f>
        <v/>
      </c>
      <c r="O2222" s="11" t="str">
        <f aca="false">IF(N2222="N",ABS(J2222),"")</f>
        <v/>
      </c>
      <c r="P2222" s="18" t="str">
        <f aca="false">IF(N2222="N",B2222&amp;"|"&amp;ROUND(O2222,0),"")</f>
        <v/>
      </c>
      <c r="Q2222" s="18" t="str">
        <f aca="false">IF(N2222&lt;&gt;"Y","",IFERROR(INDEX($D$6:$D$4005,MATCH(B2222&amp;"|"&amp;ROUND(_xlfn.MAXIFS($O$6:$O$4005,$B$6:$B$4005,B2222,$N$6:$N$4005,"N"),0),$P$6:$P$4005,0)),"(tanpa lawan)"))</f>
        <v/>
      </c>
      <c r="R2222" s="44"/>
      <c r="S2222" s="9" t="str">
        <f aca="false">IF(N2222&lt;&gt;"Y","",IF(R2222&lt;&gt;"",R2222,IF(Q2222="(tanpa lawan)","Transfer antar rekening",IFERROR(INDEX(I_COA!$F$6:$F$265,MATCH(Q2222,I_COA!$A$6:$A$265,0)),"?"))))</f>
        <v/>
      </c>
    </row>
    <row r="2223" customFormat="false" ht="15" hidden="false" customHeight="false" outlineLevel="0" collapsed="false">
      <c r="A2223" s="37"/>
      <c r="B2223" s="44"/>
      <c r="C2223" s="44"/>
      <c r="D2223" s="44"/>
      <c r="E2223" s="44"/>
      <c r="F2223" s="44"/>
      <c r="G2223" s="42"/>
      <c r="H2223" s="42"/>
      <c r="I2223" s="44"/>
      <c r="J2223" s="11" t="str">
        <f aca="false">IF(D2223="","",N(G2223)-N(H2223))</f>
        <v/>
      </c>
      <c r="K2223" s="34" t="str">
        <f aca="false">IF(D2223="","",IFERROR(INDEX(I_COA!$C$6:$C$265,MATCH(D2223,I_COA!$A$6:$A$265,0)),"AKUN BARU"))</f>
        <v/>
      </c>
      <c r="L2223" s="34" t="str">
        <f aca="false">IF(K2223="LabaRugi",INDEX(I_COA!$D$6:$D$265,MATCH(D2223,I_COA!$A$6:$A$265,0)),"")</f>
        <v/>
      </c>
      <c r="M2223" s="34" t="str">
        <f aca="false">IF(K2223="Neraca",INDEX(I_COA!$E$6:$E$265,MATCH(D2223,I_COA!$A$6:$A$265,0)),"")</f>
        <v/>
      </c>
      <c r="N2223" s="34" t="str">
        <f aca="false">IF(D2223="","",IFERROR(INDEX(I_COA!$G$6:$G$265,MATCH(D2223,I_COA!$A$6:$A$265,0)),"N"))</f>
        <v/>
      </c>
      <c r="O2223" s="11" t="str">
        <f aca="false">IF(N2223="N",ABS(J2223),"")</f>
        <v/>
      </c>
      <c r="P2223" s="18" t="str">
        <f aca="false">IF(N2223="N",B2223&amp;"|"&amp;ROUND(O2223,0),"")</f>
        <v/>
      </c>
      <c r="Q2223" s="18" t="str">
        <f aca="false">IF(N2223&lt;&gt;"Y","",IFERROR(INDEX($D$6:$D$4005,MATCH(B2223&amp;"|"&amp;ROUND(_xlfn.MAXIFS($O$6:$O$4005,$B$6:$B$4005,B2223,$N$6:$N$4005,"N"),0),$P$6:$P$4005,0)),"(tanpa lawan)"))</f>
        <v/>
      </c>
      <c r="R2223" s="44"/>
      <c r="S2223" s="9" t="str">
        <f aca="false">IF(N2223&lt;&gt;"Y","",IF(R2223&lt;&gt;"",R2223,IF(Q2223="(tanpa lawan)","Transfer antar rekening",IFERROR(INDEX(I_COA!$F$6:$F$265,MATCH(Q2223,I_COA!$A$6:$A$265,0)),"?"))))</f>
        <v/>
      </c>
    </row>
    <row r="2224" customFormat="false" ht="15" hidden="false" customHeight="false" outlineLevel="0" collapsed="false">
      <c r="A2224" s="37"/>
      <c r="B2224" s="44"/>
      <c r="C2224" s="44"/>
      <c r="D2224" s="44"/>
      <c r="E2224" s="44"/>
      <c r="F2224" s="44"/>
      <c r="G2224" s="42"/>
      <c r="H2224" s="42"/>
      <c r="I2224" s="44"/>
      <c r="J2224" s="11" t="str">
        <f aca="false">IF(D2224="","",N(G2224)-N(H2224))</f>
        <v/>
      </c>
      <c r="K2224" s="34" t="str">
        <f aca="false">IF(D2224="","",IFERROR(INDEX(I_COA!$C$6:$C$265,MATCH(D2224,I_COA!$A$6:$A$265,0)),"AKUN BARU"))</f>
        <v/>
      </c>
      <c r="L2224" s="34" t="str">
        <f aca="false">IF(K2224="LabaRugi",INDEX(I_COA!$D$6:$D$265,MATCH(D2224,I_COA!$A$6:$A$265,0)),"")</f>
        <v/>
      </c>
      <c r="M2224" s="34" t="str">
        <f aca="false">IF(K2224="Neraca",INDEX(I_COA!$E$6:$E$265,MATCH(D2224,I_COA!$A$6:$A$265,0)),"")</f>
        <v/>
      </c>
      <c r="N2224" s="34" t="str">
        <f aca="false">IF(D2224="","",IFERROR(INDEX(I_COA!$G$6:$G$265,MATCH(D2224,I_COA!$A$6:$A$265,0)),"N"))</f>
        <v/>
      </c>
      <c r="O2224" s="11" t="str">
        <f aca="false">IF(N2224="N",ABS(J2224),"")</f>
        <v/>
      </c>
      <c r="P2224" s="18" t="str">
        <f aca="false">IF(N2224="N",B2224&amp;"|"&amp;ROUND(O2224,0),"")</f>
        <v/>
      </c>
      <c r="Q2224" s="18" t="str">
        <f aca="false">IF(N2224&lt;&gt;"Y","",IFERROR(INDEX($D$6:$D$4005,MATCH(B2224&amp;"|"&amp;ROUND(_xlfn.MAXIFS($O$6:$O$4005,$B$6:$B$4005,B2224,$N$6:$N$4005,"N"),0),$P$6:$P$4005,0)),"(tanpa lawan)"))</f>
        <v/>
      </c>
      <c r="R2224" s="44"/>
      <c r="S2224" s="9" t="str">
        <f aca="false">IF(N2224&lt;&gt;"Y","",IF(R2224&lt;&gt;"",R2224,IF(Q2224="(tanpa lawan)","Transfer antar rekening",IFERROR(INDEX(I_COA!$F$6:$F$265,MATCH(Q2224,I_COA!$A$6:$A$265,0)),"?"))))</f>
        <v/>
      </c>
    </row>
    <row r="2225" customFormat="false" ht="15" hidden="false" customHeight="false" outlineLevel="0" collapsed="false">
      <c r="A2225" s="37"/>
      <c r="B2225" s="44"/>
      <c r="C2225" s="44"/>
      <c r="D2225" s="44"/>
      <c r="E2225" s="44"/>
      <c r="F2225" s="44"/>
      <c r="G2225" s="42"/>
      <c r="H2225" s="42"/>
      <c r="I2225" s="44"/>
      <c r="J2225" s="11" t="str">
        <f aca="false">IF(D2225="","",N(G2225)-N(H2225))</f>
        <v/>
      </c>
      <c r="K2225" s="34" t="str">
        <f aca="false">IF(D2225="","",IFERROR(INDEX(I_COA!$C$6:$C$265,MATCH(D2225,I_COA!$A$6:$A$265,0)),"AKUN BARU"))</f>
        <v/>
      </c>
      <c r="L2225" s="34" t="str">
        <f aca="false">IF(K2225="LabaRugi",INDEX(I_COA!$D$6:$D$265,MATCH(D2225,I_COA!$A$6:$A$265,0)),"")</f>
        <v/>
      </c>
      <c r="M2225" s="34" t="str">
        <f aca="false">IF(K2225="Neraca",INDEX(I_COA!$E$6:$E$265,MATCH(D2225,I_COA!$A$6:$A$265,0)),"")</f>
        <v/>
      </c>
      <c r="N2225" s="34" t="str">
        <f aca="false">IF(D2225="","",IFERROR(INDEX(I_COA!$G$6:$G$265,MATCH(D2225,I_COA!$A$6:$A$265,0)),"N"))</f>
        <v/>
      </c>
      <c r="O2225" s="11" t="str">
        <f aca="false">IF(N2225="N",ABS(J2225),"")</f>
        <v/>
      </c>
      <c r="P2225" s="18" t="str">
        <f aca="false">IF(N2225="N",B2225&amp;"|"&amp;ROUND(O2225,0),"")</f>
        <v/>
      </c>
      <c r="Q2225" s="18" t="str">
        <f aca="false">IF(N2225&lt;&gt;"Y","",IFERROR(INDEX($D$6:$D$4005,MATCH(B2225&amp;"|"&amp;ROUND(_xlfn.MAXIFS($O$6:$O$4005,$B$6:$B$4005,B2225,$N$6:$N$4005,"N"),0),$P$6:$P$4005,0)),"(tanpa lawan)"))</f>
        <v/>
      </c>
      <c r="R2225" s="44"/>
      <c r="S2225" s="9" t="str">
        <f aca="false">IF(N2225&lt;&gt;"Y","",IF(R2225&lt;&gt;"",R2225,IF(Q2225="(tanpa lawan)","Transfer antar rekening",IFERROR(INDEX(I_COA!$F$6:$F$265,MATCH(Q2225,I_COA!$A$6:$A$265,0)),"?"))))</f>
        <v/>
      </c>
    </row>
    <row r="2226" customFormat="false" ht="15" hidden="false" customHeight="false" outlineLevel="0" collapsed="false">
      <c r="A2226" s="37"/>
      <c r="B2226" s="44"/>
      <c r="C2226" s="44"/>
      <c r="D2226" s="44"/>
      <c r="E2226" s="44"/>
      <c r="F2226" s="44"/>
      <c r="G2226" s="42"/>
      <c r="H2226" s="42"/>
      <c r="I2226" s="44"/>
      <c r="J2226" s="11" t="str">
        <f aca="false">IF(D2226="","",N(G2226)-N(H2226))</f>
        <v/>
      </c>
      <c r="K2226" s="34" t="str">
        <f aca="false">IF(D2226="","",IFERROR(INDEX(I_COA!$C$6:$C$265,MATCH(D2226,I_COA!$A$6:$A$265,0)),"AKUN BARU"))</f>
        <v/>
      </c>
      <c r="L2226" s="34" t="str">
        <f aca="false">IF(K2226="LabaRugi",INDEX(I_COA!$D$6:$D$265,MATCH(D2226,I_COA!$A$6:$A$265,0)),"")</f>
        <v/>
      </c>
      <c r="M2226" s="34" t="str">
        <f aca="false">IF(K2226="Neraca",INDEX(I_COA!$E$6:$E$265,MATCH(D2226,I_COA!$A$6:$A$265,0)),"")</f>
        <v/>
      </c>
      <c r="N2226" s="34" t="str">
        <f aca="false">IF(D2226="","",IFERROR(INDEX(I_COA!$G$6:$G$265,MATCH(D2226,I_COA!$A$6:$A$265,0)),"N"))</f>
        <v/>
      </c>
      <c r="O2226" s="11" t="str">
        <f aca="false">IF(N2226="N",ABS(J2226),"")</f>
        <v/>
      </c>
      <c r="P2226" s="18" t="str">
        <f aca="false">IF(N2226="N",B2226&amp;"|"&amp;ROUND(O2226,0),"")</f>
        <v/>
      </c>
      <c r="Q2226" s="18" t="str">
        <f aca="false">IF(N2226&lt;&gt;"Y","",IFERROR(INDEX($D$6:$D$4005,MATCH(B2226&amp;"|"&amp;ROUND(_xlfn.MAXIFS($O$6:$O$4005,$B$6:$B$4005,B2226,$N$6:$N$4005,"N"),0),$P$6:$P$4005,0)),"(tanpa lawan)"))</f>
        <v/>
      </c>
      <c r="R2226" s="44"/>
      <c r="S2226" s="9" t="str">
        <f aca="false">IF(N2226&lt;&gt;"Y","",IF(R2226&lt;&gt;"",R2226,IF(Q2226="(tanpa lawan)","Transfer antar rekening",IFERROR(INDEX(I_COA!$F$6:$F$265,MATCH(Q2226,I_COA!$A$6:$A$265,0)),"?"))))</f>
        <v/>
      </c>
    </row>
    <row r="2227" customFormat="false" ht="15" hidden="false" customHeight="false" outlineLevel="0" collapsed="false">
      <c r="A2227" s="37"/>
      <c r="B2227" s="44"/>
      <c r="C2227" s="44"/>
      <c r="D2227" s="44"/>
      <c r="E2227" s="44"/>
      <c r="F2227" s="44"/>
      <c r="G2227" s="42"/>
      <c r="H2227" s="42"/>
      <c r="I2227" s="44"/>
      <c r="J2227" s="11" t="str">
        <f aca="false">IF(D2227="","",N(G2227)-N(H2227))</f>
        <v/>
      </c>
      <c r="K2227" s="34" t="str">
        <f aca="false">IF(D2227="","",IFERROR(INDEX(I_COA!$C$6:$C$265,MATCH(D2227,I_COA!$A$6:$A$265,0)),"AKUN BARU"))</f>
        <v/>
      </c>
      <c r="L2227" s="34" t="str">
        <f aca="false">IF(K2227="LabaRugi",INDEX(I_COA!$D$6:$D$265,MATCH(D2227,I_COA!$A$6:$A$265,0)),"")</f>
        <v/>
      </c>
      <c r="M2227" s="34" t="str">
        <f aca="false">IF(K2227="Neraca",INDEX(I_COA!$E$6:$E$265,MATCH(D2227,I_COA!$A$6:$A$265,0)),"")</f>
        <v/>
      </c>
      <c r="N2227" s="34" t="str">
        <f aca="false">IF(D2227="","",IFERROR(INDEX(I_COA!$G$6:$G$265,MATCH(D2227,I_COA!$A$6:$A$265,0)),"N"))</f>
        <v/>
      </c>
      <c r="O2227" s="11" t="str">
        <f aca="false">IF(N2227="N",ABS(J2227),"")</f>
        <v/>
      </c>
      <c r="P2227" s="18" t="str">
        <f aca="false">IF(N2227="N",B2227&amp;"|"&amp;ROUND(O2227,0),"")</f>
        <v/>
      </c>
      <c r="Q2227" s="18" t="str">
        <f aca="false">IF(N2227&lt;&gt;"Y","",IFERROR(INDEX($D$6:$D$4005,MATCH(B2227&amp;"|"&amp;ROUND(_xlfn.MAXIFS($O$6:$O$4005,$B$6:$B$4005,B2227,$N$6:$N$4005,"N"),0),$P$6:$P$4005,0)),"(tanpa lawan)"))</f>
        <v/>
      </c>
      <c r="R2227" s="44"/>
      <c r="S2227" s="9" t="str">
        <f aca="false">IF(N2227&lt;&gt;"Y","",IF(R2227&lt;&gt;"",R2227,IF(Q2227="(tanpa lawan)","Transfer antar rekening",IFERROR(INDEX(I_COA!$F$6:$F$265,MATCH(Q2227,I_COA!$A$6:$A$265,0)),"?"))))</f>
        <v/>
      </c>
    </row>
    <row r="2228" customFormat="false" ht="15" hidden="false" customHeight="false" outlineLevel="0" collapsed="false">
      <c r="A2228" s="37"/>
      <c r="B2228" s="44"/>
      <c r="C2228" s="44"/>
      <c r="D2228" s="44"/>
      <c r="E2228" s="44"/>
      <c r="F2228" s="44"/>
      <c r="G2228" s="42"/>
      <c r="H2228" s="42"/>
      <c r="I2228" s="44"/>
      <c r="J2228" s="11" t="str">
        <f aca="false">IF(D2228="","",N(G2228)-N(H2228))</f>
        <v/>
      </c>
      <c r="K2228" s="34" t="str">
        <f aca="false">IF(D2228="","",IFERROR(INDEX(I_COA!$C$6:$C$265,MATCH(D2228,I_COA!$A$6:$A$265,0)),"AKUN BARU"))</f>
        <v/>
      </c>
      <c r="L2228" s="34" t="str">
        <f aca="false">IF(K2228="LabaRugi",INDEX(I_COA!$D$6:$D$265,MATCH(D2228,I_COA!$A$6:$A$265,0)),"")</f>
        <v/>
      </c>
      <c r="M2228" s="34" t="str">
        <f aca="false">IF(K2228="Neraca",INDEX(I_COA!$E$6:$E$265,MATCH(D2228,I_COA!$A$6:$A$265,0)),"")</f>
        <v/>
      </c>
      <c r="N2228" s="34" t="str">
        <f aca="false">IF(D2228="","",IFERROR(INDEX(I_COA!$G$6:$G$265,MATCH(D2228,I_COA!$A$6:$A$265,0)),"N"))</f>
        <v/>
      </c>
      <c r="O2228" s="11" t="str">
        <f aca="false">IF(N2228="N",ABS(J2228),"")</f>
        <v/>
      </c>
      <c r="P2228" s="18" t="str">
        <f aca="false">IF(N2228="N",B2228&amp;"|"&amp;ROUND(O2228,0),"")</f>
        <v/>
      </c>
      <c r="Q2228" s="18" t="str">
        <f aca="false">IF(N2228&lt;&gt;"Y","",IFERROR(INDEX($D$6:$D$4005,MATCH(B2228&amp;"|"&amp;ROUND(_xlfn.MAXIFS($O$6:$O$4005,$B$6:$B$4005,B2228,$N$6:$N$4005,"N"),0),$P$6:$P$4005,0)),"(tanpa lawan)"))</f>
        <v/>
      </c>
      <c r="R2228" s="44"/>
      <c r="S2228" s="9" t="str">
        <f aca="false">IF(N2228&lt;&gt;"Y","",IF(R2228&lt;&gt;"",R2228,IF(Q2228="(tanpa lawan)","Transfer antar rekening",IFERROR(INDEX(I_COA!$F$6:$F$265,MATCH(Q2228,I_COA!$A$6:$A$265,0)),"?"))))</f>
        <v/>
      </c>
    </row>
    <row r="2229" customFormat="false" ht="15" hidden="false" customHeight="false" outlineLevel="0" collapsed="false">
      <c r="A2229" s="37"/>
      <c r="B2229" s="44"/>
      <c r="C2229" s="44"/>
      <c r="D2229" s="44"/>
      <c r="E2229" s="44"/>
      <c r="F2229" s="44"/>
      <c r="G2229" s="42"/>
      <c r="H2229" s="42"/>
      <c r="I2229" s="44"/>
      <c r="J2229" s="11" t="str">
        <f aca="false">IF(D2229="","",N(G2229)-N(H2229))</f>
        <v/>
      </c>
      <c r="K2229" s="34" t="str">
        <f aca="false">IF(D2229="","",IFERROR(INDEX(I_COA!$C$6:$C$265,MATCH(D2229,I_COA!$A$6:$A$265,0)),"AKUN BARU"))</f>
        <v/>
      </c>
      <c r="L2229" s="34" t="str">
        <f aca="false">IF(K2229="LabaRugi",INDEX(I_COA!$D$6:$D$265,MATCH(D2229,I_COA!$A$6:$A$265,0)),"")</f>
        <v/>
      </c>
      <c r="M2229" s="34" t="str">
        <f aca="false">IF(K2229="Neraca",INDEX(I_COA!$E$6:$E$265,MATCH(D2229,I_COA!$A$6:$A$265,0)),"")</f>
        <v/>
      </c>
      <c r="N2229" s="34" t="str">
        <f aca="false">IF(D2229="","",IFERROR(INDEX(I_COA!$G$6:$G$265,MATCH(D2229,I_COA!$A$6:$A$265,0)),"N"))</f>
        <v/>
      </c>
      <c r="O2229" s="11" t="str">
        <f aca="false">IF(N2229="N",ABS(J2229),"")</f>
        <v/>
      </c>
      <c r="P2229" s="18" t="str">
        <f aca="false">IF(N2229="N",B2229&amp;"|"&amp;ROUND(O2229,0),"")</f>
        <v/>
      </c>
      <c r="Q2229" s="18" t="str">
        <f aca="false">IF(N2229&lt;&gt;"Y","",IFERROR(INDEX($D$6:$D$4005,MATCH(B2229&amp;"|"&amp;ROUND(_xlfn.MAXIFS($O$6:$O$4005,$B$6:$B$4005,B2229,$N$6:$N$4005,"N"),0),$P$6:$P$4005,0)),"(tanpa lawan)"))</f>
        <v/>
      </c>
      <c r="R2229" s="44"/>
      <c r="S2229" s="9" t="str">
        <f aca="false">IF(N2229&lt;&gt;"Y","",IF(R2229&lt;&gt;"",R2229,IF(Q2229="(tanpa lawan)","Transfer antar rekening",IFERROR(INDEX(I_COA!$F$6:$F$265,MATCH(Q2229,I_COA!$A$6:$A$265,0)),"?"))))</f>
        <v/>
      </c>
    </row>
    <row r="2230" customFormat="false" ht="15" hidden="false" customHeight="false" outlineLevel="0" collapsed="false">
      <c r="A2230" s="37"/>
      <c r="B2230" s="44"/>
      <c r="C2230" s="44"/>
      <c r="D2230" s="44"/>
      <c r="E2230" s="44"/>
      <c r="F2230" s="44"/>
      <c r="G2230" s="42"/>
      <c r="H2230" s="42"/>
      <c r="I2230" s="44"/>
      <c r="J2230" s="11" t="str">
        <f aca="false">IF(D2230="","",N(G2230)-N(H2230))</f>
        <v/>
      </c>
      <c r="K2230" s="34" t="str">
        <f aca="false">IF(D2230="","",IFERROR(INDEX(I_COA!$C$6:$C$265,MATCH(D2230,I_COA!$A$6:$A$265,0)),"AKUN BARU"))</f>
        <v/>
      </c>
      <c r="L2230" s="34" t="str">
        <f aca="false">IF(K2230="LabaRugi",INDEX(I_COA!$D$6:$D$265,MATCH(D2230,I_COA!$A$6:$A$265,0)),"")</f>
        <v/>
      </c>
      <c r="M2230" s="34" t="str">
        <f aca="false">IF(K2230="Neraca",INDEX(I_COA!$E$6:$E$265,MATCH(D2230,I_COA!$A$6:$A$265,0)),"")</f>
        <v/>
      </c>
      <c r="N2230" s="34" t="str">
        <f aca="false">IF(D2230="","",IFERROR(INDEX(I_COA!$G$6:$G$265,MATCH(D2230,I_COA!$A$6:$A$265,0)),"N"))</f>
        <v/>
      </c>
      <c r="O2230" s="11" t="str">
        <f aca="false">IF(N2230="N",ABS(J2230),"")</f>
        <v/>
      </c>
      <c r="P2230" s="18" t="str">
        <f aca="false">IF(N2230="N",B2230&amp;"|"&amp;ROUND(O2230,0),"")</f>
        <v/>
      </c>
      <c r="Q2230" s="18" t="str">
        <f aca="false">IF(N2230&lt;&gt;"Y","",IFERROR(INDEX($D$6:$D$4005,MATCH(B2230&amp;"|"&amp;ROUND(_xlfn.MAXIFS($O$6:$O$4005,$B$6:$B$4005,B2230,$N$6:$N$4005,"N"),0),$P$6:$P$4005,0)),"(tanpa lawan)"))</f>
        <v/>
      </c>
      <c r="R2230" s="44"/>
      <c r="S2230" s="9" t="str">
        <f aca="false">IF(N2230&lt;&gt;"Y","",IF(R2230&lt;&gt;"",R2230,IF(Q2230="(tanpa lawan)","Transfer antar rekening",IFERROR(INDEX(I_COA!$F$6:$F$265,MATCH(Q2230,I_COA!$A$6:$A$265,0)),"?"))))</f>
        <v/>
      </c>
    </row>
    <row r="2231" customFormat="false" ht="15" hidden="false" customHeight="false" outlineLevel="0" collapsed="false">
      <c r="A2231" s="37"/>
      <c r="B2231" s="44"/>
      <c r="C2231" s="44"/>
      <c r="D2231" s="44"/>
      <c r="E2231" s="44"/>
      <c r="F2231" s="44"/>
      <c r="G2231" s="42"/>
      <c r="H2231" s="42"/>
      <c r="I2231" s="44"/>
      <c r="J2231" s="11" t="str">
        <f aca="false">IF(D2231="","",N(G2231)-N(H2231))</f>
        <v/>
      </c>
      <c r="K2231" s="34" t="str">
        <f aca="false">IF(D2231="","",IFERROR(INDEX(I_COA!$C$6:$C$265,MATCH(D2231,I_COA!$A$6:$A$265,0)),"AKUN BARU"))</f>
        <v/>
      </c>
      <c r="L2231" s="34" t="str">
        <f aca="false">IF(K2231="LabaRugi",INDEX(I_COA!$D$6:$D$265,MATCH(D2231,I_COA!$A$6:$A$265,0)),"")</f>
        <v/>
      </c>
      <c r="M2231" s="34" t="str">
        <f aca="false">IF(K2231="Neraca",INDEX(I_COA!$E$6:$E$265,MATCH(D2231,I_COA!$A$6:$A$265,0)),"")</f>
        <v/>
      </c>
      <c r="N2231" s="34" t="str">
        <f aca="false">IF(D2231="","",IFERROR(INDEX(I_COA!$G$6:$G$265,MATCH(D2231,I_COA!$A$6:$A$265,0)),"N"))</f>
        <v/>
      </c>
      <c r="O2231" s="11" t="str">
        <f aca="false">IF(N2231="N",ABS(J2231),"")</f>
        <v/>
      </c>
      <c r="P2231" s="18" t="str">
        <f aca="false">IF(N2231="N",B2231&amp;"|"&amp;ROUND(O2231,0),"")</f>
        <v/>
      </c>
      <c r="Q2231" s="18" t="str">
        <f aca="false">IF(N2231&lt;&gt;"Y","",IFERROR(INDEX($D$6:$D$4005,MATCH(B2231&amp;"|"&amp;ROUND(_xlfn.MAXIFS($O$6:$O$4005,$B$6:$B$4005,B2231,$N$6:$N$4005,"N"),0),$P$6:$P$4005,0)),"(tanpa lawan)"))</f>
        <v/>
      </c>
      <c r="R2231" s="44"/>
      <c r="S2231" s="9" t="str">
        <f aca="false">IF(N2231&lt;&gt;"Y","",IF(R2231&lt;&gt;"",R2231,IF(Q2231="(tanpa lawan)","Transfer antar rekening",IFERROR(INDEX(I_COA!$F$6:$F$265,MATCH(Q2231,I_COA!$A$6:$A$265,0)),"?"))))</f>
        <v/>
      </c>
    </row>
    <row r="2232" customFormat="false" ht="15" hidden="false" customHeight="false" outlineLevel="0" collapsed="false">
      <c r="A2232" s="37"/>
      <c r="B2232" s="44"/>
      <c r="C2232" s="44"/>
      <c r="D2232" s="44"/>
      <c r="E2232" s="44"/>
      <c r="F2232" s="44"/>
      <c r="G2232" s="42"/>
      <c r="H2232" s="42"/>
      <c r="I2232" s="44"/>
      <c r="J2232" s="11" t="str">
        <f aca="false">IF(D2232="","",N(G2232)-N(H2232))</f>
        <v/>
      </c>
      <c r="K2232" s="34" t="str">
        <f aca="false">IF(D2232="","",IFERROR(INDEX(I_COA!$C$6:$C$265,MATCH(D2232,I_COA!$A$6:$A$265,0)),"AKUN BARU"))</f>
        <v/>
      </c>
      <c r="L2232" s="34" t="str">
        <f aca="false">IF(K2232="LabaRugi",INDEX(I_COA!$D$6:$D$265,MATCH(D2232,I_COA!$A$6:$A$265,0)),"")</f>
        <v/>
      </c>
      <c r="M2232" s="34" t="str">
        <f aca="false">IF(K2232="Neraca",INDEX(I_COA!$E$6:$E$265,MATCH(D2232,I_COA!$A$6:$A$265,0)),"")</f>
        <v/>
      </c>
      <c r="N2232" s="34" t="str">
        <f aca="false">IF(D2232="","",IFERROR(INDEX(I_COA!$G$6:$G$265,MATCH(D2232,I_COA!$A$6:$A$265,0)),"N"))</f>
        <v/>
      </c>
      <c r="O2232" s="11" t="str">
        <f aca="false">IF(N2232="N",ABS(J2232),"")</f>
        <v/>
      </c>
      <c r="P2232" s="18" t="str">
        <f aca="false">IF(N2232="N",B2232&amp;"|"&amp;ROUND(O2232,0),"")</f>
        <v/>
      </c>
      <c r="Q2232" s="18" t="str">
        <f aca="false">IF(N2232&lt;&gt;"Y","",IFERROR(INDEX($D$6:$D$4005,MATCH(B2232&amp;"|"&amp;ROUND(_xlfn.MAXIFS($O$6:$O$4005,$B$6:$B$4005,B2232,$N$6:$N$4005,"N"),0),$P$6:$P$4005,0)),"(tanpa lawan)"))</f>
        <v/>
      </c>
      <c r="R2232" s="44"/>
      <c r="S2232" s="9" t="str">
        <f aca="false">IF(N2232&lt;&gt;"Y","",IF(R2232&lt;&gt;"",R2232,IF(Q2232="(tanpa lawan)","Transfer antar rekening",IFERROR(INDEX(I_COA!$F$6:$F$265,MATCH(Q2232,I_COA!$A$6:$A$265,0)),"?"))))</f>
        <v/>
      </c>
    </row>
    <row r="2233" customFormat="false" ht="15" hidden="false" customHeight="false" outlineLevel="0" collapsed="false">
      <c r="A2233" s="37"/>
      <c r="B2233" s="44"/>
      <c r="C2233" s="44"/>
      <c r="D2233" s="44"/>
      <c r="E2233" s="44"/>
      <c r="F2233" s="44"/>
      <c r="G2233" s="42"/>
      <c r="H2233" s="42"/>
      <c r="I2233" s="44"/>
      <c r="J2233" s="11" t="str">
        <f aca="false">IF(D2233="","",N(G2233)-N(H2233))</f>
        <v/>
      </c>
      <c r="K2233" s="34" t="str">
        <f aca="false">IF(D2233="","",IFERROR(INDEX(I_COA!$C$6:$C$265,MATCH(D2233,I_COA!$A$6:$A$265,0)),"AKUN BARU"))</f>
        <v/>
      </c>
      <c r="L2233" s="34" t="str">
        <f aca="false">IF(K2233="LabaRugi",INDEX(I_COA!$D$6:$D$265,MATCH(D2233,I_COA!$A$6:$A$265,0)),"")</f>
        <v/>
      </c>
      <c r="M2233" s="34" t="str">
        <f aca="false">IF(K2233="Neraca",INDEX(I_COA!$E$6:$E$265,MATCH(D2233,I_COA!$A$6:$A$265,0)),"")</f>
        <v/>
      </c>
      <c r="N2233" s="34" t="str">
        <f aca="false">IF(D2233="","",IFERROR(INDEX(I_COA!$G$6:$G$265,MATCH(D2233,I_COA!$A$6:$A$265,0)),"N"))</f>
        <v/>
      </c>
      <c r="O2233" s="11" t="str">
        <f aca="false">IF(N2233="N",ABS(J2233),"")</f>
        <v/>
      </c>
      <c r="P2233" s="18" t="str">
        <f aca="false">IF(N2233="N",B2233&amp;"|"&amp;ROUND(O2233,0),"")</f>
        <v/>
      </c>
      <c r="Q2233" s="18" t="str">
        <f aca="false">IF(N2233&lt;&gt;"Y","",IFERROR(INDEX($D$6:$D$4005,MATCH(B2233&amp;"|"&amp;ROUND(_xlfn.MAXIFS($O$6:$O$4005,$B$6:$B$4005,B2233,$N$6:$N$4005,"N"),0),$P$6:$P$4005,0)),"(tanpa lawan)"))</f>
        <v/>
      </c>
      <c r="R2233" s="44"/>
      <c r="S2233" s="9" t="str">
        <f aca="false">IF(N2233&lt;&gt;"Y","",IF(R2233&lt;&gt;"",R2233,IF(Q2233="(tanpa lawan)","Transfer antar rekening",IFERROR(INDEX(I_COA!$F$6:$F$265,MATCH(Q2233,I_COA!$A$6:$A$265,0)),"?"))))</f>
        <v/>
      </c>
    </row>
    <row r="2234" customFormat="false" ht="15" hidden="false" customHeight="false" outlineLevel="0" collapsed="false">
      <c r="A2234" s="37"/>
      <c r="B2234" s="44"/>
      <c r="C2234" s="44"/>
      <c r="D2234" s="44"/>
      <c r="E2234" s="44"/>
      <c r="F2234" s="44"/>
      <c r="G2234" s="42"/>
      <c r="H2234" s="42"/>
      <c r="I2234" s="44"/>
      <c r="J2234" s="11" t="str">
        <f aca="false">IF(D2234="","",N(G2234)-N(H2234))</f>
        <v/>
      </c>
      <c r="K2234" s="34" t="str">
        <f aca="false">IF(D2234="","",IFERROR(INDEX(I_COA!$C$6:$C$265,MATCH(D2234,I_COA!$A$6:$A$265,0)),"AKUN BARU"))</f>
        <v/>
      </c>
      <c r="L2234" s="34" t="str">
        <f aca="false">IF(K2234="LabaRugi",INDEX(I_COA!$D$6:$D$265,MATCH(D2234,I_COA!$A$6:$A$265,0)),"")</f>
        <v/>
      </c>
      <c r="M2234" s="34" t="str">
        <f aca="false">IF(K2234="Neraca",INDEX(I_COA!$E$6:$E$265,MATCH(D2234,I_COA!$A$6:$A$265,0)),"")</f>
        <v/>
      </c>
      <c r="N2234" s="34" t="str">
        <f aca="false">IF(D2234="","",IFERROR(INDEX(I_COA!$G$6:$G$265,MATCH(D2234,I_COA!$A$6:$A$265,0)),"N"))</f>
        <v/>
      </c>
      <c r="O2234" s="11" t="str">
        <f aca="false">IF(N2234="N",ABS(J2234),"")</f>
        <v/>
      </c>
      <c r="P2234" s="18" t="str">
        <f aca="false">IF(N2234="N",B2234&amp;"|"&amp;ROUND(O2234,0),"")</f>
        <v/>
      </c>
      <c r="Q2234" s="18" t="str">
        <f aca="false">IF(N2234&lt;&gt;"Y","",IFERROR(INDEX($D$6:$D$4005,MATCH(B2234&amp;"|"&amp;ROUND(_xlfn.MAXIFS($O$6:$O$4005,$B$6:$B$4005,B2234,$N$6:$N$4005,"N"),0),$P$6:$P$4005,0)),"(tanpa lawan)"))</f>
        <v/>
      </c>
      <c r="R2234" s="44"/>
      <c r="S2234" s="9" t="str">
        <f aca="false">IF(N2234&lt;&gt;"Y","",IF(R2234&lt;&gt;"",R2234,IF(Q2234="(tanpa lawan)","Transfer antar rekening",IFERROR(INDEX(I_COA!$F$6:$F$265,MATCH(Q2234,I_COA!$A$6:$A$265,0)),"?"))))</f>
        <v/>
      </c>
    </row>
    <row r="2235" customFormat="false" ht="15" hidden="false" customHeight="false" outlineLevel="0" collapsed="false">
      <c r="A2235" s="37"/>
      <c r="B2235" s="44"/>
      <c r="C2235" s="44"/>
      <c r="D2235" s="44"/>
      <c r="E2235" s="44"/>
      <c r="F2235" s="44"/>
      <c r="G2235" s="42"/>
      <c r="H2235" s="42"/>
      <c r="I2235" s="44"/>
      <c r="J2235" s="11" t="str">
        <f aca="false">IF(D2235="","",N(G2235)-N(H2235))</f>
        <v/>
      </c>
      <c r="K2235" s="34" t="str">
        <f aca="false">IF(D2235="","",IFERROR(INDEX(I_COA!$C$6:$C$265,MATCH(D2235,I_COA!$A$6:$A$265,0)),"AKUN BARU"))</f>
        <v/>
      </c>
      <c r="L2235" s="34" t="str">
        <f aca="false">IF(K2235="LabaRugi",INDEX(I_COA!$D$6:$D$265,MATCH(D2235,I_COA!$A$6:$A$265,0)),"")</f>
        <v/>
      </c>
      <c r="M2235" s="34" t="str">
        <f aca="false">IF(K2235="Neraca",INDEX(I_COA!$E$6:$E$265,MATCH(D2235,I_COA!$A$6:$A$265,0)),"")</f>
        <v/>
      </c>
      <c r="N2235" s="34" t="str">
        <f aca="false">IF(D2235="","",IFERROR(INDEX(I_COA!$G$6:$G$265,MATCH(D2235,I_COA!$A$6:$A$265,0)),"N"))</f>
        <v/>
      </c>
      <c r="O2235" s="11" t="str">
        <f aca="false">IF(N2235="N",ABS(J2235),"")</f>
        <v/>
      </c>
      <c r="P2235" s="18" t="str">
        <f aca="false">IF(N2235="N",B2235&amp;"|"&amp;ROUND(O2235,0),"")</f>
        <v/>
      </c>
      <c r="Q2235" s="18" t="str">
        <f aca="false">IF(N2235&lt;&gt;"Y","",IFERROR(INDEX($D$6:$D$4005,MATCH(B2235&amp;"|"&amp;ROUND(_xlfn.MAXIFS($O$6:$O$4005,$B$6:$B$4005,B2235,$N$6:$N$4005,"N"),0),$P$6:$P$4005,0)),"(tanpa lawan)"))</f>
        <v/>
      </c>
      <c r="R2235" s="44"/>
      <c r="S2235" s="9" t="str">
        <f aca="false">IF(N2235&lt;&gt;"Y","",IF(R2235&lt;&gt;"",R2235,IF(Q2235="(tanpa lawan)","Transfer antar rekening",IFERROR(INDEX(I_COA!$F$6:$F$265,MATCH(Q2235,I_COA!$A$6:$A$265,0)),"?"))))</f>
        <v/>
      </c>
    </row>
    <row r="2236" customFormat="false" ht="15" hidden="false" customHeight="false" outlineLevel="0" collapsed="false">
      <c r="A2236" s="37"/>
      <c r="B2236" s="44"/>
      <c r="C2236" s="44"/>
      <c r="D2236" s="44"/>
      <c r="E2236" s="44"/>
      <c r="F2236" s="44"/>
      <c r="G2236" s="42"/>
      <c r="H2236" s="42"/>
      <c r="I2236" s="44"/>
      <c r="J2236" s="11" t="str">
        <f aca="false">IF(D2236="","",N(G2236)-N(H2236))</f>
        <v/>
      </c>
      <c r="K2236" s="34" t="str">
        <f aca="false">IF(D2236="","",IFERROR(INDEX(I_COA!$C$6:$C$265,MATCH(D2236,I_COA!$A$6:$A$265,0)),"AKUN BARU"))</f>
        <v/>
      </c>
      <c r="L2236" s="34" t="str">
        <f aca="false">IF(K2236="LabaRugi",INDEX(I_COA!$D$6:$D$265,MATCH(D2236,I_COA!$A$6:$A$265,0)),"")</f>
        <v/>
      </c>
      <c r="M2236" s="34" t="str">
        <f aca="false">IF(K2236="Neraca",INDEX(I_COA!$E$6:$E$265,MATCH(D2236,I_COA!$A$6:$A$265,0)),"")</f>
        <v/>
      </c>
      <c r="N2236" s="34" t="str">
        <f aca="false">IF(D2236="","",IFERROR(INDEX(I_COA!$G$6:$G$265,MATCH(D2236,I_COA!$A$6:$A$265,0)),"N"))</f>
        <v/>
      </c>
      <c r="O2236" s="11" t="str">
        <f aca="false">IF(N2236="N",ABS(J2236),"")</f>
        <v/>
      </c>
      <c r="P2236" s="18" t="str">
        <f aca="false">IF(N2236="N",B2236&amp;"|"&amp;ROUND(O2236,0),"")</f>
        <v/>
      </c>
      <c r="Q2236" s="18" t="str">
        <f aca="false">IF(N2236&lt;&gt;"Y","",IFERROR(INDEX($D$6:$D$4005,MATCH(B2236&amp;"|"&amp;ROUND(_xlfn.MAXIFS($O$6:$O$4005,$B$6:$B$4005,B2236,$N$6:$N$4005,"N"),0),$P$6:$P$4005,0)),"(tanpa lawan)"))</f>
        <v/>
      </c>
      <c r="R2236" s="44"/>
      <c r="S2236" s="9" t="str">
        <f aca="false">IF(N2236&lt;&gt;"Y","",IF(R2236&lt;&gt;"",R2236,IF(Q2236="(tanpa lawan)","Transfer antar rekening",IFERROR(INDEX(I_COA!$F$6:$F$265,MATCH(Q2236,I_COA!$A$6:$A$265,0)),"?"))))</f>
        <v/>
      </c>
    </row>
    <row r="2237" customFormat="false" ht="15" hidden="false" customHeight="false" outlineLevel="0" collapsed="false">
      <c r="A2237" s="37"/>
      <c r="B2237" s="44"/>
      <c r="C2237" s="44"/>
      <c r="D2237" s="44"/>
      <c r="E2237" s="44"/>
      <c r="F2237" s="44"/>
      <c r="G2237" s="42"/>
      <c r="H2237" s="42"/>
      <c r="I2237" s="44"/>
      <c r="J2237" s="11" t="str">
        <f aca="false">IF(D2237="","",N(G2237)-N(H2237))</f>
        <v/>
      </c>
      <c r="K2237" s="34" t="str">
        <f aca="false">IF(D2237="","",IFERROR(INDEX(I_COA!$C$6:$C$265,MATCH(D2237,I_COA!$A$6:$A$265,0)),"AKUN BARU"))</f>
        <v/>
      </c>
      <c r="L2237" s="34" t="str">
        <f aca="false">IF(K2237="LabaRugi",INDEX(I_COA!$D$6:$D$265,MATCH(D2237,I_COA!$A$6:$A$265,0)),"")</f>
        <v/>
      </c>
      <c r="M2237" s="34" t="str">
        <f aca="false">IF(K2237="Neraca",INDEX(I_COA!$E$6:$E$265,MATCH(D2237,I_COA!$A$6:$A$265,0)),"")</f>
        <v/>
      </c>
      <c r="N2237" s="34" t="str">
        <f aca="false">IF(D2237="","",IFERROR(INDEX(I_COA!$G$6:$G$265,MATCH(D2237,I_COA!$A$6:$A$265,0)),"N"))</f>
        <v/>
      </c>
      <c r="O2237" s="11" t="str">
        <f aca="false">IF(N2237="N",ABS(J2237),"")</f>
        <v/>
      </c>
      <c r="P2237" s="18" t="str">
        <f aca="false">IF(N2237="N",B2237&amp;"|"&amp;ROUND(O2237,0),"")</f>
        <v/>
      </c>
      <c r="Q2237" s="18" t="str">
        <f aca="false">IF(N2237&lt;&gt;"Y","",IFERROR(INDEX($D$6:$D$4005,MATCH(B2237&amp;"|"&amp;ROUND(_xlfn.MAXIFS($O$6:$O$4005,$B$6:$B$4005,B2237,$N$6:$N$4005,"N"),0),$P$6:$P$4005,0)),"(tanpa lawan)"))</f>
        <v/>
      </c>
      <c r="R2237" s="44"/>
      <c r="S2237" s="9" t="str">
        <f aca="false">IF(N2237&lt;&gt;"Y","",IF(R2237&lt;&gt;"",R2237,IF(Q2237="(tanpa lawan)","Transfer antar rekening",IFERROR(INDEX(I_COA!$F$6:$F$265,MATCH(Q2237,I_COA!$A$6:$A$265,0)),"?"))))</f>
        <v/>
      </c>
    </row>
    <row r="2238" customFormat="false" ht="15" hidden="false" customHeight="false" outlineLevel="0" collapsed="false">
      <c r="A2238" s="37"/>
      <c r="B2238" s="44"/>
      <c r="C2238" s="44"/>
      <c r="D2238" s="44"/>
      <c r="E2238" s="44"/>
      <c r="F2238" s="44"/>
      <c r="G2238" s="42"/>
      <c r="H2238" s="42"/>
      <c r="I2238" s="44"/>
      <c r="J2238" s="11" t="str">
        <f aca="false">IF(D2238="","",N(G2238)-N(H2238))</f>
        <v/>
      </c>
      <c r="K2238" s="34" t="str">
        <f aca="false">IF(D2238="","",IFERROR(INDEX(I_COA!$C$6:$C$265,MATCH(D2238,I_COA!$A$6:$A$265,0)),"AKUN BARU"))</f>
        <v/>
      </c>
      <c r="L2238" s="34" t="str">
        <f aca="false">IF(K2238="LabaRugi",INDEX(I_COA!$D$6:$D$265,MATCH(D2238,I_COA!$A$6:$A$265,0)),"")</f>
        <v/>
      </c>
      <c r="M2238" s="34" t="str">
        <f aca="false">IF(K2238="Neraca",INDEX(I_COA!$E$6:$E$265,MATCH(D2238,I_COA!$A$6:$A$265,0)),"")</f>
        <v/>
      </c>
      <c r="N2238" s="34" t="str">
        <f aca="false">IF(D2238="","",IFERROR(INDEX(I_COA!$G$6:$G$265,MATCH(D2238,I_COA!$A$6:$A$265,0)),"N"))</f>
        <v/>
      </c>
      <c r="O2238" s="11" t="str">
        <f aca="false">IF(N2238="N",ABS(J2238),"")</f>
        <v/>
      </c>
      <c r="P2238" s="18" t="str">
        <f aca="false">IF(N2238="N",B2238&amp;"|"&amp;ROUND(O2238,0),"")</f>
        <v/>
      </c>
      <c r="Q2238" s="18" t="str">
        <f aca="false">IF(N2238&lt;&gt;"Y","",IFERROR(INDEX($D$6:$D$4005,MATCH(B2238&amp;"|"&amp;ROUND(_xlfn.MAXIFS($O$6:$O$4005,$B$6:$B$4005,B2238,$N$6:$N$4005,"N"),0),$P$6:$P$4005,0)),"(tanpa lawan)"))</f>
        <v/>
      </c>
      <c r="R2238" s="44"/>
      <c r="S2238" s="9" t="str">
        <f aca="false">IF(N2238&lt;&gt;"Y","",IF(R2238&lt;&gt;"",R2238,IF(Q2238="(tanpa lawan)","Transfer antar rekening",IFERROR(INDEX(I_COA!$F$6:$F$265,MATCH(Q2238,I_COA!$A$6:$A$265,0)),"?"))))</f>
        <v/>
      </c>
    </row>
    <row r="2239" customFormat="false" ht="15" hidden="false" customHeight="false" outlineLevel="0" collapsed="false">
      <c r="A2239" s="37"/>
      <c r="B2239" s="44"/>
      <c r="C2239" s="44"/>
      <c r="D2239" s="44"/>
      <c r="E2239" s="44"/>
      <c r="F2239" s="44"/>
      <c r="G2239" s="42"/>
      <c r="H2239" s="42"/>
      <c r="I2239" s="44"/>
      <c r="J2239" s="11" t="str">
        <f aca="false">IF(D2239="","",N(G2239)-N(H2239))</f>
        <v/>
      </c>
      <c r="K2239" s="34" t="str">
        <f aca="false">IF(D2239="","",IFERROR(INDEX(I_COA!$C$6:$C$265,MATCH(D2239,I_COA!$A$6:$A$265,0)),"AKUN BARU"))</f>
        <v/>
      </c>
      <c r="L2239" s="34" t="str">
        <f aca="false">IF(K2239="LabaRugi",INDEX(I_COA!$D$6:$D$265,MATCH(D2239,I_COA!$A$6:$A$265,0)),"")</f>
        <v/>
      </c>
      <c r="M2239" s="34" t="str">
        <f aca="false">IF(K2239="Neraca",INDEX(I_COA!$E$6:$E$265,MATCH(D2239,I_COA!$A$6:$A$265,0)),"")</f>
        <v/>
      </c>
      <c r="N2239" s="34" t="str">
        <f aca="false">IF(D2239="","",IFERROR(INDEX(I_COA!$G$6:$G$265,MATCH(D2239,I_COA!$A$6:$A$265,0)),"N"))</f>
        <v/>
      </c>
      <c r="O2239" s="11" t="str">
        <f aca="false">IF(N2239="N",ABS(J2239),"")</f>
        <v/>
      </c>
      <c r="P2239" s="18" t="str">
        <f aca="false">IF(N2239="N",B2239&amp;"|"&amp;ROUND(O2239,0),"")</f>
        <v/>
      </c>
      <c r="Q2239" s="18" t="str">
        <f aca="false">IF(N2239&lt;&gt;"Y","",IFERROR(INDEX($D$6:$D$4005,MATCH(B2239&amp;"|"&amp;ROUND(_xlfn.MAXIFS($O$6:$O$4005,$B$6:$B$4005,B2239,$N$6:$N$4005,"N"),0),$P$6:$P$4005,0)),"(tanpa lawan)"))</f>
        <v/>
      </c>
      <c r="R2239" s="44"/>
      <c r="S2239" s="9" t="str">
        <f aca="false">IF(N2239&lt;&gt;"Y","",IF(R2239&lt;&gt;"",R2239,IF(Q2239="(tanpa lawan)","Transfer antar rekening",IFERROR(INDEX(I_COA!$F$6:$F$265,MATCH(Q2239,I_COA!$A$6:$A$265,0)),"?"))))</f>
        <v/>
      </c>
    </row>
    <row r="2240" customFormat="false" ht="15" hidden="false" customHeight="false" outlineLevel="0" collapsed="false">
      <c r="A2240" s="37"/>
      <c r="B2240" s="44"/>
      <c r="C2240" s="44"/>
      <c r="D2240" s="44"/>
      <c r="E2240" s="44"/>
      <c r="F2240" s="44"/>
      <c r="G2240" s="42"/>
      <c r="H2240" s="42"/>
      <c r="I2240" s="44"/>
      <c r="J2240" s="11" t="str">
        <f aca="false">IF(D2240="","",N(G2240)-N(H2240))</f>
        <v/>
      </c>
      <c r="K2240" s="34" t="str">
        <f aca="false">IF(D2240="","",IFERROR(INDEX(I_COA!$C$6:$C$265,MATCH(D2240,I_COA!$A$6:$A$265,0)),"AKUN BARU"))</f>
        <v/>
      </c>
      <c r="L2240" s="34" t="str">
        <f aca="false">IF(K2240="LabaRugi",INDEX(I_COA!$D$6:$D$265,MATCH(D2240,I_COA!$A$6:$A$265,0)),"")</f>
        <v/>
      </c>
      <c r="M2240" s="34" t="str">
        <f aca="false">IF(K2240="Neraca",INDEX(I_COA!$E$6:$E$265,MATCH(D2240,I_COA!$A$6:$A$265,0)),"")</f>
        <v/>
      </c>
      <c r="N2240" s="34" t="str">
        <f aca="false">IF(D2240="","",IFERROR(INDEX(I_COA!$G$6:$G$265,MATCH(D2240,I_COA!$A$6:$A$265,0)),"N"))</f>
        <v/>
      </c>
      <c r="O2240" s="11" t="str">
        <f aca="false">IF(N2240="N",ABS(J2240),"")</f>
        <v/>
      </c>
      <c r="P2240" s="18" t="str">
        <f aca="false">IF(N2240="N",B2240&amp;"|"&amp;ROUND(O2240,0),"")</f>
        <v/>
      </c>
      <c r="Q2240" s="18" t="str">
        <f aca="false">IF(N2240&lt;&gt;"Y","",IFERROR(INDEX($D$6:$D$4005,MATCH(B2240&amp;"|"&amp;ROUND(_xlfn.MAXIFS($O$6:$O$4005,$B$6:$B$4005,B2240,$N$6:$N$4005,"N"),0),$P$6:$P$4005,0)),"(tanpa lawan)"))</f>
        <v/>
      </c>
      <c r="R2240" s="44"/>
      <c r="S2240" s="9" t="str">
        <f aca="false">IF(N2240&lt;&gt;"Y","",IF(R2240&lt;&gt;"",R2240,IF(Q2240="(tanpa lawan)","Transfer antar rekening",IFERROR(INDEX(I_COA!$F$6:$F$265,MATCH(Q2240,I_COA!$A$6:$A$265,0)),"?"))))</f>
        <v/>
      </c>
    </row>
    <row r="2241" customFormat="false" ht="15" hidden="false" customHeight="false" outlineLevel="0" collapsed="false">
      <c r="A2241" s="37"/>
      <c r="B2241" s="44"/>
      <c r="C2241" s="44"/>
      <c r="D2241" s="44"/>
      <c r="E2241" s="44"/>
      <c r="F2241" s="44"/>
      <c r="G2241" s="42"/>
      <c r="H2241" s="42"/>
      <c r="I2241" s="44"/>
      <c r="J2241" s="11" t="str">
        <f aca="false">IF(D2241="","",N(G2241)-N(H2241))</f>
        <v/>
      </c>
      <c r="K2241" s="34" t="str">
        <f aca="false">IF(D2241="","",IFERROR(INDEX(I_COA!$C$6:$C$265,MATCH(D2241,I_COA!$A$6:$A$265,0)),"AKUN BARU"))</f>
        <v/>
      </c>
      <c r="L2241" s="34" t="str">
        <f aca="false">IF(K2241="LabaRugi",INDEX(I_COA!$D$6:$D$265,MATCH(D2241,I_COA!$A$6:$A$265,0)),"")</f>
        <v/>
      </c>
      <c r="M2241" s="34" t="str">
        <f aca="false">IF(K2241="Neraca",INDEX(I_COA!$E$6:$E$265,MATCH(D2241,I_COA!$A$6:$A$265,0)),"")</f>
        <v/>
      </c>
      <c r="N2241" s="34" t="str">
        <f aca="false">IF(D2241="","",IFERROR(INDEX(I_COA!$G$6:$G$265,MATCH(D2241,I_COA!$A$6:$A$265,0)),"N"))</f>
        <v/>
      </c>
      <c r="O2241" s="11" t="str">
        <f aca="false">IF(N2241="N",ABS(J2241),"")</f>
        <v/>
      </c>
      <c r="P2241" s="18" t="str">
        <f aca="false">IF(N2241="N",B2241&amp;"|"&amp;ROUND(O2241,0),"")</f>
        <v/>
      </c>
      <c r="Q2241" s="18" t="str">
        <f aca="false">IF(N2241&lt;&gt;"Y","",IFERROR(INDEX($D$6:$D$4005,MATCH(B2241&amp;"|"&amp;ROUND(_xlfn.MAXIFS($O$6:$O$4005,$B$6:$B$4005,B2241,$N$6:$N$4005,"N"),0),$P$6:$P$4005,0)),"(tanpa lawan)"))</f>
        <v/>
      </c>
      <c r="R2241" s="44"/>
      <c r="S2241" s="9" t="str">
        <f aca="false">IF(N2241&lt;&gt;"Y","",IF(R2241&lt;&gt;"",R2241,IF(Q2241="(tanpa lawan)","Transfer antar rekening",IFERROR(INDEX(I_COA!$F$6:$F$265,MATCH(Q2241,I_COA!$A$6:$A$265,0)),"?"))))</f>
        <v/>
      </c>
    </row>
    <row r="2242" customFormat="false" ht="15" hidden="false" customHeight="false" outlineLevel="0" collapsed="false">
      <c r="A2242" s="37"/>
      <c r="B2242" s="44"/>
      <c r="C2242" s="44"/>
      <c r="D2242" s="44"/>
      <c r="E2242" s="44"/>
      <c r="F2242" s="44"/>
      <c r="G2242" s="42"/>
      <c r="H2242" s="42"/>
      <c r="I2242" s="44"/>
      <c r="J2242" s="11" t="str">
        <f aca="false">IF(D2242="","",N(G2242)-N(H2242))</f>
        <v/>
      </c>
      <c r="K2242" s="34" t="str">
        <f aca="false">IF(D2242="","",IFERROR(INDEX(I_COA!$C$6:$C$265,MATCH(D2242,I_COA!$A$6:$A$265,0)),"AKUN BARU"))</f>
        <v/>
      </c>
      <c r="L2242" s="34" t="str">
        <f aca="false">IF(K2242="LabaRugi",INDEX(I_COA!$D$6:$D$265,MATCH(D2242,I_COA!$A$6:$A$265,0)),"")</f>
        <v/>
      </c>
      <c r="M2242" s="34" t="str">
        <f aca="false">IF(K2242="Neraca",INDEX(I_COA!$E$6:$E$265,MATCH(D2242,I_COA!$A$6:$A$265,0)),"")</f>
        <v/>
      </c>
      <c r="N2242" s="34" t="str">
        <f aca="false">IF(D2242="","",IFERROR(INDEX(I_COA!$G$6:$G$265,MATCH(D2242,I_COA!$A$6:$A$265,0)),"N"))</f>
        <v/>
      </c>
      <c r="O2242" s="11" t="str">
        <f aca="false">IF(N2242="N",ABS(J2242),"")</f>
        <v/>
      </c>
      <c r="P2242" s="18" t="str">
        <f aca="false">IF(N2242="N",B2242&amp;"|"&amp;ROUND(O2242,0),"")</f>
        <v/>
      </c>
      <c r="Q2242" s="18" t="str">
        <f aca="false">IF(N2242&lt;&gt;"Y","",IFERROR(INDEX($D$6:$D$4005,MATCH(B2242&amp;"|"&amp;ROUND(_xlfn.MAXIFS($O$6:$O$4005,$B$6:$B$4005,B2242,$N$6:$N$4005,"N"),0),$P$6:$P$4005,0)),"(tanpa lawan)"))</f>
        <v/>
      </c>
      <c r="R2242" s="44"/>
      <c r="S2242" s="9" t="str">
        <f aca="false">IF(N2242&lt;&gt;"Y","",IF(R2242&lt;&gt;"",R2242,IF(Q2242="(tanpa lawan)","Transfer antar rekening",IFERROR(INDEX(I_COA!$F$6:$F$265,MATCH(Q2242,I_COA!$A$6:$A$265,0)),"?"))))</f>
        <v/>
      </c>
    </row>
    <row r="2243" customFormat="false" ht="15" hidden="false" customHeight="false" outlineLevel="0" collapsed="false">
      <c r="A2243" s="37"/>
      <c r="B2243" s="44"/>
      <c r="C2243" s="44"/>
      <c r="D2243" s="44"/>
      <c r="E2243" s="44"/>
      <c r="F2243" s="44"/>
      <c r="G2243" s="42"/>
      <c r="H2243" s="42"/>
      <c r="I2243" s="44"/>
      <c r="J2243" s="11" t="str">
        <f aca="false">IF(D2243="","",N(G2243)-N(H2243))</f>
        <v/>
      </c>
      <c r="K2243" s="34" t="str">
        <f aca="false">IF(D2243="","",IFERROR(INDEX(I_COA!$C$6:$C$265,MATCH(D2243,I_COA!$A$6:$A$265,0)),"AKUN BARU"))</f>
        <v/>
      </c>
      <c r="L2243" s="34" t="str">
        <f aca="false">IF(K2243="LabaRugi",INDEX(I_COA!$D$6:$D$265,MATCH(D2243,I_COA!$A$6:$A$265,0)),"")</f>
        <v/>
      </c>
      <c r="M2243" s="34" t="str">
        <f aca="false">IF(K2243="Neraca",INDEX(I_COA!$E$6:$E$265,MATCH(D2243,I_COA!$A$6:$A$265,0)),"")</f>
        <v/>
      </c>
      <c r="N2243" s="34" t="str">
        <f aca="false">IF(D2243="","",IFERROR(INDEX(I_COA!$G$6:$G$265,MATCH(D2243,I_COA!$A$6:$A$265,0)),"N"))</f>
        <v/>
      </c>
      <c r="O2243" s="11" t="str">
        <f aca="false">IF(N2243="N",ABS(J2243),"")</f>
        <v/>
      </c>
      <c r="P2243" s="18" t="str">
        <f aca="false">IF(N2243="N",B2243&amp;"|"&amp;ROUND(O2243,0),"")</f>
        <v/>
      </c>
      <c r="Q2243" s="18" t="str">
        <f aca="false">IF(N2243&lt;&gt;"Y","",IFERROR(INDEX($D$6:$D$4005,MATCH(B2243&amp;"|"&amp;ROUND(_xlfn.MAXIFS($O$6:$O$4005,$B$6:$B$4005,B2243,$N$6:$N$4005,"N"),0),$P$6:$P$4005,0)),"(tanpa lawan)"))</f>
        <v/>
      </c>
      <c r="R2243" s="44"/>
      <c r="S2243" s="9" t="str">
        <f aca="false">IF(N2243&lt;&gt;"Y","",IF(R2243&lt;&gt;"",R2243,IF(Q2243="(tanpa lawan)","Transfer antar rekening",IFERROR(INDEX(I_COA!$F$6:$F$265,MATCH(Q2243,I_COA!$A$6:$A$265,0)),"?"))))</f>
        <v/>
      </c>
    </row>
    <row r="2244" customFormat="false" ht="15" hidden="false" customHeight="false" outlineLevel="0" collapsed="false">
      <c r="A2244" s="37"/>
      <c r="B2244" s="44"/>
      <c r="C2244" s="44"/>
      <c r="D2244" s="44"/>
      <c r="E2244" s="44"/>
      <c r="F2244" s="44"/>
      <c r="G2244" s="42"/>
      <c r="H2244" s="42"/>
      <c r="I2244" s="44"/>
      <c r="J2244" s="11" t="str">
        <f aca="false">IF(D2244="","",N(G2244)-N(H2244))</f>
        <v/>
      </c>
      <c r="K2244" s="34" t="str">
        <f aca="false">IF(D2244="","",IFERROR(INDEX(I_COA!$C$6:$C$265,MATCH(D2244,I_COA!$A$6:$A$265,0)),"AKUN BARU"))</f>
        <v/>
      </c>
      <c r="L2244" s="34" t="str">
        <f aca="false">IF(K2244="LabaRugi",INDEX(I_COA!$D$6:$D$265,MATCH(D2244,I_COA!$A$6:$A$265,0)),"")</f>
        <v/>
      </c>
      <c r="M2244" s="34" t="str">
        <f aca="false">IF(K2244="Neraca",INDEX(I_COA!$E$6:$E$265,MATCH(D2244,I_COA!$A$6:$A$265,0)),"")</f>
        <v/>
      </c>
      <c r="N2244" s="34" t="str">
        <f aca="false">IF(D2244="","",IFERROR(INDEX(I_COA!$G$6:$G$265,MATCH(D2244,I_COA!$A$6:$A$265,0)),"N"))</f>
        <v/>
      </c>
      <c r="O2244" s="11" t="str">
        <f aca="false">IF(N2244="N",ABS(J2244),"")</f>
        <v/>
      </c>
      <c r="P2244" s="18" t="str">
        <f aca="false">IF(N2244="N",B2244&amp;"|"&amp;ROUND(O2244,0),"")</f>
        <v/>
      </c>
      <c r="Q2244" s="18" t="str">
        <f aca="false">IF(N2244&lt;&gt;"Y","",IFERROR(INDEX($D$6:$D$4005,MATCH(B2244&amp;"|"&amp;ROUND(_xlfn.MAXIFS($O$6:$O$4005,$B$6:$B$4005,B2244,$N$6:$N$4005,"N"),0),$P$6:$P$4005,0)),"(tanpa lawan)"))</f>
        <v/>
      </c>
      <c r="R2244" s="44"/>
      <c r="S2244" s="9" t="str">
        <f aca="false">IF(N2244&lt;&gt;"Y","",IF(R2244&lt;&gt;"",R2244,IF(Q2244="(tanpa lawan)","Transfer antar rekening",IFERROR(INDEX(I_COA!$F$6:$F$265,MATCH(Q2244,I_COA!$A$6:$A$265,0)),"?"))))</f>
        <v/>
      </c>
    </row>
    <row r="2245" customFormat="false" ht="15" hidden="false" customHeight="false" outlineLevel="0" collapsed="false">
      <c r="A2245" s="37"/>
      <c r="B2245" s="44"/>
      <c r="C2245" s="44"/>
      <c r="D2245" s="44"/>
      <c r="E2245" s="44"/>
      <c r="F2245" s="44"/>
      <c r="G2245" s="42"/>
      <c r="H2245" s="42"/>
      <c r="I2245" s="44"/>
      <c r="J2245" s="11" t="str">
        <f aca="false">IF(D2245="","",N(G2245)-N(H2245))</f>
        <v/>
      </c>
      <c r="K2245" s="34" t="str">
        <f aca="false">IF(D2245="","",IFERROR(INDEX(I_COA!$C$6:$C$265,MATCH(D2245,I_COA!$A$6:$A$265,0)),"AKUN BARU"))</f>
        <v/>
      </c>
      <c r="L2245" s="34" t="str">
        <f aca="false">IF(K2245="LabaRugi",INDEX(I_COA!$D$6:$D$265,MATCH(D2245,I_COA!$A$6:$A$265,0)),"")</f>
        <v/>
      </c>
      <c r="M2245" s="34" t="str">
        <f aca="false">IF(K2245="Neraca",INDEX(I_COA!$E$6:$E$265,MATCH(D2245,I_COA!$A$6:$A$265,0)),"")</f>
        <v/>
      </c>
      <c r="N2245" s="34" t="str">
        <f aca="false">IF(D2245="","",IFERROR(INDEX(I_COA!$G$6:$G$265,MATCH(D2245,I_COA!$A$6:$A$265,0)),"N"))</f>
        <v/>
      </c>
      <c r="O2245" s="11" t="str">
        <f aca="false">IF(N2245="N",ABS(J2245),"")</f>
        <v/>
      </c>
      <c r="P2245" s="18" t="str">
        <f aca="false">IF(N2245="N",B2245&amp;"|"&amp;ROUND(O2245,0),"")</f>
        <v/>
      </c>
      <c r="Q2245" s="18" t="str">
        <f aca="false">IF(N2245&lt;&gt;"Y","",IFERROR(INDEX($D$6:$D$4005,MATCH(B2245&amp;"|"&amp;ROUND(_xlfn.MAXIFS($O$6:$O$4005,$B$6:$B$4005,B2245,$N$6:$N$4005,"N"),0),$P$6:$P$4005,0)),"(tanpa lawan)"))</f>
        <v/>
      </c>
      <c r="R2245" s="44"/>
      <c r="S2245" s="9" t="str">
        <f aca="false">IF(N2245&lt;&gt;"Y","",IF(R2245&lt;&gt;"",R2245,IF(Q2245="(tanpa lawan)","Transfer antar rekening",IFERROR(INDEX(I_COA!$F$6:$F$265,MATCH(Q2245,I_COA!$A$6:$A$265,0)),"?"))))</f>
        <v/>
      </c>
    </row>
    <row r="2246" customFormat="false" ht="15" hidden="false" customHeight="false" outlineLevel="0" collapsed="false">
      <c r="A2246" s="37"/>
      <c r="B2246" s="44"/>
      <c r="C2246" s="44"/>
      <c r="D2246" s="44"/>
      <c r="E2246" s="44"/>
      <c r="F2246" s="44"/>
      <c r="G2246" s="42"/>
      <c r="H2246" s="42"/>
      <c r="I2246" s="44"/>
      <c r="J2246" s="11" t="str">
        <f aca="false">IF(D2246="","",N(G2246)-N(H2246))</f>
        <v/>
      </c>
      <c r="K2246" s="34" t="str">
        <f aca="false">IF(D2246="","",IFERROR(INDEX(I_COA!$C$6:$C$265,MATCH(D2246,I_COA!$A$6:$A$265,0)),"AKUN BARU"))</f>
        <v/>
      </c>
      <c r="L2246" s="34" t="str">
        <f aca="false">IF(K2246="LabaRugi",INDEX(I_COA!$D$6:$D$265,MATCH(D2246,I_COA!$A$6:$A$265,0)),"")</f>
        <v/>
      </c>
      <c r="M2246" s="34" t="str">
        <f aca="false">IF(K2246="Neraca",INDEX(I_COA!$E$6:$E$265,MATCH(D2246,I_COA!$A$6:$A$265,0)),"")</f>
        <v/>
      </c>
      <c r="N2246" s="34" t="str">
        <f aca="false">IF(D2246="","",IFERROR(INDEX(I_COA!$G$6:$G$265,MATCH(D2246,I_COA!$A$6:$A$265,0)),"N"))</f>
        <v/>
      </c>
      <c r="O2246" s="11" t="str">
        <f aca="false">IF(N2246="N",ABS(J2246),"")</f>
        <v/>
      </c>
      <c r="P2246" s="18" t="str">
        <f aca="false">IF(N2246="N",B2246&amp;"|"&amp;ROUND(O2246,0),"")</f>
        <v/>
      </c>
      <c r="Q2246" s="18" t="str">
        <f aca="false">IF(N2246&lt;&gt;"Y","",IFERROR(INDEX($D$6:$D$4005,MATCH(B2246&amp;"|"&amp;ROUND(_xlfn.MAXIFS($O$6:$O$4005,$B$6:$B$4005,B2246,$N$6:$N$4005,"N"),0),$P$6:$P$4005,0)),"(tanpa lawan)"))</f>
        <v/>
      </c>
      <c r="R2246" s="44"/>
      <c r="S2246" s="9" t="str">
        <f aca="false">IF(N2246&lt;&gt;"Y","",IF(R2246&lt;&gt;"",R2246,IF(Q2246="(tanpa lawan)","Transfer antar rekening",IFERROR(INDEX(I_COA!$F$6:$F$265,MATCH(Q2246,I_COA!$A$6:$A$265,0)),"?"))))</f>
        <v/>
      </c>
    </row>
    <row r="2247" customFormat="false" ht="15" hidden="false" customHeight="false" outlineLevel="0" collapsed="false">
      <c r="A2247" s="37"/>
      <c r="B2247" s="44"/>
      <c r="C2247" s="44"/>
      <c r="D2247" s="44"/>
      <c r="E2247" s="44"/>
      <c r="F2247" s="44"/>
      <c r="G2247" s="42"/>
      <c r="H2247" s="42"/>
      <c r="I2247" s="44"/>
      <c r="J2247" s="11" t="str">
        <f aca="false">IF(D2247="","",N(G2247)-N(H2247))</f>
        <v/>
      </c>
      <c r="K2247" s="34" t="str">
        <f aca="false">IF(D2247="","",IFERROR(INDEX(I_COA!$C$6:$C$265,MATCH(D2247,I_COA!$A$6:$A$265,0)),"AKUN BARU"))</f>
        <v/>
      </c>
      <c r="L2247" s="34" t="str">
        <f aca="false">IF(K2247="LabaRugi",INDEX(I_COA!$D$6:$D$265,MATCH(D2247,I_COA!$A$6:$A$265,0)),"")</f>
        <v/>
      </c>
      <c r="M2247" s="34" t="str">
        <f aca="false">IF(K2247="Neraca",INDEX(I_COA!$E$6:$E$265,MATCH(D2247,I_COA!$A$6:$A$265,0)),"")</f>
        <v/>
      </c>
      <c r="N2247" s="34" t="str">
        <f aca="false">IF(D2247="","",IFERROR(INDEX(I_COA!$G$6:$G$265,MATCH(D2247,I_COA!$A$6:$A$265,0)),"N"))</f>
        <v/>
      </c>
      <c r="O2247" s="11" t="str">
        <f aca="false">IF(N2247="N",ABS(J2247),"")</f>
        <v/>
      </c>
      <c r="P2247" s="18" t="str">
        <f aca="false">IF(N2247="N",B2247&amp;"|"&amp;ROUND(O2247,0),"")</f>
        <v/>
      </c>
      <c r="Q2247" s="18" t="str">
        <f aca="false">IF(N2247&lt;&gt;"Y","",IFERROR(INDEX($D$6:$D$4005,MATCH(B2247&amp;"|"&amp;ROUND(_xlfn.MAXIFS($O$6:$O$4005,$B$6:$B$4005,B2247,$N$6:$N$4005,"N"),0),$P$6:$P$4005,0)),"(tanpa lawan)"))</f>
        <v/>
      </c>
      <c r="R2247" s="44"/>
      <c r="S2247" s="9" t="str">
        <f aca="false">IF(N2247&lt;&gt;"Y","",IF(R2247&lt;&gt;"",R2247,IF(Q2247="(tanpa lawan)","Transfer antar rekening",IFERROR(INDEX(I_COA!$F$6:$F$265,MATCH(Q2247,I_COA!$A$6:$A$265,0)),"?"))))</f>
        <v/>
      </c>
    </row>
    <row r="2248" customFormat="false" ht="15" hidden="false" customHeight="false" outlineLevel="0" collapsed="false">
      <c r="A2248" s="37"/>
      <c r="B2248" s="44"/>
      <c r="C2248" s="44"/>
      <c r="D2248" s="44"/>
      <c r="E2248" s="44"/>
      <c r="F2248" s="44"/>
      <c r="G2248" s="42"/>
      <c r="H2248" s="42"/>
      <c r="I2248" s="44"/>
      <c r="J2248" s="11" t="str">
        <f aca="false">IF(D2248="","",N(G2248)-N(H2248))</f>
        <v/>
      </c>
      <c r="K2248" s="34" t="str">
        <f aca="false">IF(D2248="","",IFERROR(INDEX(I_COA!$C$6:$C$265,MATCH(D2248,I_COA!$A$6:$A$265,0)),"AKUN BARU"))</f>
        <v/>
      </c>
      <c r="L2248" s="34" t="str">
        <f aca="false">IF(K2248="LabaRugi",INDEX(I_COA!$D$6:$D$265,MATCH(D2248,I_COA!$A$6:$A$265,0)),"")</f>
        <v/>
      </c>
      <c r="M2248" s="34" t="str">
        <f aca="false">IF(K2248="Neraca",INDEX(I_COA!$E$6:$E$265,MATCH(D2248,I_COA!$A$6:$A$265,0)),"")</f>
        <v/>
      </c>
      <c r="N2248" s="34" t="str">
        <f aca="false">IF(D2248="","",IFERROR(INDEX(I_COA!$G$6:$G$265,MATCH(D2248,I_COA!$A$6:$A$265,0)),"N"))</f>
        <v/>
      </c>
      <c r="O2248" s="11" t="str">
        <f aca="false">IF(N2248="N",ABS(J2248),"")</f>
        <v/>
      </c>
      <c r="P2248" s="18" t="str">
        <f aca="false">IF(N2248="N",B2248&amp;"|"&amp;ROUND(O2248,0),"")</f>
        <v/>
      </c>
      <c r="Q2248" s="18" t="str">
        <f aca="false">IF(N2248&lt;&gt;"Y","",IFERROR(INDEX($D$6:$D$4005,MATCH(B2248&amp;"|"&amp;ROUND(_xlfn.MAXIFS($O$6:$O$4005,$B$6:$B$4005,B2248,$N$6:$N$4005,"N"),0),$P$6:$P$4005,0)),"(tanpa lawan)"))</f>
        <v/>
      </c>
      <c r="R2248" s="44"/>
      <c r="S2248" s="9" t="str">
        <f aca="false">IF(N2248&lt;&gt;"Y","",IF(R2248&lt;&gt;"",R2248,IF(Q2248="(tanpa lawan)","Transfer antar rekening",IFERROR(INDEX(I_COA!$F$6:$F$265,MATCH(Q2248,I_COA!$A$6:$A$265,0)),"?"))))</f>
        <v/>
      </c>
    </row>
    <row r="2249" customFormat="false" ht="15" hidden="false" customHeight="false" outlineLevel="0" collapsed="false">
      <c r="A2249" s="37"/>
      <c r="B2249" s="44"/>
      <c r="C2249" s="44"/>
      <c r="D2249" s="44"/>
      <c r="E2249" s="44"/>
      <c r="F2249" s="44"/>
      <c r="G2249" s="42"/>
      <c r="H2249" s="42"/>
      <c r="I2249" s="44"/>
      <c r="J2249" s="11" t="str">
        <f aca="false">IF(D2249="","",N(G2249)-N(H2249))</f>
        <v/>
      </c>
      <c r="K2249" s="34" t="str">
        <f aca="false">IF(D2249="","",IFERROR(INDEX(I_COA!$C$6:$C$265,MATCH(D2249,I_COA!$A$6:$A$265,0)),"AKUN BARU"))</f>
        <v/>
      </c>
      <c r="L2249" s="34" t="str">
        <f aca="false">IF(K2249="LabaRugi",INDEX(I_COA!$D$6:$D$265,MATCH(D2249,I_COA!$A$6:$A$265,0)),"")</f>
        <v/>
      </c>
      <c r="M2249" s="34" t="str">
        <f aca="false">IF(K2249="Neraca",INDEX(I_COA!$E$6:$E$265,MATCH(D2249,I_COA!$A$6:$A$265,0)),"")</f>
        <v/>
      </c>
      <c r="N2249" s="34" t="str">
        <f aca="false">IF(D2249="","",IFERROR(INDEX(I_COA!$G$6:$G$265,MATCH(D2249,I_COA!$A$6:$A$265,0)),"N"))</f>
        <v/>
      </c>
      <c r="O2249" s="11" t="str">
        <f aca="false">IF(N2249="N",ABS(J2249),"")</f>
        <v/>
      </c>
      <c r="P2249" s="18" t="str">
        <f aca="false">IF(N2249="N",B2249&amp;"|"&amp;ROUND(O2249,0),"")</f>
        <v/>
      </c>
      <c r="Q2249" s="18" t="str">
        <f aca="false">IF(N2249&lt;&gt;"Y","",IFERROR(INDEX($D$6:$D$4005,MATCH(B2249&amp;"|"&amp;ROUND(_xlfn.MAXIFS($O$6:$O$4005,$B$6:$B$4005,B2249,$N$6:$N$4005,"N"),0),$P$6:$P$4005,0)),"(tanpa lawan)"))</f>
        <v/>
      </c>
      <c r="R2249" s="44"/>
      <c r="S2249" s="9" t="str">
        <f aca="false">IF(N2249&lt;&gt;"Y","",IF(R2249&lt;&gt;"",R2249,IF(Q2249="(tanpa lawan)","Transfer antar rekening",IFERROR(INDEX(I_COA!$F$6:$F$265,MATCH(Q2249,I_COA!$A$6:$A$265,0)),"?"))))</f>
        <v/>
      </c>
    </row>
    <row r="2250" customFormat="false" ht="15" hidden="false" customHeight="false" outlineLevel="0" collapsed="false">
      <c r="A2250" s="37"/>
      <c r="B2250" s="44"/>
      <c r="C2250" s="44"/>
      <c r="D2250" s="44"/>
      <c r="E2250" s="44"/>
      <c r="F2250" s="44"/>
      <c r="G2250" s="42"/>
      <c r="H2250" s="42"/>
      <c r="I2250" s="44"/>
      <c r="J2250" s="11" t="str">
        <f aca="false">IF(D2250="","",N(G2250)-N(H2250))</f>
        <v/>
      </c>
      <c r="K2250" s="34" t="str">
        <f aca="false">IF(D2250="","",IFERROR(INDEX(I_COA!$C$6:$C$265,MATCH(D2250,I_COA!$A$6:$A$265,0)),"AKUN BARU"))</f>
        <v/>
      </c>
      <c r="L2250" s="34" t="str">
        <f aca="false">IF(K2250="LabaRugi",INDEX(I_COA!$D$6:$D$265,MATCH(D2250,I_COA!$A$6:$A$265,0)),"")</f>
        <v/>
      </c>
      <c r="M2250" s="34" t="str">
        <f aca="false">IF(K2250="Neraca",INDEX(I_COA!$E$6:$E$265,MATCH(D2250,I_COA!$A$6:$A$265,0)),"")</f>
        <v/>
      </c>
      <c r="N2250" s="34" t="str">
        <f aca="false">IF(D2250="","",IFERROR(INDEX(I_COA!$G$6:$G$265,MATCH(D2250,I_COA!$A$6:$A$265,0)),"N"))</f>
        <v/>
      </c>
      <c r="O2250" s="11" t="str">
        <f aca="false">IF(N2250="N",ABS(J2250),"")</f>
        <v/>
      </c>
      <c r="P2250" s="18" t="str">
        <f aca="false">IF(N2250="N",B2250&amp;"|"&amp;ROUND(O2250,0),"")</f>
        <v/>
      </c>
      <c r="Q2250" s="18" t="str">
        <f aca="false">IF(N2250&lt;&gt;"Y","",IFERROR(INDEX($D$6:$D$4005,MATCH(B2250&amp;"|"&amp;ROUND(_xlfn.MAXIFS($O$6:$O$4005,$B$6:$B$4005,B2250,$N$6:$N$4005,"N"),0),$P$6:$P$4005,0)),"(tanpa lawan)"))</f>
        <v/>
      </c>
      <c r="R2250" s="44"/>
      <c r="S2250" s="9" t="str">
        <f aca="false">IF(N2250&lt;&gt;"Y","",IF(R2250&lt;&gt;"",R2250,IF(Q2250="(tanpa lawan)","Transfer antar rekening",IFERROR(INDEX(I_COA!$F$6:$F$265,MATCH(Q2250,I_COA!$A$6:$A$265,0)),"?"))))</f>
        <v/>
      </c>
    </row>
    <row r="2251" customFormat="false" ht="15" hidden="false" customHeight="false" outlineLevel="0" collapsed="false">
      <c r="A2251" s="37"/>
      <c r="B2251" s="44"/>
      <c r="C2251" s="44"/>
      <c r="D2251" s="44"/>
      <c r="E2251" s="44"/>
      <c r="F2251" s="44"/>
      <c r="G2251" s="42"/>
      <c r="H2251" s="42"/>
      <c r="I2251" s="44"/>
      <c r="J2251" s="11" t="str">
        <f aca="false">IF(D2251="","",N(G2251)-N(H2251))</f>
        <v/>
      </c>
      <c r="K2251" s="34" t="str">
        <f aca="false">IF(D2251="","",IFERROR(INDEX(I_COA!$C$6:$C$265,MATCH(D2251,I_COA!$A$6:$A$265,0)),"AKUN BARU"))</f>
        <v/>
      </c>
      <c r="L2251" s="34" t="str">
        <f aca="false">IF(K2251="LabaRugi",INDEX(I_COA!$D$6:$D$265,MATCH(D2251,I_COA!$A$6:$A$265,0)),"")</f>
        <v/>
      </c>
      <c r="M2251" s="34" t="str">
        <f aca="false">IF(K2251="Neraca",INDEX(I_COA!$E$6:$E$265,MATCH(D2251,I_COA!$A$6:$A$265,0)),"")</f>
        <v/>
      </c>
      <c r="N2251" s="34" t="str">
        <f aca="false">IF(D2251="","",IFERROR(INDEX(I_COA!$G$6:$G$265,MATCH(D2251,I_COA!$A$6:$A$265,0)),"N"))</f>
        <v/>
      </c>
      <c r="O2251" s="11" t="str">
        <f aca="false">IF(N2251="N",ABS(J2251),"")</f>
        <v/>
      </c>
      <c r="P2251" s="18" t="str">
        <f aca="false">IF(N2251="N",B2251&amp;"|"&amp;ROUND(O2251,0),"")</f>
        <v/>
      </c>
      <c r="Q2251" s="18" t="str">
        <f aca="false">IF(N2251&lt;&gt;"Y","",IFERROR(INDEX($D$6:$D$4005,MATCH(B2251&amp;"|"&amp;ROUND(_xlfn.MAXIFS($O$6:$O$4005,$B$6:$B$4005,B2251,$N$6:$N$4005,"N"),0),$P$6:$P$4005,0)),"(tanpa lawan)"))</f>
        <v/>
      </c>
      <c r="R2251" s="44"/>
      <c r="S2251" s="9" t="str">
        <f aca="false">IF(N2251&lt;&gt;"Y","",IF(R2251&lt;&gt;"",R2251,IF(Q2251="(tanpa lawan)","Transfer antar rekening",IFERROR(INDEX(I_COA!$F$6:$F$265,MATCH(Q2251,I_COA!$A$6:$A$265,0)),"?"))))</f>
        <v/>
      </c>
    </row>
    <row r="2252" customFormat="false" ht="15" hidden="false" customHeight="false" outlineLevel="0" collapsed="false">
      <c r="A2252" s="37"/>
      <c r="B2252" s="44"/>
      <c r="C2252" s="44"/>
      <c r="D2252" s="44"/>
      <c r="E2252" s="44"/>
      <c r="F2252" s="44"/>
      <c r="G2252" s="42"/>
      <c r="H2252" s="42"/>
      <c r="I2252" s="44"/>
      <c r="J2252" s="11" t="str">
        <f aca="false">IF(D2252="","",N(G2252)-N(H2252))</f>
        <v/>
      </c>
      <c r="K2252" s="34" t="str">
        <f aca="false">IF(D2252="","",IFERROR(INDEX(I_COA!$C$6:$C$265,MATCH(D2252,I_COA!$A$6:$A$265,0)),"AKUN BARU"))</f>
        <v/>
      </c>
      <c r="L2252" s="34" t="str">
        <f aca="false">IF(K2252="LabaRugi",INDEX(I_COA!$D$6:$D$265,MATCH(D2252,I_COA!$A$6:$A$265,0)),"")</f>
        <v/>
      </c>
      <c r="M2252" s="34" t="str">
        <f aca="false">IF(K2252="Neraca",INDEX(I_COA!$E$6:$E$265,MATCH(D2252,I_COA!$A$6:$A$265,0)),"")</f>
        <v/>
      </c>
      <c r="N2252" s="34" t="str">
        <f aca="false">IF(D2252="","",IFERROR(INDEX(I_COA!$G$6:$G$265,MATCH(D2252,I_COA!$A$6:$A$265,0)),"N"))</f>
        <v/>
      </c>
      <c r="O2252" s="11" t="str">
        <f aca="false">IF(N2252="N",ABS(J2252),"")</f>
        <v/>
      </c>
      <c r="P2252" s="18" t="str">
        <f aca="false">IF(N2252="N",B2252&amp;"|"&amp;ROUND(O2252,0),"")</f>
        <v/>
      </c>
      <c r="Q2252" s="18" t="str">
        <f aca="false">IF(N2252&lt;&gt;"Y","",IFERROR(INDEX($D$6:$D$4005,MATCH(B2252&amp;"|"&amp;ROUND(_xlfn.MAXIFS($O$6:$O$4005,$B$6:$B$4005,B2252,$N$6:$N$4005,"N"),0),$P$6:$P$4005,0)),"(tanpa lawan)"))</f>
        <v/>
      </c>
      <c r="R2252" s="44"/>
      <c r="S2252" s="9" t="str">
        <f aca="false">IF(N2252&lt;&gt;"Y","",IF(R2252&lt;&gt;"",R2252,IF(Q2252="(tanpa lawan)","Transfer antar rekening",IFERROR(INDEX(I_COA!$F$6:$F$265,MATCH(Q2252,I_COA!$A$6:$A$265,0)),"?"))))</f>
        <v/>
      </c>
    </row>
    <row r="2253" customFormat="false" ht="15" hidden="false" customHeight="false" outlineLevel="0" collapsed="false">
      <c r="A2253" s="37"/>
      <c r="B2253" s="44"/>
      <c r="C2253" s="44"/>
      <c r="D2253" s="44"/>
      <c r="E2253" s="44"/>
      <c r="F2253" s="44"/>
      <c r="G2253" s="42"/>
      <c r="H2253" s="42"/>
      <c r="I2253" s="44"/>
      <c r="J2253" s="11" t="str">
        <f aca="false">IF(D2253="","",N(G2253)-N(H2253))</f>
        <v/>
      </c>
      <c r="K2253" s="34" t="str">
        <f aca="false">IF(D2253="","",IFERROR(INDEX(I_COA!$C$6:$C$265,MATCH(D2253,I_COA!$A$6:$A$265,0)),"AKUN BARU"))</f>
        <v/>
      </c>
      <c r="L2253" s="34" t="str">
        <f aca="false">IF(K2253="LabaRugi",INDEX(I_COA!$D$6:$D$265,MATCH(D2253,I_COA!$A$6:$A$265,0)),"")</f>
        <v/>
      </c>
      <c r="M2253" s="34" t="str">
        <f aca="false">IF(K2253="Neraca",INDEX(I_COA!$E$6:$E$265,MATCH(D2253,I_COA!$A$6:$A$265,0)),"")</f>
        <v/>
      </c>
      <c r="N2253" s="34" t="str">
        <f aca="false">IF(D2253="","",IFERROR(INDEX(I_COA!$G$6:$G$265,MATCH(D2253,I_COA!$A$6:$A$265,0)),"N"))</f>
        <v/>
      </c>
      <c r="O2253" s="11" t="str">
        <f aca="false">IF(N2253="N",ABS(J2253),"")</f>
        <v/>
      </c>
      <c r="P2253" s="18" t="str">
        <f aca="false">IF(N2253="N",B2253&amp;"|"&amp;ROUND(O2253,0),"")</f>
        <v/>
      </c>
      <c r="Q2253" s="18" t="str">
        <f aca="false">IF(N2253&lt;&gt;"Y","",IFERROR(INDEX($D$6:$D$4005,MATCH(B2253&amp;"|"&amp;ROUND(_xlfn.MAXIFS($O$6:$O$4005,$B$6:$B$4005,B2253,$N$6:$N$4005,"N"),0),$P$6:$P$4005,0)),"(tanpa lawan)"))</f>
        <v/>
      </c>
      <c r="R2253" s="44"/>
      <c r="S2253" s="9" t="str">
        <f aca="false">IF(N2253&lt;&gt;"Y","",IF(R2253&lt;&gt;"",R2253,IF(Q2253="(tanpa lawan)","Transfer antar rekening",IFERROR(INDEX(I_COA!$F$6:$F$265,MATCH(Q2253,I_COA!$A$6:$A$265,0)),"?"))))</f>
        <v/>
      </c>
    </row>
    <row r="2254" customFormat="false" ht="15" hidden="false" customHeight="false" outlineLevel="0" collapsed="false">
      <c r="A2254" s="37"/>
      <c r="B2254" s="44"/>
      <c r="C2254" s="44"/>
      <c r="D2254" s="44"/>
      <c r="E2254" s="44"/>
      <c r="F2254" s="44"/>
      <c r="G2254" s="42"/>
      <c r="H2254" s="42"/>
      <c r="I2254" s="44"/>
      <c r="J2254" s="11" t="str">
        <f aca="false">IF(D2254="","",N(G2254)-N(H2254))</f>
        <v/>
      </c>
      <c r="K2254" s="34" t="str">
        <f aca="false">IF(D2254="","",IFERROR(INDEX(I_COA!$C$6:$C$265,MATCH(D2254,I_COA!$A$6:$A$265,0)),"AKUN BARU"))</f>
        <v/>
      </c>
      <c r="L2254" s="34" t="str">
        <f aca="false">IF(K2254="LabaRugi",INDEX(I_COA!$D$6:$D$265,MATCH(D2254,I_COA!$A$6:$A$265,0)),"")</f>
        <v/>
      </c>
      <c r="M2254" s="34" t="str">
        <f aca="false">IF(K2254="Neraca",INDEX(I_COA!$E$6:$E$265,MATCH(D2254,I_COA!$A$6:$A$265,0)),"")</f>
        <v/>
      </c>
      <c r="N2254" s="34" t="str">
        <f aca="false">IF(D2254="","",IFERROR(INDEX(I_COA!$G$6:$G$265,MATCH(D2254,I_COA!$A$6:$A$265,0)),"N"))</f>
        <v/>
      </c>
      <c r="O2254" s="11" t="str">
        <f aca="false">IF(N2254="N",ABS(J2254),"")</f>
        <v/>
      </c>
      <c r="P2254" s="18" t="str">
        <f aca="false">IF(N2254="N",B2254&amp;"|"&amp;ROUND(O2254,0),"")</f>
        <v/>
      </c>
      <c r="Q2254" s="18" t="str">
        <f aca="false">IF(N2254&lt;&gt;"Y","",IFERROR(INDEX($D$6:$D$4005,MATCH(B2254&amp;"|"&amp;ROUND(_xlfn.MAXIFS($O$6:$O$4005,$B$6:$B$4005,B2254,$N$6:$N$4005,"N"),0),$P$6:$P$4005,0)),"(tanpa lawan)"))</f>
        <v/>
      </c>
      <c r="R2254" s="44"/>
      <c r="S2254" s="9" t="str">
        <f aca="false">IF(N2254&lt;&gt;"Y","",IF(R2254&lt;&gt;"",R2254,IF(Q2254="(tanpa lawan)","Transfer antar rekening",IFERROR(INDEX(I_COA!$F$6:$F$265,MATCH(Q2254,I_COA!$A$6:$A$265,0)),"?"))))</f>
        <v/>
      </c>
    </row>
    <row r="2255" customFormat="false" ht="15" hidden="false" customHeight="false" outlineLevel="0" collapsed="false">
      <c r="A2255" s="37"/>
      <c r="B2255" s="44"/>
      <c r="C2255" s="44"/>
      <c r="D2255" s="44"/>
      <c r="E2255" s="44"/>
      <c r="F2255" s="44"/>
      <c r="G2255" s="42"/>
      <c r="H2255" s="42"/>
      <c r="I2255" s="44"/>
      <c r="J2255" s="11" t="str">
        <f aca="false">IF(D2255="","",N(G2255)-N(H2255))</f>
        <v/>
      </c>
      <c r="K2255" s="34" t="str">
        <f aca="false">IF(D2255="","",IFERROR(INDEX(I_COA!$C$6:$C$265,MATCH(D2255,I_COA!$A$6:$A$265,0)),"AKUN BARU"))</f>
        <v/>
      </c>
      <c r="L2255" s="34" t="str">
        <f aca="false">IF(K2255="LabaRugi",INDEX(I_COA!$D$6:$D$265,MATCH(D2255,I_COA!$A$6:$A$265,0)),"")</f>
        <v/>
      </c>
      <c r="M2255" s="34" t="str">
        <f aca="false">IF(K2255="Neraca",INDEX(I_COA!$E$6:$E$265,MATCH(D2255,I_COA!$A$6:$A$265,0)),"")</f>
        <v/>
      </c>
      <c r="N2255" s="34" t="str">
        <f aca="false">IF(D2255="","",IFERROR(INDEX(I_COA!$G$6:$G$265,MATCH(D2255,I_COA!$A$6:$A$265,0)),"N"))</f>
        <v/>
      </c>
      <c r="O2255" s="11" t="str">
        <f aca="false">IF(N2255="N",ABS(J2255),"")</f>
        <v/>
      </c>
      <c r="P2255" s="18" t="str">
        <f aca="false">IF(N2255="N",B2255&amp;"|"&amp;ROUND(O2255,0),"")</f>
        <v/>
      </c>
      <c r="Q2255" s="18" t="str">
        <f aca="false">IF(N2255&lt;&gt;"Y","",IFERROR(INDEX($D$6:$D$4005,MATCH(B2255&amp;"|"&amp;ROUND(_xlfn.MAXIFS($O$6:$O$4005,$B$6:$B$4005,B2255,$N$6:$N$4005,"N"),0),$P$6:$P$4005,0)),"(tanpa lawan)"))</f>
        <v/>
      </c>
      <c r="R2255" s="44"/>
      <c r="S2255" s="9" t="str">
        <f aca="false">IF(N2255&lt;&gt;"Y","",IF(R2255&lt;&gt;"",R2255,IF(Q2255="(tanpa lawan)","Transfer antar rekening",IFERROR(INDEX(I_COA!$F$6:$F$265,MATCH(Q2255,I_COA!$A$6:$A$265,0)),"?"))))</f>
        <v/>
      </c>
    </row>
    <row r="2256" customFormat="false" ht="15" hidden="false" customHeight="false" outlineLevel="0" collapsed="false">
      <c r="A2256" s="37"/>
      <c r="B2256" s="44"/>
      <c r="C2256" s="44"/>
      <c r="D2256" s="44"/>
      <c r="E2256" s="44"/>
      <c r="F2256" s="44"/>
      <c r="G2256" s="42"/>
      <c r="H2256" s="42"/>
      <c r="I2256" s="44"/>
      <c r="J2256" s="11" t="str">
        <f aca="false">IF(D2256="","",N(G2256)-N(H2256))</f>
        <v/>
      </c>
      <c r="K2256" s="34" t="str">
        <f aca="false">IF(D2256="","",IFERROR(INDEX(I_COA!$C$6:$C$265,MATCH(D2256,I_COA!$A$6:$A$265,0)),"AKUN BARU"))</f>
        <v/>
      </c>
      <c r="L2256" s="34" t="str">
        <f aca="false">IF(K2256="LabaRugi",INDEX(I_COA!$D$6:$D$265,MATCH(D2256,I_COA!$A$6:$A$265,0)),"")</f>
        <v/>
      </c>
      <c r="M2256" s="34" t="str">
        <f aca="false">IF(K2256="Neraca",INDEX(I_COA!$E$6:$E$265,MATCH(D2256,I_COA!$A$6:$A$265,0)),"")</f>
        <v/>
      </c>
      <c r="N2256" s="34" t="str">
        <f aca="false">IF(D2256="","",IFERROR(INDEX(I_COA!$G$6:$G$265,MATCH(D2256,I_COA!$A$6:$A$265,0)),"N"))</f>
        <v/>
      </c>
      <c r="O2256" s="11" t="str">
        <f aca="false">IF(N2256="N",ABS(J2256),"")</f>
        <v/>
      </c>
      <c r="P2256" s="18" t="str">
        <f aca="false">IF(N2256="N",B2256&amp;"|"&amp;ROUND(O2256,0),"")</f>
        <v/>
      </c>
      <c r="Q2256" s="18" t="str">
        <f aca="false">IF(N2256&lt;&gt;"Y","",IFERROR(INDEX($D$6:$D$4005,MATCH(B2256&amp;"|"&amp;ROUND(_xlfn.MAXIFS($O$6:$O$4005,$B$6:$B$4005,B2256,$N$6:$N$4005,"N"),0),$P$6:$P$4005,0)),"(tanpa lawan)"))</f>
        <v/>
      </c>
      <c r="R2256" s="44"/>
      <c r="S2256" s="9" t="str">
        <f aca="false">IF(N2256&lt;&gt;"Y","",IF(R2256&lt;&gt;"",R2256,IF(Q2256="(tanpa lawan)","Transfer antar rekening",IFERROR(INDEX(I_COA!$F$6:$F$265,MATCH(Q2256,I_COA!$A$6:$A$265,0)),"?"))))</f>
        <v/>
      </c>
    </row>
    <row r="2257" customFormat="false" ht="15" hidden="false" customHeight="false" outlineLevel="0" collapsed="false">
      <c r="A2257" s="37"/>
      <c r="B2257" s="44"/>
      <c r="C2257" s="44"/>
      <c r="D2257" s="44"/>
      <c r="E2257" s="44"/>
      <c r="F2257" s="44"/>
      <c r="G2257" s="42"/>
      <c r="H2257" s="42"/>
      <c r="I2257" s="44"/>
      <c r="J2257" s="11" t="str">
        <f aca="false">IF(D2257="","",N(G2257)-N(H2257))</f>
        <v/>
      </c>
      <c r="K2257" s="34" t="str">
        <f aca="false">IF(D2257="","",IFERROR(INDEX(I_COA!$C$6:$C$265,MATCH(D2257,I_COA!$A$6:$A$265,0)),"AKUN BARU"))</f>
        <v/>
      </c>
      <c r="L2257" s="34" t="str">
        <f aca="false">IF(K2257="LabaRugi",INDEX(I_COA!$D$6:$D$265,MATCH(D2257,I_COA!$A$6:$A$265,0)),"")</f>
        <v/>
      </c>
      <c r="M2257" s="34" t="str">
        <f aca="false">IF(K2257="Neraca",INDEX(I_COA!$E$6:$E$265,MATCH(D2257,I_COA!$A$6:$A$265,0)),"")</f>
        <v/>
      </c>
      <c r="N2257" s="34" t="str">
        <f aca="false">IF(D2257="","",IFERROR(INDEX(I_COA!$G$6:$G$265,MATCH(D2257,I_COA!$A$6:$A$265,0)),"N"))</f>
        <v/>
      </c>
      <c r="O2257" s="11" t="str">
        <f aca="false">IF(N2257="N",ABS(J2257),"")</f>
        <v/>
      </c>
      <c r="P2257" s="18" t="str">
        <f aca="false">IF(N2257="N",B2257&amp;"|"&amp;ROUND(O2257,0),"")</f>
        <v/>
      </c>
      <c r="Q2257" s="18" t="str">
        <f aca="false">IF(N2257&lt;&gt;"Y","",IFERROR(INDEX($D$6:$D$4005,MATCH(B2257&amp;"|"&amp;ROUND(_xlfn.MAXIFS($O$6:$O$4005,$B$6:$B$4005,B2257,$N$6:$N$4005,"N"),0),$P$6:$P$4005,0)),"(tanpa lawan)"))</f>
        <v/>
      </c>
      <c r="R2257" s="44"/>
      <c r="S2257" s="9" t="str">
        <f aca="false">IF(N2257&lt;&gt;"Y","",IF(R2257&lt;&gt;"",R2257,IF(Q2257="(tanpa lawan)","Transfer antar rekening",IFERROR(INDEX(I_COA!$F$6:$F$265,MATCH(Q2257,I_COA!$A$6:$A$265,0)),"?"))))</f>
        <v/>
      </c>
    </row>
    <row r="2258" customFormat="false" ht="15" hidden="false" customHeight="false" outlineLevel="0" collapsed="false">
      <c r="A2258" s="37"/>
      <c r="B2258" s="44"/>
      <c r="C2258" s="44"/>
      <c r="D2258" s="44"/>
      <c r="E2258" s="44"/>
      <c r="F2258" s="44"/>
      <c r="G2258" s="42"/>
      <c r="H2258" s="42"/>
      <c r="I2258" s="44"/>
      <c r="J2258" s="11" t="str">
        <f aca="false">IF(D2258="","",N(G2258)-N(H2258))</f>
        <v/>
      </c>
      <c r="K2258" s="34" t="str">
        <f aca="false">IF(D2258="","",IFERROR(INDEX(I_COA!$C$6:$C$265,MATCH(D2258,I_COA!$A$6:$A$265,0)),"AKUN BARU"))</f>
        <v/>
      </c>
      <c r="L2258" s="34" t="str">
        <f aca="false">IF(K2258="LabaRugi",INDEX(I_COA!$D$6:$D$265,MATCH(D2258,I_COA!$A$6:$A$265,0)),"")</f>
        <v/>
      </c>
      <c r="M2258" s="34" t="str">
        <f aca="false">IF(K2258="Neraca",INDEX(I_COA!$E$6:$E$265,MATCH(D2258,I_COA!$A$6:$A$265,0)),"")</f>
        <v/>
      </c>
      <c r="N2258" s="34" t="str">
        <f aca="false">IF(D2258="","",IFERROR(INDEX(I_COA!$G$6:$G$265,MATCH(D2258,I_COA!$A$6:$A$265,0)),"N"))</f>
        <v/>
      </c>
      <c r="O2258" s="11" t="str">
        <f aca="false">IF(N2258="N",ABS(J2258),"")</f>
        <v/>
      </c>
      <c r="P2258" s="18" t="str">
        <f aca="false">IF(N2258="N",B2258&amp;"|"&amp;ROUND(O2258,0),"")</f>
        <v/>
      </c>
      <c r="Q2258" s="18" t="str">
        <f aca="false">IF(N2258&lt;&gt;"Y","",IFERROR(INDEX($D$6:$D$4005,MATCH(B2258&amp;"|"&amp;ROUND(_xlfn.MAXIFS($O$6:$O$4005,$B$6:$B$4005,B2258,$N$6:$N$4005,"N"),0),$P$6:$P$4005,0)),"(tanpa lawan)"))</f>
        <v/>
      </c>
      <c r="R2258" s="44"/>
      <c r="S2258" s="9" t="str">
        <f aca="false">IF(N2258&lt;&gt;"Y","",IF(R2258&lt;&gt;"",R2258,IF(Q2258="(tanpa lawan)","Transfer antar rekening",IFERROR(INDEX(I_COA!$F$6:$F$265,MATCH(Q2258,I_COA!$A$6:$A$265,0)),"?"))))</f>
        <v/>
      </c>
    </row>
    <row r="2259" customFormat="false" ht="15" hidden="false" customHeight="false" outlineLevel="0" collapsed="false">
      <c r="A2259" s="37"/>
      <c r="B2259" s="44"/>
      <c r="C2259" s="44"/>
      <c r="D2259" s="44"/>
      <c r="E2259" s="44"/>
      <c r="F2259" s="44"/>
      <c r="G2259" s="42"/>
      <c r="H2259" s="42"/>
      <c r="I2259" s="44"/>
      <c r="J2259" s="11" t="str">
        <f aca="false">IF(D2259="","",N(G2259)-N(H2259))</f>
        <v/>
      </c>
      <c r="K2259" s="34" t="str">
        <f aca="false">IF(D2259="","",IFERROR(INDEX(I_COA!$C$6:$C$265,MATCH(D2259,I_COA!$A$6:$A$265,0)),"AKUN BARU"))</f>
        <v/>
      </c>
      <c r="L2259" s="34" t="str">
        <f aca="false">IF(K2259="LabaRugi",INDEX(I_COA!$D$6:$D$265,MATCH(D2259,I_COA!$A$6:$A$265,0)),"")</f>
        <v/>
      </c>
      <c r="M2259" s="34" t="str">
        <f aca="false">IF(K2259="Neraca",INDEX(I_COA!$E$6:$E$265,MATCH(D2259,I_COA!$A$6:$A$265,0)),"")</f>
        <v/>
      </c>
      <c r="N2259" s="34" t="str">
        <f aca="false">IF(D2259="","",IFERROR(INDEX(I_COA!$G$6:$G$265,MATCH(D2259,I_COA!$A$6:$A$265,0)),"N"))</f>
        <v/>
      </c>
      <c r="O2259" s="11" t="str">
        <f aca="false">IF(N2259="N",ABS(J2259),"")</f>
        <v/>
      </c>
      <c r="P2259" s="18" t="str">
        <f aca="false">IF(N2259="N",B2259&amp;"|"&amp;ROUND(O2259,0),"")</f>
        <v/>
      </c>
      <c r="Q2259" s="18" t="str">
        <f aca="false">IF(N2259&lt;&gt;"Y","",IFERROR(INDEX($D$6:$D$4005,MATCH(B2259&amp;"|"&amp;ROUND(_xlfn.MAXIFS($O$6:$O$4005,$B$6:$B$4005,B2259,$N$6:$N$4005,"N"),0),$P$6:$P$4005,0)),"(tanpa lawan)"))</f>
        <v/>
      </c>
      <c r="R2259" s="44"/>
      <c r="S2259" s="9" t="str">
        <f aca="false">IF(N2259&lt;&gt;"Y","",IF(R2259&lt;&gt;"",R2259,IF(Q2259="(tanpa lawan)","Transfer antar rekening",IFERROR(INDEX(I_COA!$F$6:$F$265,MATCH(Q2259,I_COA!$A$6:$A$265,0)),"?"))))</f>
        <v/>
      </c>
    </row>
    <row r="2260" customFormat="false" ht="15" hidden="false" customHeight="false" outlineLevel="0" collapsed="false">
      <c r="A2260" s="37"/>
      <c r="B2260" s="44"/>
      <c r="C2260" s="44"/>
      <c r="D2260" s="44"/>
      <c r="E2260" s="44"/>
      <c r="F2260" s="44"/>
      <c r="G2260" s="42"/>
      <c r="H2260" s="42"/>
      <c r="I2260" s="44"/>
      <c r="J2260" s="11" t="str">
        <f aca="false">IF(D2260="","",N(G2260)-N(H2260))</f>
        <v/>
      </c>
      <c r="K2260" s="34" t="str">
        <f aca="false">IF(D2260="","",IFERROR(INDEX(I_COA!$C$6:$C$265,MATCH(D2260,I_COA!$A$6:$A$265,0)),"AKUN BARU"))</f>
        <v/>
      </c>
      <c r="L2260" s="34" t="str">
        <f aca="false">IF(K2260="LabaRugi",INDEX(I_COA!$D$6:$D$265,MATCH(D2260,I_COA!$A$6:$A$265,0)),"")</f>
        <v/>
      </c>
      <c r="M2260" s="34" t="str">
        <f aca="false">IF(K2260="Neraca",INDEX(I_COA!$E$6:$E$265,MATCH(D2260,I_COA!$A$6:$A$265,0)),"")</f>
        <v/>
      </c>
      <c r="N2260" s="34" t="str">
        <f aca="false">IF(D2260="","",IFERROR(INDEX(I_COA!$G$6:$G$265,MATCH(D2260,I_COA!$A$6:$A$265,0)),"N"))</f>
        <v/>
      </c>
      <c r="O2260" s="11" t="str">
        <f aca="false">IF(N2260="N",ABS(J2260),"")</f>
        <v/>
      </c>
      <c r="P2260" s="18" t="str">
        <f aca="false">IF(N2260="N",B2260&amp;"|"&amp;ROUND(O2260,0),"")</f>
        <v/>
      </c>
      <c r="Q2260" s="18" t="str">
        <f aca="false">IF(N2260&lt;&gt;"Y","",IFERROR(INDEX($D$6:$D$4005,MATCH(B2260&amp;"|"&amp;ROUND(_xlfn.MAXIFS($O$6:$O$4005,$B$6:$B$4005,B2260,$N$6:$N$4005,"N"),0),$P$6:$P$4005,0)),"(tanpa lawan)"))</f>
        <v/>
      </c>
      <c r="R2260" s="44"/>
      <c r="S2260" s="9" t="str">
        <f aca="false">IF(N2260&lt;&gt;"Y","",IF(R2260&lt;&gt;"",R2260,IF(Q2260="(tanpa lawan)","Transfer antar rekening",IFERROR(INDEX(I_COA!$F$6:$F$265,MATCH(Q2260,I_COA!$A$6:$A$265,0)),"?"))))</f>
        <v/>
      </c>
    </row>
    <row r="2261" customFormat="false" ht="15" hidden="false" customHeight="false" outlineLevel="0" collapsed="false">
      <c r="A2261" s="37"/>
      <c r="B2261" s="44"/>
      <c r="C2261" s="44"/>
      <c r="D2261" s="44"/>
      <c r="E2261" s="44"/>
      <c r="F2261" s="44"/>
      <c r="G2261" s="42"/>
      <c r="H2261" s="42"/>
      <c r="I2261" s="44"/>
      <c r="J2261" s="11" t="str">
        <f aca="false">IF(D2261="","",N(G2261)-N(H2261))</f>
        <v/>
      </c>
      <c r="K2261" s="34" t="str">
        <f aca="false">IF(D2261="","",IFERROR(INDEX(I_COA!$C$6:$C$265,MATCH(D2261,I_COA!$A$6:$A$265,0)),"AKUN BARU"))</f>
        <v/>
      </c>
      <c r="L2261" s="34" t="str">
        <f aca="false">IF(K2261="LabaRugi",INDEX(I_COA!$D$6:$D$265,MATCH(D2261,I_COA!$A$6:$A$265,0)),"")</f>
        <v/>
      </c>
      <c r="M2261" s="34" t="str">
        <f aca="false">IF(K2261="Neraca",INDEX(I_COA!$E$6:$E$265,MATCH(D2261,I_COA!$A$6:$A$265,0)),"")</f>
        <v/>
      </c>
      <c r="N2261" s="34" t="str">
        <f aca="false">IF(D2261="","",IFERROR(INDEX(I_COA!$G$6:$G$265,MATCH(D2261,I_COA!$A$6:$A$265,0)),"N"))</f>
        <v/>
      </c>
      <c r="O2261" s="11" t="str">
        <f aca="false">IF(N2261="N",ABS(J2261),"")</f>
        <v/>
      </c>
      <c r="P2261" s="18" t="str">
        <f aca="false">IF(N2261="N",B2261&amp;"|"&amp;ROUND(O2261,0),"")</f>
        <v/>
      </c>
      <c r="Q2261" s="18" t="str">
        <f aca="false">IF(N2261&lt;&gt;"Y","",IFERROR(INDEX($D$6:$D$4005,MATCH(B2261&amp;"|"&amp;ROUND(_xlfn.MAXIFS($O$6:$O$4005,$B$6:$B$4005,B2261,$N$6:$N$4005,"N"),0),$P$6:$P$4005,0)),"(tanpa lawan)"))</f>
        <v/>
      </c>
      <c r="R2261" s="44"/>
      <c r="S2261" s="9" t="str">
        <f aca="false">IF(N2261&lt;&gt;"Y","",IF(R2261&lt;&gt;"",R2261,IF(Q2261="(tanpa lawan)","Transfer antar rekening",IFERROR(INDEX(I_COA!$F$6:$F$265,MATCH(Q2261,I_COA!$A$6:$A$265,0)),"?"))))</f>
        <v/>
      </c>
    </row>
    <row r="2262" customFormat="false" ht="15" hidden="false" customHeight="false" outlineLevel="0" collapsed="false">
      <c r="A2262" s="37"/>
      <c r="B2262" s="44"/>
      <c r="C2262" s="44"/>
      <c r="D2262" s="44"/>
      <c r="E2262" s="44"/>
      <c r="F2262" s="44"/>
      <c r="G2262" s="42"/>
      <c r="H2262" s="42"/>
      <c r="I2262" s="44"/>
      <c r="J2262" s="11" t="str">
        <f aca="false">IF(D2262="","",N(G2262)-N(H2262))</f>
        <v/>
      </c>
      <c r="K2262" s="34" t="str">
        <f aca="false">IF(D2262="","",IFERROR(INDEX(I_COA!$C$6:$C$265,MATCH(D2262,I_COA!$A$6:$A$265,0)),"AKUN BARU"))</f>
        <v/>
      </c>
      <c r="L2262" s="34" t="str">
        <f aca="false">IF(K2262="LabaRugi",INDEX(I_COA!$D$6:$D$265,MATCH(D2262,I_COA!$A$6:$A$265,0)),"")</f>
        <v/>
      </c>
      <c r="M2262" s="34" t="str">
        <f aca="false">IF(K2262="Neraca",INDEX(I_COA!$E$6:$E$265,MATCH(D2262,I_COA!$A$6:$A$265,0)),"")</f>
        <v/>
      </c>
      <c r="N2262" s="34" t="str">
        <f aca="false">IF(D2262="","",IFERROR(INDEX(I_COA!$G$6:$G$265,MATCH(D2262,I_COA!$A$6:$A$265,0)),"N"))</f>
        <v/>
      </c>
      <c r="O2262" s="11" t="str">
        <f aca="false">IF(N2262="N",ABS(J2262),"")</f>
        <v/>
      </c>
      <c r="P2262" s="18" t="str">
        <f aca="false">IF(N2262="N",B2262&amp;"|"&amp;ROUND(O2262,0),"")</f>
        <v/>
      </c>
      <c r="Q2262" s="18" t="str">
        <f aca="false">IF(N2262&lt;&gt;"Y","",IFERROR(INDEX($D$6:$D$4005,MATCH(B2262&amp;"|"&amp;ROUND(_xlfn.MAXIFS($O$6:$O$4005,$B$6:$B$4005,B2262,$N$6:$N$4005,"N"),0),$P$6:$P$4005,0)),"(tanpa lawan)"))</f>
        <v/>
      </c>
      <c r="R2262" s="44"/>
      <c r="S2262" s="9" t="str">
        <f aca="false">IF(N2262&lt;&gt;"Y","",IF(R2262&lt;&gt;"",R2262,IF(Q2262="(tanpa lawan)","Transfer antar rekening",IFERROR(INDEX(I_COA!$F$6:$F$265,MATCH(Q2262,I_COA!$A$6:$A$265,0)),"?"))))</f>
        <v/>
      </c>
    </row>
    <row r="2263" customFormat="false" ht="15" hidden="false" customHeight="false" outlineLevel="0" collapsed="false">
      <c r="A2263" s="37"/>
      <c r="B2263" s="44"/>
      <c r="C2263" s="44"/>
      <c r="D2263" s="44"/>
      <c r="E2263" s="44"/>
      <c r="F2263" s="44"/>
      <c r="G2263" s="42"/>
      <c r="H2263" s="42"/>
      <c r="I2263" s="44"/>
      <c r="J2263" s="11" t="str">
        <f aca="false">IF(D2263="","",N(G2263)-N(H2263))</f>
        <v/>
      </c>
      <c r="K2263" s="34" t="str">
        <f aca="false">IF(D2263="","",IFERROR(INDEX(I_COA!$C$6:$C$265,MATCH(D2263,I_COA!$A$6:$A$265,0)),"AKUN BARU"))</f>
        <v/>
      </c>
      <c r="L2263" s="34" t="str">
        <f aca="false">IF(K2263="LabaRugi",INDEX(I_COA!$D$6:$D$265,MATCH(D2263,I_COA!$A$6:$A$265,0)),"")</f>
        <v/>
      </c>
      <c r="M2263" s="34" t="str">
        <f aca="false">IF(K2263="Neraca",INDEX(I_COA!$E$6:$E$265,MATCH(D2263,I_COA!$A$6:$A$265,0)),"")</f>
        <v/>
      </c>
      <c r="N2263" s="34" t="str">
        <f aca="false">IF(D2263="","",IFERROR(INDEX(I_COA!$G$6:$G$265,MATCH(D2263,I_COA!$A$6:$A$265,0)),"N"))</f>
        <v/>
      </c>
      <c r="O2263" s="11" t="str">
        <f aca="false">IF(N2263="N",ABS(J2263),"")</f>
        <v/>
      </c>
      <c r="P2263" s="18" t="str">
        <f aca="false">IF(N2263="N",B2263&amp;"|"&amp;ROUND(O2263,0),"")</f>
        <v/>
      </c>
      <c r="Q2263" s="18" t="str">
        <f aca="false">IF(N2263&lt;&gt;"Y","",IFERROR(INDEX($D$6:$D$4005,MATCH(B2263&amp;"|"&amp;ROUND(_xlfn.MAXIFS($O$6:$O$4005,$B$6:$B$4005,B2263,$N$6:$N$4005,"N"),0),$P$6:$P$4005,0)),"(tanpa lawan)"))</f>
        <v/>
      </c>
      <c r="R2263" s="44"/>
      <c r="S2263" s="9" t="str">
        <f aca="false">IF(N2263&lt;&gt;"Y","",IF(R2263&lt;&gt;"",R2263,IF(Q2263="(tanpa lawan)","Transfer antar rekening",IFERROR(INDEX(I_COA!$F$6:$F$265,MATCH(Q2263,I_COA!$A$6:$A$265,0)),"?"))))</f>
        <v/>
      </c>
    </row>
    <row r="2264" customFormat="false" ht="15" hidden="false" customHeight="false" outlineLevel="0" collapsed="false">
      <c r="A2264" s="37"/>
      <c r="B2264" s="44"/>
      <c r="C2264" s="44"/>
      <c r="D2264" s="44"/>
      <c r="E2264" s="44"/>
      <c r="F2264" s="44"/>
      <c r="G2264" s="42"/>
      <c r="H2264" s="42"/>
      <c r="I2264" s="44"/>
      <c r="J2264" s="11" t="str">
        <f aca="false">IF(D2264="","",N(G2264)-N(H2264))</f>
        <v/>
      </c>
      <c r="K2264" s="34" t="str">
        <f aca="false">IF(D2264="","",IFERROR(INDEX(I_COA!$C$6:$C$265,MATCH(D2264,I_COA!$A$6:$A$265,0)),"AKUN BARU"))</f>
        <v/>
      </c>
      <c r="L2264" s="34" t="str">
        <f aca="false">IF(K2264="LabaRugi",INDEX(I_COA!$D$6:$D$265,MATCH(D2264,I_COA!$A$6:$A$265,0)),"")</f>
        <v/>
      </c>
      <c r="M2264" s="34" t="str">
        <f aca="false">IF(K2264="Neraca",INDEX(I_COA!$E$6:$E$265,MATCH(D2264,I_COA!$A$6:$A$265,0)),"")</f>
        <v/>
      </c>
      <c r="N2264" s="34" t="str">
        <f aca="false">IF(D2264="","",IFERROR(INDEX(I_COA!$G$6:$G$265,MATCH(D2264,I_COA!$A$6:$A$265,0)),"N"))</f>
        <v/>
      </c>
      <c r="O2264" s="11" t="str">
        <f aca="false">IF(N2264="N",ABS(J2264),"")</f>
        <v/>
      </c>
      <c r="P2264" s="18" t="str">
        <f aca="false">IF(N2264="N",B2264&amp;"|"&amp;ROUND(O2264,0),"")</f>
        <v/>
      </c>
      <c r="Q2264" s="18" t="str">
        <f aca="false">IF(N2264&lt;&gt;"Y","",IFERROR(INDEX($D$6:$D$4005,MATCH(B2264&amp;"|"&amp;ROUND(_xlfn.MAXIFS($O$6:$O$4005,$B$6:$B$4005,B2264,$N$6:$N$4005,"N"),0),$P$6:$P$4005,0)),"(tanpa lawan)"))</f>
        <v/>
      </c>
      <c r="R2264" s="44"/>
      <c r="S2264" s="9" t="str">
        <f aca="false">IF(N2264&lt;&gt;"Y","",IF(R2264&lt;&gt;"",R2264,IF(Q2264="(tanpa lawan)","Transfer antar rekening",IFERROR(INDEX(I_COA!$F$6:$F$265,MATCH(Q2264,I_COA!$A$6:$A$265,0)),"?"))))</f>
        <v/>
      </c>
    </row>
    <row r="2265" customFormat="false" ht="15" hidden="false" customHeight="false" outlineLevel="0" collapsed="false">
      <c r="A2265" s="37"/>
      <c r="B2265" s="44"/>
      <c r="C2265" s="44"/>
      <c r="D2265" s="44"/>
      <c r="E2265" s="44"/>
      <c r="F2265" s="44"/>
      <c r="G2265" s="42"/>
      <c r="H2265" s="42"/>
      <c r="I2265" s="44"/>
      <c r="J2265" s="11" t="str">
        <f aca="false">IF(D2265="","",N(G2265)-N(H2265))</f>
        <v/>
      </c>
      <c r="K2265" s="34" t="str">
        <f aca="false">IF(D2265="","",IFERROR(INDEX(I_COA!$C$6:$C$265,MATCH(D2265,I_COA!$A$6:$A$265,0)),"AKUN BARU"))</f>
        <v/>
      </c>
      <c r="L2265" s="34" t="str">
        <f aca="false">IF(K2265="LabaRugi",INDEX(I_COA!$D$6:$D$265,MATCH(D2265,I_COA!$A$6:$A$265,0)),"")</f>
        <v/>
      </c>
      <c r="M2265" s="34" t="str">
        <f aca="false">IF(K2265="Neraca",INDEX(I_COA!$E$6:$E$265,MATCH(D2265,I_COA!$A$6:$A$265,0)),"")</f>
        <v/>
      </c>
      <c r="N2265" s="34" t="str">
        <f aca="false">IF(D2265="","",IFERROR(INDEX(I_COA!$G$6:$G$265,MATCH(D2265,I_COA!$A$6:$A$265,0)),"N"))</f>
        <v/>
      </c>
      <c r="O2265" s="11" t="str">
        <f aca="false">IF(N2265="N",ABS(J2265),"")</f>
        <v/>
      </c>
      <c r="P2265" s="18" t="str">
        <f aca="false">IF(N2265="N",B2265&amp;"|"&amp;ROUND(O2265,0),"")</f>
        <v/>
      </c>
      <c r="Q2265" s="18" t="str">
        <f aca="false">IF(N2265&lt;&gt;"Y","",IFERROR(INDEX($D$6:$D$4005,MATCH(B2265&amp;"|"&amp;ROUND(_xlfn.MAXIFS($O$6:$O$4005,$B$6:$B$4005,B2265,$N$6:$N$4005,"N"),0),$P$6:$P$4005,0)),"(tanpa lawan)"))</f>
        <v/>
      </c>
      <c r="R2265" s="44"/>
      <c r="S2265" s="9" t="str">
        <f aca="false">IF(N2265&lt;&gt;"Y","",IF(R2265&lt;&gt;"",R2265,IF(Q2265="(tanpa lawan)","Transfer antar rekening",IFERROR(INDEX(I_COA!$F$6:$F$265,MATCH(Q2265,I_COA!$A$6:$A$265,0)),"?"))))</f>
        <v/>
      </c>
    </row>
    <row r="2266" customFormat="false" ht="15" hidden="false" customHeight="false" outlineLevel="0" collapsed="false">
      <c r="A2266" s="37"/>
      <c r="B2266" s="44"/>
      <c r="C2266" s="44"/>
      <c r="D2266" s="44"/>
      <c r="E2266" s="44"/>
      <c r="F2266" s="44"/>
      <c r="G2266" s="42"/>
      <c r="H2266" s="42"/>
      <c r="I2266" s="44"/>
      <c r="J2266" s="11" t="str">
        <f aca="false">IF(D2266="","",N(G2266)-N(H2266))</f>
        <v/>
      </c>
      <c r="K2266" s="34" t="str">
        <f aca="false">IF(D2266="","",IFERROR(INDEX(I_COA!$C$6:$C$265,MATCH(D2266,I_COA!$A$6:$A$265,0)),"AKUN BARU"))</f>
        <v/>
      </c>
      <c r="L2266" s="34" t="str">
        <f aca="false">IF(K2266="LabaRugi",INDEX(I_COA!$D$6:$D$265,MATCH(D2266,I_COA!$A$6:$A$265,0)),"")</f>
        <v/>
      </c>
      <c r="M2266" s="34" t="str">
        <f aca="false">IF(K2266="Neraca",INDEX(I_COA!$E$6:$E$265,MATCH(D2266,I_COA!$A$6:$A$265,0)),"")</f>
        <v/>
      </c>
      <c r="N2266" s="34" t="str">
        <f aca="false">IF(D2266="","",IFERROR(INDEX(I_COA!$G$6:$G$265,MATCH(D2266,I_COA!$A$6:$A$265,0)),"N"))</f>
        <v/>
      </c>
      <c r="O2266" s="11" t="str">
        <f aca="false">IF(N2266="N",ABS(J2266),"")</f>
        <v/>
      </c>
      <c r="P2266" s="18" t="str">
        <f aca="false">IF(N2266="N",B2266&amp;"|"&amp;ROUND(O2266,0),"")</f>
        <v/>
      </c>
      <c r="Q2266" s="18" t="str">
        <f aca="false">IF(N2266&lt;&gt;"Y","",IFERROR(INDEX($D$6:$D$4005,MATCH(B2266&amp;"|"&amp;ROUND(_xlfn.MAXIFS($O$6:$O$4005,$B$6:$B$4005,B2266,$N$6:$N$4005,"N"),0),$P$6:$P$4005,0)),"(tanpa lawan)"))</f>
        <v/>
      </c>
      <c r="R2266" s="44"/>
      <c r="S2266" s="9" t="str">
        <f aca="false">IF(N2266&lt;&gt;"Y","",IF(R2266&lt;&gt;"",R2266,IF(Q2266="(tanpa lawan)","Transfer antar rekening",IFERROR(INDEX(I_COA!$F$6:$F$265,MATCH(Q2266,I_COA!$A$6:$A$265,0)),"?"))))</f>
        <v/>
      </c>
    </row>
    <row r="2267" customFormat="false" ht="15" hidden="false" customHeight="false" outlineLevel="0" collapsed="false">
      <c r="A2267" s="37"/>
      <c r="B2267" s="44"/>
      <c r="C2267" s="44"/>
      <c r="D2267" s="44"/>
      <c r="E2267" s="44"/>
      <c r="F2267" s="44"/>
      <c r="G2267" s="42"/>
      <c r="H2267" s="42"/>
      <c r="I2267" s="44"/>
      <c r="J2267" s="11" t="str">
        <f aca="false">IF(D2267="","",N(G2267)-N(H2267))</f>
        <v/>
      </c>
      <c r="K2267" s="34" t="str">
        <f aca="false">IF(D2267="","",IFERROR(INDEX(I_COA!$C$6:$C$265,MATCH(D2267,I_COA!$A$6:$A$265,0)),"AKUN BARU"))</f>
        <v/>
      </c>
      <c r="L2267" s="34" t="str">
        <f aca="false">IF(K2267="LabaRugi",INDEX(I_COA!$D$6:$D$265,MATCH(D2267,I_COA!$A$6:$A$265,0)),"")</f>
        <v/>
      </c>
      <c r="M2267" s="34" t="str">
        <f aca="false">IF(K2267="Neraca",INDEX(I_COA!$E$6:$E$265,MATCH(D2267,I_COA!$A$6:$A$265,0)),"")</f>
        <v/>
      </c>
      <c r="N2267" s="34" t="str">
        <f aca="false">IF(D2267="","",IFERROR(INDEX(I_COA!$G$6:$G$265,MATCH(D2267,I_COA!$A$6:$A$265,0)),"N"))</f>
        <v/>
      </c>
      <c r="O2267" s="11" t="str">
        <f aca="false">IF(N2267="N",ABS(J2267),"")</f>
        <v/>
      </c>
      <c r="P2267" s="18" t="str">
        <f aca="false">IF(N2267="N",B2267&amp;"|"&amp;ROUND(O2267,0),"")</f>
        <v/>
      </c>
      <c r="Q2267" s="18" t="str">
        <f aca="false">IF(N2267&lt;&gt;"Y","",IFERROR(INDEX($D$6:$D$4005,MATCH(B2267&amp;"|"&amp;ROUND(_xlfn.MAXIFS($O$6:$O$4005,$B$6:$B$4005,B2267,$N$6:$N$4005,"N"),0),$P$6:$P$4005,0)),"(tanpa lawan)"))</f>
        <v/>
      </c>
      <c r="R2267" s="44"/>
      <c r="S2267" s="9" t="str">
        <f aca="false">IF(N2267&lt;&gt;"Y","",IF(R2267&lt;&gt;"",R2267,IF(Q2267="(tanpa lawan)","Transfer antar rekening",IFERROR(INDEX(I_COA!$F$6:$F$265,MATCH(Q2267,I_COA!$A$6:$A$265,0)),"?"))))</f>
        <v/>
      </c>
    </row>
    <row r="2268" customFormat="false" ht="15" hidden="false" customHeight="false" outlineLevel="0" collapsed="false">
      <c r="A2268" s="37"/>
      <c r="B2268" s="44"/>
      <c r="C2268" s="44"/>
      <c r="D2268" s="44"/>
      <c r="E2268" s="44"/>
      <c r="F2268" s="44"/>
      <c r="G2268" s="42"/>
      <c r="H2268" s="42"/>
      <c r="I2268" s="44"/>
      <c r="J2268" s="11" t="str">
        <f aca="false">IF(D2268="","",N(G2268)-N(H2268))</f>
        <v/>
      </c>
      <c r="K2268" s="34" t="str">
        <f aca="false">IF(D2268="","",IFERROR(INDEX(I_COA!$C$6:$C$265,MATCH(D2268,I_COA!$A$6:$A$265,0)),"AKUN BARU"))</f>
        <v/>
      </c>
      <c r="L2268" s="34" t="str">
        <f aca="false">IF(K2268="LabaRugi",INDEX(I_COA!$D$6:$D$265,MATCH(D2268,I_COA!$A$6:$A$265,0)),"")</f>
        <v/>
      </c>
      <c r="M2268" s="34" t="str">
        <f aca="false">IF(K2268="Neraca",INDEX(I_COA!$E$6:$E$265,MATCH(D2268,I_COA!$A$6:$A$265,0)),"")</f>
        <v/>
      </c>
      <c r="N2268" s="34" t="str">
        <f aca="false">IF(D2268="","",IFERROR(INDEX(I_COA!$G$6:$G$265,MATCH(D2268,I_COA!$A$6:$A$265,0)),"N"))</f>
        <v/>
      </c>
      <c r="O2268" s="11" t="str">
        <f aca="false">IF(N2268="N",ABS(J2268),"")</f>
        <v/>
      </c>
      <c r="P2268" s="18" t="str">
        <f aca="false">IF(N2268="N",B2268&amp;"|"&amp;ROUND(O2268,0),"")</f>
        <v/>
      </c>
      <c r="Q2268" s="18" t="str">
        <f aca="false">IF(N2268&lt;&gt;"Y","",IFERROR(INDEX($D$6:$D$4005,MATCH(B2268&amp;"|"&amp;ROUND(_xlfn.MAXIFS($O$6:$O$4005,$B$6:$B$4005,B2268,$N$6:$N$4005,"N"),0),$P$6:$P$4005,0)),"(tanpa lawan)"))</f>
        <v/>
      </c>
      <c r="R2268" s="44"/>
      <c r="S2268" s="9" t="str">
        <f aca="false">IF(N2268&lt;&gt;"Y","",IF(R2268&lt;&gt;"",R2268,IF(Q2268="(tanpa lawan)","Transfer antar rekening",IFERROR(INDEX(I_COA!$F$6:$F$265,MATCH(Q2268,I_COA!$A$6:$A$265,0)),"?"))))</f>
        <v/>
      </c>
    </row>
    <row r="2269" customFormat="false" ht="15" hidden="false" customHeight="false" outlineLevel="0" collapsed="false">
      <c r="A2269" s="37"/>
      <c r="B2269" s="44"/>
      <c r="C2269" s="44"/>
      <c r="D2269" s="44"/>
      <c r="E2269" s="44"/>
      <c r="F2269" s="44"/>
      <c r="G2269" s="42"/>
      <c r="H2269" s="42"/>
      <c r="I2269" s="44"/>
      <c r="J2269" s="11" t="str">
        <f aca="false">IF(D2269="","",N(G2269)-N(H2269))</f>
        <v/>
      </c>
      <c r="K2269" s="34" t="str">
        <f aca="false">IF(D2269="","",IFERROR(INDEX(I_COA!$C$6:$C$265,MATCH(D2269,I_COA!$A$6:$A$265,0)),"AKUN BARU"))</f>
        <v/>
      </c>
      <c r="L2269" s="34" t="str">
        <f aca="false">IF(K2269="LabaRugi",INDEX(I_COA!$D$6:$D$265,MATCH(D2269,I_COA!$A$6:$A$265,0)),"")</f>
        <v/>
      </c>
      <c r="M2269" s="34" t="str">
        <f aca="false">IF(K2269="Neraca",INDEX(I_COA!$E$6:$E$265,MATCH(D2269,I_COA!$A$6:$A$265,0)),"")</f>
        <v/>
      </c>
      <c r="N2269" s="34" t="str">
        <f aca="false">IF(D2269="","",IFERROR(INDEX(I_COA!$G$6:$G$265,MATCH(D2269,I_COA!$A$6:$A$265,0)),"N"))</f>
        <v/>
      </c>
      <c r="O2269" s="11" t="str">
        <f aca="false">IF(N2269="N",ABS(J2269),"")</f>
        <v/>
      </c>
      <c r="P2269" s="18" t="str">
        <f aca="false">IF(N2269="N",B2269&amp;"|"&amp;ROUND(O2269,0),"")</f>
        <v/>
      </c>
      <c r="Q2269" s="18" t="str">
        <f aca="false">IF(N2269&lt;&gt;"Y","",IFERROR(INDEX($D$6:$D$4005,MATCH(B2269&amp;"|"&amp;ROUND(_xlfn.MAXIFS($O$6:$O$4005,$B$6:$B$4005,B2269,$N$6:$N$4005,"N"),0),$P$6:$P$4005,0)),"(tanpa lawan)"))</f>
        <v/>
      </c>
      <c r="R2269" s="44"/>
      <c r="S2269" s="9" t="str">
        <f aca="false">IF(N2269&lt;&gt;"Y","",IF(R2269&lt;&gt;"",R2269,IF(Q2269="(tanpa lawan)","Transfer antar rekening",IFERROR(INDEX(I_COA!$F$6:$F$265,MATCH(Q2269,I_COA!$A$6:$A$265,0)),"?"))))</f>
        <v/>
      </c>
    </row>
    <row r="2270" customFormat="false" ht="15" hidden="false" customHeight="false" outlineLevel="0" collapsed="false">
      <c r="A2270" s="37"/>
      <c r="B2270" s="44"/>
      <c r="C2270" s="44"/>
      <c r="D2270" s="44"/>
      <c r="E2270" s="44"/>
      <c r="F2270" s="44"/>
      <c r="G2270" s="42"/>
      <c r="H2270" s="42"/>
      <c r="I2270" s="44"/>
      <c r="J2270" s="11" t="str">
        <f aca="false">IF(D2270="","",N(G2270)-N(H2270))</f>
        <v/>
      </c>
      <c r="K2270" s="34" t="str">
        <f aca="false">IF(D2270="","",IFERROR(INDEX(I_COA!$C$6:$C$265,MATCH(D2270,I_COA!$A$6:$A$265,0)),"AKUN BARU"))</f>
        <v/>
      </c>
      <c r="L2270" s="34" t="str">
        <f aca="false">IF(K2270="LabaRugi",INDEX(I_COA!$D$6:$D$265,MATCH(D2270,I_COA!$A$6:$A$265,0)),"")</f>
        <v/>
      </c>
      <c r="M2270" s="34" t="str">
        <f aca="false">IF(K2270="Neraca",INDEX(I_COA!$E$6:$E$265,MATCH(D2270,I_COA!$A$6:$A$265,0)),"")</f>
        <v/>
      </c>
      <c r="N2270" s="34" t="str">
        <f aca="false">IF(D2270="","",IFERROR(INDEX(I_COA!$G$6:$G$265,MATCH(D2270,I_COA!$A$6:$A$265,0)),"N"))</f>
        <v/>
      </c>
      <c r="O2270" s="11" t="str">
        <f aca="false">IF(N2270="N",ABS(J2270),"")</f>
        <v/>
      </c>
      <c r="P2270" s="18" t="str">
        <f aca="false">IF(N2270="N",B2270&amp;"|"&amp;ROUND(O2270,0),"")</f>
        <v/>
      </c>
      <c r="Q2270" s="18" t="str">
        <f aca="false">IF(N2270&lt;&gt;"Y","",IFERROR(INDEX($D$6:$D$4005,MATCH(B2270&amp;"|"&amp;ROUND(_xlfn.MAXIFS($O$6:$O$4005,$B$6:$B$4005,B2270,$N$6:$N$4005,"N"),0),$P$6:$P$4005,0)),"(tanpa lawan)"))</f>
        <v/>
      </c>
      <c r="R2270" s="44"/>
      <c r="S2270" s="9" t="str">
        <f aca="false">IF(N2270&lt;&gt;"Y","",IF(R2270&lt;&gt;"",R2270,IF(Q2270="(tanpa lawan)","Transfer antar rekening",IFERROR(INDEX(I_COA!$F$6:$F$265,MATCH(Q2270,I_COA!$A$6:$A$265,0)),"?"))))</f>
        <v/>
      </c>
    </row>
    <row r="2271" customFormat="false" ht="15" hidden="false" customHeight="false" outlineLevel="0" collapsed="false">
      <c r="A2271" s="37"/>
      <c r="B2271" s="44"/>
      <c r="C2271" s="44"/>
      <c r="D2271" s="44"/>
      <c r="E2271" s="44"/>
      <c r="F2271" s="44"/>
      <c r="G2271" s="42"/>
      <c r="H2271" s="42"/>
      <c r="I2271" s="44"/>
      <c r="J2271" s="11" t="str">
        <f aca="false">IF(D2271="","",N(G2271)-N(H2271))</f>
        <v/>
      </c>
      <c r="K2271" s="34" t="str">
        <f aca="false">IF(D2271="","",IFERROR(INDEX(I_COA!$C$6:$C$265,MATCH(D2271,I_COA!$A$6:$A$265,0)),"AKUN BARU"))</f>
        <v/>
      </c>
      <c r="L2271" s="34" t="str">
        <f aca="false">IF(K2271="LabaRugi",INDEX(I_COA!$D$6:$D$265,MATCH(D2271,I_COA!$A$6:$A$265,0)),"")</f>
        <v/>
      </c>
      <c r="M2271" s="34" t="str">
        <f aca="false">IF(K2271="Neraca",INDEX(I_COA!$E$6:$E$265,MATCH(D2271,I_COA!$A$6:$A$265,0)),"")</f>
        <v/>
      </c>
      <c r="N2271" s="34" t="str">
        <f aca="false">IF(D2271="","",IFERROR(INDEX(I_COA!$G$6:$G$265,MATCH(D2271,I_COA!$A$6:$A$265,0)),"N"))</f>
        <v/>
      </c>
      <c r="O2271" s="11" t="str">
        <f aca="false">IF(N2271="N",ABS(J2271),"")</f>
        <v/>
      </c>
      <c r="P2271" s="18" t="str">
        <f aca="false">IF(N2271="N",B2271&amp;"|"&amp;ROUND(O2271,0),"")</f>
        <v/>
      </c>
      <c r="Q2271" s="18" t="str">
        <f aca="false">IF(N2271&lt;&gt;"Y","",IFERROR(INDEX($D$6:$D$4005,MATCH(B2271&amp;"|"&amp;ROUND(_xlfn.MAXIFS($O$6:$O$4005,$B$6:$B$4005,B2271,$N$6:$N$4005,"N"),0),$P$6:$P$4005,0)),"(tanpa lawan)"))</f>
        <v/>
      </c>
      <c r="R2271" s="44"/>
      <c r="S2271" s="9" t="str">
        <f aca="false">IF(N2271&lt;&gt;"Y","",IF(R2271&lt;&gt;"",R2271,IF(Q2271="(tanpa lawan)","Transfer antar rekening",IFERROR(INDEX(I_COA!$F$6:$F$265,MATCH(Q2271,I_COA!$A$6:$A$265,0)),"?"))))</f>
        <v/>
      </c>
    </row>
    <row r="2272" customFormat="false" ht="15" hidden="false" customHeight="false" outlineLevel="0" collapsed="false">
      <c r="A2272" s="37"/>
      <c r="B2272" s="44"/>
      <c r="C2272" s="44"/>
      <c r="D2272" s="44"/>
      <c r="E2272" s="44"/>
      <c r="F2272" s="44"/>
      <c r="G2272" s="42"/>
      <c r="H2272" s="42"/>
      <c r="I2272" s="44"/>
      <c r="J2272" s="11" t="str">
        <f aca="false">IF(D2272="","",N(G2272)-N(H2272))</f>
        <v/>
      </c>
      <c r="K2272" s="34" t="str">
        <f aca="false">IF(D2272="","",IFERROR(INDEX(I_COA!$C$6:$C$265,MATCH(D2272,I_COA!$A$6:$A$265,0)),"AKUN BARU"))</f>
        <v/>
      </c>
      <c r="L2272" s="34" t="str">
        <f aca="false">IF(K2272="LabaRugi",INDEX(I_COA!$D$6:$D$265,MATCH(D2272,I_COA!$A$6:$A$265,0)),"")</f>
        <v/>
      </c>
      <c r="M2272" s="34" t="str">
        <f aca="false">IF(K2272="Neraca",INDEX(I_COA!$E$6:$E$265,MATCH(D2272,I_COA!$A$6:$A$265,0)),"")</f>
        <v/>
      </c>
      <c r="N2272" s="34" t="str">
        <f aca="false">IF(D2272="","",IFERROR(INDEX(I_COA!$G$6:$G$265,MATCH(D2272,I_COA!$A$6:$A$265,0)),"N"))</f>
        <v/>
      </c>
      <c r="O2272" s="11" t="str">
        <f aca="false">IF(N2272="N",ABS(J2272),"")</f>
        <v/>
      </c>
      <c r="P2272" s="18" t="str">
        <f aca="false">IF(N2272="N",B2272&amp;"|"&amp;ROUND(O2272,0),"")</f>
        <v/>
      </c>
      <c r="Q2272" s="18" t="str">
        <f aca="false">IF(N2272&lt;&gt;"Y","",IFERROR(INDEX($D$6:$D$4005,MATCH(B2272&amp;"|"&amp;ROUND(_xlfn.MAXIFS($O$6:$O$4005,$B$6:$B$4005,B2272,$N$6:$N$4005,"N"),0),$P$6:$P$4005,0)),"(tanpa lawan)"))</f>
        <v/>
      </c>
      <c r="R2272" s="44"/>
      <c r="S2272" s="9" t="str">
        <f aca="false">IF(N2272&lt;&gt;"Y","",IF(R2272&lt;&gt;"",R2272,IF(Q2272="(tanpa lawan)","Transfer antar rekening",IFERROR(INDEX(I_COA!$F$6:$F$265,MATCH(Q2272,I_COA!$A$6:$A$265,0)),"?"))))</f>
        <v/>
      </c>
    </row>
    <row r="2273" customFormat="false" ht="15" hidden="false" customHeight="false" outlineLevel="0" collapsed="false">
      <c r="A2273" s="37"/>
      <c r="B2273" s="44"/>
      <c r="C2273" s="44"/>
      <c r="D2273" s="44"/>
      <c r="E2273" s="44"/>
      <c r="F2273" s="44"/>
      <c r="G2273" s="42"/>
      <c r="H2273" s="42"/>
      <c r="I2273" s="44"/>
      <c r="J2273" s="11" t="str">
        <f aca="false">IF(D2273="","",N(G2273)-N(H2273))</f>
        <v/>
      </c>
      <c r="K2273" s="34" t="str">
        <f aca="false">IF(D2273="","",IFERROR(INDEX(I_COA!$C$6:$C$265,MATCH(D2273,I_COA!$A$6:$A$265,0)),"AKUN BARU"))</f>
        <v/>
      </c>
      <c r="L2273" s="34" t="str">
        <f aca="false">IF(K2273="LabaRugi",INDEX(I_COA!$D$6:$D$265,MATCH(D2273,I_COA!$A$6:$A$265,0)),"")</f>
        <v/>
      </c>
      <c r="M2273" s="34" t="str">
        <f aca="false">IF(K2273="Neraca",INDEX(I_COA!$E$6:$E$265,MATCH(D2273,I_COA!$A$6:$A$265,0)),"")</f>
        <v/>
      </c>
      <c r="N2273" s="34" t="str">
        <f aca="false">IF(D2273="","",IFERROR(INDEX(I_COA!$G$6:$G$265,MATCH(D2273,I_COA!$A$6:$A$265,0)),"N"))</f>
        <v/>
      </c>
      <c r="O2273" s="11" t="str">
        <f aca="false">IF(N2273="N",ABS(J2273),"")</f>
        <v/>
      </c>
      <c r="P2273" s="18" t="str">
        <f aca="false">IF(N2273="N",B2273&amp;"|"&amp;ROUND(O2273,0),"")</f>
        <v/>
      </c>
      <c r="Q2273" s="18" t="str">
        <f aca="false">IF(N2273&lt;&gt;"Y","",IFERROR(INDEX($D$6:$D$4005,MATCH(B2273&amp;"|"&amp;ROUND(_xlfn.MAXIFS($O$6:$O$4005,$B$6:$B$4005,B2273,$N$6:$N$4005,"N"),0),$P$6:$P$4005,0)),"(tanpa lawan)"))</f>
        <v/>
      </c>
      <c r="R2273" s="44"/>
      <c r="S2273" s="9" t="str">
        <f aca="false">IF(N2273&lt;&gt;"Y","",IF(R2273&lt;&gt;"",R2273,IF(Q2273="(tanpa lawan)","Transfer antar rekening",IFERROR(INDEX(I_COA!$F$6:$F$265,MATCH(Q2273,I_COA!$A$6:$A$265,0)),"?"))))</f>
        <v/>
      </c>
    </row>
    <row r="2274" customFormat="false" ht="15" hidden="false" customHeight="false" outlineLevel="0" collapsed="false">
      <c r="A2274" s="37"/>
      <c r="B2274" s="44"/>
      <c r="C2274" s="44"/>
      <c r="D2274" s="44"/>
      <c r="E2274" s="44"/>
      <c r="F2274" s="44"/>
      <c r="G2274" s="42"/>
      <c r="H2274" s="42"/>
      <c r="I2274" s="44"/>
      <c r="J2274" s="11" t="str">
        <f aca="false">IF(D2274="","",N(G2274)-N(H2274))</f>
        <v/>
      </c>
      <c r="K2274" s="34" t="str">
        <f aca="false">IF(D2274="","",IFERROR(INDEX(I_COA!$C$6:$C$265,MATCH(D2274,I_COA!$A$6:$A$265,0)),"AKUN BARU"))</f>
        <v/>
      </c>
      <c r="L2274" s="34" t="str">
        <f aca="false">IF(K2274="LabaRugi",INDEX(I_COA!$D$6:$D$265,MATCH(D2274,I_COA!$A$6:$A$265,0)),"")</f>
        <v/>
      </c>
      <c r="M2274" s="34" t="str">
        <f aca="false">IF(K2274="Neraca",INDEX(I_COA!$E$6:$E$265,MATCH(D2274,I_COA!$A$6:$A$265,0)),"")</f>
        <v/>
      </c>
      <c r="N2274" s="34" t="str">
        <f aca="false">IF(D2274="","",IFERROR(INDEX(I_COA!$G$6:$G$265,MATCH(D2274,I_COA!$A$6:$A$265,0)),"N"))</f>
        <v/>
      </c>
      <c r="O2274" s="11" t="str">
        <f aca="false">IF(N2274="N",ABS(J2274),"")</f>
        <v/>
      </c>
      <c r="P2274" s="18" t="str">
        <f aca="false">IF(N2274="N",B2274&amp;"|"&amp;ROUND(O2274,0),"")</f>
        <v/>
      </c>
      <c r="Q2274" s="18" t="str">
        <f aca="false">IF(N2274&lt;&gt;"Y","",IFERROR(INDEX($D$6:$D$4005,MATCH(B2274&amp;"|"&amp;ROUND(_xlfn.MAXIFS($O$6:$O$4005,$B$6:$B$4005,B2274,$N$6:$N$4005,"N"),0),$P$6:$P$4005,0)),"(tanpa lawan)"))</f>
        <v/>
      </c>
      <c r="R2274" s="44"/>
      <c r="S2274" s="9" t="str">
        <f aca="false">IF(N2274&lt;&gt;"Y","",IF(R2274&lt;&gt;"",R2274,IF(Q2274="(tanpa lawan)","Transfer antar rekening",IFERROR(INDEX(I_COA!$F$6:$F$265,MATCH(Q2274,I_COA!$A$6:$A$265,0)),"?"))))</f>
        <v/>
      </c>
    </row>
    <row r="2275" customFormat="false" ht="15" hidden="false" customHeight="false" outlineLevel="0" collapsed="false">
      <c r="A2275" s="37"/>
      <c r="B2275" s="44"/>
      <c r="C2275" s="44"/>
      <c r="D2275" s="44"/>
      <c r="E2275" s="44"/>
      <c r="F2275" s="44"/>
      <c r="G2275" s="42"/>
      <c r="H2275" s="42"/>
      <c r="I2275" s="44"/>
      <c r="J2275" s="11" t="str">
        <f aca="false">IF(D2275="","",N(G2275)-N(H2275))</f>
        <v/>
      </c>
      <c r="K2275" s="34" t="str">
        <f aca="false">IF(D2275="","",IFERROR(INDEX(I_COA!$C$6:$C$265,MATCH(D2275,I_COA!$A$6:$A$265,0)),"AKUN BARU"))</f>
        <v/>
      </c>
      <c r="L2275" s="34" t="str">
        <f aca="false">IF(K2275="LabaRugi",INDEX(I_COA!$D$6:$D$265,MATCH(D2275,I_COA!$A$6:$A$265,0)),"")</f>
        <v/>
      </c>
      <c r="M2275" s="34" t="str">
        <f aca="false">IF(K2275="Neraca",INDEX(I_COA!$E$6:$E$265,MATCH(D2275,I_COA!$A$6:$A$265,0)),"")</f>
        <v/>
      </c>
      <c r="N2275" s="34" t="str">
        <f aca="false">IF(D2275="","",IFERROR(INDEX(I_COA!$G$6:$G$265,MATCH(D2275,I_COA!$A$6:$A$265,0)),"N"))</f>
        <v/>
      </c>
      <c r="O2275" s="11" t="str">
        <f aca="false">IF(N2275="N",ABS(J2275),"")</f>
        <v/>
      </c>
      <c r="P2275" s="18" t="str">
        <f aca="false">IF(N2275="N",B2275&amp;"|"&amp;ROUND(O2275,0),"")</f>
        <v/>
      </c>
      <c r="Q2275" s="18" t="str">
        <f aca="false">IF(N2275&lt;&gt;"Y","",IFERROR(INDEX($D$6:$D$4005,MATCH(B2275&amp;"|"&amp;ROUND(_xlfn.MAXIFS($O$6:$O$4005,$B$6:$B$4005,B2275,$N$6:$N$4005,"N"),0),$P$6:$P$4005,0)),"(tanpa lawan)"))</f>
        <v/>
      </c>
      <c r="R2275" s="44"/>
      <c r="S2275" s="9" t="str">
        <f aca="false">IF(N2275&lt;&gt;"Y","",IF(R2275&lt;&gt;"",R2275,IF(Q2275="(tanpa lawan)","Transfer antar rekening",IFERROR(INDEX(I_COA!$F$6:$F$265,MATCH(Q2275,I_COA!$A$6:$A$265,0)),"?"))))</f>
        <v/>
      </c>
    </row>
    <row r="2276" customFormat="false" ht="15" hidden="false" customHeight="false" outlineLevel="0" collapsed="false">
      <c r="A2276" s="37"/>
      <c r="B2276" s="44"/>
      <c r="C2276" s="44"/>
      <c r="D2276" s="44"/>
      <c r="E2276" s="44"/>
      <c r="F2276" s="44"/>
      <c r="G2276" s="42"/>
      <c r="H2276" s="42"/>
      <c r="I2276" s="44"/>
      <c r="J2276" s="11" t="str">
        <f aca="false">IF(D2276="","",N(G2276)-N(H2276))</f>
        <v/>
      </c>
      <c r="K2276" s="34" t="str">
        <f aca="false">IF(D2276="","",IFERROR(INDEX(I_COA!$C$6:$C$265,MATCH(D2276,I_COA!$A$6:$A$265,0)),"AKUN BARU"))</f>
        <v/>
      </c>
      <c r="L2276" s="34" t="str">
        <f aca="false">IF(K2276="LabaRugi",INDEX(I_COA!$D$6:$D$265,MATCH(D2276,I_COA!$A$6:$A$265,0)),"")</f>
        <v/>
      </c>
      <c r="M2276" s="34" t="str">
        <f aca="false">IF(K2276="Neraca",INDEX(I_COA!$E$6:$E$265,MATCH(D2276,I_COA!$A$6:$A$265,0)),"")</f>
        <v/>
      </c>
      <c r="N2276" s="34" t="str">
        <f aca="false">IF(D2276="","",IFERROR(INDEX(I_COA!$G$6:$G$265,MATCH(D2276,I_COA!$A$6:$A$265,0)),"N"))</f>
        <v/>
      </c>
      <c r="O2276" s="11" t="str">
        <f aca="false">IF(N2276="N",ABS(J2276),"")</f>
        <v/>
      </c>
      <c r="P2276" s="18" t="str">
        <f aca="false">IF(N2276="N",B2276&amp;"|"&amp;ROUND(O2276,0),"")</f>
        <v/>
      </c>
      <c r="Q2276" s="18" t="str">
        <f aca="false">IF(N2276&lt;&gt;"Y","",IFERROR(INDEX($D$6:$D$4005,MATCH(B2276&amp;"|"&amp;ROUND(_xlfn.MAXIFS($O$6:$O$4005,$B$6:$B$4005,B2276,$N$6:$N$4005,"N"),0),$P$6:$P$4005,0)),"(tanpa lawan)"))</f>
        <v/>
      </c>
      <c r="R2276" s="44"/>
      <c r="S2276" s="9" t="str">
        <f aca="false">IF(N2276&lt;&gt;"Y","",IF(R2276&lt;&gt;"",R2276,IF(Q2276="(tanpa lawan)","Transfer antar rekening",IFERROR(INDEX(I_COA!$F$6:$F$265,MATCH(Q2276,I_COA!$A$6:$A$265,0)),"?"))))</f>
        <v/>
      </c>
    </row>
    <row r="2277" customFormat="false" ht="15" hidden="false" customHeight="false" outlineLevel="0" collapsed="false">
      <c r="A2277" s="37"/>
      <c r="B2277" s="44"/>
      <c r="C2277" s="44"/>
      <c r="D2277" s="44"/>
      <c r="E2277" s="44"/>
      <c r="F2277" s="44"/>
      <c r="G2277" s="42"/>
      <c r="H2277" s="42"/>
      <c r="I2277" s="44"/>
      <c r="J2277" s="11" t="str">
        <f aca="false">IF(D2277="","",N(G2277)-N(H2277))</f>
        <v/>
      </c>
      <c r="K2277" s="34" t="str">
        <f aca="false">IF(D2277="","",IFERROR(INDEX(I_COA!$C$6:$C$265,MATCH(D2277,I_COA!$A$6:$A$265,0)),"AKUN BARU"))</f>
        <v/>
      </c>
      <c r="L2277" s="34" t="str">
        <f aca="false">IF(K2277="LabaRugi",INDEX(I_COA!$D$6:$D$265,MATCH(D2277,I_COA!$A$6:$A$265,0)),"")</f>
        <v/>
      </c>
      <c r="M2277" s="34" t="str">
        <f aca="false">IF(K2277="Neraca",INDEX(I_COA!$E$6:$E$265,MATCH(D2277,I_COA!$A$6:$A$265,0)),"")</f>
        <v/>
      </c>
      <c r="N2277" s="34" t="str">
        <f aca="false">IF(D2277="","",IFERROR(INDEX(I_COA!$G$6:$G$265,MATCH(D2277,I_COA!$A$6:$A$265,0)),"N"))</f>
        <v/>
      </c>
      <c r="O2277" s="11" t="str">
        <f aca="false">IF(N2277="N",ABS(J2277),"")</f>
        <v/>
      </c>
      <c r="P2277" s="18" t="str">
        <f aca="false">IF(N2277="N",B2277&amp;"|"&amp;ROUND(O2277,0),"")</f>
        <v/>
      </c>
      <c r="Q2277" s="18" t="str">
        <f aca="false">IF(N2277&lt;&gt;"Y","",IFERROR(INDEX($D$6:$D$4005,MATCH(B2277&amp;"|"&amp;ROUND(_xlfn.MAXIFS($O$6:$O$4005,$B$6:$B$4005,B2277,$N$6:$N$4005,"N"),0),$P$6:$P$4005,0)),"(tanpa lawan)"))</f>
        <v/>
      </c>
      <c r="R2277" s="44"/>
      <c r="S2277" s="9" t="str">
        <f aca="false">IF(N2277&lt;&gt;"Y","",IF(R2277&lt;&gt;"",R2277,IF(Q2277="(tanpa lawan)","Transfer antar rekening",IFERROR(INDEX(I_COA!$F$6:$F$265,MATCH(Q2277,I_COA!$A$6:$A$265,0)),"?"))))</f>
        <v/>
      </c>
    </row>
    <row r="2278" customFormat="false" ht="15" hidden="false" customHeight="false" outlineLevel="0" collapsed="false">
      <c r="A2278" s="37"/>
      <c r="B2278" s="44"/>
      <c r="C2278" s="44"/>
      <c r="D2278" s="44"/>
      <c r="E2278" s="44"/>
      <c r="F2278" s="44"/>
      <c r="G2278" s="42"/>
      <c r="H2278" s="42"/>
      <c r="I2278" s="44"/>
      <c r="J2278" s="11" t="str">
        <f aca="false">IF(D2278="","",N(G2278)-N(H2278))</f>
        <v/>
      </c>
      <c r="K2278" s="34" t="str">
        <f aca="false">IF(D2278="","",IFERROR(INDEX(I_COA!$C$6:$C$265,MATCH(D2278,I_COA!$A$6:$A$265,0)),"AKUN BARU"))</f>
        <v/>
      </c>
      <c r="L2278" s="34" t="str">
        <f aca="false">IF(K2278="LabaRugi",INDEX(I_COA!$D$6:$D$265,MATCH(D2278,I_COA!$A$6:$A$265,0)),"")</f>
        <v/>
      </c>
      <c r="M2278" s="34" t="str">
        <f aca="false">IF(K2278="Neraca",INDEX(I_COA!$E$6:$E$265,MATCH(D2278,I_COA!$A$6:$A$265,0)),"")</f>
        <v/>
      </c>
      <c r="N2278" s="34" t="str">
        <f aca="false">IF(D2278="","",IFERROR(INDEX(I_COA!$G$6:$G$265,MATCH(D2278,I_COA!$A$6:$A$265,0)),"N"))</f>
        <v/>
      </c>
      <c r="O2278" s="11" t="str">
        <f aca="false">IF(N2278="N",ABS(J2278),"")</f>
        <v/>
      </c>
      <c r="P2278" s="18" t="str">
        <f aca="false">IF(N2278="N",B2278&amp;"|"&amp;ROUND(O2278,0),"")</f>
        <v/>
      </c>
      <c r="Q2278" s="18" t="str">
        <f aca="false">IF(N2278&lt;&gt;"Y","",IFERROR(INDEX($D$6:$D$4005,MATCH(B2278&amp;"|"&amp;ROUND(_xlfn.MAXIFS($O$6:$O$4005,$B$6:$B$4005,B2278,$N$6:$N$4005,"N"),0),$P$6:$P$4005,0)),"(tanpa lawan)"))</f>
        <v/>
      </c>
      <c r="R2278" s="44"/>
      <c r="S2278" s="9" t="str">
        <f aca="false">IF(N2278&lt;&gt;"Y","",IF(R2278&lt;&gt;"",R2278,IF(Q2278="(tanpa lawan)","Transfer antar rekening",IFERROR(INDEX(I_COA!$F$6:$F$265,MATCH(Q2278,I_COA!$A$6:$A$265,0)),"?"))))</f>
        <v/>
      </c>
    </row>
    <row r="2279" customFormat="false" ht="15" hidden="false" customHeight="false" outlineLevel="0" collapsed="false">
      <c r="A2279" s="37"/>
      <c r="B2279" s="44"/>
      <c r="C2279" s="44"/>
      <c r="D2279" s="44"/>
      <c r="E2279" s="44"/>
      <c r="F2279" s="44"/>
      <c r="G2279" s="42"/>
      <c r="H2279" s="42"/>
      <c r="I2279" s="44"/>
      <c r="J2279" s="11" t="str">
        <f aca="false">IF(D2279="","",N(G2279)-N(H2279))</f>
        <v/>
      </c>
      <c r="K2279" s="34" t="str">
        <f aca="false">IF(D2279="","",IFERROR(INDEX(I_COA!$C$6:$C$265,MATCH(D2279,I_COA!$A$6:$A$265,0)),"AKUN BARU"))</f>
        <v/>
      </c>
      <c r="L2279" s="34" t="str">
        <f aca="false">IF(K2279="LabaRugi",INDEX(I_COA!$D$6:$D$265,MATCH(D2279,I_COA!$A$6:$A$265,0)),"")</f>
        <v/>
      </c>
      <c r="M2279" s="34" t="str">
        <f aca="false">IF(K2279="Neraca",INDEX(I_COA!$E$6:$E$265,MATCH(D2279,I_COA!$A$6:$A$265,0)),"")</f>
        <v/>
      </c>
      <c r="N2279" s="34" t="str">
        <f aca="false">IF(D2279="","",IFERROR(INDEX(I_COA!$G$6:$G$265,MATCH(D2279,I_COA!$A$6:$A$265,0)),"N"))</f>
        <v/>
      </c>
      <c r="O2279" s="11" t="str">
        <f aca="false">IF(N2279="N",ABS(J2279),"")</f>
        <v/>
      </c>
      <c r="P2279" s="18" t="str">
        <f aca="false">IF(N2279="N",B2279&amp;"|"&amp;ROUND(O2279,0),"")</f>
        <v/>
      </c>
      <c r="Q2279" s="18" t="str">
        <f aca="false">IF(N2279&lt;&gt;"Y","",IFERROR(INDEX($D$6:$D$4005,MATCH(B2279&amp;"|"&amp;ROUND(_xlfn.MAXIFS($O$6:$O$4005,$B$6:$B$4005,B2279,$N$6:$N$4005,"N"),0),$P$6:$P$4005,0)),"(tanpa lawan)"))</f>
        <v/>
      </c>
      <c r="R2279" s="44"/>
      <c r="S2279" s="9" t="str">
        <f aca="false">IF(N2279&lt;&gt;"Y","",IF(R2279&lt;&gt;"",R2279,IF(Q2279="(tanpa lawan)","Transfer antar rekening",IFERROR(INDEX(I_COA!$F$6:$F$265,MATCH(Q2279,I_COA!$A$6:$A$265,0)),"?"))))</f>
        <v/>
      </c>
    </row>
    <row r="2280" customFormat="false" ht="15" hidden="false" customHeight="false" outlineLevel="0" collapsed="false">
      <c r="A2280" s="37"/>
      <c r="B2280" s="44"/>
      <c r="C2280" s="44"/>
      <c r="D2280" s="44"/>
      <c r="E2280" s="44"/>
      <c r="F2280" s="44"/>
      <c r="G2280" s="42"/>
      <c r="H2280" s="42"/>
      <c r="I2280" s="44"/>
      <c r="J2280" s="11" t="str">
        <f aca="false">IF(D2280="","",N(G2280)-N(H2280))</f>
        <v/>
      </c>
      <c r="K2280" s="34" t="str">
        <f aca="false">IF(D2280="","",IFERROR(INDEX(I_COA!$C$6:$C$265,MATCH(D2280,I_COA!$A$6:$A$265,0)),"AKUN BARU"))</f>
        <v/>
      </c>
      <c r="L2280" s="34" t="str">
        <f aca="false">IF(K2280="LabaRugi",INDEX(I_COA!$D$6:$D$265,MATCH(D2280,I_COA!$A$6:$A$265,0)),"")</f>
        <v/>
      </c>
      <c r="M2280" s="34" t="str">
        <f aca="false">IF(K2280="Neraca",INDEX(I_COA!$E$6:$E$265,MATCH(D2280,I_COA!$A$6:$A$265,0)),"")</f>
        <v/>
      </c>
      <c r="N2280" s="34" t="str">
        <f aca="false">IF(D2280="","",IFERROR(INDEX(I_COA!$G$6:$G$265,MATCH(D2280,I_COA!$A$6:$A$265,0)),"N"))</f>
        <v/>
      </c>
      <c r="O2280" s="11" t="str">
        <f aca="false">IF(N2280="N",ABS(J2280),"")</f>
        <v/>
      </c>
      <c r="P2280" s="18" t="str">
        <f aca="false">IF(N2280="N",B2280&amp;"|"&amp;ROUND(O2280,0),"")</f>
        <v/>
      </c>
      <c r="Q2280" s="18" t="str">
        <f aca="false">IF(N2280&lt;&gt;"Y","",IFERROR(INDEX($D$6:$D$4005,MATCH(B2280&amp;"|"&amp;ROUND(_xlfn.MAXIFS($O$6:$O$4005,$B$6:$B$4005,B2280,$N$6:$N$4005,"N"),0),$P$6:$P$4005,0)),"(tanpa lawan)"))</f>
        <v/>
      </c>
      <c r="R2280" s="44"/>
      <c r="S2280" s="9" t="str">
        <f aca="false">IF(N2280&lt;&gt;"Y","",IF(R2280&lt;&gt;"",R2280,IF(Q2280="(tanpa lawan)","Transfer antar rekening",IFERROR(INDEX(I_COA!$F$6:$F$265,MATCH(Q2280,I_COA!$A$6:$A$265,0)),"?"))))</f>
        <v/>
      </c>
    </row>
    <row r="2281" customFormat="false" ht="15" hidden="false" customHeight="false" outlineLevel="0" collapsed="false">
      <c r="A2281" s="37"/>
      <c r="B2281" s="44"/>
      <c r="C2281" s="44"/>
      <c r="D2281" s="44"/>
      <c r="E2281" s="44"/>
      <c r="F2281" s="44"/>
      <c r="G2281" s="42"/>
      <c r="H2281" s="42"/>
      <c r="I2281" s="44"/>
      <c r="J2281" s="11" t="str">
        <f aca="false">IF(D2281="","",N(G2281)-N(H2281))</f>
        <v/>
      </c>
      <c r="K2281" s="34" t="str">
        <f aca="false">IF(D2281="","",IFERROR(INDEX(I_COA!$C$6:$C$265,MATCH(D2281,I_COA!$A$6:$A$265,0)),"AKUN BARU"))</f>
        <v/>
      </c>
      <c r="L2281" s="34" t="str">
        <f aca="false">IF(K2281="LabaRugi",INDEX(I_COA!$D$6:$D$265,MATCH(D2281,I_COA!$A$6:$A$265,0)),"")</f>
        <v/>
      </c>
      <c r="M2281" s="34" t="str">
        <f aca="false">IF(K2281="Neraca",INDEX(I_COA!$E$6:$E$265,MATCH(D2281,I_COA!$A$6:$A$265,0)),"")</f>
        <v/>
      </c>
      <c r="N2281" s="34" t="str">
        <f aca="false">IF(D2281="","",IFERROR(INDEX(I_COA!$G$6:$G$265,MATCH(D2281,I_COA!$A$6:$A$265,0)),"N"))</f>
        <v/>
      </c>
      <c r="O2281" s="11" t="str">
        <f aca="false">IF(N2281="N",ABS(J2281),"")</f>
        <v/>
      </c>
      <c r="P2281" s="18" t="str">
        <f aca="false">IF(N2281="N",B2281&amp;"|"&amp;ROUND(O2281,0),"")</f>
        <v/>
      </c>
      <c r="Q2281" s="18" t="str">
        <f aca="false">IF(N2281&lt;&gt;"Y","",IFERROR(INDEX($D$6:$D$4005,MATCH(B2281&amp;"|"&amp;ROUND(_xlfn.MAXIFS($O$6:$O$4005,$B$6:$B$4005,B2281,$N$6:$N$4005,"N"),0),$P$6:$P$4005,0)),"(tanpa lawan)"))</f>
        <v/>
      </c>
      <c r="R2281" s="44"/>
      <c r="S2281" s="9" t="str">
        <f aca="false">IF(N2281&lt;&gt;"Y","",IF(R2281&lt;&gt;"",R2281,IF(Q2281="(tanpa lawan)","Transfer antar rekening",IFERROR(INDEX(I_COA!$F$6:$F$265,MATCH(Q2281,I_COA!$A$6:$A$265,0)),"?"))))</f>
        <v/>
      </c>
    </row>
    <row r="2282" customFormat="false" ht="15" hidden="false" customHeight="false" outlineLevel="0" collapsed="false">
      <c r="A2282" s="37"/>
      <c r="B2282" s="44"/>
      <c r="C2282" s="44"/>
      <c r="D2282" s="44"/>
      <c r="E2282" s="44"/>
      <c r="F2282" s="44"/>
      <c r="G2282" s="42"/>
      <c r="H2282" s="42"/>
      <c r="I2282" s="44"/>
      <c r="J2282" s="11" t="str">
        <f aca="false">IF(D2282="","",N(G2282)-N(H2282))</f>
        <v/>
      </c>
      <c r="K2282" s="34" t="str">
        <f aca="false">IF(D2282="","",IFERROR(INDEX(I_COA!$C$6:$C$265,MATCH(D2282,I_COA!$A$6:$A$265,0)),"AKUN BARU"))</f>
        <v/>
      </c>
      <c r="L2282" s="34" t="str">
        <f aca="false">IF(K2282="LabaRugi",INDEX(I_COA!$D$6:$D$265,MATCH(D2282,I_COA!$A$6:$A$265,0)),"")</f>
        <v/>
      </c>
      <c r="M2282" s="34" t="str">
        <f aca="false">IF(K2282="Neraca",INDEX(I_COA!$E$6:$E$265,MATCH(D2282,I_COA!$A$6:$A$265,0)),"")</f>
        <v/>
      </c>
      <c r="N2282" s="34" t="str">
        <f aca="false">IF(D2282="","",IFERROR(INDEX(I_COA!$G$6:$G$265,MATCH(D2282,I_COA!$A$6:$A$265,0)),"N"))</f>
        <v/>
      </c>
      <c r="O2282" s="11" t="str">
        <f aca="false">IF(N2282="N",ABS(J2282),"")</f>
        <v/>
      </c>
      <c r="P2282" s="18" t="str">
        <f aca="false">IF(N2282="N",B2282&amp;"|"&amp;ROUND(O2282,0),"")</f>
        <v/>
      </c>
      <c r="Q2282" s="18" t="str">
        <f aca="false">IF(N2282&lt;&gt;"Y","",IFERROR(INDEX($D$6:$D$4005,MATCH(B2282&amp;"|"&amp;ROUND(_xlfn.MAXIFS($O$6:$O$4005,$B$6:$B$4005,B2282,$N$6:$N$4005,"N"),0),$P$6:$P$4005,0)),"(tanpa lawan)"))</f>
        <v/>
      </c>
      <c r="R2282" s="44"/>
      <c r="S2282" s="9" t="str">
        <f aca="false">IF(N2282&lt;&gt;"Y","",IF(R2282&lt;&gt;"",R2282,IF(Q2282="(tanpa lawan)","Transfer antar rekening",IFERROR(INDEX(I_COA!$F$6:$F$265,MATCH(Q2282,I_COA!$A$6:$A$265,0)),"?"))))</f>
        <v/>
      </c>
    </row>
    <row r="2283" customFormat="false" ht="15" hidden="false" customHeight="false" outlineLevel="0" collapsed="false">
      <c r="A2283" s="37"/>
      <c r="B2283" s="44"/>
      <c r="C2283" s="44"/>
      <c r="D2283" s="44"/>
      <c r="E2283" s="44"/>
      <c r="F2283" s="44"/>
      <c r="G2283" s="42"/>
      <c r="H2283" s="42"/>
      <c r="I2283" s="44"/>
      <c r="J2283" s="11" t="str">
        <f aca="false">IF(D2283="","",N(G2283)-N(H2283))</f>
        <v/>
      </c>
      <c r="K2283" s="34" t="str">
        <f aca="false">IF(D2283="","",IFERROR(INDEX(I_COA!$C$6:$C$265,MATCH(D2283,I_COA!$A$6:$A$265,0)),"AKUN BARU"))</f>
        <v/>
      </c>
      <c r="L2283" s="34" t="str">
        <f aca="false">IF(K2283="LabaRugi",INDEX(I_COA!$D$6:$D$265,MATCH(D2283,I_COA!$A$6:$A$265,0)),"")</f>
        <v/>
      </c>
      <c r="M2283" s="34" t="str">
        <f aca="false">IF(K2283="Neraca",INDEX(I_COA!$E$6:$E$265,MATCH(D2283,I_COA!$A$6:$A$265,0)),"")</f>
        <v/>
      </c>
      <c r="N2283" s="34" t="str">
        <f aca="false">IF(D2283="","",IFERROR(INDEX(I_COA!$G$6:$G$265,MATCH(D2283,I_COA!$A$6:$A$265,0)),"N"))</f>
        <v/>
      </c>
      <c r="O2283" s="11" t="str">
        <f aca="false">IF(N2283="N",ABS(J2283),"")</f>
        <v/>
      </c>
      <c r="P2283" s="18" t="str">
        <f aca="false">IF(N2283="N",B2283&amp;"|"&amp;ROUND(O2283,0),"")</f>
        <v/>
      </c>
      <c r="Q2283" s="18" t="str">
        <f aca="false">IF(N2283&lt;&gt;"Y","",IFERROR(INDEX($D$6:$D$4005,MATCH(B2283&amp;"|"&amp;ROUND(_xlfn.MAXIFS($O$6:$O$4005,$B$6:$B$4005,B2283,$N$6:$N$4005,"N"),0),$P$6:$P$4005,0)),"(tanpa lawan)"))</f>
        <v/>
      </c>
      <c r="R2283" s="44"/>
      <c r="S2283" s="9" t="str">
        <f aca="false">IF(N2283&lt;&gt;"Y","",IF(R2283&lt;&gt;"",R2283,IF(Q2283="(tanpa lawan)","Transfer antar rekening",IFERROR(INDEX(I_COA!$F$6:$F$265,MATCH(Q2283,I_COA!$A$6:$A$265,0)),"?"))))</f>
        <v/>
      </c>
    </row>
    <row r="2284" customFormat="false" ht="15" hidden="false" customHeight="false" outlineLevel="0" collapsed="false">
      <c r="A2284" s="37"/>
      <c r="B2284" s="44"/>
      <c r="C2284" s="44"/>
      <c r="D2284" s="44"/>
      <c r="E2284" s="44"/>
      <c r="F2284" s="44"/>
      <c r="G2284" s="42"/>
      <c r="H2284" s="42"/>
      <c r="I2284" s="44"/>
      <c r="J2284" s="11" t="str">
        <f aca="false">IF(D2284="","",N(G2284)-N(H2284))</f>
        <v/>
      </c>
      <c r="K2284" s="34" t="str">
        <f aca="false">IF(D2284="","",IFERROR(INDEX(I_COA!$C$6:$C$265,MATCH(D2284,I_COA!$A$6:$A$265,0)),"AKUN BARU"))</f>
        <v/>
      </c>
      <c r="L2284" s="34" t="str">
        <f aca="false">IF(K2284="LabaRugi",INDEX(I_COA!$D$6:$D$265,MATCH(D2284,I_COA!$A$6:$A$265,0)),"")</f>
        <v/>
      </c>
      <c r="M2284" s="34" t="str">
        <f aca="false">IF(K2284="Neraca",INDEX(I_COA!$E$6:$E$265,MATCH(D2284,I_COA!$A$6:$A$265,0)),"")</f>
        <v/>
      </c>
      <c r="N2284" s="34" t="str">
        <f aca="false">IF(D2284="","",IFERROR(INDEX(I_COA!$G$6:$G$265,MATCH(D2284,I_COA!$A$6:$A$265,0)),"N"))</f>
        <v/>
      </c>
      <c r="O2284" s="11" t="str">
        <f aca="false">IF(N2284="N",ABS(J2284),"")</f>
        <v/>
      </c>
      <c r="P2284" s="18" t="str">
        <f aca="false">IF(N2284="N",B2284&amp;"|"&amp;ROUND(O2284,0),"")</f>
        <v/>
      </c>
      <c r="Q2284" s="18" t="str">
        <f aca="false">IF(N2284&lt;&gt;"Y","",IFERROR(INDEX($D$6:$D$4005,MATCH(B2284&amp;"|"&amp;ROUND(_xlfn.MAXIFS($O$6:$O$4005,$B$6:$B$4005,B2284,$N$6:$N$4005,"N"),0),$P$6:$P$4005,0)),"(tanpa lawan)"))</f>
        <v/>
      </c>
      <c r="R2284" s="44"/>
      <c r="S2284" s="9" t="str">
        <f aca="false">IF(N2284&lt;&gt;"Y","",IF(R2284&lt;&gt;"",R2284,IF(Q2284="(tanpa lawan)","Transfer antar rekening",IFERROR(INDEX(I_COA!$F$6:$F$265,MATCH(Q2284,I_COA!$A$6:$A$265,0)),"?"))))</f>
        <v/>
      </c>
    </row>
    <row r="2285" customFormat="false" ht="15" hidden="false" customHeight="false" outlineLevel="0" collapsed="false">
      <c r="A2285" s="37"/>
      <c r="B2285" s="44"/>
      <c r="C2285" s="44"/>
      <c r="D2285" s="44"/>
      <c r="E2285" s="44"/>
      <c r="F2285" s="44"/>
      <c r="G2285" s="42"/>
      <c r="H2285" s="42"/>
      <c r="I2285" s="44"/>
      <c r="J2285" s="11" t="str">
        <f aca="false">IF(D2285="","",N(G2285)-N(H2285))</f>
        <v/>
      </c>
      <c r="K2285" s="34" t="str">
        <f aca="false">IF(D2285="","",IFERROR(INDEX(I_COA!$C$6:$C$265,MATCH(D2285,I_COA!$A$6:$A$265,0)),"AKUN BARU"))</f>
        <v/>
      </c>
      <c r="L2285" s="34" t="str">
        <f aca="false">IF(K2285="LabaRugi",INDEX(I_COA!$D$6:$D$265,MATCH(D2285,I_COA!$A$6:$A$265,0)),"")</f>
        <v/>
      </c>
      <c r="M2285" s="34" t="str">
        <f aca="false">IF(K2285="Neraca",INDEX(I_COA!$E$6:$E$265,MATCH(D2285,I_COA!$A$6:$A$265,0)),"")</f>
        <v/>
      </c>
      <c r="N2285" s="34" t="str">
        <f aca="false">IF(D2285="","",IFERROR(INDEX(I_COA!$G$6:$G$265,MATCH(D2285,I_COA!$A$6:$A$265,0)),"N"))</f>
        <v/>
      </c>
      <c r="O2285" s="11" t="str">
        <f aca="false">IF(N2285="N",ABS(J2285),"")</f>
        <v/>
      </c>
      <c r="P2285" s="18" t="str">
        <f aca="false">IF(N2285="N",B2285&amp;"|"&amp;ROUND(O2285,0),"")</f>
        <v/>
      </c>
      <c r="Q2285" s="18" t="str">
        <f aca="false">IF(N2285&lt;&gt;"Y","",IFERROR(INDEX($D$6:$D$4005,MATCH(B2285&amp;"|"&amp;ROUND(_xlfn.MAXIFS($O$6:$O$4005,$B$6:$B$4005,B2285,$N$6:$N$4005,"N"),0),$P$6:$P$4005,0)),"(tanpa lawan)"))</f>
        <v/>
      </c>
      <c r="R2285" s="44"/>
      <c r="S2285" s="9" t="str">
        <f aca="false">IF(N2285&lt;&gt;"Y","",IF(R2285&lt;&gt;"",R2285,IF(Q2285="(tanpa lawan)","Transfer antar rekening",IFERROR(INDEX(I_COA!$F$6:$F$265,MATCH(Q2285,I_COA!$A$6:$A$265,0)),"?"))))</f>
        <v/>
      </c>
    </row>
    <row r="2286" customFormat="false" ht="15" hidden="false" customHeight="false" outlineLevel="0" collapsed="false">
      <c r="A2286" s="37"/>
      <c r="B2286" s="44"/>
      <c r="C2286" s="44"/>
      <c r="D2286" s="44"/>
      <c r="E2286" s="44"/>
      <c r="F2286" s="44"/>
      <c r="G2286" s="42"/>
      <c r="H2286" s="42"/>
      <c r="I2286" s="44"/>
      <c r="J2286" s="11" t="str">
        <f aca="false">IF(D2286="","",N(G2286)-N(H2286))</f>
        <v/>
      </c>
      <c r="K2286" s="34" t="str">
        <f aca="false">IF(D2286="","",IFERROR(INDEX(I_COA!$C$6:$C$265,MATCH(D2286,I_COA!$A$6:$A$265,0)),"AKUN BARU"))</f>
        <v/>
      </c>
      <c r="L2286" s="34" t="str">
        <f aca="false">IF(K2286="LabaRugi",INDEX(I_COA!$D$6:$D$265,MATCH(D2286,I_COA!$A$6:$A$265,0)),"")</f>
        <v/>
      </c>
      <c r="M2286" s="34" t="str">
        <f aca="false">IF(K2286="Neraca",INDEX(I_COA!$E$6:$E$265,MATCH(D2286,I_COA!$A$6:$A$265,0)),"")</f>
        <v/>
      </c>
      <c r="N2286" s="34" t="str">
        <f aca="false">IF(D2286="","",IFERROR(INDEX(I_COA!$G$6:$G$265,MATCH(D2286,I_COA!$A$6:$A$265,0)),"N"))</f>
        <v/>
      </c>
      <c r="O2286" s="11" t="str">
        <f aca="false">IF(N2286="N",ABS(J2286),"")</f>
        <v/>
      </c>
      <c r="P2286" s="18" t="str">
        <f aca="false">IF(N2286="N",B2286&amp;"|"&amp;ROUND(O2286,0),"")</f>
        <v/>
      </c>
      <c r="Q2286" s="18" t="str">
        <f aca="false">IF(N2286&lt;&gt;"Y","",IFERROR(INDEX($D$6:$D$4005,MATCH(B2286&amp;"|"&amp;ROUND(_xlfn.MAXIFS($O$6:$O$4005,$B$6:$B$4005,B2286,$N$6:$N$4005,"N"),0),$P$6:$P$4005,0)),"(tanpa lawan)"))</f>
        <v/>
      </c>
      <c r="R2286" s="44"/>
      <c r="S2286" s="9" t="str">
        <f aca="false">IF(N2286&lt;&gt;"Y","",IF(R2286&lt;&gt;"",R2286,IF(Q2286="(tanpa lawan)","Transfer antar rekening",IFERROR(INDEX(I_COA!$F$6:$F$265,MATCH(Q2286,I_COA!$A$6:$A$265,0)),"?"))))</f>
        <v/>
      </c>
    </row>
    <row r="2287" customFormat="false" ht="15" hidden="false" customHeight="false" outlineLevel="0" collapsed="false">
      <c r="A2287" s="37"/>
      <c r="B2287" s="44"/>
      <c r="C2287" s="44"/>
      <c r="D2287" s="44"/>
      <c r="E2287" s="44"/>
      <c r="F2287" s="44"/>
      <c r="G2287" s="42"/>
      <c r="H2287" s="42"/>
      <c r="I2287" s="44"/>
      <c r="J2287" s="11" t="str">
        <f aca="false">IF(D2287="","",N(G2287)-N(H2287))</f>
        <v/>
      </c>
      <c r="K2287" s="34" t="str">
        <f aca="false">IF(D2287="","",IFERROR(INDEX(I_COA!$C$6:$C$265,MATCH(D2287,I_COA!$A$6:$A$265,0)),"AKUN BARU"))</f>
        <v/>
      </c>
      <c r="L2287" s="34" t="str">
        <f aca="false">IF(K2287="LabaRugi",INDEX(I_COA!$D$6:$D$265,MATCH(D2287,I_COA!$A$6:$A$265,0)),"")</f>
        <v/>
      </c>
      <c r="M2287" s="34" t="str">
        <f aca="false">IF(K2287="Neraca",INDEX(I_COA!$E$6:$E$265,MATCH(D2287,I_COA!$A$6:$A$265,0)),"")</f>
        <v/>
      </c>
      <c r="N2287" s="34" t="str">
        <f aca="false">IF(D2287="","",IFERROR(INDEX(I_COA!$G$6:$G$265,MATCH(D2287,I_COA!$A$6:$A$265,0)),"N"))</f>
        <v/>
      </c>
      <c r="O2287" s="11" t="str">
        <f aca="false">IF(N2287="N",ABS(J2287),"")</f>
        <v/>
      </c>
      <c r="P2287" s="18" t="str">
        <f aca="false">IF(N2287="N",B2287&amp;"|"&amp;ROUND(O2287,0),"")</f>
        <v/>
      </c>
      <c r="Q2287" s="18" t="str">
        <f aca="false">IF(N2287&lt;&gt;"Y","",IFERROR(INDEX($D$6:$D$4005,MATCH(B2287&amp;"|"&amp;ROUND(_xlfn.MAXIFS($O$6:$O$4005,$B$6:$B$4005,B2287,$N$6:$N$4005,"N"),0),$P$6:$P$4005,0)),"(tanpa lawan)"))</f>
        <v/>
      </c>
      <c r="R2287" s="44"/>
      <c r="S2287" s="9" t="str">
        <f aca="false">IF(N2287&lt;&gt;"Y","",IF(R2287&lt;&gt;"",R2287,IF(Q2287="(tanpa lawan)","Transfer antar rekening",IFERROR(INDEX(I_COA!$F$6:$F$265,MATCH(Q2287,I_COA!$A$6:$A$265,0)),"?"))))</f>
        <v/>
      </c>
    </row>
    <row r="2288" customFormat="false" ht="15" hidden="false" customHeight="false" outlineLevel="0" collapsed="false">
      <c r="A2288" s="37"/>
      <c r="B2288" s="44"/>
      <c r="C2288" s="44"/>
      <c r="D2288" s="44"/>
      <c r="E2288" s="44"/>
      <c r="F2288" s="44"/>
      <c r="G2288" s="42"/>
      <c r="H2288" s="42"/>
      <c r="I2288" s="44"/>
      <c r="J2288" s="11" t="str">
        <f aca="false">IF(D2288="","",N(G2288)-N(H2288))</f>
        <v/>
      </c>
      <c r="K2288" s="34" t="str">
        <f aca="false">IF(D2288="","",IFERROR(INDEX(I_COA!$C$6:$C$265,MATCH(D2288,I_COA!$A$6:$A$265,0)),"AKUN BARU"))</f>
        <v/>
      </c>
      <c r="L2288" s="34" t="str">
        <f aca="false">IF(K2288="LabaRugi",INDEX(I_COA!$D$6:$D$265,MATCH(D2288,I_COA!$A$6:$A$265,0)),"")</f>
        <v/>
      </c>
      <c r="M2288" s="34" t="str">
        <f aca="false">IF(K2288="Neraca",INDEX(I_COA!$E$6:$E$265,MATCH(D2288,I_COA!$A$6:$A$265,0)),"")</f>
        <v/>
      </c>
      <c r="N2288" s="34" t="str">
        <f aca="false">IF(D2288="","",IFERROR(INDEX(I_COA!$G$6:$G$265,MATCH(D2288,I_COA!$A$6:$A$265,0)),"N"))</f>
        <v/>
      </c>
      <c r="O2288" s="11" t="str">
        <f aca="false">IF(N2288="N",ABS(J2288),"")</f>
        <v/>
      </c>
      <c r="P2288" s="18" t="str">
        <f aca="false">IF(N2288="N",B2288&amp;"|"&amp;ROUND(O2288,0),"")</f>
        <v/>
      </c>
      <c r="Q2288" s="18" t="str">
        <f aca="false">IF(N2288&lt;&gt;"Y","",IFERROR(INDEX($D$6:$D$4005,MATCH(B2288&amp;"|"&amp;ROUND(_xlfn.MAXIFS($O$6:$O$4005,$B$6:$B$4005,B2288,$N$6:$N$4005,"N"),0),$P$6:$P$4005,0)),"(tanpa lawan)"))</f>
        <v/>
      </c>
      <c r="R2288" s="44"/>
      <c r="S2288" s="9" t="str">
        <f aca="false">IF(N2288&lt;&gt;"Y","",IF(R2288&lt;&gt;"",R2288,IF(Q2288="(tanpa lawan)","Transfer antar rekening",IFERROR(INDEX(I_COA!$F$6:$F$265,MATCH(Q2288,I_COA!$A$6:$A$265,0)),"?"))))</f>
        <v/>
      </c>
    </row>
    <row r="2289" customFormat="false" ht="15" hidden="false" customHeight="false" outlineLevel="0" collapsed="false">
      <c r="A2289" s="37"/>
      <c r="B2289" s="44"/>
      <c r="C2289" s="44"/>
      <c r="D2289" s="44"/>
      <c r="E2289" s="44"/>
      <c r="F2289" s="44"/>
      <c r="G2289" s="42"/>
      <c r="H2289" s="42"/>
      <c r="I2289" s="44"/>
      <c r="J2289" s="11" t="str">
        <f aca="false">IF(D2289="","",N(G2289)-N(H2289))</f>
        <v/>
      </c>
      <c r="K2289" s="34" t="str">
        <f aca="false">IF(D2289="","",IFERROR(INDEX(I_COA!$C$6:$C$265,MATCH(D2289,I_COA!$A$6:$A$265,0)),"AKUN BARU"))</f>
        <v/>
      </c>
      <c r="L2289" s="34" t="str">
        <f aca="false">IF(K2289="LabaRugi",INDEX(I_COA!$D$6:$D$265,MATCH(D2289,I_COA!$A$6:$A$265,0)),"")</f>
        <v/>
      </c>
      <c r="M2289" s="34" t="str">
        <f aca="false">IF(K2289="Neraca",INDEX(I_COA!$E$6:$E$265,MATCH(D2289,I_COA!$A$6:$A$265,0)),"")</f>
        <v/>
      </c>
      <c r="N2289" s="34" t="str">
        <f aca="false">IF(D2289="","",IFERROR(INDEX(I_COA!$G$6:$G$265,MATCH(D2289,I_COA!$A$6:$A$265,0)),"N"))</f>
        <v/>
      </c>
      <c r="O2289" s="11" t="str">
        <f aca="false">IF(N2289="N",ABS(J2289),"")</f>
        <v/>
      </c>
      <c r="P2289" s="18" t="str">
        <f aca="false">IF(N2289="N",B2289&amp;"|"&amp;ROUND(O2289,0),"")</f>
        <v/>
      </c>
      <c r="Q2289" s="18" t="str">
        <f aca="false">IF(N2289&lt;&gt;"Y","",IFERROR(INDEX($D$6:$D$4005,MATCH(B2289&amp;"|"&amp;ROUND(_xlfn.MAXIFS($O$6:$O$4005,$B$6:$B$4005,B2289,$N$6:$N$4005,"N"),0),$P$6:$P$4005,0)),"(tanpa lawan)"))</f>
        <v/>
      </c>
      <c r="R2289" s="44"/>
      <c r="S2289" s="9" t="str">
        <f aca="false">IF(N2289&lt;&gt;"Y","",IF(R2289&lt;&gt;"",R2289,IF(Q2289="(tanpa lawan)","Transfer antar rekening",IFERROR(INDEX(I_COA!$F$6:$F$265,MATCH(Q2289,I_COA!$A$6:$A$265,0)),"?"))))</f>
        <v/>
      </c>
    </row>
    <row r="2290" customFormat="false" ht="15" hidden="false" customHeight="false" outlineLevel="0" collapsed="false">
      <c r="A2290" s="37"/>
      <c r="B2290" s="44"/>
      <c r="C2290" s="44"/>
      <c r="D2290" s="44"/>
      <c r="E2290" s="44"/>
      <c r="F2290" s="44"/>
      <c r="G2290" s="42"/>
      <c r="H2290" s="42"/>
      <c r="I2290" s="44"/>
      <c r="J2290" s="11" t="str">
        <f aca="false">IF(D2290="","",N(G2290)-N(H2290))</f>
        <v/>
      </c>
      <c r="K2290" s="34" t="str">
        <f aca="false">IF(D2290="","",IFERROR(INDEX(I_COA!$C$6:$C$265,MATCH(D2290,I_COA!$A$6:$A$265,0)),"AKUN BARU"))</f>
        <v/>
      </c>
      <c r="L2290" s="34" t="str">
        <f aca="false">IF(K2290="LabaRugi",INDEX(I_COA!$D$6:$D$265,MATCH(D2290,I_COA!$A$6:$A$265,0)),"")</f>
        <v/>
      </c>
      <c r="M2290" s="34" t="str">
        <f aca="false">IF(K2290="Neraca",INDEX(I_COA!$E$6:$E$265,MATCH(D2290,I_COA!$A$6:$A$265,0)),"")</f>
        <v/>
      </c>
      <c r="N2290" s="34" t="str">
        <f aca="false">IF(D2290="","",IFERROR(INDEX(I_COA!$G$6:$G$265,MATCH(D2290,I_COA!$A$6:$A$265,0)),"N"))</f>
        <v/>
      </c>
      <c r="O2290" s="11" t="str">
        <f aca="false">IF(N2290="N",ABS(J2290),"")</f>
        <v/>
      </c>
      <c r="P2290" s="18" t="str">
        <f aca="false">IF(N2290="N",B2290&amp;"|"&amp;ROUND(O2290,0),"")</f>
        <v/>
      </c>
      <c r="Q2290" s="18" t="str">
        <f aca="false">IF(N2290&lt;&gt;"Y","",IFERROR(INDEX($D$6:$D$4005,MATCH(B2290&amp;"|"&amp;ROUND(_xlfn.MAXIFS($O$6:$O$4005,$B$6:$B$4005,B2290,$N$6:$N$4005,"N"),0),$P$6:$P$4005,0)),"(tanpa lawan)"))</f>
        <v/>
      </c>
      <c r="R2290" s="44"/>
      <c r="S2290" s="9" t="str">
        <f aca="false">IF(N2290&lt;&gt;"Y","",IF(R2290&lt;&gt;"",R2290,IF(Q2290="(tanpa lawan)","Transfer antar rekening",IFERROR(INDEX(I_COA!$F$6:$F$265,MATCH(Q2290,I_COA!$A$6:$A$265,0)),"?"))))</f>
        <v/>
      </c>
    </row>
    <row r="2291" customFormat="false" ht="15" hidden="false" customHeight="false" outlineLevel="0" collapsed="false">
      <c r="A2291" s="37"/>
      <c r="B2291" s="44"/>
      <c r="C2291" s="44"/>
      <c r="D2291" s="44"/>
      <c r="E2291" s="44"/>
      <c r="F2291" s="44"/>
      <c r="G2291" s="42"/>
      <c r="H2291" s="42"/>
      <c r="I2291" s="44"/>
      <c r="J2291" s="11" t="str">
        <f aca="false">IF(D2291="","",N(G2291)-N(H2291))</f>
        <v/>
      </c>
      <c r="K2291" s="34" t="str">
        <f aca="false">IF(D2291="","",IFERROR(INDEX(I_COA!$C$6:$C$265,MATCH(D2291,I_COA!$A$6:$A$265,0)),"AKUN BARU"))</f>
        <v/>
      </c>
      <c r="L2291" s="34" t="str">
        <f aca="false">IF(K2291="LabaRugi",INDEX(I_COA!$D$6:$D$265,MATCH(D2291,I_COA!$A$6:$A$265,0)),"")</f>
        <v/>
      </c>
      <c r="M2291" s="34" t="str">
        <f aca="false">IF(K2291="Neraca",INDEX(I_COA!$E$6:$E$265,MATCH(D2291,I_COA!$A$6:$A$265,0)),"")</f>
        <v/>
      </c>
      <c r="N2291" s="34" t="str">
        <f aca="false">IF(D2291="","",IFERROR(INDEX(I_COA!$G$6:$G$265,MATCH(D2291,I_COA!$A$6:$A$265,0)),"N"))</f>
        <v/>
      </c>
      <c r="O2291" s="11" t="str">
        <f aca="false">IF(N2291="N",ABS(J2291),"")</f>
        <v/>
      </c>
      <c r="P2291" s="18" t="str">
        <f aca="false">IF(N2291="N",B2291&amp;"|"&amp;ROUND(O2291,0),"")</f>
        <v/>
      </c>
      <c r="Q2291" s="18" t="str">
        <f aca="false">IF(N2291&lt;&gt;"Y","",IFERROR(INDEX($D$6:$D$4005,MATCH(B2291&amp;"|"&amp;ROUND(_xlfn.MAXIFS($O$6:$O$4005,$B$6:$B$4005,B2291,$N$6:$N$4005,"N"),0),$P$6:$P$4005,0)),"(tanpa lawan)"))</f>
        <v/>
      </c>
      <c r="R2291" s="44"/>
      <c r="S2291" s="9" t="str">
        <f aca="false">IF(N2291&lt;&gt;"Y","",IF(R2291&lt;&gt;"",R2291,IF(Q2291="(tanpa lawan)","Transfer antar rekening",IFERROR(INDEX(I_COA!$F$6:$F$265,MATCH(Q2291,I_COA!$A$6:$A$265,0)),"?"))))</f>
        <v/>
      </c>
    </row>
    <row r="2292" customFormat="false" ht="15" hidden="false" customHeight="false" outlineLevel="0" collapsed="false">
      <c r="A2292" s="37"/>
      <c r="B2292" s="44"/>
      <c r="C2292" s="44"/>
      <c r="D2292" s="44"/>
      <c r="E2292" s="44"/>
      <c r="F2292" s="44"/>
      <c r="G2292" s="42"/>
      <c r="H2292" s="42"/>
      <c r="I2292" s="44"/>
      <c r="J2292" s="11" t="str">
        <f aca="false">IF(D2292="","",N(G2292)-N(H2292))</f>
        <v/>
      </c>
      <c r="K2292" s="34" t="str">
        <f aca="false">IF(D2292="","",IFERROR(INDEX(I_COA!$C$6:$C$265,MATCH(D2292,I_COA!$A$6:$A$265,0)),"AKUN BARU"))</f>
        <v/>
      </c>
      <c r="L2292" s="34" t="str">
        <f aca="false">IF(K2292="LabaRugi",INDEX(I_COA!$D$6:$D$265,MATCH(D2292,I_COA!$A$6:$A$265,0)),"")</f>
        <v/>
      </c>
      <c r="M2292" s="34" t="str">
        <f aca="false">IF(K2292="Neraca",INDEX(I_COA!$E$6:$E$265,MATCH(D2292,I_COA!$A$6:$A$265,0)),"")</f>
        <v/>
      </c>
      <c r="N2292" s="34" t="str">
        <f aca="false">IF(D2292="","",IFERROR(INDEX(I_COA!$G$6:$G$265,MATCH(D2292,I_COA!$A$6:$A$265,0)),"N"))</f>
        <v/>
      </c>
      <c r="O2292" s="11" t="str">
        <f aca="false">IF(N2292="N",ABS(J2292),"")</f>
        <v/>
      </c>
      <c r="P2292" s="18" t="str">
        <f aca="false">IF(N2292="N",B2292&amp;"|"&amp;ROUND(O2292,0),"")</f>
        <v/>
      </c>
      <c r="Q2292" s="18" t="str">
        <f aca="false">IF(N2292&lt;&gt;"Y","",IFERROR(INDEX($D$6:$D$4005,MATCH(B2292&amp;"|"&amp;ROUND(_xlfn.MAXIFS($O$6:$O$4005,$B$6:$B$4005,B2292,$N$6:$N$4005,"N"),0),$P$6:$P$4005,0)),"(tanpa lawan)"))</f>
        <v/>
      </c>
      <c r="R2292" s="44"/>
      <c r="S2292" s="9" t="str">
        <f aca="false">IF(N2292&lt;&gt;"Y","",IF(R2292&lt;&gt;"",R2292,IF(Q2292="(tanpa lawan)","Transfer antar rekening",IFERROR(INDEX(I_COA!$F$6:$F$265,MATCH(Q2292,I_COA!$A$6:$A$265,0)),"?"))))</f>
        <v/>
      </c>
    </row>
    <row r="2293" customFormat="false" ht="15" hidden="false" customHeight="false" outlineLevel="0" collapsed="false">
      <c r="A2293" s="37"/>
      <c r="B2293" s="44"/>
      <c r="C2293" s="44"/>
      <c r="D2293" s="44"/>
      <c r="E2293" s="44"/>
      <c r="F2293" s="44"/>
      <c r="G2293" s="42"/>
      <c r="H2293" s="42"/>
      <c r="I2293" s="44"/>
      <c r="J2293" s="11" t="str">
        <f aca="false">IF(D2293="","",N(G2293)-N(H2293))</f>
        <v/>
      </c>
      <c r="K2293" s="34" t="str">
        <f aca="false">IF(D2293="","",IFERROR(INDEX(I_COA!$C$6:$C$265,MATCH(D2293,I_COA!$A$6:$A$265,0)),"AKUN BARU"))</f>
        <v/>
      </c>
      <c r="L2293" s="34" t="str">
        <f aca="false">IF(K2293="LabaRugi",INDEX(I_COA!$D$6:$D$265,MATCH(D2293,I_COA!$A$6:$A$265,0)),"")</f>
        <v/>
      </c>
      <c r="M2293" s="34" t="str">
        <f aca="false">IF(K2293="Neraca",INDEX(I_COA!$E$6:$E$265,MATCH(D2293,I_COA!$A$6:$A$265,0)),"")</f>
        <v/>
      </c>
      <c r="N2293" s="34" t="str">
        <f aca="false">IF(D2293="","",IFERROR(INDEX(I_COA!$G$6:$G$265,MATCH(D2293,I_COA!$A$6:$A$265,0)),"N"))</f>
        <v/>
      </c>
      <c r="O2293" s="11" t="str">
        <f aca="false">IF(N2293="N",ABS(J2293),"")</f>
        <v/>
      </c>
      <c r="P2293" s="18" t="str">
        <f aca="false">IF(N2293="N",B2293&amp;"|"&amp;ROUND(O2293,0),"")</f>
        <v/>
      </c>
      <c r="Q2293" s="18" t="str">
        <f aca="false">IF(N2293&lt;&gt;"Y","",IFERROR(INDEX($D$6:$D$4005,MATCH(B2293&amp;"|"&amp;ROUND(_xlfn.MAXIFS($O$6:$O$4005,$B$6:$B$4005,B2293,$N$6:$N$4005,"N"),0),$P$6:$P$4005,0)),"(tanpa lawan)"))</f>
        <v/>
      </c>
      <c r="R2293" s="44"/>
      <c r="S2293" s="9" t="str">
        <f aca="false">IF(N2293&lt;&gt;"Y","",IF(R2293&lt;&gt;"",R2293,IF(Q2293="(tanpa lawan)","Transfer antar rekening",IFERROR(INDEX(I_COA!$F$6:$F$265,MATCH(Q2293,I_COA!$A$6:$A$265,0)),"?"))))</f>
        <v/>
      </c>
    </row>
    <row r="2294" customFormat="false" ht="15" hidden="false" customHeight="false" outlineLevel="0" collapsed="false">
      <c r="A2294" s="37"/>
      <c r="B2294" s="44"/>
      <c r="C2294" s="44"/>
      <c r="D2294" s="44"/>
      <c r="E2294" s="44"/>
      <c r="F2294" s="44"/>
      <c r="G2294" s="42"/>
      <c r="H2294" s="42"/>
      <c r="I2294" s="44"/>
      <c r="J2294" s="11" t="str">
        <f aca="false">IF(D2294="","",N(G2294)-N(H2294))</f>
        <v/>
      </c>
      <c r="K2294" s="34" t="str">
        <f aca="false">IF(D2294="","",IFERROR(INDEX(I_COA!$C$6:$C$265,MATCH(D2294,I_COA!$A$6:$A$265,0)),"AKUN BARU"))</f>
        <v/>
      </c>
      <c r="L2294" s="34" t="str">
        <f aca="false">IF(K2294="LabaRugi",INDEX(I_COA!$D$6:$D$265,MATCH(D2294,I_COA!$A$6:$A$265,0)),"")</f>
        <v/>
      </c>
      <c r="M2294" s="34" t="str">
        <f aca="false">IF(K2294="Neraca",INDEX(I_COA!$E$6:$E$265,MATCH(D2294,I_COA!$A$6:$A$265,0)),"")</f>
        <v/>
      </c>
      <c r="N2294" s="34" t="str">
        <f aca="false">IF(D2294="","",IFERROR(INDEX(I_COA!$G$6:$G$265,MATCH(D2294,I_COA!$A$6:$A$265,0)),"N"))</f>
        <v/>
      </c>
      <c r="O2294" s="11" t="str">
        <f aca="false">IF(N2294="N",ABS(J2294),"")</f>
        <v/>
      </c>
      <c r="P2294" s="18" t="str">
        <f aca="false">IF(N2294="N",B2294&amp;"|"&amp;ROUND(O2294,0),"")</f>
        <v/>
      </c>
      <c r="Q2294" s="18" t="str">
        <f aca="false">IF(N2294&lt;&gt;"Y","",IFERROR(INDEX($D$6:$D$4005,MATCH(B2294&amp;"|"&amp;ROUND(_xlfn.MAXIFS($O$6:$O$4005,$B$6:$B$4005,B2294,$N$6:$N$4005,"N"),0),$P$6:$P$4005,0)),"(tanpa lawan)"))</f>
        <v/>
      </c>
      <c r="R2294" s="44"/>
      <c r="S2294" s="9" t="str">
        <f aca="false">IF(N2294&lt;&gt;"Y","",IF(R2294&lt;&gt;"",R2294,IF(Q2294="(tanpa lawan)","Transfer antar rekening",IFERROR(INDEX(I_COA!$F$6:$F$265,MATCH(Q2294,I_COA!$A$6:$A$265,0)),"?"))))</f>
        <v/>
      </c>
    </row>
    <row r="2295" customFormat="false" ht="15" hidden="false" customHeight="false" outlineLevel="0" collapsed="false">
      <c r="A2295" s="37"/>
      <c r="B2295" s="44"/>
      <c r="C2295" s="44"/>
      <c r="D2295" s="44"/>
      <c r="E2295" s="44"/>
      <c r="F2295" s="44"/>
      <c r="G2295" s="42"/>
      <c r="H2295" s="42"/>
      <c r="I2295" s="44"/>
      <c r="J2295" s="11" t="str">
        <f aca="false">IF(D2295="","",N(G2295)-N(H2295))</f>
        <v/>
      </c>
      <c r="K2295" s="34" t="str">
        <f aca="false">IF(D2295="","",IFERROR(INDEX(I_COA!$C$6:$C$265,MATCH(D2295,I_COA!$A$6:$A$265,0)),"AKUN BARU"))</f>
        <v/>
      </c>
      <c r="L2295" s="34" t="str">
        <f aca="false">IF(K2295="LabaRugi",INDEX(I_COA!$D$6:$D$265,MATCH(D2295,I_COA!$A$6:$A$265,0)),"")</f>
        <v/>
      </c>
      <c r="M2295" s="34" t="str">
        <f aca="false">IF(K2295="Neraca",INDEX(I_COA!$E$6:$E$265,MATCH(D2295,I_COA!$A$6:$A$265,0)),"")</f>
        <v/>
      </c>
      <c r="N2295" s="34" t="str">
        <f aca="false">IF(D2295="","",IFERROR(INDEX(I_COA!$G$6:$G$265,MATCH(D2295,I_COA!$A$6:$A$265,0)),"N"))</f>
        <v/>
      </c>
      <c r="O2295" s="11" t="str">
        <f aca="false">IF(N2295="N",ABS(J2295),"")</f>
        <v/>
      </c>
      <c r="P2295" s="18" t="str">
        <f aca="false">IF(N2295="N",B2295&amp;"|"&amp;ROUND(O2295,0),"")</f>
        <v/>
      </c>
      <c r="Q2295" s="18" t="str">
        <f aca="false">IF(N2295&lt;&gt;"Y","",IFERROR(INDEX($D$6:$D$4005,MATCH(B2295&amp;"|"&amp;ROUND(_xlfn.MAXIFS($O$6:$O$4005,$B$6:$B$4005,B2295,$N$6:$N$4005,"N"),0),$P$6:$P$4005,0)),"(tanpa lawan)"))</f>
        <v/>
      </c>
      <c r="R2295" s="44"/>
      <c r="S2295" s="9" t="str">
        <f aca="false">IF(N2295&lt;&gt;"Y","",IF(R2295&lt;&gt;"",R2295,IF(Q2295="(tanpa lawan)","Transfer antar rekening",IFERROR(INDEX(I_COA!$F$6:$F$265,MATCH(Q2295,I_COA!$A$6:$A$265,0)),"?"))))</f>
        <v/>
      </c>
    </row>
    <row r="2296" customFormat="false" ht="15" hidden="false" customHeight="false" outlineLevel="0" collapsed="false">
      <c r="A2296" s="37"/>
      <c r="B2296" s="44"/>
      <c r="C2296" s="44"/>
      <c r="D2296" s="44"/>
      <c r="E2296" s="44"/>
      <c r="F2296" s="44"/>
      <c r="G2296" s="42"/>
      <c r="H2296" s="42"/>
      <c r="I2296" s="44"/>
      <c r="J2296" s="11" t="str">
        <f aca="false">IF(D2296="","",N(G2296)-N(H2296))</f>
        <v/>
      </c>
      <c r="K2296" s="34" t="str">
        <f aca="false">IF(D2296="","",IFERROR(INDEX(I_COA!$C$6:$C$265,MATCH(D2296,I_COA!$A$6:$A$265,0)),"AKUN BARU"))</f>
        <v/>
      </c>
      <c r="L2296" s="34" t="str">
        <f aca="false">IF(K2296="LabaRugi",INDEX(I_COA!$D$6:$D$265,MATCH(D2296,I_COA!$A$6:$A$265,0)),"")</f>
        <v/>
      </c>
      <c r="M2296" s="34" t="str">
        <f aca="false">IF(K2296="Neraca",INDEX(I_COA!$E$6:$E$265,MATCH(D2296,I_COA!$A$6:$A$265,0)),"")</f>
        <v/>
      </c>
      <c r="N2296" s="34" t="str">
        <f aca="false">IF(D2296="","",IFERROR(INDEX(I_COA!$G$6:$G$265,MATCH(D2296,I_COA!$A$6:$A$265,0)),"N"))</f>
        <v/>
      </c>
      <c r="O2296" s="11" t="str">
        <f aca="false">IF(N2296="N",ABS(J2296),"")</f>
        <v/>
      </c>
      <c r="P2296" s="18" t="str">
        <f aca="false">IF(N2296="N",B2296&amp;"|"&amp;ROUND(O2296,0),"")</f>
        <v/>
      </c>
      <c r="Q2296" s="18" t="str">
        <f aca="false">IF(N2296&lt;&gt;"Y","",IFERROR(INDEX($D$6:$D$4005,MATCH(B2296&amp;"|"&amp;ROUND(_xlfn.MAXIFS($O$6:$O$4005,$B$6:$B$4005,B2296,$N$6:$N$4005,"N"),0),$P$6:$P$4005,0)),"(tanpa lawan)"))</f>
        <v/>
      </c>
      <c r="R2296" s="44"/>
      <c r="S2296" s="9" t="str">
        <f aca="false">IF(N2296&lt;&gt;"Y","",IF(R2296&lt;&gt;"",R2296,IF(Q2296="(tanpa lawan)","Transfer antar rekening",IFERROR(INDEX(I_COA!$F$6:$F$265,MATCH(Q2296,I_COA!$A$6:$A$265,0)),"?"))))</f>
        <v/>
      </c>
    </row>
    <row r="2297" customFormat="false" ht="15" hidden="false" customHeight="false" outlineLevel="0" collapsed="false">
      <c r="A2297" s="37"/>
      <c r="B2297" s="44"/>
      <c r="C2297" s="44"/>
      <c r="D2297" s="44"/>
      <c r="E2297" s="44"/>
      <c r="F2297" s="44"/>
      <c r="G2297" s="42"/>
      <c r="H2297" s="42"/>
      <c r="I2297" s="44"/>
      <c r="J2297" s="11" t="str">
        <f aca="false">IF(D2297="","",N(G2297)-N(H2297))</f>
        <v/>
      </c>
      <c r="K2297" s="34" t="str">
        <f aca="false">IF(D2297="","",IFERROR(INDEX(I_COA!$C$6:$C$265,MATCH(D2297,I_COA!$A$6:$A$265,0)),"AKUN BARU"))</f>
        <v/>
      </c>
      <c r="L2297" s="34" t="str">
        <f aca="false">IF(K2297="LabaRugi",INDEX(I_COA!$D$6:$D$265,MATCH(D2297,I_COA!$A$6:$A$265,0)),"")</f>
        <v/>
      </c>
      <c r="M2297" s="34" t="str">
        <f aca="false">IF(K2297="Neraca",INDEX(I_COA!$E$6:$E$265,MATCH(D2297,I_COA!$A$6:$A$265,0)),"")</f>
        <v/>
      </c>
      <c r="N2297" s="34" t="str">
        <f aca="false">IF(D2297="","",IFERROR(INDEX(I_COA!$G$6:$G$265,MATCH(D2297,I_COA!$A$6:$A$265,0)),"N"))</f>
        <v/>
      </c>
      <c r="O2297" s="11" t="str">
        <f aca="false">IF(N2297="N",ABS(J2297),"")</f>
        <v/>
      </c>
      <c r="P2297" s="18" t="str">
        <f aca="false">IF(N2297="N",B2297&amp;"|"&amp;ROUND(O2297,0),"")</f>
        <v/>
      </c>
      <c r="Q2297" s="18" t="str">
        <f aca="false">IF(N2297&lt;&gt;"Y","",IFERROR(INDEX($D$6:$D$4005,MATCH(B2297&amp;"|"&amp;ROUND(_xlfn.MAXIFS($O$6:$O$4005,$B$6:$B$4005,B2297,$N$6:$N$4005,"N"),0),$P$6:$P$4005,0)),"(tanpa lawan)"))</f>
        <v/>
      </c>
      <c r="R2297" s="44"/>
      <c r="S2297" s="9" t="str">
        <f aca="false">IF(N2297&lt;&gt;"Y","",IF(R2297&lt;&gt;"",R2297,IF(Q2297="(tanpa lawan)","Transfer antar rekening",IFERROR(INDEX(I_COA!$F$6:$F$265,MATCH(Q2297,I_COA!$A$6:$A$265,0)),"?"))))</f>
        <v/>
      </c>
    </row>
    <row r="2298" customFormat="false" ht="15" hidden="false" customHeight="false" outlineLevel="0" collapsed="false">
      <c r="A2298" s="37"/>
      <c r="B2298" s="44"/>
      <c r="C2298" s="44"/>
      <c r="D2298" s="44"/>
      <c r="E2298" s="44"/>
      <c r="F2298" s="44"/>
      <c r="G2298" s="42"/>
      <c r="H2298" s="42"/>
      <c r="I2298" s="44"/>
      <c r="J2298" s="11" t="str">
        <f aca="false">IF(D2298="","",N(G2298)-N(H2298))</f>
        <v/>
      </c>
      <c r="K2298" s="34" t="str">
        <f aca="false">IF(D2298="","",IFERROR(INDEX(I_COA!$C$6:$C$265,MATCH(D2298,I_COA!$A$6:$A$265,0)),"AKUN BARU"))</f>
        <v/>
      </c>
      <c r="L2298" s="34" t="str">
        <f aca="false">IF(K2298="LabaRugi",INDEX(I_COA!$D$6:$D$265,MATCH(D2298,I_COA!$A$6:$A$265,0)),"")</f>
        <v/>
      </c>
      <c r="M2298" s="34" t="str">
        <f aca="false">IF(K2298="Neraca",INDEX(I_COA!$E$6:$E$265,MATCH(D2298,I_COA!$A$6:$A$265,0)),"")</f>
        <v/>
      </c>
      <c r="N2298" s="34" t="str">
        <f aca="false">IF(D2298="","",IFERROR(INDEX(I_COA!$G$6:$G$265,MATCH(D2298,I_COA!$A$6:$A$265,0)),"N"))</f>
        <v/>
      </c>
      <c r="O2298" s="11" t="str">
        <f aca="false">IF(N2298="N",ABS(J2298),"")</f>
        <v/>
      </c>
      <c r="P2298" s="18" t="str">
        <f aca="false">IF(N2298="N",B2298&amp;"|"&amp;ROUND(O2298,0),"")</f>
        <v/>
      </c>
      <c r="Q2298" s="18" t="str">
        <f aca="false">IF(N2298&lt;&gt;"Y","",IFERROR(INDEX($D$6:$D$4005,MATCH(B2298&amp;"|"&amp;ROUND(_xlfn.MAXIFS($O$6:$O$4005,$B$6:$B$4005,B2298,$N$6:$N$4005,"N"),0),$P$6:$P$4005,0)),"(tanpa lawan)"))</f>
        <v/>
      </c>
      <c r="R2298" s="44"/>
      <c r="S2298" s="9" t="str">
        <f aca="false">IF(N2298&lt;&gt;"Y","",IF(R2298&lt;&gt;"",R2298,IF(Q2298="(tanpa lawan)","Transfer antar rekening",IFERROR(INDEX(I_COA!$F$6:$F$265,MATCH(Q2298,I_COA!$A$6:$A$265,0)),"?"))))</f>
        <v/>
      </c>
    </row>
    <row r="2299" customFormat="false" ht="15" hidden="false" customHeight="false" outlineLevel="0" collapsed="false">
      <c r="A2299" s="37"/>
      <c r="B2299" s="44"/>
      <c r="C2299" s="44"/>
      <c r="D2299" s="44"/>
      <c r="E2299" s="44"/>
      <c r="F2299" s="44"/>
      <c r="G2299" s="42"/>
      <c r="H2299" s="42"/>
      <c r="I2299" s="44"/>
      <c r="J2299" s="11" t="str">
        <f aca="false">IF(D2299="","",N(G2299)-N(H2299))</f>
        <v/>
      </c>
      <c r="K2299" s="34" t="str">
        <f aca="false">IF(D2299="","",IFERROR(INDEX(I_COA!$C$6:$C$265,MATCH(D2299,I_COA!$A$6:$A$265,0)),"AKUN BARU"))</f>
        <v/>
      </c>
      <c r="L2299" s="34" t="str">
        <f aca="false">IF(K2299="LabaRugi",INDEX(I_COA!$D$6:$D$265,MATCH(D2299,I_COA!$A$6:$A$265,0)),"")</f>
        <v/>
      </c>
      <c r="M2299" s="34" t="str">
        <f aca="false">IF(K2299="Neraca",INDEX(I_COA!$E$6:$E$265,MATCH(D2299,I_COA!$A$6:$A$265,0)),"")</f>
        <v/>
      </c>
      <c r="N2299" s="34" t="str">
        <f aca="false">IF(D2299="","",IFERROR(INDEX(I_COA!$G$6:$G$265,MATCH(D2299,I_COA!$A$6:$A$265,0)),"N"))</f>
        <v/>
      </c>
      <c r="O2299" s="11" t="str">
        <f aca="false">IF(N2299="N",ABS(J2299),"")</f>
        <v/>
      </c>
      <c r="P2299" s="18" t="str">
        <f aca="false">IF(N2299="N",B2299&amp;"|"&amp;ROUND(O2299,0),"")</f>
        <v/>
      </c>
      <c r="Q2299" s="18" t="str">
        <f aca="false">IF(N2299&lt;&gt;"Y","",IFERROR(INDEX($D$6:$D$4005,MATCH(B2299&amp;"|"&amp;ROUND(_xlfn.MAXIFS($O$6:$O$4005,$B$6:$B$4005,B2299,$N$6:$N$4005,"N"),0),$P$6:$P$4005,0)),"(tanpa lawan)"))</f>
        <v/>
      </c>
      <c r="R2299" s="44"/>
      <c r="S2299" s="9" t="str">
        <f aca="false">IF(N2299&lt;&gt;"Y","",IF(R2299&lt;&gt;"",R2299,IF(Q2299="(tanpa lawan)","Transfer antar rekening",IFERROR(INDEX(I_COA!$F$6:$F$265,MATCH(Q2299,I_COA!$A$6:$A$265,0)),"?"))))</f>
        <v/>
      </c>
    </row>
    <row r="2300" customFormat="false" ht="15" hidden="false" customHeight="false" outlineLevel="0" collapsed="false">
      <c r="A2300" s="37"/>
      <c r="B2300" s="44"/>
      <c r="C2300" s="44"/>
      <c r="D2300" s="44"/>
      <c r="E2300" s="44"/>
      <c r="F2300" s="44"/>
      <c r="G2300" s="42"/>
      <c r="H2300" s="42"/>
      <c r="I2300" s="44"/>
      <c r="J2300" s="11" t="str">
        <f aca="false">IF(D2300="","",N(G2300)-N(H2300))</f>
        <v/>
      </c>
      <c r="K2300" s="34" t="str">
        <f aca="false">IF(D2300="","",IFERROR(INDEX(I_COA!$C$6:$C$265,MATCH(D2300,I_COA!$A$6:$A$265,0)),"AKUN BARU"))</f>
        <v/>
      </c>
      <c r="L2300" s="34" t="str">
        <f aca="false">IF(K2300="LabaRugi",INDEX(I_COA!$D$6:$D$265,MATCH(D2300,I_COA!$A$6:$A$265,0)),"")</f>
        <v/>
      </c>
      <c r="M2300" s="34" t="str">
        <f aca="false">IF(K2300="Neraca",INDEX(I_COA!$E$6:$E$265,MATCH(D2300,I_COA!$A$6:$A$265,0)),"")</f>
        <v/>
      </c>
      <c r="N2300" s="34" t="str">
        <f aca="false">IF(D2300="","",IFERROR(INDEX(I_COA!$G$6:$G$265,MATCH(D2300,I_COA!$A$6:$A$265,0)),"N"))</f>
        <v/>
      </c>
      <c r="O2300" s="11" t="str">
        <f aca="false">IF(N2300="N",ABS(J2300),"")</f>
        <v/>
      </c>
      <c r="P2300" s="18" t="str">
        <f aca="false">IF(N2300="N",B2300&amp;"|"&amp;ROUND(O2300,0),"")</f>
        <v/>
      </c>
      <c r="Q2300" s="18" t="str">
        <f aca="false">IF(N2300&lt;&gt;"Y","",IFERROR(INDEX($D$6:$D$4005,MATCH(B2300&amp;"|"&amp;ROUND(_xlfn.MAXIFS($O$6:$O$4005,$B$6:$B$4005,B2300,$N$6:$N$4005,"N"),0),$P$6:$P$4005,0)),"(tanpa lawan)"))</f>
        <v/>
      </c>
      <c r="R2300" s="44"/>
      <c r="S2300" s="9" t="str">
        <f aca="false">IF(N2300&lt;&gt;"Y","",IF(R2300&lt;&gt;"",R2300,IF(Q2300="(tanpa lawan)","Transfer antar rekening",IFERROR(INDEX(I_COA!$F$6:$F$265,MATCH(Q2300,I_COA!$A$6:$A$265,0)),"?"))))</f>
        <v/>
      </c>
    </row>
    <row r="2301" customFormat="false" ht="15" hidden="false" customHeight="false" outlineLevel="0" collapsed="false">
      <c r="A2301" s="37"/>
      <c r="B2301" s="44"/>
      <c r="C2301" s="44"/>
      <c r="D2301" s="44"/>
      <c r="E2301" s="44"/>
      <c r="F2301" s="44"/>
      <c r="G2301" s="42"/>
      <c r="H2301" s="42"/>
      <c r="I2301" s="44"/>
      <c r="J2301" s="11" t="str">
        <f aca="false">IF(D2301="","",N(G2301)-N(H2301))</f>
        <v/>
      </c>
      <c r="K2301" s="34" t="str">
        <f aca="false">IF(D2301="","",IFERROR(INDEX(I_COA!$C$6:$C$265,MATCH(D2301,I_COA!$A$6:$A$265,0)),"AKUN BARU"))</f>
        <v/>
      </c>
      <c r="L2301" s="34" t="str">
        <f aca="false">IF(K2301="LabaRugi",INDEX(I_COA!$D$6:$D$265,MATCH(D2301,I_COA!$A$6:$A$265,0)),"")</f>
        <v/>
      </c>
      <c r="M2301" s="34" t="str">
        <f aca="false">IF(K2301="Neraca",INDEX(I_COA!$E$6:$E$265,MATCH(D2301,I_COA!$A$6:$A$265,0)),"")</f>
        <v/>
      </c>
      <c r="N2301" s="34" t="str">
        <f aca="false">IF(D2301="","",IFERROR(INDEX(I_COA!$G$6:$G$265,MATCH(D2301,I_COA!$A$6:$A$265,0)),"N"))</f>
        <v/>
      </c>
      <c r="O2301" s="11" t="str">
        <f aca="false">IF(N2301="N",ABS(J2301),"")</f>
        <v/>
      </c>
      <c r="P2301" s="18" t="str">
        <f aca="false">IF(N2301="N",B2301&amp;"|"&amp;ROUND(O2301,0),"")</f>
        <v/>
      </c>
      <c r="Q2301" s="18" t="str">
        <f aca="false">IF(N2301&lt;&gt;"Y","",IFERROR(INDEX($D$6:$D$4005,MATCH(B2301&amp;"|"&amp;ROUND(_xlfn.MAXIFS($O$6:$O$4005,$B$6:$B$4005,B2301,$N$6:$N$4005,"N"),0),$P$6:$P$4005,0)),"(tanpa lawan)"))</f>
        <v/>
      </c>
      <c r="R2301" s="44"/>
      <c r="S2301" s="9" t="str">
        <f aca="false">IF(N2301&lt;&gt;"Y","",IF(R2301&lt;&gt;"",R2301,IF(Q2301="(tanpa lawan)","Transfer antar rekening",IFERROR(INDEX(I_COA!$F$6:$F$265,MATCH(Q2301,I_COA!$A$6:$A$265,0)),"?"))))</f>
        <v/>
      </c>
    </row>
    <row r="2302" customFormat="false" ht="15" hidden="false" customHeight="false" outlineLevel="0" collapsed="false">
      <c r="A2302" s="37"/>
      <c r="B2302" s="44"/>
      <c r="C2302" s="44"/>
      <c r="D2302" s="44"/>
      <c r="E2302" s="44"/>
      <c r="F2302" s="44"/>
      <c r="G2302" s="42"/>
      <c r="H2302" s="42"/>
      <c r="I2302" s="44"/>
      <c r="J2302" s="11" t="str">
        <f aca="false">IF(D2302="","",N(G2302)-N(H2302))</f>
        <v/>
      </c>
      <c r="K2302" s="34" t="str">
        <f aca="false">IF(D2302="","",IFERROR(INDEX(I_COA!$C$6:$C$265,MATCH(D2302,I_COA!$A$6:$A$265,0)),"AKUN BARU"))</f>
        <v/>
      </c>
      <c r="L2302" s="34" t="str">
        <f aca="false">IF(K2302="LabaRugi",INDEX(I_COA!$D$6:$D$265,MATCH(D2302,I_COA!$A$6:$A$265,0)),"")</f>
        <v/>
      </c>
      <c r="M2302" s="34" t="str">
        <f aca="false">IF(K2302="Neraca",INDEX(I_COA!$E$6:$E$265,MATCH(D2302,I_COA!$A$6:$A$265,0)),"")</f>
        <v/>
      </c>
      <c r="N2302" s="34" t="str">
        <f aca="false">IF(D2302="","",IFERROR(INDEX(I_COA!$G$6:$G$265,MATCH(D2302,I_COA!$A$6:$A$265,0)),"N"))</f>
        <v/>
      </c>
      <c r="O2302" s="11" t="str">
        <f aca="false">IF(N2302="N",ABS(J2302),"")</f>
        <v/>
      </c>
      <c r="P2302" s="18" t="str">
        <f aca="false">IF(N2302="N",B2302&amp;"|"&amp;ROUND(O2302,0),"")</f>
        <v/>
      </c>
      <c r="Q2302" s="18" t="str">
        <f aca="false">IF(N2302&lt;&gt;"Y","",IFERROR(INDEX($D$6:$D$4005,MATCH(B2302&amp;"|"&amp;ROUND(_xlfn.MAXIFS($O$6:$O$4005,$B$6:$B$4005,B2302,$N$6:$N$4005,"N"),0),$P$6:$P$4005,0)),"(tanpa lawan)"))</f>
        <v/>
      </c>
      <c r="R2302" s="44"/>
      <c r="S2302" s="9" t="str">
        <f aca="false">IF(N2302&lt;&gt;"Y","",IF(R2302&lt;&gt;"",R2302,IF(Q2302="(tanpa lawan)","Transfer antar rekening",IFERROR(INDEX(I_COA!$F$6:$F$265,MATCH(Q2302,I_COA!$A$6:$A$265,0)),"?"))))</f>
        <v/>
      </c>
    </row>
    <row r="2303" customFormat="false" ht="15" hidden="false" customHeight="false" outlineLevel="0" collapsed="false">
      <c r="A2303" s="37"/>
      <c r="B2303" s="44"/>
      <c r="C2303" s="44"/>
      <c r="D2303" s="44"/>
      <c r="E2303" s="44"/>
      <c r="F2303" s="44"/>
      <c r="G2303" s="42"/>
      <c r="H2303" s="42"/>
      <c r="I2303" s="44"/>
      <c r="J2303" s="11" t="str">
        <f aca="false">IF(D2303="","",N(G2303)-N(H2303))</f>
        <v/>
      </c>
      <c r="K2303" s="34" t="str">
        <f aca="false">IF(D2303="","",IFERROR(INDEX(I_COA!$C$6:$C$265,MATCH(D2303,I_COA!$A$6:$A$265,0)),"AKUN BARU"))</f>
        <v/>
      </c>
      <c r="L2303" s="34" t="str">
        <f aca="false">IF(K2303="LabaRugi",INDEX(I_COA!$D$6:$D$265,MATCH(D2303,I_COA!$A$6:$A$265,0)),"")</f>
        <v/>
      </c>
      <c r="M2303" s="34" t="str">
        <f aca="false">IF(K2303="Neraca",INDEX(I_COA!$E$6:$E$265,MATCH(D2303,I_COA!$A$6:$A$265,0)),"")</f>
        <v/>
      </c>
      <c r="N2303" s="34" t="str">
        <f aca="false">IF(D2303="","",IFERROR(INDEX(I_COA!$G$6:$G$265,MATCH(D2303,I_COA!$A$6:$A$265,0)),"N"))</f>
        <v/>
      </c>
      <c r="O2303" s="11" t="str">
        <f aca="false">IF(N2303="N",ABS(J2303),"")</f>
        <v/>
      </c>
      <c r="P2303" s="18" t="str">
        <f aca="false">IF(N2303="N",B2303&amp;"|"&amp;ROUND(O2303,0),"")</f>
        <v/>
      </c>
      <c r="Q2303" s="18" t="str">
        <f aca="false">IF(N2303&lt;&gt;"Y","",IFERROR(INDEX($D$6:$D$4005,MATCH(B2303&amp;"|"&amp;ROUND(_xlfn.MAXIFS($O$6:$O$4005,$B$6:$B$4005,B2303,$N$6:$N$4005,"N"),0),$P$6:$P$4005,0)),"(tanpa lawan)"))</f>
        <v/>
      </c>
      <c r="R2303" s="44"/>
      <c r="S2303" s="9" t="str">
        <f aca="false">IF(N2303&lt;&gt;"Y","",IF(R2303&lt;&gt;"",R2303,IF(Q2303="(tanpa lawan)","Transfer antar rekening",IFERROR(INDEX(I_COA!$F$6:$F$265,MATCH(Q2303,I_COA!$A$6:$A$265,0)),"?"))))</f>
        <v/>
      </c>
    </row>
    <row r="2304" customFormat="false" ht="15" hidden="false" customHeight="false" outlineLevel="0" collapsed="false">
      <c r="A2304" s="37"/>
      <c r="B2304" s="44"/>
      <c r="C2304" s="44"/>
      <c r="D2304" s="44"/>
      <c r="E2304" s="44"/>
      <c r="F2304" s="44"/>
      <c r="G2304" s="42"/>
      <c r="H2304" s="42"/>
      <c r="I2304" s="44"/>
      <c r="J2304" s="11" t="str">
        <f aca="false">IF(D2304="","",N(G2304)-N(H2304))</f>
        <v/>
      </c>
      <c r="K2304" s="34" t="str">
        <f aca="false">IF(D2304="","",IFERROR(INDEX(I_COA!$C$6:$C$265,MATCH(D2304,I_COA!$A$6:$A$265,0)),"AKUN BARU"))</f>
        <v/>
      </c>
      <c r="L2304" s="34" t="str">
        <f aca="false">IF(K2304="LabaRugi",INDEX(I_COA!$D$6:$D$265,MATCH(D2304,I_COA!$A$6:$A$265,0)),"")</f>
        <v/>
      </c>
      <c r="M2304" s="34" t="str">
        <f aca="false">IF(K2304="Neraca",INDEX(I_COA!$E$6:$E$265,MATCH(D2304,I_COA!$A$6:$A$265,0)),"")</f>
        <v/>
      </c>
      <c r="N2304" s="34" t="str">
        <f aca="false">IF(D2304="","",IFERROR(INDEX(I_COA!$G$6:$G$265,MATCH(D2304,I_COA!$A$6:$A$265,0)),"N"))</f>
        <v/>
      </c>
      <c r="O2304" s="11" t="str">
        <f aca="false">IF(N2304="N",ABS(J2304),"")</f>
        <v/>
      </c>
      <c r="P2304" s="18" t="str">
        <f aca="false">IF(N2304="N",B2304&amp;"|"&amp;ROUND(O2304,0),"")</f>
        <v/>
      </c>
      <c r="Q2304" s="18" t="str">
        <f aca="false">IF(N2304&lt;&gt;"Y","",IFERROR(INDEX($D$6:$D$4005,MATCH(B2304&amp;"|"&amp;ROUND(_xlfn.MAXIFS($O$6:$O$4005,$B$6:$B$4005,B2304,$N$6:$N$4005,"N"),0),$P$6:$P$4005,0)),"(tanpa lawan)"))</f>
        <v/>
      </c>
      <c r="R2304" s="44"/>
      <c r="S2304" s="9" t="str">
        <f aca="false">IF(N2304&lt;&gt;"Y","",IF(R2304&lt;&gt;"",R2304,IF(Q2304="(tanpa lawan)","Transfer antar rekening",IFERROR(INDEX(I_COA!$F$6:$F$265,MATCH(Q2304,I_COA!$A$6:$A$265,0)),"?"))))</f>
        <v/>
      </c>
    </row>
    <row r="2305" customFormat="false" ht="15" hidden="false" customHeight="false" outlineLevel="0" collapsed="false">
      <c r="A2305" s="37"/>
      <c r="B2305" s="44"/>
      <c r="C2305" s="44"/>
      <c r="D2305" s="44"/>
      <c r="E2305" s="44"/>
      <c r="F2305" s="44"/>
      <c r="G2305" s="42"/>
      <c r="H2305" s="42"/>
      <c r="I2305" s="44"/>
      <c r="J2305" s="11" t="str">
        <f aca="false">IF(D2305="","",N(G2305)-N(H2305))</f>
        <v/>
      </c>
      <c r="K2305" s="34" t="str">
        <f aca="false">IF(D2305="","",IFERROR(INDEX(I_COA!$C$6:$C$265,MATCH(D2305,I_COA!$A$6:$A$265,0)),"AKUN BARU"))</f>
        <v/>
      </c>
      <c r="L2305" s="34" t="str">
        <f aca="false">IF(K2305="LabaRugi",INDEX(I_COA!$D$6:$D$265,MATCH(D2305,I_COA!$A$6:$A$265,0)),"")</f>
        <v/>
      </c>
      <c r="M2305" s="34" t="str">
        <f aca="false">IF(K2305="Neraca",INDEX(I_COA!$E$6:$E$265,MATCH(D2305,I_COA!$A$6:$A$265,0)),"")</f>
        <v/>
      </c>
      <c r="N2305" s="34" t="str">
        <f aca="false">IF(D2305="","",IFERROR(INDEX(I_COA!$G$6:$G$265,MATCH(D2305,I_COA!$A$6:$A$265,0)),"N"))</f>
        <v/>
      </c>
      <c r="O2305" s="11" t="str">
        <f aca="false">IF(N2305="N",ABS(J2305),"")</f>
        <v/>
      </c>
      <c r="P2305" s="18" t="str">
        <f aca="false">IF(N2305="N",B2305&amp;"|"&amp;ROUND(O2305,0),"")</f>
        <v/>
      </c>
      <c r="Q2305" s="18" t="str">
        <f aca="false">IF(N2305&lt;&gt;"Y","",IFERROR(INDEX($D$6:$D$4005,MATCH(B2305&amp;"|"&amp;ROUND(_xlfn.MAXIFS($O$6:$O$4005,$B$6:$B$4005,B2305,$N$6:$N$4005,"N"),0),$P$6:$P$4005,0)),"(tanpa lawan)"))</f>
        <v/>
      </c>
      <c r="R2305" s="44"/>
      <c r="S2305" s="9" t="str">
        <f aca="false">IF(N2305&lt;&gt;"Y","",IF(R2305&lt;&gt;"",R2305,IF(Q2305="(tanpa lawan)","Transfer antar rekening",IFERROR(INDEX(I_COA!$F$6:$F$265,MATCH(Q2305,I_COA!$A$6:$A$265,0)),"?"))))</f>
        <v/>
      </c>
    </row>
    <row r="2306" customFormat="false" ht="15" hidden="false" customHeight="false" outlineLevel="0" collapsed="false">
      <c r="A2306" s="37"/>
      <c r="B2306" s="44"/>
      <c r="C2306" s="44"/>
      <c r="D2306" s="44"/>
      <c r="E2306" s="44"/>
      <c r="F2306" s="44"/>
      <c r="G2306" s="42"/>
      <c r="H2306" s="42"/>
      <c r="I2306" s="44"/>
      <c r="J2306" s="11" t="str">
        <f aca="false">IF(D2306="","",N(G2306)-N(H2306))</f>
        <v/>
      </c>
      <c r="K2306" s="34" t="str">
        <f aca="false">IF(D2306="","",IFERROR(INDEX(I_COA!$C$6:$C$265,MATCH(D2306,I_COA!$A$6:$A$265,0)),"AKUN BARU"))</f>
        <v/>
      </c>
      <c r="L2306" s="34" t="str">
        <f aca="false">IF(K2306="LabaRugi",INDEX(I_COA!$D$6:$D$265,MATCH(D2306,I_COA!$A$6:$A$265,0)),"")</f>
        <v/>
      </c>
      <c r="M2306" s="34" t="str">
        <f aca="false">IF(K2306="Neraca",INDEX(I_COA!$E$6:$E$265,MATCH(D2306,I_COA!$A$6:$A$265,0)),"")</f>
        <v/>
      </c>
      <c r="N2306" s="34" t="str">
        <f aca="false">IF(D2306="","",IFERROR(INDEX(I_COA!$G$6:$G$265,MATCH(D2306,I_COA!$A$6:$A$265,0)),"N"))</f>
        <v/>
      </c>
      <c r="O2306" s="11" t="str">
        <f aca="false">IF(N2306="N",ABS(J2306),"")</f>
        <v/>
      </c>
      <c r="P2306" s="18" t="str">
        <f aca="false">IF(N2306="N",B2306&amp;"|"&amp;ROUND(O2306,0),"")</f>
        <v/>
      </c>
      <c r="Q2306" s="18" t="str">
        <f aca="false">IF(N2306&lt;&gt;"Y","",IFERROR(INDEX($D$6:$D$4005,MATCH(B2306&amp;"|"&amp;ROUND(_xlfn.MAXIFS($O$6:$O$4005,$B$6:$B$4005,B2306,$N$6:$N$4005,"N"),0),$P$6:$P$4005,0)),"(tanpa lawan)"))</f>
        <v/>
      </c>
      <c r="R2306" s="44"/>
      <c r="S2306" s="9" t="str">
        <f aca="false">IF(N2306&lt;&gt;"Y","",IF(R2306&lt;&gt;"",R2306,IF(Q2306="(tanpa lawan)","Transfer antar rekening",IFERROR(INDEX(I_COA!$F$6:$F$265,MATCH(Q2306,I_COA!$A$6:$A$265,0)),"?"))))</f>
        <v/>
      </c>
    </row>
    <row r="2307" customFormat="false" ht="15" hidden="false" customHeight="false" outlineLevel="0" collapsed="false">
      <c r="A2307" s="37"/>
      <c r="B2307" s="44"/>
      <c r="C2307" s="44"/>
      <c r="D2307" s="44"/>
      <c r="E2307" s="44"/>
      <c r="F2307" s="44"/>
      <c r="G2307" s="42"/>
      <c r="H2307" s="42"/>
      <c r="I2307" s="44"/>
      <c r="J2307" s="11" t="str">
        <f aca="false">IF(D2307="","",N(G2307)-N(H2307))</f>
        <v/>
      </c>
      <c r="K2307" s="34" t="str">
        <f aca="false">IF(D2307="","",IFERROR(INDEX(I_COA!$C$6:$C$265,MATCH(D2307,I_COA!$A$6:$A$265,0)),"AKUN BARU"))</f>
        <v/>
      </c>
      <c r="L2307" s="34" t="str">
        <f aca="false">IF(K2307="LabaRugi",INDEX(I_COA!$D$6:$D$265,MATCH(D2307,I_COA!$A$6:$A$265,0)),"")</f>
        <v/>
      </c>
      <c r="M2307" s="34" t="str">
        <f aca="false">IF(K2307="Neraca",INDEX(I_COA!$E$6:$E$265,MATCH(D2307,I_COA!$A$6:$A$265,0)),"")</f>
        <v/>
      </c>
      <c r="N2307" s="34" t="str">
        <f aca="false">IF(D2307="","",IFERROR(INDEX(I_COA!$G$6:$G$265,MATCH(D2307,I_COA!$A$6:$A$265,0)),"N"))</f>
        <v/>
      </c>
      <c r="O2307" s="11" t="str">
        <f aca="false">IF(N2307="N",ABS(J2307),"")</f>
        <v/>
      </c>
      <c r="P2307" s="18" t="str">
        <f aca="false">IF(N2307="N",B2307&amp;"|"&amp;ROUND(O2307,0),"")</f>
        <v/>
      </c>
      <c r="Q2307" s="18" t="str">
        <f aca="false">IF(N2307&lt;&gt;"Y","",IFERROR(INDEX($D$6:$D$4005,MATCH(B2307&amp;"|"&amp;ROUND(_xlfn.MAXIFS($O$6:$O$4005,$B$6:$B$4005,B2307,$N$6:$N$4005,"N"),0),$P$6:$P$4005,0)),"(tanpa lawan)"))</f>
        <v/>
      </c>
      <c r="R2307" s="44"/>
      <c r="S2307" s="9" t="str">
        <f aca="false">IF(N2307&lt;&gt;"Y","",IF(R2307&lt;&gt;"",R2307,IF(Q2307="(tanpa lawan)","Transfer antar rekening",IFERROR(INDEX(I_COA!$F$6:$F$265,MATCH(Q2307,I_COA!$A$6:$A$265,0)),"?"))))</f>
        <v/>
      </c>
    </row>
    <row r="2308" customFormat="false" ht="15" hidden="false" customHeight="false" outlineLevel="0" collapsed="false">
      <c r="A2308" s="37"/>
      <c r="B2308" s="44"/>
      <c r="C2308" s="44"/>
      <c r="D2308" s="44"/>
      <c r="E2308" s="44"/>
      <c r="F2308" s="44"/>
      <c r="G2308" s="42"/>
      <c r="H2308" s="42"/>
      <c r="I2308" s="44"/>
      <c r="J2308" s="11" t="str">
        <f aca="false">IF(D2308="","",N(G2308)-N(H2308))</f>
        <v/>
      </c>
      <c r="K2308" s="34" t="str">
        <f aca="false">IF(D2308="","",IFERROR(INDEX(I_COA!$C$6:$C$265,MATCH(D2308,I_COA!$A$6:$A$265,0)),"AKUN BARU"))</f>
        <v/>
      </c>
      <c r="L2308" s="34" t="str">
        <f aca="false">IF(K2308="LabaRugi",INDEX(I_COA!$D$6:$D$265,MATCH(D2308,I_COA!$A$6:$A$265,0)),"")</f>
        <v/>
      </c>
      <c r="M2308" s="34" t="str">
        <f aca="false">IF(K2308="Neraca",INDEX(I_COA!$E$6:$E$265,MATCH(D2308,I_COA!$A$6:$A$265,0)),"")</f>
        <v/>
      </c>
      <c r="N2308" s="34" t="str">
        <f aca="false">IF(D2308="","",IFERROR(INDEX(I_COA!$G$6:$G$265,MATCH(D2308,I_COA!$A$6:$A$265,0)),"N"))</f>
        <v/>
      </c>
      <c r="O2308" s="11" t="str">
        <f aca="false">IF(N2308="N",ABS(J2308),"")</f>
        <v/>
      </c>
      <c r="P2308" s="18" t="str">
        <f aca="false">IF(N2308="N",B2308&amp;"|"&amp;ROUND(O2308,0),"")</f>
        <v/>
      </c>
      <c r="Q2308" s="18" t="str">
        <f aca="false">IF(N2308&lt;&gt;"Y","",IFERROR(INDEX($D$6:$D$4005,MATCH(B2308&amp;"|"&amp;ROUND(_xlfn.MAXIFS($O$6:$O$4005,$B$6:$B$4005,B2308,$N$6:$N$4005,"N"),0),$P$6:$P$4005,0)),"(tanpa lawan)"))</f>
        <v/>
      </c>
      <c r="R2308" s="44"/>
      <c r="S2308" s="9" t="str">
        <f aca="false">IF(N2308&lt;&gt;"Y","",IF(R2308&lt;&gt;"",R2308,IF(Q2308="(tanpa lawan)","Transfer antar rekening",IFERROR(INDEX(I_COA!$F$6:$F$265,MATCH(Q2308,I_COA!$A$6:$A$265,0)),"?"))))</f>
        <v/>
      </c>
    </row>
    <row r="2309" customFormat="false" ht="15" hidden="false" customHeight="false" outlineLevel="0" collapsed="false">
      <c r="A2309" s="37"/>
      <c r="B2309" s="44"/>
      <c r="C2309" s="44"/>
      <c r="D2309" s="44"/>
      <c r="E2309" s="44"/>
      <c r="F2309" s="44"/>
      <c r="G2309" s="42"/>
      <c r="H2309" s="42"/>
      <c r="I2309" s="44"/>
      <c r="J2309" s="11" t="str">
        <f aca="false">IF(D2309="","",N(G2309)-N(H2309))</f>
        <v/>
      </c>
      <c r="K2309" s="34" t="str">
        <f aca="false">IF(D2309="","",IFERROR(INDEX(I_COA!$C$6:$C$265,MATCH(D2309,I_COA!$A$6:$A$265,0)),"AKUN BARU"))</f>
        <v/>
      </c>
      <c r="L2309" s="34" t="str">
        <f aca="false">IF(K2309="LabaRugi",INDEX(I_COA!$D$6:$D$265,MATCH(D2309,I_COA!$A$6:$A$265,0)),"")</f>
        <v/>
      </c>
      <c r="M2309" s="34" t="str">
        <f aca="false">IF(K2309="Neraca",INDEX(I_COA!$E$6:$E$265,MATCH(D2309,I_COA!$A$6:$A$265,0)),"")</f>
        <v/>
      </c>
      <c r="N2309" s="34" t="str">
        <f aca="false">IF(D2309="","",IFERROR(INDEX(I_COA!$G$6:$G$265,MATCH(D2309,I_COA!$A$6:$A$265,0)),"N"))</f>
        <v/>
      </c>
      <c r="O2309" s="11" t="str">
        <f aca="false">IF(N2309="N",ABS(J2309),"")</f>
        <v/>
      </c>
      <c r="P2309" s="18" t="str">
        <f aca="false">IF(N2309="N",B2309&amp;"|"&amp;ROUND(O2309,0),"")</f>
        <v/>
      </c>
      <c r="Q2309" s="18" t="str">
        <f aca="false">IF(N2309&lt;&gt;"Y","",IFERROR(INDEX($D$6:$D$4005,MATCH(B2309&amp;"|"&amp;ROUND(_xlfn.MAXIFS($O$6:$O$4005,$B$6:$B$4005,B2309,$N$6:$N$4005,"N"),0),$P$6:$P$4005,0)),"(tanpa lawan)"))</f>
        <v/>
      </c>
      <c r="R2309" s="44"/>
      <c r="S2309" s="9" t="str">
        <f aca="false">IF(N2309&lt;&gt;"Y","",IF(R2309&lt;&gt;"",R2309,IF(Q2309="(tanpa lawan)","Transfer antar rekening",IFERROR(INDEX(I_COA!$F$6:$F$265,MATCH(Q2309,I_COA!$A$6:$A$265,0)),"?"))))</f>
        <v/>
      </c>
    </row>
    <row r="2310" customFormat="false" ht="15" hidden="false" customHeight="false" outlineLevel="0" collapsed="false">
      <c r="A2310" s="37"/>
      <c r="B2310" s="44"/>
      <c r="C2310" s="44"/>
      <c r="D2310" s="44"/>
      <c r="E2310" s="44"/>
      <c r="F2310" s="44"/>
      <c r="G2310" s="42"/>
      <c r="H2310" s="42"/>
      <c r="I2310" s="44"/>
      <c r="J2310" s="11" t="str">
        <f aca="false">IF(D2310="","",N(G2310)-N(H2310))</f>
        <v/>
      </c>
      <c r="K2310" s="34" t="str">
        <f aca="false">IF(D2310="","",IFERROR(INDEX(I_COA!$C$6:$C$265,MATCH(D2310,I_COA!$A$6:$A$265,0)),"AKUN BARU"))</f>
        <v/>
      </c>
      <c r="L2310" s="34" t="str">
        <f aca="false">IF(K2310="LabaRugi",INDEX(I_COA!$D$6:$D$265,MATCH(D2310,I_COA!$A$6:$A$265,0)),"")</f>
        <v/>
      </c>
      <c r="M2310" s="34" t="str">
        <f aca="false">IF(K2310="Neraca",INDEX(I_COA!$E$6:$E$265,MATCH(D2310,I_COA!$A$6:$A$265,0)),"")</f>
        <v/>
      </c>
      <c r="N2310" s="34" t="str">
        <f aca="false">IF(D2310="","",IFERROR(INDEX(I_COA!$G$6:$G$265,MATCH(D2310,I_COA!$A$6:$A$265,0)),"N"))</f>
        <v/>
      </c>
      <c r="O2310" s="11" t="str">
        <f aca="false">IF(N2310="N",ABS(J2310),"")</f>
        <v/>
      </c>
      <c r="P2310" s="18" t="str">
        <f aca="false">IF(N2310="N",B2310&amp;"|"&amp;ROUND(O2310,0),"")</f>
        <v/>
      </c>
      <c r="Q2310" s="18" t="str">
        <f aca="false">IF(N2310&lt;&gt;"Y","",IFERROR(INDEX($D$6:$D$4005,MATCH(B2310&amp;"|"&amp;ROUND(_xlfn.MAXIFS($O$6:$O$4005,$B$6:$B$4005,B2310,$N$6:$N$4005,"N"),0),$P$6:$P$4005,0)),"(tanpa lawan)"))</f>
        <v/>
      </c>
      <c r="R2310" s="44"/>
      <c r="S2310" s="9" t="str">
        <f aca="false">IF(N2310&lt;&gt;"Y","",IF(R2310&lt;&gt;"",R2310,IF(Q2310="(tanpa lawan)","Transfer antar rekening",IFERROR(INDEX(I_COA!$F$6:$F$265,MATCH(Q2310,I_COA!$A$6:$A$265,0)),"?"))))</f>
        <v/>
      </c>
    </row>
    <row r="2311" customFormat="false" ht="15" hidden="false" customHeight="false" outlineLevel="0" collapsed="false">
      <c r="A2311" s="37"/>
      <c r="B2311" s="44"/>
      <c r="C2311" s="44"/>
      <c r="D2311" s="44"/>
      <c r="E2311" s="44"/>
      <c r="F2311" s="44"/>
      <c r="G2311" s="42"/>
      <c r="H2311" s="42"/>
      <c r="I2311" s="44"/>
      <c r="J2311" s="11" t="str">
        <f aca="false">IF(D2311="","",N(G2311)-N(H2311))</f>
        <v/>
      </c>
      <c r="K2311" s="34" t="str">
        <f aca="false">IF(D2311="","",IFERROR(INDEX(I_COA!$C$6:$C$265,MATCH(D2311,I_COA!$A$6:$A$265,0)),"AKUN BARU"))</f>
        <v/>
      </c>
      <c r="L2311" s="34" t="str">
        <f aca="false">IF(K2311="LabaRugi",INDEX(I_COA!$D$6:$D$265,MATCH(D2311,I_COA!$A$6:$A$265,0)),"")</f>
        <v/>
      </c>
      <c r="M2311" s="34" t="str">
        <f aca="false">IF(K2311="Neraca",INDEX(I_COA!$E$6:$E$265,MATCH(D2311,I_COA!$A$6:$A$265,0)),"")</f>
        <v/>
      </c>
      <c r="N2311" s="34" t="str">
        <f aca="false">IF(D2311="","",IFERROR(INDEX(I_COA!$G$6:$G$265,MATCH(D2311,I_COA!$A$6:$A$265,0)),"N"))</f>
        <v/>
      </c>
      <c r="O2311" s="11" t="str">
        <f aca="false">IF(N2311="N",ABS(J2311),"")</f>
        <v/>
      </c>
      <c r="P2311" s="18" t="str">
        <f aca="false">IF(N2311="N",B2311&amp;"|"&amp;ROUND(O2311,0),"")</f>
        <v/>
      </c>
      <c r="Q2311" s="18" t="str">
        <f aca="false">IF(N2311&lt;&gt;"Y","",IFERROR(INDEX($D$6:$D$4005,MATCH(B2311&amp;"|"&amp;ROUND(_xlfn.MAXIFS($O$6:$O$4005,$B$6:$B$4005,B2311,$N$6:$N$4005,"N"),0),$P$6:$P$4005,0)),"(tanpa lawan)"))</f>
        <v/>
      </c>
      <c r="R2311" s="44"/>
      <c r="S2311" s="9" t="str">
        <f aca="false">IF(N2311&lt;&gt;"Y","",IF(R2311&lt;&gt;"",R2311,IF(Q2311="(tanpa lawan)","Transfer antar rekening",IFERROR(INDEX(I_COA!$F$6:$F$265,MATCH(Q2311,I_COA!$A$6:$A$265,0)),"?"))))</f>
        <v/>
      </c>
    </row>
    <row r="2312" customFormat="false" ht="15" hidden="false" customHeight="false" outlineLevel="0" collapsed="false">
      <c r="A2312" s="37"/>
      <c r="B2312" s="44"/>
      <c r="C2312" s="44"/>
      <c r="D2312" s="44"/>
      <c r="E2312" s="44"/>
      <c r="F2312" s="44"/>
      <c r="G2312" s="42"/>
      <c r="H2312" s="42"/>
      <c r="I2312" s="44"/>
      <c r="J2312" s="11" t="str">
        <f aca="false">IF(D2312="","",N(G2312)-N(H2312))</f>
        <v/>
      </c>
      <c r="K2312" s="34" t="str">
        <f aca="false">IF(D2312="","",IFERROR(INDEX(I_COA!$C$6:$C$265,MATCH(D2312,I_COA!$A$6:$A$265,0)),"AKUN BARU"))</f>
        <v/>
      </c>
      <c r="L2312" s="34" t="str">
        <f aca="false">IF(K2312="LabaRugi",INDEX(I_COA!$D$6:$D$265,MATCH(D2312,I_COA!$A$6:$A$265,0)),"")</f>
        <v/>
      </c>
      <c r="M2312" s="34" t="str">
        <f aca="false">IF(K2312="Neraca",INDEX(I_COA!$E$6:$E$265,MATCH(D2312,I_COA!$A$6:$A$265,0)),"")</f>
        <v/>
      </c>
      <c r="N2312" s="34" t="str">
        <f aca="false">IF(D2312="","",IFERROR(INDEX(I_COA!$G$6:$G$265,MATCH(D2312,I_COA!$A$6:$A$265,0)),"N"))</f>
        <v/>
      </c>
      <c r="O2312" s="11" t="str">
        <f aca="false">IF(N2312="N",ABS(J2312),"")</f>
        <v/>
      </c>
      <c r="P2312" s="18" t="str">
        <f aca="false">IF(N2312="N",B2312&amp;"|"&amp;ROUND(O2312,0),"")</f>
        <v/>
      </c>
      <c r="Q2312" s="18" t="str">
        <f aca="false">IF(N2312&lt;&gt;"Y","",IFERROR(INDEX($D$6:$D$4005,MATCH(B2312&amp;"|"&amp;ROUND(_xlfn.MAXIFS($O$6:$O$4005,$B$6:$B$4005,B2312,$N$6:$N$4005,"N"),0),$P$6:$P$4005,0)),"(tanpa lawan)"))</f>
        <v/>
      </c>
      <c r="R2312" s="44"/>
      <c r="S2312" s="9" t="str">
        <f aca="false">IF(N2312&lt;&gt;"Y","",IF(R2312&lt;&gt;"",R2312,IF(Q2312="(tanpa lawan)","Transfer antar rekening",IFERROR(INDEX(I_COA!$F$6:$F$265,MATCH(Q2312,I_COA!$A$6:$A$265,0)),"?"))))</f>
        <v/>
      </c>
    </row>
    <row r="2313" customFormat="false" ht="15" hidden="false" customHeight="false" outlineLevel="0" collapsed="false">
      <c r="A2313" s="37"/>
      <c r="B2313" s="44"/>
      <c r="C2313" s="44"/>
      <c r="D2313" s="44"/>
      <c r="E2313" s="44"/>
      <c r="F2313" s="44"/>
      <c r="G2313" s="42"/>
      <c r="H2313" s="42"/>
      <c r="I2313" s="44"/>
      <c r="J2313" s="11" t="str">
        <f aca="false">IF(D2313="","",N(G2313)-N(H2313))</f>
        <v/>
      </c>
      <c r="K2313" s="34" t="str">
        <f aca="false">IF(D2313="","",IFERROR(INDEX(I_COA!$C$6:$C$265,MATCH(D2313,I_COA!$A$6:$A$265,0)),"AKUN BARU"))</f>
        <v/>
      </c>
      <c r="L2313" s="34" t="str">
        <f aca="false">IF(K2313="LabaRugi",INDEX(I_COA!$D$6:$D$265,MATCH(D2313,I_COA!$A$6:$A$265,0)),"")</f>
        <v/>
      </c>
      <c r="M2313" s="34" t="str">
        <f aca="false">IF(K2313="Neraca",INDEX(I_COA!$E$6:$E$265,MATCH(D2313,I_COA!$A$6:$A$265,0)),"")</f>
        <v/>
      </c>
      <c r="N2313" s="34" t="str">
        <f aca="false">IF(D2313="","",IFERROR(INDEX(I_COA!$G$6:$G$265,MATCH(D2313,I_COA!$A$6:$A$265,0)),"N"))</f>
        <v/>
      </c>
      <c r="O2313" s="11" t="str">
        <f aca="false">IF(N2313="N",ABS(J2313),"")</f>
        <v/>
      </c>
      <c r="P2313" s="18" t="str">
        <f aca="false">IF(N2313="N",B2313&amp;"|"&amp;ROUND(O2313,0),"")</f>
        <v/>
      </c>
      <c r="Q2313" s="18" t="str">
        <f aca="false">IF(N2313&lt;&gt;"Y","",IFERROR(INDEX($D$6:$D$4005,MATCH(B2313&amp;"|"&amp;ROUND(_xlfn.MAXIFS($O$6:$O$4005,$B$6:$B$4005,B2313,$N$6:$N$4005,"N"),0),$P$6:$P$4005,0)),"(tanpa lawan)"))</f>
        <v/>
      </c>
      <c r="R2313" s="44"/>
      <c r="S2313" s="9" t="str">
        <f aca="false">IF(N2313&lt;&gt;"Y","",IF(R2313&lt;&gt;"",R2313,IF(Q2313="(tanpa lawan)","Transfer antar rekening",IFERROR(INDEX(I_COA!$F$6:$F$265,MATCH(Q2313,I_COA!$A$6:$A$265,0)),"?"))))</f>
        <v/>
      </c>
    </row>
    <row r="2314" customFormat="false" ht="15" hidden="false" customHeight="false" outlineLevel="0" collapsed="false">
      <c r="A2314" s="37"/>
      <c r="B2314" s="44"/>
      <c r="C2314" s="44"/>
      <c r="D2314" s="44"/>
      <c r="E2314" s="44"/>
      <c r="F2314" s="44"/>
      <c r="G2314" s="42"/>
      <c r="H2314" s="42"/>
      <c r="I2314" s="44"/>
      <c r="J2314" s="11" t="str">
        <f aca="false">IF(D2314="","",N(G2314)-N(H2314))</f>
        <v/>
      </c>
      <c r="K2314" s="34" t="str">
        <f aca="false">IF(D2314="","",IFERROR(INDEX(I_COA!$C$6:$C$265,MATCH(D2314,I_COA!$A$6:$A$265,0)),"AKUN BARU"))</f>
        <v/>
      </c>
      <c r="L2314" s="34" t="str">
        <f aca="false">IF(K2314="LabaRugi",INDEX(I_COA!$D$6:$D$265,MATCH(D2314,I_COA!$A$6:$A$265,0)),"")</f>
        <v/>
      </c>
      <c r="M2314" s="34" t="str">
        <f aca="false">IF(K2314="Neraca",INDEX(I_COA!$E$6:$E$265,MATCH(D2314,I_COA!$A$6:$A$265,0)),"")</f>
        <v/>
      </c>
      <c r="N2314" s="34" t="str">
        <f aca="false">IF(D2314="","",IFERROR(INDEX(I_COA!$G$6:$G$265,MATCH(D2314,I_COA!$A$6:$A$265,0)),"N"))</f>
        <v/>
      </c>
      <c r="O2314" s="11" t="str">
        <f aca="false">IF(N2314="N",ABS(J2314),"")</f>
        <v/>
      </c>
      <c r="P2314" s="18" t="str">
        <f aca="false">IF(N2314="N",B2314&amp;"|"&amp;ROUND(O2314,0),"")</f>
        <v/>
      </c>
      <c r="Q2314" s="18" t="str">
        <f aca="false">IF(N2314&lt;&gt;"Y","",IFERROR(INDEX($D$6:$D$4005,MATCH(B2314&amp;"|"&amp;ROUND(_xlfn.MAXIFS($O$6:$O$4005,$B$6:$B$4005,B2314,$N$6:$N$4005,"N"),0),$P$6:$P$4005,0)),"(tanpa lawan)"))</f>
        <v/>
      </c>
      <c r="R2314" s="44"/>
      <c r="S2314" s="9" t="str">
        <f aca="false">IF(N2314&lt;&gt;"Y","",IF(R2314&lt;&gt;"",R2314,IF(Q2314="(tanpa lawan)","Transfer antar rekening",IFERROR(INDEX(I_COA!$F$6:$F$265,MATCH(Q2314,I_COA!$A$6:$A$265,0)),"?"))))</f>
        <v/>
      </c>
    </row>
    <row r="2315" customFormat="false" ht="15" hidden="false" customHeight="false" outlineLevel="0" collapsed="false">
      <c r="A2315" s="37"/>
      <c r="B2315" s="44"/>
      <c r="C2315" s="44"/>
      <c r="D2315" s="44"/>
      <c r="E2315" s="44"/>
      <c r="F2315" s="44"/>
      <c r="G2315" s="42"/>
      <c r="H2315" s="42"/>
      <c r="I2315" s="44"/>
      <c r="J2315" s="11" t="str">
        <f aca="false">IF(D2315="","",N(G2315)-N(H2315))</f>
        <v/>
      </c>
      <c r="K2315" s="34" t="str">
        <f aca="false">IF(D2315="","",IFERROR(INDEX(I_COA!$C$6:$C$265,MATCH(D2315,I_COA!$A$6:$A$265,0)),"AKUN BARU"))</f>
        <v/>
      </c>
      <c r="L2315" s="34" t="str">
        <f aca="false">IF(K2315="LabaRugi",INDEX(I_COA!$D$6:$D$265,MATCH(D2315,I_COA!$A$6:$A$265,0)),"")</f>
        <v/>
      </c>
      <c r="M2315" s="34" t="str">
        <f aca="false">IF(K2315="Neraca",INDEX(I_COA!$E$6:$E$265,MATCH(D2315,I_COA!$A$6:$A$265,0)),"")</f>
        <v/>
      </c>
      <c r="N2315" s="34" t="str">
        <f aca="false">IF(D2315="","",IFERROR(INDEX(I_COA!$G$6:$G$265,MATCH(D2315,I_COA!$A$6:$A$265,0)),"N"))</f>
        <v/>
      </c>
      <c r="O2315" s="11" t="str">
        <f aca="false">IF(N2315="N",ABS(J2315),"")</f>
        <v/>
      </c>
      <c r="P2315" s="18" t="str">
        <f aca="false">IF(N2315="N",B2315&amp;"|"&amp;ROUND(O2315,0),"")</f>
        <v/>
      </c>
      <c r="Q2315" s="18" t="str">
        <f aca="false">IF(N2315&lt;&gt;"Y","",IFERROR(INDEX($D$6:$D$4005,MATCH(B2315&amp;"|"&amp;ROUND(_xlfn.MAXIFS($O$6:$O$4005,$B$6:$B$4005,B2315,$N$6:$N$4005,"N"),0),$P$6:$P$4005,0)),"(tanpa lawan)"))</f>
        <v/>
      </c>
      <c r="R2315" s="44"/>
      <c r="S2315" s="9" t="str">
        <f aca="false">IF(N2315&lt;&gt;"Y","",IF(R2315&lt;&gt;"",R2315,IF(Q2315="(tanpa lawan)","Transfer antar rekening",IFERROR(INDEX(I_COA!$F$6:$F$265,MATCH(Q2315,I_COA!$A$6:$A$265,0)),"?"))))</f>
        <v/>
      </c>
    </row>
    <row r="2316" customFormat="false" ht="15" hidden="false" customHeight="false" outlineLevel="0" collapsed="false">
      <c r="A2316" s="37"/>
      <c r="B2316" s="44"/>
      <c r="C2316" s="44"/>
      <c r="D2316" s="44"/>
      <c r="E2316" s="44"/>
      <c r="F2316" s="44"/>
      <c r="G2316" s="42"/>
      <c r="H2316" s="42"/>
      <c r="I2316" s="44"/>
      <c r="J2316" s="11" t="str">
        <f aca="false">IF(D2316="","",N(G2316)-N(H2316))</f>
        <v/>
      </c>
      <c r="K2316" s="34" t="str">
        <f aca="false">IF(D2316="","",IFERROR(INDEX(I_COA!$C$6:$C$265,MATCH(D2316,I_COA!$A$6:$A$265,0)),"AKUN BARU"))</f>
        <v/>
      </c>
      <c r="L2316" s="34" t="str">
        <f aca="false">IF(K2316="LabaRugi",INDEX(I_COA!$D$6:$D$265,MATCH(D2316,I_COA!$A$6:$A$265,0)),"")</f>
        <v/>
      </c>
      <c r="M2316" s="34" t="str">
        <f aca="false">IF(K2316="Neraca",INDEX(I_COA!$E$6:$E$265,MATCH(D2316,I_COA!$A$6:$A$265,0)),"")</f>
        <v/>
      </c>
      <c r="N2316" s="34" t="str">
        <f aca="false">IF(D2316="","",IFERROR(INDEX(I_COA!$G$6:$G$265,MATCH(D2316,I_COA!$A$6:$A$265,0)),"N"))</f>
        <v/>
      </c>
      <c r="O2316" s="11" t="str">
        <f aca="false">IF(N2316="N",ABS(J2316),"")</f>
        <v/>
      </c>
      <c r="P2316" s="18" t="str">
        <f aca="false">IF(N2316="N",B2316&amp;"|"&amp;ROUND(O2316,0),"")</f>
        <v/>
      </c>
      <c r="Q2316" s="18" t="str">
        <f aca="false">IF(N2316&lt;&gt;"Y","",IFERROR(INDEX($D$6:$D$4005,MATCH(B2316&amp;"|"&amp;ROUND(_xlfn.MAXIFS($O$6:$O$4005,$B$6:$B$4005,B2316,$N$6:$N$4005,"N"),0),$P$6:$P$4005,0)),"(tanpa lawan)"))</f>
        <v/>
      </c>
      <c r="R2316" s="44"/>
      <c r="S2316" s="9" t="str">
        <f aca="false">IF(N2316&lt;&gt;"Y","",IF(R2316&lt;&gt;"",R2316,IF(Q2316="(tanpa lawan)","Transfer antar rekening",IFERROR(INDEX(I_COA!$F$6:$F$265,MATCH(Q2316,I_COA!$A$6:$A$265,0)),"?"))))</f>
        <v/>
      </c>
    </row>
    <row r="2317" customFormat="false" ht="15" hidden="false" customHeight="false" outlineLevel="0" collapsed="false">
      <c r="A2317" s="37"/>
      <c r="B2317" s="44"/>
      <c r="C2317" s="44"/>
      <c r="D2317" s="44"/>
      <c r="E2317" s="44"/>
      <c r="F2317" s="44"/>
      <c r="G2317" s="42"/>
      <c r="H2317" s="42"/>
      <c r="I2317" s="44"/>
      <c r="J2317" s="11" t="str">
        <f aca="false">IF(D2317="","",N(G2317)-N(H2317))</f>
        <v/>
      </c>
      <c r="K2317" s="34" t="str">
        <f aca="false">IF(D2317="","",IFERROR(INDEX(I_COA!$C$6:$C$265,MATCH(D2317,I_COA!$A$6:$A$265,0)),"AKUN BARU"))</f>
        <v/>
      </c>
      <c r="L2317" s="34" t="str">
        <f aca="false">IF(K2317="LabaRugi",INDEX(I_COA!$D$6:$D$265,MATCH(D2317,I_COA!$A$6:$A$265,0)),"")</f>
        <v/>
      </c>
      <c r="M2317" s="34" t="str">
        <f aca="false">IF(K2317="Neraca",INDEX(I_COA!$E$6:$E$265,MATCH(D2317,I_COA!$A$6:$A$265,0)),"")</f>
        <v/>
      </c>
      <c r="N2317" s="34" t="str">
        <f aca="false">IF(D2317="","",IFERROR(INDEX(I_COA!$G$6:$G$265,MATCH(D2317,I_COA!$A$6:$A$265,0)),"N"))</f>
        <v/>
      </c>
      <c r="O2317" s="11" t="str">
        <f aca="false">IF(N2317="N",ABS(J2317),"")</f>
        <v/>
      </c>
      <c r="P2317" s="18" t="str">
        <f aca="false">IF(N2317="N",B2317&amp;"|"&amp;ROUND(O2317,0),"")</f>
        <v/>
      </c>
      <c r="Q2317" s="18" t="str">
        <f aca="false">IF(N2317&lt;&gt;"Y","",IFERROR(INDEX($D$6:$D$4005,MATCH(B2317&amp;"|"&amp;ROUND(_xlfn.MAXIFS($O$6:$O$4005,$B$6:$B$4005,B2317,$N$6:$N$4005,"N"),0),$P$6:$P$4005,0)),"(tanpa lawan)"))</f>
        <v/>
      </c>
      <c r="R2317" s="44"/>
      <c r="S2317" s="9" t="str">
        <f aca="false">IF(N2317&lt;&gt;"Y","",IF(R2317&lt;&gt;"",R2317,IF(Q2317="(tanpa lawan)","Transfer antar rekening",IFERROR(INDEX(I_COA!$F$6:$F$265,MATCH(Q2317,I_COA!$A$6:$A$265,0)),"?"))))</f>
        <v/>
      </c>
    </row>
    <row r="2318" customFormat="false" ht="15" hidden="false" customHeight="false" outlineLevel="0" collapsed="false">
      <c r="A2318" s="37"/>
      <c r="B2318" s="44"/>
      <c r="C2318" s="44"/>
      <c r="D2318" s="44"/>
      <c r="E2318" s="44"/>
      <c r="F2318" s="44"/>
      <c r="G2318" s="42"/>
      <c r="H2318" s="42"/>
      <c r="I2318" s="44"/>
      <c r="J2318" s="11" t="str">
        <f aca="false">IF(D2318="","",N(G2318)-N(H2318))</f>
        <v/>
      </c>
      <c r="K2318" s="34" t="str">
        <f aca="false">IF(D2318="","",IFERROR(INDEX(I_COA!$C$6:$C$265,MATCH(D2318,I_COA!$A$6:$A$265,0)),"AKUN BARU"))</f>
        <v/>
      </c>
      <c r="L2318" s="34" t="str">
        <f aca="false">IF(K2318="LabaRugi",INDEX(I_COA!$D$6:$D$265,MATCH(D2318,I_COA!$A$6:$A$265,0)),"")</f>
        <v/>
      </c>
      <c r="M2318" s="34" t="str">
        <f aca="false">IF(K2318="Neraca",INDEX(I_COA!$E$6:$E$265,MATCH(D2318,I_COA!$A$6:$A$265,0)),"")</f>
        <v/>
      </c>
      <c r="N2318" s="34" t="str">
        <f aca="false">IF(D2318="","",IFERROR(INDEX(I_COA!$G$6:$G$265,MATCH(D2318,I_COA!$A$6:$A$265,0)),"N"))</f>
        <v/>
      </c>
      <c r="O2318" s="11" t="str">
        <f aca="false">IF(N2318="N",ABS(J2318),"")</f>
        <v/>
      </c>
      <c r="P2318" s="18" t="str">
        <f aca="false">IF(N2318="N",B2318&amp;"|"&amp;ROUND(O2318,0),"")</f>
        <v/>
      </c>
      <c r="Q2318" s="18" t="str">
        <f aca="false">IF(N2318&lt;&gt;"Y","",IFERROR(INDEX($D$6:$D$4005,MATCH(B2318&amp;"|"&amp;ROUND(_xlfn.MAXIFS($O$6:$O$4005,$B$6:$B$4005,B2318,$N$6:$N$4005,"N"),0),$P$6:$P$4005,0)),"(tanpa lawan)"))</f>
        <v/>
      </c>
      <c r="R2318" s="44"/>
      <c r="S2318" s="9" t="str">
        <f aca="false">IF(N2318&lt;&gt;"Y","",IF(R2318&lt;&gt;"",R2318,IF(Q2318="(tanpa lawan)","Transfer antar rekening",IFERROR(INDEX(I_COA!$F$6:$F$265,MATCH(Q2318,I_COA!$A$6:$A$265,0)),"?"))))</f>
        <v/>
      </c>
    </row>
    <row r="2319" customFormat="false" ht="15" hidden="false" customHeight="false" outlineLevel="0" collapsed="false">
      <c r="A2319" s="37"/>
      <c r="B2319" s="44"/>
      <c r="C2319" s="44"/>
      <c r="D2319" s="44"/>
      <c r="E2319" s="44"/>
      <c r="F2319" s="44"/>
      <c r="G2319" s="42"/>
      <c r="H2319" s="42"/>
      <c r="I2319" s="44"/>
      <c r="J2319" s="11" t="str">
        <f aca="false">IF(D2319="","",N(G2319)-N(H2319))</f>
        <v/>
      </c>
      <c r="K2319" s="34" t="str">
        <f aca="false">IF(D2319="","",IFERROR(INDEX(I_COA!$C$6:$C$265,MATCH(D2319,I_COA!$A$6:$A$265,0)),"AKUN BARU"))</f>
        <v/>
      </c>
      <c r="L2319" s="34" t="str">
        <f aca="false">IF(K2319="LabaRugi",INDEX(I_COA!$D$6:$D$265,MATCH(D2319,I_COA!$A$6:$A$265,0)),"")</f>
        <v/>
      </c>
      <c r="M2319" s="34" t="str">
        <f aca="false">IF(K2319="Neraca",INDEX(I_COA!$E$6:$E$265,MATCH(D2319,I_COA!$A$6:$A$265,0)),"")</f>
        <v/>
      </c>
      <c r="N2319" s="34" t="str">
        <f aca="false">IF(D2319="","",IFERROR(INDEX(I_COA!$G$6:$G$265,MATCH(D2319,I_COA!$A$6:$A$265,0)),"N"))</f>
        <v/>
      </c>
      <c r="O2319" s="11" t="str">
        <f aca="false">IF(N2319="N",ABS(J2319),"")</f>
        <v/>
      </c>
      <c r="P2319" s="18" t="str">
        <f aca="false">IF(N2319="N",B2319&amp;"|"&amp;ROUND(O2319,0),"")</f>
        <v/>
      </c>
      <c r="Q2319" s="18" t="str">
        <f aca="false">IF(N2319&lt;&gt;"Y","",IFERROR(INDEX($D$6:$D$4005,MATCH(B2319&amp;"|"&amp;ROUND(_xlfn.MAXIFS($O$6:$O$4005,$B$6:$B$4005,B2319,$N$6:$N$4005,"N"),0),$P$6:$P$4005,0)),"(tanpa lawan)"))</f>
        <v/>
      </c>
      <c r="R2319" s="44"/>
      <c r="S2319" s="9" t="str">
        <f aca="false">IF(N2319&lt;&gt;"Y","",IF(R2319&lt;&gt;"",R2319,IF(Q2319="(tanpa lawan)","Transfer antar rekening",IFERROR(INDEX(I_COA!$F$6:$F$265,MATCH(Q2319,I_COA!$A$6:$A$265,0)),"?"))))</f>
        <v/>
      </c>
    </row>
    <row r="2320" customFormat="false" ht="15" hidden="false" customHeight="false" outlineLevel="0" collapsed="false">
      <c r="A2320" s="37"/>
      <c r="B2320" s="44"/>
      <c r="C2320" s="44"/>
      <c r="D2320" s="44"/>
      <c r="E2320" s="44"/>
      <c r="F2320" s="44"/>
      <c r="G2320" s="42"/>
      <c r="H2320" s="42"/>
      <c r="I2320" s="44"/>
      <c r="J2320" s="11" t="str">
        <f aca="false">IF(D2320="","",N(G2320)-N(H2320))</f>
        <v/>
      </c>
      <c r="K2320" s="34" t="str">
        <f aca="false">IF(D2320="","",IFERROR(INDEX(I_COA!$C$6:$C$265,MATCH(D2320,I_COA!$A$6:$A$265,0)),"AKUN BARU"))</f>
        <v/>
      </c>
      <c r="L2320" s="34" t="str">
        <f aca="false">IF(K2320="LabaRugi",INDEX(I_COA!$D$6:$D$265,MATCH(D2320,I_COA!$A$6:$A$265,0)),"")</f>
        <v/>
      </c>
      <c r="M2320" s="34" t="str">
        <f aca="false">IF(K2320="Neraca",INDEX(I_COA!$E$6:$E$265,MATCH(D2320,I_COA!$A$6:$A$265,0)),"")</f>
        <v/>
      </c>
      <c r="N2320" s="34" t="str">
        <f aca="false">IF(D2320="","",IFERROR(INDEX(I_COA!$G$6:$G$265,MATCH(D2320,I_COA!$A$6:$A$265,0)),"N"))</f>
        <v/>
      </c>
      <c r="O2320" s="11" t="str">
        <f aca="false">IF(N2320="N",ABS(J2320),"")</f>
        <v/>
      </c>
      <c r="P2320" s="18" t="str">
        <f aca="false">IF(N2320="N",B2320&amp;"|"&amp;ROUND(O2320,0),"")</f>
        <v/>
      </c>
      <c r="Q2320" s="18" t="str">
        <f aca="false">IF(N2320&lt;&gt;"Y","",IFERROR(INDEX($D$6:$D$4005,MATCH(B2320&amp;"|"&amp;ROUND(_xlfn.MAXIFS($O$6:$O$4005,$B$6:$B$4005,B2320,$N$6:$N$4005,"N"),0),$P$6:$P$4005,0)),"(tanpa lawan)"))</f>
        <v/>
      </c>
      <c r="R2320" s="44"/>
      <c r="S2320" s="9" t="str">
        <f aca="false">IF(N2320&lt;&gt;"Y","",IF(R2320&lt;&gt;"",R2320,IF(Q2320="(tanpa lawan)","Transfer antar rekening",IFERROR(INDEX(I_COA!$F$6:$F$265,MATCH(Q2320,I_COA!$A$6:$A$265,0)),"?"))))</f>
        <v/>
      </c>
    </row>
    <row r="2321" customFormat="false" ht="15" hidden="false" customHeight="false" outlineLevel="0" collapsed="false">
      <c r="A2321" s="37"/>
      <c r="B2321" s="44"/>
      <c r="C2321" s="44"/>
      <c r="D2321" s="44"/>
      <c r="E2321" s="44"/>
      <c r="F2321" s="44"/>
      <c r="G2321" s="42"/>
      <c r="H2321" s="42"/>
      <c r="I2321" s="44"/>
      <c r="J2321" s="11" t="str">
        <f aca="false">IF(D2321="","",N(G2321)-N(H2321))</f>
        <v/>
      </c>
      <c r="K2321" s="34" t="str">
        <f aca="false">IF(D2321="","",IFERROR(INDEX(I_COA!$C$6:$C$265,MATCH(D2321,I_COA!$A$6:$A$265,0)),"AKUN BARU"))</f>
        <v/>
      </c>
      <c r="L2321" s="34" t="str">
        <f aca="false">IF(K2321="LabaRugi",INDEX(I_COA!$D$6:$D$265,MATCH(D2321,I_COA!$A$6:$A$265,0)),"")</f>
        <v/>
      </c>
      <c r="M2321" s="34" t="str">
        <f aca="false">IF(K2321="Neraca",INDEX(I_COA!$E$6:$E$265,MATCH(D2321,I_COA!$A$6:$A$265,0)),"")</f>
        <v/>
      </c>
      <c r="N2321" s="34" t="str">
        <f aca="false">IF(D2321="","",IFERROR(INDEX(I_COA!$G$6:$G$265,MATCH(D2321,I_COA!$A$6:$A$265,0)),"N"))</f>
        <v/>
      </c>
      <c r="O2321" s="11" t="str">
        <f aca="false">IF(N2321="N",ABS(J2321),"")</f>
        <v/>
      </c>
      <c r="P2321" s="18" t="str">
        <f aca="false">IF(N2321="N",B2321&amp;"|"&amp;ROUND(O2321,0),"")</f>
        <v/>
      </c>
      <c r="Q2321" s="18" t="str">
        <f aca="false">IF(N2321&lt;&gt;"Y","",IFERROR(INDEX($D$6:$D$4005,MATCH(B2321&amp;"|"&amp;ROUND(_xlfn.MAXIFS($O$6:$O$4005,$B$6:$B$4005,B2321,$N$6:$N$4005,"N"),0),$P$6:$P$4005,0)),"(tanpa lawan)"))</f>
        <v/>
      </c>
      <c r="R2321" s="44"/>
      <c r="S2321" s="9" t="str">
        <f aca="false">IF(N2321&lt;&gt;"Y","",IF(R2321&lt;&gt;"",R2321,IF(Q2321="(tanpa lawan)","Transfer antar rekening",IFERROR(INDEX(I_COA!$F$6:$F$265,MATCH(Q2321,I_COA!$A$6:$A$265,0)),"?"))))</f>
        <v/>
      </c>
    </row>
    <row r="2322" customFormat="false" ht="15" hidden="false" customHeight="false" outlineLevel="0" collapsed="false">
      <c r="A2322" s="37"/>
      <c r="B2322" s="44"/>
      <c r="C2322" s="44"/>
      <c r="D2322" s="44"/>
      <c r="E2322" s="44"/>
      <c r="F2322" s="44"/>
      <c r="G2322" s="42"/>
      <c r="H2322" s="42"/>
      <c r="I2322" s="44"/>
      <c r="J2322" s="11" t="str">
        <f aca="false">IF(D2322="","",N(G2322)-N(H2322))</f>
        <v/>
      </c>
      <c r="K2322" s="34" t="str">
        <f aca="false">IF(D2322="","",IFERROR(INDEX(I_COA!$C$6:$C$265,MATCH(D2322,I_COA!$A$6:$A$265,0)),"AKUN BARU"))</f>
        <v/>
      </c>
      <c r="L2322" s="34" t="str">
        <f aca="false">IF(K2322="LabaRugi",INDEX(I_COA!$D$6:$D$265,MATCH(D2322,I_COA!$A$6:$A$265,0)),"")</f>
        <v/>
      </c>
      <c r="M2322" s="34" t="str">
        <f aca="false">IF(K2322="Neraca",INDEX(I_COA!$E$6:$E$265,MATCH(D2322,I_COA!$A$6:$A$265,0)),"")</f>
        <v/>
      </c>
      <c r="N2322" s="34" t="str">
        <f aca="false">IF(D2322="","",IFERROR(INDEX(I_COA!$G$6:$G$265,MATCH(D2322,I_COA!$A$6:$A$265,0)),"N"))</f>
        <v/>
      </c>
      <c r="O2322" s="11" t="str">
        <f aca="false">IF(N2322="N",ABS(J2322),"")</f>
        <v/>
      </c>
      <c r="P2322" s="18" t="str">
        <f aca="false">IF(N2322="N",B2322&amp;"|"&amp;ROUND(O2322,0),"")</f>
        <v/>
      </c>
      <c r="Q2322" s="18" t="str">
        <f aca="false">IF(N2322&lt;&gt;"Y","",IFERROR(INDEX($D$6:$D$4005,MATCH(B2322&amp;"|"&amp;ROUND(_xlfn.MAXIFS($O$6:$O$4005,$B$6:$B$4005,B2322,$N$6:$N$4005,"N"),0),$P$6:$P$4005,0)),"(tanpa lawan)"))</f>
        <v/>
      </c>
      <c r="R2322" s="44"/>
      <c r="S2322" s="9" t="str">
        <f aca="false">IF(N2322&lt;&gt;"Y","",IF(R2322&lt;&gt;"",R2322,IF(Q2322="(tanpa lawan)","Transfer antar rekening",IFERROR(INDEX(I_COA!$F$6:$F$265,MATCH(Q2322,I_COA!$A$6:$A$265,0)),"?"))))</f>
        <v/>
      </c>
    </row>
    <row r="2323" customFormat="false" ht="15" hidden="false" customHeight="false" outlineLevel="0" collapsed="false">
      <c r="A2323" s="37"/>
      <c r="B2323" s="44"/>
      <c r="C2323" s="44"/>
      <c r="D2323" s="44"/>
      <c r="E2323" s="44"/>
      <c r="F2323" s="44"/>
      <c r="G2323" s="42"/>
      <c r="H2323" s="42"/>
      <c r="I2323" s="44"/>
      <c r="J2323" s="11" t="str">
        <f aca="false">IF(D2323="","",N(G2323)-N(H2323))</f>
        <v/>
      </c>
      <c r="K2323" s="34" t="str">
        <f aca="false">IF(D2323="","",IFERROR(INDEX(I_COA!$C$6:$C$265,MATCH(D2323,I_COA!$A$6:$A$265,0)),"AKUN BARU"))</f>
        <v/>
      </c>
      <c r="L2323" s="34" t="str">
        <f aca="false">IF(K2323="LabaRugi",INDEX(I_COA!$D$6:$D$265,MATCH(D2323,I_COA!$A$6:$A$265,0)),"")</f>
        <v/>
      </c>
      <c r="M2323" s="34" t="str">
        <f aca="false">IF(K2323="Neraca",INDEX(I_COA!$E$6:$E$265,MATCH(D2323,I_COA!$A$6:$A$265,0)),"")</f>
        <v/>
      </c>
      <c r="N2323" s="34" t="str">
        <f aca="false">IF(D2323="","",IFERROR(INDEX(I_COA!$G$6:$G$265,MATCH(D2323,I_COA!$A$6:$A$265,0)),"N"))</f>
        <v/>
      </c>
      <c r="O2323" s="11" t="str">
        <f aca="false">IF(N2323="N",ABS(J2323),"")</f>
        <v/>
      </c>
      <c r="P2323" s="18" t="str">
        <f aca="false">IF(N2323="N",B2323&amp;"|"&amp;ROUND(O2323,0),"")</f>
        <v/>
      </c>
      <c r="Q2323" s="18" t="str">
        <f aca="false">IF(N2323&lt;&gt;"Y","",IFERROR(INDEX($D$6:$D$4005,MATCH(B2323&amp;"|"&amp;ROUND(_xlfn.MAXIFS($O$6:$O$4005,$B$6:$B$4005,B2323,$N$6:$N$4005,"N"),0),$P$6:$P$4005,0)),"(tanpa lawan)"))</f>
        <v/>
      </c>
      <c r="R2323" s="44"/>
      <c r="S2323" s="9" t="str">
        <f aca="false">IF(N2323&lt;&gt;"Y","",IF(R2323&lt;&gt;"",R2323,IF(Q2323="(tanpa lawan)","Transfer antar rekening",IFERROR(INDEX(I_COA!$F$6:$F$265,MATCH(Q2323,I_COA!$A$6:$A$265,0)),"?"))))</f>
        <v/>
      </c>
    </row>
    <row r="2324" customFormat="false" ht="15" hidden="false" customHeight="false" outlineLevel="0" collapsed="false">
      <c r="A2324" s="37"/>
      <c r="B2324" s="44"/>
      <c r="C2324" s="44"/>
      <c r="D2324" s="44"/>
      <c r="E2324" s="44"/>
      <c r="F2324" s="44"/>
      <c r="G2324" s="42"/>
      <c r="H2324" s="42"/>
      <c r="I2324" s="44"/>
      <c r="J2324" s="11" t="str">
        <f aca="false">IF(D2324="","",N(G2324)-N(H2324))</f>
        <v/>
      </c>
      <c r="K2324" s="34" t="str">
        <f aca="false">IF(D2324="","",IFERROR(INDEX(I_COA!$C$6:$C$265,MATCH(D2324,I_COA!$A$6:$A$265,0)),"AKUN BARU"))</f>
        <v/>
      </c>
      <c r="L2324" s="34" t="str">
        <f aca="false">IF(K2324="LabaRugi",INDEX(I_COA!$D$6:$D$265,MATCH(D2324,I_COA!$A$6:$A$265,0)),"")</f>
        <v/>
      </c>
      <c r="M2324" s="34" t="str">
        <f aca="false">IF(K2324="Neraca",INDEX(I_COA!$E$6:$E$265,MATCH(D2324,I_COA!$A$6:$A$265,0)),"")</f>
        <v/>
      </c>
      <c r="N2324" s="34" t="str">
        <f aca="false">IF(D2324="","",IFERROR(INDEX(I_COA!$G$6:$G$265,MATCH(D2324,I_COA!$A$6:$A$265,0)),"N"))</f>
        <v/>
      </c>
      <c r="O2324" s="11" t="str">
        <f aca="false">IF(N2324="N",ABS(J2324),"")</f>
        <v/>
      </c>
      <c r="P2324" s="18" t="str">
        <f aca="false">IF(N2324="N",B2324&amp;"|"&amp;ROUND(O2324,0),"")</f>
        <v/>
      </c>
      <c r="Q2324" s="18" t="str">
        <f aca="false">IF(N2324&lt;&gt;"Y","",IFERROR(INDEX($D$6:$D$4005,MATCH(B2324&amp;"|"&amp;ROUND(_xlfn.MAXIFS($O$6:$O$4005,$B$6:$B$4005,B2324,$N$6:$N$4005,"N"),0),$P$6:$P$4005,0)),"(tanpa lawan)"))</f>
        <v/>
      </c>
      <c r="R2324" s="44"/>
      <c r="S2324" s="9" t="str">
        <f aca="false">IF(N2324&lt;&gt;"Y","",IF(R2324&lt;&gt;"",R2324,IF(Q2324="(tanpa lawan)","Transfer antar rekening",IFERROR(INDEX(I_COA!$F$6:$F$265,MATCH(Q2324,I_COA!$A$6:$A$265,0)),"?"))))</f>
        <v/>
      </c>
    </row>
    <row r="2325" customFormat="false" ht="15" hidden="false" customHeight="false" outlineLevel="0" collapsed="false">
      <c r="A2325" s="37"/>
      <c r="B2325" s="44"/>
      <c r="C2325" s="44"/>
      <c r="D2325" s="44"/>
      <c r="E2325" s="44"/>
      <c r="F2325" s="44"/>
      <c r="G2325" s="42"/>
      <c r="H2325" s="42"/>
      <c r="I2325" s="44"/>
      <c r="J2325" s="11" t="str">
        <f aca="false">IF(D2325="","",N(G2325)-N(H2325))</f>
        <v/>
      </c>
      <c r="K2325" s="34" t="str">
        <f aca="false">IF(D2325="","",IFERROR(INDEX(I_COA!$C$6:$C$265,MATCH(D2325,I_COA!$A$6:$A$265,0)),"AKUN BARU"))</f>
        <v/>
      </c>
      <c r="L2325" s="34" t="str">
        <f aca="false">IF(K2325="LabaRugi",INDEX(I_COA!$D$6:$D$265,MATCH(D2325,I_COA!$A$6:$A$265,0)),"")</f>
        <v/>
      </c>
      <c r="M2325" s="34" t="str">
        <f aca="false">IF(K2325="Neraca",INDEX(I_COA!$E$6:$E$265,MATCH(D2325,I_COA!$A$6:$A$265,0)),"")</f>
        <v/>
      </c>
      <c r="N2325" s="34" t="str">
        <f aca="false">IF(D2325="","",IFERROR(INDEX(I_COA!$G$6:$G$265,MATCH(D2325,I_COA!$A$6:$A$265,0)),"N"))</f>
        <v/>
      </c>
      <c r="O2325" s="11" t="str">
        <f aca="false">IF(N2325="N",ABS(J2325),"")</f>
        <v/>
      </c>
      <c r="P2325" s="18" t="str">
        <f aca="false">IF(N2325="N",B2325&amp;"|"&amp;ROUND(O2325,0),"")</f>
        <v/>
      </c>
      <c r="Q2325" s="18" t="str">
        <f aca="false">IF(N2325&lt;&gt;"Y","",IFERROR(INDEX($D$6:$D$4005,MATCH(B2325&amp;"|"&amp;ROUND(_xlfn.MAXIFS($O$6:$O$4005,$B$6:$B$4005,B2325,$N$6:$N$4005,"N"),0),$P$6:$P$4005,0)),"(tanpa lawan)"))</f>
        <v/>
      </c>
      <c r="R2325" s="44"/>
      <c r="S2325" s="9" t="str">
        <f aca="false">IF(N2325&lt;&gt;"Y","",IF(R2325&lt;&gt;"",R2325,IF(Q2325="(tanpa lawan)","Transfer antar rekening",IFERROR(INDEX(I_COA!$F$6:$F$265,MATCH(Q2325,I_COA!$A$6:$A$265,0)),"?"))))</f>
        <v/>
      </c>
    </row>
    <row r="2326" customFormat="false" ht="15" hidden="false" customHeight="false" outlineLevel="0" collapsed="false">
      <c r="A2326" s="37"/>
      <c r="B2326" s="44"/>
      <c r="C2326" s="44"/>
      <c r="D2326" s="44"/>
      <c r="E2326" s="44"/>
      <c r="F2326" s="44"/>
      <c r="G2326" s="42"/>
      <c r="H2326" s="42"/>
      <c r="I2326" s="44"/>
      <c r="J2326" s="11" t="str">
        <f aca="false">IF(D2326="","",N(G2326)-N(H2326))</f>
        <v/>
      </c>
      <c r="K2326" s="34" t="str">
        <f aca="false">IF(D2326="","",IFERROR(INDEX(I_COA!$C$6:$C$265,MATCH(D2326,I_COA!$A$6:$A$265,0)),"AKUN BARU"))</f>
        <v/>
      </c>
      <c r="L2326" s="34" t="str">
        <f aca="false">IF(K2326="LabaRugi",INDEX(I_COA!$D$6:$D$265,MATCH(D2326,I_COA!$A$6:$A$265,0)),"")</f>
        <v/>
      </c>
      <c r="M2326" s="34" t="str">
        <f aca="false">IF(K2326="Neraca",INDEX(I_COA!$E$6:$E$265,MATCH(D2326,I_COA!$A$6:$A$265,0)),"")</f>
        <v/>
      </c>
      <c r="N2326" s="34" t="str">
        <f aca="false">IF(D2326="","",IFERROR(INDEX(I_COA!$G$6:$G$265,MATCH(D2326,I_COA!$A$6:$A$265,0)),"N"))</f>
        <v/>
      </c>
      <c r="O2326" s="11" t="str">
        <f aca="false">IF(N2326="N",ABS(J2326),"")</f>
        <v/>
      </c>
      <c r="P2326" s="18" t="str">
        <f aca="false">IF(N2326="N",B2326&amp;"|"&amp;ROUND(O2326,0),"")</f>
        <v/>
      </c>
      <c r="Q2326" s="18" t="str">
        <f aca="false">IF(N2326&lt;&gt;"Y","",IFERROR(INDEX($D$6:$D$4005,MATCH(B2326&amp;"|"&amp;ROUND(_xlfn.MAXIFS($O$6:$O$4005,$B$6:$B$4005,B2326,$N$6:$N$4005,"N"),0),$P$6:$P$4005,0)),"(tanpa lawan)"))</f>
        <v/>
      </c>
      <c r="R2326" s="44"/>
      <c r="S2326" s="9" t="str">
        <f aca="false">IF(N2326&lt;&gt;"Y","",IF(R2326&lt;&gt;"",R2326,IF(Q2326="(tanpa lawan)","Transfer antar rekening",IFERROR(INDEX(I_COA!$F$6:$F$265,MATCH(Q2326,I_COA!$A$6:$A$265,0)),"?"))))</f>
        <v/>
      </c>
    </row>
    <row r="2327" customFormat="false" ht="15" hidden="false" customHeight="false" outlineLevel="0" collapsed="false">
      <c r="A2327" s="37"/>
      <c r="B2327" s="44"/>
      <c r="C2327" s="44"/>
      <c r="D2327" s="44"/>
      <c r="E2327" s="44"/>
      <c r="F2327" s="44"/>
      <c r="G2327" s="42"/>
      <c r="H2327" s="42"/>
      <c r="I2327" s="44"/>
      <c r="J2327" s="11" t="str">
        <f aca="false">IF(D2327="","",N(G2327)-N(H2327))</f>
        <v/>
      </c>
      <c r="K2327" s="34" t="str">
        <f aca="false">IF(D2327="","",IFERROR(INDEX(I_COA!$C$6:$C$265,MATCH(D2327,I_COA!$A$6:$A$265,0)),"AKUN BARU"))</f>
        <v/>
      </c>
      <c r="L2327" s="34" t="str">
        <f aca="false">IF(K2327="LabaRugi",INDEX(I_COA!$D$6:$D$265,MATCH(D2327,I_COA!$A$6:$A$265,0)),"")</f>
        <v/>
      </c>
      <c r="M2327" s="34" t="str">
        <f aca="false">IF(K2327="Neraca",INDEX(I_COA!$E$6:$E$265,MATCH(D2327,I_COA!$A$6:$A$265,0)),"")</f>
        <v/>
      </c>
      <c r="N2327" s="34" t="str">
        <f aca="false">IF(D2327="","",IFERROR(INDEX(I_COA!$G$6:$G$265,MATCH(D2327,I_COA!$A$6:$A$265,0)),"N"))</f>
        <v/>
      </c>
      <c r="O2327" s="11" t="str">
        <f aca="false">IF(N2327="N",ABS(J2327),"")</f>
        <v/>
      </c>
      <c r="P2327" s="18" t="str">
        <f aca="false">IF(N2327="N",B2327&amp;"|"&amp;ROUND(O2327,0),"")</f>
        <v/>
      </c>
      <c r="Q2327" s="18" t="str">
        <f aca="false">IF(N2327&lt;&gt;"Y","",IFERROR(INDEX($D$6:$D$4005,MATCH(B2327&amp;"|"&amp;ROUND(_xlfn.MAXIFS($O$6:$O$4005,$B$6:$B$4005,B2327,$N$6:$N$4005,"N"),0),$P$6:$P$4005,0)),"(tanpa lawan)"))</f>
        <v/>
      </c>
      <c r="R2327" s="44"/>
      <c r="S2327" s="9" t="str">
        <f aca="false">IF(N2327&lt;&gt;"Y","",IF(R2327&lt;&gt;"",R2327,IF(Q2327="(tanpa lawan)","Transfer antar rekening",IFERROR(INDEX(I_COA!$F$6:$F$265,MATCH(Q2327,I_COA!$A$6:$A$265,0)),"?"))))</f>
        <v/>
      </c>
    </row>
    <row r="2328" customFormat="false" ht="15" hidden="false" customHeight="false" outlineLevel="0" collapsed="false">
      <c r="A2328" s="37"/>
      <c r="B2328" s="44"/>
      <c r="C2328" s="44"/>
      <c r="D2328" s="44"/>
      <c r="E2328" s="44"/>
      <c r="F2328" s="44"/>
      <c r="G2328" s="42"/>
      <c r="H2328" s="42"/>
      <c r="I2328" s="44"/>
      <c r="J2328" s="11" t="str">
        <f aca="false">IF(D2328="","",N(G2328)-N(H2328))</f>
        <v/>
      </c>
      <c r="K2328" s="34" t="str">
        <f aca="false">IF(D2328="","",IFERROR(INDEX(I_COA!$C$6:$C$265,MATCH(D2328,I_COA!$A$6:$A$265,0)),"AKUN BARU"))</f>
        <v/>
      </c>
      <c r="L2328" s="34" t="str">
        <f aca="false">IF(K2328="LabaRugi",INDEX(I_COA!$D$6:$D$265,MATCH(D2328,I_COA!$A$6:$A$265,0)),"")</f>
        <v/>
      </c>
      <c r="M2328" s="34" t="str">
        <f aca="false">IF(K2328="Neraca",INDEX(I_COA!$E$6:$E$265,MATCH(D2328,I_COA!$A$6:$A$265,0)),"")</f>
        <v/>
      </c>
      <c r="N2328" s="34" t="str">
        <f aca="false">IF(D2328="","",IFERROR(INDEX(I_COA!$G$6:$G$265,MATCH(D2328,I_COA!$A$6:$A$265,0)),"N"))</f>
        <v/>
      </c>
      <c r="O2328" s="11" t="str">
        <f aca="false">IF(N2328="N",ABS(J2328),"")</f>
        <v/>
      </c>
      <c r="P2328" s="18" t="str">
        <f aca="false">IF(N2328="N",B2328&amp;"|"&amp;ROUND(O2328,0),"")</f>
        <v/>
      </c>
      <c r="Q2328" s="18" t="str">
        <f aca="false">IF(N2328&lt;&gt;"Y","",IFERROR(INDEX($D$6:$D$4005,MATCH(B2328&amp;"|"&amp;ROUND(_xlfn.MAXIFS($O$6:$O$4005,$B$6:$B$4005,B2328,$N$6:$N$4005,"N"),0),$P$6:$P$4005,0)),"(tanpa lawan)"))</f>
        <v/>
      </c>
      <c r="R2328" s="44"/>
      <c r="S2328" s="9" t="str">
        <f aca="false">IF(N2328&lt;&gt;"Y","",IF(R2328&lt;&gt;"",R2328,IF(Q2328="(tanpa lawan)","Transfer antar rekening",IFERROR(INDEX(I_COA!$F$6:$F$265,MATCH(Q2328,I_COA!$A$6:$A$265,0)),"?"))))</f>
        <v/>
      </c>
    </row>
    <row r="2329" customFormat="false" ht="15" hidden="false" customHeight="false" outlineLevel="0" collapsed="false">
      <c r="A2329" s="37"/>
      <c r="B2329" s="44"/>
      <c r="C2329" s="44"/>
      <c r="D2329" s="44"/>
      <c r="E2329" s="44"/>
      <c r="F2329" s="44"/>
      <c r="G2329" s="42"/>
      <c r="H2329" s="42"/>
      <c r="I2329" s="44"/>
      <c r="J2329" s="11" t="str">
        <f aca="false">IF(D2329="","",N(G2329)-N(H2329))</f>
        <v/>
      </c>
      <c r="K2329" s="34" t="str">
        <f aca="false">IF(D2329="","",IFERROR(INDEX(I_COA!$C$6:$C$265,MATCH(D2329,I_COA!$A$6:$A$265,0)),"AKUN BARU"))</f>
        <v/>
      </c>
      <c r="L2329" s="34" t="str">
        <f aca="false">IF(K2329="LabaRugi",INDEX(I_COA!$D$6:$D$265,MATCH(D2329,I_COA!$A$6:$A$265,0)),"")</f>
        <v/>
      </c>
      <c r="M2329" s="34" t="str">
        <f aca="false">IF(K2329="Neraca",INDEX(I_COA!$E$6:$E$265,MATCH(D2329,I_COA!$A$6:$A$265,0)),"")</f>
        <v/>
      </c>
      <c r="N2329" s="34" t="str">
        <f aca="false">IF(D2329="","",IFERROR(INDEX(I_COA!$G$6:$G$265,MATCH(D2329,I_COA!$A$6:$A$265,0)),"N"))</f>
        <v/>
      </c>
      <c r="O2329" s="11" t="str">
        <f aca="false">IF(N2329="N",ABS(J2329),"")</f>
        <v/>
      </c>
      <c r="P2329" s="18" t="str">
        <f aca="false">IF(N2329="N",B2329&amp;"|"&amp;ROUND(O2329,0),"")</f>
        <v/>
      </c>
      <c r="Q2329" s="18" t="str">
        <f aca="false">IF(N2329&lt;&gt;"Y","",IFERROR(INDEX($D$6:$D$4005,MATCH(B2329&amp;"|"&amp;ROUND(_xlfn.MAXIFS($O$6:$O$4005,$B$6:$B$4005,B2329,$N$6:$N$4005,"N"),0),$P$6:$P$4005,0)),"(tanpa lawan)"))</f>
        <v/>
      </c>
      <c r="R2329" s="44"/>
      <c r="S2329" s="9" t="str">
        <f aca="false">IF(N2329&lt;&gt;"Y","",IF(R2329&lt;&gt;"",R2329,IF(Q2329="(tanpa lawan)","Transfer antar rekening",IFERROR(INDEX(I_COA!$F$6:$F$265,MATCH(Q2329,I_COA!$A$6:$A$265,0)),"?"))))</f>
        <v/>
      </c>
    </row>
    <row r="2330" customFormat="false" ht="15" hidden="false" customHeight="false" outlineLevel="0" collapsed="false">
      <c r="A2330" s="37"/>
      <c r="B2330" s="44"/>
      <c r="C2330" s="44"/>
      <c r="D2330" s="44"/>
      <c r="E2330" s="44"/>
      <c r="F2330" s="44"/>
      <c r="G2330" s="42"/>
      <c r="H2330" s="42"/>
      <c r="I2330" s="44"/>
      <c r="J2330" s="11" t="str">
        <f aca="false">IF(D2330="","",N(G2330)-N(H2330))</f>
        <v/>
      </c>
      <c r="K2330" s="34" t="str">
        <f aca="false">IF(D2330="","",IFERROR(INDEX(I_COA!$C$6:$C$265,MATCH(D2330,I_COA!$A$6:$A$265,0)),"AKUN BARU"))</f>
        <v/>
      </c>
      <c r="L2330" s="34" t="str">
        <f aca="false">IF(K2330="LabaRugi",INDEX(I_COA!$D$6:$D$265,MATCH(D2330,I_COA!$A$6:$A$265,0)),"")</f>
        <v/>
      </c>
      <c r="M2330" s="34" t="str">
        <f aca="false">IF(K2330="Neraca",INDEX(I_COA!$E$6:$E$265,MATCH(D2330,I_COA!$A$6:$A$265,0)),"")</f>
        <v/>
      </c>
      <c r="N2330" s="34" t="str">
        <f aca="false">IF(D2330="","",IFERROR(INDEX(I_COA!$G$6:$G$265,MATCH(D2330,I_COA!$A$6:$A$265,0)),"N"))</f>
        <v/>
      </c>
      <c r="O2330" s="11" t="str">
        <f aca="false">IF(N2330="N",ABS(J2330),"")</f>
        <v/>
      </c>
      <c r="P2330" s="18" t="str">
        <f aca="false">IF(N2330="N",B2330&amp;"|"&amp;ROUND(O2330,0),"")</f>
        <v/>
      </c>
      <c r="Q2330" s="18" t="str">
        <f aca="false">IF(N2330&lt;&gt;"Y","",IFERROR(INDEX($D$6:$D$4005,MATCH(B2330&amp;"|"&amp;ROUND(_xlfn.MAXIFS($O$6:$O$4005,$B$6:$B$4005,B2330,$N$6:$N$4005,"N"),0),$P$6:$P$4005,0)),"(tanpa lawan)"))</f>
        <v/>
      </c>
      <c r="R2330" s="44"/>
      <c r="S2330" s="9" t="str">
        <f aca="false">IF(N2330&lt;&gt;"Y","",IF(R2330&lt;&gt;"",R2330,IF(Q2330="(tanpa lawan)","Transfer antar rekening",IFERROR(INDEX(I_COA!$F$6:$F$265,MATCH(Q2330,I_COA!$A$6:$A$265,0)),"?"))))</f>
        <v/>
      </c>
    </row>
    <row r="2331" customFormat="false" ht="15" hidden="false" customHeight="false" outlineLevel="0" collapsed="false">
      <c r="A2331" s="37"/>
      <c r="B2331" s="44"/>
      <c r="C2331" s="44"/>
      <c r="D2331" s="44"/>
      <c r="E2331" s="44"/>
      <c r="F2331" s="44"/>
      <c r="G2331" s="42"/>
      <c r="H2331" s="42"/>
      <c r="I2331" s="44"/>
      <c r="J2331" s="11" t="str">
        <f aca="false">IF(D2331="","",N(G2331)-N(H2331))</f>
        <v/>
      </c>
      <c r="K2331" s="34" t="str">
        <f aca="false">IF(D2331="","",IFERROR(INDEX(I_COA!$C$6:$C$265,MATCH(D2331,I_COA!$A$6:$A$265,0)),"AKUN BARU"))</f>
        <v/>
      </c>
      <c r="L2331" s="34" t="str">
        <f aca="false">IF(K2331="LabaRugi",INDEX(I_COA!$D$6:$D$265,MATCH(D2331,I_COA!$A$6:$A$265,0)),"")</f>
        <v/>
      </c>
      <c r="M2331" s="34" t="str">
        <f aca="false">IF(K2331="Neraca",INDEX(I_COA!$E$6:$E$265,MATCH(D2331,I_COA!$A$6:$A$265,0)),"")</f>
        <v/>
      </c>
      <c r="N2331" s="34" t="str">
        <f aca="false">IF(D2331="","",IFERROR(INDEX(I_COA!$G$6:$G$265,MATCH(D2331,I_COA!$A$6:$A$265,0)),"N"))</f>
        <v/>
      </c>
      <c r="O2331" s="11" t="str">
        <f aca="false">IF(N2331="N",ABS(J2331),"")</f>
        <v/>
      </c>
      <c r="P2331" s="18" t="str">
        <f aca="false">IF(N2331="N",B2331&amp;"|"&amp;ROUND(O2331,0),"")</f>
        <v/>
      </c>
      <c r="Q2331" s="18" t="str">
        <f aca="false">IF(N2331&lt;&gt;"Y","",IFERROR(INDEX($D$6:$D$4005,MATCH(B2331&amp;"|"&amp;ROUND(_xlfn.MAXIFS($O$6:$O$4005,$B$6:$B$4005,B2331,$N$6:$N$4005,"N"),0),$P$6:$P$4005,0)),"(tanpa lawan)"))</f>
        <v/>
      </c>
      <c r="R2331" s="44"/>
      <c r="S2331" s="9" t="str">
        <f aca="false">IF(N2331&lt;&gt;"Y","",IF(R2331&lt;&gt;"",R2331,IF(Q2331="(tanpa lawan)","Transfer antar rekening",IFERROR(INDEX(I_COA!$F$6:$F$265,MATCH(Q2331,I_COA!$A$6:$A$265,0)),"?"))))</f>
        <v/>
      </c>
    </row>
    <row r="2332" customFormat="false" ht="15" hidden="false" customHeight="false" outlineLevel="0" collapsed="false">
      <c r="A2332" s="37"/>
      <c r="B2332" s="44"/>
      <c r="C2332" s="44"/>
      <c r="D2332" s="44"/>
      <c r="E2332" s="44"/>
      <c r="F2332" s="44"/>
      <c r="G2332" s="42"/>
      <c r="H2332" s="42"/>
      <c r="I2332" s="44"/>
      <c r="J2332" s="11" t="str">
        <f aca="false">IF(D2332="","",N(G2332)-N(H2332))</f>
        <v/>
      </c>
      <c r="K2332" s="34" t="str">
        <f aca="false">IF(D2332="","",IFERROR(INDEX(I_COA!$C$6:$C$265,MATCH(D2332,I_COA!$A$6:$A$265,0)),"AKUN BARU"))</f>
        <v/>
      </c>
      <c r="L2332" s="34" t="str">
        <f aca="false">IF(K2332="LabaRugi",INDEX(I_COA!$D$6:$D$265,MATCH(D2332,I_COA!$A$6:$A$265,0)),"")</f>
        <v/>
      </c>
      <c r="M2332" s="34" t="str">
        <f aca="false">IF(K2332="Neraca",INDEX(I_COA!$E$6:$E$265,MATCH(D2332,I_COA!$A$6:$A$265,0)),"")</f>
        <v/>
      </c>
      <c r="N2332" s="34" t="str">
        <f aca="false">IF(D2332="","",IFERROR(INDEX(I_COA!$G$6:$G$265,MATCH(D2332,I_COA!$A$6:$A$265,0)),"N"))</f>
        <v/>
      </c>
      <c r="O2332" s="11" t="str">
        <f aca="false">IF(N2332="N",ABS(J2332),"")</f>
        <v/>
      </c>
      <c r="P2332" s="18" t="str">
        <f aca="false">IF(N2332="N",B2332&amp;"|"&amp;ROUND(O2332,0),"")</f>
        <v/>
      </c>
      <c r="Q2332" s="18" t="str">
        <f aca="false">IF(N2332&lt;&gt;"Y","",IFERROR(INDEX($D$6:$D$4005,MATCH(B2332&amp;"|"&amp;ROUND(_xlfn.MAXIFS($O$6:$O$4005,$B$6:$B$4005,B2332,$N$6:$N$4005,"N"),0),$P$6:$P$4005,0)),"(tanpa lawan)"))</f>
        <v/>
      </c>
      <c r="R2332" s="44"/>
      <c r="S2332" s="9" t="str">
        <f aca="false">IF(N2332&lt;&gt;"Y","",IF(R2332&lt;&gt;"",R2332,IF(Q2332="(tanpa lawan)","Transfer antar rekening",IFERROR(INDEX(I_COA!$F$6:$F$265,MATCH(Q2332,I_COA!$A$6:$A$265,0)),"?"))))</f>
        <v/>
      </c>
    </row>
    <row r="2333" customFormat="false" ht="15" hidden="false" customHeight="false" outlineLevel="0" collapsed="false">
      <c r="A2333" s="37"/>
      <c r="B2333" s="44"/>
      <c r="C2333" s="44"/>
      <c r="D2333" s="44"/>
      <c r="E2333" s="44"/>
      <c r="F2333" s="44"/>
      <c r="G2333" s="42"/>
      <c r="H2333" s="42"/>
      <c r="I2333" s="44"/>
      <c r="J2333" s="11" t="str">
        <f aca="false">IF(D2333="","",N(G2333)-N(H2333))</f>
        <v/>
      </c>
      <c r="K2333" s="34" t="str">
        <f aca="false">IF(D2333="","",IFERROR(INDEX(I_COA!$C$6:$C$265,MATCH(D2333,I_COA!$A$6:$A$265,0)),"AKUN BARU"))</f>
        <v/>
      </c>
      <c r="L2333" s="34" t="str">
        <f aca="false">IF(K2333="LabaRugi",INDEX(I_COA!$D$6:$D$265,MATCH(D2333,I_COA!$A$6:$A$265,0)),"")</f>
        <v/>
      </c>
      <c r="M2333" s="34" t="str">
        <f aca="false">IF(K2333="Neraca",INDEX(I_COA!$E$6:$E$265,MATCH(D2333,I_COA!$A$6:$A$265,0)),"")</f>
        <v/>
      </c>
      <c r="N2333" s="34" t="str">
        <f aca="false">IF(D2333="","",IFERROR(INDEX(I_COA!$G$6:$G$265,MATCH(D2333,I_COA!$A$6:$A$265,0)),"N"))</f>
        <v/>
      </c>
      <c r="O2333" s="11" t="str">
        <f aca="false">IF(N2333="N",ABS(J2333),"")</f>
        <v/>
      </c>
      <c r="P2333" s="18" t="str">
        <f aca="false">IF(N2333="N",B2333&amp;"|"&amp;ROUND(O2333,0),"")</f>
        <v/>
      </c>
      <c r="Q2333" s="18" t="str">
        <f aca="false">IF(N2333&lt;&gt;"Y","",IFERROR(INDEX($D$6:$D$4005,MATCH(B2333&amp;"|"&amp;ROUND(_xlfn.MAXIFS($O$6:$O$4005,$B$6:$B$4005,B2333,$N$6:$N$4005,"N"),0),$P$6:$P$4005,0)),"(tanpa lawan)"))</f>
        <v/>
      </c>
      <c r="R2333" s="44"/>
      <c r="S2333" s="9" t="str">
        <f aca="false">IF(N2333&lt;&gt;"Y","",IF(R2333&lt;&gt;"",R2333,IF(Q2333="(tanpa lawan)","Transfer antar rekening",IFERROR(INDEX(I_COA!$F$6:$F$265,MATCH(Q2333,I_COA!$A$6:$A$265,0)),"?"))))</f>
        <v/>
      </c>
    </row>
    <row r="2334" customFormat="false" ht="15" hidden="false" customHeight="false" outlineLevel="0" collapsed="false">
      <c r="A2334" s="37"/>
      <c r="B2334" s="44"/>
      <c r="C2334" s="44"/>
      <c r="D2334" s="44"/>
      <c r="E2334" s="44"/>
      <c r="F2334" s="44"/>
      <c r="G2334" s="42"/>
      <c r="H2334" s="42"/>
      <c r="I2334" s="44"/>
      <c r="J2334" s="11" t="str">
        <f aca="false">IF(D2334="","",N(G2334)-N(H2334))</f>
        <v/>
      </c>
      <c r="K2334" s="34" t="str">
        <f aca="false">IF(D2334="","",IFERROR(INDEX(I_COA!$C$6:$C$265,MATCH(D2334,I_COA!$A$6:$A$265,0)),"AKUN BARU"))</f>
        <v/>
      </c>
      <c r="L2334" s="34" t="str">
        <f aca="false">IF(K2334="LabaRugi",INDEX(I_COA!$D$6:$D$265,MATCH(D2334,I_COA!$A$6:$A$265,0)),"")</f>
        <v/>
      </c>
      <c r="M2334" s="34" t="str">
        <f aca="false">IF(K2334="Neraca",INDEX(I_COA!$E$6:$E$265,MATCH(D2334,I_COA!$A$6:$A$265,0)),"")</f>
        <v/>
      </c>
      <c r="N2334" s="34" t="str">
        <f aca="false">IF(D2334="","",IFERROR(INDEX(I_COA!$G$6:$G$265,MATCH(D2334,I_COA!$A$6:$A$265,0)),"N"))</f>
        <v/>
      </c>
      <c r="O2334" s="11" t="str">
        <f aca="false">IF(N2334="N",ABS(J2334),"")</f>
        <v/>
      </c>
      <c r="P2334" s="18" t="str">
        <f aca="false">IF(N2334="N",B2334&amp;"|"&amp;ROUND(O2334,0),"")</f>
        <v/>
      </c>
      <c r="Q2334" s="18" t="str">
        <f aca="false">IF(N2334&lt;&gt;"Y","",IFERROR(INDEX($D$6:$D$4005,MATCH(B2334&amp;"|"&amp;ROUND(_xlfn.MAXIFS($O$6:$O$4005,$B$6:$B$4005,B2334,$N$6:$N$4005,"N"),0),$P$6:$P$4005,0)),"(tanpa lawan)"))</f>
        <v/>
      </c>
      <c r="R2334" s="44"/>
      <c r="S2334" s="9" t="str">
        <f aca="false">IF(N2334&lt;&gt;"Y","",IF(R2334&lt;&gt;"",R2334,IF(Q2334="(tanpa lawan)","Transfer antar rekening",IFERROR(INDEX(I_COA!$F$6:$F$265,MATCH(Q2334,I_COA!$A$6:$A$265,0)),"?"))))</f>
        <v/>
      </c>
    </row>
    <row r="2335" customFormat="false" ht="15" hidden="false" customHeight="false" outlineLevel="0" collapsed="false">
      <c r="A2335" s="37"/>
      <c r="B2335" s="44"/>
      <c r="C2335" s="44"/>
      <c r="D2335" s="44"/>
      <c r="E2335" s="44"/>
      <c r="F2335" s="44"/>
      <c r="G2335" s="42"/>
      <c r="H2335" s="42"/>
      <c r="I2335" s="44"/>
      <c r="J2335" s="11" t="str">
        <f aca="false">IF(D2335="","",N(G2335)-N(H2335))</f>
        <v/>
      </c>
      <c r="K2335" s="34" t="str">
        <f aca="false">IF(D2335="","",IFERROR(INDEX(I_COA!$C$6:$C$265,MATCH(D2335,I_COA!$A$6:$A$265,0)),"AKUN BARU"))</f>
        <v/>
      </c>
      <c r="L2335" s="34" t="str">
        <f aca="false">IF(K2335="LabaRugi",INDEX(I_COA!$D$6:$D$265,MATCH(D2335,I_COA!$A$6:$A$265,0)),"")</f>
        <v/>
      </c>
      <c r="M2335" s="34" t="str">
        <f aca="false">IF(K2335="Neraca",INDEX(I_COA!$E$6:$E$265,MATCH(D2335,I_COA!$A$6:$A$265,0)),"")</f>
        <v/>
      </c>
      <c r="N2335" s="34" t="str">
        <f aca="false">IF(D2335="","",IFERROR(INDEX(I_COA!$G$6:$G$265,MATCH(D2335,I_COA!$A$6:$A$265,0)),"N"))</f>
        <v/>
      </c>
      <c r="O2335" s="11" t="str">
        <f aca="false">IF(N2335="N",ABS(J2335),"")</f>
        <v/>
      </c>
      <c r="P2335" s="18" t="str">
        <f aca="false">IF(N2335="N",B2335&amp;"|"&amp;ROUND(O2335,0),"")</f>
        <v/>
      </c>
      <c r="Q2335" s="18" t="str">
        <f aca="false">IF(N2335&lt;&gt;"Y","",IFERROR(INDEX($D$6:$D$4005,MATCH(B2335&amp;"|"&amp;ROUND(_xlfn.MAXIFS($O$6:$O$4005,$B$6:$B$4005,B2335,$N$6:$N$4005,"N"),0),$P$6:$P$4005,0)),"(tanpa lawan)"))</f>
        <v/>
      </c>
      <c r="R2335" s="44"/>
      <c r="S2335" s="9" t="str">
        <f aca="false">IF(N2335&lt;&gt;"Y","",IF(R2335&lt;&gt;"",R2335,IF(Q2335="(tanpa lawan)","Transfer antar rekening",IFERROR(INDEX(I_COA!$F$6:$F$265,MATCH(Q2335,I_COA!$A$6:$A$265,0)),"?"))))</f>
        <v/>
      </c>
    </row>
    <row r="2336" customFormat="false" ht="15" hidden="false" customHeight="false" outlineLevel="0" collapsed="false">
      <c r="A2336" s="37"/>
      <c r="B2336" s="44"/>
      <c r="C2336" s="44"/>
      <c r="D2336" s="44"/>
      <c r="E2336" s="44"/>
      <c r="F2336" s="44"/>
      <c r="G2336" s="42"/>
      <c r="H2336" s="42"/>
      <c r="I2336" s="44"/>
      <c r="J2336" s="11" t="str">
        <f aca="false">IF(D2336="","",N(G2336)-N(H2336))</f>
        <v/>
      </c>
      <c r="K2336" s="34" t="str">
        <f aca="false">IF(D2336="","",IFERROR(INDEX(I_COA!$C$6:$C$265,MATCH(D2336,I_COA!$A$6:$A$265,0)),"AKUN BARU"))</f>
        <v/>
      </c>
      <c r="L2336" s="34" t="str">
        <f aca="false">IF(K2336="LabaRugi",INDEX(I_COA!$D$6:$D$265,MATCH(D2336,I_COA!$A$6:$A$265,0)),"")</f>
        <v/>
      </c>
      <c r="M2336" s="34" t="str">
        <f aca="false">IF(K2336="Neraca",INDEX(I_COA!$E$6:$E$265,MATCH(D2336,I_COA!$A$6:$A$265,0)),"")</f>
        <v/>
      </c>
      <c r="N2336" s="34" t="str">
        <f aca="false">IF(D2336="","",IFERROR(INDEX(I_COA!$G$6:$G$265,MATCH(D2336,I_COA!$A$6:$A$265,0)),"N"))</f>
        <v/>
      </c>
      <c r="O2336" s="11" t="str">
        <f aca="false">IF(N2336="N",ABS(J2336),"")</f>
        <v/>
      </c>
      <c r="P2336" s="18" t="str">
        <f aca="false">IF(N2336="N",B2336&amp;"|"&amp;ROUND(O2336,0),"")</f>
        <v/>
      </c>
      <c r="Q2336" s="18" t="str">
        <f aca="false">IF(N2336&lt;&gt;"Y","",IFERROR(INDEX($D$6:$D$4005,MATCH(B2336&amp;"|"&amp;ROUND(_xlfn.MAXIFS($O$6:$O$4005,$B$6:$B$4005,B2336,$N$6:$N$4005,"N"),0),$P$6:$P$4005,0)),"(tanpa lawan)"))</f>
        <v/>
      </c>
      <c r="R2336" s="44"/>
      <c r="S2336" s="9" t="str">
        <f aca="false">IF(N2336&lt;&gt;"Y","",IF(R2336&lt;&gt;"",R2336,IF(Q2336="(tanpa lawan)","Transfer antar rekening",IFERROR(INDEX(I_COA!$F$6:$F$265,MATCH(Q2336,I_COA!$A$6:$A$265,0)),"?"))))</f>
        <v/>
      </c>
    </row>
    <row r="2337" customFormat="false" ht="15" hidden="false" customHeight="false" outlineLevel="0" collapsed="false">
      <c r="A2337" s="37"/>
      <c r="B2337" s="44"/>
      <c r="C2337" s="44"/>
      <c r="D2337" s="44"/>
      <c r="E2337" s="44"/>
      <c r="F2337" s="44"/>
      <c r="G2337" s="42"/>
      <c r="H2337" s="42"/>
      <c r="I2337" s="44"/>
      <c r="J2337" s="11" t="str">
        <f aca="false">IF(D2337="","",N(G2337)-N(H2337))</f>
        <v/>
      </c>
      <c r="K2337" s="34" t="str">
        <f aca="false">IF(D2337="","",IFERROR(INDEX(I_COA!$C$6:$C$265,MATCH(D2337,I_COA!$A$6:$A$265,0)),"AKUN BARU"))</f>
        <v/>
      </c>
      <c r="L2337" s="34" t="str">
        <f aca="false">IF(K2337="LabaRugi",INDEX(I_COA!$D$6:$D$265,MATCH(D2337,I_COA!$A$6:$A$265,0)),"")</f>
        <v/>
      </c>
      <c r="M2337" s="34" t="str">
        <f aca="false">IF(K2337="Neraca",INDEX(I_COA!$E$6:$E$265,MATCH(D2337,I_COA!$A$6:$A$265,0)),"")</f>
        <v/>
      </c>
      <c r="N2337" s="34" t="str">
        <f aca="false">IF(D2337="","",IFERROR(INDEX(I_COA!$G$6:$G$265,MATCH(D2337,I_COA!$A$6:$A$265,0)),"N"))</f>
        <v/>
      </c>
      <c r="O2337" s="11" t="str">
        <f aca="false">IF(N2337="N",ABS(J2337),"")</f>
        <v/>
      </c>
      <c r="P2337" s="18" t="str">
        <f aca="false">IF(N2337="N",B2337&amp;"|"&amp;ROUND(O2337,0),"")</f>
        <v/>
      </c>
      <c r="Q2337" s="18" t="str">
        <f aca="false">IF(N2337&lt;&gt;"Y","",IFERROR(INDEX($D$6:$D$4005,MATCH(B2337&amp;"|"&amp;ROUND(_xlfn.MAXIFS($O$6:$O$4005,$B$6:$B$4005,B2337,$N$6:$N$4005,"N"),0),$P$6:$P$4005,0)),"(tanpa lawan)"))</f>
        <v/>
      </c>
      <c r="R2337" s="44"/>
      <c r="S2337" s="9" t="str">
        <f aca="false">IF(N2337&lt;&gt;"Y","",IF(R2337&lt;&gt;"",R2337,IF(Q2337="(tanpa lawan)","Transfer antar rekening",IFERROR(INDEX(I_COA!$F$6:$F$265,MATCH(Q2337,I_COA!$A$6:$A$265,0)),"?"))))</f>
        <v/>
      </c>
    </row>
    <row r="2338" customFormat="false" ht="15" hidden="false" customHeight="false" outlineLevel="0" collapsed="false">
      <c r="A2338" s="37"/>
      <c r="B2338" s="44"/>
      <c r="C2338" s="44"/>
      <c r="D2338" s="44"/>
      <c r="E2338" s="44"/>
      <c r="F2338" s="44"/>
      <c r="G2338" s="42"/>
      <c r="H2338" s="42"/>
      <c r="I2338" s="44"/>
      <c r="J2338" s="11" t="str">
        <f aca="false">IF(D2338="","",N(G2338)-N(H2338))</f>
        <v/>
      </c>
      <c r="K2338" s="34" t="str">
        <f aca="false">IF(D2338="","",IFERROR(INDEX(I_COA!$C$6:$C$265,MATCH(D2338,I_COA!$A$6:$A$265,0)),"AKUN BARU"))</f>
        <v/>
      </c>
      <c r="L2338" s="34" t="str">
        <f aca="false">IF(K2338="LabaRugi",INDEX(I_COA!$D$6:$D$265,MATCH(D2338,I_COA!$A$6:$A$265,0)),"")</f>
        <v/>
      </c>
      <c r="M2338" s="34" t="str">
        <f aca="false">IF(K2338="Neraca",INDEX(I_COA!$E$6:$E$265,MATCH(D2338,I_COA!$A$6:$A$265,0)),"")</f>
        <v/>
      </c>
      <c r="N2338" s="34" t="str">
        <f aca="false">IF(D2338="","",IFERROR(INDEX(I_COA!$G$6:$G$265,MATCH(D2338,I_COA!$A$6:$A$265,0)),"N"))</f>
        <v/>
      </c>
      <c r="O2338" s="11" t="str">
        <f aca="false">IF(N2338="N",ABS(J2338),"")</f>
        <v/>
      </c>
      <c r="P2338" s="18" t="str">
        <f aca="false">IF(N2338="N",B2338&amp;"|"&amp;ROUND(O2338,0),"")</f>
        <v/>
      </c>
      <c r="Q2338" s="18" t="str">
        <f aca="false">IF(N2338&lt;&gt;"Y","",IFERROR(INDEX($D$6:$D$4005,MATCH(B2338&amp;"|"&amp;ROUND(_xlfn.MAXIFS($O$6:$O$4005,$B$6:$B$4005,B2338,$N$6:$N$4005,"N"),0),$P$6:$P$4005,0)),"(tanpa lawan)"))</f>
        <v/>
      </c>
      <c r="R2338" s="44"/>
      <c r="S2338" s="9" t="str">
        <f aca="false">IF(N2338&lt;&gt;"Y","",IF(R2338&lt;&gt;"",R2338,IF(Q2338="(tanpa lawan)","Transfer antar rekening",IFERROR(INDEX(I_COA!$F$6:$F$265,MATCH(Q2338,I_COA!$A$6:$A$265,0)),"?"))))</f>
        <v/>
      </c>
    </row>
    <row r="2339" customFormat="false" ht="15" hidden="false" customHeight="false" outlineLevel="0" collapsed="false">
      <c r="A2339" s="37"/>
      <c r="B2339" s="44"/>
      <c r="C2339" s="44"/>
      <c r="D2339" s="44"/>
      <c r="E2339" s="44"/>
      <c r="F2339" s="44"/>
      <c r="G2339" s="42"/>
      <c r="H2339" s="42"/>
      <c r="I2339" s="44"/>
      <c r="J2339" s="11" t="str">
        <f aca="false">IF(D2339="","",N(G2339)-N(H2339))</f>
        <v/>
      </c>
      <c r="K2339" s="34" t="str">
        <f aca="false">IF(D2339="","",IFERROR(INDEX(I_COA!$C$6:$C$265,MATCH(D2339,I_COA!$A$6:$A$265,0)),"AKUN BARU"))</f>
        <v/>
      </c>
      <c r="L2339" s="34" t="str">
        <f aca="false">IF(K2339="LabaRugi",INDEX(I_COA!$D$6:$D$265,MATCH(D2339,I_COA!$A$6:$A$265,0)),"")</f>
        <v/>
      </c>
      <c r="M2339" s="34" t="str">
        <f aca="false">IF(K2339="Neraca",INDEX(I_COA!$E$6:$E$265,MATCH(D2339,I_COA!$A$6:$A$265,0)),"")</f>
        <v/>
      </c>
      <c r="N2339" s="34" t="str">
        <f aca="false">IF(D2339="","",IFERROR(INDEX(I_COA!$G$6:$G$265,MATCH(D2339,I_COA!$A$6:$A$265,0)),"N"))</f>
        <v/>
      </c>
      <c r="O2339" s="11" t="str">
        <f aca="false">IF(N2339="N",ABS(J2339),"")</f>
        <v/>
      </c>
      <c r="P2339" s="18" t="str">
        <f aca="false">IF(N2339="N",B2339&amp;"|"&amp;ROUND(O2339,0),"")</f>
        <v/>
      </c>
      <c r="Q2339" s="18" t="str">
        <f aca="false">IF(N2339&lt;&gt;"Y","",IFERROR(INDEX($D$6:$D$4005,MATCH(B2339&amp;"|"&amp;ROUND(_xlfn.MAXIFS($O$6:$O$4005,$B$6:$B$4005,B2339,$N$6:$N$4005,"N"),0),$P$6:$P$4005,0)),"(tanpa lawan)"))</f>
        <v/>
      </c>
      <c r="R2339" s="44"/>
      <c r="S2339" s="9" t="str">
        <f aca="false">IF(N2339&lt;&gt;"Y","",IF(R2339&lt;&gt;"",R2339,IF(Q2339="(tanpa lawan)","Transfer antar rekening",IFERROR(INDEX(I_COA!$F$6:$F$265,MATCH(Q2339,I_COA!$A$6:$A$265,0)),"?"))))</f>
        <v/>
      </c>
    </row>
    <row r="2340" customFormat="false" ht="15" hidden="false" customHeight="false" outlineLevel="0" collapsed="false">
      <c r="A2340" s="37"/>
      <c r="B2340" s="44"/>
      <c r="C2340" s="44"/>
      <c r="D2340" s="44"/>
      <c r="E2340" s="44"/>
      <c r="F2340" s="44"/>
      <c r="G2340" s="42"/>
      <c r="H2340" s="42"/>
      <c r="I2340" s="44"/>
      <c r="J2340" s="11" t="str">
        <f aca="false">IF(D2340="","",N(G2340)-N(H2340))</f>
        <v/>
      </c>
      <c r="K2340" s="34" t="str">
        <f aca="false">IF(D2340="","",IFERROR(INDEX(I_COA!$C$6:$C$265,MATCH(D2340,I_COA!$A$6:$A$265,0)),"AKUN BARU"))</f>
        <v/>
      </c>
      <c r="L2340" s="34" t="str">
        <f aca="false">IF(K2340="LabaRugi",INDEX(I_COA!$D$6:$D$265,MATCH(D2340,I_COA!$A$6:$A$265,0)),"")</f>
        <v/>
      </c>
      <c r="M2340" s="34" t="str">
        <f aca="false">IF(K2340="Neraca",INDEX(I_COA!$E$6:$E$265,MATCH(D2340,I_COA!$A$6:$A$265,0)),"")</f>
        <v/>
      </c>
      <c r="N2340" s="34" t="str">
        <f aca="false">IF(D2340="","",IFERROR(INDEX(I_COA!$G$6:$G$265,MATCH(D2340,I_COA!$A$6:$A$265,0)),"N"))</f>
        <v/>
      </c>
      <c r="O2340" s="11" t="str">
        <f aca="false">IF(N2340="N",ABS(J2340),"")</f>
        <v/>
      </c>
      <c r="P2340" s="18" t="str">
        <f aca="false">IF(N2340="N",B2340&amp;"|"&amp;ROUND(O2340,0),"")</f>
        <v/>
      </c>
      <c r="Q2340" s="18" t="str">
        <f aca="false">IF(N2340&lt;&gt;"Y","",IFERROR(INDEX($D$6:$D$4005,MATCH(B2340&amp;"|"&amp;ROUND(_xlfn.MAXIFS($O$6:$O$4005,$B$6:$B$4005,B2340,$N$6:$N$4005,"N"),0),$P$6:$P$4005,0)),"(tanpa lawan)"))</f>
        <v/>
      </c>
      <c r="R2340" s="44"/>
      <c r="S2340" s="9" t="str">
        <f aca="false">IF(N2340&lt;&gt;"Y","",IF(R2340&lt;&gt;"",R2340,IF(Q2340="(tanpa lawan)","Transfer antar rekening",IFERROR(INDEX(I_COA!$F$6:$F$265,MATCH(Q2340,I_COA!$A$6:$A$265,0)),"?"))))</f>
        <v/>
      </c>
    </row>
    <row r="2341" customFormat="false" ht="15" hidden="false" customHeight="false" outlineLevel="0" collapsed="false">
      <c r="A2341" s="37"/>
      <c r="B2341" s="44"/>
      <c r="C2341" s="44"/>
      <c r="D2341" s="44"/>
      <c r="E2341" s="44"/>
      <c r="F2341" s="44"/>
      <c r="G2341" s="42"/>
      <c r="H2341" s="42"/>
      <c r="I2341" s="44"/>
      <c r="J2341" s="11" t="str">
        <f aca="false">IF(D2341="","",N(G2341)-N(H2341))</f>
        <v/>
      </c>
      <c r="K2341" s="34" t="str">
        <f aca="false">IF(D2341="","",IFERROR(INDEX(I_COA!$C$6:$C$265,MATCH(D2341,I_COA!$A$6:$A$265,0)),"AKUN BARU"))</f>
        <v/>
      </c>
      <c r="L2341" s="34" t="str">
        <f aca="false">IF(K2341="LabaRugi",INDEX(I_COA!$D$6:$D$265,MATCH(D2341,I_COA!$A$6:$A$265,0)),"")</f>
        <v/>
      </c>
      <c r="M2341" s="34" t="str">
        <f aca="false">IF(K2341="Neraca",INDEX(I_COA!$E$6:$E$265,MATCH(D2341,I_COA!$A$6:$A$265,0)),"")</f>
        <v/>
      </c>
      <c r="N2341" s="34" t="str">
        <f aca="false">IF(D2341="","",IFERROR(INDEX(I_COA!$G$6:$G$265,MATCH(D2341,I_COA!$A$6:$A$265,0)),"N"))</f>
        <v/>
      </c>
      <c r="O2341" s="11" t="str">
        <f aca="false">IF(N2341="N",ABS(J2341),"")</f>
        <v/>
      </c>
      <c r="P2341" s="18" t="str">
        <f aca="false">IF(N2341="N",B2341&amp;"|"&amp;ROUND(O2341,0),"")</f>
        <v/>
      </c>
      <c r="Q2341" s="18" t="str">
        <f aca="false">IF(N2341&lt;&gt;"Y","",IFERROR(INDEX($D$6:$D$4005,MATCH(B2341&amp;"|"&amp;ROUND(_xlfn.MAXIFS($O$6:$O$4005,$B$6:$B$4005,B2341,$N$6:$N$4005,"N"),0),$P$6:$P$4005,0)),"(tanpa lawan)"))</f>
        <v/>
      </c>
      <c r="R2341" s="44"/>
      <c r="S2341" s="9" t="str">
        <f aca="false">IF(N2341&lt;&gt;"Y","",IF(R2341&lt;&gt;"",R2341,IF(Q2341="(tanpa lawan)","Transfer antar rekening",IFERROR(INDEX(I_COA!$F$6:$F$265,MATCH(Q2341,I_COA!$A$6:$A$265,0)),"?"))))</f>
        <v/>
      </c>
    </row>
    <row r="2342" customFormat="false" ht="15" hidden="false" customHeight="false" outlineLevel="0" collapsed="false">
      <c r="A2342" s="37"/>
      <c r="B2342" s="44"/>
      <c r="C2342" s="44"/>
      <c r="D2342" s="44"/>
      <c r="E2342" s="44"/>
      <c r="F2342" s="44"/>
      <c r="G2342" s="42"/>
      <c r="H2342" s="42"/>
      <c r="I2342" s="44"/>
      <c r="J2342" s="11" t="str">
        <f aca="false">IF(D2342="","",N(G2342)-N(H2342))</f>
        <v/>
      </c>
      <c r="K2342" s="34" t="str">
        <f aca="false">IF(D2342="","",IFERROR(INDEX(I_COA!$C$6:$C$265,MATCH(D2342,I_COA!$A$6:$A$265,0)),"AKUN BARU"))</f>
        <v/>
      </c>
      <c r="L2342" s="34" t="str">
        <f aca="false">IF(K2342="LabaRugi",INDEX(I_COA!$D$6:$D$265,MATCH(D2342,I_COA!$A$6:$A$265,0)),"")</f>
        <v/>
      </c>
      <c r="M2342" s="34" t="str">
        <f aca="false">IF(K2342="Neraca",INDEX(I_COA!$E$6:$E$265,MATCH(D2342,I_COA!$A$6:$A$265,0)),"")</f>
        <v/>
      </c>
      <c r="N2342" s="34" t="str">
        <f aca="false">IF(D2342="","",IFERROR(INDEX(I_COA!$G$6:$G$265,MATCH(D2342,I_COA!$A$6:$A$265,0)),"N"))</f>
        <v/>
      </c>
      <c r="O2342" s="11" t="str">
        <f aca="false">IF(N2342="N",ABS(J2342),"")</f>
        <v/>
      </c>
      <c r="P2342" s="18" t="str">
        <f aca="false">IF(N2342="N",B2342&amp;"|"&amp;ROUND(O2342,0),"")</f>
        <v/>
      </c>
      <c r="Q2342" s="18" t="str">
        <f aca="false">IF(N2342&lt;&gt;"Y","",IFERROR(INDEX($D$6:$D$4005,MATCH(B2342&amp;"|"&amp;ROUND(_xlfn.MAXIFS($O$6:$O$4005,$B$6:$B$4005,B2342,$N$6:$N$4005,"N"),0),$P$6:$P$4005,0)),"(tanpa lawan)"))</f>
        <v/>
      </c>
      <c r="R2342" s="44"/>
      <c r="S2342" s="9" t="str">
        <f aca="false">IF(N2342&lt;&gt;"Y","",IF(R2342&lt;&gt;"",R2342,IF(Q2342="(tanpa lawan)","Transfer antar rekening",IFERROR(INDEX(I_COA!$F$6:$F$265,MATCH(Q2342,I_COA!$A$6:$A$265,0)),"?"))))</f>
        <v/>
      </c>
    </row>
    <row r="2343" customFormat="false" ht="15" hidden="false" customHeight="false" outlineLevel="0" collapsed="false">
      <c r="A2343" s="37"/>
      <c r="B2343" s="44"/>
      <c r="C2343" s="44"/>
      <c r="D2343" s="44"/>
      <c r="E2343" s="44"/>
      <c r="F2343" s="44"/>
      <c r="G2343" s="42"/>
      <c r="H2343" s="42"/>
      <c r="I2343" s="44"/>
      <c r="J2343" s="11" t="str">
        <f aca="false">IF(D2343="","",N(G2343)-N(H2343))</f>
        <v/>
      </c>
      <c r="K2343" s="34" t="str">
        <f aca="false">IF(D2343="","",IFERROR(INDEX(I_COA!$C$6:$C$265,MATCH(D2343,I_COA!$A$6:$A$265,0)),"AKUN BARU"))</f>
        <v/>
      </c>
      <c r="L2343" s="34" t="str">
        <f aca="false">IF(K2343="LabaRugi",INDEX(I_COA!$D$6:$D$265,MATCH(D2343,I_COA!$A$6:$A$265,0)),"")</f>
        <v/>
      </c>
      <c r="M2343" s="34" t="str">
        <f aca="false">IF(K2343="Neraca",INDEX(I_COA!$E$6:$E$265,MATCH(D2343,I_COA!$A$6:$A$265,0)),"")</f>
        <v/>
      </c>
      <c r="N2343" s="34" t="str">
        <f aca="false">IF(D2343="","",IFERROR(INDEX(I_COA!$G$6:$G$265,MATCH(D2343,I_COA!$A$6:$A$265,0)),"N"))</f>
        <v/>
      </c>
      <c r="O2343" s="11" t="str">
        <f aca="false">IF(N2343="N",ABS(J2343),"")</f>
        <v/>
      </c>
      <c r="P2343" s="18" t="str">
        <f aca="false">IF(N2343="N",B2343&amp;"|"&amp;ROUND(O2343,0),"")</f>
        <v/>
      </c>
      <c r="Q2343" s="18" t="str">
        <f aca="false">IF(N2343&lt;&gt;"Y","",IFERROR(INDEX($D$6:$D$4005,MATCH(B2343&amp;"|"&amp;ROUND(_xlfn.MAXIFS($O$6:$O$4005,$B$6:$B$4005,B2343,$N$6:$N$4005,"N"),0),$P$6:$P$4005,0)),"(tanpa lawan)"))</f>
        <v/>
      </c>
      <c r="R2343" s="44"/>
      <c r="S2343" s="9" t="str">
        <f aca="false">IF(N2343&lt;&gt;"Y","",IF(R2343&lt;&gt;"",R2343,IF(Q2343="(tanpa lawan)","Transfer antar rekening",IFERROR(INDEX(I_COA!$F$6:$F$265,MATCH(Q2343,I_COA!$A$6:$A$265,0)),"?"))))</f>
        <v/>
      </c>
    </row>
    <row r="2344" customFormat="false" ht="15" hidden="false" customHeight="false" outlineLevel="0" collapsed="false">
      <c r="A2344" s="37"/>
      <c r="B2344" s="44"/>
      <c r="C2344" s="44"/>
      <c r="D2344" s="44"/>
      <c r="E2344" s="44"/>
      <c r="F2344" s="44"/>
      <c r="G2344" s="42"/>
      <c r="H2344" s="42"/>
      <c r="I2344" s="44"/>
      <c r="J2344" s="11" t="str">
        <f aca="false">IF(D2344="","",N(G2344)-N(H2344))</f>
        <v/>
      </c>
      <c r="K2344" s="34" t="str">
        <f aca="false">IF(D2344="","",IFERROR(INDEX(I_COA!$C$6:$C$265,MATCH(D2344,I_COA!$A$6:$A$265,0)),"AKUN BARU"))</f>
        <v/>
      </c>
      <c r="L2344" s="34" t="str">
        <f aca="false">IF(K2344="LabaRugi",INDEX(I_COA!$D$6:$D$265,MATCH(D2344,I_COA!$A$6:$A$265,0)),"")</f>
        <v/>
      </c>
      <c r="M2344" s="34" t="str">
        <f aca="false">IF(K2344="Neraca",INDEX(I_COA!$E$6:$E$265,MATCH(D2344,I_COA!$A$6:$A$265,0)),"")</f>
        <v/>
      </c>
      <c r="N2344" s="34" t="str">
        <f aca="false">IF(D2344="","",IFERROR(INDEX(I_COA!$G$6:$G$265,MATCH(D2344,I_COA!$A$6:$A$265,0)),"N"))</f>
        <v/>
      </c>
      <c r="O2344" s="11" t="str">
        <f aca="false">IF(N2344="N",ABS(J2344),"")</f>
        <v/>
      </c>
      <c r="P2344" s="18" t="str">
        <f aca="false">IF(N2344="N",B2344&amp;"|"&amp;ROUND(O2344,0),"")</f>
        <v/>
      </c>
      <c r="Q2344" s="18" t="str">
        <f aca="false">IF(N2344&lt;&gt;"Y","",IFERROR(INDEX($D$6:$D$4005,MATCH(B2344&amp;"|"&amp;ROUND(_xlfn.MAXIFS($O$6:$O$4005,$B$6:$B$4005,B2344,$N$6:$N$4005,"N"),0),$P$6:$P$4005,0)),"(tanpa lawan)"))</f>
        <v/>
      </c>
      <c r="R2344" s="44"/>
      <c r="S2344" s="9" t="str">
        <f aca="false">IF(N2344&lt;&gt;"Y","",IF(R2344&lt;&gt;"",R2344,IF(Q2344="(tanpa lawan)","Transfer antar rekening",IFERROR(INDEX(I_COA!$F$6:$F$265,MATCH(Q2344,I_COA!$A$6:$A$265,0)),"?"))))</f>
        <v/>
      </c>
    </row>
    <row r="2345" customFormat="false" ht="15" hidden="false" customHeight="false" outlineLevel="0" collapsed="false">
      <c r="A2345" s="37"/>
      <c r="B2345" s="44"/>
      <c r="C2345" s="44"/>
      <c r="D2345" s="44"/>
      <c r="E2345" s="44"/>
      <c r="F2345" s="44"/>
      <c r="G2345" s="42"/>
      <c r="H2345" s="42"/>
      <c r="I2345" s="44"/>
      <c r="J2345" s="11" t="str">
        <f aca="false">IF(D2345="","",N(G2345)-N(H2345))</f>
        <v/>
      </c>
      <c r="K2345" s="34" t="str">
        <f aca="false">IF(D2345="","",IFERROR(INDEX(I_COA!$C$6:$C$265,MATCH(D2345,I_COA!$A$6:$A$265,0)),"AKUN BARU"))</f>
        <v/>
      </c>
      <c r="L2345" s="34" t="str">
        <f aca="false">IF(K2345="LabaRugi",INDEX(I_COA!$D$6:$D$265,MATCH(D2345,I_COA!$A$6:$A$265,0)),"")</f>
        <v/>
      </c>
      <c r="M2345" s="34" t="str">
        <f aca="false">IF(K2345="Neraca",INDEX(I_COA!$E$6:$E$265,MATCH(D2345,I_COA!$A$6:$A$265,0)),"")</f>
        <v/>
      </c>
      <c r="N2345" s="34" t="str">
        <f aca="false">IF(D2345="","",IFERROR(INDEX(I_COA!$G$6:$G$265,MATCH(D2345,I_COA!$A$6:$A$265,0)),"N"))</f>
        <v/>
      </c>
      <c r="O2345" s="11" t="str">
        <f aca="false">IF(N2345="N",ABS(J2345),"")</f>
        <v/>
      </c>
      <c r="P2345" s="18" t="str">
        <f aca="false">IF(N2345="N",B2345&amp;"|"&amp;ROUND(O2345,0),"")</f>
        <v/>
      </c>
      <c r="Q2345" s="18" t="str">
        <f aca="false">IF(N2345&lt;&gt;"Y","",IFERROR(INDEX($D$6:$D$4005,MATCH(B2345&amp;"|"&amp;ROUND(_xlfn.MAXIFS($O$6:$O$4005,$B$6:$B$4005,B2345,$N$6:$N$4005,"N"),0),$P$6:$P$4005,0)),"(tanpa lawan)"))</f>
        <v/>
      </c>
      <c r="R2345" s="44"/>
      <c r="S2345" s="9" t="str">
        <f aca="false">IF(N2345&lt;&gt;"Y","",IF(R2345&lt;&gt;"",R2345,IF(Q2345="(tanpa lawan)","Transfer antar rekening",IFERROR(INDEX(I_COA!$F$6:$F$265,MATCH(Q2345,I_COA!$A$6:$A$265,0)),"?"))))</f>
        <v/>
      </c>
    </row>
    <row r="2346" customFormat="false" ht="15" hidden="false" customHeight="false" outlineLevel="0" collapsed="false">
      <c r="A2346" s="37"/>
      <c r="B2346" s="44"/>
      <c r="C2346" s="44"/>
      <c r="D2346" s="44"/>
      <c r="E2346" s="44"/>
      <c r="F2346" s="44"/>
      <c r="G2346" s="42"/>
      <c r="H2346" s="42"/>
      <c r="I2346" s="44"/>
      <c r="J2346" s="11" t="str">
        <f aca="false">IF(D2346="","",N(G2346)-N(H2346))</f>
        <v/>
      </c>
      <c r="K2346" s="34" t="str">
        <f aca="false">IF(D2346="","",IFERROR(INDEX(I_COA!$C$6:$C$265,MATCH(D2346,I_COA!$A$6:$A$265,0)),"AKUN BARU"))</f>
        <v/>
      </c>
      <c r="L2346" s="34" t="str">
        <f aca="false">IF(K2346="LabaRugi",INDEX(I_COA!$D$6:$D$265,MATCH(D2346,I_COA!$A$6:$A$265,0)),"")</f>
        <v/>
      </c>
      <c r="M2346" s="34" t="str">
        <f aca="false">IF(K2346="Neraca",INDEX(I_COA!$E$6:$E$265,MATCH(D2346,I_COA!$A$6:$A$265,0)),"")</f>
        <v/>
      </c>
      <c r="N2346" s="34" t="str">
        <f aca="false">IF(D2346="","",IFERROR(INDEX(I_COA!$G$6:$G$265,MATCH(D2346,I_COA!$A$6:$A$265,0)),"N"))</f>
        <v/>
      </c>
      <c r="O2346" s="11" t="str">
        <f aca="false">IF(N2346="N",ABS(J2346),"")</f>
        <v/>
      </c>
      <c r="P2346" s="18" t="str">
        <f aca="false">IF(N2346="N",B2346&amp;"|"&amp;ROUND(O2346,0),"")</f>
        <v/>
      </c>
      <c r="Q2346" s="18" t="str">
        <f aca="false">IF(N2346&lt;&gt;"Y","",IFERROR(INDEX($D$6:$D$4005,MATCH(B2346&amp;"|"&amp;ROUND(_xlfn.MAXIFS($O$6:$O$4005,$B$6:$B$4005,B2346,$N$6:$N$4005,"N"),0),$P$6:$P$4005,0)),"(tanpa lawan)"))</f>
        <v/>
      </c>
      <c r="R2346" s="44"/>
      <c r="S2346" s="9" t="str">
        <f aca="false">IF(N2346&lt;&gt;"Y","",IF(R2346&lt;&gt;"",R2346,IF(Q2346="(tanpa lawan)","Transfer antar rekening",IFERROR(INDEX(I_COA!$F$6:$F$265,MATCH(Q2346,I_COA!$A$6:$A$265,0)),"?"))))</f>
        <v/>
      </c>
    </row>
    <row r="2347" customFormat="false" ht="15" hidden="false" customHeight="false" outlineLevel="0" collapsed="false">
      <c r="A2347" s="37"/>
      <c r="B2347" s="44"/>
      <c r="C2347" s="44"/>
      <c r="D2347" s="44"/>
      <c r="E2347" s="44"/>
      <c r="F2347" s="44"/>
      <c r="G2347" s="42"/>
      <c r="H2347" s="42"/>
      <c r="I2347" s="44"/>
      <c r="J2347" s="11" t="str">
        <f aca="false">IF(D2347="","",N(G2347)-N(H2347))</f>
        <v/>
      </c>
      <c r="K2347" s="34" t="str">
        <f aca="false">IF(D2347="","",IFERROR(INDEX(I_COA!$C$6:$C$265,MATCH(D2347,I_COA!$A$6:$A$265,0)),"AKUN BARU"))</f>
        <v/>
      </c>
      <c r="L2347" s="34" t="str">
        <f aca="false">IF(K2347="LabaRugi",INDEX(I_COA!$D$6:$D$265,MATCH(D2347,I_COA!$A$6:$A$265,0)),"")</f>
        <v/>
      </c>
      <c r="M2347" s="34" t="str">
        <f aca="false">IF(K2347="Neraca",INDEX(I_COA!$E$6:$E$265,MATCH(D2347,I_COA!$A$6:$A$265,0)),"")</f>
        <v/>
      </c>
      <c r="N2347" s="34" t="str">
        <f aca="false">IF(D2347="","",IFERROR(INDEX(I_COA!$G$6:$G$265,MATCH(D2347,I_COA!$A$6:$A$265,0)),"N"))</f>
        <v/>
      </c>
      <c r="O2347" s="11" t="str">
        <f aca="false">IF(N2347="N",ABS(J2347),"")</f>
        <v/>
      </c>
      <c r="P2347" s="18" t="str">
        <f aca="false">IF(N2347="N",B2347&amp;"|"&amp;ROUND(O2347,0),"")</f>
        <v/>
      </c>
      <c r="Q2347" s="18" t="str">
        <f aca="false">IF(N2347&lt;&gt;"Y","",IFERROR(INDEX($D$6:$D$4005,MATCH(B2347&amp;"|"&amp;ROUND(_xlfn.MAXIFS($O$6:$O$4005,$B$6:$B$4005,B2347,$N$6:$N$4005,"N"),0),$P$6:$P$4005,0)),"(tanpa lawan)"))</f>
        <v/>
      </c>
      <c r="R2347" s="44"/>
      <c r="S2347" s="9" t="str">
        <f aca="false">IF(N2347&lt;&gt;"Y","",IF(R2347&lt;&gt;"",R2347,IF(Q2347="(tanpa lawan)","Transfer antar rekening",IFERROR(INDEX(I_COA!$F$6:$F$265,MATCH(Q2347,I_COA!$A$6:$A$265,0)),"?"))))</f>
        <v/>
      </c>
    </row>
    <row r="2348" customFormat="false" ht="15" hidden="false" customHeight="false" outlineLevel="0" collapsed="false">
      <c r="A2348" s="37"/>
      <c r="B2348" s="44"/>
      <c r="C2348" s="44"/>
      <c r="D2348" s="44"/>
      <c r="E2348" s="44"/>
      <c r="F2348" s="44"/>
      <c r="G2348" s="42"/>
      <c r="H2348" s="42"/>
      <c r="I2348" s="44"/>
      <c r="J2348" s="11" t="str">
        <f aca="false">IF(D2348="","",N(G2348)-N(H2348))</f>
        <v/>
      </c>
      <c r="K2348" s="34" t="str">
        <f aca="false">IF(D2348="","",IFERROR(INDEX(I_COA!$C$6:$C$265,MATCH(D2348,I_COA!$A$6:$A$265,0)),"AKUN BARU"))</f>
        <v/>
      </c>
      <c r="L2348" s="34" t="str">
        <f aca="false">IF(K2348="LabaRugi",INDEX(I_COA!$D$6:$D$265,MATCH(D2348,I_COA!$A$6:$A$265,0)),"")</f>
        <v/>
      </c>
      <c r="M2348" s="34" t="str">
        <f aca="false">IF(K2348="Neraca",INDEX(I_COA!$E$6:$E$265,MATCH(D2348,I_COA!$A$6:$A$265,0)),"")</f>
        <v/>
      </c>
      <c r="N2348" s="34" t="str">
        <f aca="false">IF(D2348="","",IFERROR(INDEX(I_COA!$G$6:$G$265,MATCH(D2348,I_COA!$A$6:$A$265,0)),"N"))</f>
        <v/>
      </c>
      <c r="O2348" s="11" t="str">
        <f aca="false">IF(N2348="N",ABS(J2348),"")</f>
        <v/>
      </c>
      <c r="P2348" s="18" t="str">
        <f aca="false">IF(N2348="N",B2348&amp;"|"&amp;ROUND(O2348,0),"")</f>
        <v/>
      </c>
      <c r="Q2348" s="18" t="str">
        <f aca="false">IF(N2348&lt;&gt;"Y","",IFERROR(INDEX($D$6:$D$4005,MATCH(B2348&amp;"|"&amp;ROUND(_xlfn.MAXIFS($O$6:$O$4005,$B$6:$B$4005,B2348,$N$6:$N$4005,"N"),0),$P$6:$P$4005,0)),"(tanpa lawan)"))</f>
        <v/>
      </c>
      <c r="R2348" s="44"/>
      <c r="S2348" s="9" t="str">
        <f aca="false">IF(N2348&lt;&gt;"Y","",IF(R2348&lt;&gt;"",R2348,IF(Q2348="(tanpa lawan)","Transfer antar rekening",IFERROR(INDEX(I_COA!$F$6:$F$265,MATCH(Q2348,I_COA!$A$6:$A$265,0)),"?"))))</f>
        <v/>
      </c>
    </row>
    <row r="2349" customFormat="false" ht="15" hidden="false" customHeight="false" outlineLevel="0" collapsed="false">
      <c r="A2349" s="37"/>
      <c r="B2349" s="44"/>
      <c r="C2349" s="44"/>
      <c r="D2349" s="44"/>
      <c r="E2349" s="44"/>
      <c r="F2349" s="44"/>
      <c r="G2349" s="42"/>
      <c r="H2349" s="42"/>
      <c r="I2349" s="44"/>
      <c r="J2349" s="11" t="str">
        <f aca="false">IF(D2349="","",N(G2349)-N(H2349))</f>
        <v/>
      </c>
      <c r="K2349" s="34" t="str">
        <f aca="false">IF(D2349="","",IFERROR(INDEX(I_COA!$C$6:$C$265,MATCH(D2349,I_COA!$A$6:$A$265,0)),"AKUN BARU"))</f>
        <v/>
      </c>
      <c r="L2349" s="34" t="str">
        <f aca="false">IF(K2349="LabaRugi",INDEX(I_COA!$D$6:$D$265,MATCH(D2349,I_COA!$A$6:$A$265,0)),"")</f>
        <v/>
      </c>
      <c r="M2349" s="34" t="str">
        <f aca="false">IF(K2349="Neraca",INDEX(I_COA!$E$6:$E$265,MATCH(D2349,I_COA!$A$6:$A$265,0)),"")</f>
        <v/>
      </c>
      <c r="N2349" s="34" t="str">
        <f aca="false">IF(D2349="","",IFERROR(INDEX(I_COA!$G$6:$G$265,MATCH(D2349,I_COA!$A$6:$A$265,0)),"N"))</f>
        <v/>
      </c>
      <c r="O2349" s="11" t="str">
        <f aca="false">IF(N2349="N",ABS(J2349),"")</f>
        <v/>
      </c>
      <c r="P2349" s="18" t="str">
        <f aca="false">IF(N2349="N",B2349&amp;"|"&amp;ROUND(O2349,0),"")</f>
        <v/>
      </c>
      <c r="Q2349" s="18" t="str">
        <f aca="false">IF(N2349&lt;&gt;"Y","",IFERROR(INDEX($D$6:$D$4005,MATCH(B2349&amp;"|"&amp;ROUND(_xlfn.MAXIFS($O$6:$O$4005,$B$6:$B$4005,B2349,$N$6:$N$4005,"N"),0),$P$6:$P$4005,0)),"(tanpa lawan)"))</f>
        <v/>
      </c>
      <c r="R2349" s="44"/>
      <c r="S2349" s="9" t="str">
        <f aca="false">IF(N2349&lt;&gt;"Y","",IF(R2349&lt;&gt;"",R2349,IF(Q2349="(tanpa lawan)","Transfer antar rekening",IFERROR(INDEX(I_COA!$F$6:$F$265,MATCH(Q2349,I_COA!$A$6:$A$265,0)),"?"))))</f>
        <v/>
      </c>
    </row>
    <row r="2350" customFormat="false" ht="15" hidden="false" customHeight="false" outlineLevel="0" collapsed="false">
      <c r="A2350" s="37"/>
      <c r="B2350" s="44"/>
      <c r="C2350" s="44"/>
      <c r="D2350" s="44"/>
      <c r="E2350" s="44"/>
      <c r="F2350" s="44"/>
      <c r="G2350" s="42"/>
      <c r="H2350" s="42"/>
      <c r="I2350" s="44"/>
      <c r="J2350" s="11" t="str">
        <f aca="false">IF(D2350="","",N(G2350)-N(H2350))</f>
        <v/>
      </c>
      <c r="K2350" s="34" t="str">
        <f aca="false">IF(D2350="","",IFERROR(INDEX(I_COA!$C$6:$C$265,MATCH(D2350,I_COA!$A$6:$A$265,0)),"AKUN BARU"))</f>
        <v/>
      </c>
      <c r="L2350" s="34" t="str">
        <f aca="false">IF(K2350="LabaRugi",INDEX(I_COA!$D$6:$D$265,MATCH(D2350,I_COA!$A$6:$A$265,0)),"")</f>
        <v/>
      </c>
      <c r="M2350" s="34" t="str">
        <f aca="false">IF(K2350="Neraca",INDEX(I_COA!$E$6:$E$265,MATCH(D2350,I_COA!$A$6:$A$265,0)),"")</f>
        <v/>
      </c>
      <c r="N2350" s="34" t="str">
        <f aca="false">IF(D2350="","",IFERROR(INDEX(I_COA!$G$6:$G$265,MATCH(D2350,I_COA!$A$6:$A$265,0)),"N"))</f>
        <v/>
      </c>
      <c r="O2350" s="11" t="str">
        <f aca="false">IF(N2350="N",ABS(J2350),"")</f>
        <v/>
      </c>
      <c r="P2350" s="18" t="str">
        <f aca="false">IF(N2350="N",B2350&amp;"|"&amp;ROUND(O2350,0),"")</f>
        <v/>
      </c>
      <c r="Q2350" s="18" t="str">
        <f aca="false">IF(N2350&lt;&gt;"Y","",IFERROR(INDEX($D$6:$D$4005,MATCH(B2350&amp;"|"&amp;ROUND(_xlfn.MAXIFS($O$6:$O$4005,$B$6:$B$4005,B2350,$N$6:$N$4005,"N"),0),$P$6:$P$4005,0)),"(tanpa lawan)"))</f>
        <v/>
      </c>
      <c r="R2350" s="44"/>
      <c r="S2350" s="9" t="str">
        <f aca="false">IF(N2350&lt;&gt;"Y","",IF(R2350&lt;&gt;"",R2350,IF(Q2350="(tanpa lawan)","Transfer antar rekening",IFERROR(INDEX(I_COA!$F$6:$F$265,MATCH(Q2350,I_COA!$A$6:$A$265,0)),"?"))))</f>
        <v/>
      </c>
    </row>
    <row r="2351" customFormat="false" ht="15" hidden="false" customHeight="false" outlineLevel="0" collapsed="false">
      <c r="A2351" s="37"/>
      <c r="B2351" s="44"/>
      <c r="C2351" s="44"/>
      <c r="D2351" s="44"/>
      <c r="E2351" s="44"/>
      <c r="F2351" s="44"/>
      <c r="G2351" s="42"/>
      <c r="H2351" s="42"/>
      <c r="I2351" s="44"/>
      <c r="J2351" s="11" t="str">
        <f aca="false">IF(D2351="","",N(G2351)-N(H2351))</f>
        <v/>
      </c>
      <c r="K2351" s="34" t="str">
        <f aca="false">IF(D2351="","",IFERROR(INDEX(I_COA!$C$6:$C$265,MATCH(D2351,I_COA!$A$6:$A$265,0)),"AKUN BARU"))</f>
        <v/>
      </c>
      <c r="L2351" s="34" t="str">
        <f aca="false">IF(K2351="LabaRugi",INDEX(I_COA!$D$6:$D$265,MATCH(D2351,I_COA!$A$6:$A$265,0)),"")</f>
        <v/>
      </c>
      <c r="M2351" s="34" t="str">
        <f aca="false">IF(K2351="Neraca",INDEX(I_COA!$E$6:$E$265,MATCH(D2351,I_COA!$A$6:$A$265,0)),"")</f>
        <v/>
      </c>
      <c r="N2351" s="34" t="str">
        <f aca="false">IF(D2351="","",IFERROR(INDEX(I_COA!$G$6:$G$265,MATCH(D2351,I_COA!$A$6:$A$265,0)),"N"))</f>
        <v/>
      </c>
      <c r="O2351" s="11" t="str">
        <f aca="false">IF(N2351="N",ABS(J2351),"")</f>
        <v/>
      </c>
      <c r="P2351" s="18" t="str">
        <f aca="false">IF(N2351="N",B2351&amp;"|"&amp;ROUND(O2351,0),"")</f>
        <v/>
      </c>
      <c r="Q2351" s="18" t="str">
        <f aca="false">IF(N2351&lt;&gt;"Y","",IFERROR(INDEX($D$6:$D$4005,MATCH(B2351&amp;"|"&amp;ROUND(_xlfn.MAXIFS($O$6:$O$4005,$B$6:$B$4005,B2351,$N$6:$N$4005,"N"),0),$P$6:$P$4005,0)),"(tanpa lawan)"))</f>
        <v/>
      </c>
      <c r="R2351" s="44"/>
      <c r="S2351" s="9" t="str">
        <f aca="false">IF(N2351&lt;&gt;"Y","",IF(R2351&lt;&gt;"",R2351,IF(Q2351="(tanpa lawan)","Transfer antar rekening",IFERROR(INDEX(I_COA!$F$6:$F$265,MATCH(Q2351,I_COA!$A$6:$A$265,0)),"?"))))</f>
        <v/>
      </c>
    </row>
    <row r="2352" customFormat="false" ht="15" hidden="false" customHeight="false" outlineLevel="0" collapsed="false">
      <c r="A2352" s="37"/>
      <c r="B2352" s="44"/>
      <c r="C2352" s="44"/>
      <c r="D2352" s="44"/>
      <c r="E2352" s="44"/>
      <c r="F2352" s="44"/>
      <c r="G2352" s="42"/>
      <c r="H2352" s="42"/>
      <c r="I2352" s="44"/>
      <c r="J2352" s="11" t="str">
        <f aca="false">IF(D2352="","",N(G2352)-N(H2352))</f>
        <v/>
      </c>
      <c r="K2352" s="34" t="str">
        <f aca="false">IF(D2352="","",IFERROR(INDEX(I_COA!$C$6:$C$265,MATCH(D2352,I_COA!$A$6:$A$265,0)),"AKUN BARU"))</f>
        <v/>
      </c>
      <c r="L2352" s="34" t="str">
        <f aca="false">IF(K2352="LabaRugi",INDEX(I_COA!$D$6:$D$265,MATCH(D2352,I_COA!$A$6:$A$265,0)),"")</f>
        <v/>
      </c>
      <c r="M2352" s="34" t="str">
        <f aca="false">IF(K2352="Neraca",INDEX(I_COA!$E$6:$E$265,MATCH(D2352,I_COA!$A$6:$A$265,0)),"")</f>
        <v/>
      </c>
      <c r="N2352" s="34" t="str">
        <f aca="false">IF(D2352="","",IFERROR(INDEX(I_COA!$G$6:$G$265,MATCH(D2352,I_COA!$A$6:$A$265,0)),"N"))</f>
        <v/>
      </c>
      <c r="O2352" s="11" t="str">
        <f aca="false">IF(N2352="N",ABS(J2352),"")</f>
        <v/>
      </c>
      <c r="P2352" s="18" t="str">
        <f aca="false">IF(N2352="N",B2352&amp;"|"&amp;ROUND(O2352,0),"")</f>
        <v/>
      </c>
      <c r="Q2352" s="18" t="str">
        <f aca="false">IF(N2352&lt;&gt;"Y","",IFERROR(INDEX($D$6:$D$4005,MATCH(B2352&amp;"|"&amp;ROUND(_xlfn.MAXIFS($O$6:$O$4005,$B$6:$B$4005,B2352,$N$6:$N$4005,"N"),0),$P$6:$P$4005,0)),"(tanpa lawan)"))</f>
        <v/>
      </c>
      <c r="R2352" s="44"/>
      <c r="S2352" s="9" t="str">
        <f aca="false">IF(N2352&lt;&gt;"Y","",IF(R2352&lt;&gt;"",R2352,IF(Q2352="(tanpa lawan)","Transfer antar rekening",IFERROR(INDEX(I_COA!$F$6:$F$265,MATCH(Q2352,I_COA!$A$6:$A$265,0)),"?"))))</f>
        <v/>
      </c>
    </row>
    <row r="2353" customFormat="false" ht="15" hidden="false" customHeight="false" outlineLevel="0" collapsed="false">
      <c r="A2353" s="37"/>
      <c r="B2353" s="44"/>
      <c r="C2353" s="44"/>
      <c r="D2353" s="44"/>
      <c r="E2353" s="44"/>
      <c r="F2353" s="44"/>
      <c r="G2353" s="42"/>
      <c r="H2353" s="42"/>
      <c r="I2353" s="44"/>
      <c r="J2353" s="11" t="str">
        <f aca="false">IF(D2353="","",N(G2353)-N(H2353))</f>
        <v/>
      </c>
      <c r="K2353" s="34" t="str">
        <f aca="false">IF(D2353="","",IFERROR(INDEX(I_COA!$C$6:$C$265,MATCH(D2353,I_COA!$A$6:$A$265,0)),"AKUN BARU"))</f>
        <v/>
      </c>
      <c r="L2353" s="34" t="str">
        <f aca="false">IF(K2353="LabaRugi",INDEX(I_COA!$D$6:$D$265,MATCH(D2353,I_COA!$A$6:$A$265,0)),"")</f>
        <v/>
      </c>
      <c r="M2353" s="34" t="str">
        <f aca="false">IF(K2353="Neraca",INDEX(I_COA!$E$6:$E$265,MATCH(D2353,I_COA!$A$6:$A$265,0)),"")</f>
        <v/>
      </c>
      <c r="N2353" s="34" t="str">
        <f aca="false">IF(D2353="","",IFERROR(INDEX(I_COA!$G$6:$G$265,MATCH(D2353,I_COA!$A$6:$A$265,0)),"N"))</f>
        <v/>
      </c>
      <c r="O2353" s="11" t="str">
        <f aca="false">IF(N2353="N",ABS(J2353),"")</f>
        <v/>
      </c>
      <c r="P2353" s="18" t="str">
        <f aca="false">IF(N2353="N",B2353&amp;"|"&amp;ROUND(O2353,0),"")</f>
        <v/>
      </c>
      <c r="Q2353" s="18" t="str">
        <f aca="false">IF(N2353&lt;&gt;"Y","",IFERROR(INDEX($D$6:$D$4005,MATCH(B2353&amp;"|"&amp;ROUND(_xlfn.MAXIFS($O$6:$O$4005,$B$6:$B$4005,B2353,$N$6:$N$4005,"N"),0),$P$6:$P$4005,0)),"(tanpa lawan)"))</f>
        <v/>
      </c>
      <c r="R2353" s="44"/>
      <c r="S2353" s="9" t="str">
        <f aca="false">IF(N2353&lt;&gt;"Y","",IF(R2353&lt;&gt;"",R2353,IF(Q2353="(tanpa lawan)","Transfer antar rekening",IFERROR(INDEX(I_COA!$F$6:$F$265,MATCH(Q2353,I_COA!$A$6:$A$265,0)),"?"))))</f>
        <v/>
      </c>
    </row>
    <row r="2354" customFormat="false" ht="15" hidden="false" customHeight="false" outlineLevel="0" collapsed="false">
      <c r="A2354" s="37"/>
      <c r="B2354" s="44"/>
      <c r="C2354" s="44"/>
      <c r="D2354" s="44"/>
      <c r="E2354" s="44"/>
      <c r="F2354" s="44"/>
      <c r="G2354" s="42"/>
      <c r="H2354" s="42"/>
      <c r="I2354" s="44"/>
      <c r="J2354" s="11" t="str">
        <f aca="false">IF(D2354="","",N(G2354)-N(H2354))</f>
        <v/>
      </c>
      <c r="K2354" s="34" t="str">
        <f aca="false">IF(D2354="","",IFERROR(INDEX(I_COA!$C$6:$C$265,MATCH(D2354,I_COA!$A$6:$A$265,0)),"AKUN BARU"))</f>
        <v/>
      </c>
      <c r="L2354" s="34" t="str">
        <f aca="false">IF(K2354="LabaRugi",INDEX(I_COA!$D$6:$D$265,MATCH(D2354,I_COA!$A$6:$A$265,0)),"")</f>
        <v/>
      </c>
      <c r="M2354" s="34" t="str">
        <f aca="false">IF(K2354="Neraca",INDEX(I_COA!$E$6:$E$265,MATCH(D2354,I_COA!$A$6:$A$265,0)),"")</f>
        <v/>
      </c>
      <c r="N2354" s="34" t="str">
        <f aca="false">IF(D2354="","",IFERROR(INDEX(I_COA!$G$6:$G$265,MATCH(D2354,I_COA!$A$6:$A$265,0)),"N"))</f>
        <v/>
      </c>
      <c r="O2354" s="11" t="str">
        <f aca="false">IF(N2354="N",ABS(J2354),"")</f>
        <v/>
      </c>
      <c r="P2354" s="18" t="str">
        <f aca="false">IF(N2354="N",B2354&amp;"|"&amp;ROUND(O2354,0),"")</f>
        <v/>
      </c>
      <c r="Q2354" s="18" t="str">
        <f aca="false">IF(N2354&lt;&gt;"Y","",IFERROR(INDEX($D$6:$D$4005,MATCH(B2354&amp;"|"&amp;ROUND(_xlfn.MAXIFS($O$6:$O$4005,$B$6:$B$4005,B2354,$N$6:$N$4005,"N"),0),$P$6:$P$4005,0)),"(tanpa lawan)"))</f>
        <v/>
      </c>
      <c r="R2354" s="44"/>
      <c r="S2354" s="9" t="str">
        <f aca="false">IF(N2354&lt;&gt;"Y","",IF(R2354&lt;&gt;"",R2354,IF(Q2354="(tanpa lawan)","Transfer antar rekening",IFERROR(INDEX(I_COA!$F$6:$F$265,MATCH(Q2354,I_COA!$A$6:$A$265,0)),"?"))))</f>
        <v/>
      </c>
    </row>
    <row r="2355" customFormat="false" ht="15" hidden="false" customHeight="false" outlineLevel="0" collapsed="false">
      <c r="A2355" s="37"/>
      <c r="B2355" s="44"/>
      <c r="C2355" s="44"/>
      <c r="D2355" s="44"/>
      <c r="E2355" s="44"/>
      <c r="F2355" s="44"/>
      <c r="G2355" s="42"/>
      <c r="H2355" s="42"/>
      <c r="I2355" s="44"/>
      <c r="J2355" s="11" t="str">
        <f aca="false">IF(D2355="","",N(G2355)-N(H2355))</f>
        <v/>
      </c>
      <c r="K2355" s="34" t="str">
        <f aca="false">IF(D2355="","",IFERROR(INDEX(I_COA!$C$6:$C$265,MATCH(D2355,I_COA!$A$6:$A$265,0)),"AKUN BARU"))</f>
        <v/>
      </c>
      <c r="L2355" s="34" t="str">
        <f aca="false">IF(K2355="LabaRugi",INDEX(I_COA!$D$6:$D$265,MATCH(D2355,I_COA!$A$6:$A$265,0)),"")</f>
        <v/>
      </c>
      <c r="M2355" s="34" t="str">
        <f aca="false">IF(K2355="Neraca",INDEX(I_COA!$E$6:$E$265,MATCH(D2355,I_COA!$A$6:$A$265,0)),"")</f>
        <v/>
      </c>
      <c r="N2355" s="34" t="str">
        <f aca="false">IF(D2355="","",IFERROR(INDEX(I_COA!$G$6:$G$265,MATCH(D2355,I_COA!$A$6:$A$265,0)),"N"))</f>
        <v/>
      </c>
      <c r="O2355" s="11" t="str">
        <f aca="false">IF(N2355="N",ABS(J2355),"")</f>
        <v/>
      </c>
      <c r="P2355" s="18" t="str">
        <f aca="false">IF(N2355="N",B2355&amp;"|"&amp;ROUND(O2355,0),"")</f>
        <v/>
      </c>
      <c r="Q2355" s="18" t="str">
        <f aca="false">IF(N2355&lt;&gt;"Y","",IFERROR(INDEX($D$6:$D$4005,MATCH(B2355&amp;"|"&amp;ROUND(_xlfn.MAXIFS($O$6:$O$4005,$B$6:$B$4005,B2355,$N$6:$N$4005,"N"),0),$P$6:$P$4005,0)),"(tanpa lawan)"))</f>
        <v/>
      </c>
      <c r="R2355" s="44"/>
      <c r="S2355" s="9" t="str">
        <f aca="false">IF(N2355&lt;&gt;"Y","",IF(R2355&lt;&gt;"",R2355,IF(Q2355="(tanpa lawan)","Transfer antar rekening",IFERROR(INDEX(I_COA!$F$6:$F$265,MATCH(Q2355,I_COA!$A$6:$A$265,0)),"?"))))</f>
        <v/>
      </c>
    </row>
    <row r="2356" customFormat="false" ht="15" hidden="false" customHeight="false" outlineLevel="0" collapsed="false">
      <c r="A2356" s="37"/>
      <c r="B2356" s="44"/>
      <c r="C2356" s="44"/>
      <c r="D2356" s="44"/>
      <c r="E2356" s="44"/>
      <c r="F2356" s="44"/>
      <c r="G2356" s="42"/>
      <c r="H2356" s="42"/>
      <c r="I2356" s="44"/>
      <c r="J2356" s="11" t="str">
        <f aca="false">IF(D2356="","",N(G2356)-N(H2356))</f>
        <v/>
      </c>
      <c r="K2356" s="34" t="str">
        <f aca="false">IF(D2356="","",IFERROR(INDEX(I_COA!$C$6:$C$265,MATCH(D2356,I_COA!$A$6:$A$265,0)),"AKUN BARU"))</f>
        <v/>
      </c>
      <c r="L2356" s="34" t="str">
        <f aca="false">IF(K2356="LabaRugi",INDEX(I_COA!$D$6:$D$265,MATCH(D2356,I_COA!$A$6:$A$265,0)),"")</f>
        <v/>
      </c>
      <c r="M2356" s="34" t="str">
        <f aca="false">IF(K2356="Neraca",INDEX(I_COA!$E$6:$E$265,MATCH(D2356,I_COA!$A$6:$A$265,0)),"")</f>
        <v/>
      </c>
      <c r="N2356" s="34" t="str">
        <f aca="false">IF(D2356="","",IFERROR(INDEX(I_COA!$G$6:$G$265,MATCH(D2356,I_COA!$A$6:$A$265,0)),"N"))</f>
        <v/>
      </c>
      <c r="O2356" s="11" t="str">
        <f aca="false">IF(N2356="N",ABS(J2356),"")</f>
        <v/>
      </c>
      <c r="P2356" s="18" t="str">
        <f aca="false">IF(N2356="N",B2356&amp;"|"&amp;ROUND(O2356,0),"")</f>
        <v/>
      </c>
      <c r="Q2356" s="18" t="str">
        <f aca="false">IF(N2356&lt;&gt;"Y","",IFERROR(INDEX($D$6:$D$4005,MATCH(B2356&amp;"|"&amp;ROUND(_xlfn.MAXIFS($O$6:$O$4005,$B$6:$B$4005,B2356,$N$6:$N$4005,"N"),0),$P$6:$P$4005,0)),"(tanpa lawan)"))</f>
        <v/>
      </c>
      <c r="R2356" s="44"/>
      <c r="S2356" s="9" t="str">
        <f aca="false">IF(N2356&lt;&gt;"Y","",IF(R2356&lt;&gt;"",R2356,IF(Q2356="(tanpa lawan)","Transfer antar rekening",IFERROR(INDEX(I_COA!$F$6:$F$265,MATCH(Q2356,I_COA!$A$6:$A$265,0)),"?"))))</f>
        <v/>
      </c>
    </row>
    <row r="2357" customFormat="false" ht="15" hidden="false" customHeight="false" outlineLevel="0" collapsed="false">
      <c r="A2357" s="37"/>
      <c r="B2357" s="44"/>
      <c r="C2357" s="44"/>
      <c r="D2357" s="44"/>
      <c r="E2357" s="44"/>
      <c r="F2357" s="44"/>
      <c r="G2357" s="42"/>
      <c r="H2357" s="42"/>
      <c r="I2357" s="44"/>
      <c r="J2357" s="11" t="str">
        <f aca="false">IF(D2357="","",N(G2357)-N(H2357))</f>
        <v/>
      </c>
      <c r="K2357" s="34" t="str">
        <f aca="false">IF(D2357="","",IFERROR(INDEX(I_COA!$C$6:$C$265,MATCH(D2357,I_COA!$A$6:$A$265,0)),"AKUN BARU"))</f>
        <v/>
      </c>
      <c r="L2357" s="34" t="str">
        <f aca="false">IF(K2357="LabaRugi",INDEX(I_COA!$D$6:$D$265,MATCH(D2357,I_COA!$A$6:$A$265,0)),"")</f>
        <v/>
      </c>
      <c r="M2357" s="34" t="str">
        <f aca="false">IF(K2357="Neraca",INDEX(I_COA!$E$6:$E$265,MATCH(D2357,I_COA!$A$6:$A$265,0)),"")</f>
        <v/>
      </c>
      <c r="N2357" s="34" t="str">
        <f aca="false">IF(D2357="","",IFERROR(INDEX(I_COA!$G$6:$G$265,MATCH(D2357,I_COA!$A$6:$A$265,0)),"N"))</f>
        <v/>
      </c>
      <c r="O2357" s="11" t="str">
        <f aca="false">IF(N2357="N",ABS(J2357),"")</f>
        <v/>
      </c>
      <c r="P2357" s="18" t="str">
        <f aca="false">IF(N2357="N",B2357&amp;"|"&amp;ROUND(O2357,0),"")</f>
        <v/>
      </c>
      <c r="Q2357" s="18" t="str">
        <f aca="false">IF(N2357&lt;&gt;"Y","",IFERROR(INDEX($D$6:$D$4005,MATCH(B2357&amp;"|"&amp;ROUND(_xlfn.MAXIFS($O$6:$O$4005,$B$6:$B$4005,B2357,$N$6:$N$4005,"N"),0),$P$6:$P$4005,0)),"(tanpa lawan)"))</f>
        <v/>
      </c>
      <c r="R2357" s="44"/>
      <c r="S2357" s="9" t="str">
        <f aca="false">IF(N2357&lt;&gt;"Y","",IF(R2357&lt;&gt;"",R2357,IF(Q2357="(tanpa lawan)","Transfer antar rekening",IFERROR(INDEX(I_COA!$F$6:$F$265,MATCH(Q2357,I_COA!$A$6:$A$265,0)),"?"))))</f>
        <v/>
      </c>
    </row>
    <row r="2358" customFormat="false" ht="15" hidden="false" customHeight="false" outlineLevel="0" collapsed="false">
      <c r="A2358" s="37"/>
      <c r="B2358" s="44"/>
      <c r="C2358" s="44"/>
      <c r="D2358" s="44"/>
      <c r="E2358" s="44"/>
      <c r="F2358" s="44"/>
      <c r="G2358" s="42"/>
      <c r="H2358" s="42"/>
      <c r="I2358" s="44"/>
      <c r="J2358" s="11" t="str">
        <f aca="false">IF(D2358="","",N(G2358)-N(H2358))</f>
        <v/>
      </c>
      <c r="K2358" s="34" t="str">
        <f aca="false">IF(D2358="","",IFERROR(INDEX(I_COA!$C$6:$C$265,MATCH(D2358,I_COA!$A$6:$A$265,0)),"AKUN BARU"))</f>
        <v/>
      </c>
      <c r="L2358" s="34" t="str">
        <f aca="false">IF(K2358="LabaRugi",INDEX(I_COA!$D$6:$D$265,MATCH(D2358,I_COA!$A$6:$A$265,0)),"")</f>
        <v/>
      </c>
      <c r="M2358" s="34" t="str">
        <f aca="false">IF(K2358="Neraca",INDEX(I_COA!$E$6:$E$265,MATCH(D2358,I_COA!$A$6:$A$265,0)),"")</f>
        <v/>
      </c>
      <c r="N2358" s="34" t="str">
        <f aca="false">IF(D2358="","",IFERROR(INDEX(I_COA!$G$6:$G$265,MATCH(D2358,I_COA!$A$6:$A$265,0)),"N"))</f>
        <v/>
      </c>
      <c r="O2358" s="11" t="str">
        <f aca="false">IF(N2358="N",ABS(J2358),"")</f>
        <v/>
      </c>
      <c r="P2358" s="18" t="str">
        <f aca="false">IF(N2358="N",B2358&amp;"|"&amp;ROUND(O2358,0),"")</f>
        <v/>
      </c>
      <c r="Q2358" s="18" t="str">
        <f aca="false">IF(N2358&lt;&gt;"Y","",IFERROR(INDEX($D$6:$D$4005,MATCH(B2358&amp;"|"&amp;ROUND(_xlfn.MAXIFS($O$6:$O$4005,$B$6:$B$4005,B2358,$N$6:$N$4005,"N"),0),$P$6:$P$4005,0)),"(tanpa lawan)"))</f>
        <v/>
      </c>
      <c r="R2358" s="44"/>
      <c r="S2358" s="9" t="str">
        <f aca="false">IF(N2358&lt;&gt;"Y","",IF(R2358&lt;&gt;"",R2358,IF(Q2358="(tanpa lawan)","Transfer antar rekening",IFERROR(INDEX(I_COA!$F$6:$F$265,MATCH(Q2358,I_COA!$A$6:$A$265,0)),"?"))))</f>
        <v/>
      </c>
    </row>
    <row r="2359" customFormat="false" ht="15" hidden="false" customHeight="false" outlineLevel="0" collapsed="false">
      <c r="A2359" s="37"/>
      <c r="B2359" s="44"/>
      <c r="C2359" s="44"/>
      <c r="D2359" s="44"/>
      <c r="E2359" s="44"/>
      <c r="F2359" s="44"/>
      <c r="G2359" s="42"/>
      <c r="H2359" s="42"/>
      <c r="I2359" s="44"/>
      <c r="J2359" s="11" t="str">
        <f aca="false">IF(D2359="","",N(G2359)-N(H2359))</f>
        <v/>
      </c>
      <c r="K2359" s="34" t="str">
        <f aca="false">IF(D2359="","",IFERROR(INDEX(I_COA!$C$6:$C$265,MATCH(D2359,I_COA!$A$6:$A$265,0)),"AKUN BARU"))</f>
        <v/>
      </c>
      <c r="L2359" s="34" t="str">
        <f aca="false">IF(K2359="LabaRugi",INDEX(I_COA!$D$6:$D$265,MATCH(D2359,I_COA!$A$6:$A$265,0)),"")</f>
        <v/>
      </c>
      <c r="M2359" s="34" t="str">
        <f aca="false">IF(K2359="Neraca",INDEX(I_COA!$E$6:$E$265,MATCH(D2359,I_COA!$A$6:$A$265,0)),"")</f>
        <v/>
      </c>
      <c r="N2359" s="34" t="str">
        <f aca="false">IF(D2359="","",IFERROR(INDEX(I_COA!$G$6:$G$265,MATCH(D2359,I_COA!$A$6:$A$265,0)),"N"))</f>
        <v/>
      </c>
      <c r="O2359" s="11" t="str">
        <f aca="false">IF(N2359="N",ABS(J2359),"")</f>
        <v/>
      </c>
      <c r="P2359" s="18" t="str">
        <f aca="false">IF(N2359="N",B2359&amp;"|"&amp;ROUND(O2359,0),"")</f>
        <v/>
      </c>
      <c r="Q2359" s="18" t="str">
        <f aca="false">IF(N2359&lt;&gt;"Y","",IFERROR(INDEX($D$6:$D$4005,MATCH(B2359&amp;"|"&amp;ROUND(_xlfn.MAXIFS($O$6:$O$4005,$B$6:$B$4005,B2359,$N$6:$N$4005,"N"),0),$P$6:$P$4005,0)),"(tanpa lawan)"))</f>
        <v/>
      </c>
      <c r="R2359" s="44"/>
      <c r="S2359" s="9" t="str">
        <f aca="false">IF(N2359&lt;&gt;"Y","",IF(R2359&lt;&gt;"",R2359,IF(Q2359="(tanpa lawan)","Transfer antar rekening",IFERROR(INDEX(I_COA!$F$6:$F$265,MATCH(Q2359,I_COA!$A$6:$A$265,0)),"?"))))</f>
        <v/>
      </c>
    </row>
    <row r="2360" customFormat="false" ht="15" hidden="false" customHeight="false" outlineLevel="0" collapsed="false">
      <c r="A2360" s="37"/>
      <c r="B2360" s="44"/>
      <c r="C2360" s="44"/>
      <c r="D2360" s="44"/>
      <c r="E2360" s="44"/>
      <c r="F2360" s="44"/>
      <c r="G2360" s="42"/>
      <c r="H2360" s="42"/>
      <c r="I2360" s="44"/>
      <c r="J2360" s="11" t="str">
        <f aca="false">IF(D2360="","",N(G2360)-N(H2360))</f>
        <v/>
      </c>
      <c r="K2360" s="34" t="str">
        <f aca="false">IF(D2360="","",IFERROR(INDEX(I_COA!$C$6:$C$265,MATCH(D2360,I_COA!$A$6:$A$265,0)),"AKUN BARU"))</f>
        <v/>
      </c>
      <c r="L2360" s="34" t="str">
        <f aca="false">IF(K2360="LabaRugi",INDEX(I_COA!$D$6:$D$265,MATCH(D2360,I_COA!$A$6:$A$265,0)),"")</f>
        <v/>
      </c>
      <c r="M2360" s="34" t="str">
        <f aca="false">IF(K2360="Neraca",INDEX(I_COA!$E$6:$E$265,MATCH(D2360,I_COA!$A$6:$A$265,0)),"")</f>
        <v/>
      </c>
      <c r="N2360" s="34" t="str">
        <f aca="false">IF(D2360="","",IFERROR(INDEX(I_COA!$G$6:$G$265,MATCH(D2360,I_COA!$A$6:$A$265,0)),"N"))</f>
        <v/>
      </c>
      <c r="O2360" s="11" t="str">
        <f aca="false">IF(N2360="N",ABS(J2360),"")</f>
        <v/>
      </c>
      <c r="P2360" s="18" t="str">
        <f aca="false">IF(N2360="N",B2360&amp;"|"&amp;ROUND(O2360,0),"")</f>
        <v/>
      </c>
      <c r="Q2360" s="18" t="str">
        <f aca="false">IF(N2360&lt;&gt;"Y","",IFERROR(INDEX($D$6:$D$4005,MATCH(B2360&amp;"|"&amp;ROUND(_xlfn.MAXIFS($O$6:$O$4005,$B$6:$B$4005,B2360,$N$6:$N$4005,"N"),0),$P$6:$P$4005,0)),"(tanpa lawan)"))</f>
        <v/>
      </c>
      <c r="R2360" s="44"/>
      <c r="S2360" s="9" t="str">
        <f aca="false">IF(N2360&lt;&gt;"Y","",IF(R2360&lt;&gt;"",R2360,IF(Q2360="(tanpa lawan)","Transfer antar rekening",IFERROR(INDEX(I_COA!$F$6:$F$265,MATCH(Q2360,I_COA!$A$6:$A$265,0)),"?"))))</f>
        <v/>
      </c>
    </row>
    <row r="2361" customFormat="false" ht="15" hidden="false" customHeight="false" outlineLevel="0" collapsed="false">
      <c r="A2361" s="37"/>
      <c r="B2361" s="44"/>
      <c r="C2361" s="44"/>
      <c r="D2361" s="44"/>
      <c r="E2361" s="44"/>
      <c r="F2361" s="44"/>
      <c r="G2361" s="42"/>
      <c r="H2361" s="42"/>
      <c r="I2361" s="44"/>
      <c r="J2361" s="11" t="str">
        <f aca="false">IF(D2361="","",N(G2361)-N(H2361))</f>
        <v/>
      </c>
      <c r="K2361" s="34" t="str">
        <f aca="false">IF(D2361="","",IFERROR(INDEX(I_COA!$C$6:$C$265,MATCH(D2361,I_COA!$A$6:$A$265,0)),"AKUN BARU"))</f>
        <v/>
      </c>
      <c r="L2361" s="34" t="str">
        <f aca="false">IF(K2361="LabaRugi",INDEX(I_COA!$D$6:$D$265,MATCH(D2361,I_COA!$A$6:$A$265,0)),"")</f>
        <v/>
      </c>
      <c r="M2361" s="34" t="str">
        <f aca="false">IF(K2361="Neraca",INDEX(I_COA!$E$6:$E$265,MATCH(D2361,I_COA!$A$6:$A$265,0)),"")</f>
        <v/>
      </c>
      <c r="N2361" s="34" t="str">
        <f aca="false">IF(D2361="","",IFERROR(INDEX(I_COA!$G$6:$G$265,MATCH(D2361,I_COA!$A$6:$A$265,0)),"N"))</f>
        <v/>
      </c>
      <c r="O2361" s="11" t="str">
        <f aca="false">IF(N2361="N",ABS(J2361),"")</f>
        <v/>
      </c>
      <c r="P2361" s="18" t="str">
        <f aca="false">IF(N2361="N",B2361&amp;"|"&amp;ROUND(O2361,0),"")</f>
        <v/>
      </c>
      <c r="Q2361" s="18" t="str">
        <f aca="false">IF(N2361&lt;&gt;"Y","",IFERROR(INDEX($D$6:$D$4005,MATCH(B2361&amp;"|"&amp;ROUND(_xlfn.MAXIFS($O$6:$O$4005,$B$6:$B$4005,B2361,$N$6:$N$4005,"N"),0),$P$6:$P$4005,0)),"(tanpa lawan)"))</f>
        <v/>
      </c>
      <c r="R2361" s="44"/>
      <c r="S2361" s="9" t="str">
        <f aca="false">IF(N2361&lt;&gt;"Y","",IF(R2361&lt;&gt;"",R2361,IF(Q2361="(tanpa lawan)","Transfer antar rekening",IFERROR(INDEX(I_COA!$F$6:$F$265,MATCH(Q2361,I_COA!$A$6:$A$265,0)),"?"))))</f>
        <v/>
      </c>
    </row>
    <row r="2362" customFormat="false" ht="15" hidden="false" customHeight="false" outlineLevel="0" collapsed="false">
      <c r="A2362" s="37"/>
      <c r="B2362" s="44"/>
      <c r="C2362" s="44"/>
      <c r="D2362" s="44"/>
      <c r="E2362" s="44"/>
      <c r="F2362" s="44"/>
      <c r="G2362" s="42"/>
      <c r="H2362" s="42"/>
      <c r="I2362" s="44"/>
      <c r="J2362" s="11" t="str">
        <f aca="false">IF(D2362="","",N(G2362)-N(H2362))</f>
        <v/>
      </c>
      <c r="K2362" s="34" t="str">
        <f aca="false">IF(D2362="","",IFERROR(INDEX(I_COA!$C$6:$C$265,MATCH(D2362,I_COA!$A$6:$A$265,0)),"AKUN BARU"))</f>
        <v/>
      </c>
      <c r="L2362" s="34" t="str">
        <f aca="false">IF(K2362="LabaRugi",INDEX(I_COA!$D$6:$D$265,MATCH(D2362,I_COA!$A$6:$A$265,0)),"")</f>
        <v/>
      </c>
      <c r="M2362" s="34" t="str">
        <f aca="false">IF(K2362="Neraca",INDEX(I_COA!$E$6:$E$265,MATCH(D2362,I_COA!$A$6:$A$265,0)),"")</f>
        <v/>
      </c>
      <c r="N2362" s="34" t="str">
        <f aca="false">IF(D2362="","",IFERROR(INDEX(I_COA!$G$6:$G$265,MATCH(D2362,I_COA!$A$6:$A$265,0)),"N"))</f>
        <v/>
      </c>
      <c r="O2362" s="11" t="str">
        <f aca="false">IF(N2362="N",ABS(J2362),"")</f>
        <v/>
      </c>
      <c r="P2362" s="18" t="str">
        <f aca="false">IF(N2362="N",B2362&amp;"|"&amp;ROUND(O2362,0),"")</f>
        <v/>
      </c>
      <c r="Q2362" s="18" t="str">
        <f aca="false">IF(N2362&lt;&gt;"Y","",IFERROR(INDEX($D$6:$D$4005,MATCH(B2362&amp;"|"&amp;ROUND(_xlfn.MAXIFS($O$6:$O$4005,$B$6:$B$4005,B2362,$N$6:$N$4005,"N"),0),$P$6:$P$4005,0)),"(tanpa lawan)"))</f>
        <v/>
      </c>
      <c r="R2362" s="44"/>
      <c r="S2362" s="9" t="str">
        <f aca="false">IF(N2362&lt;&gt;"Y","",IF(R2362&lt;&gt;"",R2362,IF(Q2362="(tanpa lawan)","Transfer antar rekening",IFERROR(INDEX(I_COA!$F$6:$F$265,MATCH(Q2362,I_COA!$A$6:$A$265,0)),"?"))))</f>
        <v/>
      </c>
    </row>
    <row r="2363" customFormat="false" ht="15" hidden="false" customHeight="false" outlineLevel="0" collapsed="false">
      <c r="A2363" s="37"/>
      <c r="B2363" s="44"/>
      <c r="C2363" s="44"/>
      <c r="D2363" s="44"/>
      <c r="E2363" s="44"/>
      <c r="F2363" s="44"/>
      <c r="G2363" s="42"/>
      <c r="H2363" s="42"/>
      <c r="I2363" s="44"/>
      <c r="J2363" s="11" t="str">
        <f aca="false">IF(D2363="","",N(G2363)-N(H2363))</f>
        <v/>
      </c>
      <c r="K2363" s="34" t="str">
        <f aca="false">IF(D2363="","",IFERROR(INDEX(I_COA!$C$6:$C$265,MATCH(D2363,I_COA!$A$6:$A$265,0)),"AKUN BARU"))</f>
        <v/>
      </c>
      <c r="L2363" s="34" t="str">
        <f aca="false">IF(K2363="LabaRugi",INDEX(I_COA!$D$6:$D$265,MATCH(D2363,I_COA!$A$6:$A$265,0)),"")</f>
        <v/>
      </c>
      <c r="M2363" s="34" t="str">
        <f aca="false">IF(K2363="Neraca",INDEX(I_COA!$E$6:$E$265,MATCH(D2363,I_COA!$A$6:$A$265,0)),"")</f>
        <v/>
      </c>
      <c r="N2363" s="34" t="str">
        <f aca="false">IF(D2363="","",IFERROR(INDEX(I_COA!$G$6:$G$265,MATCH(D2363,I_COA!$A$6:$A$265,0)),"N"))</f>
        <v/>
      </c>
      <c r="O2363" s="11" t="str">
        <f aca="false">IF(N2363="N",ABS(J2363),"")</f>
        <v/>
      </c>
      <c r="P2363" s="18" t="str">
        <f aca="false">IF(N2363="N",B2363&amp;"|"&amp;ROUND(O2363,0),"")</f>
        <v/>
      </c>
      <c r="Q2363" s="18" t="str">
        <f aca="false">IF(N2363&lt;&gt;"Y","",IFERROR(INDEX($D$6:$D$4005,MATCH(B2363&amp;"|"&amp;ROUND(_xlfn.MAXIFS($O$6:$O$4005,$B$6:$B$4005,B2363,$N$6:$N$4005,"N"),0),$P$6:$P$4005,0)),"(tanpa lawan)"))</f>
        <v/>
      </c>
      <c r="R2363" s="44"/>
      <c r="S2363" s="9" t="str">
        <f aca="false">IF(N2363&lt;&gt;"Y","",IF(R2363&lt;&gt;"",R2363,IF(Q2363="(tanpa lawan)","Transfer antar rekening",IFERROR(INDEX(I_COA!$F$6:$F$265,MATCH(Q2363,I_COA!$A$6:$A$265,0)),"?"))))</f>
        <v/>
      </c>
    </row>
    <row r="2364" customFormat="false" ht="15" hidden="false" customHeight="false" outlineLevel="0" collapsed="false">
      <c r="A2364" s="37"/>
      <c r="B2364" s="44"/>
      <c r="C2364" s="44"/>
      <c r="D2364" s="44"/>
      <c r="E2364" s="44"/>
      <c r="F2364" s="44"/>
      <c r="G2364" s="42"/>
      <c r="H2364" s="42"/>
      <c r="I2364" s="44"/>
      <c r="J2364" s="11" t="str">
        <f aca="false">IF(D2364="","",N(G2364)-N(H2364))</f>
        <v/>
      </c>
      <c r="K2364" s="34" t="str">
        <f aca="false">IF(D2364="","",IFERROR(INDEX(I_COA!$C$6:$C$265,MATCH(D2364,I_COA!$A$6:$A$265,0)),"AKUN BARU"))</f>
        <v/>
      </c>
      <c r="L2364" s="34" t="str">
        <f aca="false">IF(K2364="LabaRugi",INDEX(I_COA!$D$6:$D$265,MATCH(D2364,I_COA!$A$6:$A$265,0)),"")</f>
        <v/>
      </c>
      <c r="M2364" s="34" t="str">
        <f aca="false">IF(K2364="Neraca",INDEX(I_COA!$E$6:$E$265,MATCH(D2364,I_COA!$A$6:$A$265,0)),"")</f>
        <v/>
      </c>
      <c r="N2364" s="34" t="str">
        <f aca="false">IF(D2364="","",IFERROR(INDEX(I_COA!$G$6:$G$265,MATCH(D2364,I_COA!$A$6:$A$265,0)),"N"))</f>
        <v/>
      </c>
      <c r="O2364" s="11" t="str">
        <f aca="false">IF(N2364="N",ABS(J2364),"")</f>
        <v/>
      </c>
      <c r="P2364" s="18" t="str">
        <f aca="false">IF(N2364="N",B2364&amp;"|"&amp;ROUND(O2364,0),"")</f>
        <v/>
      </c>
      <c r="Q2364" s="18" t="str">
        <f aca="false">IF(N2364&lt;&gt;"Y","",IFERROR(INDEX($D$6:$D$4005,MATCH(B2364&amp;"|"&amp;ROUND(_xlfn.MAXIFS($O$6:$O$4005,$B$6:$B$4005,B2364,$N$6:$N$4005,"N"),0),$P$6:$P$4005,0)),"(tanpa lawan)"))</f>
        <v/>
      </c>
      <c r="R2364" s="44"/>
      <c r="S2364" s="9" t="str">
        <f aca="false">IF(N2364&lt;&gt;"Y","",IF(R2364&lt;&gt;"",R2364,IF(Q2364="(tanpa lawan)","Transfer antar rekening",IFERROR(INDEX(I_COA!$F$6:$F$265,MATCH(Q2364,I_COA!$A$6:$A$265,0)),"?"))))</f>
        <v/>
      </c>
    </row>
    <row r="2365" customFormat="false" ht="15" hidden="false" customHeight="false" outlineLevel="0" collapsed="false">
      <c r="A2365" s="37"/>
      <c r="B2365" s="44"/>
      <c r="C2365" s="44"/>
      <c r="D2365" s="44"/>
      <c r="E2365" s="44"/>
      <c r="F2365" s="44"/>
      <c r="G2365" s="42"/>
      <c r="H2365" s="42"/>
      <c r="I2365" s="44"/>
      <c r="J2365" s="11" t="str">
        <f aca="false">IF(D2365="","",N(G2365)-N(H2365))</f>
        <v/>
      </c>
      <c r="K2365" s="34" t="str">
        <f aca="false">IF(D2365="","",IFERROR(INDEX(I_COA!$C$6:$C$265,MATCH(D2365,I_COA!$A$6:$A$265,0)),"AKUN BARU"))</f>
        <v/>
      </c>
      <c r="L2365" s="34" t="str">
        <f aca="false">IF(K2365="LabaRugi",INDEX(I_COA!$D$6:$D$265,MATCH(D2365,I_COA!$A$6:$A$265,0)),"")</f>
        <v/>
      </c>
      <c r="M2365" s="34" t="str">
        <f aca="false">IF(K2365="Neraca",INDEX(I_COA!$E$6:$E$265,MATCH(D2365,I_COA!$A$6:$A$265,0)),"")</f>
        <v/>
      </c>
      <c r="N2365" s="34" t="str">
        <f aca="false">IF(D2365="","",IFERROR(INDEX(I_COA!$G$6:$G$265,MATCH(D2365,I_COA!$A$6:$A$265,0)),"N"))</f>
        <v/>
      </c>
      <c r="O2365" s="11" t="str">
        <f aca="false">IF(N2365="N",ABS(J2365),"")</f>
        <v/>
      </c>
      <c r="P2365" s="18" t="str">
        <f aca="false">IF(N2365="N",B2365&amp;"|"&amp;ROUND(O2365,0),"")</f>
        <v/>
      </c>
      <c r="Q2365" s="18" t="str">
        <f aca="false">IF(N2365&lt;&gt;"Y","",IFERROR(INDEX($D$6:$D$4005,MATCH(B2365&amp;"|"&amp;ROUND(_xlfn.MAXIFS($O$6:$O$4005,$B$6:$B$4005,B2365,$N$6:$N$4005,"N"),0),$P$6:$P$4005,0)),"(tanpa lawan)"))</f>
        <v/>
      </c>
      <c r="R2365" s="44"/>
      <c r="S2365" s="9" t="str">
        <f aca="false">IF(N2365&lt;&gt;"Y","",IF(R2365&lt;&gt;"",R2365,IF(Q2365="(tanpa lawan)","Transfer antar rekening",IFERROR(INDEX(I_COA!$F$6:$F$265,MATCH(Q2365,I_COA!$A$6:$A$265,0)),"?"))))</f>
        <v/>
      </c>
    </row>
    <row r="2366" customFormat="false" ht="15" hidden="false" customHeight="false" outlineLevel="0" collapsed="false">
      <c r="A2366" s="37"/>
      <c r="B2366" s="44"/>
      <c r="C2366" s="44"/>
      <c r="D2366" s="44"/>
      <c r="E2366" s="44"/>
      <c r="F2366" s="44"/>
      <c r="G2366" s="42"/>
      <c r="H2366" s="42"/>
      <c r="I2366" s="44"/>
      <c r="J2366" s="11" t="str">
        <f aca="false">IF(D2366="","",N(G2366)-N(H2366))</f>
        <v/>
      </c>
      <c r="K2366" s="34" t="str">
        <f aca="false">IF(D2366="","",IFERROR(INDEX(I_COA!$C$6:$C$265,MATCH(D2366,I_COA!$A$6:$A$265,0)),"AKUN BARU"))</f>
        <v/>
      </c>
      <c r="L2366" s="34" t="str">
        <f aca="false">IF(K2366="LabaRugi",INDEX(I_COA!$D$6:$D$265,MATCH(D2366,I_COA!$A$6:$A$265,0)),"")</f>
        <v/>
      </c>
      <c r="M2366" s="34" t="str">
        <f aca="false">IF(K2366="Neraca",INDEX(I_COA!$E$6:$E$265,MATCH(D2366,I_COA!$A$6:$A$265,0)),"")</f>
        <v/>
      </c>
      <c r="N2366" s="34" t="str">
        <f aca="false">IF(D2366="","",IFERROR(INDEX(I_COA!$G$6:$G$265,MATCH(D2366,I_COA!$A$6:$A$265,0)),"N"))</f>
        <v/>
      </c>
      <c r="O2366" s="11" t="str">
        <f aca="false">IF(N2366="N",ABS(J2366),"")</f>
        <v/>
      </c>
      <c r="P2366" s="18" t="str">
        <f aca="false">IF(N2366="N",B2366&amp;"|"&amp;ROUND(O2366,0),"")</f>
        <v/>
      </c>
      <c r="Q2366" s="18" t="str">
        <f aca="false">IF(N2366&lt;&gt;"Y","",IFERROR(INDEX($D$6:$D$4005,MATCH(B2366&amp;"|"&amp;ROUND(_xlfn.MAXIFS($O$6:$O$4005,$B$6:$B$4005,B2366,$N$6:$N$4005,"N"),0),$P$6:$P$4005,0)),"(tanpa lawan)"))</f>
        <v/>
      </c>
      <c r="R2366" s="44"/>
      <c r="S2366" s="9" t="str">
        <f aca="false">IF(N2366&lt;&gt;"Y","",IF(R2366&lt;&gt;"",R2366,IF(Q2366="(tanpa lawan)","Transfer antar rekening",IFERROR(INDEX(I_COA!$F$6:$F$265,MATCH(Q2366,I_COA!$A$6:$A$265,0)),"?"))))</f>
        <v/>
      </c>
    </row>
    <row r="2367" customFormat="false" ht="15" hidden="false" customHeight="false" outlineLevel="0" collapsed="false">
      <c r="A2367" s="37"/>
      <c r="B2367" s="44"/>
      <c r="C2367" s="44"/>
      <c r="D2367" s="44"/>
      <c r="E2367" s="44"/>
      <c r="F2367" s="44"/>
      <c r="G2367" s="42"/>
      <c r="H2367" s="42"/>
      <c r="I2367" s="44"/>
      <c r="J2367" s="11" t="str">
        <f aca="false">IF(D2367="","",N(G2367)-N(H2367))</f>
        <v/>
      </c>
      <c r="K2367" s="34" t="str">
        <f aca="false">IF(D2367="","",IFERROR(INDEX(I_COA!$C$6:$C$265,MATCH(D2367,I_COA!$A$6:$A$265,0)),"AKUN BARU"))</f>
        <v/>
      </c>
      <c r="L2367" s="34" t="str">
        <f aca="false">IF(K2367="LabaRugi",INDEX(I_COA!$D$6:$D$265,MATCH(D2367,I_COA!$A$6:$A$265,0)),"")</f>
        <v/>
      </c>
      <c r="M2367" s="34" t="str">
        <f aca="false">IF(K2367="Neraca",INDEX(I_COA!$E$6:$E$265,MATCH(D2367,I_COA!$A$6:$A$265,0)),"")</f>
        <v/>
      </c>
      <c r="N2367" s="34" t="str">
        <f aca="false">IF(D2367="","",IFERROR(INDEX(I_COA!$G$6:$G$265,MATCH(D2367,I_COA!$A$6:$A$265,0)),"N"))</f>
        <v/>
      </c>
      <c r="O2367" s="11" t="str">
        <f aca="false">IF(N2367="N",ABS(J2367),"")</f>
        <v/>
      </c>
      <c r="P2367" s="18" t="str">
        <f aca="false">IF(N2367="N",B2367&amp;"|"&amp;ROUND(O2367,0),"")</f>
        <v/>
      </c>
      <c r="Q2367" s="18" t="str">
        <f aca="false">IF(N2367&lt;&gt;"Y","",IFERROR(INDEX($D$6:$D$4005,MATCH(B2367&amp;"|"&amp;ROUND(_xlfn.MAXIFS($O$6:$O$4005,$B$6:$B$4005,B2367,$N$6:$N$4005,"N"),0),$P$6:$P$4005,0)),"(tanpa lawan)"))</f>
        <v/>
      </c>
      <c r="R2367" s="44"/>
      <c r="S2367" s="9" t="str">
        <f aca="false">IF(N2367&lt;&gt;"Y","",IF(R2367&lt;&gt;"",R2367,IF(Q2367="(tanpa lawan)","Transfer antar rekening",IFERROR(INDEX(I_COA!$F$6:$F$265,MATCH(Q2367,I_COA!$A$6:$A$265,0)),"?"))))</f>
        <v/>
      </c>
    </row>
    <row r="2368" customFormat="false" ht="15" hidden="false" customHeight="false" outlineLevel="0" collapsed="false">
      <c r="A2368" s="37"/>
      <c r="B2368" s="44"/>
      <c r="C2368" s="44"/>
      <c r="D2368" s="44"/>
      <c r="E2368" s="44"/>
      <c r="F2368" s="44"/>
      <c r="G2368" s="42"/>
      <c r="H2368" s="42"/>
      <c r="I2368" s="44"/>
      <c r="J2368" s="11" t="str">
        <f aca="false">IF(D2368="","",N(G2368)-N(H2368))</f>
        <v/>
      </c>
      <c r="K2368" s="34" t="str">
        <f aca="false">IF(D2368="","",IFERROR(INDEX(I_COA!$C$6:$C$265,MATCH(D2368,I_COA!$A$6:$A$265,0)),"AKUN BARU"))</f>
        <v/>
      </c>
      <c r="L2368" s="34" t="str">
        <f aca="false">IF(K2368="LabaRugi",INDEX(I_COA!$D$6:$D$265,MATCH(D2368,I_COA!$A$6:$A$265,0)),"")</f>
        <v/>
      </c>
      <c r="M2368" s="34" t="str">
        <f aca="false">IF(K2368="Neraca",INDEX(I_COA!$E$6:$E$265,MATCH(D2368,I_COA!$A$6:$A$265,0)),"")</f>
        <v/>
      </c>
      <c r="N2368" s="34" t="str">
        <f aca="false">IF(D2368="","",IFERROR(INDEX(I_COA!$G$6:$G$265,MATCH(D2368,I_COA!$A$6:$A$265,0)),"N"))</f>
        <v/>
      </c>
      <c r="O2368" s="11" t="str">
        <f aca="false">IF(N2368="N",ABS(J2368),"")</f>
        <v/>
      </c>
      <c r="P2368" s="18" t="str">
        <f aca="false">IF(N2368="N",B2368&amp;"|"&amp;ROUND(O2368,0),"")</f>
        <v/>
      </c>
      <c r="Q2368" s="18" t="str">
        <f aca="false">IF(N2368&lt;&gt;"Y","",IFERROR(INDEX($D$6:$D$4005,MATCH(B2368&amp;"|"&amp;ROUND(_xlfn.MAXIFS($O$6:$O$4005,$B$6:$B$4005,B2368,$N$6:$N$4005,"N"),0),$P$6:$P$4005,0)),"(tanpa lawan)"))</f>
        <v/>
      </c>
      <c r="R2368" s="44"/>
      <c r="S2368" s="9" t="str">
        <f aca="false">IF(N2368&lt;&gt;"Y","",IF(R2368&lt;&gt;"",R2368,IF(Q2368="(tanpa lawan)","Transfer antar rekening",IFERROR(INDEX(I_COA!$F$6:$F$265,MATCH(Q2368,I_COA!$A$6:$A$265,0)),"?"))))</f>
        <v/>
      </c>
    </row>
    <row r="2369" customFormat="false" ht="15" hidden="false" customHeight="false" outlineLevel="0" collapsed="false">
      <c r="A2369" s="37"/>
      <c r="B2369" s="44"/>
      <c r="C2369" s="44"/>
      <c r="D2369" s="44"/>
      <c r="E2369" s="44"/>
      <c r="F2369" s="44"/>
      <c r="G2369" s="42"/>
      <c r="H2369" s="42"/>
      <c r="I2369" s="44"/>
      <c r="J2369" s="11" t="str">
        <f aca="false">IF(D2369="","",N(G2369)-N(H2369))</f>
        <v/>
      </c>
      <c r="K2369" s="34" t="str">
        <f aca="false">IF(D2369="","",IFERROR(INDEX(I_COA!$C$6:$C$265,MATCH(D2369,I_COA!$A$6:$A$265,0)),"AKUN BARU"))</f>
        <v/>
      </c>
      <c r="L2369" s="34" t="str">
        <f aca="false">IF(K2369="LabaRugi",INDEX(I_COA!$D$6:$D$265,MATCH(D2369,I_COA!$A$6:$A$265,0)),"")</f>
        <v/>
      </c>
      <c r="M2369" s="34" t="str">
        <f aca="false">IF(K2369="Neraca",INDEX(I_COA!$E$6:$E$265,MATCH(D2369,I_COA!$A$6:$A$265,0)),"")</f>
        <v/>
      </c>
      <c r="N2369" s="34" t="str">
        <f aca="false">IF(D2369="","",IFERROR(INDEX(I_COA!$G$6:$G$265,MATCH(D2369,I_COA!$A$6:$A$265,0)),"N"))</f>
        <v/>
      </c>
      <c r="O2369" s="11" t="str">
        <f aca="false">IF(N2369="N",ABS(J2369),"")</f>
        <v/>
      </c>
      <c r="P2369" s="18" t="str">
        <f aca="false">IF(N2369="N",B2369&amp;"|"&amp;ROUND(O2369,0),"")</f>
        <v/>
      </c>
      <c r="Q2369" s="18" t="str">
        <f aca="false">IF(N2369&lt;&gt;"Y","",IFERROR(INDEX($D$6:$D$4005,MATCH(B2369&amp;"|"&amp;ROUND(_xlfn.MAXIFS($O$6:$O$4005,$B$6:$B$4005,B2369,$N$6:$N$4005,"N"),0),$P$6:$P$4005,0)),"(tanpa lawan)"))</f>
        <v/>
      </c>
      <c r="R2369" s="44"/>
      <c r="S2369" s="9" t="str">
        <f aca="false">IF(N2369&lt;&gt;"Y","",IF(R2369&lt;&gt;"",R2369,IF(Q2369="(tanpa lawan)","Transfer antar rekening",IFERROR(INDEX(I_COA!$F$6:$F$265,MATCH(Q2369,I_COA!$A$6:$A$265,0)),"?"))))</f>
        <v/>
      </c>
    </row>
    <row r="2370" customFormat="false" ht="15" hidden="false" customHeight="false" outlineLevel="0" collapsed="false">
      <c r="A2370" s="37"/>
      <c r="B2370" s="44"/>
      <c r="C2370" s="44"/>
      <c r="D2370" s="44"/>
      <c r="E2370" s="44"/>
      <c r="F2370" s="44"/>
      <c r="G2370" s="42"/>
      <c r="H2370" s="42"/>
      <c r="I2370" s="44"/>
      <c r="J2370" s="11" t="str">
        <f aca="false">IF(D2370="","",N(G2370)-N(H2370))</f>
        <v/>
      </c>
      <c r="K2370" s="34" t="str">
        <f aca="false">IF(D2370="","",IFERROR(INDEX(I_COA!$C$6:$C$265,MATCH(D2370,I_COA!$A$6:$A$265,0)),"AKUN BARU"))</f>
        <v/>
      </c>
      <c r="L2370" s="34" t="str">
        <f aca="false">IF(K2370="LabaRugi",INDEX(I_COA!$D$6:$D$265,MATCH(D2370,I_COA!$A$6:$A$265,0)),"")</f>
        <v/>
      </c>
      <c r="M2370" s="34" t="str">
        <f aca="false">IF(K2370="Neraca",INDEX(I_COA!$E$6:$E$265,MATCH(D2370,I_COA!$A$6:$A$265,0)),"")</f>
        <v/>
      </c>
      <c r="N2370" s="34" t="str">
        <f aca="false">IF(D2370="","",IFERROR(INDEX(I_COA!$G$6:$G$265,MATCH(D2370,I_COA!$A$6:$A$265,0)),"N"))</f>
        <v/>
      </c>
      <c r="O2370" s="11" t="str">
        <f aca="false">IF(N2370="N",ABS(J2370),"")</f>
        <v/>
      </c>
      <c r="P2370" s="18" t="str">
        <f aca="false">IF(N2370="N",B2370&amp;"|"&amp;ROUND(O2370,0),"")</f>
        <v/>
      </c>
      <c r="Q2370" s="18" t="str">
        <f aca="false">IF(N2370&lt;&gt;"Y","",IFERROR(INDEX($D$6:$D$4005,MATCH(B2370&amp;"|"&amp;ROUND(_xlfn.MAXIFS($O$6:$O$4005,$B$6:$B$4005,B2370,$N$6:$N$4005,"N"),0),$P$6:$P$4005,0)),"(tanpa lawan)"))</f>
        <v/>
      </c>
      <c r="R2370" s="44"/>
      <c r="S2370" s="9" t="str">
        <f aca="false">IF(N2370&lt;&gt;"Y","",IF(R2370&lt;&gt;"",R2370,IF(Q2370="(tanpa lawan)","Transfer antar rekening",IFERROR(INDEX(I_COA!$F$6:$F$265,MATCH(Q2370,I_COA!$A$6:$A$265,0)),"?"))))</f>
        <v/>
      </c>
    </row>
    <row r="2371" customFormat="false" ht="15" hidden="false" customHeight="false" outlineLevel="0" collapsed="false">
      <c r="A2371" s="37"/>
      <c r="B2371" s="44"/>
      <c r="C2371" s="44"/>
      <c r="D2371" s="44"/>
      <c r="E2371" s="44"/>
      <c r="F2371" s="44"/>
      <c r="G2371" s="42"/>
      <c r="H2371" s="42"/>
      <c r="I2371" s="44"/>
      <c r="J2371" s="11" t="str">
        <f aca="false">IF(D2371="","",N(G2371)-N(H2371))</f>
        <v/>
      </c>
      <c r="K2371" s="34" t="str">
        <f aca="false">IF(D2371="","",IFERROR(INDEX(I_COA!$C$6:$C$265,MATCH(D2371,I_COA!$A$6:$A$265,0)),"AKUN BARU"))</f>
        <v/>
      </c>
      <c r="L2371" s="34" t="str">
        <f aca="false">IF(K2371="LabaRugi",INDEX(I_COA!$D$6:$D$265,MATCH(D2371,I_COA!$A$6:$A$265,0)),"")</f>
        <v/>
      </c>
      <c r="M2371" s="34" t="str">
        <f aca="false">IF(K2371="Neraca",INDEX(I_COA!$E$6:$E$265,MATCH(D2371,I_COA!$A$6:$A$265,0)),"")</f>
        <v/>
      </c>
      <c r="N2371" s="34" t="str">
        <f aca="false">IF(D2371="","",IFERROR(INDEX(I_COA!$G$6:$G$265,MATCH(D2371,I_COA!$A$6:$A$265,0)),"N"))</f>
        <v/>
      </c>
      <c r="O2371" s="11" t="str">
        <f aca="false">IF(N2371="N",ABS(J2371),"")</f>
        <v/>
      </c>
      <c r="P2371" s="18" t="str">
        <f aca="false">IF(N2371="N",B2371&amp;"|"&amp;ROUND(O2371,0),"")</f>
        <v/>
      </c>
      <c r="Q2371" s="18" t="str">
        <f aca="false">IF(N2371&lt;&gt;"Y","",IFERROR(INDEX($D$6:$D$4005,MATCH(B2371&amp;"|"&amp;ROUND(_xlfn.MAXIFS($O$6:$O$4005,$B$6:$B$4005,B2371,$N$6:$N$4005,"N"),0),$P$6:$P$4005,0)),"(tanpa lawan)"))</f>
        <v/>
      </c>
      <c r="R2371" s="44"/>
      <c r="S2371" s="9" t="str">
        <f aca="false">IF(N2371&lt;&gt;"Y","",IF(R2371&lt;&gt;"",R2371,IF(Q2371="(tanpa lawan)","Transfer antar rekening",IFERROR(INDEX(I_COA!$F$6:$F$265,MATCH(Q2371,I_COA!$A$6:$A$265,0)),"?"))))</f>
        <v/>
      </c>
    </row>
    <row r="2372" customFormat="false" ht="15" hidden="false" customHeight="false" outlineLevel="0" collapsed="false">
      <c r="A2372" s="37"/>
      <c r="B2372" s="44"/>
      <c r="C2372" s="44"/>
      <c r="D2372" s="44"/>
      <c r="E2372" s="44"/>
      <c r="F2372" s="44"/>
      <c r="G2372" s="42"/>
      <c r="H2372" s="42"/>
      <c r="I2372" s="44"/>
      <c r="J2372" s="11" t="str">
        <f aca="false">IF(D2372="","",N(G2372)-N(H2372))</f>
        <v/>
      </c>
      <c r="K2372" s="34" t="str">
        <f aca="false">IF(D2372="","",IFERROR(INDEX(I_COA!$C$6:$C$265,MATCH(D2372,I_COA!$A$6:$A$265,0)),"AKUN BARU"))</f>
        <v/>
      </c>
      <c r="L2372" s="34" t="str">
        <f aca="false">IF(K2372="LabaRugi",INDEX(I_COA!$D$6:$D$265,MATCH(D2372,I_COA!$A$6:$A$265,0)),"")</f>
        <v/>
      </c>
      <c r="M2372" s="34" t="str">
        <f aca="false">IF(K2372="Neraca",INDEX(I_COA!$E$6:$E$265,MATCH(D2372,I_COA!$A$6:$A$265,0)),"")</f>
        <v/>
      </c>
      <c r="N2372" s="34" t="str">
        <f aca="false">IF(D2372="","",IFERROR(INDEX(I_COA!$G$6:$G$265,MATCH(D2372,I_COA!$A$6:$A$265,0)),"N"))</f>
        <v/>
      </c>
      <c r="O2372" s="11" t="str">
        <f aca="false">IF(N2372="N",ABS(J2372),"")</f>
        <v/>
      </c>
      <c r="P2372" s="18" t="str">
        <f aca="false">IF(N2372="N",B2372&amp;"|"&amp;ROUND(O2372,0),"")</f>
        <v/>
      </c>
      <c r="Q2372" s="18" t="str">
        <f aca="false">IF(N2372&lt;&gt;"Y","",IFERROR(INDEX($D$6:$D$4005,MATCH(B2372&amp;"|"&amp;ROUND(_xlfn.MAXIFS($O$6:$O$4005,$B$6:$B$4005,B2372,$N$6:$N$4005,"N"),0),$P$6:$P$4005,0)),"(tanpa lawan)"))</f>
        <v/>
      </c>
      <c r="R2372" s="44"/>
      <c r="S2372" s="9" t="str">
        <f aca="false">IF(N2372&lt;&gt;"Y","",IF(R2372&lt;&gt;"",R2372,IF(Q2372="(tanpa lawan)","Transfer antar rekening",IFERROR(INDEX(I_COA!$F$6:$F$265,MATCH(Q2372,I_COA!$A$6:$A$265,0)),"?"))))</f>
        <v/>
      </c>
    </row>
    <row r="2373" customFormat="false" ht="15" hidden="false" customHeight="false" outlineLevel="0" collapsed="false">
      <c r="A2373" s="37"/>
      <c r="B2373" s="44"/>
      <c r="C2373" s="44"/>
      <c r="D2373" s="44"/>
      <c r="E2373" s="44"/>
      <c r="F2373" s="44"/>
      <c r="G2373" s="42"/>
      <c r="H2373" s="42"/>
      <c r="I2373" s="44"/>
      <c r="J2373" s="11" t="str">
        <f aca="false">IF(D2373="","",N(G2373)-N(H2373))</f>
        <v/>
      </c>
      <c r="K2373" s="34" t="str">
        <f aca="false">IF(D2373="","",IFERROR(INDEX(I_COA!$C$6:$C$265,MATCH(D2373,I_COA!$A$6:$A$265,0)),"AKUN BARU"))</f>
        <v/>
      </c>
      <c r="L2373" s="34" t="str">
        <f aca="false">IF(K2373="LabaRugi",INDEX(I_COA!$D$6:$D$265,MATCH(D2373,I_COA!$A$6:$A$265,0)),"")</f>
        <v/>
      </c>
      <c r="M2373" s="34" t="str">
        <f aca="false">IF(K2373="Neraca",INDEX(I_COA!$E$6:$E$265,MATCH(D2373,I_COA!$A$6:$A$265,0)),"")</f>
        <v/>
      </c>
      <c r="N2373" s="34" t="str">
        <f aca="false">IF(D2373="","",IFERROR(INDEX(I_COA!$G$6:$G$265,MATCH(D2373,I_COA!$A$6:$A$265,0)),"N"))</f>
        <v/>
      </c>
      <c r="O2373" s="11" t="str">
        <f aca="false">IF(N2373="N",ABS(J2373),"")</f>
        <v/>
      </c>
      <c r="P2373" s="18" t="str">
        <f aca="false">IF(N2373="N",B2373&amp;"|"&amp;ROUND(O2373,0),"")</f>
        <v/>
      </c>
      <c r="Q2373" s="18" t="str">
        <f aca="false">IF(N2373&lt;&gt;"Y","",IFERROR(INDEX($D$6:$D$4005,MATCH(B2373&amp;"|"&amp;ROUND(_xlfn.MAXIFS($O$6:$O$4005,$B$6:$B$4005,B2373,$N$6:$N$4005,"N"),0),$P$6:$P$4005,0)),"(tanpa lawan)"))</f>
        <v/>
      </c>
      <c r="R2373" s="44"/>
      <c r="S2373" s="9" t="str">
        <f aca="false">IF(N2373&lt;&gt;"Y","",IF(R2373&lt;&gt;"",R2373,IF(Q2373="(tanpa lawan)","Transfer antar rekening",IFERROR(INDEX(I_COA!$F$6:$F$265,MATCH(Q2373,I_COA!$A$6:$A$265,0)),"?"))))</f>
        <v/>
      </c>
    </row>
    <row r="2374" customFormat="false" ht="15" hidden="false" customHeight="false" outlineLevel="0" collapsed="false">
      <c r="A2374" s="37"/>
      <c r="B2374" s="44"/>
      <c r="C2374" s="44"/>
      <c r="D2374" s="44"/>
      <c r="E2374" s="44"/>
      <c r="F2374" s="44"/>
      <c r="G2374" s="42"/>
      <c r="H2374" s="42"/>
      <c r="I2374" s="44"/>
      <c r="J2374" s="11" t="str">
        <f aca="false">IF(D2374="","",N(G2374)-N(H2374))</f>
        <v/>
      </c>
      <c r="K2374" s="34" t="str">
        <f aca="false">IF(D2374="","",IFERROR(INDEX(I_COA!$C$6:$C$265,MATCH(D2374,I_COA!$A$6:$A$265,0)),"AKUN BARU"))</f>
        <v/>
      </c>
      <c r="L2374" s="34" t="str">
        <f aca="false">IF(K2374="LabaRugi",INDEX(I_COA!$D$6:$D$265,MATCH(D2374,I_COA!$A$6:$A$265,0)),"")</f>
        <v/>
      </c>
      <c r="M2374" s="34" t="str">
        <f aca="false">IF(K2374="Neraca",INDEX(I_COA!$E$6:$E$265,MATCH(D2374,I_COA!$A$6:$A$265,0)),"")</f>
        <v/>
      </c>
      <c r="N2374" s="34" t="str">
        <f aca="false">IF(D2374="","",IFERROR(INDEX(I_COA!$G$6:$G$265,MATCH(D2374,I_COA!$A$6:$A$265,0)),"N"))</f>
        <v/>
      </c>
      <c r="O2374" s="11" t="str">
        <f aca="false">IF(N2374="N",ABS(J2374),"")</f>
        <v/>
      </c>
      <c r="P2374" s="18" t="str">
        <f aca="false">IF(N2374="N",B2374&amp;"|"&amp;ROUND(O2374,0),"")</f>
        <v/>
      </c>
      <c r="Q2374" s="18" t="str">
        <f aca="false">IF(N2374&lt;&gt;"Y","",IFERROR(INDEX($D$6:$D$4005,MATCH(B2374&amp;"|"&amp;ROUND(_xlfn.MAXIFS($O$6:$O$4005,$B$6:$B$4005,B2374,$N$6:$N$4005,"N"),0),$P$6:$P$4005,0)),"(tanpa lawan)"))</f>
        <v/>
      </c>
      <c r="R2374" s="44"/>
      <c r="S2374" s="9" t="str">
        <f aca="false">IF(N2374&lt;&gt;"Y","",IF(R2374&lt;&gt;"",R2374,IF(Q2374="(tanpa lawan)","Transfer antar rekening",IFERROR(INDEX(I_COA!$F$6:$F$265,MATCH(Q2374,I_COA!$A$6:$A$265,0)),"?"))))</f>
        <v/>
      </c>
    </row>
    <row r="2375" customFormat="false" ht="15" hidden="false" customHeight="false" outlineLevel="0" collapsed="false">
      <c r="A2375" s="37"/>
      <c r="B2375" s="44"/>
      <c r="C2375" s="44"/>
      <c r="D2375" s="44"/>
      <c r="E2375" s="44"/>
      <c r="F2375" s="44"/>
      <c r="G2375" s="42"/>
      <c r="H2375" s="42"/>
      <c r="I2375" s="44"/>
      <c r="J2375" s="11" t="str">
        <f aca="false">IF(D2375="","",N(G2375)-N(H2375))</f>
        <v/>
      </c>
      <c r="K2375" s="34" t="str">
        <f aca="false">IF(D2375="","",IFERROR(INDEX(I_COA!$C$6:$C$265,MATCH(D2375,I_COA!$A$6:$A$265,0)),"AKUN BARU"))</f>
        <v/>
      </c>
      <c r="L2375" s="34" t="str">
        <f aca="false">IF(K2375="LabaRugi",INDEX(I_COA!$D$6:$D$265,MATCH(D2375,I_COA!$A$6:$A$265,0)),"")</f>
        <v/>
      </c>
      <c r="M2375" s="34" t="str">
        <f aca="false">IF(K2375="Neraca",INDEX(I_COA!$E$6:$E$265,MATCH(D2375,I_COA!$A$6:$A$265,0)),"")</f>
        <v/>
      </c>
      <c r="N2375" s="34" t="str">
        <f aca="false">IF(D2375="","",IFERROR(INDEX(I_COA!$G$6:$G$265,MATCH(D2375,I_COA!$A$6:$A$265,0)),"N"))</f>
        <v/>
      </c>
      <c r="O2375" s="11" t="str">
        <f aca="false">IF(N2375="N",ABS(J2375),"")</f>
        <v/>
      </c>
      <c r="P2375" s="18" t="str">
        <f aca="false">IF(N2375="N",B2375&amp;"|"&amp;ROUND(O2375,0),"")</f>
        <v/>
      </c>
      <c r="Q2375" s="18" t="str">
        <f aca="false">IF(N2375&lt;&gt;"Y","",IFERROR(INDEX($D$6:$D$4005,MATCH(B2375&amp;"|"&amp;ROUND(_xlfn.MAXIFS($O$6:$O$4005,$B$6:$B$4005,B2375,$N$6:$N$4005,"N"),0),$P$6:$P$4005,0)),"(tanpa lawan)"))</f>
        <v/>
      </c>
      <c r="R2375" s="44"/>
      <c r="S2375" s="9" t="str">
        <f aca="false">IF(N2375&lt;&gt;"Y","",IF(R2375&lt;&gt;"",R2375,IF(Q2375="(tanpa lawan)","Transfer antar rekening",IFERROR(INDEX(I_COA!$F$6:$F$265,MATCH(Q2375,I_COA!$A$6:$A$265,0)),"?"))))</f>
        <v/>
      </c>
    </row>
    <row r="2376" customFormat="false" ht="15" hidden="false" customHeight="false" outlineLevel="0" collapsed="false">
      <c r="A2376" s="37"/>
      <c r="B2376" s="44"/>
      <c r="C2376" s="44"/>
      <c r="D2376" s="44"/>
      <c r="E2376" s="44"/>
      <c r="F2376" s="44"/>
      <c r="G2376" s="42"/>
      <c r="H2376" s="42"/>
      <c r="I2376" s="44"/>
      <c r="J2376" s="11" t="str">
        <f aca="false">IF(D2376="","",N(G2376)-N(H2376))</f>
        <v/>
      </c>
      <c r="K2376" s="34" t="str">
        <f aca="false">IF(D2376="","",IFERROR(INDEX(I_COA!$C$6:$C$265,MATCH(D2376,I_COA!$A$6:$A$265,0)),"AKUN BARU"))</f>
        <v/>
      </c>
      <c r="L2376" s="34" t="str">
        <f aca="false">IF(K2376="LabaRugi",INDEX(I_COA!$D$6:$D$265,MATCH(D2376,I_COA!$A$6:$A$265,0)),"")</f>
        <v/>
      </c>
      <c r="M2376" s="34" t="str">
        <f aca="false">IF(K2376="Neraca",INDEX(I_COA!$E$6:$E$265,MATCH(D2376,I_COA!$A$6:$A$265,0)),"")</f>
        <v/>
      </c>
      <c r="N2376" s="34" t="str">
        <f aca="false">IF(D2376="","",IFERROR(INDEX(I_COA!$G$6:$G$265,MATCH(D2376,I_COA!$A$6:$A$265,0)),"N"))</f>
        <v/>
      </c>
      <c r="O2376" s="11" t="str">
        <f aca="false">IF(N2376="N",ABS(J2376),"")</f>
        <v/>
      </c>
      <c r="P2376" s="18" t="str">
        <f aca="false">IF(N2376="N",B2376&amp;"|"&amp;ROUND(O2376,0),"")</f>
        <v/>
      </c>
      <c r="Q2376" s="18" t="str">
        <f aca="false">IF(N2376&lt;&gt;"Y","",IFERROR(INDEX($D$6:$D$4005,MATCH(B2376&amp;"|"&amp;ROUND(_xlfn.MAXIFS($O$6:$O$4005,$B$6:$B$4005,B2376,$N$6:$N$4005,"N"),0),$P$6:$P$4005,0)),"(tanpa lawan)"))</f>
        <v/>
      </c>
      <c r="R2376" s="44"/>
      <c r="S2376" s="9" t="str">
        <f aca="false">IF(N2376&lt;&gt;"Y","",IF(R2376&lt;&gt;"",R2376,IF(Q2376="(tanpa lawan)","Transfer antar rekening",IFERROR(INDEX(I_COA!$F$6:$F$265,MATCH(Q2376,I_COA!$A$6:$A$265,0)),"?"))))</f>
        <v/>
      </c>
    </row>
    <row r="2377" customFormat="false" ht="15" hidden="false" customHeight="false" outlineLevel="0" collapsed="false">
      <c r="A2377" s="37"/>
      <c r="B2377" s="44"/>
      <c r="C2377" s="44"/>
      <c r="D2377" s="44"/>
      <c r="E2377" s="44"/>
      <c r="F2377" s="44"/>
      <c r="G2377" s="42"/>
      <c r="H2377" s="42"/>
      <c r="I2377" s="44"/>
      <c r="J2377" s="11" t="str">
        <f aca="false">IF(D2377="","",N(G2377)-N(H2377))</f>
        <v/>
      </c>
      <c r="K2377" s="34" t="str">
        <f aca="false">IF(D2377="","",IFERROR(INDEX(I_COA!$C$6:$C$265,MATCH(D2377,I_COA!$A$6:$A$265,0)),"AKUN BARU"))</f>
        <v/>
      </c>
      <c r="L2377" s="34" t="str">
        <f aca="false">IF(K2377="LabaRugi",INDEX(I_COA!$D$6:$D$265,MATCH(D2377,I_COA!$A$6:$A$265,0)),"")</f>
        <v/>
      </c>
      <c r="M2377" s="34" t="str">
        <f aca="false">IF(K2377="Neraca",INDEX(I_COA!$E$6:$E$265,MATCH(D2377,I_COA!$A$6:$A$265,0)),"")</f>
        <v/>
      </c>
      <c r="N2377" s="34" t="str">
        <f aca="false">IF(D2377="","",IFERROR(INDEX(I_COA!$G$6:$G$265,MATCH(D2377,I_COA!$A$6:$A$265,0)),"N"))</f>
        <v/>
      </c>
      <c r="O2377" s="11" t="str">
        <f aca="false">IF(N2377="N",ABS(J2377),"")</f>
        <v/>
      </c>
      <c r="P2377" s="18" t="str">
        <f aca="false">IF(N2377="N",B2377&amp;"|"&amp;ROUND(O2377,0),"")</f>
        <v/>
      </c>
      <c r="Q2377" s="18" t="str">
        <f aca="false">IF(N2377&lt;&gt;"Y","",IFERROR(INDEX($D$6:$D$4005,MATCH(B2377&amp;"|"&amp;ROUND(_xlfn.MAXIFS($O$6:$O$4005,$B$6:$B$4005,B2377,$N$6:$N$4005,"N"),0),$P$6:$P$4005,0)),"(tanpa lawan)"))</f>
        <v/>
      </c>
      <c r="R2377" s="44"/>
      <c r="S2377" s="9" t="str">
        <f aca="false">IF(N2377&lt;&gt;"Y","",IF(R2377&lt;&gt;"",R2377,IF(Q2377="(tanpa lawan)","Transfer antar rekening",IFERROR(INDEX(I_COA!$F$6:$F$265,MATCH(Q2377,I_COA!$A$6:$A$265,0)),"?"))))</f>
        <v/>
      </c>
    </row>
    <row r="2378" customFormat="false" ht="15" hidden="false" customHeight="false" outlineLevel="0" collapsed="false">
      <c r="A2378" s="37"/>
      <c r="B2378" s="44"/>
      <c r="C2378" s="44"/>
      <c r="D2378" s="44"/>
      <c r="E2378" s="44"/>
      <c r="F2378" s="44"/>
      <c r="G2378" s="42"/>
      <c r="H2378" s="42"/>
      <c r="I2378" s="44"/>
      <c r="J2378" s="11" t="str">
        <f aca="false">IF(D2378="","",N(G2378)-N(H2378))</f>
        <v/>
      </c>
      <c r="K2378" s="34" t="str">
        <f aca="false">IF(D2378="","",IFERROR(INDEX(I_COA!$C$6:$C$265,MATCH(D2378,I_COA!$A$6:$A$265,0)),"AKUN BARU"))</f>
        <v/>
      </c>
      <c r="L2378" s="34" t="str">
        <f aca="false">IF(K2378="LabaRugi",INDEX(I_COA!$D$6:$D$265,MATCH(D2378,I_COA!$A$6:$A$265,0)),"")</f>
        <v/>
      </c>
      <c r="M2378" s="34" t="str">
        <f aca="false">IF(K2378="Neraca",INDEX(I_COA!$E$6:$E$265,MATCH(D2378,I_COA!$A$6:$A$265,0)),"")</f>
        <v/>
      </c>
      <c r="N2378" s="34" t="str">
        <f aca="false">IF(D2378="","",IFERROR(INDEX(I_COA!$G$6:$G$265,MATCH(D2378,I_COA!$A$6:$A$265,0)),"N"))</f>
        <v/>
      </c>
      <c r="O2378" s="11" t="str">
        <f aca="false">IF(N2378="N",ABS(J2378),"")</f>
        <v/>
      </c>
      <c r="P2378" s="18" t="str">
        <f aca="false">IF(N2378="N",B2378&amp;"|"&amp;ROUND(O2378,0),"")</f>
        <v/>
      </c>
      <c r="Q2378" s="18" t="str">
        <f aca="false">IF(N2378&lt;&gt;"Y","",IFERROR(INDEX($D$6:$D$4005,MATCH(B2378&amp;"|"&amp;ROUND(_xlfn.MAXIFS($O$6:$O$4005,$B$6:$B$4005,B2378,$N$6:$N$4005,"N"),0),$P$6:$P$4005,0)),"(tanpa lawan)"))</f>
        <v/>
      </c>
      <c r="R2378" s="44"/>
      <c r="S2378" s="9" t="str">
        <f aca="false">IF(N2378&lt;&gt;"Y","",IF(R2378&lt;&gt;"",R2378,IF(Q2378="(tanpa lawan)","Transfer antar rekening",IFERROR(INDEX(I_COA!$F$6:$F$265,MATCH(Q2378,I_COA!$A$6:$A$265,0)),"?"))))</f>
        <v/>
      </c>
    </row>
    <row r="2379" customFormat="false" ht="15" hidden="false" customHeight="false" outlineLevel="0" collapsed="false">
      <c r="A2379" s="37"/>
      <c r="B2379" s="44"/>
      <c r="C2379" s="44"/>
      <c r="D2379" s="44"/>
      <c r="E2379" s="44"/>
      <c r="F2379" s="44"/>
      <c r="G2379" s="42"/>
      <c r="H2379" s="42"/>
      <c r="I2379" s="44"/>
      <c r="J2379" s="11" t="str">
        <f aca="false">IF(D2379="","",N(G2379)-N(H2379))</f>
        <v/>
      </c>
      <c r="K2379" s="34" t="str">
        <f aca="false">IF(D2379="","",IFERROR(INDEX(I_COA!$C$6:$C$265,MATCH(D2379,I_COA!$A$6:$A$265,0)),"AKUN BARU"))</f>
        <v/>
      </c>
      <c r="L2379" s="34" t="str">
        <f aca="false">IF(K2379="LabaRugi",INDEX(I_COA!$D$6:$D$265,MATCH(D2379,I_COA!$A$6:$A$265,0)),"")</f>
        <v/>
      </c>
      <c r="M2379" s="34" t="str">
        <f aca="false">IF(K2379="Neraca",INDEX(I_COA!$E$6:$E$265,MATCH(D2379,I_COA!$A$6:$A$265,0)),"")</f>
        <v/>
      </c>
      <c r="N2379" s="34" t="str">
        <f aca="false">IF(D2379="","",IFERROR(INDEX(I_COA!$G$6:$G$265,MATCH(D2379,I_COA!$A$6:$A$265,0)),"N"))</f>
        <v/>
      </c>
      <c r="O2379" s="11" t="str">
        <f aca="false">IF(N2379="N",ABS(J2379),"")</f>
        <v/>
      </c>
      <c r="P2379" s="18" t="str">
        <f aca="false">IF(N2379="N",B2379&amp;"|"&amp;ROUND(O2379,0),"")</f>
        <v/>
      </c>
      <c r="Q2379" s="18" t="str">
        <f aca="false">IF(N2379&lt;&gt;"Y","",IFERROR(INDEX($D$6:$D$4005,MATCH(B2379&amp;"|"&amp;ROUND(_xlfn.MAXIFS($O$6:$O$4005,$B$6:$B$4005,B2379,$N$6:$N$4005,"N"),0),$P$6:$P$4005,0)),"(tanpa lawan)"))</f>
        <v/>
      </c>
      <c r="R2379" s="44"/>
      <c r="S2379" s="9" t="str">
        <f aca="false">IF(N2379&lt;&gt;"Y","",IF(R2379&lt;&gt;"",R2379,IF(Q2379="(tanpa lawan)","Transfer antar rekening",IFERROR(INDEX(I_COA!$F$6:$F$265,MATCH(Q2379,I_COA!$A$6:$A$265,0)),"?"))))</f>
        <v/>
      </c>
    </row>
    <row r="2380" customFormat="false" ht="15" hidden="false" customHeight="false" outlineLevel="0" collapsed="false">
      <c r="A2380" s="37"/>
      <c r="B2380" s="44"/>
      <c r="C2380" s="44"/>
      <c r="D2380" s="44"/>
      <c r="E2380" s="44"/>
      <c r="F2380" s="44"/>
      <c r="G2380" s="42"/>
      <c r="H2380" s="42"/>
      <c r="I2380" s="44"/>
      <c r="J2380" s="11" t="str">
        <f aca="false">IF(D2380="","",N(G2380)-N(H2380))</f>
        <v/>
      </c>
      <c r="K2380" s="34" t="str">
        <f aca="false">IF(D2380="","",IFERROR(INDEX(I_COA!$C$6:$C$265,MATCH(D2380,I_COA!$A$6:$A$265,0)),"AKUN BARU"))</f>
        <v/>
      </c>
      <c r="L2380" s="34" t="str">
        <f aca="false">IF(K2380="LabaRugi",INDEX(I_COA!$D$6:$D$265,MATCH(D2380,I_COA!$A$6:$A$265,0)),"")</f>
        <v/>
      </c>
      <c r="M2380" s="34" t="str">
        <f aca="false">IF(K2380="Neraca",INDEX(I_COA!$E$6:$E$265,MATCH(D2380,I_COA!$A$6:$A$265,0)),"")</f>
        <v/>
      </c>
      <c r="N2380" s="34" t="str">
        <f aca="false">IF(D2380="","",IFERROR(INDEX(I_COA!$G$6:$G$265,MATCH(D2380,I_COA!$A$6:$A$265,0)),"N"))</f>
        <v/>
      </c>
      <c r="O2380" s="11" t="str">
        <f aca="false">IF(N2380="N",ABS(J2380),"")</f>
        <v/>
      </c>
      <c r="P2380" s="18" t="str">
        <f aca="false">IF(N2380="N",B2380&amp;"|"&amp;ROUND(O2380,0),"")</f>
        <v/>
      </c>
      <c r="Q2380" s="18" t="str">
        <f aca="false">IF(N2380&lt;&gt;"Y","",IFERROR(INDEX($D$6:$D$4005,MATCH(B2380&amp;"|"&amp;ROUND(_xlfn.MAXIFS($O$6:$O$4005,$B$6:$B$4005,B2380,$N$6:$N$4005,"N"),0),$P$6:$P$4005,0)),"(tanpa lawan)"))</f>
        <v/>
      </c>
      <c r="R2380" s="44"/>
      <c r="S2380" s="9" t="str">
        <f aca="false">IF(N2380&lt;&gt;"Y","",IF(R2380&lt;&gt;"",R2380,IF(Q2380="(tanpa lawan)","Transfer antar rekening",IFERROR(INDEX(I_COA!$F$6:$F$265,MATCH(Q2380,I_COA!$A$6:$A$265,0)),"?"))))</f>
        <v/>
      </c>
    </row>
    <row r="2381" customFormat="false" ht="15" hidden="false" customHeight="false" outlineLevel="0" collapsed="false">
      <c r="A2381" s="37"/>
      <c r="B2381" s="44"/>
      <c r="C2381" s="44"/>
      <c r="D2381" s="44"/>
      <c r="E2381" s="44"/>
      <c r="F2381" s="44"/>
      <c r="G2381" s="42"/>
      <c r="H2381" s="42"/>
      <c r="I2381" s="44"/>
      <c r="J2381" s="11" t="str">
        <f aca="false">IF(D2381="","",N(G2381)-N(H2381))</f>
        <v/>
      </c>
      <c r="K2381" s="34" t="str">
        <f aca="false">IF(D2381="","",IFERROR(INDEX(I_COA!$C$6:$C$265,MATCH(D2381,I_COA!$A$6:$A$265,0)),"AKUN BARU"))</f>
        <v/>
      </c>
      <c r="L2381" s="34" t="str">
        <f aca="false">IF(K2381="LabaRugi",INDEX(I_COA!$D$6:$D$265,MATCH(D2381,I_COA!$A$6:$A$265,0)),"")</f>
        <v/>
      </c>
      <c r="M2381" s="34" t="str">
        <f aca="false">IF(K2381="Neraca",INDEX(I_COA!$E$6:$E$265,MATCH(D2381,I_COA!$A$6:$A$265,0)),"")</f>
        <v/>
      </c>
      <c r="N2381" s="34" t="str">
        <f aca="false">IF(D2381="","",IFERROR(INDEX(I_COA!$G$6:$G$265,MATCH(D2381,I_COA!$A$6:$A$265,0)),"N"))</f>
        <v/>
      </c>
      <c r="O2381" s="11" t="str">
        <f aca="false">IF(N2381="N",ABS(J2381),"")</f>
        <v/>
      </c>
      <c r="P2381" s="18" t="str">
        <f aca="false">IF(N2381="N",B2381&amp;"|"&amp;ROUND(O2381,0),"")</f>
        <v/>
      </c>
      <c r="Q2381" s="18" t="str">
        <f aca="false">IF(N2381&lt;&gt;"Y","",IFERROR(INDEX($D$6:$D$4005,MATCH(B2381&amp;"|"&amp;ROUND(_xlfn.MAXIFS($O$6:$O$4005,$B$6:$B$4005,B2381,$N$6:$N$4005,"N"),0),$P$6:$P$4005,0)),"(tanpa lawan)"))</f>
        <v/>
      </c>
      <c r="R2381" s="44"/>
      <c r="S2381" s="9" t="str">
        <f aca="false">IF(N2381&lt;&gt;"Y","",IF(R2381&lt;&gt;"",R2381,IF(Q2381="(tanpa lawan)","Transfer antar rekening",IFERROR(INDEX(I_COA!$F$6:$F$265,MATCH(Q2381,I_COA!$A$6:$A$265,0)),"?"))))</f>
        <v/>
      </c>
    </row>
    <row r="2382" customFormat="false" ht="15" hidden="false" customHeight="false" outlineLevel="0" collapsed="false">
      <c r="A2382" s="37"/>
      <c r="B2382" s="44"/>
      <c r="C2382" s="44"/>
      <c r="D2382" s="44"/>
      <c r="E2382" s="44"/>
      <c r="F2382" s="44"/>
      <c r="G2382" s="42"/>
      <c r="H2382" s="42"/>
      <c r="I2382" s="44"/>
      <c r="J2382" s="11" t="str">
        <f aca="false">IF(D2382="","",N(G2382)-N(H2382))</f>
        <v/>
      </c>
      <c r="K2382" s="34" t="str">
        <f aca="false">IF(D2382="","",IFERROR(INDEX(I_COA!$C$6:$C$265,MATCH(D2382,I_COA!$A$6:$A$265,0)),"AKUN BARU"))</f>
        <v/>
      </c>
      <c r="L2382" s="34" t="str">
        <f aca="false">IF(K2382="LabaRugi",INDEX(I_COA!$D$6:$D$265,MATCH(D2382,I_COA!$A$6:$A$265,0)),"")</f>
        <v/>
      </c>
      <c r="M2382" s="34" t="str">
        <f aca="false">IF(K2382="Neraca",INDEX(I_COA!$E$6:$E$265,MATCH(D2382,I_COA!$A$6:$A$265,0)),"")</f>
        <v/>
      </c>
      <c r="N2382" s="34" t="str">
        <f aca="false">IF(D2382="","",IFERROR(INDEX(I_COA!$G$6:$G$265,MATCH(D2382,I_COA!$A$6:$A$265,0)),"N"))</f>
        <v/>
      </c>
      <c r="O2382" s="11" t="str">
        <f aca="false">IF(N2382="N",ABS(J2382),"")</f>
        <v/>
      </c>
      <c r="P2382" s="18" t="str">
        <f aca="false">IF(N2382="N",B2382&amp;"|"&amp;ROUND(O2382,0),"")</f>
        <v/>
      </c>
      <c r="Q2382" s="18" t="str">
        <f aca="false">IF(N2382&lt;&gt;"Y","",IFERROR(INDEX($D$6:$D$4005,MATCH(B2382&amp;"|"&amp;ROUND(_xlfn.MAXIFS($O$6:$O$4005,$B$6:$B$4005,B2382,$N$6:$N$4005,"N"),0),$P$6:$P$4005,0)),"(tanpa lawan)"))</f>
        <v/>
      </c>
      <c r="R2382" s="44"/>
      <c r="S2382" s="9" t="str">
        <f aca="false">IF(N2382&lt;&gt;"Y","",IF(R2382&lt;&gt;"",R2382,IF(Q2382="(tanpa lawan)","Transfer antar rekening",IFERROR(INDEX(I_COA!$F$6:$F$265,MATCH(Q2382,I_COA!$A$6:$A$265,0)),"?"))))</f>
        <v/>
      </c>
    </row>
    <row r="2383" customFormat="false" ht="15" hidden="false" customHeight="false" outlineLevel="0" collapsed="false">
      <c r="A2383" s="37"/>
      <c r="B2383" s="44"/>
      <c r="C2383" s="44"/>
      <c r="D2383" s="44"/>
      <c r="E2383" s="44"/>
      <c r="F2383" s="44"/>
      <c r="G2383" s="42"/>
      <c r="H2383" s="42"/>
      <c r="I2383" s="44"/>
      <c r="J2383" s="11" t="str">
        <f aca="false">IF(D2383="","",N(G2383)-N(H2383))</f>
        <v/>
      </c>
      <c r="K2383" s="34" t="str">
        <f aca="false">IF(D2383="","",IFERROR(INDEX(I_COA!$C$6:$C$265,MATCH(D2383,I_COA!$A$6:$A$265,0)),"AKUN BARU"))</f>
        <v/>
      </c>
      <c r="L2383" s="34" t="str">
        <f aca="false">IF(K2383="LabaRugi",INDEX(I_COA!$D$6:$D$265,MATCH(D2383,I_COA!$A$6:$A$265,0)),"")</f>
        <v/>
      </c>
      <c r="M2383" s="34" t="str">
        <f aca="false">IF(K2383="Neraca",INDEX(I_COA!$E$6:$E$265,MATCH(D2383,I_COA!$A$6:$A$265,0)),"")</f>
        <v/>
      </c>
      <c r="N2383" s="34" t="str">
        <f aca="false">IF(D2383="","",IFERROR(INDEX(I_COA!$G$6:$G$265,MATCH(D2383,I_COA!$A$6:$A$265,0)),"N"))</f>
        <v/>
      </c>
      <c r="O2383" s="11" t="str">
        <f aca="false">IF(N2383="N",ABS(J2383),"")</f>
        <v/>
      </c>
      <c r="P2383" s="18" t="str">
        <f aca="false">IF(N2383="N",B2383&amp;"|"&amp;ROUND(O2383,0),"")</f>
        <v/>
      </c>
      <c r="Q2383" s="18" t="str">
        <f aca="false">IF(N2383&lt;&gt;"Y","",IFERROR(INDEX($D$6:$D$4005,MATCH(B2383&amp;"|"&amp;ROUND(_xlfn.MAXIFS($O$6:$O$4005,$B$6:$B$4005,B2383,$N$6:$N$4005,"N"),0),$P$6:$P$4005,0)),"(tanpa lawan)"))</f>
        <v/>
      </c>
      <c r="R2383" s="44"/>
      <c r="S2383" s="9" t="str">
        <f aca="false">IF(N2383&lt;&gt;"Y","",IF(R2383&lt;&gt;"",R2383,IF(Q2383="(tanpa lawan)","Transfer antar rekening",IFERROR(INDEX(I_COA!$F$6:$F$265,MATCH(Q2383,I_COA!$A$6:$A$265,0)),"?"))))</f>
        <v/>
      </c>
    </row>
    <row r="2384" customFormat="false" ht="15" hidden="false" customHeight="false" outlineLevel="0" collapsed="false">
      <c r="A2384" s="37"/>
      <c r="B2384" s="44"/>
      <c r="C2384" s="44"/>
      <c r="D2384" s="44"/>
      <c r="E2384" s="44"/>
      <c r="F2384" s="44"/>
      <c r="G2384" s="42"/>
      <c r="H2384" s="42"/>
      <c r="I2384" s="44"/>
      <c r="J2384" s="11" t="str">
        <f aca="false">IF(D2384="","",N(G2384)-N(H2384))</f>
        <v/>
      </c>
      <c r="K2384" s="34" t="str">
        <f aca="false">IF(D2384="","",IFERROR(INDEX(I_COA!$C$6:$C$265,MATCH(D2384,I_COA!$A$6:$A$265,0)),"AKUN BARU"))</f>
        <v/>
      </c>
      <c r="L2384" s="34" t="str">
        <f aca="false">IF(K2384="LabaRugi",INDEX(I_COA!$D$6:$D$265,MATCH(D2384,I_COA!$A$6:$A$265,0)),"")</f>
        <v/>
      </c>
      <c r="M2384" s="34" t="str">
        <f aca="false">IF(K2384="Neraca",INDEX(I_COA!$E$6:$E$265,MATCH(D2384,I_COA!$A$6:$A$265,0)),"")</f>
        <v/>
      </c>
      <c r="N2384" s="34" t="str">
        <f aca="false">IF(D2384="","",IFERROR(INDEX(I_COA!$G$6:$G$265,MATCH(D2384,I_COA!$A$6:$A$265,0)),"N"))</f>
        <v/>
      </c>
      <c r="O2384" s="11" t="str">
        <f aca="false">IF(N2384="N",ABS(J2384),"")</f>
        <v/>
      </c>
      <c r="P2384" s="18" t="str">
        <f aca="false">IF(N2384="N",B2384&amp;"|"&amp;ROUND(O2384,0),"")</f>
        <v/>
      </c>
      <c r="Q2384" s="18" t="str">
        <f aca="false">IF(N2384&lt;&gt;"Y","",IFERROR(INDEX($D$6:$D$4005,MATCH(B2384&amp;"|"&amp;ROUND(_xlfn.MAXIFS($O$6:$O$4005,$B$6:$B$4005,B2384,$N$6:$N$4005,"N"),0),$P$6:$P$4005,0)),"(tanpa lawan)"))</f>
        <v/>
      </c>
      <c r="R2384" s="44"/>
      <c r="S2384" s="9" t="str">
        <f aca="false">IF(N2384&lt;&gt;"Y","",IF(R2384&lt;&gt;"",R2384,IF(Q2384="(tanpa lawan)","Transfer antar rekening",IFERROR(INDEX(I_COA!$F$6:$F$265,MATCH(Q2384,I_COA!$A$6:$A$265,0)),"?"))))</f>
        <v/>
      </c>
    </row>
    <row r="2385" customFormat="false" ht="15" hidden="false" customHeight="false" outlineLevel="0" collapsed="false">
      <c r="A2385" s="37"/>
      <c r="B2385" s="44"/>
      <c r="C2385" s="44"/>
      <c r="D2385" s="44"/>
      <c r="E2385" s="44"/>
      <c r="F2385" s="44"/>
      <c r="G2385" s="42"/>
      <c r="H2385" s="42"/>
      <c r="I2385" s="44"/>
      <c r="J2385" s="11" t="str">
        <f aca="false">IF(D2385="","",N(G2385)-N(H2385))</f>
        <v/>
      </c>
      <c r="K2385" s="34" t="str">
        <f aca="false">IF(D2385="","",IFERROR(INDEX(I_COA!$C$6:$C$265,MATCH(D2385,I_COA!$A$6:$A$265,0)),"AKUN BARU"))</f>
        <v/>
      </c>
      <c r="L2385" s="34" t="str">
        <f aca="false">IF(K2385="LabaRugi",INDEX(I_COA!$D$6:$D$265,MATCH(D2385,I_COA!$A$6:$A$265,0)),"")</f>
        <v/>
      </c>
      <c r="M2385" s="34" t="str">
        <f aca="false">IF(K2385="Neraca",INDEX(I_COA!$E$6:$E$265,MATCH(D2385,I_COA!$A$6:$A$265,0)),"")</f>
        <v/>
      </c>
      <c r="N2385" s="34" t="str">
        <f aca="false">IF(D2385="","",IFERROR(INDEX(I_COA!$G$6:$G$265,MATCH(D2385,I_COA!$A$6:$A$265,0)),"N"))</f>
        <v/>
      </c>
      <c r="O2385" s="11" t="str">
        <f aca="false">IF(N2385="N",ABS(J2385),"")</f>
        <v/>
      </c>
      <c r="P2385" s="18" t="str">
        <f aca="false">IF(N2385="N",B2385&amp;"|"&amp;ROUND(O2385,0),"")</f>
        <v/>
      </c>
      <c r="Q2385" s="18" t="str">
        <f aca="false">IF(N2385&lt;&gt;"Y","",IFERROR(INDEX($D$6:$D$4005,MATCH(B2385&amp;"|"&amp;ROUND(_xlfn.MAXIFS($O$6:$O$4005,$B$6:$B$4005,B2385,$N$6:$N$4005,"N"),0),$P$6:$P$4005,0)),"(tanpa lawan)"))</f>
        <v/>
      </c>
      <c r="R2385" s="44"/>
      <c r="S2385" s="9" t="str">
        <f aca="false">IF(N2385&lt;&gt;"Y","",IF(R2385&lt;&gt;"",R2385,IF(Q2385="(tanpa lawan)","Transfer antar rekening",IFERROR(INDEX(I_COA!$F$6:$F$265,MATCH(Q2385,I_COA!$A$6:$A$265,0)),"?"))))</f>
        <v/>
      </c>
    </row>
    <row r="2386" customFormat="false" ht="15" hidden="false" customHeight="false" outlineLevel="0" collapsed="false">
      <c r="A2386" s="37"/>
      <c r="B2386" s="44"/>
      <c r="C2386" s="44"/>
      <c r="D2386" s="44"/>
      <c r="E2386" s="44"/>
      <c r="F2386" s="44"/>
      <c r="G2386" s="42"/>
      <c r="H2386" s="42"/>
      <c r="I2386" s="44"/>
      <c r="J2386" s="11" t="str">
        <f aca="false">IF(D2386="","",N(G2386)-N(H2386))</f>
        <v/>
      </c>
      <c r="K2386" s="34" t="str">
        <f aca="false">IF(D2386="","",IFERROR(INDEX(I_COA!$C$6:$C$265,MATCH(D2386,I_COA!$A$6:$A$265,0)),"AKUN BARU"))</f>
        <v/>
      </c>
      <c r="L2386" s="34" t="str">
        <f aca="false">IF(K2386="LabaRugi",INDEX(I_COA!$D$6:$D$265,MATCH(D2386,I_COA!$A$6:$A$265,0)),"")</f>
        <v/>
      </c>
      <c r="M2386" s="34" t="str">
        <f aca="false">IF(K2386="Neraca",INDEX(I_COA!$E$6:$E$265,MATCH(D2386,I_COA!$A$6:$A$265,0)),"")</f>
        <v/>
      </c>
      <c r="N2386" s="34" t="str">
        <f aca="false">IF(D2386="","",IFERROR(INDEX(I_COA!$G$6:$G$265,MATCH(D2386,I_COA!$A$6:$A$265,0)),"N"))</f>
        <v/>
      </c>
      <c r="O2386" s="11" t="str">
        <f aca="false">IF(N2386="N",ABS(J2386),"")</f>
        <v/>
      </c>
      <c r="P2386" s="18" t="str">
        <f aca="false">IF(N2386="N",B2386&amp;"|"&amp;ROUND(O2386,0),"")</f>
        <v/>
      </c>
      <c r="Q2386" s="18" t="str">
        <f aca="false">IF(N2386&lt;&gt;"Y","",IFERROR(INDEX($D$6:$D$4005,MATCH(B2386&amp;"|"&amp;ROUND(_xlfn.MAXIFS($O$6:$O$4005,$B$6:$B$4005,B2386,$N$6:$N$4005,"N"),0),$P$6:$P$4005,0)),"(tanpa lawan)"))</f>
        <v/>
      </c>
      <c r="R2386" s="44"/>
      <c r="S2386" s="9" t="str">
        <f aca="false">IF(N2386&lt;&gt;"Y","",IF(R2386&lt;&gt;"",R2386,IF(Q2386="(tanpa lawan)","Transfer antar rekening",IFERROR(INDEX(I_COA!$F$6:$F$265,MATCH(Q2386,I_COA!$A$6:$A$265,0)),"?"))))</f>
        <v/>
      </c>
    </row>
    <row r="2387" customFormat="false" ht="15" hidden="false" customHeight="false" outlineLevel="0" collapsed="false">
      <c r="A2387" s="37"/>
      <c r="B2387" s="44"/>
      <c r="C2387" s="44"/>
      <c r="D2387" s="44"/>
      <c r="E2387" s="44"/>
      <c r="F2387" s="44"/>
      <c r="G2387" s="42"/>
      <c r="H2387" s="42"/>
      <c r="I2387" s="44"/>
      <c r="J2387" s="11" t="str">
        <f aca="false">IF(D2387="","",N(G2387)-N(H2387))</f>
        <v/>
      </c>
      <c r="K2387" s="34" t="str">
        <f aca="false">IF(D2387="","",IFERROR(INDEX(I_COA!$C$6:$C$265,MATCH(D2387,I_COA!$A$6:$A$265,0)),"AKUN BARU"))</f>
        <v/>
      </c>
      <c r="L2387" s="34" t="str">
        <f aca="false">IF(K2387="LabaRugi",INDEX(I_COA!$D$6:$D$265,MATCH(D2387,I_COA!$A$6:$A$265,0)),"")</f>
        <v/>
      </c>
      <c r="M2387" s="34" t="str">
        <f aca="false">IF(K2387="Neraca",INDEX(I_COA!$E$6:$E$265,MATCH(D2387,I_COA!$A$6:$A$265,0)),"")</f>
        <v/>
      </c>
      <c r="N2387" s="34" t="str">
        <f aca="false">IF(D2387="","",IFERROR(INDEX(I_COA!$G$6:$G$265,MATCH(D2387,I_COA!$A$6:$A$265,0)),"N"))</f>
        <v/>
      </c>
      <c r="O2387" s="11" t="str">
        <f aca="false">IF(N2387="N",ABS(J2387),"")</f>
        <v/>
      </c>
      <c r="P2387" s="18" t="str">
        <f aca="false">IF(N2387="N",B2387&amp;"|"&amp;ROUND(O2387,0),"")</f>
        <v/>
      </c>
      <c r="Q2387" s="18" t="str">
        <f aca="false">IF(N2387&lt;&gt;"Y","",IFERROR(INDEX($D$6:$D$4005,MATCH(B2387&amp;"|"&amp;ROUND(_xlfn.MAXIFS($O$6:$O$4005,$B$6:$B$4005,B2387,$N$6:$N$4005,"N"),0),$P$6:$P$4005,0)),"(tanpa lawan)"))</f>
        <v/>
      </c>
      <c r="R2387" s="44"/>
      <c r="S2387" s="9" t="str">
        <f aca="false">IF(N2387&lt;&gt;"Y","",IF(R2387&lt;&gt;"",R2387,IF(Q2387="(tanpa lawan)","Transfer antar rekening",IFERROR(INDEX(I_COA!$F$6:$F$265,MATCH(Q2387,I_COA!$A$6:$A$265,0)),"?"))))</f>
        <v/>
      </c>
    </row>
    <row r="2388" customFormat="false" ht="15" hidden="false" customHeight="false" outlineLevel="0" collapsed="false">
      <c r="A2388" s="37"/>
      <c r="B2388" s="44"/>
      <c r="C2388" s="44"/>
      <c r="D2388" s="44"/>
      <c r="E2388" s="44"/>
      <c r="F2388" s="44"/>
      <c r="G2388" s="42"/>
      <c r="H2388" s="42"/>
      <c r="I2388" s="44"/>
      <c r="J2388" s="11" t="str">
        <f aca="false">IF(D2388="","",N(G2388)-N(H2388))</f>
        <v/>
      </c>
      <c r="K2388" s="34" t="str">
        <f aca="false">IF(D2388="","",IFERROR(INDEX(I_COA!$C$6:$C$265,MATCH(D2388,I_COA!$A$6:$A$265,0)),"AKUN BARU"))</f>
        <v/>
      </c>
      <c r="L2388" s="34" t="str">
        <f aca="false">IF(K2388="LabaRugi",INDEX(I_COA!$D$6:$D$265,MATCH(D2388,I_COA!$A$6:$A$265,0)),"")</f>
        <v/>
      </c>
      <c r="M2388" s="34" t="str">
        <f aca="false">IF(K2388="Neraca",INDEX(I_COA!$E$6:$E$265,MATCH(D2388,I_COA!$A$6:$A$265,0)),"")</f>
        <v/>
      </c>
      <c r="N2388" s="34" t="str">
        <f aca="false">IF(D2388="","",IFERROR(INDEX(I_COA!$G$6:$G$265,MATCH(D2388,I_COA!$A$6:$A$265,0)),"N"))</f>
        <v/>
      </c>
      <c r="O2388" s="11" t="str">
        <f aca="false">IF(N2388="N",ABS(J2388),"")</f>
        <v/>
      </c>
      <c r="P2388" s="18" t="str">
        <f aca="false">IF(N2388="N",B2388&amp;"|"&amp;ROUND(O2388,0),"")</f>
        <v/>
      </c>
      <c r="Q2388" s="18" t="str">
        <f aca="false">IF(N2388&lt;&gt;"Y","",IFERROR(INDEX($D$6:$D$4005,MATCH(B2388&amp;"|"&amp;ROUND(_xlfn.MAXIFS($O$6:$O$4005,$B$6:$B$4005,B2388,$N$6:$N$4005,"N"),0),$P$6:$P$4005,0)),"(tanpa lawan)"))</f>
        <v/>
      </c>
      <c r="R2388" s="44"/>
      <c r="S2388" s="9" t="str">
        <f aca="false">IF(N2388&lt;&gt;"Y","",IF(R2388&lt;&gt;"",R2388,IF(Q2388="(tanpa lawan)","Transfer antar rekening",IFERROR(INDEX(I_COA!$F$6:$F$265,MATCH(Q2388,I_COA!$A$6:$A$265,0)),"?"))))</f>
        <v/>
      </c>
    </row>
    <row r="2389" customFormat="false" ht="15" hidden="false" customHeight="false" outlineLevel="0" collapsed="false">
      <c r="A2389" s="37"/>
      <c r="B2389" s="44"/>
      <c r="C2389" s="44"/>
      <c r="D2389" s="44"/>
      <c r="E2389" s="44"/>
      <c r="F2389" s="44"/>
      <c r="G2389" s="42"/>
      <c r="H2389" s="42"/>
      <c r="I2389" s="44"/>
      <c r="J2389" s="11" t="str">
        <f aca="false">IF(D2389="","",N(G2389)-N(H2389))</f>
        <v/>
      </c>
      <c r="K2389" s="34" t="str">
        <f aca="false">IF(D2389="","",IFERROR(INDEX(I_COA!$C$6:$C$265,MATCH(D2389,I_COA!$A$6:$A$265,0)),"AKUN BARU"))</f>
        <v/>
      </c>
      <c r="L2389" s="34" t="str">
        <f aca="false">IF(K2389="LabaRugi",INDEX(I_COA!$D$6:$D$265,MATCH(D2389,I_COA!$A$6:$A$265,0)),"")</f>
        <v/>
      </c>
      <c r="M2389" s="34" t="str">
        <f aca="false">IF(K2389="Neraca",INDEX(I_COA!$E$6:$E$265,MATCH(D2389,I_COA!$A$6:$A$265,0)),"")</f>
        <v/>
      </c>
      <c r="N2389" s="34" t="str">
        <f aca="false">IF(D2389="","",IFERROR(INDEX(I_COA!$G$6:$G$265,MATCH(D2389,I_COA!$A$6:$A$265,0)),"N"))</f>
        <v/>
      </c>
      <c r="O2389" s="11" t="str">
        <f aca="false">IF(N2389="N",ABS(J2389),"")</f>
        <v/>
      </c>
      <c r="P2389" s="18" t="str">
        <f aca="false">IF(N2389="N",B2389&amp;"|"&amp;ROUND(O2389,0),"")</f>
        <v/>
      </c>
      <c r="Q2389" s="18" t="str">
        <f aca="false">IF(N2389&lt;&gt;"Y","",IFERROR(INDEX($D$6:$D$4005,MATCH(B2389&amp;"|"&amp;ROUND(_xlfn.MAXIFS($O$6:$O$4005,$B$6:$B$4005,B2389,$N$6:$N$4005,"N"),0),$P$6:$P$4005,0)),"(tanpa lawan)"))</f>
        <v/>
      </c>
      <c r="R2389" s="44"/>
      <c r="S2389" s="9" t="str">
        <f aca="false">IF(N2389&lt;&gt;"Y","",IF(R2389&lt;&gt;"",R2389,IF(Q2389="(tanpa lawan)","Transfer antar rekening",IFERROR(INDEX(I_COA!$F$6:$F$265,MATCH(Q2389,I_COA!$A$6:$A$265,0)),"?"))))</f>
        <v/>
      </c>
    </row>
    <row r="2390" customFormat="false" ht="15" hidden="false" customHeight="false" outlineLevel="0" collapsed="false">
      <c r="A2390" s="37"/>
      <c r="B2390" s="44"/>
      <c r="C2390" s="44"/>
      <c r="D2390" s="44"/>
      <c r="E2390" s="44"/>
      <c r="F2390" s="44"/>
      <c r="G2390" s="42"/>
      <c r="H2390" s="42"/>
      <c r="I2390" s="44"/>
      <c r="J2390" s="11" t="str">
        <f aca="false">IF(D2390="","",N(G2390)-N(H2390))</f>
        <v/>
      </c>
      <c r="K2390" s="34" t="str">
        <f aca="false">IF(D2390="","",IFERROR(INDEX(I_COA!$C$6:$C$265,MATCH(D2390,I_COA!$A$6:$A$265,0)),"AKUN BARU"))</f>
        <v/>
      </c>
      <c r="L2390" s="34" t="str">
        <f aca="false">IF(K2390="LabaRugi",INDEX(I_COA!$D$6:$D$265,MATCH(D2390,I_COA!$A$6:$A$265,0)),"")</f>
        <v/>
      </c>
      <c r="M2390" s="34" t="str">
        <f aca="false">IF(K2390="Neraca",INDEX(I_COA!$E$6:$E$265,MATCH(D2390,I_COA!$A$6:$A$265,0)),"")</f>
        <v/>
      </c>
      <c r="N2390" s="34" t="str">
        <f aca="false">IF(D2390="","",IFERROR(INDEX(I_COA!$G$6:$G$265,MATCH(D2390,I_COA!$A$6:$A$265,0)),"N"))</f>
        <v/>
      </c>
      <c r="O2390" s="11" t="str">
        <f aca="false">IF(N2390="N",ABS(J2390),"")</f>
        <v/>
      </c>
      <c r="P2390" s="18" t="str">
        <f aca="false">IF(N2390="N",B2390&amp;"|"&amp;ROUND(O2390,0),"")</f>
        <v/>
      </c>
      <c r="Q2390" s="18" t="str">
        <f aca="false">IF(N2390&lt;&gt;"Y","",IFERROR(INDEX($D$6:$D$4005,MATCH(B2390&amp;"|"&amp;ROUND(_xlfn.MAXIFS($O$6:$O$4005,$B$6:$B$4005,B2390,$N$6:$N$4005,"N"),0),$P$6:$P$4005,0)),"(tanpa lawan)"))</f>
        <v/>
      </c>
      <c r="R2390" s="44"/>
      <c r="S2390" s="9" t="str">
        <f aca="false">IF(N2390&lt;&gt;"Y","",IF(R2390&lt;&gt;"",R2390,IF(Q2390="(tanpa lawan)","Transfer antar rekening",IFERROR(INDEX(I_COA!$F$6:$F$265,MATCH(Q2390,I_COA!$A$6:$A$265,0)),"?"))))</f>
        <v/>
      </c>
    </row>
    <row r="2391" customFormat="false" ht="15" hidden="false" customHeight="false" outlineLevel="0" collapsed="false">
      <c r="A2391" s="37"/>
      <c r="B2391" s="44"/>
      <c r="C2391" s="44"/>
      <c r="D2391" s="44"/>
      <c r="E2391" s="44"/>
      <c r="F2391" s="44"/>
      <c r="G2391" s="42"/>
      <c r="H2391" s="42"/>
      <c r="I2391" s="44"/>
      <c r="J2391" s="11" t="str">
        <f aca="false">IF(D2391="","",N(G2391)-N(H2391))</f>
        <v/>
      </c>
      <c r="K2391" s="34" t="str">
        <f aca="false">IF(D2391="","",IFERROR(INDEX(I_COA!$C$6:$C$265,MATCH(D2391,I_COA!$A$6:$A$265,0)),"AKUN BARU"))</f>
        <v/>
      </c>
      <c r="L2391" s="34" t="str">
        <f aca="false">IF(K2391="LabaRugi",INDEX(I_COA!$D$6:$D$265,MATCH(D2391,I_COA!$A$6:$A$265,0)),"")</f>
        <v/>
      </c>
      <c r="M2391" s="34" t="str">
        <f aca="false">IF(K2391="Neraca",INDEX(I_COA!$E$6:$E$265,MATCH(D2391,I_COA!$A$6:$A$265,0)),"")</f>
        <v/>
      </c>
      <c r="N2391" s="34" t="str">
        <f aca="false">IF(D2391="","",IFERROR(INDEX(I_COA!$G$6:$G$265,MATCH(D2391,I_COA!$A$6:$A$265,0)),"N"))</f>
        <v/>
      </c>
      <c r="O2391" s="11" t="str">
        <f aca="false">IF(N2391="N",ABS(J2391),"")</f>
        <v/>
      </c>
      <c r="P2391" s="18" t="str">
        <f aca="false">IF(N2391="N",B2391&amp;"|"&amp;ROUND(O2391,0),"")</f>
        <v/>
      </c>
      <c r="Q2391" s="18" t="str">
        <f aca="false">IF(N2391&lt;&gt;"Y","",IFERROR(INDEX($D$6:$D$4005,MATCH(B2391&amp;"|"&amp;ROUND(_xlfn.MAXIFS($O$6:$O$4005,$B$6:$B$4005,B2391,$N$6:$N$4005,"N"),0),$P$6:$P$4005,0)),"(tanpa lawan)"))</f>
        <v/>
      </c>
      <c r="R2391" s="44"/>
      <c r="S2391" s="9" t="str">
        <f aca="false">IF(N2391&lt;&gt;"Y","",IF(R2391&lt;&gt;"",R2391,IF(Q2391="(tanpa lawan)","Transfer antar rekening",IFERROR(INDEX(I_COA!$F$6:$F$265,MATCH(Q2391,I_COA!$A$6:$A$265,0)),"?"))))</f>
        <v/>
      </c>
    </row>
    <row r="2392" customFormat="false" ht="15" hidden="false" customHeight="false" outlineLevel="0" collapsed="false">
      <c r="A2392" s="37"/>
      <c r="B2392" s="44"/>
      <c r="C2392" s="44"/>
      <c r="D2392" s="44"/>
      <c r="E2392" s="44"/>
      <c r="F2392" s="44"/>
      <c r="G2392" s="42"/>
      <c r="H2392" s="42"/>
      <c r="I2392" s="44"/>
      <c r="J2392" s="11" t="str">
        <f aca="false">IF(D2392="","",N(G2392)-N(H2392))</f>
        <v/>
      </c>
      <c r="K2392" s="34" t="str">
        <f aca="false">IF(D2392="","",IFERROR(INDEX(I_COA!$C$6:$C$265,MATCH(D2392,I_COA!$A$6:$A$265,0)),"AKUN BARU"))</f>
        <v/>
      </c>
      <c r="L2392" s="34" t="str">
        <f aca="false">IF(K2392="LabaRugi",INDEX(I_COA!$D$6:$D$265,MATCH(D2392,I_COA!$A$6:$A$265,0)),"")</f>
        <v/>
      </c>
      <c r="M2392" s="34" t="str">
        <f aca="false">IF(K2392="Neraca",INDEX(I_COA!$E$6:$E$265,MATCH(D2392,I_COA!$A$6:$A$265,0)),"")</f>
        <v/>
      </c>
      <c r="N2392" s="34" t="str">
        <f aca="false">IF(D2392="","",IFERROR(INDEX(I_COA!$G$6:$G$265,MATCH(D2392,I_COA!$A$6:$A$265,0)),"N"))</f>
        <v/>
      </c>
      <c r="O2392" s="11" t="str">
        <f aca="false">IF(N2392="N",ABS(J2392),"")</f>
        <v/>
      </c>
      <c r="P2392" s="18" t="str">
        <f aca="false">IF(N2392="N",B2392&amp;"|"&amp;ROUND(O2392,0),"")</f>
        <v/>
      </c>
      <c r="Q2392" s="18" t="str">
        <f aca="false">IF(N2392&lt;&gt;"Y","",IFERROR(INDEX($D$6:$D$4005,MATCH(B2392&amp;"|"&amp;ROUND(_xlfn.MAXIFS($O$6:$O$4005,$B$6:$B$4005,B2392,$N$6:$N$4005,"N"),0),$P$6:$P$4005,0)),"(tanpa lawan)"))</f>
        <v/>
      </c>
      <c r="R2392" s="44"/>
      <c r="S2392" s="9" t="str">
        <f aca="false">IF(N2392&lt;&gt;"Y","",IF(R2392&lt;&gt;"",R2392,IF(Q2392="(tanpa lawan)","Transfer antar rekening",IFERROR(INDEX(I_COA!$F$6:$F$265,MATCH(Q2392,I_COA!$A$6:$A$265,0)),"?"))))</f>
        <v/>
      </c>
    </row>
    <row r="2393" customFormat="false" ht="15" hidden="false" customHeight="false" outlineLevel="0" collapsed="false">
      <c r="A2393" s="37"/>
      <c r="B2393" s="44"/>
      <c r="C2393" s="44"/>
      <c r="D2393" s="44"/>
      <c r="E2393" s="44"/>
      <c r="F2393" s="44"/>
      <c r="G2393" s="42"/>
      <c r="H2393" s="42"/>
      <c r="I2393" s="44"/>
      <c r="J2393" s="11" t="str">
        <f aca="false">IF(D2393="","",N(G2393)-N(H2393))</f>
        <v/>
      </c>
      <c r="K2393" s="34" t="str">
        <f aca="false">IF(D2393="","",IFERROR(INDEX(I_COA!$C$6:$C$265,MATCH(D2393,I_COA!$A$6:$A$265,0)),"AKUN BARU"))</f>
        <v/>
      </c>
      <c r="L2393" s="34" t="str">
        <f aca="false">IF(K2393="LabaRugi",INDEX(I_COA!$D$6:$D$265,MATCH(D2393,I_COA!$A$6:$A$265,0)),"")</f>
        <v/>
      </c>
      <c r="M2393" s="34" t="str">
        <f aca="false">IF(K2393="Neraca",INDEX(I_COA!$E$6:$E$265,MATCH(D2393,I_COA!$A$6:$A$265,0)),"")</f>
        <v/>
      </c>
      <c r="N2393" s="34" t="str">
        <f aca="false">IF(D2393="","",IFERROR(INDEX(I_COA!$G$6:$G$265,MATCH(D2393,I_COA!$A$6:$A$265,0)),"N"))</f>
        <v/>
      </c>
      <c r="O2393" s="11" t="str">
        <f aca="false">IF(N2393="N",ABS(J2393),"")</f>
        <v/>
      </c>
      <c r="P2393" s="18" t="str">
        <f aca="false">IF(N2393="N",B2393&amp;"|"&amp;ROUND(O2393,0),"")</f>
        <v/>
      </c>
      <c r="Q2393" s="18" t="str">
        <f aca="false">IF(N2393&lt;&gt;"Y","",IFERROR(INDEX($D$6:$D$4005,MATCH(B2393&amp;"|"&amp;ROUND(_xlfn.MAXIFS($O$6:$O$4005,$B$6:$B$4005,B2393,$N$6:$N$4005,"N"),0),$P$6:$P$4005,0)),"(tanpa lawan)"))</f>
        <v/>
      </c>
      <c r="R2393" s="44"/>
      <c r="S2393" s="9" t="str">
        <f aca="false">IF(N2393&lt;&gt;"Y","",IF(R2393&lt;&gt;"",R2393,IF(Q2393="(tanpa lawan)","Transfer antar rekening",IFERROR(INDEX(I_COA!$F$6:$F$265,MATCH(Q2393,I_COA!$A$6:$A$265,0)),"?"))))</f>
        <v/>
      </c>
    </row>
    <row r="2394" customFormat="false" ht="15" hidden="false" customHeight="false" outlineLevel="0" collapsed="false">
      <c r="A2394" s="37"/>
      <c r="B2394" s="44"/>
      <c r="C2394" s="44"/>
      <c r="D2394" s="44"/>
      <c r="E2394" s="44"/>
      <c r="F2394" s="44"/>
      <c r="G2394" s="42"/>
      <c r="H2394" s="42"/>
      <c r="I2394" s="44"/>
      <c r="J2394" s="11" t="str">
        <f aca="false">IF(D2394="","",N(G2394)-N(H2394))</f>
        <v/>
      </c>
      <c r="K2394" s="34" t="str">
        <f aca="false">IF(D2394="","",IFERROR(INDEX(I_COA!$C$6:$C$265,MATCH(D2394,I_COA!$A$6:$A$265,0)),"AKUN BARU"))</f>
        <v/>
      </c>
      <c r="L2394" s="34" t="str">
        <f aca="false">IF(K2394="LabaRugi",INDEX(I_COA!$D$6:$D$265,MATCH(D2394,I_COA!$A$6:$A$265,0)),"")</f>
        <v/>
      </c>
      <c r="M2394" s="34" t="str">
        <f aca="false">IF(K2394="Neraca",INDEX(I_COA!$E$6:$E$265,MATCH(D2394,I_COA!$A$6:$A$265,0)),"")</f>
        <v/>
      </c>
      <c r="N2394" s="34" t="str">
        <f aca="false">IF(D2394="","",IFERROR(INDEX(I_COA!$G$6:$G$265,MATCH(D2394,I_COA!$A$6:$A$265,0)),"N"))</f>
        <v/>
      </c>
      <c r="O2394" s="11" t="str">
        <f aca="false">IF(N2394="N",ABS(J2394),"")</f>
        <v/>
      </c>
      <c r="P2394" s="18" t="str">
        <f aca="false">IF(N2394="N",B2394&amp;"|"&amp;ROUND(O2394,0),"")</f>
        <v/>
      </c>
      <c r="Q2394" s="18" t="str">
        <f aca="false">IF(N2394&lt;&gt;"Y","",IFERROR(INDEX($D$6:$D$4005,MATCH(B2394&amp;"|"&amp;ROUND(_xlfn.MAXIFS($O$6:$O$4005,$B$6:$B$4005,B2394,$N$6:$N$4005,"N"),0),$P$6:$P$4005,0)),"(tanpa lawan)"))</f>
        <v/>
      </c>
      <c r="R2394" s="44"/>
      <c r="S2394" s="9" t="str">
        <f aca="false">IF(N2394&lt;&gt;"Y","",IF(R2394&lt;&gt;"",R2394,IF(Q2394="(tanpa lawan)","Transfer antar rekening",IFERROR(INDEX(I_COA!$F$6:$F$265,MATCH(Q2394,I_COA!$A$6:$A$265,0)),"?"))))</f>
        <v/>
      </c>
    </row>
    <row r="2395" customFormat="false" ht="15" hidden="false" customHeight="false" outlineLevel="0" collapsed="false">
      <c r="A2395" s="37"/>
      <c r="B2395" s="44"/>
      <c r="C2395" s="44"/>
      <c r="D2395" s="44"/>
      <c r="E2395" s="44"/>
      <c r="F2395" s="44"/>
      <c r="G2395" s="42"/>
      <c r="H2395" s="42"/>
      <c r="I2395" s="44"/>
      <c r="J2395" s="11" t="str">
        <f aca="false">IF(D2395="","",N(G2395)-N(H2395))</f>
        <v/>
      </c>
      <c r="K2395" s="34" t="str">
        <f aca="false">IF(D2395="","",IFERROR(INDEX(I_COA!$C$6:$C$265,MATCH(D2395,I_COA!$A$6:$A$265,0)),"AKUN BARU"))</f>
        <v/>
      </c>
      <c r="L2395" s="34" t="str">
        <f aca="false">IF(K2395="LabaRugi",INDEX(I_COA!$D$6:$D$265,MATCH(D2395,I_COA!$A$6:$A$265,0)),"")</f>
        <v/>
      </c>
      <c r="M2395" s="34" t="str">
        <f aca="false">IF(K2395="Neraca",INDEX(I_COA!$E$6:$E$265,MATCH(D2395,I_COA!$A$6:$A$265,0)),"")</f>
        <v/>
      </c>
      <c r="N2395" s="34" t="str">
        <f aca="false">IF(D2395="","",IFERROR(INDEX(I_COA!$G$6:$G$265,MATCH(D2395,I_COA!$A$6:$A$265,0)),"N"))</f>
        <v/>
      </c>
      <c r="O2395" s="11" t="str">
        <f aca="false">IF(N2395="N",ABS(J2395),"")</f>
        <v/>
      </c>
      <c r="P2395" s="18" t="str">
        <f aca="false">IF(N2395="N",B2395&amp;"|"&amp;ROUND(O2395,0),"")</f>
        <v/>
      </c>
      <c r="Q2395" s="18" t="str">
        <f aca="false">IF(N2395&lt;&gt;"Y","",IFERROR(INDEX($D$6:$D$4005,MATCH(B2395&amp;"|"&amp;ROUND(_xlfn.MAXIFS($O$6:$O$4005,$B$6:$B$4005,B2395,$N$6:$N$4005,"N"),0),$P$6:$P$4005,0)),"(tanpa lawan)"))</f>
        <v/>
      </c>
      <c r="R2395" s="44"/>
      <c r="S2395" s="9" t="str">
        <f aca="false">IF(N2395&lt;&gt;"Y","",IF(R2395&lt;&gt;"",R2395,IF(Q2395="(tanpa lawan)","Transfer antar rekening",IFERROR(INDEX(I_COA!$F$6:$F$265,MATCH(Q2395,I_COA!$A$6:$A$265,0)),"?"))))</f>
        <v/>
      </c>
    </row>
    <row r="2396" customFormat="false" ht="15" hidden="false" customHeight="false" outlineLevel="0" collapsed="false">
      <c r="A2396" s="37"/>
      <c r="B2396" s="44"/>
      <c r="C2396" s="44"/>
      <c r="D2396" s="44"/>
      <c r="E2396" s="44"/>
      <c r="F2396" s="44"/>
      <c r="G2396" s="42"/>
      <c r="H2396" s="42"/>
      <c r="I2396" s="44"/>
      <c r="J2396" s="11" t="str">
        <f aca="false">IF(D2396="","",N(G2396)-N(H2396))</f>
        <v/>
      </c>
      <c r="K2396" s="34" t="str">
        <f aca="false">IF(D2396="","",IFERROR(INDEX(I_COA!$C$6:$C$265,MATCH(D2396,I_COA!$A$6:$A$265,0)),"AKUN BARU"))</f>
        <v/>
      </c>
      <c r="L2396" s="34" t="str">
        <f aca="false">IF(K2396="LabaRugi",INDEX(I_COA!$D$6:$D$265,MATCH(D2396,I_COA!$A$6:$A$265,0)),"")</f>
        <v/>
      </c>
      <c r="M2396" s="34" t="str">
        <f aca="false">IF(K2396="Neraca",INDEX(I_COA!$E$6:$E$265,MATCH(D2396,I_COA!$A$6:$A$265,0)),"")</f>
        <v/>
      </c>
      <c r="N2396" s="34" t="str">
        <f aca="false">IF(D2396="","",IFERROR(INDEX(I_COA!$G$6:$G$265,MATCH(D2396,I_COA!$A$6:$A$265,0)),"N"))</f>
        <v/>
      </c>
      <c r="O2396" s="11" t="str">
        <f aca="false">IF(N2396="N",ABS(J2396),"")</f>
        <v/>
      </c>
      <c r="P2396" s="18" t="str">
        <f aca="false">IF(N2396="N",B2396&amp;"|"&amp;ROUND(O2396,0),"")</f>
        <v/>
      </c>
      <c r="Q2396" s="18" t="str">
        <f aca="false">IF(N2396&lt;&gt;"Y","",IFERROR(INDEX($D$6:$D$4005,MATCH(B2396&amp;"|"&amp;ROUND(_xlfn.MAXIFS($O$6:$O$4005,$B$6:$B$4005,B2396,$N$6:$N$4005,"N"),0),$P$6:$P$4005,0)),"(tanpa lawan)"))</f>
        <v/>
      </c>
      <c r="R2396" s="44"/>
      <c r="S2396" s="9" t="str">
        <f aca="false">IF(N2396&lt;&gt;"Y","",IF(R2396&lt;&gt;"",R2396,IF(Q2396="(tanpa lawan)","Transfer antar rekening",IFERROR(INDEX(I_COA!$F$6:$F$265,MATCH(Q2396,I_COA!$A$6:$A$265,0)),"?"))))</f>
        <v/>
      </c>
    </row>
    <row r="2397" customFormat="false" ht="15" hidden="false" customHeight="false" outlineLevel="0" collapsed="false">
      <c r="A2397" s="37"/>
      <c r="B2397" s="44"/>
      <c r="C2397" s="44"/>
      <c r="D2397" s="44"/>
      <c r="E2397" s="44"/>
      <c r="F2397" s="44"/>
      <c r="G2397" s="42"/>
      <c r="H2397" s="42"/>
      <c r="I2397" s="44"/>
      <c r="J2397" s="11" t="str">
        <f aca="false">IF(D2397="","",N(G2397)-N(H2397))</f>
        <v/>
      </c>
      <c r="K2397" s="34" t="str">
        <f aca="false">IF(D2397="","",IFERROR(INDEX(I_COA!$C$6:$C$265,MATCH(D2397,I_COA!$A$6:$A$265,0)),"AKUN BARU"))</f>
        <v/>
      </c>
      <c r="L2397" s="34" t="str">
        <f aca="false">IF(K2397="LabaRugi",INDEX(I_COA!$D$6:$D$265,MATCH(D2397,I_COA!$A$6:$A$265,0)),"")</f>
        <v/>
      </c>
      <c r="M2397" s="34" t="str">
        <f aca="false">IF(K2397="Neraca",INDEX(I_COA!$E$6:$E$265,MATCH(D2397,I_COA!$A$6:$A$265,0)),"")</f>
        <v/>
      </c>
      <c r="N2397" s="34" t="str">
        <f aca="false">IF(D2397="","",IFERROR(INDEX(I_COA!$G$6:$G$265,MATCH(D2397,I_COA!$A$6:$A$265,0)),"N"))</f>
        <v/>
      </c>
      <c r="O2397" s="11" t="str">
        <f aca="false">IF(N2397="N",ABS(J2397),"")</f>
        <v/>
      </c>
      <c r="P2397" s="18" t="str">
        <f aca="false">IF(N2397="N",B2397&amp;"|"&amp;ROUND(O2397,0),"")</f>
        <v/>
      </c>
      <c r="Q2397" s="18" t="str">
        <f aca="false">IF(N2397&lt;&gt;"Y","",IFERROR(INDEX($D$6:$D$4005,MATCH(B2397&amp;"|"&amp;ROUND(_xlfn.MAXIFS($O$6:$O$4005,$B$6:$B$4005,B2397,$N$6:$N$4005,"N"),0),$P$6:$P$4005,0)),"(tanpa lawan)"))</f>
        <v/>
      </c>
      <c r="R2397" s="44"/>
      <c r="S2397" s="9" t="str">
        <f aca="false">IF(N2397&lt;&gt;"Y","",IF(R2397&lt;&gt;"",R2397,IF(Q2397="(tanpa lawan)","Transfer antar rekening",IFERROR(INDEX(I_COA!$F$6:$F$265,MATCH(Q2397,I_COA!$A$6:$A$265,0)),"?"))))</f>
        <v/>
      </c>
    </row>
    <row r="2398" customFormat="false" ht="15" hidden="false" customHeight="false" outlineLevel="0" collapsed="false">
      <c r="A2398" s="37"/>
      <c r="B2398" s="44"/>
      <c r="C2398" s="44"/>
      <c r="D2398" s="44"/>
      <c r="E2398" s="44"/>
      <c r="F2398" s="44"/>
      <c r="G2398" s="42"/>
      <c r="H2398" s="42"/>
      <c r="I2398" s="44"/>
      <c r="J2398" s="11" t="str">
        <f aca="false">IF(D2398="","",N(G2398)-N(H2398))</f>
        <v/>
      </c>
      <c r="K2398" s="34" t="str">
        <f aca="false">IF(D2398="","",IFERROR(INDEX(I_COA!$C$6:$C$265,MATCH(D2398,I_COA!$A$6:$A$265,0)),"AKUN BARU"))</f>
        <v/>
      </c>
      <c r="L2398" s="34" t="str">
        <f aca="false">IF(K2398="LabaRugi",INDEX(I_COA!$D$6:$D$265,MATCH(D2398,I_COA!$A$6:$A$265,0)),"")</f>
        <v/>
      </c>
      <c r="M2398" s="34" t="str">
        <f aca="false">IF(K2398="Neraca",INDEX(I_COA!$E$6:$E$265,MATCH(D2398,I_COA!$A$6:$A$265,0)),"")</f>
        <v/>
      </c>
      <c r="N2398" s="34" t="str">
        <f aca="false">IF(D2398="","",IFERROR(INDEX(I_COA!$G$6:$G$265,MATCH(D2398,I_COA!$A$6:$A$265,0)),"N"))</f>
        <v/>
      </c>
      <c r="O2398" s="11" t="str">
        <f aca="false">IF(N2398="N",ABS(J2398),"")</f>
        <v/>
      </c>
      <c r="P2398" s="18" t="str">
        <f aca="false">IF(N2398="N",B2398&amp;"|"&amp;ROUND(O2398,0),"")</f>
        <v/>
      </c>
      <c r="Q2398" s="18" t="str">
        <f aca="false">IF(N2398&lt;&gt;"Y","",IFERROR(INDEX($D$6:$D$4005,MATCH(B2398&amp;"|"&amp;ROUND(_xlfn.MAXIFS($O$6:$O$4005,$B$6:$B$4005,B2398,$N$6:$N$4005,"N"),0),$P$6:$P$4005,0)),"(tanpa lawan)"))</f>
        <v/>
      </c>
      <c r="R2398" s="44"/>
      <c r="S2398" s="9" t="str">
        <f aca="false">IF(N2398&lt;&gt;"Y","",IF(R2398&lt;&gt;"",R2398,IF(Q2398="(tanpa lawan)","Transfer antar rekening",IFERROR(INDEX(I_COA!$F$6:$F$265,MATCH(Q2398,I_COA!$A$6:$A$265,0)),"?"))))</f>
        <v/>
      </c>
    </row>
    <row r="2399" customFormat="false" ht="15" hidden="false" customHeight="false" outlineLevel="0" collapsed="false">
      <c r="A2399" s="37"/>
      <c r="B2399" s="44"/>
      <c r="C2399" s="44"/>
      <c r="D2399" s="44"/>
      <c r="E2399" s="44"/>
      <c r="F2399" s="44"/>
      <c r="G2399" s="42"/>
      <c r="H2399" s="42"/>
      <c r="I2399" s="44"/>
      <c r="J2399" s="11" t="str">
        <f aca="false">IF(D2399="","",N(G2399)-N(H2399))</f>
        <v/>
      </c>
      <c r="K2399" s="34" t="str">
        <f aca="false">IF(D2399="","",IFERROR(INDEX(I_COA!$C$6:$C$265,MATCH(D2399,I_COA!$A$6:$A$265,0)),"AKUN BARU"))</f>
        <v/>
      </c>
      <c r="L2399" s="34" t="str">
        <f aca="false">IF(K2399="LabaRugi",INDEX(I_COA!$D$6:$D$265,MATCH(D2399,I_COA!$A$6:$A$265,0)),"")</f>
        <v/>
      </c>
      <c r="M2399" s="34" t="str">
        <f aca="false">IF(K2399="Neraca",INDEX(I_COA!$E$6:$E$265,MATCH(D2399,I_COA!$A$6:$A$265,0)),"")</f>
        <v/>
      </c>
      <c r="N2399" s="34" t="str">
        <f aca="false">IF(D2399="","",IFERROR(INDEX(I_COA!$G$6:$G$265,MATCH(D2399,I_COA!$A$6:$A$265,0)),"N"))</f>
        <v/>
      </c>
      <c r="O2399" s="11" t="str">
        <f aca="false">IF(N2399="N",ABS(J2399),"")</f>
        <v/>
      </c>
      <c r="P2399" s="18" t="str">
        <f aca="false">IF(N2399="N",B2399&amp;"|"&amp;ROUND(O2399,0),"")</f>
        <v/>
      </c>
      <c r="Q2399" s="18" t="str">
        <f aca="false">IF(N2399&lt;&gt;"Y","",IFERROR(INDEX($D$6:$D$4005,MATCH(B2399&amp;"|"&amp;ROUND(_xlfn.MAXIFS($O$6:$O$4005,$B$6:$B$4005,B2399,$N$6:$N$4005,"N"),0),$P$6:$P$4005,0)),"(tanpa lawan)"))</f>
        <v/>
      </c>
      <c r="R2399" s="44"/>
      <c r="S2399" s="9" t="str">
        <f aca="false">IF(N2399&lt;&gt;"Y","",IF(R2399&lt;&gt;"",R2399,IF(Q2399="(tanpa lawan)","Transfer antar rekening",IFERROR(INDEX(I_COA!$F$6:$F$265,MATCH(Q2399,I_COA!$A$6:$A$265,0)),"?"))))</f>
        <v/>
      </c>
    </row>
    <row r="2400" customFormat="false" ht="15" hidden="false" customHeight="false" outlineLevel="0" collapsed="false">
      <c r="A2400" s="37"/>
      <c r="B2400" s="44"/>
      <c r="C2400" s="44"/>
      <c r="D2400" s="44"/>
      <c r="E2400" s="44"/>
      <c r="F2400" s="44"/>
      <c r="G2400" s="42"/>
      <c r="H2400" s="42"/>
      <c r="I2400" s="44"/>
      <c r="J2400" s="11" t="str">
        <f aca="false">IF(D2400="","",N(G2400)-N(H2400))</f>
        <v/>
      </c>
      <c r="K2400" s="34" t="str">
        <f aca="false">IF(D2400="","",IFERROR(INDEX(I_COA!$C$6:$C$265,MATCH(D2400,I_COA!$A$6:$A$265,0)),"AKUN BARU"))</f>
        <v/>
      </c>
      <c r="L2400" s="34" t="str">
        <f aca="false">IF(K2400="LabaRugi",INDEX(I_COA!$D$6:$D$265,MATCH(D2400,I_COA!$A$6:$A$265,0)),"")</f>
        <v/>
      </c>
      <c r="M2400" s="34" t="str">
        <f aca="false">IF(K2400="Neraca",INDEX(I_COA!$E$6:$E$265,MATCH(D2400,I_COA!$A$6:$A$265,0)),"")</f>
        <v/>
      </c>
      <c r="N2400" s="34" t="str">
        <f aca="false">IF(D2400="","",IFERROR(INDEX(I_COA!$G$6:$G$265,MATCH(D2400,I_COA!$A$6:$A$265,0)),"N"))</f>
        <v/>
      </c>
      <c r="O2400" s="11" t="str">
        <f aca="false">IF(N2400="N",ABS(J2400),"")</f>
        <v/>
      </c>
      <c r="P2400" s="18" t="str">
        <f aca="false">IF(N2400="N",B2400&amp;"|"&amp;ROUND(O2400,0),"")</f>
        <v/>
      </c>
      <c r="Q2400" s="18" t="str">
        <f aca="false">IF(N2400&lt;&gt;"Y","",IFERROR(INDEX($D$6:$D$4005,MATCH(B2400&amp;"|"&amp;ROUND(_xlfn.MAXIFS($O$6:$O$4005,$B$6:$B$4005,B2400,$N$6:$N$4005,"N"),0),$P$6:$P$4005,0)),"(tanpa lawan)"))</f>
        <v/>
      </c>
      <c r="R2400" s="44"/>
      <c r="S2400" s="9" t="str">
        <f aca="false">IF(N2400&lt;&gt;"Y","",IF(R2400&lt;&gt;"",R2400,IF(Q2400="(tanpa lawan)","Transfer antar rekening",IFERROR(INDEX(I_COA!$F$6:$F$265,MATCH(Q2400,I_COA!$A$6:$A$265,0)),"?"))))</f>
        <v/>
      </c>
    </row>
    <row r="2401" customFormat="false" ht="15" hidden="false" customHeight="false" outlineLevel="0" collapsed="false">
      <c r="A2401" s="37"/>
      <c r="B2401" s="44"/>
      <c r="C2401" s="44"/>
      <c r="D2401" s="44"/>
      <c r="E2401" s="44"/>
      <c r="F2401" s="44"/>
      <c r="G2401" s="42"/>
      <c r="H2401" s="42"/>
      <c r="I2401" s="44"/>
      <c r="J2401" s="11" t="str">
        <f aca="false">IF(D2401="","",N(G2401)-N(H2401))</f>
        <v/>
      </c>
      <c r="K2401" s="34" t="str">
        <f aca="false">IF(D2401="","",IFERROR(INDEX(I_COA!$C$6:$C$265,MATCH(D2401,I_COA!$A$6:$A$265,0)),"AKUN BARU"))</f>
        <v/>
      </c>
      <c r="L2401" s="34" t="str">
        <f aca="false">IF(K2401="LabaRugi",INDEX(I_COA!$D$6:$D$265,MATCH(D2401,I_COA!$A$6:$A$265,0)),"")</f>
        <v/>
      </c>
      <c r="M2401" s="34" t="str">
        <f aca="false">IF(K2401="Neraca",INDEX(I_COA!$E$6:$E$265,MATCH(D2401,I_COA!$A$6:$A$265,0)),"")</f>
        <v/>
      </c>
      <c r="N2401" s="34" t="str">
        <f aca="false">IF(D2401="","",IFERROR(INDEX(I_COA!$G$6:$G$265,MATCH(D2401,I_COA!$A$6:$A$265,0)),"N"))</f>
        <v/>
      </c>
      <c r="O2401" s="11" t="str">
        <f aca="false">IF(N2401="N",ABS(J2401),"")</f>
        <v/>
      </c>
      <c r="P2401" s="18" t="str">
        <f aca="false">IF(N2401="N",B2401&amp;"|"&amp;ROUND(O2401,0),"")</f>
        <v/>
      </c>
      <c r="Q2401" s="18" t="str">
        <f aca="false">IF(N2401&lt;&gt;"Y","",IFERROR(INDEX($D$6:$D$4005,MATCH(B2401&amp;"|"&amp;ROUND(_xlfn.MAXIFS($O$6:$O$4005,$B$6:$B$4005,B2401,$N$6:$N$4005,"N"),0),$P$6:$P$4005,0)),"(tanpa lawan)"))</f>
        <v/>
      </c>
      <c r="R2401" s="44"/>
      <c r="S2401" s="9" t="str">
        <f aca="false">IF(N2401&lt;&gt;"Y","",IF(R2401&lt;&gt;"",R2401,IF(Q2401="(tanpa lawan)","Transfer antar rekening",IFERROR(INDEX(I_COA!$F$6:$F$265,MATCH(Q2401,I_COA!$A$6:$A$265,0)),"?"))))</f>
        <v/>
      </c>
    </row>
    <row r="2402" customFormat="false" ht="15" hidden="false" customHeight="false" outlineLevel="0" collapsed="false">
      <c r="A2402" s="37"/>
      <c r="B2402" s="44"/>
      <c r="C2402" s="44"/>
      <c r="D2402" s="44"/>
      <c r="E2402" s="44"/>
      <c r="F2402" s="44"/>
      <c r="G2402" s="42"/>
      <c r="H2402" s="42"/>
      <c r="I2402" s="44"/>
      <c r="J2402" s="11" t="str">
        <f aca="false">IF(D2402="","",N(G2402)-N(H2402))</f>
        <v/>
      </c>
      <c r="K2402" s="34" t="str">
        <f aca="false">IF(D2402="","",IFERROR(INDEX(I_COA!$C$6:$C$265,MATCH(D2402,I_COA!$A$6:$A$265,0)),"AKUN BARU"))</f>
        <v/>
      </c>
      <c r="L2402" s="34" t="str">
        <f aca="false">IF(K2402="LabaRugi",INDEX(I_COA!$D$6:$D$265,MATCH(D2402,I_COA!$A$6:$A$265,0)),"")</f>
        <v/>
      </c>
      <c r="M2402" s="34" t="str">
        <f aca="false">IF(K2402="Neraca",INDEX(I_COA!$E$6:$E$265,MATCH(D2402,I_COA!$A$6:$A$265,0)),"")</f>
        <v/>
      </c>
      <c r="N2402" s="34" t="str">
        <f aca="false">IF(D2402="","",IFERROR(INDEX(I_COA!$G$6:$G$265,MATCH(D2402,I_COA!$A$6:$A$265,0)),"N"))</f>
        <v/>
      </c>
      <c r="O2402" s="11" t="str">
        <f aca="false">IF(N2402="N",ABS(J2402),"")</f>
        <v/>
      </c>
      <c r="P2402" s="18" t="str">
        <f aca="false">IF(N2402="N",B2402&amp;"|"&amp;ROUND(O2402,0),"")</f>
        <v/>
      </c>
      <c r="Q2402" s="18" t="str">
        <f aca="false">IF(N2402&lt;&gt;"Y","",IFERROR(INDEX($D$6:$D$4005,MATCH(B2402&amp;"|"&amp;ROUND(_xlfn.MAXIFS($O$6:$O$4005,$B$6:$B$4005,B2402,$N$6:$N$4005,"N"),0),$P$6:$P$4005,0)),"(tanpa lawan)"))</f>
        <v/>
      </c>
      <c r="R2402" s="44"/>
      <c r="S2402" s="9" t="str">
        <f aca="false">IF(N2402&lt;&gt;"Y","",IF(R2402&lt;&gt;"",R2402,IF(Q2402="(tanpa lawan)","Transfer antar rekening",IFERROR(INDEX(I_COA!$F$6:$F$265,MATCH(Q2402,I_COA!$A$6:$A$265,0)),"?"))))</f>
        <v/>
      </c>
    </row>
    <row r="2403" customFormat="false" ht="15" hidden="false" customHeight="false" outlineLevel="0" collapsed="false">
      <c r="A2403" s="37"/>
      <c r="B2403" s="44"/>
      <c r="C2403" s="44"/>
      <c r="D2403" s="44"/>
      <c r="E2403" s="44"/>
      <c r="F2403" s="44"/>
      <c r="G2403" s="42"/>
      <c r="H2403" s="42"/>
      <c r="I2403" s="44"/>
      <c r="J2403" s="11" t="str">
        <f aca="false">IF(D2403="","",N(G2403)-N(H2403))</f>
        <v/>
      </c>
      <c r="K2403" s="34" t="str">
        <f aca="false">IF(D2403="","",IFERROR(INDEX(I_COA!$C$6:$C$265,MATCH(D2403,I_COA!$A$6:$A$265,0)),"AKUN BARU"))</f>
        <v/>
      </c>
      <c r="L2403" s="34" t="str">
        <f aca="false">IF(K2403="LabaRugi",INDEX(I_COA!$D$6:$D$265,MATCH(D2403,I_COA!$A$6:$A$265,0)),"")</f>
        <v/>
      </c>
      <c r="M2403" s="34" t="str">
        <f aca="false">IF(K2403="Neraca",INDEX(I_COA!$E$6:$E$265,MATCH(D2403,I_COA!$A$6:$A$265,0)),"")</f>
        <v/>
      </c>
      <c r="N2403" s="34" t="str">
        <f aca="false">IF(D2403="","",IFERROR(INDEX(I_COA!$G$6:$G$265,MATCH(D2403,I_COA!$A$6:$A$265,0)),"N"))</f>
        <v/>
      </c>
      <c r="O2403" s="11" t="str">
        <f aca="false">IF(N2403="N",ABS(J2403),"")</f>
        <v/>
      </c>
      <c r="P2403" s="18" t="str">
        <f aca="false">IF(N2403="N",B2403&amp;"|"&amp;ROUND(O2403,0),"")</f>
        <v/>
      </c>
      <c r="Q2403" s="18" t="str">
        <f aca="false">IF(N2403&lt;&gt;"Y","",IFERROR(INDEX($D$6:$D$4005,MATCH(B2403&amp;"|"&amp;ROUND(_xlfn.MAXIFS($O$6:$O$4005,$B$6:$B$4005,B2403,$N$6:$N$4005,"N"),0),$P$6:$P$4005,0)),"(tanpa lawan)"))</f>
        <v/>
      </c>
      <c r="R2403" s="44"/>
      <c r="S2403" s="9" t="str">
        <f aca="false">IF(N2403&lt;&gt;"Y","",IF(R2403&lt;&gt;"",R2403,IF(Q2403="(tanpa lawan)","Transfer antar rekening",IFERROR(INDEX(I_COA!$F$6:$F$265,MATCH(Q2403,I_COA!$A$6:$A$265,0)),"?"))))</f>
        <v/>
      </c>
    </row>
    <row r="2404" customFormat="false" ht="15" hidden="false" customHeight="false" outlineLevel="0" collapsed="false">
      <c r="A2404" s="37"/>
      <c r="B2404" s="44"/>
      <c r="C2404" s="44"/>
      <c r="D2404" s="44"/>
      <c r="E2404" s="44"/>
      <c r="F2404" s="44"/>
      <c r="G2404" s="42"/>
      <c r="H2404" s="42"/>
      <c r="I2404" s="44"/>
      <c r="J2404" s="11" t="str">
        <f aca="false">IF(D2404="","",N(G2404)-N(H2404))</f>
        <v/>
      </c>
      <c r="K2404" s="34" t="str">
        <f aca="false">IF(D2404="","",IFERROR(INDEX(I_COA!$C$6:$C$265,MATCH(D2404,I_COA!$A$6:$A$265,0)),"AKUN BARU"))</f>
        <v/>
      </c>
      <c r="L2404" s="34" t="str">
        <f aca="false">IF(K2404="LabaRugi",INDEX(I_COA!$D$6:$D$265,MATCH(D2404,I_COA!$A$6:$A$265,0)),"")</f>
        <v/>
      </c>
      <c r="M2404" s="34" t="str">
        <f aca="false">IF(K2404="Neraca",INDEX(I_COA!$E$6:$E$265,MATCH(D2404,I_COA!$A$6:$A$265,0)),"")</f>
        <v/>
      </c>
      <c r="N2404" s="34" t="str">
        <f aca="false">IF(D2404="","",IFERROR(INDEX(I_COA!$G$6:$G$265,MATCH(D2404,I_COA!$A$6:$A$265,0)),"N"))</f>
        <v/>
      </c>
      <c r="O2404" s="11" t="str">
        <f aca="false">IF(N2404="N",ABS(J2404),"")</f>
        <v/>
      </c>
      <c r="P2404" s="18" t="str">
        <f aca="false">IF(N2404="N",B2404&amp;"|"&amp;ROUND(O2404,0),"")</f>
        <v/>
      </c>
      <c r="Q2404" s="18" t="str">
        <f aca="false">IF(N2404&lt;&gt;"Y","",IFERROR(INDEX($D$6:$D$4005,MATCH(B2404&amp;"|"&amp;ROUND(_xlfn.MAXIFS($O$6:$O$4005,$B$6:$B$4005,B2404,$N$6:$N$4005,"N"),0),$P$6:$P$4005,0)),"(tanpa lawan)"))</f>
        <v/>
      </c>
      <c r="R2404" s="44"/>
      <c r="S2404" s="9" t="str">
        <f aca="false">IF(N2404&lt;&gt;"Y","",IF(R2404&lt;&gt;"",R2404,IF(Q2404="(tanpa lawan)","Transfer antar rekening",IFERROR(INDEX(I_COA!$F$6:$F$265,MATCH(Q2404,I_COA!$A$6:$A$265,0)),"?"))))</f>
        <v/>
      </c>
    </row>
    <row r="2405" customFormat="false" ht="15" hidden="false" customHeight="false" outlineLevel="0" collapsed="false">
      <c r="A2405" s="37"/>
      <c r="B2405" s="44"/>
      <c r="C2405" s="44"/>
      <c r="D2405" s="44"/>
      <c r="E2405" s="44"/>
      <c r="F2405" s="44"/>
      <c r="G2405" s="42"/>
      <c r="H2405" s="42"/>
      <c r="I2405" s="44"/>
      <c r="J2405" s="11" t="str">
        <f aca="false">IF(D2405="","",N(G2405)-N(H2405))</f>
        <v/>
      </c>
      <c r="K2405" s="34" t="str">
        <f aca="false">IF(D2405="","",IFERROR(INDEX(I_COA!$C$6:$C$265,MATCH(D2405,I_COA!$A$6:$A$265,0)),"AKUN BARU"))</f>
        <v/>
      </c>
      <c r="L2405" s="34" t="str">
        <f aca="false">IF(K2405="LabaRugi",INDEX(I_COA!$D$6:$D$265,MATCH(D2405,I_COA!$A$6:$A$265,0)),"")</f>
        <v/>
      </c>
      <c r="M2405" s="34" t="str">
        <f aca="false">IF(K2405="Neraca",INDEX(I_COA!$E$6:$E$265,MATCH(D2405,I_COA!$A$6:$A$265,0)),"")</f>
        <v/>
      </c>
      <c r="N2405" s="34" t="str">
        <f aca="false">IF(D2405="","",IFERROR(INDEX(I_COA!$G$6:$G$265,MATCH(D2405,I_COA!$A$6:$A$265,0)),"N"))</f>
        <v/>
      </c>
      <c r="O2405" s="11" t="str">
        <f aca="false">IF(N2405="N",ABS(J2405),"")</f>
        <v/>
      </c>
      <c r="P2405" s="18" t="str">
        <f aca="false">IF(N2405="N",B2405&amp;"|"&amp;ROUND(O2405,0),"")</f>
        <v/>
      </c>
      <c r="Q2405" s="18" t="str">
        <f aca="false">IF(N2405&lt;&gt;"Y","",IFERROR(INDEX($D$6:$D$4005,MATCH(B2405&amp;"|"&amp;ROUND(_xlfn.MAXIFS($O$6:$O$4005,$B$6:$B$4005,B2405,$N$6:$N$4005,"N"),0),$P$6:$P$4005,0)),"(tanpa lawan)"))</f>
        <v/>
      </c>
      <c r="R2405" s="44"/>
      <c r="S2405" s="9" t="str">
        <f aca="false">IF(N2405&lt;&gt;"Y","",IF(R2405&lt;&gt;"",R2405,IF(Q2405="(tanpa lawan)","Transfer antar rekening",IFERROR(INDEX(I_COA!$F$6:$F$265,MATCH(Q2405,I_COA!$A$6:$A$265,0)),"?"))))</f>
        <v/>
      </c>
    </row>
    <row r="2406" customFormat="false" ht="15" hidden="false" customHeight="false" outlineLevel="0" collapsed="false">
      <c r="A2406" s="37"/>
      <c r="B2406" s="44"/>
      <c r="C2406" s="44"/>
      <c r="D2406" s="44"/>
      <c r="E2406" s="44"/>
      <c r="F2406" s="44"/>
      <c r="G2406" s="42"/>
      <c r="H2406" s="42"/>
      <c r="I2406" s="44"/>
      <c r="J2406" s="11" t="str">
        <f aca="false">IF(D2406="","",N(G2406)-N(H2406))</f>
        <v/>
      </c>
      <c r="K2406" s="34" t="str">
        <f aca="false">IF(D2406="","",IFERROR(INDEX(I_COA!$C$6:$C$265,MATCH(D2406,I_COA!$A$6:$A$265,0)),"AKUN BARU"))</f>
        <v/>
      </c>
      <c r="L2406" s="34" t="str">
        <f aca="false">IF(K2406="LabaRugi",INDEX(I_COA!$D$6:$D$265,MATCH(D2406,I_COA!$A$6:$A$265,0)),"")</f>
        <v/>
      </c>
      <c r="M2406" s="34" t="str">
        <f aca="false">IF(K2406="Neraca",INDEX(I_COA!$E$6:$E$265,MATCH(D2406,I_COA!$A$6:$A$265,0)),"")</f>
        <v/>
      </c>
      <c r="N2406" s="34" t="str">
        <f aca="false">IF(D2406="","",IFERROR(INDEX(I_COA!$G$6:$G$265,MATCH(D2406,I_COA!$A$6:$A$265,0)),"N"))</f>
        <v/>
      </c>
      <c r="O2406" s="11" t="str">
        <f aca="false">IF(N2406="N",ABS(J2406),"")</f>
        <v/>
      </c>
      <c r="P2406" s="18" t="str">
        <f aca="false">IF(N2406="N",B2406&amp;"|"&amp;ROUND(O2406,0),"")</f>
        <v/>
      </c>
      <c r="Q2406" s="18" t="str">
        <f aca="false">IF(N2406&lt;&gt;"Y","",IFERROR(INDEX($D$6:$D$4005,MATCH(B2406&amp;"|"&amp;ROUND(_xlfn.MAXIFS($O$6:$O$4005,$B$6:$B$4005,B2406,$N$6:$N$4005,"N"),0),$P$6:$P$4005,0)),"(tanpa lawan)"))</f>
        <v/>
      </c>
      <c r="R2406" s="44"/>
      <c r="S2406" s="9" t="str">
        <f aca="false">IF(N2406&lt;&gt;"Y","",IF(R2406&lt;&gt;"",R2406,IF(Q2406="(tanpa lawan)","Transfer antar rekening",IFERROR(INDEX(I_COA!$F$6:$F$265,MATCH(Q2406,I_COA!$A$6:$A$265,0)),"?"))))</f>
        <v/>
      </c>
    </row>
    <row r="2407" customFormat="false" ht="15" hidden="false" customHeight="false" outlineLevel="0" collapsed="false">
      <c r="A2407" s="37"/>
      <c r="B2407" s="44"/>
      <c r="C2407" s="44"/>
      <c r="D2407" s="44"/>
      <c r="E2407" s="44"/>
      <c r="F2407" s="44"/>
      <c r="G2407" s="42"/>
      <c r="H2407" s="42"/>
      <c r="I2407" s="44"/>
      <c r="J2407" s="11" t="str">
        <f aca="false">IF(D2407="","",N(G2407)-N(H2407))</f>
        <v/>
      </c>
      <c r="K2407" s="34" t="str">
        <f aca="false">IF(D2407="","",IFERROR(INDEX(I_COA!$C$6:$C$265,MATCH(D2407,I_COA!$A$6:$A$265,0)),"AKUN BARU"))</f>
        <v/>
      </c>
      <c r="L2407" s="34" t="str">
        <f aca="false">IF(K2407="LabaRugi",INDEX(I_COA!$D$6:$D$265,MATCH(D2407,I_COA!$A$6:$A$265,0)),"")</f>
        <v/>
      </c>
      <c r="M2407" s="34" t="str">
        <f aca="false">IF(K2407="Neraca",INDEX(I_COA!$E$6:$E$265,MATCH(D2407,I_COA!$A$6:$A$265,0)),"")</f>
        <v/>
      </c>
      <c r="N2407" s="34" t="str">
        <f aca="false">IF(D2407="","",IFERROR(INDEX(I_COA!$G$6:$G$265,MATCH(D2407,I_COA!$A$6:$A$265,0)),"N"))</f>
        <v/>
      </c>
      <c r="O2407" s="11" t="str">
        <f aca="false">IF(N2407="N",ABS(J2407),"")</f>
        <v/>
      </c>
      <c r="P2407" s="18" t="str">
        <f aca="false">IF(N2407="N",B2407&amp;"|"&amp;ROUND(O2407,0),"")</f>
        <v/>
      </c>
      <c r="Q2407" s="18" t="str">
        <f aca="false">IF(N2407&lt;&gt;"Y","",IFERROR(INDEX($D$6:$D$4005,MATCH(B2407&amp;"|"&amp;ROUND(_xlfn.MAXIFS($O$6:$O$4005,$B$6:$B$4005,B2407,$N$6:$N$4005,"N"),0),$P$6:$P$4005,0)),"(tanpa lawan)"))</f>
        <v/>
      </c>
      <c r="R2407" s="44"/>
      <c r="S2407" s="9" t="str">
        <f aca="false">IF(N2407&lt;&gt;"Y","",IF(R2407&lt;&gt;"",R2407,IF(Q2407="(tanpa lawan)","Transfer antar rekening",IFERROR(INDEX(I_COA!$F$6:$F$265,MATCH(Q2407,I_COA!$A$6:$A$265,0)),"?"))))</f>
        <v/>
      </c>
    </row>
    <row r="2408" customFormat="false" ht="15" hidden="false" customHeight="false" outlineLevel="0" collapsed="false">
      <c r="A2408" s="37"/>
      <c r="B2408" s="44"/>
      <c r="C2408" s="44"/>
      <c r="D2408" s="44"/>
      <c r="E2408" s="44"/>
      <c r="F2408" s="44"/>
      <c r="G2408" s="42"/>
      <c r="H2408" s="42"/>
      <c r="I2408" s="44"/>
      <c r="J2408" s="11" t="str">
        <f aca="false">IF(D2408="","",N(G2408)-N(H2408))</f>
        <v/>
      </c>
      <c r="K2408" s="34" t="str">
        <f aca="false">IF(D2408="","",IFERROR(INDEX(I_COA!$C$6:$C$265,MATCH(D2408,I_COA!$A$6:$A$265,0)),"AKUN BARU"))</f>
        <v/>
      </c>
      <c r="L2408" s="34" t="str">
        <f aca="false">IF(K2408="LabaRugi",INDEX(I_COA!$D$6:$D$265,MATCH(D2408,I_COA!$A$6:$A$265,0)),"")</f>
        <v/>
      </c>
      <c r="M2408" s="34" t="str">
        <f aca="false">IF(K2408="Neraca",INDEX(I_COA!$E$6:$E$265,MATCH(D2408,I_COA!$A$6:$A$265,0)),"")</f>
        <v/>
      </c>
      <c r="N2408" s="34" t="str">
        <f aca="false">IF(D2408="","",IFERROR(INDEX(I_COA!$G$6:$G$265,MATCH(D2408,I_COA!$A$6:$A$265,0)),"N"))</f>
        <v/>
      </c>
      <c r="O2408" s="11" t="str">
        <f aca="false">IF(N2408="N",ABS(J2408),"")</f>
        <v/>
      </c>
      <c r="P2408" s="18" t="str">
        <f aca="false">IF(N2408="N",B2408&amp;"|"&amp;ROUND(O2408,0),"")</f>
        <v/>
      </c>
      <c r="Q2408" s="18" t="str">
        <f aca="false">IF(N2408&lt;&gt;"Y","",IFERROR(INDEX($D$6:$D$4005,MATCH(B2408&amp;"|"&amp;ROUND(_xlfn.MAXIFS($O$6:$O$4005,$B$6:$B$4005,B2408,$N$6:$N$4005,"N"),0),$P$6:$P$4005,0)),"(tanpa lawan)"))</f>
        <v/>
      </c>
      <c r="R2408" s="44"/>
      <c r="S2408" s="9" t="str">
        <f aca="false">IF(N2408&lt;&gt;"Y","",IF(R2408&lt;&gt;"",R2408,IF(Q2408="(tanpa lawan)","Transfer antar rekening",IFERROR(INDEX(I_COA!$F$6:$F$265,MATCH(Q2408,I_COA!$A$6:$A$265,0)),"?"))))</f>
        <v/>
      </c>
    </row>
    <row r="2409" customFormat="false" ht="15" hidden="false" customHeight="false" outlineLevel="0" collapsed="false">
      <c r="A2409" s="37"/>
      <c r="B2409" s="44"/>
      <c r="C2409" s="44"/>
      <c r="D2409" s="44"/>
      <c r="E2409" s="44"/>
      <c r="F2409" s="44"/>
      <c r="G2409" s="42"/>
      <c r="H2409" s="42"/>
      <c r="I2409" s="44"/>
      <c r="J2409" s="11" t="str">
        <f aca="false">IF(D2409="","",N(G2409)-N(H2409))</f>
        <v/>
      </c>
      <c r="K2409" s="34" t="str">
        <f aca="false">IF(D2409="","",IFERROR(INDEX(I_COA!$C$6:$C$265,MATCH(D2409,I_COA!$A$6:$A$265,0)),"AKUN BARU"))</f>
        <v/>
      </c>
      <c r="L2409" s="34" t="str">
        <f aca="false">IF(K2409="LabaRugi",INDEX(I_COA!$D$6:$D$265,MATCH(D2409,I_COA!$A$6:$A$265,0)),"")</f>
        <v/>
      </c>
      <c r="M2409" s="34" t="str">
        <f aca="false">IF(K2409="Neraca",INDEX(I_COA!$E$6:$E$265,MATCH(D2409,I_COA!$A$6:$A$265,0)),"")</f>
        <v/>
      </c>
      <c r="N2409" s="34" t="str">
        <f aca="false">IF(D2409="","",IFERROR(INDEX(I_COA!$G$6:$G$265,MATCH(D2409,I_COA!$A$6:$A$265,0)),"N"))</f>
        <v/>
      </c>
      <c r="O2409" s="11" t="str">
        <f aca="false">IF(N2409="N",ABS(J2409),"")</f>
        <v/>
      </c>
      <c r="P2409" s="18" t="str">
        <f aca="false">IF(N2409="N",B2409&amp;"|"&amp;ROUND(O2409,0),"")</f>
        <v/>
      </c>
      <c r="Q2409" s="18" t="str">
        <f aca="false">IF(N2409&lt;&gt;"Y","",IFERROR(INDEX($D$6:$D$4005,MATCH(B2409&amp;"|"&amp;ROUND(_xlfn.MAXIFS($O$6:$O$4005,$B$6:$B$4005,B2409,$N$6:$N$4005,"N"),0),$P$6:$P$4005,0)),"(tanpa lawan)"))</f>
        <v/>
      </c>
      <c r="R2409" s="44"/>
      <c r="S2409" s="9" t="str">
        <f aca="false">IF(N2409&lt;&gt;"Y","",IF(R2409&lt;&gt;"",R2409,IF(Q2409="(tanpa lawan)","Transfer antar rekening",IFERROR(INDEX(I_COA!$F$6:$F$265,MATCH(Q2409,I_COA!$A$6:$A$265,0)),"?"))))</f>
        <v/>
      </c>
    </row>
    <row r="2410" customFormat="false" ht="15" hidden="false" customHeight="false" outlineLevel="0" collapsed="false">
      <c r="A2410" s="37"/>
      <c r="B2410" s="44"/>
      <c r="C2410" s="44"/>
      <c r="D2410" s="44"/>
      <c r="E2410" s="44"/>
      <c r="F2410" s="44"/>
      <c r="G2410" s="42"/>
      <c r="H2410" s="42"/>
      <c r="I2410" s="44"/>
      <c r="J2410" s="11" t="str">
        <f aca="false">IF(D2410="","",N(G2410)-N(H2410))</f>
        <v/>
      </c>
      <c r="K2410" s="34" t="str">
        <f aca="false">IF(D2410="","",IFERROR(INDEX(I_COA!$C$6:$C$265,MATCH(D2410,I_COA!$A$6:$A$265,0)),"AKUN BARU"))</f>
        <v/>
      </c>
      <c r="L2410" s="34" t="str">
        <f aca="false">IF(K2410="LabaRugi",INDEX(I_COA!$D$6:$D$265,MATCH(D2410,I_COA!$A$6:$A$265,0)),"")</f>
        <v/>
      </c>
      <c r="M2410" s="34" t="str">
        <f aca="false">IF(K2410="Neraca",INDEX(I_COA!$E$6:$E$265,MATCH(D2410,I_COA!$A$6:$A$265,0)),"")</f>
        <v/>
      </c>
      <c r="N2410" s="34" t="str">
        <f aca="false">IF(D2410="","",IFERROR(INDEX(I_COA!$G$6:$G$265,MATCH(D2410,I_COA!$A$6:$A$265,0)),"N"))</f>
        <v/>
      </c>
      <c r="O2410" s="11" t="str">
        <f aca="false">IF(N2410="N",ABS(J2410),"")</f>
        <v/>
      </c>
      <c r="P2410" s="18" t="str">
        <f aca="false">IF(N2410="N",B2410&amp;"|"&amp;ROUND(O2410,0),"")</f>
        <v/>
      </c>
      <c r="Q2410" s="18" t="str">
        <f aca="false">IF(N2410&lt;&gt;"Y","",IFERROR(INDEX($D$6:$D$4005,MATCH(B2410&amp;"|"&amp;ROUND(_xlfn.MAXIFS($O$6:$O$4005,$B$6:$B$4005,B2410,$N$6:$N$4005,"N"),0),$P$6:$P$4005,0)),"(tanpa lawan)"))</f>
        <v/>
      </c>
      <c r="R2410" s="44"/>
      <c r="S2410" s="9" t="str">
        <f aca="false">IF(N2410&lt;&gt;"Y","",IF(R2410&lt;&gt;"",R2410,IF(Q2410="(tanpa lawan)","Transfer antar rekening",IFERROR(INDEX(I_COA!$F$6:$F$265,MATCH(Q2410,I_COA!$A$6:$A$265,0)),"?"))))</f>
        <v/>
      </c>
    </row>
    <row r="2411" customFormat="false" ht="15" hidden="false" customHeight="false" outlineLevel="0" collapsed="false">
      <c r="A2411" s="37"/>
      <c r="B2411" s="44"/>
      <c r="C2411" s="44"/>
      <c r="D2411" s="44"/>
      <c r="E2411" s="44"/>
      <c r="F2411" s="44"/>
      <c r="G2411" s="42"/>
      <c r="H2411" s="42"/>
      <c r="I2411" s="44"/>
      <c r="J2411" s="11" t="str">
        <f aca="false">IF(D2411="","",N(G2411)-N(H2411))</f>
        <v/>
      </c>
      <c r="K2411" s="34" t="str">
        <f aca="false">IF(D2411="","",IFERROR(INDEX(I_COA!$C$6:$C$265,MATCH(D2411,I_COA!$A$6:$A$265,0)),"AKUN BARU"))</f>
        <v/>
      </c>
      <c r="L2411" s="34" t="str">
        <f aca="false">IF(K2411="LabaRugi",INDEX(I_COA!$D$6:$D$265,MATCH(D2411,I_COA!$A$6:$A$265,0)),"")</f>
        <v/>
      </c>
      <c r="M2411" s="34" t="str">
        <f aca="false">IF(K2411="Neraca",INDEX(I_COA!$E$6:$E$265,MATCH(D2411,I_COA!$A$6:$A$265,0)),"")</f>
        <v/>
      </c>
      <c r="N2411" s="34" t="str">
        <f aca="false">IF(D2411="","",IFERROR(INDEX(I_COA!$G$6:$G$265,MATCH(D2411,I_COA!$A$6:$A$265,0)),"N"))</f>
        <v/>
      </c>
      <c r="O2411" s="11" t="str">
        <f aca="false">IF(N2411="N",ABS(J2411),"")</f>
        <v/>
      </c>
      <c r="P2411" s="18" t="str">
        <f aca="false">IF(N2411="N",B2411&amp;"|"&amp;ROUND(O2411,0),"")</f>
        <v/>
      </c>
      <c r="Q2411" s="18" t="str">
        <f aca="false">IF(N2411&lt;&gt;"Y","",IFERROR(INDEX($D$6:$D$4005,MATCH(B2411&amp;"|"&amp;ROUND(_xlfn.MAXIFS($O$6:$O$4005,$B$6:$B$4005,B2411,$N$6:$N$4005,"N"),0),$P$6:$P$4005,0)),"(tanpa lawan)"))</f>
        <v/>
      </c>
      <c r="R2411" s="44"/>
      <c r="S2411" s="9" t="str">
        <f aca="false">IF(N2411&lt;&gt;"Y","",IF(R2411&lt;&gt;"",R2411,IF(Q2411="(tanpa lawan)","Transfer antar rekening",IFERROR(INDEX(I_COA!$F$6:$F$265,MATCH(Q2411,I_COA!$A$6:$A$265,0)),"?"))))</f>
        <v/>
      </c>
    </row>
    <row r="2412" customFormat="false" ht="15" hidden="false" customHeight="false" outlineLevel="0" collapsed="false">
      <c r="A2412" s="37"/>
      <c r="B2412" s="44"/>
      <c r="C2412" s="44"/>
      <c r="D2412" s="44"/>
      <c r="E2412" s="44"/>
      <c r="F2412" s="44"/>
      <c r="G2412" s="42"/>
      <c r="H2412" s="42"/>
      <c r="I2412" s="44"/>
      <c r="J2412" s="11" t="str">
        <f aca="false">IF(D2412="","",N(G2412)-N(H2412))</f>
        <v/>
      </c>
      <c r="K2412" s="34" t="str">
        <f aca="false">IF(D2412="","",IFERROR(INDEX(I_COA!$C$6:$C$265,MATCH(D2412,I_COA!$A$6:$A$265,0)),"AKUN BARU"))</f>
        <v/>
      </c>
      <c r="L2412" s="34" t="str">
        <f aca="false">IF(K2412="LabaRugi",INDEX(I_COA!$D$6:$D$265,MATCH(D2412,I_COA!$A$6:$A$265,0)),"")</f>
        <v/>
      </c>
      <c r="M2412" s="34" t="str">
        <f aca="false">IF(K2412="Neraca",INDEX(I_COA!$E$6:$E$265,MATCH(D2412,I_COA!$A$6:$A$265,0)),"")</f>
        <v/>
      </c>
      <c r="N2412" s="34" t="str">
        <f aca="false">IF(D2412="","",IFERROR(INDEX(I_COA!$G$6:$G$265,MATCH(D2412,I_COA!$A$6:$A$265,0)),"N"))</f>
        <v/>
      </c>
      <c r="O2412" s="11" t="str">
        <f aca="false">IF(N2412="N",ABS(J2412),"")</f>
        <v/>
      </c>
      <c r="P2412" s="18" t="str">
        <f aca="false">IF(N2412="N",B2412&amp;"|"&amp;ROUND(O2412,0),"")</f>
        <v/>
      </c>
      <c r="Q2412" s="18" t="str">
        <f aca="false">IF(N2412&lt;&gt;"Y","",IFERROR(INDEX($D$6:$D$4005,MATCH(B2412&amp;"|"&amp;ROUND(_xlfn.MAXIFS($O$6:$O$4005,$B$6:$B$4005,B2412,$N$6:$N$4005,"N"),0),$P$6:$P$4005,0)),"(tanpa lawan)"))</f>
        <v/>
      </c>
      <c r="R2412" s="44"/>
      <c r="S2412" s="9" t="str">
        <f aca="false">IF(N2412&lt;&gt;"Y","",IF(R2412&lt;&gt;"",R2412,IF(Q2412="(tanpa lawan)","Transfer antar rekening",IFERROR(INDEX(I_COA!$F$6:$F$265,MATCH(Q2412,I_COA!$A$6:$A$265,0)),"?"))))</f>
        <v/>
      </c>
    </row>
    <row r="2413" customFormat="false" ht="15" hidden="false" customHeight="false" outlineLevel="0" collapsed="false">
      <c r="A2413" s="37"/>
      <c r="B2413" s="44"/>
      <c r="C2413" s="44"/>
      <c r="D2413" s="44"/>
      <c r="E2413" s="44"/>
      <c r="F2413" s="44"/>
      <c r="G2413" s="42"/>
      <c r="H2413" s="42"/>
      <c r="I2413" s="44"/>
      <c r="J2413" s="11" t="str">
        <f aca="false">IF(D2413="","",N(G2413)-N(H2413))</f>
        <v/>
      </c>
      <c r="K2413" s="34" t="str">
        <f aca="false">IF(D2413="","",IFERROR(INDEX(I_COA!$C$6:$C$265,MATCH(D2413,I_COA!$A$6:$A$265,0)),"AKUN BARU"))</f>
        <v/>
      </c>
      <c r="L2413" s="34" t="str">
        <f aca="false">IF(K2413="LabaRugi",INDEX(I_COA!$D$6:$D$265,MATCH(D2413,I_COA!$A$6:$A$265,0)),"")</f>
        <v/>
      </c>
      <c r="M2413" s="34" t="str">
        <f aca="false">IF(K2413="Neraca",INDEX(I_COA!$E$6:$E$265,MATCH(D2413,I_COA!$A$6:$A$265,0)),"")</f>
        <v/>
      </c>
      <c r="N2413" s="34" t="str">
        <f aca="false">IF(D2413="","",IFERROR(INDEX(I_COA!$G$6:$G$265,MATCH(D2413,I_COA!$A$6:$A$265,0)),"N"))</f>
        <v/>
      </c>
      <c r="O2413" s="11" t="str">
        <f aca="false">IF(N2413="N",ABS(J2413),"")</f>
        <v/>
      </c>
      <c r="P2413" s="18" t="str">
        <f aca="false">IF(N2413="N",B2413&amp;"|"&amp;ROUND(O2413,0),"")</f>
        <v/>
      </c>
      <c r="Q2413" s="18" t="str">
        <f aca="false">IF(N2413&lt;&gt;"Y","",IFERROR(INDEX($D$6:$D$4005,MATCH(B2413&amp;"|"&amp;ROUND(_xlfn.MAXIFS($O$6:$O$4005,$B$6:$B$4005,B2413,$N$6:$N$4005,"N"),0),$P$6:$P$4005,0)),"(tanpa lawan)"))</f>
        <v/>
      </c>
      <c r="R2413" s="44"/>
      <c r="S2413" s="9" t="str">
        <f aca="false">IF(N2413&lt;&gt;"Y","",IF(R2413&lt;&gt;"",R2413,IF(Q2413="(tanpa lawan)","Transfer antar rekening",IFERROR(INDEX(I_COA!$F$6:$F$265,MATCH(Q2413,I_COA!$A$6:$A$265,0)),"?"))))</f>
        <v/>
      </c>
    </row>
    <row r="2414" customFormat="false" ht="15" hidden="false" customHeight="false" outlineLevel="0" collapsed="false">
      <c r="A2414" s="37"/>
      <c r="B2414" s="44"/>
      <c r="C2414" s="44"/>
      <c r="D2414" s="44"/>
      <c r="E2414" s="44"/>
      <c r="F2414" s="44"/>
      <c r="G2414" s="42"/>
      <c r="H2414" s="42"/>
      <c r="I2414" s="44"/>
      <c r="J2414" s="11" t="str">
        <f aca="false">IF(D2414="","",N(G2414)-N(H2414))</f>
        <v/>
      </c>
      <c r="K2414" s="34" t="str">
        <f aca="false">IF(D2414="","",IFERROR(INDEX(I_COA!$C$6:$C$265,MATCH(D2414,I_COA!$A$6:$A$265,0)),"AKUN BARU"))</f>
        <v/>
      </c>
      <c r="L2414" s="34" t="str">
        <f aca="false">IF(K2414="LabaRugi",INDEX(I_COA!$D$6:$D$265,MATCH(D2414,I_COA!$A$6:$A$265,0)),"")</f>
        <v/>
      </c>
      <c r="M2414" s="34" t="str">
        <f aca="false">IF(K2414="Neraca",INDEX(I_COA!$E$6:$E$265,MATCH(D2414,I_COA!$A$6:$A$265,0)),"")</f>
        <v/>
      </c>
      <c r="N2414" s="34" t="str">
        <f aca="false">IF(D2414="","",IFERROR(INDEX(I_COA!$G$6:$G$265,MATCH(D2414,I_COA!$A$6:$A$265,0)),"N"))</f>
        <v/>
      </c>
      <c r="O2414" s="11" t="str">
        <f aca="false">IF(N2414="N",ABS(J2414),"")</f>
        <v/>
      </c>
      <c r="P2414" s="18" t="str">
        <f aca="false">IF(N2414="N",B2414&amp;"|"&amp;ROUND(O2414,0),"")</f>
        <v/>
      </c>
      <c r="Q2414" s="18" t="str">
        <f aca="false">IF(N2414&lt;&gt;"Y","",IFERROR(INDEX($D$6:$D$4005,MATCH(B2414&amp;"|"&amp;ROUND(_xlfn.MAXIFS($O$6:$O$4005,$B$6:$B$4005,B2414,$N$6:$N$4005,"N"),0),$P$6:$P$4005,0)),"(tanpa lawan)"))</f>
        <v/>
      </c>
      <c r="R2414" s="44"/>
      <c r="S2414" s="9" t="str">
        <f aca="false">IF(N2414&lt;&gt;"Y","",IF(R2414&lt;&gt;"",R2414,IF(Q2414="(tanpa lawan)","Transfer antar rekening",IFERROR(INDEX(I_COA!$F$6:$F$265,MATCH(Q2414,I_COA!$A$6:$A$265,0)),"?"))))</f>
        <v/>
      </c>
    </row>
    <row r="2415" customFormat="false" ht="15" hidden="false" customHeight="false" outlineLevel="0" collapsed="false">
      <c r="A2415" s="37"/>
      <c r="B2415" s="44"/>
      <c r="C2415" s="44"/>
      <c r="D2415" s="44"/>
      <c r="E2415" s="44"/>
      <c r="F2415" s="44"/>
      <c r="G2415" s="42"/>
      <c r="H2415" s="42"/>
      <c r="I2415" s="44"/>
      <c r="J2415" s="11" t="str">
        <f aca="false">IF(D2415="","",N(G2415)-N(H2415))</f>
        <v/>
      </c>
      <c r="K2415" s="34" t="str">
        <f aca="false">IF(D2415="","",IFERROR(INDEX(I_COA!$C$6:$C$265,MATCH(D2415,I_COA!$A$6:$A$265,0)),"AKUN BARU"))</f>
        <v/>
      </c>
      <c r="L2415" s="34" t="str">
        <f aca="false">IF(K2415="LabaRugi",INDEX(I_COA!$D$6:$D$265,MATCH(D2415,I_COA!$A$6:$A$265,0)),"")</f>
        <v/>
      </c>
      <c r="M2415" s="34" t="str">
        <f aca="false">IF(K2415="Neraca",INDEX(I_COA!$E$6:$E$265,MATCH(D2415,I_COA!$A$6:$A$265,0)),"")</f>
        <v/>
      </c>
      <c r="N2415" s="34" t="str">
        <f aca="false">IF(D2415="","",IFERROR(INDEX(I_COA!$G$6:$G$265,MATCH(D2415,I_COA!$A$6:$A$265,0)),"N"))</f>
        <v/>
      </c>
      <c r="O2415" s="11" t="str">
        <f aca="false">IF(N2415="N",ABS(J2415),"")</f>
        <v/>
      </c>
      <c r="P2415" s="18" t="str">
        <f aca="false">IF(N2415="N",B2415&amp;"|"&amp;ROUND(O2415,0),"")</f>
        <v/>
      </c>
      <c r="Q2415" s="18" t="str">
        <f aca="false">IF(N2415&lt;&gt;"Y","",IFERROR(INDEX($D$6:$D$4005,MATCH(B2415&amp;"|"&amp;ROUND(_xlfn.MAXIFS($O$6:$O$4005,$B$6:$B$4005,B2415,$N$6:$N$4005,"N"),0),$P$6:$P$4005,0)),"(tanpa lawan)"))</f>
        <v/>
      </c>
      <c r="R2415" s="44"/>
      <c r="S2415" s="9" t="str">
        <f aca="false">IF(N2415&lt;&gt;"Y","",IF(R2415&lt;&gt;"",R2415,IF(Q2415="(tanpa lawan)","Transfer antar rekening",IFERROR(INDEX(I_COA!$F$6:$F$265,MATCH(Q2415,I_COA!$A$6:$A$265,0)),"?"))))</f>
        <v/>
      </c>
    </row>
    <row r="2416" customFormat="false" ht="15" hidden="false" customHeight="false" outlineLevel="0" collapsed="false">
      <c r="A2416" s="37"/>
      <c r="B2416" s="44"/>
      <c r="C2416" s="44"/>
      <c r="D2416" s="44"/>
      <c r="E2416" s="44"/>
      <c r="F2416" s="44"/>
      <c r="G2416" s="42"/>
      <c r="H2416" s="42"/>
      <c r="I2416" s="44"/>
      <c r="J2416" s="11" t="str">
        <f aca="false">IF(D2416="","",N(G2416)-N(H2416))</f>
        <v/>
      </c>
      <c r="K2416" s="34" t="str">
        <f aca="false">IF(D2416="","",IFERROR(INDEX(I_COA!$C$6:$C$265,MATCH(D2416,I_COA!$A$6:$A$265,0)),"AKUN BARU"))</f>
        <v/>
      </c>
      <c r="L2416" s="34" t="str">
        <f aca="false">IF(K2416="LabaRugi",INDEX(I_COA!$D$6:$D$265,MATCH(D2416,I_COA!$A$6:$A$265,0)),"")</f>
        <v/>
      </c>
      <c r="M2416" s="34" t="str">
        <f aca="false">IF(K2416="Neraca",INDEX(I_COA!$E$6:$E$265,MATCH(D2416,I_COA!$A$6:$A$265,0)),"")</f>
        <v/>
      </c>
      <c r="N2416" s="34" t="str">
        <f aca="false">IF(D2416="","",IFERROR(INDEX(I_COA!$G$6:$G$265,MATCH(D2416,I_COA!$A$6:$A$265,0)),"N"))</f>
        <v/>
      </c>
      <c r="O2416" s="11" t="str">
        <f aca="false">IF(N2416="N",ABS(J2416),"")</f>
        <v/>
      </c>
      <c r="P2416" s="18" t="str">
        <f aca="false">IF(N2416="N",B2416&amp;"|"&amp;ROUND(O2416,0),"")</f>
        <v/>
      </c>
      <c r="Q2416" s="18" t="str">
        <f aca="false">IF(N2416&lt;&gt;"Y","",IFERROR(INDEX($D$6:$D$4005,MATCH(B2416&amp;"|"&amp;ROUND(_xlfn.MAXIFS($O$6:$O$4005,$B$6:$B$4005,B2416,$N$6:$N$4005,"N"),0),$P$6:$P$4005,0)),"(tanpa lawan)"))</f>
        <v/>
      </c>
      <c r="R2416" s="44"/>
      <c r="S2416" s="9" t="str">
        <f aca="false">IF(N2416&lt;&gt;"Y","",IF(R2416&lt;&gt;"",R2416,IF(Q2416="(tanpa lawan)","Transfer antar rekening",IFERROR(INDEX(I_COA!$F$6:$F$265,MATCH(Q2416,I_COA!$A$6:$A$265,0)),"?"))))</f>
        <v/>
      </c>
    </row>
    <row r="2417" customFormat="false" ht="15" hidden="false" customHeight="false" outlineLevel="0" collapsed="false">
      <c r="A2417" s="37"/>
      <c r="B2417" s="44"/>
      <c r="C2417" s="44"/>
      <c r="D2417" s="44"/>
      <c r="E2417" s="44"/>
      <c r="F2417" s="44"/>
      <c r="G2417" s="42"/>
      <c r="H2417" s="42"/>
      <c r="I2417" s="44"/>
      <c r="J2417" s="11" t="str">
        <f aca="false">IF(D2417="","",N(G2417)-N(H2417))</f>
        <v/>
      </c>
      <c r="K2417" s="34" t="str">
        <f aca="false">IF(D2417="","",IFERROR(INDEX(I_COA!$C$6:$C$265,MATCH(D2417,I_COA!$A$6:$A$265,0)),"AKUN BARU"))</f>
        <v/>
      </c>
      <c r="L2417" s="34" t="str">
        <f aca="false">IF(K2417="LabaRugi",INDEX(I_COA!$D$6:$D$265,MATCH(D2417,I_COA!$A$6:$A$265,0)),"")</f>
        <v/>
      </c>
      <c r="M2417" s="34" t="str">
        <f aca="false">IF(K2417="Neraca",INDEX(I_COA!$E$6:$E$265,MATCH(D2417,I_COA!$A$6:$A$265,0)),"")</f>
        <v/>
      </c>
      <c r="N2417" s="34" t="str">
        <f aca="false">IF(D2417="","",IFERROR(INDEX(I_COA!$G$6:$G$265,MATCH(D2417,I_COA!$A$6:$A$265,0)),"N"))</f>
        <v/>
      </c>
      <c r="O2417" s="11" t="str">
        <f aca="false">IF(N2417="N",ABS(J2417),"")</f>
        <v/>
      </c>
      <c r="P2417" s="18" t="str">
        <f aca="false">IF(N2417="N",B2417&amp;"|"&amp;ROUND(O2417,0),"")</f>
        <v/>
      </c>
      <c r="Q2417" s="18" t="str">
        <f aca="false">IF(N2417&lt;&gt;"Y","",IFERROR(INDEX($D$6:$D$4005,MATCH(B2417&amp;"|"&amp;ROUND(_xlfn.MAXIFS($O$6:$O$4005,$B$6:$B$4005,B2417,$N$6:$N$4005,"N"),0),$P$6:$P$4005,0)),"(tanpa lawan)"))</f>
        <v/>
      </c>
      <c r="R2417" s="44"/>
      <c r="S2417" s="9" t="str">
        <f aca="false">IF(N2417&lt;&gt;"Y","",IF(R2417&lt;&gt;"",R2417,IF(Q2417="(tanpa lawan)","Transfer antar rekening",IFERROR(INDEX(I_COA!$F$6:$F$265,MATCH(Q2417,I_COA!$A$6:$A$265,0)),"?"))))</f>
        <v/>
      </c>
    </row>
    <row r="2418" customFormat="false" ht="15" hidden="false" customHeight="false" outlineLevel="0" collapsed="false">
      <c r="A2418" s="37"/>
      <c r="B2418" s="44"/>
      <c r="C2418" s="44"/>
      <c r="D2418" s="44"/>
      <c r="E2418" s="44"/>
      <c r="F2418" s="44"/>
      <c r="G2418" s="42"/>
      <c r="H2418" s="42"/>
      <c r="I2418" s="44"/>
      <c r="J2418" s="11" t="str">
        <f aca="false">IF(D2418="","",N(G2418)-N(H2418))</f>
        <v/>
      </c>
      <c r="K2418" s="34" t="str">
        <f aca="false">IF(D2418="","",IFERROR(INDEX(I_COA!$C$6:$C$265,MATCH(D2418,I_COA!$A$6:$A$265,0)),"AKUN BARU"))</f>
        <v/>
      </c>
      <c r="L2418" s="34" t="str">
        <f aca="false">IF(K2418="LabaRugi",INDEX(I_COA!$D$6:$D$265,MATCH(D2418,I_COA!$A$6:$A$265,0)),"")</f>
        <v/>
      </c>
      <c r="M2418" s="34" t="str">
        <f aca="false">IF(K2418="Neraca",INDEX(I_COA!$E$6:$E$265,MATCH(D2418,I_COA!$A$6:$A$265,0)),"")</f>
        <v/>
      </c>
      <c r="N2418" s="34" t="str">
        <f aca="false">IF(D2418="","",IFERROR(INDEX(I_COA!$G$6:$G$265,MATCH(D2418,I_COA!$A$6:$A$265,0)),"N"))</f>
        <v/>
      </c>
      <c r="O2418" s="11" t="str">
        <f aca="false">IF(N2418="N",ABS(J2418),"")</f>
        <v/>
      </c>
      <c r="P2418" s="18" t="str">
        <f aca="false">IF(N2418="N",B2418&amp;"|"&amp;ROUND(O2418,0),"")</f>
        <v/>
      </c>
      <c r="Q2418" s="18" t="str">
        <f aca="false">IF(N2418&lt;&gt;"Y","",IFERROR(INDEX($D$6:$D$4005,MATCH(B2418&amp;"|"&amp;ROUND(_xlfn.MAXIFS($O$6:$O$4005,$B$6:$B$4005,B2418,$N$6:$N$4005,"N"),0),$P$6:$P$4005,0)),"(tanpa lawan)"))</f>
        <v/>
      </c>
      <c r="R2418" s="44"/>
      <c r="S2418" s="9" t="str">
        <f aca="false">IF(N2418&lt;&gt;"Y","",IF(R2418&lt;&gt;"",R2418,IF(Q2418="(tanpa lawan)","Transfer antar rekening",IFERROR(INDEX(I_COA!$F$6:$F$265,MATCH(Q2418,I_COA!$A$6:$A$265,0)),"?"))))</f>
        <v/>
      </c>
    </row>
    <row r="2419" customFormat="false" ht="15" hidden="false" customHeight="false" outlineLevel="0" collapsed="false">
      <c r="A2419" s="37"/>
      <c r="B2419" s="44"/>
      <c r="C2419" s="44"/>
      <c r="D2419" s="44"/>
      <c r="E2419" s="44"/>
      <c r="F2419" s="44"/>
      <c r="G2419" s="42"/>
      <c r="H2419" s="42"/>
      <c r="I2419" s="44"/>
      <c r="J2419" s="11" t="str">
        <f aca="false">IF(D2419="","",N(G2419)-N(H2419))</f>
        <v/>
      </c>
      <c r="K2419" s="34" t="str">
        <f aca="false">IF(D2419="","",IFERROR(INDEX(I_COA!$C$6:$C$265,MATCH(D2419,I_COA!$A$6:$A$265,0)),"AKUN BARU"))</f>
        <v/>
      </c>
      <c r="L2419" s="34" t="str">
        <f aca="false">IF(K2419="LabaRugi",INDEX(I_COA!$D$6:$D$265,MATCH(D2419,I_COA!$A$6:$A$265,0)),"")</f>
        <v/>
      </c>
      <c r="M2419" s="34" t="str">
        <f aca="false">IF(K2419="Neraca",INDEX(I_COA!$E$6:$E$265,MATCH(D2419,I_COA!$A$6:$A$265,0)),"")</f>
        <v/>
      </c>
      <c r="N2419" s="34" t="str">
        <f aca="false">IF(D2419="","",IFERROR(INDEX(I_COA!$G$6:$G$265,MATCH(D2419,I_COA!$A$6:$A$265,0)),"N"))</f>
        <v/>
      </c>
      <c r="O2419" s="11" t="str">
        <f aca="false">IF(N2419="N",ABS(J2419),"")</f>
        <v/>
      </c>
      <c r="P2419" s="18" t="str">
        <f aca="false">IF(N2419="N",B2419&amp;"|"&amp;ROUND(O2419,0),"")</f>
        <v/>
      </c>
      <c r="Q2419" s="18" t="str">
        <f aca="false">IF(N2419&lt;&gt;"Y","",IFERROR(INDEX($D$6:$D$4005,MATCH(B2419&amp;"|"&amp;ROUND(_xlfn.MAXIFS($O$6:$O$4005,$B$6:$B$4005,B2419,$N$6:$N$4005,"N"),0),$P$6:$P$4005,0)),"(tanpa lawan)"))</f>
        <v/>
      </c>
      <c r="R2419" s="44"/>
      <c r="S2419" s="9" t="str">
        <f aca="false">IF(N2419&lt;&gt;"Y","",IF(R2419&lt;&gt;"",R2419,IF(Q2419="(tanpa lawan)","Transfer antar rekening",IFERROR(INDEX(I_COA!$F$6:$F$265,MATCH(Q2419,I_COA!$A$6:$A$265,0)),"?"))))</f>
        <v/>
      </c>
    </row>
    <row r="2420" customFormat="false" ht="15" hidden="false" customHeight="false" outlineLevel="0" collapsed="false">
      <c r="A2420" s="37"/>
      <c r="B2420" s="44"/>
      <c r="C2420" s="44"/>
      <c r="D2420" s="44"/>
      <c r="E2420" s="44"/>
      <c r="F2420" s="44"/>
      <c r="G2420" s="42"/>
      <c r="H2420" s="42"/>
      <c r="I2420" s="44"/>
      <c r="J2420" s="11" t="str">
        <f aca="false">IF(D2420="","",N(G2420)-N(H2420))</f>
        <v/>
      </c>
      <c r="K2420" s="34" t="str">
        <f aca="false">IF(D2420="","",IFERROR(INDEX(I_COA!$C$6:$C$265,MATCH(D2420,I_COA!$A$6:$A$265,0)),"AKUN BARU"))</f>
        <v/>
      </c>
      <c r="L2420" s="34" t="str">
        <f aca="false">IF(K2420="LabaRugi",INDEX(I_COA!$D$6:$D$265,MATCH(D2420,I_COA!$A$6:$A$265,0)),"")</f>
        <v/>
      </c>
      <c r="M2420" s="34" t="str">
        <f aca="false">IF(K2420="Neraca",INDEX(I_COA!$E$6:$E$265,MATCH(D2420,I_COA!$A$6:$A$265,0)),"")</f>
        <v/>
      </c>
      <c r="N2420" s="34" t="str">
        <f aca="false">IF(D2420="","",IFERROR(INDEX(I_COA!$G$6:$G$265,MATCH(D2420,I_COA!$A$6:$A$265,0)),"N"))</f>
        <v/>
      </c>
      <c r="O2420" s="11" t="str">
        <f aca="false">IF(N2420="N",ABS(J2420),"")</f>
        <v/>
      </c>
      <c r="P2420" s="18" t="str">
        <f aca="false">IF(N2420="N",B2420&amp;"|"&amp;ROUND(O2420,0),"")</f>
        <v/>
      </c>
      <c r="Q2420" s="18" t="str">
        <f aca="false">IF(N2420&lt;&gt;"Y","",IFERROR(INDEX($D$6:$D$4005,MATCH(B2420&amp;"|"&amp;ROUND(_xlfn.MAXIFS($O$6:$O$4005,$B$6:$B$4005,B2420,$N$6:$N$4005,"N"),0),$P$6:$P$4005,0)),"(tanpa lawan)"))</f>
        <v/>
      </c>
      <c r="R2420" s="44"/>
      <c r="S2420" s="9" t="str">
        <f aca="false">IF(N2420&lt;&gt;"Y","",IF(R2420&lt;&gt;"",R2420,IF(Q2420="(tanpa lawan)","Transfer antar rekening",IFERROR(INDEX(I_COA!$F$6:$F$265,MATCH(Q2420,I_COA!$A$6:$A$265,0)),"?"))))</f>
        <v/>
      </c>
    </row>
    <row r="2421" customFormat="false" ht="15" hidden="false" customHeight="false" outlineLevel="0" collapsed="false">
      <c r="A2421" s="37"/>
      <c r="B2421" s="44"/>
      <c r="C2421" s="44"/>
      <c r="D2421" s="44"/>
      <c r="E2421" s="44"/>
      <c r="F2421" s="44"/>
      <c r="G2421" s="42"/>
      <c r="H2421" s="42"/>
      <c r="I2421" s="44"/>
      <c r="J2421" s="11" t="str">
        <f aca="false">IF(D2421="","",N(G2421)-N(H2421))</f>
        <v/>
      </c>
      <c r="K2421" s="34" t="str">
        <f aca="false">IF(D2421="","",IFERROR(INDEX(I_COA!$C$6:$C$265,MATCH(D2421,I_COA!$A$6:$A$265,0)),"AKUN BARU"))</f>
        <v/>
      </c>
      <c r="L2421" s="34" t="str">
        <f aca="false">IF(K2421="LabaRugi",INDEX(I_COA!$D$6:$D$265,MATCH(D2421,I_COA!$A$6:$A$265,0)),"")</f>
        <v/>
      </c>
      <c r="M2421" s="34" t="str">
        <f aca="false">IF(K2421="Neraca",INDEX(I_COA!$E$6:$E$265,MATCH(D2421,I_COA!$A$6:$A$265,0)),"")</f>
        <v/>
      </c>
      <c r="N2421" s="34" t="str">
        <f aca="false">IF(D2421="","",IFERROR(INDEX(I_COA!$G$6:$G$265,MATCH(D2421,I_COA!$A$6:$A$265,0)),"N"))</f>
        <v/>
      </c>
      <c r="O2421" s="11" t="str">
        <f aca="false">IF(N2421="N",ABS(J2421),"")</f>
        <v/>
      </c>
      <c r="P2421" s="18" t="str">
        <f aca="false">IF(N2421="N",B2421&amp;"|"&amp;ROUND(O2421,0),"")</f>
        <v/>
      </c>
      <c r="Q2421" s="18" t="str">
        <f aca="false">IF(N2421&lt;&gt;"Y","",IFERROR(INDEX($D$6:$D$4005,MATCH(B2421&amp;"|"&amp;ROUND(_xlfn.MAXIFS($O$6:$O$4005,$B$6:$B$4005,B2421,$N$6:$N$4005,"N"),0),$P$6:$P$4005,0)),"(tanpa lawan)"))</f>
        <v/>
      </c>
      <c r="R2421" s="44"/>
      <c r="S2421" s="9" t="str">
        <f aca="false">IF(N2421&lt;&gt;"Y","",IF(R2421&lt;&gt;"",R2421,IF(Q2421="(tanpa lawan)","Transfer antar rekening",IFERROR(INDEX(I_COA!$F$6:$F$265,MATCH(Q2421,I_COA!$A$6:$A$265,0)),"?"))))</f>
        <v/>
      </c>
    </row>
    <row r="2422" customFormat="false" ht="15" hidden="false" customHeight="false" outlineLevel="0" collapsed="false">
      <c r="A2422" s="37"/>
      <c r="B2422" s="44"/>
      <c r="C2422" s="44"/>
      <c r="D2422" s="44"/>
      <c r="E2422" s="44"/>
      <c r="F2422" s="44"/>
      <c r="G2422" s="42"/>
      <c r="H2422" s="42"/>
      <c r="I2422" s="44"/>
      <c r="J2422" s="11" t="str">
        <f aca="false">IF(D2422="","",N(G2422)-N(H2422))</f>
        <v/>
      </c>
      <c r="K2422" s="34" t="str">
        <f aca="false">IF(D2422="","",IFERROR(INDEX(I_COA!$C$6:$C$265,MATCH(D2422,I_COA!$A$6:$A$265,0)),"AKUN BARU"))</f>
        <v/>
      </c>
      <c r="L2422" s="34" t="str">
        <f aca="false">IF(K2422="LabaRugi",INDEX(I_COA!$D$6:$D$265,MATCH(D2422,I_COA!$A$6:$A$265,0)),"")</f>
        <v/>
      </c>
      <c r="M2422" s="34" t="str">
        <f aca="false">IF(K2422="Neraca",INDEX(I_COA!$E$6:$E$265,MATCH(D2422,I_COA!$A$6:$A$265,0)),"")</f>
        <v/>
      </c>
      <c r="N2422" s="34" t="str">
        <f aca="false">IF(D2422="","",IFERROR(INDEX(I_COA!$G$6:$G$265,MATCH(D2422,I_COA!$A$6:$A$265,0)),"N"))</f>
        <v/>
      </c>
      <c r="O2422" s="11" t="str">
        <f aca="false">IF(N2422="N",ABS(J2422),"")</f>
        <v/>
      </c>
      <c r="P2422" s="18" t="str">
        <f aca="false">IF(N2422="N",B2422&amp;"|"&amp;ROUND(O2422,0),"")</f>
        <v/>
      </c>
      <c r="Q2422" s="18" t="str">
        <f aca="false">IF(N2422&lt;&gt;"Y","",IFERROR(INDEX($D$6:$D$4005,MATCH(B2422&amp;"|"&amp;ROUND(_xlfn.MAXIFS($O$6:$O$4005,$B$6:$B$4005,B2422,$N$6:$N$4005,"N"),0),$P$6:$P$4005,0)),"(tanpa lawan)"))</f>
        <v/>
      </c>
      <c r="R2422" s="44"/>
      <c r="S2422" s="9" t="str">
        <f aca="false">IF(N2422&lt;&gt;"Y","",IF(R2422&lt;&gt;"",R2422,IF(Q2422="(tanpa lawan)","Transfer antar rekening",IFERROR(INDEX(I_COA!$F$6:$F$265,MATCH(Q2422,I_COA!$A$6:$A$265,0)),"?"))))</f>
        <v/>
      </c>
    </row>
    <row r="2423" customFormat="false" ht="15" hidden="false" customHeight="false" outlineLevel="0" collapsed="false">
      <c r="A2423" s="37"/>
      <c r="B2423" s="44"/>
      <c r="C2423" s="44"/>
      <c r="D2423" s="44"/>
      <c r="E2423" s="44"/>
      <c r="F2423" s="44"/>
      <c r="G2423" s="42"/>
      <c r="H2423" s="42"/>
      <c r="I2423" s="44"/>
      <c r="J2423" s="11" t="str">
        <f aca="false">IF(D2423="","",N(G2423)-N(H2423))</f>
        <v/>
      </c>
      <c r="K2423" s="34" t="str">
        <f aca="false">IF(D2423="","",IFERROR(INDEX(I_COA!$C$6:$C$265,MATCH(D2423,I_COA!$A$6:$A$265,0)),"AKUN BARU"))</f>
        <v/>
      </c>
      <c r="L2423" s="34" t="str">
        <f aca="false">IF(K2423="LabaRugi",INDEX(I_COA!$D$6:$D$265,MATCH(D2423,I_COA!$A$6:$A$265,0)),"")</f>
        <v/>
      </c>
      <c r="M2423" s="34" t="str">
        <f aca="false">IF(K2423="Neraca",INDEX(I_COA!$E$6:$E$265,MATCH(D2423,I_COA!$A$6:$A$265,0)),"")</f>
        <v/>
      </c>
      <c r="N2423" s="34" t="str">
        <f aca="false">IF(D2423="","",IFERROR(INDEX(I_COA!$G$6:$G$265,MATCH(D2423,I_COA!$A$6:$A$265,0)),"N"))</f>
        <v/>
      </c>
      <c r="O2423" s="11" t="str">
        <f aca="false">IF(N2423="N",ABS(J2423),"")</f>
        <v/>
      </c>
      <c r="P2423" s="18" t="str">
        <f aca="false">IF(N2423="N",B2423&amp;"|"&amp;ROUND(O2423,0),"")</f>
        <v/>
      </c>
      <c r="Q2423" s="18" t="str">
        <f aca="false">IF(N2423&lt;&gt;"Y","",IFERROR(INDEX($D$6:$D$4005,MATCH(B2423&amp;"|"&amp;ROUND(_xlfn.MAXIFS($O$6:$O$4005,$B$6:$B$4005,B2423,$N$6:$N$4005,"N"),0),$P$6:$P$4005,0)),"(tanpa lawan)"))</f>
        <v/>
      </c>
      <c r="R2423" s="44"/>
      <c r="S2423" s="9" t="str">
        <f aca="false">IF(N2423&lt;&gt;"Y","",IF(R2423&lt;&gt;"",R2423,IF(Q2423="(tanpa lawan)","Transfer antar rekening",IFERROR(INDEX(I_COA!$F$6:$F$265,MATCH(Q2423,I_COA!$A$6:$A$265,0)),"?"))))</f>
        <v/>
      </c>
    </row>
    <row r="2424" customFormat="false" ht="15" hidden="false" customHeight="false" outlineLevel="0" collapsed="false">
      <c r="A2424" s="37"/>
      <c r="B2424" s="44"/>
      <c r="C2424" s="44"/>
      <c r="D2424" s="44"/>
      <c r="E2424" s="44"/>
      <c r="F2424" s="44"/>
      <c r="G2424" s="42"/>
      <c r="H2424" s="42"/>
      <c r="I2424" s="44"/>
      <c r="J2424" s="11" t="str">
        <f aca="false">IF(D2424="","",N(G2424)-N(H2424))</f>
        <v/>
      </c>
      <c r="K2424" s="34" t="str">
        <f aca="false">IF(D2424="","",IFERROR(INDEX(I_COA!$C$6:$C$265,MATCH(D2424,I_COA!$A$6:$A$265,0)),"AKUN BARU"))</f>
        <v/>
      </c>
      <c r="L2424" s="34" t="str">
        <f aca="false">IF(K2424="LabaRugi",INDEX(I_COA!$D$6:$D$265,MATCH(D2424,I_COA!$A$6:$A$265,0)),"")</f>
        <v/>
      </c>
      <c r="M2424" s="34" t="str">
        <f aca="false">IF(K2424="Neraca",INDEX(I_COA!$E$6:$E$265,MATCH(D2424,I_COA!$A$6:$A$265,0)),"")</f>
        <v/>
      </c>
      <c r="N2424" s="34" t="str">
        <f aca="false">IF(D2424="","",IFERROR(INDEX(I_COA!$G$6:$G$265,MATCH(D2424,I_COA!$A$6:$A$265,0)),"N"))</f>
        <v/>
      </c>
      <c r="O2424" s="11" t="str">
        <f aca="false">IF(N2424="N",ABS(J2424),"")</f>
        <v/>
      </c>
      <c r="P2424" s="18" t="str">
        <f aca="false">IF(N2424="N",B2424&amp;"|"&amp;ROUND(O2424,0),"")</f>
        <v/>
      </c>
      <c r="Q2424" s="18" t="str">
        <f aca="false">IF(N2424&lt;&gt;"Y","",IFERROR(INDEX($D$6:$D$4005,MATCH(B2424&amp;"|"&amp;ROUND(_xlfn.MAXIFS($O$6:$O$4005,$B$6:$B$4005,B2424,$N$6:$N$4005,"N"),0),$P$6:$P$4005,0)),"(tanpa lawan)"))</f>
        <v/>
      </c>
      <c r="R2424" s="44"/>
      <c r="S2424" s="9" t="str">
        <f aca="false">IF(N2424&lt;&gt;"Y","",IF(R2424&lt;&gt;"",R2424,IF(Q2424="(tanpa lawan)","Transfer antar rekening",IFERROR(INDEX(I_COA!$F$6:$F$265,MATCH(Q2424,I_COA!$A$6:$A$265,0)),"?"))))</f>
        <v/>
      </c>
    </row>
    <row r="2425" customFormat="false" ht="15" hidden="false" customHeight="false" outlineLevel="0" collapsed="false">
      <c r="A2425" s="37"/>
      <c r="B2425" s="44"/>
      <c r="C2425" s="44"/>
      <c r="D2425" s="44"/>
      <c r="E2425" s="44"/>
      <c r="F2425" s="44"/>
      <c r="G2425" s="42"/>
      <c r="H2425" s="42"/>
      <c r="I2425" s="44"/>
      <c r="J2425" s="11" t="str">
        <f aca="false">IF(D2425="","",N(G2425)-N(H2425))</f>
        <v/>
      </c>
      <c r="K2425" s="34" t="str">
        <f aca="false">IF(D2425="","",IFERROR(INDEX(I_COA!$C$6:$C$265,MATCH(D2425,I_COA!$A$6:$A$265,0)),"AKUN BARU"))</f>
        <v/>
      </c>
      <c r="L2425" s="34" t="str">
        <f aca="false">IF(K2425="LabaRugi",INDEX(I_COA!$D$6:$D$265,MATCH(D2425,I_COA!$A$6:$A$265,0)),"")</f>
        <v/>
      </c>
      <c r="M2425" s="34" t="str">
        <f aca="false">IF(K2425="Neraca",INDEX(I_COA!$E$6:$E$265,MATCH(D2425,I_COA!$A$6:$A$265,0)),"")</f>
        <v/>
      </c>
      <c r="N2425" s="34" t="str">
        <f aca="false">IF(D2425="","",IFERROR(INDEX(I_COA!$G$6:$G$265,MATCH(D2425,I_COA!$A$6:$A$265,0)),"N"))</f>
        <v/>
      </c>
      <c r="O2425" s="11" t="str">
        <f aca="false">IF(N2425="N",ABS(J2425),"")</f>
        <v/>
      </c>
      <c r="P2425" s="18" t="str">
        <f aca="false">IF(N2425="N",B2425&amp;"|"&amp;ROUND(O2425,0),"")</f>
        <v/>
      </c>
      <c r="Q2425" s="18" t="str">
        <f aca="false">IF(N2425&lt;&gt;"Y","",IFERROR(INDEX($D$6:$D$4005,MATCH(B2425&amp;"|"&amp;ROUND(_xlfn.MAXIFS($O$6:$O$4005,$B$6:$B$4005,B2425,$N$6:$N$4005,"N"),0),$P$6:$P$4005,0)),"(tanpa lawan)"))</f>
        <v/>
      </c>
      <c r="R2425" s="44"/>
      <c r="S2425" s="9" t="str">
        <f aca="false">IF(N2425&lt;&gt;"Y","",IF(R2425&lt;&gt;"",R2425,IF(Q2425="(tanpa lawan)","Transfer antar rekening",IFERROR(INDEX(I_COA!$F$6:$F$265,MATCH(Q2425,I_COA!$A$6:$A$265,0)),"?"))))</f>
        <v/>
      </c>
    </row>
    <row r="2426" customFormat="false" ht="15" hidden="false" customHeight="false" outlineLevel="0" collapsed="false">
      <c r="A2426" s="37"/>
      <c r="B2426" s="44"/>
      <c r="C2426" s="44"/>
      <c r="D2426" s="44"/>
      <c r="E2426" s="44"/>
      <c r="F2426" s="44"/>
      <c r="G2426" s="42"/>
      <c r="H2426" s="42"/>
      <c r="I2426" s="44"/>
      <c r="J2426" s="11" t="str">
        <f aca="false">IF(D2426="","",N(G2426)-N(H2426))</f>
        <v/>
      </c>
      <c r="K2426" s="34" t="str">
        <f aca="false">IF(D2426="","",IFERROR(INDEX(I_COA!$C$6:$C$265,MATCH(D2426,I_COA!$A$6:$A$265,0)),"AKUN BARU"))</f>
        <v/>
      </c>
      <c r="L2426" s="34" t="str">
        <f aca="false">IF(K2426="LabaRugi",INDEX(I_COA!$D$6:$D$265,MATCH(D2426,I_COA!$A$6:$A$265,0)),"")</f>
        <v/>
      </c>
      <c r="M2426" s="34" t="str">
        <f aca="false">IF(K2426="Neraca",INDEX(I_COA!$E$6:$E$265,MATCH(D2426,I_COA!$A$6:$A$265,0)),"")</f>
        <v/>
      </c>
      <c r="N2426" s="34" t="str">
        <f aca="false">IF(D2426="","",IFERROR(INDEX(I_COA!$G$6:$G$265,MATCH(D2426,I_COA!$A$6:$A$265,0)),"N"))</f>
        <v/>
      </c>
      <c r="O2426" s="11" t="str">
        <f aca="false">IF(N2426="N",ABS(J2426),"")</f>
        <v/>
      </c>
      <c r="P2426" s="18" t="str">
        <f aca="false">IF(N2426="N",B2426&amp;"|"&amp;ROUND(O2426,0),"")</f>
        <v/>
      </c>
      <c r="Q2426" s="18" t="str">
        <f aca="false">IF(N2426&lt;&gt;"Y","",IFERROR(INDEX($D$6:$D$4005,MATCH(B2426&amp;"|"&amp;ROUND(_xlfn.MAXIFS($O$6:$O$4005,$B$6:$B$4005,B2426,$N$6:$N$4005,"N"),0),$P$6:$P$4005,0)),"(tanpa lawan)"))</f>
        <v/>
      </c>
      <c r="R2426" s="44"/>
      <c r="S2426" s="9" t="str">
        <f aca="false">IF(N2426&lt;&gt;"Y","",IF(R2426&lt;&gt;"",R2426,IF(Q2426="(tanpa lawan)","Transfer antar rekening",IFERROR(INDEX(I_COA!$F$6:$F$265,MATCH(Q2426,I_COA!$A$6:$A$265,0)),"?"))))</f>
        <v/>
      </c>
    </row>
    <row r="2427" customFormat="false" ht="15" hidden="false" customHeight="false" outlineLevel="0" collapsed="false">
      <c r="A2427" s="37"/>
      <c r="B2427" s="44"/>
      <c r="C2427" s="44"/>
      <c r="D2427" s="44"/>
      <c r="E2427" s="44"/>
      <c r="F2427" s="44"/>
      <c r="G2427" s="42"/>
      <c r="H2427" s="42"/>
      <c r="I2427" s="44"/>
      <c r="J2427" s="11" t="str">
        <f aca="false">IF(D2427="","",N(G2427)-N(H2427))</f>
        <v/>
      </c>
      <c r="K2427" s="34" t="str">
        <f aca="false">IF(D2427="","",IFERROR(INDEX(I_COA!$C$6:$C$265,MATCH(D2427,I_COA!$A$6:$A$265,0)),"AKUN BARU"))</f>
        <v/>
      </c>
      <c r="L2427" s="34" t="str">
        <f aca="false">IF(K2427="LabaRugi",INDEX(I_COA!$D$6:$D$265,MATCH(D2427,I_COA!$A$6:$A$265,0)),"")</f>
        <v/>
      </c>
      <c r="M2427" s="34" t="str">
        <f aca="false">IF(K2427="Neraca",INDEX(I_COA!$E$6:$E$265,MATCH(D2427,I_COA!$A$6:$A$265,0)),"")</f>
        <v/>
      </c>
      <c r="N2427" s="34" t="str">
        <f aca="false">IF(D2427="","",IFERROR(INDEX(I_COA!$G$6:$G$265,MATCH(D2427,I_COA!$A$6:$A$265,0)),"N"))</f>
        <v/>
      </c>
      <c r="O2427" s="11" t="str">
        <f aca="false">IF(N2427="N",ABS(J2427),"")</f>
        <v/>
      </c>
      <c r="P2427" s="18" t="str">
        <f aca="false">IF(N2427="N",B2427&amp;"|"&amp;ROUND(O2427,0),"")</f>
        <v/>
      </c>
      <c r="Q2427" s="18" t="str">
        <f aca="false">IF(N2427&lt;&gt;"Y","",IFERROR(INDEX($D$6:$D$4005,MATCH(B2427&amp;"|"&amp;ROUND(_xlfn.MAXIFS($O$6:$O$4005,$B$6:$B$4005,B2427,$N$6:$N$4005,"N"),0),$P$6:$P$4005,0)),"(tanpa lawan)"))</f>
        <v/>
      </c>
      <c r="R2427" s="44"/>
      <c r="S2427" s="9" t="str">
        <f aca="false">IF(N2427&lt;&gt;"Y","",IF(R2427&lt;&gt;"",R2427,IF(Q2427="(tanpa lawan)","Transfer antar rekening",IFERROR(INDEX(I_COA!$F$6:$F$265,MATCH(Q2427,I_COA!$A$6:$A$265,0)),"?"))))</f>
        <v/>
      </c>
    </row>
    <row r="2428" customFormat="false" ht="15" hidden="false" customHeight="false" outlineLevel="0" collapsed="false">
      <c r="A2428" s="37"/>
      <c r="B2428" s="44"/>
      <c r="C2428" s="44"/>
      <c r="D2428" s="44"/>
      <c r="E2428" s="44"/>
      <c r="F2428" s="44"/>
      <c r="G2428" s="42"/>
      <c r="H2428" s="42"/>
      <c r="I2428" s="44"/>
      <c r="J2428" s="11" t="str">
        <f aca="false">IF(D2428="","",N(G2428)-N(H2428))</f>
        <v/>
      </c>
      <c r="K2428" s="34" t="str">
        <f aca="false">IF(D2428="","",IFERROR(INDEX(I_COA!$C$6:$C$265,MATCH(D2428,I_COA!$A$6:$A$265,0)),"AKUN BARU"))</f>
        <v/>
      </c>
      <c r="L2428" s="34" t="str">
        <f aca="false">IF(K2428="LabaRugi",INDEX(I_COA!$D$6:$D$265,MATCH(D2428,I_COA!$A$6:$A$265,0)),"")</f>
        <v/>
      </c>
      <c r="M2428" s="34" t="str">
        <f aca="false">IF(K2428="Neraca",INDEX(I_COA!$E$6:$E$265,MATCH(D2428,I_COA!$A$6:$A$265,0)),"")</f>
        <v/>
      </c>
      <c r="N2428" s="34" t="str">
        <f aca="false">IF(D2428="","",IFERROR(INDEX(I_COA!$G$6:$G$265,MATCH(D2428,I_COA!$A$6:$A$265,0)),"N"))</f>
        <v/>
      </c>
      <c r="O2428" s="11" t="str">
        <f aca="false">IF(N2428="N",ABS(J2428),"")</f>
        <v/>
      </c>
      <c r="P2428" s="18" t="str">
        <f aca="false">IF(N2428="N",B2428&amp;"|"&amp;ROUND(O2428,0),"")</f>
        <v/>
      </c>
      <c r="Q2428" s="18" t="str">
        <f aca="false">IF(N2428&lt;&gt;"Y","",IFERROR(INDEX($D$6:$D$4005,MATCH(B2428&amp;"|"&amp;ROUND(_xlfn.MAXIFS($O$6:$O$4005,$B$6:$B$4005,B2428,$N$6:$N$4005,"N"),0),$P$6:$P$4005,0)),"(tanpa lawan)"))</f>
        <v/>
      </c>
      <c r="R2428" s="44"/>
      <c r="S2428" s="9" t="str">
        <f aca="false">IF(N2428&lt;&gt;"Y","",IF(R2428&lt;&gt;"",R2428,IF(Q2428="(tanpa lawan)","Transfer antar rekening",IFERROR(INDEX(I_COA!$F$6:$F$265,MATCH(Q2428,I_COA!$A$6:$A$265,0)),"?"))))</f>
        <v/>
      </c>
    </row>
    <row r="2429" customFormat="false" ht="15" hidden="false" customHeight="false" outlineLevel="0" collapsed="false">
      <c r="A2429" s="37"/>
      <c r="B2429" s="44"/>
      <c r="C2429" s="44"/>
      <c r="D2429" s="44"/>
      <c r="E2429" s="44"/>
      <c r="F2429" s="44"/>
      <c r="G2429" s="42"/>
      <c r="H2429" s="42"/>
      <c r="I2429" s="44"/>
      <c r="J2429" s="11" t="str">
        <f aca="false">IF(D2429="","",N(G2429)-N(H2429))</f>
        <v/>
      </c>
      <c r="K2429" s="34" t="str">
        <f aca="false">IF(D2429="","",IFERROR(INDEX(I_COA!$C$6:$C$265,MATCH(D2429,I_COA!$A$6:$A$265,0)),"AKUN BARU"))</f>
        <v/>
      </c>
      <c r="L2429" s="34" t="str">
        <f aca="false">IF(K2429="LabaRugi",INDEX(I_COA!$D$6:$D$265,MATCH(D2429,I_COA!$A$6:$A$265,0)),"")</f>
        <v/>
      </c>
      <c r="M2429" s="34" t="str">
        <f aca="false">IF(K2429="Neraca",INDEX(I_COA!$E$6:$E$265,MATCH(D2429,I_COA!$A$6:$A$265,0)),"")</f>
        <v/>
      </c>
      <c r="N2429" s="34" t="str">
        <f aca="false">IF(D2429="","",IFERROR(INDEX(I_COA!$G$6:$G$265,MATCH(D2429,I_COA!$A$6:$A$265,0)),"N"))</f>
        <v/>
      </c>
      <c r="O2429" s="11" t="str">
        <f aca="false">IF(N2429="N",ABS(J2429),"")</f>
        <v/>
      </c>
      <c r="P2429" s="18" t="str">
        <f aca="false">IF(N2429="N",B2429&amp;"|"&amp;ROUND(O2429,0),"")</f>
        <v/>
      </c>
      <c r="Q2429" s="18" t="str">
        <f aca="false">IF(N2429&lt;&gt;"Y","",IFERROR(INDEX($D$6:$D$4005,MATCH(B2429&amp;"|"&amp;ROUND(_xlfn.MAXIFS($O$6:$O$4005,$B$6:$B$4005,B2429,$N$6:$N$4005,"N"),0),$P$6:$P$4005,0)),"(tanpa lawan)"))</f>
        <v/>
      </c>
      <c r="R2429" s="44"/>
      <c r="S2429" s="9" t="str">
        <f aca="false">IF(N2429&lt;&gt;"Y","",IF(R2429&lt;&gt;"",R2429,IF(Q2429="(tanpa lawan)","Transfer antar rekening",IFERROR(INDEX(I_COA!$F$6:$F$265,MATCH(Q2429,I_COA!$A$6:$A$265,0)),"?"))))</f>
        <v/>
      </c>
    </row>
    <row r="2430" customFormat="false" ht="15" hidden="false" customHeight="false" outlineLevel="0" collapsed="false">
      <c r="A2430" s="37"/>
      <c r="B2430" s="44"/>
      <c r="C2430" s="44"/>
      <c r="D2430" s="44"/>
      <c r="E2430" s="44"/>
      <c r="F2430" s="44"/>
      <c r="G2430" s="42"/>
      <c r="H2430" s="42"/>
      <c r="I2430" s="44"/>
      <c r="J2430" s="11" t="str">
        <f aca="false">IF(D2430="","",N(G2430)-N(H2430))</f>
        <v/>
      </c>
      <c r="K2430" s="34" t="str">
        <f aca="false">IF(D2430="","",IFERROR(INDEX(I_COA!$C$6:$C$265,MATCH(D2430,I_COA!$A$6:$A$265,0)),"AKUN BARU"))</f>
        <v/>
      </c>
      <c r="L2430" s="34" t="str">
        <f aca="false">IF(K2430="LabaRugi",INDEX(I_COA!$D$6:$D$265,MATCH(D2430,I_COA!$A$6:$A$265,0)),"")</f>
        <v/>
      </c>
      <c r="M2430" s="34" t="str">
        <f aca="false">IF(K2430="Neraca",INDEX(I_COA!$E$6:$E$265,MATCH(D2430,I_COA!$A$6:$A$265,0)),"")</f>
        <v/>
      </c>
      <c r="N2430" s="34" t="str">
        <f aca="false">IF(D2430="","",IFERROR(INDEX(I_COA!$G$6:$G$265,MATCH(D2430,I_COA!$A$6:$A$265,0)),"N"))</f>
        <v/>
      </c>
      <c r="O2430" s="11" t="str">
        <f aca="false">IF(N2430="N",ABS(J2430),"")</f>
        <v/>
      </c>
      <c r="P2430" s="18" t="str">
        <f aca="false">IF(N2430="N",B2430&amp;"|"&amp;ROUND(O2430,0),"")</f>
        <v/>
      </c>
      <c r="Q2430" s="18" t="str">
        <f aca="false">IF(N2430&lt;&gt;"Y","",IFERROR(INDEX($D$6:$D$4005,MATCH(B2430&amp;"|"&amp;ROUND(_xlfn.MAXIFS($O$6:$O$4005,$B$6:$B$4005,B2430,$N$6:$N$4005,"N"),0),$P$6:$P$4005,0)),"(tanpa lawan)"))</f>
        <v/>
      </c>
      <c r="R2430" s="44"/>
      <c r="S2430" s="9" t="str">
        <f aca="false">IF(N2430&lt;&gt;"Y","",IF(R2430&lt;&gt;"",R2430,IF(Q2430="(tanpa lawan)","Transfer antar rekening",IFERROR(INDEX(I_COA!$F$6:$F$265,MATCH(Q2430,I_COA!$A$6:$A$265,0)),"?"))))</f>
        <v/>
      </c>
    </row>
    <row r="2431" customFormat="false" ht="15" hidden="false" customHeight="false" outlineLevel="0" collapsed="false">
      <c r="A2431" s="37"/>
      <c r="B2431" s="44"/>
      <c r="C2431" s="44"/>
      <c r="D2431" s="44"/>
      <c r="E2431" s="44"/>
      <c r="F2431" s="44"/>
      <c r="G2431" s="42"/>
      <c r="H2431" s="42"/>
      <c r="I2431" s="44"/>
      <c r="J2431" s="11" t="str">
        <f aca="false">IF(D2431="","",N(G2431)-N(H2431))</f>
        <v/>
      </c>
      <c r="K2431" s="34" t="str">
        <f aca="false">IF(D2431="","",IFERROR(INDEX(I_COA!$C$6:$C$265,MATCH(D2431,I_COA!$A$6:$A$265,0)),"AKUN BARU"))</f>
        <v/>
      </c>
      <c r="L2431" s="34" t="str">
        <f aca="false">IF(K2431="LabaRugi",INDEX(I_COA!$D$6:$D$265,MATCH(D2431,I_COA!$A$6:$A$265,0)),"")</f>
        <v/>
      </c>
      <c r="M2431" s="34" t="str">
        <f aca="false">IF(K2431="Neraca",INDEX(I_COA!$E$6:$E$265,MATCH(D2431,I_COA!$A$6:$A$265,0)),"")</f>
        <v/>
      </c>
      <c r="N2431" s="34" t="str">
        <f aca="false">IF(D2431="","",IFERROR(INDEX(I_COA!$G$6:$G$265,MATCH(D2431,I_COA!$A$6:$A$265,0)),"N"))</f>
        <v/>
      </c>
      <c r="O2431" s="11" t="str">
        <f aca="false">IF(N2431="N",ABS(J2431),"")</f>
        <v/>
      </c>
      <c r="P2431" s="18" t="str">
        <f aca="false">IF(N2431="N",B2431&amp;"|"&amp;ROUND(O2431,0),"")</f>
        <v/>
      </c>
      <c r="Q2431" s="18" t="str">
        <f aca="false">IF(N2431&lt;&gt;"Y","",IFERROR(INDEX($D$6:$D$4005,MATCH(B2431&amp;"|"&amp;ROUND(_xlfn.MAXIFS($O$6:$O$4005,$B$6:$B$4005,B2431,$N$6:$N$4005,"N"),0),$P$6:$P$4005,0)),"(tanpa lawan)"))</f>
        <v/>
      </c>
      <c r="R2431" s="44"/>
      <c r="S2431" s="9" t="str">
        <f aca="false">IF(N2431&lt;&gt;"Y","",IF(R2431&lt;&gt;"",R2431,IF(Q2431="(tanpa lawan)","Transfer antar rekening",IFERROR(INDEX(I_COA!$F$6:$F$265,MATCH(Q2431,I_COA!$A$6:$A$265,0)),"?"))))</f>
        <v/>
      </c>
    </row>
    <row r="2432" customFormat="false" ht="15" hidden="false" customHeight="false" outlineLevel="0" collapsed="false">
      <c r="A2432" s="37"/>
      <c r="B2432" s="44"/>
      <c r="C2432" s="44"/>
      <c r="D2432" s="44"/>
      <c r="E2432" s="44"/>
      <c r="F2432" s="44"/>
      <c r="G2432" s="42"/>
      <c r="H2432" s="42"/>
      <c r="I2432" s="44"/>
      <c r="J2432" s="11" t="str">
        <f aca="false">IF(D2432="","",N(G2432)-N(H2432))</f>
        <v/>
      </c>
      <c r="K2432" s="34" t="str">
        <f aca="false">IF(D2432="","",IFERROR(INDEX(I_COA!$C$6:$C$265,MATCH(D2432,I_COA!$A$6:$A$265,0)),"AKUN BARU"))</f>
        <v/>
      </c>
      <c r="L2432" s="34" t="str">
        <f aca="false">IF(K2432="LabaRugi",INDEX(I_COA!$D$6:$D$265,MATCH(D2432,I_COA!$A$6:$A$265,0)),"")</f>
        <v/>
      </c>
      <c r="M2432" s="34" t="str">
        <f aca="false">IF(K2432="Neraca",INDEX(I_COA!$E$6:$E$265,MATCH(D2432,I_COA!$A$6:$A$265,0)),"")</f>
        <v/>
      </c>
      <c r="N2432" s="34" t="str">
        <f aca="false">IF(D2432="","",IFERROR(INDEX(I_COA!$G$6:$G$265,MATCH(D2432,I_COA!$A$6:$A$265,0)),"N"))</f>
        <v/>
      </c>
      <c r="O2432" s="11" t="str">
        <f aca="false">IF(N2432="N",ABS(J2432),"")</f>
        <v/>
      </c>
      <c r="P2432" s="18" t="str">
        <f aca="false">IF(N2432="N",B2432&amp;"|"&amp;ROUND(O2432,0),"")</f>
        <v/>
      </c>
      <c r="Q2432" s="18" t="str">
        <f aca="false">IF(N2432&lt;&gt;"Y","",IFERROR(INDEX($D$6:$D$4005,MATCH(B2432&amp;"|"&amp;ROUND(_xlfn.MAXIFS($O$6:$O$4005,$B$6:$B$4005,B2432,$N$6:$N$4005,"N"),0),$P$6:$P$4005,0)),"(tanpa lawan)"))</f>
        <v/>
      </c>
      <c r="R2432" s="44"/>
      <c r="S2432" s="9" t="str">
        <f aca="false">IF(N2432&lt;&gt;"Y","",IF(R2432&lt;&gt;"",R2432,IF(Q2432="(tanpa lawan)","Transfer antar rekening",IFERROR(INDEX(I_COA!$F$6:$F$265,MATCH(Q2432,I_COA!$A$6:$A$265,0)),"?"))))</f>
        <v/>
      </c>
    </row>
    <row r="2433" customFormat="false" ht="15" hidden="false" customHeight="false" outlineLevel="0" collapsed="false">
      <c r="A2433" s="37"/>
      <c r="B2433" s="44"/>
      <c r="C2433" s="44"/>
      <c r="D2433" s="44"/>
      <c r="E2433" s="44"/>
      <c r="F2433" s="44"/>
      <c r="G2433" s="42"/>
      <c r="H2433" s="42"/>
      <c r="I2433" s="44"/>
      <c r="J2433" s="11" t="str">
        <f aca="false">IF(D2433="","",N(G2433)-N(H2433))</f>
        <v/>
      </c>
      <c r="K2433" s="34" t="str">
        <f aca="false">IF(D2433="","",IFERROR(INDEX(I_COA!$C$6:$C$265,MATCH(D2433,I_COA!$A$6:$A$265,0)),"AKUN BARU"))</f>
        <v/>
      </c>
      <c r="L2433" s="34" t="str">
        <f aca="false">IF(K2433="LabaRugi",INDEX(I_COA!$D$6:$D$265,MATCH(D2433,I_COA!$A$6:$A$265,0)),"")</f>
        <v/>
      </c>
      <c r="M2433" s="34" t="str">
        <f aca="false">IF(K2433="Neraca",INDEX(I_COA!$E$6:$E$265,MATCH(D2433,I_COA!$A$6:$A$265,0)),"")</f>
        <v/>
      </c>
      <c r="N2433" s="34" t="str">
        <f aca="false">IF(D2433="","",IFERROR(INDEX(I_COA!$G$6:$G$265,MATCH(D2433,I_COA!$A$6:$A$265,0)),"N"))</f>
        <v/>
      </c>
      <c r="O2433" s="11" t="str">
        <f aca="false">IF(N2433="N",ABS(J2433),"")</f>
        <v/>
      </c>
      <c r="P2433" s="18" t="str">
        <f aca="false">IF(N2433="N",B2433&amp;"|"&amp;ROUND(O2433,0),"")</f>
        <v/>
      </c>
      <c r="Q2433" s="18" t="str">
        <f aca="false">IF(N2433&lt;&gt;"Y","",IFERROR(INDEX($D$6:$D$4005,MATCH(B2433&amp;"|"&amp;ROUND(_xlfn.MAXIFS($O$6:$O$4005,$B$6:$B$4005,B2433,$N$6:$N$4005,"N"),0),$P$6:$P$4005,0)),"(tanpa lawan)"))</f>
        <v/>
      </c>
      <c r="R2433" s="44"/>
      <c r="S2433" s="9" t="str">
        <f aca="false">IF(N2433&lt;&gt;"Y","",IF(R2433&lt;&gt;"",R2433,IF(Q2433="(tanpa lawan)","Transfer antar rekening",IFERROR(INDEX(I_COA!$F$6:$F$265,MATCH(Q2433,I_COA!$A$6:$A$265,0)),"?"))))</f>
        <v/>
      </c>
    </row>
    <row r="2434" customFormat="false" ht="15" hidden="false" customHeight="false" outlineLevel="0" collapsed="false">
      <c r="A2434" s="37"/>
      <c r="B2434" s="44"/>
      <c r="C2434" s="44"/>
      <c r="D2434" s="44"/>
      <c r="E2434" s="44"/>
      <c r="F2434" s="44"/>
      <c r="G2434" s="42"/>
      <c r="H2434" s="42"/>
      <c r="I2434" s="44"/>
      <c r="J2434" s="11" t="str">
        <f aca="false">IF(D2434="","",N(G2434)-N(H2434))</f>
        <v/>
      </c>
      <c r="K2434" s="34" t="str">
        <f aca="false">IF(D2434="","",IFERROR(INDEX(I_COA!$C$6:$C$265,MATCH(D2434,I_COA!$A$6:$A$265,0)),"AKUN BARU"))</f>
        <v/>
      </c>
      <c r="L2434" s="34" t="str">
        <f aca="false">IF(K2434="LabaRugi",INDEX(I_COA!$D$6:$D$265,MATCH(D2434,I_COA!$A$6:$A$265,0)),"")</f>
        <v/>
      </c>
      <c r="M2434" s="34" t="str">
        <f aca="false">IF(K2434="Neraca",INDEX(I_COA!$E$6:$E$265,MATCH(D2434,I_COA!$A$6:$A$265,0)),"")</f>
        <v/>
      </c>
      <c r="N2434" s="34" t="str">
        <f aca="false">IF(D2434="","",IFERROR(INDEX(I_COA!$G$6:$G$265,MATCH(D2434,I_COA!$A$6:$A$265,0)),"N"))</f>
        <v/>
      </c>
      <c r="O2434" s="11" t="str">
        <f aca="false">IF(N2434="N",ABS(J2434),"")</f>
        <v/>
      </c>
      <c r="P2434" s="18" t="str">
        <f aca="false">IF(N2434="N",B2434&amp;"|"&amp;ROUND(O2434,0),"")</f>
        <v/>
      </c>
      <c r="Q2434" s="18" t="str">
        <f aca="false">IF(N2434&lt;&gt;"Y","",IFERROR(INDEX($D$6:$D$4005,MATCH(B2434&amp;"|"&amp;ROUND(_xlfn.MAXIFS($O$6:$O$4005,$B$6:$B$4005,B2434,$N$6:$N$4005,"N"),0),$P$6:$P$4005,0)),"(tanpa lawan)"))</f>
        <v/>
      </c>
      <c r="R2434" s="44"/>
      <c r="S2434" s="9" t="str">
        <f aca="false">IF(N2434&lt;&gt;"Y","",IF(R2434&lt;&gt;"",R2434,IF(Q2434="(tanpa lawan)","Transfer antar rekening",IFERROR(INDEX(I_COA!$F$6:$F$265,MATCH(Q2434,I_COA!$A$6:$A$265,0)),"?"))))</f>
        <v/>
      </c>
    </row>
    <row r="2435" customFormat="false" ht="15" hidden="false" customHeight="false" outlineLevel="0" collapsed="false">
      <c r="A2435" s="37"/>
      <c r="B2435" s="44"/>
      <c r="C2435" s="44"/>
      <c r="D2435" s="44"/>
      <c r="E2435" s="44"/>
      <c r="F2435" s="44"/>
      <c r="G2435" s="42"/>
      <c r="H2435" s="42"/>
      <c r="I2435" s="44"/>
      <c r="J2435" s="11" t="str">
        <f aca="false">IF(D2435="","",N(G2435)-N(H2435))</f>
        <v/>
      </c>
      <c r="K2435" s="34" t="str">
        <f aca="false">IF(D2435="","",IFERROR(INDEX(I_COA!$C$6:$C$265,MATCH(D2435,I_COA!$A$6:$A$265,0)),"AKUN BARU"))</f>
        <v/>
      </c>
      <c r="L2435" s="34" t="str">
        <f aca="false">IF(K2435="LabaRugi",INDEX(I_COA!$D$6:$D$265,MATCH(D2435,I_COA!$A$6:$A$265,0)),"")</f>
        <v/>
      </c>
      <c r="M2435" s="34" t="str">
        <f aca="false">IF(K2435="Neraca",INDEX(I_COA!$E$6:$E$265,MATCH(D2435,I_COA!$A$6:$A$265,0)),"")</f>
        <v/>
      </c>
      <c r="N2435" s="34" t="str">
        <f aca="false">IF(D2435="","",IFERROR(INDEX(I_COA!$G$6:$G$265,MATCH(D2435,I_COA!$A$6:$A$265,0)),"N"))</f>
        <v/>
      </c>
      <c r="O2435" s="11" t="str">
        <f aca="false">IF(N2435="N",ABS(J2435),"")</f>
        <v/>
      </c>
      <c r="P2435" s="18" t="str">
        <f aca="false">IF(N2435="N",B2435&amp;"|"&amp;ROUND(O2435,0),"")</f>
        <v/>
      </c>
      <c r="Q2435" s="18" t="str">
        <f aca="false">IF(N2435&lt;&gt;"Y","",IFERROR(INDEX($D$6:$D$4005,MATCH(B2435&amp;"|"&amp;ROUND(_xlfn.MAXIFS($O$6:$O$4005,$B$6:$B$4005,B2435,$N$6:$N$4005,"N"),0),$P$6:$P$4005,0)),"(tanpa lawan)"))</f>
        <v/>
      </c>
      <c r="R2435" s="44"/>
      <c r="S2435" s="9" t="str">
        <f aca="false">IF(N2435&lt;&gt;"Y","",IF(R2435&lt;&gt;"",R2435,IF(Q2435="(tanpa lawan)","Transfer antar rekening",IFERROR(INDEX(I_COA!$F$6:$F$265,MATCH(Q2435,I_COA!$A$6:$A$265,0)),"?"))))</f>
        <v/>
      </c>
    </row>
    <row r="2436" customFormat="false" ht="15" hidden="false" customHeight="false" outlineLevel="0" collapsed="false">
      <c r="A2436" s="37"/>
      <c r="B2436" s="44"/>
      <c r="C2436" s="44"/>
      <c r="D2436" s="44"/>
      <c r="E2436" s="44"/>
      <c r="F2436" s="44"/>
      <c r="G2436" s="42"/>
      <c r="H2436" s="42"/>
      <c r="I2436" s="44"/>
      <c r="J2436" s="11" t="str">
        <f aca="false">IF(D2436="","",N(G2436)-N(H2436))</f>
        <v/>
      </c>
      <c r="K2436" s="34" t="str">
        <f aca="false">IF(D2436="","",IFERROR(INDEX(I_COA!$C$6:$C$265,MATCH(D2436,I_COA!$A$6:$A$265,0)),"AKUN BARU"))</f>
        <v/>
      </c>
      <c r="L2436" s="34" t="str">
        <f aca="false">IF(K2436="LabaRugi",INDEX(I_COA!$D$6:$D$265,MATCH(D2436,I_COA!$A$6:$A$265,0)),"")</f>
        <v/>
      </c>
      <c r="M2436" s="34" t="str">
        <f aca="false">IF(K2436="Neraca",INDEX(I_COA!$E$6:$E$265,MATCH(D2436,I_COA!$A$6:$A$265,0)),"")</f>
        <v/>
      </c>
      <c r="N2436" s="34" t="str">
        <f aca="false">IF(D2436="","",IFERROR(INDEX(I_COA!$G$6:$G$265,MATCH(D2436,I_COA!$A$6:$A$265,0)),"N"))</f>
        <v/>
      </c>
      <c r="O2436" s="11" t="str">
        <f aca="false">IF(N2436="N",ABS(J2436),"")</f>
        <v/>
      </c>
      <c r="P2436" s="18" t="str">
        <f aca="false">IF(N2436="N",B2436&amp;"|"&amp;ROUND(O2436,0),"")</f>
        <v/>
      </c>
      <c r="Q2436" s="18" t="str">
        <f aca="false">IF(N2436&lt;&gt;"Y","",IFERROR(INDEX($D$6:$D$4005,MATCH(B2436&amp;"|"&amp;ROUND(_xlfn.MAXIFS($O$6:$O$4005,$B$6:$B$4005,B2436,$N$6:$N$4005,"N"),0),$P$6:$P$4005,0)),"(tanpa lawan)"))</f>
        <v/>
      </c>
      <c r="R2436" s="44"/>
      <c r="S2436" s="9" t="str">
        <f aca="false">IF(N2436&lt;&gt;"Y","",IF(R2436&lt;&gt;"",R2436,IF(Q2436="(tanpa lawan)","Transfer antar rekening",IFERROR(INDEX(I_COA!$F$6:$F$265,MATCH(Q2436,I_COA!$A$6:$A$265,0)),"?"))))</f>
        <v/>
      </c>
    </row>
    <row r="2437" customFormat="false" ht="15" hidden="false" customHeight="false" outlineLevel="0" collapsed="false">
      <c r="A2437" s="37"/>
      <c r="B2437" s="44"/>
      <c r="C2437" s="44"/>
      <c r="D2437" s="44"/>
      <c r="E2437" s="44"/>
      <c r="F2437" s="44"/>
      <c r="G2437" s="42"/>
      <c r="H2437" s="42"/>
      <c r="I2437" s="44"/>
      <c r="J2437" s="11" t="str">
        <f aca="false">IF(D2437="","",N(G2437)-N(H2437))</f>
        <v/>
      </c>
      <c r="K2437" s="34" t="str">
        <f aca="false">IF(D2437="","",IFERROR(INDEX(I_COA!$C$6:$C$265,MATCH(D2437,I_COA!$A$6:$A$265,0)),"AKUN BARU"))</f>
        <v/>
      </c>
      <c r="L2437" s="34" t="str">
        <f aca="false">IF(K2437="LabaRugi",INDEX(I_COA!$D$6:$D$265,MATCH(D2437,I_COA!$A$6:$A$265,0)),"")</f>
        <v/>
      </c>
      <c r="M2437" s="34" t="str">
        <f aca="false">IF(K2437="Neraca",INDEX(I_COA!$E$6:$E$265,MATCH(D2437,I_COA!$A$6:$A$265,0)),"")</f>
        <v/>
      </c>
      <c r="N2437" s="34" t="str">
        <f aca="false">IF(D2437="","",IFERROR(INDEX(I_COA!$G$6:$G$265,MATCH(D2437,I_COA!$A$6:$A$265,0)),"N"))</f>
        <v/>
      </c>
      <c r="O2437" s="11" t="str">
        <f aca="false">IF(N2437="N",ABS(J2437),"")</f>
        <v/>
      </c>
      <c r="P2437" s="18" t="str">
        <f aca="false">IF(N2437="N",B2437&amp;"|"&amp;ROUND(O2437,0),"")</f>
        <v/>
      </c>
      <c r="Q2437" s="18" t="str">
        <f aca="false">IF(N2437&lt;&gt;"Y","",IFERROR(INDEX($D$6:$D$4005,MATCH(B2437&amp;"|"&amp;ROUND(_xlfn.MAXIFS($O$6:$O$4005,$B$6:$B$4005,B2437,$N$6:$N$4005,"N"),0),$P$6:$P$4005,0)),"(tanpa lawan)"))</f>
        <v/>
      </c>
      <c r="R2437" s="44"/>
      <c r="S2437" s="9" t="str">
        <f aca="false">IF(N2437&lt;&gt;"Y","",IF(R2437&lt;&gt;"",R2437,IF(Q2437="(tanpa lawan)","Transfer antar rekening",IFERROR(INDEX(I_COA!$F$6:$F$265,MATCH(Q2437,I_COA!$A$6:$A$265,0)),"?"))))</f>
        <v/>
      </c>
    </row>
    <row r="2438" customFormat="false" ht="15" hidden="false" customHeight="false" outlineLevel="0" collapsed="false">
      <c r="A2438" s="37"/>
      <c r="B2438" s="44"/>
      <c r="C2438" s="44"/>
      <c r="D2438" s="44"/>
      <c r="E2438" s="44"/>
      <c r="F2438" s="44"/>
      <c r="G2438" s="42"/>
      <c r="H2438" s="42"/>
      <c r="I2438" s="44"/>
      <c r="J2438" s="11" t="str">
        <f aca="false">IF(D2438="","",N(G2438)-N(H2438))</f>
        <v/>
      </c>
      <c r="K2438" s="34" t="str">
        <f aca="false">IF(D2438="","",IFERROR(INDEX(I_COA!$C$6:$C$265,MATCH(D2438,I_COA!$A$6:$A$265,0)),"AKUN BARU"))</f>
        <v/>
      </c>
      <c r="L2438" s="34" t="str">
        <f aca="false">IF(K2438="LabaRugi",INDEX(I_COA!$D$6:$D$265,MATCH(D2438,I_COA!$A$6:$A$265,0)),"")</f>
        <v/>
      </c>
      <c r="M2438" s="34" t="str">
        <f aca="false">IF(K2438="Neraca",INDEX(I_COA!$E$6:$E$265,MATCH(D2438,I_COA!$A$6:$A$265,0)),"")</f>
        <v/>
      </c>
      <c r="N2438" s="34" t="str">
        <f aca="false">IF(D2438="","",IFERROR(INDEX(I_COA!$G$6:$G$265,MATCH(D2438,I_COA!$A$6:$A$265,0)),"N"))</f>
        <v/>
      </c>
      <c r="O2438" s="11" t="str">
        <f aca="false">IF(N2438="N",ABS(J2438),"")</f>
        <v/>
      </c>
      <c r="P2438" s="18" t="str">
        <f aca="false">IF(N2438="N",B2438&amp;"|"&amp;ROUND(O2438,0),"")</f>
        <v/>
      </c>
      <c r="Q2438" s="18" t="str">
        <f aca="false">IF(N2438&lt;&gt;"Y","",IFERROR(INDEX($D$6:$D$4005,MATCH(B2438&amp;"|"&amp;ROUND(_xlfn.MAXIFS($O$6:$O$4005,$B$6:$B$4005,B2438,$N$6:$N$4005,"N"),0),$P$6:$P$4005,0)),"(tanpa lawan)"))</f>
        <v/>
      </c>
      <c r="R2438" s="44"/>
      <c r="S2438" s="9" t="str">
        <f aca="false">IF(N2438&lt;&gt;"Y","",IF(R2438&lt;&gt;"",R2438,IF(Q2438="(tanpa lawan)","Transfer antar rekening",IFERROR(INDEX(I_COA!$F$6:$F$265,MATCH(Q2438,I_COA!$A$6:$A$265,0)),"?"))))</f>
        <v/>
      </c>
    </row>
    <row r="2439" customFormat="false" ht="15" hidden="false" customHeight="false" outlineLevel="0" collapsed="false">
      <c r="A2439" s="37"/>
      <c r="B2439" s="44"/>
      <c r="C2439" s="44"/>
      <c r="D2439" s="44"/>
      <c r="E2439" s="44"/>
      <c r="F2439" s="44"/>
      <c r="G2439" s="42"/>
      <c r="H2439" s="42"/>
      <c r="I2439" s="44"/>
      <c r="J2439" s="11" t="str">
        <f aca="false">IF(D2439="","",N(G2439)-N(H2439))</f>
        <v/>
      </c>
      <c r="K2439" s="34" t="str">
        <f aca="false">IF(D2439="","",IFERROR(INDEX(I_COA!$C$6:$C$265,MATCH(D2439,I_COA!$A$6:$A$265,0)),"AKUN BARU"))</f>
        <v/>
      </c>
      <c r="L2439" s="34" t="str">
        <f aca="false">IF(K2439="LabaRugi",INDEX(I_COA!$D$6:$D$265,MATCH(D2439,I_COA!$A$6:$A$265,0)),"")</f>
        <v/>
      </c>
      <c r="M2439" s="34" t="str">
        <f aca="false">IF(K2439="Neraca",INDEX(I_COA!$E$6:$E$265,MATCH(D2439,I_COA!$A$6:$A$265,0)),"")</f>
        <v/>
      </c>
      <c r="N2439" s="34" t="str">
        <f aca="false">IF(D2439="","",IFERROR(INDEX(I_COA!$G$6:$G$265,MATCH(D2439,I_COA!$A$6:$A$265,0)),"N"))</f>
        <v/>
      </c>
      <c r="O2439" s="11" t="str">
        <f aca="false">IF(N2439="N",ABS(J2439),"")</f>
        <v/>
      </c>
      <c r="P2439" s="18" t="str">
        <f aca="false">IF(N2439="N",B2439&amp;"|"&amp;ROUND(O2439,0),"")</f>
        <v/>
      </c>
      <c r="Q2439" s="18" t="str">
        <f aca="false">IF(N2439&lt;&gt;"Y","",IFERROR(INDEX($D$6:$D$4005,MATCH(B2439&amp;"|"&amp;ROUND(_xlfn.MAXIFS($O$6:$O$4005,$B$6:$B$4005,B2439,$N$6:$N$4005,"N"),0),$P$6:$P$4005,0)),"(tanpa lawan)"))</f>
        <v/>
      </c>
      <c r="R2439" s="44"/>
      <c r="S2439" s="9" t="str">
        <f aca="false">IF(N2439&lt;&gt;"Y","",IF(R2439&lt;&gt;"",R2439,IF(Q2439="(tanpa lawan)","Transfer antar rekening",IFERROR(INDEX(I_COA!$F$6:$F$265,MATCH(Q2439,I_COA!$A$6:$A$265,0)),"?"))))</f>
        <v/>
      </c>
    </row>
    <row r="2440" customFormat="false" ht="15" hidden="false" customHeight="false" outlineLevel="0" collapsed="false">
      <c r="A2440" s="37"/>
      <c r="B2440" s="44"/>
      <c r="C2440" s="44"/>
      <c r="D2440" s="44"/>
      <c r="E2440" s="44"/>
      <c r="F2440" s="44"/>
      <c r="G2440" s="42"/>
      <c r="H2440" s="42"/>
      <c r="I2440" s="44"/>
      <c r="J2440" s="11" t="str">
        <f aca="false">IF(D2440="","",N(G2440)-N(H2440))</f>
        <v/>
      </c>
      <c r="K2440" s="34" t="str">
        <f aca="false">IF(D2440="","",IFERROR(INDEX(I_COA!$C$6:$C$265,MATCH(D2440,I_COA!$A$6:$A$265,0)),"AKUN BARU"))</f>
        <v/>
      </c>
      <c r="L2440" s="34" t="str">
        <f aca="false">IF(K2440="LabaRugi",INDEX(I_COA!$D$6:$D$265,MATCH(D2440,I_COA!$A$6:$A$265,0)),"")</f>
        <v/>
      </c>
      <c r="M2440" s="34" t="str">
        <f aca="false">IF(K2440="Neraca",INDEX(I_COA!$E$6:$E$265,MATCH(D2440,I_COA!$A$6:$A$265,0)),"")</f>
        <v/>
      </c>
      <c r="N2440" s="34" t="str">
        <f aca="false">IF(D2440="","",IFERROR(INDEX(I_COA!$G$6:$G$265,MATCH(D2440,I_COA!$A$6:$A$265,0)),"N"))</f>
        <v/>
      </c>
      <c r="O2440" s="11" t="str">
        <f aca="false">IF(N2440="N",ABS(J2440),"")</f>
        <v/>
      </c>
      <c r="P2440" s="18" t="str">
        <f aca="false">IF(N2440="N",B2440&amp;"|"&amp;ROUND(O2440,0),"")</f>
        <v/>
      </c>
      <c r="Q2440" s="18" t="str">
        <f aca="false">IF(N2440&lt;&gt;"Y","",IFERROR(INDEX($D$6:$D$4005,MATCH(B2440&amp;"|"&amp;ROUND(_xlfn.MAXIFS($O$6:$O$4005,$B$6:$B$4005,B2440,$N$6:$N$4005,"N"),0),$P$6:$P$4005,0)),"(tanpa lawan)"))</f>
        <v/>
      </c>
      <c r="R2440" s="44"/>
      <c r="S2440" s="9" t="str">
        <f aca="false">IF(N2440&lt;&gt;"Y","",IF(R2440&lt;&gt;"",R2440,IF(Q2440="(tanpa lawan)","Transfer antar rekening",IFERROR(INDEX(I_COA!$F$6:$F$265,MATCH(Q2440,I_COA!$A$6:$A$265,0)),"?"))))</f>
        <v/>
      </c>
    </row>
    <row r="2441" customFormat="false" ht="15" hidden="false" customHeight="false" outlineLevel="0" collapsed="false">
      <c r="A2441" s="37"/>
      <c r="B2441" s="44"/>
      <c r="C2441" s="44"/>
      <c r="D2441" s="44"/>
      <c r="E2441" s="44"/>
      <c r="F2441" s="44"/>
      <c r="G2441" s="42"/>
      <c r="H2441" s="42"/>
      <c r="I2441" s="44"/>
      <c r="J2441" s="11" t="str">
        <f aca="false">IF(D2441="","",N(G2441)-N(H2441))</f>
        <v/>
      </c>
      <c r="K2441" s="34" t="str">
        <f aca="false">IF(D2441="","",IFERROR(INDEX(I_COA!$C$6:$C$265,MATCH(D2441,I_COA!$A$6:$A$265,0)),"AKUN BARU"))</f>
        <v/>
      </c>
      <c r="L2441" s="34" t="str">
        <f aca="false">IF(K2441="LabaRugi",INDEX(I_COA!$D$6:$D$265,MATCH(D2441,I_COA!$A$6:$A$265,0)),"")</f>
        <v/>
      </c>
      <c r="M2441" s="34" t="str">
        <f aca="false">IF(K2441="Neraca",INDEX(I_COA!$E$6:$E$265,MATCH(D2441,I_COA!$A$6:$A$265,0)),"")</f>
        <v/>
      </c>
      <c r="N2441" s="34" t="str">
        <f aca="false">IF(D2441="","",IFERROR(INDEX(I_COA!$G$6:$G$265,MATCH(D2441,I_COA!$A$6:$A$265,0)),"N"))</f>
        <v/>
      </c>
      <c r="O2441" s="11" t="str">
        <f aca="false">IF(N2441="N",ABS(J2441),"")</f>
        <v/>
      </c>
      <c r="P2441" s="18" t="str">
        <f aca="false">IF(N2441="N",B2441&amp;"|"&amp;ROUND(O2441,0),"")</f>
        <v/>
      </c>
      <c r="Q2441" s="18" t="str">
        <f aca="false">IF(N2441&lt;&gt;"Y","",IFERROR(INDEX($D$6:$D$4005,MATCH(B2441&amp;"|"&amp;ROUND(_xlfn.MAXIFS($O$6:$O$4005,$B$6:$B$4005,B2441,$N$6:$N$4005,"N"),0),$P$6:$P$4005,0)),"(tanpa lawan)"))</f>
        <v/>
      </c>
      <c r="R2441" s="44"/>
      <c r="S2441" s="9" t="str">
        <f aca="false">IF(N2441&lt;&gt;"Y","",IF(R2441&lt;&gt;"",R2441,IF(Q2441="(tanpa lawan)","Transfer antar rekening",IFERROR(INDEX(I_COA!$F$6:$F$265,MATCH(Q2441,I_COA!$A$6:$A$265,0)),"?"))))</f>
        <v/>
      </c>
    </row>
    <row r="2442" customFormat="false" ht="15" hidden="false" customHeight="false" outlineLevel="0" collapsed="false">
      <c r="A2442" s="37"/>
      <c r="B2442" s="44"/>
      <c r="C2442" s="44"/>
      <c r="D2442" s="44"/>
      <c r="E2442" s="44"/>
      <c r="F2442" s="44"/>
      <c r="G2442" s="42"/>
      <c r="H2442" s="42"/>
      <c r="I2442" s="44"/>
      <c r="J2442" s="11" t="str">
        <f aca="false">IF(D2442="","",N(G2442)-N(H2442))</f>
        <v/>
      </c>
      <c r="K2442" s="34" t="str">
        <f aca="false">IF(D2442="","",IFERROR(INDEX(I_COA!$C$6:$C$265,MATCH(D2442,I_COA!$A$6:$A$265,0)),"AKUN BARU"))</f>
        <v/>
      </c>
      <c r="L2442" s="34" t="str">
        <f aca="false">IF(K2442="LabaRugi",INDEX(I_COA!$D$6:$D$265,MATCH(D2442,I_COA!$A$6:$A$265,0)),"")</f>
        <v/>
      </c>
      <c r="M2442" s="34" t="str">
        <f aca="false">IF(K2442="Neraca",INDEX(I_COA!$E$6:$E$265,MATCH(D2442,I_COA!$A$6:$A$265,0)),"")</f>
        <v/>
      </c>
      <c r="N2442" s="34" t="str">
        <f aca="false">IF(D2442="","",IFERROR(INDEX(I_COA!$G$6:$G$265,MATCH(D2442,I_COA!$A$6:$A$265,0)),"N"))</f>
        <v/>
      </c>
      <c r="O2442" s="11" t="str">
        <f aca="false">IF(N2442="N",ABS(J2442),"")</f>
        <v/>
      </c>
      <c r="P2442" s="18" t="str">
        <f aca="false">IF(N2442="N",B2442&amp;"|"&amp;ROUND(O2442,0),"")</f>
        <v/>
      </c>
      <c r="Q2442" s="18" t="str">
        <f aca="false">IF(N2442&lt;&gt;"Y","",IFERROR(INDEX($D$6:$D$4005,MATCH(B2442&amp;"|"&amp;ROUND(_xlfn.MAXIFS($O$6:$O$4005,$B$6:$B$4005,B2442,$N$6:$N$4005,"N"),0),$P$6:$P$4005,0)),"(tanpa lawan)"))</f>
        <v/>
      </c>
      <c r="R2442" s="44"/>
      <c r="S2442" s="9" t="str">
        <f aca="false">IF(N2442&lt;&gt;"Y","",IF(R2442&lt;&gt;"",R2442,IF(Q2442="(tanpa lawan)","Transfer antar rekening",IFERROR(INDEX(I_COA!$F$6:$F$265,MATCH(Q2442,I_COA!$A$6:$A$265,0)),"?"))))</f>
        <v/>
      </c>
    </row>
    <row r="2443" customFormat="false" ht="15" hidden="false" customHeight="false" outlineLevel="0" collapsed="false">
      <c r="A2443" s="37"/>
      <c r="B2443" s="44"/>
      <c r="C2443" s="44"/>
      <c r="D2443" s="44"/>
      <c r="E2443" s="44"/>
      <c r="F2443" s="44"/>
      <c r="G2443" s="42"/>
      <c r="H2443" s="42"/>
      <c r="I2443" s="44"/>
      <c r="J2443" s="11" t="str">
        <f aca="false">IF(D2443="","",N(G2443)-N(H2443))</f>
        <v/>
      </c>
      <c r="K2443" s="34" t="str">
        <f aca="false">IF(D2443="","",IFERROR(INDEX(I_COA!$C$6:$C$265,MATCH(D2443,I_COA!$A$6:$A$265,0)),"AKUN BARU"))</f>
        <v/>
      </c>
      <c r="L2443" s="34" t="str">
        <f aca="false">IF(K2443="LabaRugi",INDEX(I_COA!$D$6:$D$265,MATCH(D2443,I_COA!$A$6:$A$265,0)),"")</f>
        <v/>
      </c>
      <c r="M2443" s="34" t="str">
        <f aca="false">IF(K2443="Neraca",INDEX(I_COA!$E$6:$E$265,MATCH(D2443,I_COA!$A$6:$A$265,0)),"")</f>
        <v/>
      </c>
      <c r="N2443" s="34" t="str">
        <f aca="false">IF(D2443="","",IFERROR(INDEX(I_COA!$G$6:$G$265,MATCH(D2443,I_COA!$A$6:$A$265,0)),"N"))</f>
        <v/>
      </c>
      <c r="O2443" s="11" t="str">
        <f aca="false">IF(N2443="N",ABS(J2443),"")</f>
        <v/>
      </c>
      <c r="P2443" s="18" t="str">
        <f aca="false">IF(N2443="N",B2443&amp;"|"&amp;ROUND(O2443,0),"")</f>
        <v/>
      </c>
      <c r="Q2443" s="18" t="str">
        <f aca="false">IF(N2443&lt;&gt;"Y","",IFERROR(INDEX($D$6:$D$4005,MATCH(B2443&amp;"|"&amp;ROUND(_xlfn.MAXIFS($O$6:$O$4005,$B$6:$B$4005,B2443,$N$6:$N$4005,"N"),0),$P$6:$P$4005,0)),"(tanpa lawan)"))</f>
        <v/>
      </c>
      <c r="R2443" s="44"/>
      <c r="S2443" s="9" t="str">
        <f aca="false">IF(N2443&lt;&gt;"Y","",IF(R2443&lt;&gt;"",R2443,IF(Q2443="(tanpa lawan)","Transfer antar rekening",IFERROR(INDEX(I_COA!$F$6:$F$265,MATCH(Q2443,I_COA!$A$6:$A$265,0)),"?"))))</f>
        <v/>
      </c>
    </row>
    <row r="2444" customFormat="false" ht="15" hidden="false" customHeight="false" outlineLevel="0" collapsed="false">
      <c r="A2444" s="37"/>
      <c r="B2444" s="44"/>
      <c r="C2444" s="44"/>
      <c r="D2444" s="44"/>
      <c r="E2444" s="44"/>
      <c r="F2444" s="44"/>
      <c r="G2444" s="42"/>
      <c r="H2444" s="42"/>
      <c r="I2444" s="44"/>
      <c r="J2444" s="11" t="str">
        <f aca="false">IF(D2444="","",N(G2444)-N(H2444))</f>
        <v/>
      </c>
      <c r="K2444" s="34" t="str">
        <f aca="false">IF(D2444="","",IFERROR(INDEX(I_COA!$C$6:$C$265,MATCH(D2444,I_COA!$A$6:$A$265,0)),"AKUN BARU"))</f>
        <v/>
      </c>
      <c r="L2444" s="34" t="str">
        <f aca="false">IF(K2444="LabaRugi",INDEX(I_COA!$D$6:$D$265,MATCH(D2444,I_COA!$A$6:$A$265,0)),"")</f>
        <v/>
      </c>
      <c r="M2444" s="34" t="str">
        <f aca="false">IF(K2444="Neraca",INDEX(I_COA!$E$6:$E$265,MATCH(D2444,I_COA!$A$6:$A$265,0)),"")</f>
        <v/>
      </c>
      <c r="N2444" s="34" t="str">
        <f aca="false">IF(D2444="","",IFERROR(INDEX(I_COA!$G$6:$G$265,MATCH(D2444,I_COA!$A$6:$A$265,0)),"N"))</f>
        <v/>
      </c>
      <c r="O2444" s="11" t="str">
        <f aca="false">IF(N2444="N",ABS(J2444),"")</f>
        <v/>
      </c>
      <c r="P2444" s="18" t="str">
        <f aca="false">IF(N2444="N",B2444&amp;"|"&amp;ROUND(O2444,0),"")</f>
        <v/>
      </c>
      <c r="Q2444" s="18" t="str">
        <f aca="false">IF(N2444&lt;&gt;"Y","",IFERROR(INDEX($D$6:$D$4005,MATCH(B2444&amp;"|"&amp;ROUND(_xlfn.MAXIFS($O$6:$O$4005,$B$6:$B$4005,B2444,$N$6:$N$4005,"N"),0),$P$6:$P$4005,0)),"(tanpa lawan)"))</f>
        <v/>
      </c>
      <c r="R2444" s="44"/>
      <c r="S2444" s="9" t="str">
        <f aca="false">IF(N2444&lt;&gt;"Y","",IF(R2444&lt;&gt;"",R2444,IF(Q2444="(tanpa lawan)","Transfer antar rekening",IFERROR(INDEX(I_COA!$F$6:$F$265,MATCH(Q2444,I_COA!$A$6:$A$265,0)),"?"))))</f>
        <v/>
      </c>
    </row>
    <row r="2445" customFormat="false" ht="15" hidden="false" customHeight="false" outlineLevel="0" collapsed="false">
      <c r="A2445" s="37"/>
      <c r="B2445" s="44"/>
      <c r="C2445" s="44"/>
      <c r="D2445" s="44"/>
      <c r="E2445" s="44"/>
      <c r="F2445" s="44"/>
      <c r="G2445" s="42"/>
      <c r="H2445" s="42"/>
      <c r="I2445" s="44"/>
      <c r="J2445" s="11" t="str">
        <f aca="false">IF(D2445="","",N(G2445)-N(H2445))</f>
        <v/>
      </c>
      <c r="K2445" s="34" t="str">
        <f aca="false">IF(D2445="","",IFERROR(INDEX(I_COA!$C$6:$C$265,MATCH(D2445,I_COA!$A$6:$A$265,0)),"AKUN BARU"))</f>
        <v/>
      </c>
      <c r="L2445" s="34" t="str">
        <f aca="false">IF(K2445="LabaRugi",INDEX(I_COA!$D$6:$D$265,MATCH(D2445,I_COA!$A$6:$A$265,0)),"")</f>
        <v/>
      </c>
      <c r="M2445" s="34" t="str">
        <f aca="false">IF(K2445="Neraca",INDEX(I_COA!$E$6:$E$265,MATCH(D2445,I_COA!$A$6:$A$265,0)),"")</f>
        <v/>
      </c>
      <c r="N2445" s="34" t="str">
        <f aca="false">IF(D2445="","",IFERROR(INDEX(I_COA!$G$6:$G$265,MATCH(D2445,I_COA!$A$6:$A$265,0)),"N"))</f>
        <v/>
      </c>
      <c r="O2445" s="11" t="str">
        <f aca="false">IF(N2445="N",ABS(J2445),"")</f>
        <v/>
      </c>
      <c r="P2445" s="18" t="str">
        <f aca="false">IF(N2445="N",B2445&amp;"|"&amp;ROUND(O2445,0),"")</f>
        <v/>
      </c>
      <c r="Q2445" s="18" t="str">
        <f aca="false">IF(N2445&lt;&gt;"Y","",IFERROR(INDEX($D$6:$D$4005,MATCH(B2445&amp;"|"&amp;ROUND(_xlfn.MAXIFS($O$6:$O$4005,$B$6:$B$4005,B2445,$N$6:$N$4005,"N"),0),$P$6:$P$4005,0)),"(tanpa lawan)"))</f>
        <v/>
      </c>
      <c r="R2445" s="44"/>
      <c r="S2445" s="9" t="str">
        <f aca="false">IF(N2445&lt;&gt;"Y","",IF(R2445&lt;&gt;"",R2445,IF(Q2445="(tanpa lawan)","Transfer antar rekening",IFERROR(INDEX(I_COA!$F$6:$F$265,MATCH(Q2445,I_COA!$A$6:$A$265,0)),"?"))))</f>
        <v/>
      </c>
    </row>
    <row r="2446" customFormat="false" ht="15" hidden="false" customHeight="false" outlineLevel="0" collapsed="false">
      <c r="A2446" s="37"/>
      <c r="B2446" s="44"/>
      <c r="C2446" s="44"/>
      <c r="D2446" s="44"/>
      <c r="E2446" s="44"/>
      <c r="F2446" s="44"/>
      <c r="G2446" s="42"/>
      <c r="H2446" s="42"/>
      <c r="I2446" s="44"/>
      <c r="J2446" s="11" t="str">
        <f aca="false">IF(D2446="","",N(G2446)-N(H2446))</f>
        <v/>
      </c>
      <c r="K2446" s="34" t="str">
        <f aca="false">IF(D2446="","",IFERROR(INDEX(I_COA!$C$6:$C$265,MATCH(D2446,I_COA!$A$6:$A$265,0)),"AKUN BARU"))</f>
        <v/>
      </c>
      <c r="L2446" s="34" t="str">
        <f aca="false">IF(K2446="LabaRugi",INDEX(I_COA!$D$6:$D$265,MATCH(D2446,I_COA!$A$6:$A$265,0)),"")</f>
        <v/>
      </c>
      <c r="M2446" s="34" t="str">
        <f aca="false">IF(K2446="Neraca",INDEX(I_COA!$E$6:$E$265,MATCH(D2446,I_COA!$A$6:$A$265,0)),"")</f>
        <v/>
      </c>
      <c r="N2446" s="34" t="str">
        <f aca="false">IF(D2446="","",IFERROR(INDEX(I_COA!$G$6:$G$265,MATCH(D2446,I_COA!$A$6:$A$265,0)),"N"))</f>
        <v/>
      </c>
      <c r="O2446" s="11" t="str">
        <f aca="false">IF(N2446="N",ABS(J2446),"")</f>
        <v/>
      </c>
      <c r="P2446" s="18" t="str">
        <f aca="false">IF(N2446="N",B2446&amp;"|"&amp;ROUND(O2446,0),"")</f>
        <v/>
      </c>
      <c r="Q2446" s="18" t="str">
        <f aca="false">IF(N2446&lt;&gt;"Y","",IFERROR(INDEX($D$6:$D$4005,MATCH(B2446&amp;"|"&amp;ROUND(_xlfn.MAXIFS($O$6:$O$4005,$B$6:$B$4005,B2446,$N$6:$N$4005,"N"),0),$P$6:$P$4005,0)),"(tanpa lawan)"))</f>
        <v/>
      </c>
      <c r="R2446" s="44"/>
      <c r="S2446" s="9" t="str">
        <f aca="false">IF(N2446&lt;&gt;"Y","",IF(R2446&lt;&gt;"",R2446,IF(Q2446="(tanpa lawan)","Transfer antar rekening",IFERROR(INDEX(I_COA!$F$6:$F$265,MATCH(Q2446,I_COA!$A$6:$A$265,0)),"?"))))</f>
        <v/>
      </c>
    </row>
    <row r="2447" customFormat="false" ht="15" hidden="false" customHeight="false" outlineLevel="0" collapsed="false">
      <c r="A2447" s="37"/>
      <c r="B2447" s="44"/>
      <c r="C2447" s="44"/>
      <c r="D2447" s="44"/>
      <c r="E2447" s="44"/>
      <c r="F2447" s="44"/>
      <c r="G2447" s="42"/>
      <c r="H2447" s="42"/>
      <c r="I2447" s="44"/>
      <c r="J2447" s="11" t="str">
        <f aca="false">IF(D2447="","",N(G2447)-N(H2447))</f>
        <v/>
      </c>
      <c r="K2447" s="34" t="str">
        <f aca="false">IF(D2447="","",IFERROR(INDEX(I_COA!$C$6:$C$265,MATCH(D2447,I_COA!$A$6:$A$265,0)),"AKUN BARU"))</f>
        <v/>
      </c>
      <c r="L2447" s="34" t="str">
        <f aca="false">IF(K2447="LabaRugi",INDEX(I_COA!$D$6:$D$265,MATCH(D2447,I_COA!$A$6:$A$265,0)),"")</f>
        <v/>
      </c>
      <c r="M2447" s="34" t="str">
        <f aca="false">IF(K2447="Neraca",INDEX(I_COA!$E$6:$E$265,MATCH(D2447,I_COA!$A$6:$A$265,0)),"")</f>
        <v/>
      </c>
      <c r="N2447" s="34" t="str">
        <f aca="false">IF(D2447="","",IFERROR(INDEX(I_COA!$G$6:$G$265,MATCH(D2447,I_COA!$A$6:$A$265,0)),"N"))</f>
        <v/>
      </c>
      <c r="O2447" s="11" t="str">
        <f aca="false">IF(N2447="N",ABS(J2447),"")</f>
        <v/>
      </c>
      <c r="P2447" s="18" t="str">
        <f aca="false">IF(N2447="N",B2447&amp;"|"&amp;ROUND(O2447,0),"")</f>
        <v/>
      </c>
      <c r="Q2447" s="18" t="str">
        <f aca="false">IF(N2447&lt;&gt;"Y","",IFERROR(INDEX($D$6:$D$4005,MATCH(B2447&amp;"|"&amp;ROUND(_xlfn.MAXIFS($O$6:$O$4005,$B$6:$B$4005,B2447,$N$6:$N$4005,"N"),0),$P$6:$P$4005,0)),"(tanpa lawan)"))</f>
        <v/>
      </c>
      <c r="R2447" s="44"/>
      <c r="S2447" s="9" t="str">
        <f aca="false">IF(N2447&lt;&gt;"Y","",IF(R2447&lt;&gt;"",R2447,IF(Q2447="(tanpa lawan)","Transfer antar rekening",IFERROR(INDEX(I_COA!$F$6:$F$265,MATCH(Q2447,I_COA!$A$6:$A$265,0)),"?"))))</f>
        <v/>
      </c>
    </row>
    <row r="2448" customFormat="false" ht="15" hidden="false" customHeight="false" outlineLevel="0" collapsed="false">
      <c r="A2448" s="37"/>
      <c r="B2448" s="44"/>
      <c r="C2448" s="44"/>
      <c r="D2448" s="44"/>
      <c r="E2448" s="44"/>
      <c r="F2448" s="44"/>
      <c r="G2448" s="42"/>
      <c r="H2448" s="42"/>
      <c r="I2448" s="44"/>
      <c r="J2448" s="11" t="str">
        <f aca="false">IF(D2448="","",N(G2448)-N(H2448))</f>
        <v/>
      </c>
      <c r="K2448" s="34" t="str">
        <f aca="false">IF(D2448="","",IFERROR(INDEX(I_COA!$C$6:$C$265,MATCH(D2448,I_COA!$A$6:$A$265,0)),"AKUN BARU"))</f>
        <v/>
      </c>
      <c r="L2448" s="34" t="str">
        <f aca="false">IF(K2448="LabaRugi",INDEX(I_COA!$D$6:$D$265,MATCH(D2448,I_COA!$A$6:$A$265,0)),"")</f>
        <v/>
      </c>
      <c r="M2448" s="34" t="str">
        <f aca="false">IF(K2448="Neraca",INDEX(I_COA!$E$6:$E$265,MATCH(D2448,I_COA!$A$6:$A$265,0)),"")</f>
        <v/>
      </c>
      <c r="N2448" s="34" t="str">
        <f aca="false">IF(D2448="","",IFERROR(INDEX(I_COA!$G$6:$G$265,MATCH(D2448,I_COA!$A$6:$A$265,0)),"N"))</f>
        <v/>
      </c>
      <c r="O2448" s="11" t="str">
        <f aca="false">IF(N2448="N",ABS(J2448),"")</f>
        <v/>
      </c>
      <c r="P2448" s="18" t="str">
        <f aca="false">IF(N2448="N",B2448&amp;"|"&amp;ROUND(O2448,0),"")</f>
        <v/>
      </c>
      <c r="Q2448" s="18" t="str">
        <f aca="false">IF(N2448&lt;&gt;"Y","",IFERROR(INDEX($D$6:$D$4005,MATCH(B2448&amp;"|"&amp;ROUND(_xlfn.MAXIFS($O$6:$O$4005,$B$6:$B$4005,B2448,$N$6:$N$4005,"N"),0),$P$6:$P$4005,0)),"(tanpa lawan)"))</f>
        <v/>
      </c>
      <c r="R2448" s="44"/>
      <c r="S2448" s="9" t="str">
        <f aca="false">IF(N2448&lt;&gt;"Y","",IF(R2448&lt;&gt;"",R2448,IF(Q2448="(tanpa lawan)","Transfer antar rekening",IFERROR(INDEX(I_COA!$F$6:$F$265,MATCH(Q2448,I_COA!$A$6:$A$265,0)),"?"))))</f>
        <v/>
      </c>
    </row>
    <row r="2449" customFormat="false" ht="15" hidden="false" customHeight="false" outlineLevel="0" collapsed="false">
      <c r="A2449" s="37"/>
      <c r="B2449" s="44"/>
      <c r="C2449" s="44"/>
      <c r="D2449" s="44"/>
      <c r="E2449" s="44"/>
      <c r="F2449" s="44"/>
      <c r="G2449" s="42"/>
      <c r="H2449" s="42"/>
      <c r="I2449" s="44"/>
      <c r="J2449" s="11" t="str">
        <f aca="false">IF(D2449="","",N(G2449)-N(H2449))</f>
        <v/>
      </c>
      <c r="K2449" s="34" t="str">
        <f aca="false">IF(D2449="","",IFERROR(INDEX(I_COA!$C$6:$C$265,MATCH(D2449,I_COA!$A$6:$A$265,0)),"AKUN BARU"))</f>
        <v/>
      </c>
      <c r="L2449" s="34" t="str">
        <f aca="false">IF(K2449="LabaRugi",INDEX(I_COA!$D$6:$D$265,MATCH(D2449,I_COA!$A$6:$A$265,0)),"")</f>
        <v/>
      </c>
      <c r="M2449" s="34" t="str">
        <f aca="false">IF(K2449="Neraca",INDEX(I_COA!$E$6:$E$265,MATCH(D2449,I_COA!$A$6:$A$265,0)),"")</f>
        <v/>
      </c>
      <c r="N2449" s="34" t="str">
        <f aca="false">IF(D2449="","",IFERROR(INDEX(I_COA!$G$6:$G$265,MATCH(D2449,I_COA!$A$6:$A$265,0)),"N"))</f>
        <v/>
      </c>
      <c r="O2449" s="11" t="str">
        <f aca="false">IF(N2449="N",ABS(J2449),"")</f>
        <v/>
      </c>
      <c r="P2449" s="18" t="str">
        <f aca="false">IF(N2449="N",B2449&amp;"|"&amp;ROUND(O2449,0),"")</f>
        <v/>
      </c>
      <c r="Q2449" s="18" t="str">
        <f aca="false">IF(N2449&lt;&gt;"Y","",IFERROR(INDEX($D$6:$D$4005,MATCH(B2449&amp;"|"&amp;ROUND(_xlfn.MAXIFS($O$6:$O$4005,$B$6:$B$4005,B2449,$N$6:$N$4005,"N"),0),$P$6:$P$4005,0)),"(tanpa lawan)"))</f>
        <v/>
      </c>
      <c r="R2449" s="44"/>
      <c r="S2449" s="9" t="str">
        <f aca="false">IF(N2449&lt;&gt;"Y","",IF(R2449&lt;&gt;"",R2449,IF(Q2449="(tanpa lawan)","Transfer antar rekening",IFERROR(INDEX(I_COA!$F$6:$F$265,MATCH(Q2449,I_COA!$A$6:$A$265,0)),"?"))))</f>
        <v/>
      </c>
    </row>
    <row r="2450" customFormat="false" ht="15" hidden="false" customHeight="false" outlineLevel="0" collapsed="false">
      <c r="A2450" s="37"/>
      <c r="B2450" s="44"/>
      <c r="C2450" s="44"/>
      <c r="D2450" s="44"/>
      <c r="E2450" s="44"/>
      <c r="F2450" s="44"/>
      <c r="G2450" s="42"/>
      <c r="H2450" s="42"/>
      <c r="I2450" s="44"/>
      <c r="J2450" s="11" t="str">
        <f aca="false">IF(D2450="","",N(G2450)-N(H2450))</f>
        <v/>
      </c>
      <c r="K2450" s="34" t="str">
        <f aca="false">IF(D2450="","",IFERROR(INDEX(I_COA!$C$6:$C$265,MATCH(D2450,I_COA!$A$6:$A$265,0)),"AKUN BARU"))</f>
        <v/>
      </c>
      <c r="L2450" s="34" t="str">
        <f aca="false">IF(K2450="LabaRugi",INDEX(I_COA!$D$6:$D$265,MATCH(D2450,I_COA!$A$6:$A$265,0)),"")</f>
        <v/>
      </c>
      <c r="M2450" s="34" t="str">
        <f aca="false">IF(K2450="Neraca",INDEX(I_COA!$E$6:$E$265,MATCH(D2450,I_COA!$A$6:$A$265,0)),"")</f>
        <v/>
      </c>
      <c r="N2450" s="34" t="str">
        <f aca="false">IF(D2450="","",IFERROR(INDEX(I_COA!$G$6:$G$265,MATCH(D2450,I_COA!$A$6:$A$265,0)),"N"))</f>
        <v/>
      </c>
      <c r="O2450" s="11" t="str">
        <f aca="false">IF(N2450="N",ABS(J2450),"")</f>
        <v/>
      </c>
      <c r="P2450" s="18" t="str">
        <f aca="false">IF(N2450="N",B2450&amp;"|"&amp;ROUND(O2450,0),"")</f>
        <v/>
      </c>
      <c r="Q2450" s="18" t="str">
        <f aca="false">IF(N2450&lt;&gt;"Y","",IFERROR(INDEX($D$6:$D$4005,MATCH(B2450&amp;"|"&amp;ROUND(_xlfn.MAXIFS($O$6:$O$4005,$B$6:$B$4005,B2450,$N$6:$N$4005,"N"),0),$P$6:$P$4005,0)),"(tanpa lawan)"))</f>
        <v/>
      </c>
      <c r="R2450" s="44"/>
      <c r="S2450" s="9" t="str">
        <f aca="false">IF(N2450&lt;&gt;"Y","",IF(R2450&lt;&gt;"",R2450,IF(Q2450="(tanpa lawan)","Transfer antar rekening",IFERROR(INDEX(I_COA!$F$6:$F$265,MATCH(Q2450,I_COA!$A$6:$A$265,0)),"?"))))</f>
        <v/>
      </c>
    </row>
    <row r="2451" customFormat="false" ht="15" hidden="false" customHeight="false" outlineLevel="0" collapsed="false">
      <c r="A2451" s="37"/>
      <c r="B2451" s="44"/>
      <c r="C2451" s="44"/>
      <c r="D2451" s="44"/>
      <c r="E2451" s="44"/>
      <c r="F2451" s="44"/>
      <c r="G2451" s="42"/>
      <c r="H2451" s="42"/>
      <c r="I2451" s="44"/>
      <c r="J2451" s="11" t="str">
        <f aca="false">IF(D2451="","",N(G2451)-N(H2451))</f>
        <v/>
      </c>
      <c r="K2451" s="34" t="str">
        <f aca="false">IF(D2451="","",IFERROR(INDEX(I_COA!$C$6:$C$265,MATCH(D2451,I_COA!$A$6:$A$265,0)),"AKUN BARU"))</f>
        <v/>
      </c>
      <c r="L2451" s="34" t="str">
        <f aca="false">IF(K2451="LabaRugi",INDEX(I_COA!$D$6:$D$265,MATCH(D2451,I_COA!$A$6:$A$265,0)),"")</f>
        <v/>
      </c>
      <c r="M2451" s="34" t="str">
        <f aca="false">IF(K2451="Neraca",INDEX(I_COA!$E$6:$E$265,MATCH(D2451,I_COA!$A$6:$A$265,0)),"")</f>
        <v/>
      </c>
      <c r="N2451" s="34" t="str">
        <f aca="false">IF(D2451="","",IFERROR(INDEX(I_COA!$G$6:$G$265,MATCH(D2451,I_COA!$A$6:$A$265,0)),"N"))</f>
        <v/>
      </c>
      <c r="O2451" s="11" t="str">
        <f aca="false">IF(N2451="N",ABS(J2451),"")</f>
        <v/>
      </c>
      <c r="P2451" s="18" t="str">
        <f aca="false">IF(N2451="N",B2451&amp;"|"&amp;ROUND(O2451,0),"")</f>
        <v/>
      </c>
      <c r="Q2451" s="18" t="str">
        <f aca="false">IF(N2451&lt;&gt;"Y","",IFERROR(INDEX($D$6:$D$4005,MATCH(B2451&amp;"|"&amp;ROUND(_xlfn.MAXIFS($O$6:$O$4005,$B$6:$B$4005,B2451,$N$6:$N$4005,"N"),0),$P$6:$P$4005,0)),"(tanpa lawan)"))</f>
        <v/>
      </c>
      <c r="R2451" s="44"/>
      <c r="S2451" s="9" t="str">
        <f aca="false">IF(N2451&lt;&gt;"Y","",IF(R2451&lt;&gt;"",R2451,IF(Q2451="(tanpa lawan)","Transfer antar rekening",IFERROR(INDEX(I_COA!$F$6:$F$265,MATCH(Q2451,I_COA!$A$6:$A$265,0)),"?"))))</f>
        <v/>
      </c>
    </row>
    <row r="2452" customFormat="false" ht="15" hidden="false" customHeight="false" outlineLevel="0" collapsed="false">
      <c r="A2452" s="37"/>
      <c r="B2452" s="44"/>
      <c r="C2452" s="44"/>
      <c r="D2452" s="44"/>
      <c r="E2452" s="44"/>
      <c r="F2452" s="44"/>
      <c r="G2452" s="42"/>
      <c r="H2452" s="42"/>
      <c r="I2452" s="44"/>
      <c r="J2452" s="11" t="str">
        <f aca="false">IF(D2452="","",N(G2452)-N(H2452))</f>
        <v/>
      </c>
      <c r="K2452" s="34" t="str">
        <f aca="false">IF(D2452="","",IFERROR(INDEX(I_COA!$C$6:$C$265,MATCH(D2452,I_COA!$A$6:$A$265,0)),"AKUN BARU"))</f>
        <v/>
      </c>
      <c r="L2452" s="34" t="str">
        <f aca="false">IF(K2452="LabaRugi",INDEX(I_COA!$D$6:$D$265,MATCH(D2452,I_COA!$A$6:$A$265,0)),"")</f>
        <v/>
      </c>
      <c r="M2452" s="34" t="str">
        <f aca="false">IF(K2452="Neraca",INDEX(I_COA!$E$6:$E$265,MATCH(D2452,I_COA!$A$6:$A$265,0)),"")</f>
        <v/>
      </c>
      <c r="N2452" s="34" t="str">
        <f aca="false">IF(D2452="","",IFERROR(INDEX(I_COA!$G$6:$G$265,MATCH(D2452,I_COA!$A$6:$A$265,0)),"N"))</f>
        <v/>
      </c>
      <c r="O2452" s="11" t="str">
        <f aca="false">IF(N2452="N",ABS(J2452),"")</f>
        <v/>
      </c>
      <c r="P2452" s="18" t="str">
        <f aca="false">IF(N2452="N",B2452&amp;"|"&amp;ROUND(O2452,0),"")</f>
        <v/>
      </c>
      <c r="Q2452" s="18" t="str">
        <f aca="false">IF(N2452&lt;&gt;"Y","",IFERROR(INDEX($D$6:$D$4005,MATCH(B2452&amp;"|"&amp;ROUND(_xlfn.MAXIFS($O$6:$O$4005,$B$6:$B$4005,B2452,$N$6:$N$4005,"N"),0),$P$6:$P$4005,0)),"(tanpa lawan)"))</f>
        <v/>
      </c>
      <c r="R2452" s="44"/>
      <c r="S2452" s="9" t="str">
        <f aca="false">IF(N2452&lt;&gt;"Y","",IF(R2452&lt;&gt;"",R2452,IF(Q2452="(tanpa lawan)","Transfer antar rekening",IFERROR(INDEX(I_COA!$F$6:$F$265,MATCH(Q2452,I_COA!$A$6:$A$265,0)),"?"))))</f>
        <v/>
      </c>
    </row>
    <row r="2453" customFormat="false" ht="15" hidden="false" customHeight="false" outlineLevel="0" collapsed="false">
      <c r="A2453" s="37"/>
      <c r="B2453" s="44"/>
      <c r="C2453" s="44"/>
      <c r="D2453" s="44"/>
      <c r="E2453" s="44"/>
      <c r="F2453" s="44"/>
      <c r="G2453" s="42"/>
      <c r="H2453" s="42"/>
      <c r="I2453" s="44"/>
      <c r="J2453" s="11" t="str">
        <f aca="false">IF(D2453="","",N(G2453)-N(H2453))</f>
        <v/>
      </c>
      <c r="K2453" s="34" t="str">
        <f aca="false">IF(D2453="","",IFERROR(INDEX(I_COA!$C$6:$C$265,MATCH(D2453,I_COA!$A$6:$A$265,0)),"AKUN BARU"))</f>
        <v/>
      </c>
      <c r="L2453" s="34" t="str">
        <f aca="false">IF(K2453="LabaRugi",INDEX(I_COA!$D$6:$D$265,MATCH(D2453,I_COA!$A$6:$A$265,0)),"")</f>
        <v/>
      </c>
      <c r="M2453" s="34" t="str">
        <f aca="false">IF(K2453="Neraca",INDEX(I_COA!$E$6:$E$265,MATCH(D2453,I_COA!$A$6:$A$265,0)),"")</f>
        <v/>
      </c>
      <c r="N2453" s="34" t="str">
        <f aca="false">IF(D2453="","",IFERROR(INDEX(I_COA!$G$6:$G$265,MATCH(D2453,I_COA!$A$6:$A$265,0)),"N"))</f>
        <v/>
      </c>
      <c r="O2453" s="11" t="str">
        <f aca="false">IF(N2453="N",ABS(J2453),"")</f>
        <v/>
      </c>
      <c r="P2453" s="18" t="str">
        <f aca="false">IF(N2453="N",B2453&amp;"|"&amp;ROUND(O2453,0),"")</f>
        <v/>
      </c>
      <c r="Q2453" s="18" t="str">
        <f aca="false">IF(N2453&lt;&gt;"Y","",IFERROR(INDEX($D$6:$D$4005,MATCH(B2453&amp;"|"&amp;ROUND(_xlfn.MAXIFS($O$6:$O$4005,$B$6:$B$4005,B2453,$N$6:$N$4005,"N"),0),$P$6:$P$4005,0)),"(tanpa lawan)"))</f>
        <v/>
      </c>
      <c r="R2453" s="44"/>
      <c r="S2453" s="9" t="str">
        <f aca="false">IF(N2453&lt;&gt;"Y","",IF(R2453&lt;&gt;"",R2453,IF(Q2453="(tanpa lawan)","Transfer antar rekening",IFERROR(INDEX(I_COA!$F$6:$F$265,MATCH(Q2453,I_COA!$A$6:$A$265,0)),"?"))))</f>
        <v/>
      </c>
    </row>
    <row r="2454" customFormat="false" ht="15" hidden="false" customHeight="false" outlineLevel="0" collapsed="false">
      <c r="A2454" s="37"/>
      <c r="B2454" s="44"/>
      <c r="C2454" s="44"/>
      <c r="D2454" s="44"/>
      <c r="E2454" s="44"/>
      <c r="F2454" s="44"/>
      <c r="G2454" s="42"/>
      <c r="H2454" s="42"/>
      <c r="I2454" s="44"/>
      <c r="J2454" s="11" t="str">
        <f aca="false">IF(D2454="","",N(G2454)-N(H2454))</f>
        <v/>
      </c>
      <c r="K2454" s="34" t="str">
        <f aca="false">IF(D2454="","",IFERROR(INDEX(I_COA!$C$6:$C$265,MATCH(D2454,I_COA!$A$6:$A$265,0)),"AKUN BARU"))</f>
        <v/>
      </c>
      <c r="L2454" s="34" t="str">
        <f aca="false">IF(K2454="LabaRugi",INDEX(I_COA!$D$6:$D$265,MATCH(D2454,I_COA!$A$6:$A$265,0)),"")</f>
        <v/>
      </c>
      <c r="M2454" s="34" t="str">
        <f aca="false">IF(K2454="Neraca",INDEX(I_COA!$E$6:$E$265,MATCH(D2454,I_COA!$A$6:$A$265,0)),"")</f>
        <v/>
      </c>
      <c r="N2454" s="34" t="str">
        <f aca="false">IF(D2454="","",IFERROR(INDEX(I_COA!$G$6:$G$265,MATCH(D2454,I_COA!$A$6:$A$265,0)),"N"))</f>
        <v/>
      </c>
      <c r="O2454" s="11" t="str">
        <f aca="false">IF(N2454="N",ABS(J2454),"")</f>
        <v/>
      </c>
      <c r="P2454" s="18" t="str">
        <f aca="false">IF(N2454="N",B2454&amp;"|"&amp;ROUND(O2454,0),"")</f>
        <v/>
      </c>
      <c r="Q2454" s="18" t="str">
        <f aca="false">IF(N2454&lt;&gt;"Y","",IFERROR(INDEX($D$6:$D$4005,MATCH(B2454&amp;"|"&amp;ROUND(_xlfn.MAXIFS($O$6:$O$4005,$B$6:$B$4005,B2454,$N$6:$N$4005,"N"),0),$P$6:$P$4005,0)),"(tanpa lawan)"))</f>
        <v/>
      </c>
      <c r="R2454" s="44"/>
      <c r="S2454" s="9" t="str">
        <f aca="false">IF(N2454&lt;&gt;"Y","",IF(R2454&lt;&gt;"",R2454,IF(Q2454="(tanpa lawan)","Transfer antar rekening",IFERROR(INDEX(I_COA!$F$6:$F$265,MATCH(Q2454,I_COA!$A$6:$A$265,0)),"?"))))</f>
        <v/>
      </c>
    </row>
    <row r="2455" customFormat="false" ht="15" hidden="false" customHeight="false" outlineLevel="0" collapsed="false">
      <c r="A2455" s="37"/>
      <c r="B2455" s="44"/>
      <c r="C2455" s="44"/>
      <c r="D2455" s="44"/>
      <c r="E2455" s="44"/>
      <c r="F2455" s="44"/>
      <c r="G2455" s="42"/>
      <c r="H2455" s="42"/>
      <c r="I2455" s="44"/>
      <c r="J2455" s="11" t="str">
        <f aca="false">IF(D2455="","",N(G2455)-N(H2455))</f>
        <v/>
      </c>
      <c r="K2455" s="34" t="str">
        <f aca="false">IF(D2455="","",IFERROR(INDEX(I_COA!$C$6:$C$265,MATCH(D2455,I_COA!$A$6:$A$265,0)),"AKUN BARU"))</f>
        <v/>
      </c>
      <c r="L2455" s="34" t="str">
        <f aca="false">IF(K2455="LabaRugi",INDEX(I_COA!$D$6:$D$265,MATCH(D2455,I_COA!$A$6:$A$265,0)),"")</f>
        <v/>
      </c>
      <c r="M2455" s="34" t="str">
        <f aca="false">IF(K2455="Neraca",INDEX(I_COA!$E$6:$E$265,MATCH(D2455,I_COA!$A$6:$A$265,0)),"")</f>
        <v/>
      </c>
      <c r="N2455" s="34" t="str">
        <f aca="false">IF(D2455="","",IFERROR(INDEX(I_COA!$G$6:$G$265,MATCH(D2455,I_COA!$A$6:$A$265,0)),"N"))</f>
        <v/>
      </c>
      <c r="O2455" s="11" t="str">
        <f aca="false">IF(N2455="N",ABS(J2455),"")</f>
        <v/>
      </c>
      <c r="P2455" s="18" t="str">
        <f aca="false">IF(N2455="N",B2455&amp;"|"&amp;ROUND(O2455,0),"")</f>
        <v/>
      </c>
      <c r="Q2455" s="18" t="str">
        <f aca="false">IF(N2455&lt;&gt;"Y","",IFERROR(INDEX($D$6:$D$4005,MATCH(B2455&amp;"|"&amp;ROUND(_xlfn.MAXIFS($O$6:$O$4005,$B$6:$B$4005,B2455,$N$6:$N$4005,"N"),0),$P$6:$P$4005,0)),"(tanpa lawan)"))</f>
        <v/>
      </c>
      <c r="R2455" s="44"/>
      <c r="S2455" s="9" t="str">
        <f aca="false">IF(N2455&lt;&gt;"Y","",IF(R2455&lt;&gt;"",R2455,IF(Q2455="(tanpa lawan)","Transfer antar rekening",IFERROR(INDEX(I_COA!$F$6:$F$265,MATCH(Q2455,I_COA!$A$6:$A$265,0)),"?"))))</f>
        <v/>
      </c>
    </row>
    <row r="2456" customFormat="false" ht="15" hidden="false" customHeight="false" outlineLevel="0" collapsed="false">
      <c r="A2456" s="37"/>
      <c r="B2456" s="44"/>
      <c r="C2456" s="44"/>
      <c r="D2456" s="44"/>
      <c r="E2456" s="44"/>
      <c r="F2456" s="44"/>
      <c r="G2456" s="42"/>
      <c r="H2456" s="42"/>
      <c r="I2456" s="44"/>
      <c r="J2456" s="11" t="str">
        <f aca="false">IF(D2456="","",N(G2456)-N(H2456))</f>
        <v/>
      </c>
      <c r="K2456" s="34" t="str">
        <f aca="false">IF(D2456="","",IFERROR(INDEX(I_COA!$C$6:$C$265,MATCH(D2456,I_COA!$A$6:$A$265,0)),"AKUN BARU"))</f>
        <v/>
      </c>
      <c r="L2456" s="34" t="str">
        <f aca="false">IF(K2456="LabaRugi",INDEX(I_COA!$D$6:$D$265,MATCH(D2456,I_COA!$A$6:$A$265,0)),"")</f>
        <v/>
      </c>
      <c r="M2456" s="34" t="str">
        <f aca="false">IF(K2456="Neraca",INDEX(I_COA!$E$6:$E$265,MATCH(D2456,I_COA!$A$6:$A$265,0)),"")</f>
        <v/>
      </c>
      <c r="N2456" s="34" t="str">
        <f aca="false">IF(D2456="","",IFERROR(INDEX(I_COA!$G$6:$G$265,MATCH(D2456,I_COA!$A$6:$A$265,0)),"N"))</f>
        <v/>
      </c>
      <c r="O2456" s="11" t="str">
        <f aca="false">IF(N2456="N",ABS(J2456),"")</f>
        <v/>
      </c>
      <c r="P2456" s="18" t="str">
        <f aca="false">IF(N2456="N",B2456&amp;"|"&amp;ROUND(O2456,0),"")</f>
        <v/>
      </c>
      <c r="Q2456" s="18" t="str">
        <f aca="false">IF(N2456&lt;&gt;"Y","",IFERROR(INDEX($D$6:$D$4005,MATCH(B2456&amp;"|"&amp;ROUND(_xlfn.MAXIFS($O$6:$O$4005,$B$6:$B$4005,B2456,$N$6:$N$4005,"N"),0),$P$6:$P$4005,0)),"(tanpa lawan)"))</f>
        <v/>
      </c>
      <c r="R2456" s="44"/>
      <c r="S2456" s="9" t="str">
        <f aca="false">IF(N2456&lt;&gt;"Y","",IF(R2456&lt;&gt;"",R2456,IF(Q2456="(tanpa lawan)","Transfer antar rekening",IFERROR(INDEX(I_COA!$F$6:$F$265,MATCH(Q2456,I_COA!$A$6:$A$265,0)),"?"))))</f>
        <v/>
      </c>
    </row>
    <row r="2457" customFormat="false" ht="15" hidden="false" customHeight="false" outlineLevel="0" collapsed="false">
      <c r="A2457" s="37"/>
      <c r="B2457" s="44"/>
      <c r="C2457" s="44"/>
      <c r="D2457" s="44"/>
      <c r="E2457" s="44"/>
      <c r="F2457" s="44"/>
      <c r="G2457" s="42"/>
      <c r="H2457" s="42"/>
      <c r="I2457" s="44"/>
      <c r="J2457" s="11" t="str">
        <f aca="false">IF(D2457="","",N(G2457)-N(H2457))</f>
        <v/>
      </c>
      <c r="K2457" s="34" t="str">
        <f aca="false">IF(D2457="","",IFERROR(INDEX(I_COA!$C$6:$C$265,MATCH(D2457,I_COA!$A$6:$A$265,0)),"AKUN BARU"))</f>
        <v/>
      </c>
      <c r="L2457" s="34" t="str">
        <f aca="false">IF(K2457="LabaRugi",INDEX(I_COA!$D$6:$D$265,MATCH(D2457,I_COA!$A$6:$A$265,0)),"")</f>
        <v/>
      </c>
      <c r="M2457" s="34" t="str">
        <f aca="false">IF(K2457="Neraca",INDEX(I_COA!$E$6:$E$265,MATCH(D2457,I_COA!$A$6:$A$265,0)),"")</f>
        <v/>
      </c>
      <c r="N2457" s="34" t="str">
        <f aca="false">IF(D2457="","",IFERROR(INDEX(I_COA!$G$6:$G$265,MATCH(D2457,I_COA!$A$6:$A$265,0)),"N"))</f>
        <v/>
      </c>
      <c r="O2457" s="11" t="str">
        <f aca="false">IF(N2457="N",ABS(J2457),"")</f>
        <v/>
      </c>
      <c r="P2457" s="18" t="str">
        <f aca="false">IF(N2457="N",B2457&amp;"|"&amp;ROUND(O2457,0),"")</f>
        <v/>
      </c>
      <c r="Q2457" s="18" t="str">
        <f aca="false">IF(N2457&lt;&gt;"Y","",IFERROR(INDEX($D$6:$D$4005,MATCH(B2457&amp;"|"&amp;ROUND(_xlfn.MAXIFS($O$6:$O$4005,$B$6:$B$4005,B2457,$N$6:$N$4005,"N"),0),$P$6:$P$4005,0)),"(tanpa lawan)"))</f>
        <v/>
      </c>
      <c r="R2457" s="44"/>
      <c r="S2457" s="9" t="str">
        <f aca="false">IF(N2457&lt;&gt;"Y","",IF(R2457&lt;&gt;"",R2457,IF(Q2457="(tanpa lawan)","Transfer antar rekening",IFERROR(INDEX(I_COA!$F$6:$F$265,MATCH(Q2457,I_COA!$A$6:$A$265,0)),"?"))))</f>
        <v/>
      </c>
    </row>
    <row r="2458" customFormat="false" ht="15" hidden="false" customHeight="false" outlineLevel="0" collapsed="false">
      <c r="A2458" s="37"/>
      <c r="B2458" s="44"/>
      <c r="C2458" s="44"/>
      <c r="D2458" s="44"/>
      <c r="E2458" s="44"/>
      <c r="F2458" s="44"/>
      <c r="G2458" s="42"/>
      <c r="H2458" s="42"/>
      <c r="I2458" s="44"/>
      <c r="J2458" s="11" t="str">
        <f aca="false">IF(D2458="","",N(G2458)-N(H2458))</f>
        <v/>
      </c>
      <c r="K2458" s="34" t="str">
        <f aca="false">IF(D2458="","",IFERROR(INDEX(I_COA!$C$6:$C$265,MATCH(D2458,I_COA!$A$6:$A$265,0)),"AKUN BARU"))</f>
        <v/>
      </c>
      <c r="L2458" s="34" t="str">
        <f aca="false">IF(K2458="LabaRugi",INDEX(I_COA!$D$6:$D$265,MATCH(D2458,I_COA!$A$6:$A$265,0)),"")</f>
        <v/>
      </c>
      <c r="M2458" s="34" t="str">
        <f aca="false">IF(K2458="Neraca",INDEX(I_COA!$E$6:$E$265,MATCH(D2458,I_COA!$A$6:$A$265,0)),"")</f>
        <v/>
      </c>
      <c r="N2458" s="34" t="str">
        <f aca="false">IF(D2458="","",IFERROR(INDEX(I_COA!$G$6:$G$265,MATCH(D2458,I_COA!$A$6:$A$265,0)),"N"))</f>
        <v/>
      </c>
      <c r="O2458" s="11" t="str">
        <f aca="false">IF(N2458="N",ABS(J2458),"")</f>
        <v/>
      </c>
      <c r="P2458" s="18" t="str">
        <f aca="false">IF(N2458="N",B2458&amp;"|"&amp;ROUND(O2458,0),"")</f>
        <v/>
      </c>
      <c r="Q2458" s="18" t="str">
        <f aca="false">IF(N2458&lt;&gt;"Y","",IFERROR(INDEX($D$6:$D$4005,MATCH(B2458&amp;"|"&amp;ROUND(_xlfn.MAXIFS($O$6:$O$4005,$B$6:$B$4005,B2458,$N$6:$N$4005,"N"),0),$P$6:$P$4005,0)),"(tanpa lawan)"))</f>
        <v/>
      </c>
      <c r="R2458" s="44"/>
      <c r="S2458" s="9" t="str">
        <f aca="false">IF(N2458&lt;&gt;"Y","",IF(R2458&lt;&gt;"",R2458,IF(Q2458="(tanpa lawan)","Transfer antar rekening",IFERROR(INDEX(I_COA!$F$6:$F$265,MATCH(Q2458,I_COA!$A$6:$A$265,0)),"?"))))</f>
        <v/>
      </c>
    </row>
    <row r="2459" customFormat="false" ht="15" hidden="false" customHeight="false" outlineLevel="0" collapsed="false">
      <c r="A2459" s="37"/>
      <c r="B2459" s="44"/>
      <c r="C2459" s="44"/>
      <c r="D2459" s="44"/>
      <c r="E2459" s="44"/>
      <c r="F2459" s="44"/>
      <c r="G2459" s="42"/>
      <c r="H2459" s="42"/>
      <c r="I2459" s="44"/>
      <c r="J2459" s="11" t="str">
        <f aca="false">IF(D2459="","",N(G2459)-N(H2459))</f>
        <v/>
      </c>
      <c r="K2459" s="34" t="str">
        <f aca="false">IF(D2459="","",IFERROR(INDEX(I_COA!$C$6:$C$265,MATCH(D2459,I_COA!$A$6:$A$265,0)),"AKUN BARU"))</f>
        <v/>
      </c>
      <c r="L2459" s="34" t="str">
        <f aca="false">IF(K2459="LabaRugi",INDEX(I_COA!$D$6:$D$265,MATCH(D2459,I_COA!$A$6:$A$265,0)),"")</f>
        <v/>
      </c>
      <c r="M2459" s="34" t="str">
        <f aca="false">IF(K2459="Neraca",INDEX(I_COA!$E$6:$E$265,MATCH(D2459,I_COA!$A$6:$A$265,0)),"")</f>
        <v/>
      </c>
      <c r="N2459" s="34" t="str">
        <f aca="false">IF(D2459="","",IFERROR(INDEX(I_COA!$G$6:$G$265,MATCH(D2459,I_COA!$A$6:$A$265,0)),"N"))</f>
        <v/>
      </c>
      <c r="O2459" s="11" t="str">
        <f aca="false">IF(N2459="N",ABS(J2459),"")</f>
        <v/>
      </c>
      <c r="P2459" s="18" t="str">
        <f aca="false">IF(N2459="N",B2459&amp;"|"&amp;ROUND(O2459,0),"")</f>
        <v/>
      </c>
      <c r="Q2459" s="18" t="str">
        <f aca="false">IF(N2459&lt;&gt;"Y","",IFERROR(INDEX($D$6:$D$4005,MATCH(B2459&amp;"|"&amp;ROUND(_xlfn.MAXIFS($O$6:$O$4005,$B$6:$B$4005,B2459,$N$6:$N$4005,"N"),0),$P$6:$P$4005,0)),"(tanpa lawan)"))</f>
        <v/>
      </c>
      <c r="R2459" s="44"/>
      <c r="S2459" s="9" t="str">
        <f aca="false">IF(N2459&lt;&gt;"Y","",IF(R2459&lt;&gt;"",R2459,IF(Q2459="(tanpa lawan)","Transfer antar rekening",IFERROR(INDEX(I_COA!$F$6:$F$265,MATCH(Q2459,I_COA!$A$6:$A$265,0)),"?"))))</f>
        <v/>
      </c>
    </row>
    <row r="2460" customFormat="false" ht="15" hidden="false" customHeight="false" outlineLevel="0" collapsed="false">
      <c r="A2460" s="37"/>
      <c r="B2460" s="44"/>
      <c r="C2460" s="44"/>
      <c r="D2460" s="44"/>
      <c r="E2460" s="44"/>
      <c r="F2460" s="44"/>
      <c r="G2460" s="42"/>
      <c r="H2460" s="42"/>
      <c r="I2460" s="44"/>
      <c r="J2460" s="11" t="str">
        <f aca="false">IF(D2460="","",N(G2460)-N(H2460))</f>
        <v/>
      </c>
      <c r="K2460" s="34" t="str">
        <f aca="false">IF(D2460="","",IFERROR(INDEX(I_COA!$C$6:$C$265,MATCH(D2460,I_COA!$A$6:$A$265,0)),"AKUN BARU"))</f>
        <v/>
      </c>
      <c r="L2460" s="34" t="str">
        <f aca="false">IF(K2460="LabaRugi",INDEX(I_COA!$D$6:$D$265,MATCH(D2460,I_COA!$A$6:$A$265,0)),"")</f>
        <v/>
      </c>
      <c r="M2460" s="34" t="str">
        <f aca="false">IF(K2460="Neraca",INDEX(I_COA!$E$6:$E$265,MATCH(D2460,I_COA!$A$6:$A$265,0)),"")</f>
        <v/>
      </c>
      <c r="N2460" s="34" t="str">
        <f aca="false">IF(D2460="","",IFERROR(INDEX(I_COA!$G$6:$G$265,MATCH(D2460,I_COA!$A$6:$A$265,0)),"N"))</f>
        <v/>
      </c>
      <c r="O2460" s="11" t="str">
        <f aca="false">IF(N2460="N",ABS(J2460),"")</f>
        <v/>
      </c>
      <c r="P2460" s="18" t="str">
        <f aca="false">IF(N2460="N",B2460&amp;"|"&amp;ROUND(O2460,0),"")</f>
        <v/>
      </c>
      <c r="Q2460" s="18" t="str">
        <f aca="false">IF(N2460&lt;&gt;"Y","",IFERROR(INDEX($D$6:$D$4005,MATCH(B2460&amp;"|"&amp;ROUND(_xlfn.MAXIFS($O$6:$O$4005,$B$6:$B$4005,B2460,$N$6:$N$4005,"N"),0),$P$6:$P$4005,0)),"(tanpa lawan)"))</f>
        <v/>
      </c>
      <c r="R2460" s="44"/>
      <c r="S2460" s="9" t="str">
        <f aca="false">IF(N2460&lt;&gt;"Y","",IF(R2460&lt;&gt;"",R2460,IF(Q2460="(tanpa lawan)","Transfer antar rekening",IFERROR(INDEX(I_COA!$F$6:$F$265,MATCH(Q2460,I_COA!$A$6:$A$265,0)),"?"))))</f>
        <v/>
      </c>
    </row>
    <row r="2461" customFormat="false" ht="15" hidden="false" customHeight="false" outlineLevel="0" collapsed="false">
      <c r="A2461" s="37"/>
      <c r="B2461" s="44"/>
      <c r="C2461" s="44"/>
      <c r="D2461" s="44"/>
      <c r="E2461" s="44"/>
      <c r="F2461" s="44"/>
      <c r="G2461" s="42"/>
      <c r="H2461" s="42"/>
      <c r="I2461" s="44"/>
      <c r="J2461" s="11" t="str">
        <f aca="false">IF(D2461="","",N(G2461)-N(H2461))</f>
        <v/>
      </c>
      <c r="K2461" s="34" t="str">
        <f aca="false">IF(D2461="","",IFERROR(INDEX(I_COA!$C$6:$C$265,MATCH(D2461,I_COA!$A$6:$A$265,0)),"AKUN BARU"))</f>
        <v/>
      </c>
      <c r="L2461" s="34" t="str">
        <f aca="false">IF(K2461="LabaRugi",INDEX(I_COA!$D$6:$D$265,MATCH(D2461,I_COA!$A$6:$A$265,0)),"")</f>
        <v/>
      </c>
      <c r="M2461" s="34" t="str">
        <f aca="false">IF(K2461="Neraca",INDEX(I_COA!$E$6:$E$265,MATCH(D2461,I_COA!$A$6:$A$265,0)),"")</f>
        <v/>
      </c>
      <c r="N2461" s="34" t="str">
        <f aca="false">IF(D2461="","",IFERROR(INDEX(I_COA!$G$6:$G$265,MATCH(D2461,I_COA!$A$6:$A$265,0)),"N"))</f>
        <v/>
      </c>
      <c r="O2461" s="11" t="str">
        <f aca="false">IF(N2461="N",ABS(J2461),"")</f>
        <v/>
      </c>
      <c r="P2461" s="18" t="str">
        <f aca="false">IF(N2461="N",B2461&amp;"|"&amp;ROUND(O2461,0),"")</f>
        <v/>
      </c>
      <c r="Q2461" s="18" t="str">
        <f aca="false">IF(N2461&lt;&gt;"Y","",IFERROR(INDEX($D$6:$D$4005,MATCH(B2461&amp;"|"&amp;ROUND(_xlfn.MAXIFS($O$6:$O$4005,$B$6:$B$4005,B2461,$N$6:$N$4005,"N"),0),$P$6:$P$4005,0)),"(tanpa lawan)"))</f>
        <v/>
      </c>
      <c r="R2461" s="44"/>
      <c r="S2461" s="9" t="str">
        <f aca="false">IF(N2461&lt;&gt;"Y","",IF(R2461&lt;&gt;"",R2461,IF(Q2461="(tanpa lawan)","Transfer antar rekening",IFERROR(INDEX(I_COA!$F$6:$F$265,MATCH(Q2461,I_COA!$A$6:$A$265,0)),"?"))))</f>
        <v/>
      </c>
    </row>
    <row r="2462" customFormat="false" ht="15" hidden="false" customHeight="false" outlineLevel="0" collapsed="false">
      <c r="A2462" s="37"/>
      <c r="B2462" s="44"/>
      <c r="C2462" s="44"/>
      <c r="D2462" s="44"/>
      <c r="E2462" s="44"/>
      <c r="F2462" s="44"/>
      <c r="G2462" s="42"/>
      <c r="H2462" s="42"/>
      <c r="I2462" s="44"/>
      <c r="J2462" s="11" t="str">
        <f aca="false">IF(D2462="","",N(G2462)-N(H2462))</f>
        <v/>
      </c>
      <c r="K2462" s="34" t="str">
        <f aca="false">IF(D2462="","",IFERROR(INDEX(I_COA!$C$6:$C$265,MATCH(D2462,I_COA!$A$6:$A$265,0)),"AKUN BARU"))</f>
        <v/>
      </c>
      <c r="L2462" s="34" t="str">
        <f aca="false">IF(K2462="LabaRugi",INDEX(I_COA!$D$6:$D$265,MATCH(D2462,I_COA!$A$6:$A$265,0)),"")</f>
        <v/>
      </c>
      <c r="M2462" s="34" t="str">
        <f aca="false">IF(K2462="Neraca",INDEX(I_COA!$E$6:$E$265,MATCH(D2462,I_COA!$A$6:$A$265,0)),"")</f>
        <v/>
      </c>
      <c r="N2462" s="34" t="str">
        <f aca="false">IF(D2462="","",IFERROR(INDEX(I_COA!$G$6:$G$265,MATCH(D2462,I_COA!$A$6:$A$265,0)),"N"))</f>
        <v/>
      </c>
      <c r="O2462" s="11" t="str">
        <f aca="false">IF(N2462="N",ABS(J2462),"")</f>
        <v/>
      </c>
      <c r="P2462" s="18" t="str">
        <f aca="false">IF(N2462="N",B2462&amp;"|"&amp;ROUND(O2462,0),"")</f>
        <v/>
      </c>
      <c r="Q2462" s="18" t="str">
        <f aca="false">IF(N2462&lt;&gt;"Y","",IFERROR(INDEX($D$6:$D$4005,MATCH(B2462&amp;"|"&amp;ROUND(_xlfn.MAXIFS($O$6:$O$4005,$B$6:$B$4005,B2462,$N$6:$N$4005,"N"),0),$P$6:$P$4005,0)),"(tanpa lawan)"))</f>
        <v/>
      </c>
      <c r="R2462" s="44"/>
      <c r="S2462" s="9" t="str">
        <f aca="false">IF(N2462&lt;&gt;"Y","",IF(R2462&lt;&gt;"",R2462,IF(Q2462="(tanpa lawan)","Transfer antar rekening",IFERROR(INDEX(I_COA!$F$6:$F$265,MATCH(Q2462,I_COA!$A$6:$A$265,0)),"?"))))</f>
        <v/>
      </c>
    </row>
    <row r="2463" customFormat="false" ht="15" hidden="false" customHeight="false" outlineLevel="0" collapsed="false">
      <c r="A2463" s="37"/>
      <c r="B2463" s="44"/>
      <c r="C2463" s="44"/>
      <c r="D2463" s="44"/>
      <c r="E2463" s="44"/>
      <c r="F2463" s="44"/>
      <c r="G2463" s="42"/>
      <c r="H2463" s="42"/>
      <c r="I2463" s="44"/>
      <c r="J2463" s="11" t="str">
        <f aca="false">IF(D2463="","",N(G2463)-N(H2463))</f>
        <v/>
      </c>
      <c r="K2463" s="34" t="str">
        <f aca="false">IF(D2463="","",IFERROR(INDEX(I_COA!$C$6:$C$265,MATCH(D2463,I_COA!$A$6:$A$265,0)),"AKUN BARU"))</f>
        <v/>
      </c>
      <c r="L2463" s="34" t="str">
        <f aca="false">IF(K2463="LabaRugi",INDEX(I_COA!$D$6:$D$265,MATCH(D2463,I_COA!$A$6:$A$265,0)),"")</f>
        <v/>
      </c>
      <c r="M2463" s="34" t="str">
        <f aca="false">IF(K2463="Neraca",INDEX(I_COA!$E$6:$E$265,MATCH(D2463,I_COA!$A$6:$A$265,0)),"")</f>
        <v/>
      </c>
      <c r="N2463" s="34" t="str">
        <f aca="false">IF(D2463="","",IFERROR(INDEX(I_COA!$G$6:$G$265,MATCH(D2463,I_COA!$A$6:$A$265,0)),"N"))</f>
        <v/>
      </c>
      <c r="O2463" s="11" t="str">
        <f aca="false">IF(N2463="N",ABS(J2463),"")</f>
        <v/>
      </c>
      <c r="P2463" s="18" t="str">
        <f aca="false">IF(N2463="N",B2463&amp;"|"&amp;ROUND(O2463,0),"")</f>
        <v/>
      </c>
      <c r="Q2463" s="18" t="str">
        <f aca="false">IF(N2463&lt;&gt;"Y","",IFERROR(INDEX($D$6:$D$4005,MATCH(B2463&amp;"|"&amp;ROUND(_xlfn.MAXIFS($O$6:$O$4005,$B$6:$B$4005,B2463,$N$6:$N$4005,"N"),0),$P$6:$P$4005,0)),"(tanpa lawan)"))</f>
        <v/>
      </c>
      <c r="R2463" s="44"/>
      <c r="S2463" s="9" t="str">
        <f aca="false">IF(N2463&lt;&gt;"Y","",IF(R2463&lt;&gt;"",R2463,IF(Q2463="(tanpa lawan)","Transfer antar rekening",IFERROR(INDEX(I_COA!$F$6:$F$265,MATCH(Q2463,I_COA!$A$6:$A$265,0)),"?"))))</f>
        <v/>
      </c>
    </row>
    <row r="2464" customFormat="false" ht="15" hidden="false" customHeight="false" outlineLevel="0" collapsed="false">
      <c r="A2464" s="37"/>
      <c r="B2464" s="44"/>
      <c r="C2464" s="44"/>
      <c r="D2464" s="44"/>
      <c r="E2464" s="44"/>
      <c r="F2464" s="44"/>
      <c r="G2464" s="42"/>
      <c r="H2464" s="42"/>
      <c r="I2464" s="44"/>
      <c r="J2464" s="11" t="str">
        <f aca="false">IF(D2464="","",N(G2464)-N(H2464))</f>
        <v/>
      </c>
      <c r="K2464" s="34" t="str">
        <f aca="false">IF(D2464="","",IFERROR(INDEX(I_COA!$C$6:$C$265,MATCH(D2464,I_COA!$A$6:$A$265,0)),"AKUN BARU"))</f>
        <v/>
      </c>
      <c r="L2464" s="34" t="str">
        <f aca="false">IF(K2464="LabaRugi",INDEX(I_COA!$D$6:$D$265,MATCH(D2464,I_COA!$A$6:$A$265,0)),"")</f>
        <v/>
      </c>
      <c r="M2464" s="34" t="str">
        <f aca="false">IF(K2464="Neraca",INDEX(I_COA!$E$6:$E$265,MATCH(D2464,I_COA!$A$6:$A$265,0)),"")</f>
        <v/>
      </c>
      <c r="N2464" s="34" t="str">
        <f aca="false">IF(D2464="","",IFERROR(INDEX(I_COA!$G$6:$G$265,MATCH(D2464,I_COA!$A$6:$A$265,0)),"N"))</f>
        <v/>
      </c>
      <c r="O2464" s="11" t="str">
        <f aca="false">IF(N2464="N",ABS(J2464),"")</f>
        <v/>
      </c>
      <c r="P2464" s="18" t="str">
        <f aca="false">IF(N2464="N",B2464&amp;"|"&amp;ROUND(O2464,0),"")</f>
        <v/>
      </c>
      <c r="Q2464" s="18" t="str">
        <f aca="false">IF(N2464&lt;&gt;"Y","",IFERROR(INDEX($D$6:$D$4005,MATCH(B2464&amp;"|"&amp;ROUND(_xlfn.MAXIFS($O$6:$O$4005,$B$6:$B$4005,B2464,$N$6:$N$4005,"N"),0),$P$6:$P$4005,0)),"(tanpa lawan)"))</f>
        <v/>
      </c>
      <c r="R2464" s="44"/>
      <c r="S2464" s="9" t="str">
        <f aca="false">IF(N2464&lt;&gt;"Y","",IF(R2464&lt;&gt;"",R2464,IF(Q2464="(tanpa lawan)","Transfer antar rekening",IFERROR(INDEX(I_COA!$F$6:$F$265,MATCH(Q2464,I_COA!$A$6:$A$265,0)),"?"))))</f>
        <v/>
      </c>
    </row>
    <row r="2465" customFormat="false" ht="15" hidden="false" customHeight="false" outlineLevel="0" collapsed="false">
      <c r="A2465" s="37"/>
      <c r="B2465" s="44"/>
      <c r="C2465" s="44"/>
      <c r="D2465" s="44"/>
      <c r="E2465" s="44"/>
      <c r="F2465" s="44"/>
      <c r="G2465" s="42"/>
      <c r="H2465" s="42"/>
      <c r="I2465" s="44"/>
      <c r="J2465" s="11" t="str">
        <f aca="false">IF(D2465="","",N(G2465)-N(H2465))</f>
        <v/>
      </c>
      <c r="K2465" s="34" t="str">
        <f aca="false">IF(D2465="","",IFERROR(INDEX(I_COA!$C$6:$C$265,MATCH(D2465,I_COA!$A$6:$A$265,0)),"AKUN BARU"))</f>
        <v/>
      </c>
      <c r="L2465" s="34" t="str">
        <f aca="false">IF(K2465="LabaRugi",INDEX(I_COA!$D$6:$D$265,MATCH(D2465,I_COA!$A$6:$A$265,0)),"")</f>
        <v/>
      </c>
      <c r="M2465" s="34" t="str">
        <f aca="false">IF(K2465="Neraca",INDEX(I_COA!$E$6:$E$265,MATCH(D2465,I_COA!$A$6:$A$265,0)),"")</f>
        <v/>
      </c>
      <c r="N2465" s="34" t="str">
        <f aca="false">IF(D2465="","",IFERROR(INDEX(I_COA!$G$6:$G$265,MATCH(D2465,I_COA!$A$6:$A$265,0)),"N"))</f>
        <v/>
      </c>
      <c r="O2465" s="11" t="str">
        <f aca="false">IF(N2465="N",ABS(J2465),"")</f>
        <v/>
      </c>
      <c r="P2465" s="18" t="str">
        <f aca="false">IF(N2465="N",B2465&amp;"|"&amp;ROUND(O2465,0),"")</f>
        <v/>
      </c>
      <c r="Q2465" s="18" t="str">
        <f aca="false">IF(N2465&lt;&gt;"Y","",IFERROR(INDEX($D$6:$D$4005,MATCH(B2465&amp;"|"&amp;ROUND(_xlfn.MAXIFS($O$6:$O$4005,$B$6:$B$4005,B2465,$N$6:$N$4005,"N"),0),$P$6:$P$4005,0)),"(tanpa lawan)"))</f>
        <v/>
      </c>
      <c r="R2465" s="44"/>
      <c r="S2465" s="9" t="str">
        <f aca="false">IF(N2465&lt;&gt;"Y","",IF(R2465&lt;&gt;"",R2465,IF(Q2465="(tanpa lawan)","Transfer antar rekening",IFERROR(INDEX(I_COA!$F$6:$F$265,MATCH(Q2465,I_COA!$A$6:$A$265,0)),"?"))))</f>
        <v/>
      </c>
    </row>
    <row r="2466" customFormat="false" ht="15" hidden="false" customHeight="false" outlineLevel="0" collapsed="false">
      <c r="A2466" s="37"/>
      <c r="B2466" s="44"/>
      <c r="C2466" s="44"/>
      <c r="D2466" s="44"/>
      <c r="E2466" s="44"/>
      <c r="F2466" s="44"/>
      <c r="G2466" s="42"/>
      <c r="H2466" s="42"/>
      <c r="I2466" s="44"/>
      <c r="J2466" s="11" t="str">
        <f aca="false">IF(D2466="","",N(G2466)-N(H2466))</f>
        <v/>
      </c>
      <c r="K2466" s="34" t="str">
        <f aca="false">IF(D2466="","",IFERROR(INDEX(I_COA!$C$6:$C$265,MATCH(D2466,I_COA!$A$6:$A$265,0)),"AKUN BARU"))</f>
        <v/>
      </c>
      <c r="L2466" s="34" t="str">
        <f aca="false">IF(K2466="LabaRugi",INDEX(I_COA!$D$6:$D$265,MATCH(D2466,I_COA!$A$6:$A$265,0)),"")</f>
        <v/>
      </c>
      <c r="M2466" s="34" t="str">
        <f aca="false">IF(K2466="Neraca",INDEX(I_COA!$E$6:$E$265,MATCH(D2466,I_COA!$A$6:$A$265,0)),"")</f>
        <v/>
      </c>
      <c r="N2466" s="34" t="str">
        <f aca="false">IF(D2466="","",IFERROR(INDEX(I_COA!$G$6:$G$265,MATCH(D2466,I_COA!$A$6:$A$265,0)),"N"))</f>
        <v/>
      </c>
      <c r="O2466" s="11" t="str">
        <f aca="false">IF(N2466="N",ABS(J2466),"")</f>
        <v/>
      </c>
      <c r="P2466" s="18" t="str">
        <f aca="false">IF(N2466="N",B2466&amp;"|"&amp;ROUND(O2466,0),"")</f>
        <v/>
      </c>
      <c r="Q2466" s="18" t="str">
        <f aca="false">IF(N2466&lt;&gt;"Y","",IFERROR(INDEX($D$6:$D$4005,MATCH(B2466&amp;"|"&amp;ROUND(_xlfn.MAXIFS($O$6:$O$4005,$B$6:$B$4005,B2466,$N$6:$N$4005,"N"),0),$P$6:$P$4005,0)),"(tanpa lawan)"))</f>
        <v/>
      </c>
      <c r="R2466" s="44"/>
      <c r="S2466" s="9" t="str">
        <f aca="false">IF(N2466&lt;&gt;"Y","",IF(R2466&lt;&gt;"",R2466,IF(Q2466="(tanpa lawan)","Transfer antar rekening",IFERROR(INDEX(I_COA!$F$6:$F$265,MATCH(Q2466,I_COA!$A$6:$A$265,0)),"?"))))</f>
        <v/>
      </c>
    </row>
    <row r="2467" customFormat="false" ht="15" hidden="false" customHeight="false" outlineLevel="0" collapsed="false">
      <c r="A2467" s="37"/>
      <c r="B2467" s="44"/>
      <c r="C2467" s="44"/>
      <c r="D2467" s="44"/>
      <c r="E2467" s="44"/>
      <c r="F2467" s="44"/>
      <c r="G2467" s="42"/>
      <c r="H2467" s="42"/>
      <c r="I2467" s="44"/>
      <c r="J2467" s="11" t="str">
        <f aca="false">IF(D2467="","",N(G2467)-N(H2467))</f>
        <v/>
      </c>
      <c r="K2467" s="34" t="str">
        <f aca="false">IF(D2467="","",IFERROR(INDEX(I_COA!$C$6:$C$265,MATCH(D2467,I_COA!$A$6:$A$265,0)),"AKUN BARU"))</f>
        <v/>
      </c>
      <c r="L2467" s="34" t="str">
        <f aca="false">IF(K2467="LabaRugi",INDEX(I_COA!$D$6:$D$265,MATCH(D2467,I_COA!$A$6:$A$265,0)),"")</f>
        <v/>
      </c>
      <c r="M2467" s="34" t="str">
        <f aca="false">IF(K2467="Neraca",INDEX(I_COA!$E$6:$E$265,MATCH(D2467,I_COA!$A$6:$A$265,0)),"")</f>
        <v/>
      </c>
      <c r="N2467" s="34" t="str">
        <f aca="false">IF(D2467="","",IFERROR(INDEX(I_COA!$G$6:$G$265,MATCH(D2467,I_COA!$A$6:$A$265,0)),"N"))</f>
        <v/>
      </c>
      <c r="O2467" s="11" t="str">
        <f aca="false">IF(N2467="N",ABS(J2467),"")</f>
        <v/>
      </c>
      <c r="P2467" s="18" t="str">
        <f aca="false">IF(N2467="N",B2467&amp;"|"&amp;ROUND(O2467,0),"")</f>
        <v/>
      </c>
      <c r="Q2467" s="18" t="str">
        <f aca="false">IF(N2467&lt;&gt;"Y","",IFERROR(INDEX($D$6:$D$4005,MATCH(B2467&amp;"|"&amp;ROUND(_xlfn.MAXIFS($O$6:$O$4005,$B$6:$B$4005,B2467,$N$6:$N$4005,"N"),0),$P$6:$P$4005,0)),"(tanpa lawan)"))</f>
        <v/>
      </c>
      <c r="R2467" s="44"/>
      <c r="S2467" s="9" t="str">
        <f aca="false">IF(N2467&lt;&gt;"Y","",IF(R2467&lt;&gt;"",R2467,IF(Q2467="(tanpa lawan)","Transfer antar rekening",IFERROR(INDEX(I_COA!$F$6:$F$265,MATCH(Q2467,I_COA!$A$6:$A$265,0)),"?"))))</f>
        <v/>
      </c>
    </row>
    <row r="2468" customFormat="false" ht="15" hidden="false" customHeight="false" outlineLevel="0" collapsed="false">
      <c r="A2468" s="37"/>
      <c r="B2468" s="44"/>
      <c r="C2468" s="44"/>
      <c r="D2468" s="44"/>
      <c r="E2468" s="44"/>
      <c r="F2468" s="44"/>
      <c r="G2468" s="42"/>
      <c r="H2468" s="42"/>
      <c r="I2468" s="44"/>
      <c r="J2468" s="11" t="str">
        <f aca="false">IF(D2468="","",N(G2468)-N(H2468))</f>
        <v/>
      </c>
      <c r="K2468" s="34" t="str">
        <f aca="false">IF(D2468="","",IFERROR(INDEX(I_COA!$C$6:$C$265,MATCH(D2468,I_COA!$A$6:$A$265,0)),"AKUN BARU"))</f>
        <v/>
      </c>
      <c r="L2468" s="34" t="str">
        <f aca="false">IF(K2468="LabaRugi",INDEX(I_COA!$D$6:$D$265,MATCH(D2468,I_COA!$A$6:$A$265,0)),"")</f>
        <v/>
      </c>
      <c r="M2468" s="34" t="str">
        <f aca="false">IF(K2468="Neraca",INDEX(I_COA!$E$6:$E$265,MATCH(D2468,I_COA!$A$6:$A$265,0)),"")</f>
        <v/>
      </c>
      <c r="N2468" s="34" t="str">
        <f aca="false">IF(D2468="","",IFERROR(INDEX(I_COA!$G$6:$G$265,MATCH(D2468,I_COA!$A$6:$A$265,0)),"N"))</f>
        <v/>
      </c>
      <c r="O2468" s="11" t="str">
        <f aca="false">IF(N2468="N",ABS(J2468),"")</f>
        <v/>
      </c>
      <c r="P2468" s="18" t="str">
        <f aca="false">IF(N2468="N",B2468&amp;"|"&amp;ROUND(O2468,0),"")</f>
        <v/>
      </c>
      <c r="Q2468" s="18" t="str">
        <f aca="false">IF(N2468&lt;&gt;"Y","",IFERROR(INDEX($D$6:$D$4005,MATCH(B2468&amp;"|"&amp;ROUND(_xlfn.MAXIFS($O$6:$O$4005,$B$6:$B$4005,B2468,$N$6:$N$4005,"N"),0),$P$6:$P$4005,0)),"(tanpa lawan)"))</f>
        <v/>
      </c>
      <c r="R2468" s="44"/>
      <c r="S2468" s="9" t="str">
        <f aca="false">IF(N2468&lt;&gt;"Y","",IF(R2468&lt;&gt;"",R2468,IF(Q2468="(tanpa lawan)","Transfer antar rekening",IFERROR(INDEX(I_COA!$F$6:$F$265,MATCH(Q2468,I_COA!$A$6:$A$265,0)),"?"))))</f>
        <v/>
      </c>
    </row>
    <row r="2469" customFormat="false" ht="15" hidden="false" customHeight="false" outlineLevel="0" collapsed="false">
      <c r="A2469" s="37"/>
      <c r="B2469" s="44"/>
      <c r="C2469" s="44"/>
      <c r="D2469" s="44"/>
      <c r="E2469" s="44"/>
      <c r="F2469" s="44"/>
      <c r="G2469" s="42"/>
      <c r="H2469" s="42"/>
      <c r="I2469" s="44"/>
      <c r="J2469" s="11" t="str">
        <f aca="false">IF(D2469="","",N(G2469)-N(H2469))</f>
        <v/>
      </c>
      <c r="K2469" s="34" t="str">
        <f aca="false">IF(D2469="","",IFERROR(INDEX(I_COA!$C$6:$C$265,MATCH(D2469,I_COA!$A$6:$A$265,0)),"AKUN BARU"))</f>
        <v/>
      </c>
      <c r="L2469" s="34" t="str">
        <f aca="false">IF(K2469="LabaRugi",INDEX(I_COA!$D$6:$D$265,MATCH(D2469,I_COA!$A$6:$A$265,0)),"")</f>
        <v/>
      </c>
      <c r="M2469" s="34" t="str">
        <f aca="false">IF(K2469="Neraca",INDEX(I_COA!$E$6:$E$265,MATCH(D2469,I_COA!$A$6:$A$265,0)),"")</f>
        <v/>
      </c>
      <c r="N2469" s="34" t="str">
        <f aca="false">IF(D2469="","",IFERROR(INDEX(I_COA!$G$6:$G$265,MATCH(D2469,I_COA!$A$6:$A$265,0)),"N"))</f>
        <v/>
      </c>
      <c r="O2469" s="11" t="str">
        <f aca="false">IF(N2469="N",ABS(J2469),"")</f>
        <v/>
      </c>
      <c r="P2469" s="18" t="str">
        <f aca="false">IF(N2469="N",B2469&amp;"|"&amp;ROUND(O2469,0),"")</f>
        <v/>
      </c>
      <c r="Q2469" s="18" t="str">
        <f aca="false">IF(N2469&lt;&gt;"Y","",IFERROR(INDEX($D$6:$D$4005,MATCH(B2469&amp;"|"&amp;ROUND(_xlfn.MAXIFS($O$6:$O$4005,$B$6:$B$4005,B2469,$N$6:$N$4005,"N"),0),$P$6:$P$4005,0)),"(tanpa lawan)"))</f>
        <v/>
      </c>
      <c r="R2469" s="44"/>
      <c r="S2469" s="9" t="str">
        <f aca="false">IF(N2469&lt;&gt;"Y","",IF(R2469&lt;&gt;"",R2469,IF(Q2469="(tanpa lawan)","Transfer antar rekening",IFERROR(INDEX(I_COA!$F$6:$F$265,MATCH(Q2469,I_COA!$A$6:$A$265,0)),"?"))))</f>
        <v/>
      </c>
    </row>
    <row r="2470" customFormat="false" ht="15" hidden="false" customHeight="false" outlineLevel="0" collapsed="false">
      <c r="A2470" s="37"/>
      <c r="B2470" s="44"/>
      <c r="C2470" s="44"/>
      <c r="D2470" s="44"/>
      <c r="E2470" s="44"/>
      <c r="F2470" s="44"/>
      <c r="G2470" s="42"/>
      <c r="H2470" s="42"/>
      <c r="I2470" s="44"/>
      <c r="J2470" s="11" t="str">
        <f aca="false">IF(D2470="","",N(G2470)-N(H2470))</f>
        <v/>
      </c>
      <c r="K2470" s="34" t="str">
        <f aca="false">IF(D2470="","",IFERROR(INDEX(I_COA!$C$6:$C$265,MATCH(D2470,I_COA!$A$6:$A$265,0)),"AKUN BARU"))</f>
        <v/>
      </c>
      <c r="L2470" s="34" t="str">
        <f aca="false">IF(K2470="LabaRugi",INDEX(I_COA!$D$6:$D$265,MATCH(D2470,I_COA!$A$6:$A$265,0)),"")</f>
        <v/>
      </c>
      <c r="M2470" s="34" t="str">
        <f aca="false">IF(K2470="Neraca",INDEX(I_COA!$E$6:$E$265,MATCH(D2470,I_COA!$A$6:$A$265,0)),"")</f>
        <v/>
      </c>
      <c r="N2470" s="34" t="str">
        <f aca="false">IF(D2470="","",IFERROR(INDEX(I_COA!$G$6:$G$265,MATCH(D2470,I_COA!$A$6:$A$265,0)),"N"))</f>
        <v/>
      </c>
      <c r="O2470" s="11" t="str">
        <f aca="false">IF(N2470="N",ABS(J2470),"")</f>
        <v/>
      </c>
      <c r="P2470" s="18" t="str">
        <f aca="false">IF(N2470="N",B2470&amp;"|"&amp;ROUND(O2470,0),"")</f>
        <v/>
      </c>
      <c r="Q2470" s="18" t="str">
        <f aca="false">IF(N2470&lt;&gt;"Y","",IFERROR(INDEX($D$6:$D$4005,MATCH(B2470&amp;"|"&amp;ROUND(_xlfn.MAXIFS($O$6:$O$4005,$B$6:$B$4005,B2470,$N$6:$N$4005,"N"),0),$P$6:$P$4005,0)),"(tanpa lawan)"))</f>
        <v/>
      </c>
      <c r="R2470" s="44"/>
      <c r="S2470" s="9" t="str">
        <f aca="false">IF(N2470&lt;&gt;"Y","",IF(R2470&lt;&gt;"",R2470,IF(Q2470="(tanpa lawan)","Transfer antar rekening",IFERROR(INDEX(I_COA!$F$6:$F$265,MATCH(Q2470,I_COA!$A$6:$A$265,0)),"?"))))</f>
        <v/>
      </c>
    </row>
    <row r="2471" customFormat="false" ht="15" hidden="false" customHeight="false" outlineLevel="0" collapsed="false">
      <c r="A2471" s="37"/>
      <c r="B2471" s="44"/>
      <c r="C2471" s="44"/>
      <c r="D2471" s="44"/>
      <c r="E2471" s="44"/>
      <c r="F2471" s="44"/>
      <c r="G2471" s="42"/>
      <c r="H2471" s="42"/>
      <c r="I2471" s="44"/>
      <c r="J2471" s="11" t="str">
        <f aca="false">IF(D2471="","",N(G2471)-N(H2471))</f>
        <v/>
      </c>
      <c r="K2471" s="34" t="str">
        <f aca="false">IF(D2471="","",IFERROR(INDEX(I_COA!$C$6:$C$265,MATCH(D2471,I_COA!$A$6:$A$265,0)),"AKUN BARU"))</f>
        <v/>
      </c>
      <c r="L2471" s="34" t="str">
        <f aca="false">IF(K2471="LabaRugi",INDEX(I_COA!$D$6:$D$265,MATCH(D2471,I_COA!$A$6:$A$265,0)),"")</f>
        <v/>
      </c>
      <c r="M2471" s="34" t="str">
        <f aca="false">IF(K2471="Neraca",INDEX(I_COA!$E$6:$E$265,MATCH(D2471,I_COA!$A$6:$A$265,0)),"")</f>
        <v/>
      </c>
      <c r="N2471" s="34" t="str">
        <f aca="false">IF(D2471="","",IFERROR(INDEX(I_COA!$G$6:$G$265,MATCH(D2471,I_COA!$A$6:$A$265,0)),"N"))</f>
        <v/>
      </c>
      <c r="O2471" s="11" t="str">
        <f aca="false">IF(N2471="N",ABS(J2471),"")</f>
        <v/>
      </c>
      <c r="P2471" s="18" t="str">
        <f aca="false">IF(N2471="N",B2471&amp;"|"&amp;ROUND(O2471,0),"")</f>
        <v/>
      </c>
      <c r="Q2471" s="18" t="str">
        <f aca="false">IF(N2471&lt;&gt;"Y","",IFERROR(INDEX($D$6:$D$4005,MATCH(B2471&amp;"|"&amp;ROUND(_xlfn.MAXIFS($O$6:$O$4005,$B$6:$B$4005,B2471,$N$6:$N$4005,"N"),0),$P$6:$P$4005,0)),"(tanpa lawan)"))</f>
        <v/>
      </c>
      <c r="R2471" s="44"/>
      <c r="S2471" s="9" t="str">
        <f aca="false">IF(N2471&lt;&gt;"Y","",IF(R2471&lt;&gt;"",R2471,IF(Q2471="(tanpa lawan)","Transfer antar rekening",IFERROR(INDEX(I_COA!$F$6:$F$265,MATCH(Q2471,I_COA!$A$6:$A$265,0)),"?"))))</f>
        <v/>
      </c>
    </row>
    <row r="2472" customFormat="false" ht="15" hidden="false" customHeight="false" outlineLevel="0" collapsed="false">
      <c r="A2472" s="37"/>
      <c r="B2472" s="44"/>
      <c r="C2472" s="44"/>
      <c r="D2472" s="44"/>
      <c r="E2472" s="44"/>
      <c r="F2472" s="44"/>
      <c r="G2472" s="42"/>
      <c r="H2472" s="42"/>
      <c r="I2472" s="44"/>
      <c r="J2472" s="11" t="str">
        <f aca="false">IF(D2472="","",N(G2472)-N(H2472))</f>
        <v/>
      </c>
      <c r="K2472" s="34" t="str">
        <f aca="false">IF(D2472="","",IFERROR(INDEX(I_COA!$C$6:$C$265,MATCH(D2472,I_COA!$A$6:$A$265,0)),"AKUN BARU"))</f>
        <v/>
      </c>
      <c r="L2472" s="34" t="str">
        <f aca="false">IF(K2472="LabaRugi",INDEX(I_COA!$D$6:$D$265,MATCH(D2472,I_COA!$A$6:$A$265,0)),"")</f>
        <v/>
      </c>
      <c r="M2472" s="34" t="str">
        <f aca="false">IF(K2472="Neraca",INDEX(I_COA!$E$6:$E$265,MATCH(D2472,I_COA!$A$6:$A$265,0)),"")</f>
        <v/>
      </c>
      <c r="N2472" s="34" t="str">
        <f aca="false">IF(D2472="","",IFERROR(INDEX(I_COA!$G$6:$G$265,MATCH(D2472,I_COA!$A$6:$A$265,0)),"N"))</f>
        <v/>
      </c>
      <c r="O2472" s="11" t="str">
        <f aca="false">IF(N2472="N",ABS(J2472),"")</f>
        <v/>
      </c>
      <c r="P2472" s="18" t="str">
        <f aca="false">IF(N2472="N",B2472&amp;"|"&amp;ROUND(O2472,0),"")</f>
        <v/>
      </c>
      <c r="Q2472" s="18" t="str">
        <f aca="false">IF(N2472&lt;&gt;"Y","",IFERROR(INDEX($D$6:$D$4005,MATCH(B2472&amp;"|"&amp;ROUND(_xlfn.MAXIFS($O$6:$O$4005,$B$6:$B$4005,B2472,$N$6:$N$4005,"N"),0),$P$6:$P$4005,0)),"(tanpa lawan)"))</f>
        <v/>
      </c>
      <c r="R2472" s="44"/>
      <c r="S2472" s="9" t="str">
        <f aca="false">IF(N2472&lt;&gt;"Y","",IF(R2472&lt;&gt;"",R2472,IF(Q2472="(tanpa lawan)","Transfer antar rekening",IFERROR(INDEX(I_COA!$F$6:$F$265,MATCH(Q2472,I_COA!$A$6:$A$265,0)),"?"))))</f>
        <v/>
      </c>
    </row>
    <row r="2473" customFormat="false" ht="15" hidden="false" customHeight="false" outlineLevel="0" collapsed="false">
      <c r="A2473" s="37"/>
      <c r="B2473" s="44"/>
      <c r="C2473" s="44"/>
      <c r="D2473" s="44"/>
      <c r="E2473" s="44"/>
      <c r="F2473" s="44"/>
      <c r="G2473" s="42"/>
      <c r="H2473" s="42"/>
      <c r="I2473" s="44"/>
      <c r="J2473" s="11" t="str">
        <f aca="false">IF(D2473="","",N(G2473)-N(H2473))</f>
        <v/>
      </c>
      <c r="K2473" s="34" t="str">
        <f aca="false">IF(D2473="","",IFERROR(INDEX(I_COA!$C$6:$C$265,MATCH(D2473,I_COA!$A$6:$A$265,0)),"AKUN BARU"))</f>
        <v/>
      </c>
      <c r="L2473" s="34" t="str">
        <f aca="false">IF(K2473="LabaRugi",INDEX(I_COA!$D$6:$D$265,MATCH(D2473,I_COA!$A$6:$A$265,0)),"")</f>
        <v/>
      </c>
      <c r="M2473" s="34" t="str">
        <f aca="false">IF(K2473="Neraca",INDEX(I_COA!$E$6:$E$265,MATCH(D2473,I_COA!$A$6:$A$265,0)),"")</f>
        <v/>
      </c>
      <c r="N2473" s="34" t="str">
        <f aca="false">IF(D2473="","",IFERROR(INDEX(I_COA!$G$6:$G$265,MATCH(D2473,I_COA!$A$6:$A$265,0)),"N"))</f>
        <v/>
      </c>
      <c r="O2473" s="11" t="str">
        <f aca="false">IF(N2473="N",ABS(J2473),"")</f>
        <v/>
      </c>
      <c r="P2473" s="18" t="str">
        <f aca="false">IF(N2473="N",B2473&amp;"|"&amp;ROUND(O2473,0),"")</f>
        <v/>
      </c>
      <c r="Q2473" s="18" t="str">
        <f aca="false">IF(N2473&lt;&gt;"Y","",IFERROR(INDEX($D$6:$D$4005,MATCH(B2473&amp;"|"&amp;ROUND(_xlfn.MAXIFS($O$6:$O$4005,$B$6:$B$4005,B2473,$N$6:$N$4005,"N"),0),$P$6:$P$4005,0)),"(tanpa lawan)"))</f>
        <v/>
      </c>
      <c r="R2473" s="44"/>
      <c r="S2473" s="9" t="str">
        <f aca="false">IF(N2473&lt;&gt;"Y","",IF(R2473&lt;&gt;"",R2473,IF(Q2473="(tanpa lawan)","Transfer antar rekening",IFERROR(INDEX(I_COA!$F$6:$F$265,MATCH(Q2473,I_COA!$A$6:$A$265,0)),"?"))))</f>
        <v/>
      </c>
    </row>
    <row r="2474" customFormat="false" ht="15" hidden="false" customHeight="false" outlineLevel="0" collapsed="false">
      <c r="A2474" s="37"/>
      <c r="B2474" s="44"/>
      <c r="C2474" s="44"/>
      <c r="D2474" s="44"/>
      <c r="E2474" s="44"/>
      <c r="F2474" s="44"/>
      <c r="G2474" s="42"/>
      <c r="H2474" s="42"/>
      <c r="I2474" s="44"/>
      <c r="J2474" s="11" t="str">
        <f aca="false">IF(D2474="","",N(G2474)-N(H2474))</f>
        <v/>
      </c>
      <c r="K2474" s="34" t="str">
        <f aca="false">IF(D2474="","",IFERROR(INDEX(I_COA!$C$6:$C$265,MATCH(D2474,I_COA!$A$6:$A$265,0)),"AKUN BARU"))</f>
        <v/>
      </c>
      <c r="L2474" s="34" t="str">
        <f aca="false">IF(K2474="LabaRugi",INDEX(I_COA!$D$6:$D$265,MATCH(D2474,I_COA!$A$6:$A$265,0)),"")</f>
        <v/>
      </c>
      <c r="M2474" s="34" t="str">
        <f aca="false">IF(K2474="Neraca",INDEX(I_COA!$E$6:$E$265,MATCH(D2474,I_COA!$A$6:$A$265,0)),"")</f>
        <v/>
      </c>
      <c r="N2474" s="34" t="str">
        <f aca="false">IF(D2474="","",IFERROR(INDEX(I_COA!$G$6:$G$265,MATCH(D2474,I_COA!$A$6:$A$265,0)),"N"))</f>
        <v/>
      </c>
      <c r="O2474" s="11" t="str">
        <f aca="false">IF(N2474="N",ABS(J2474),"")</f>
        <v/>
      </c>
      <c r="P2474" s="18" t="str">
        <f aca="false">IF(N2474="N",B2474&amp;"|"&amp;ROUND(O2474,0),"")</f>
        <v/>
      </c>
      <c r="Q2474" s="18" t="str">
        <f aca="false">IF(N2474&lt;&gt;"Y","",IFERROR(INDEX($D$6:$D$4005,MATCH(B2474&amp;"|"&amp;ROUND(_xlfn.MAXIFS($O$6:$O$4005,$B$6:$B$4005,B2474,$N$6:$N$4005,"N"),0),$P$6:$P$4005,0)),"(tanpa lawan)"))</f>
        <v/>
      </c>
      <c r="R2474" s="44"/>
      <c r="S2474" s="9" t="str">
        <f aca="false">IF(N2474&lt;&gt;"Y","",IF(R2474&lt;&gt;"",R2474,IF(Q2474="(tanpa lawan)","Transfer antar rekening",IFERROR(INDEX(I_COA!$F$6:$F$265,MATCH(Q2474,I_COA!$A$6:$A$265,0)),"?"))))</f>
        <v/>
      </c>
    </row>
    <row r="2475" customFormat="false" ht="15" hidden="false" customHeight="false" outlineLevel="0" collapsed="false">
      <c r="A2475" s="37"/>
      <c r="B2475" s="44"/>
      <c r="C2475" s="44"/>
      <c r="D2475" s="44"/>
      <c r="E2475" s="44"/>
      <c r="F2475" s="44"/>
      <c r="G2475" s="42"/>
      <c r="H2475" s="42"/>
      <c r="I2475" s="44"/>
      <c r="J2475" s="11" t="str">
        <f aca="false">IF(D2475="","",N(G2475)-N(H2475))</f>
        <v/>
      </c>
      <c r="K2475" s="34" t="str">
        <f aca="false">IF(D2475="","",IFERROR(INDEX(I_COA!$C$6:$C$265,MATCH(D2475,I_COA!$A$6:$A$265,0)),"AKUN BARU"))</f>
        <v/>
      </c>
      <c r="L2475" s="34" t="str">
        <f aca="false">IF(K2475="LabaRugi",INDEX(I_COA!$D$6:$D$265,MATCH(D2475,I_COA!$A$6:$A$265,0)),"")</f>
        <v/>
      </c>
      <c r="M2475" s="34" t="str">
        <f aca="false">IF(K2475="Neraca",INDEX(I_COA!$E$6:$E$265,MATCH(D2475,I_COA!$A$6:$A$265,0)),"")</f>
        <v/>
      </c>
      <c r="N2475" s="34" t="str">
        <f aca="false">IF(D2475="","",IFERROR(INDEX(I_COA!$G$6:$G$265,MATCH(D2475,I_COA!$A$6:$A$265,0)),"N"))</f>
        <v/>
      </c>
      <c r="O2475" s="11" t="str">
        <f aca="false">IF(N2475="N",ABS(J2475),"")</f>
        <v/>
      </c>
      <c r="P2475" s="18" t="str">
        <f aca="false">IF(N2475="N",B2475&amp;"|"&amp;ROUND(O2475,0),"")</f>
        <v/>
      </c>
      <c r="Q2475" s="18" t="str">
        <f aca="false">IF(N2475&lt;&gt;"Y","",IFERROR(INDEX($D$6:$D$4005,MATCH(B2475&amp;"|"&amp;ROUND(_xlfn.MAXIFS($O$6:$O$4005,$B$6:$B$4005,B2475,$N$6:$N$4005,"N"),0),$P$6:$P$4005,0)),"(tanpa lawan)"))</f>
        <v/>
      </c>
      <c r="R2475" s="44"/>
      <c r="S2475" s="9" t="str">
        <f aca="false">IF(N2475&lt;&gt;"Y","",IF(R2475&lt;&gt;"",R2475,IF(Q2475="(tanpa lawan)","Transfer antar rekening",IFERROR(INDEX(I_COA!$F$6:$F$265,MATCH(Q2475,I_COA!$A$6:$A$265,0)),"?"))))</f>
        <v/>
      </c>
    </row>
    <row r="2476" customFormat="false" ht="15" hidden="false" customHeight="false" outlineLevel="0" collapsed="false">
      <c r="A2476" s="37"/>
      <c r="B2476" s="44"/>
      <c r="C2476" s="44"/>
      <c r="D2476" s="44"/>
      <c r="E2476" s="44"/>
      <c r="F2476" s="44"/>
      <c r="G2476" s="42"/>
      <c r="H2476" s="42"/>
      <c r="I2476" s="44"/>
      <c r="J2476" s="11" t="str">
        <f aca="false">IF(D2476="","",N(G2476)-N(H2476))</f>
        <v/>
      </c>
      <c r="K2476" s="34" t="str">
        <f aca="false">IF(D2476="","",IFERROR(INDEX(I_COA!$C$6:$C$265,MATCH(D2476,I_COA!$A$6:$A$265,0)),"AKUN BARU"))</f>
        <v/>
      </c>
      <c r="L2476" s="34" t="str">
        <f aca="false">IF(K2476="LabaRugi",INDEX(I_COA!$D$6:$D$265,MATCH(D2476,I_COA!$A$6:$A$265,0)),"")</f>
        <v/>
      </c>
      <c r="M2476" s="34" t="str">
        <f aca="false">IF(K2476="Neraca",INDEX(I_COA!$E$6:$E$265,MATCH(D2476,I_COA!$A$6:$A$265,0)),"")</f>
        <v/>
      </c>
      <c r="N2476" s="34" t="str">
        <f aca="false">IF(D2476="","",IFERROR(INDEX(I_COA!$G$6:$G$265,MATCH(D2476,I_COA!$A$6:$A$265,0)),"N"))</f>
        <v/>
      </c>
      <c r="O2476" s="11" t="str">
        <f aca="false">IF(N2476="N",ABS(J2476),"")</f>
        <v/>
      </c>
      <c r="P2476" s="18" t="str">
        <f aca="false">IF(N2476="N",B2476&amp;"|"&amp;ROUND(O2476,0),"")</f>
        <v/>
      </c>
      <c r="Q2476" s="18" t="str">
        <f aca="false">IF(N2476&lt;&gt;"Y","",IFERROR(INDEX($D$6:$D$4005,MATCH(B2476&amp;"|"&amp;ROUND(_xlfn.MAXIFS($O$6:$O$4005,$B$6:$B$4005,B2476,$N$6:$N$4005,"N"),0),$P$6:$P$4005,0)),"(tanpa lawan)"))</f>
        <v/>
      </c>
      <c r="R2476" s="44"/>
      <c r="S2476" s="9" t="str">
        <f aca="false">IF(N2476&lt;&gt;"Y","",IF(R2476&lt;&gt;"",R2476,IF(Q2476="(tanpa lawan)","Transfer antar rekening",IFERROR(INDEX(I_COA!$F$6:$F$265,MATCH(Q2476,I_COA!$A$6:$A$265,0)),"?"))))</f>
        <v/>
      </c>
    </row>
    <row r="2477" customFormat="false" ht="15" hidden="false" customHeight="false" outlineLevel="0" collapsed="false">
      <c r="A2477" s="37"/>
      <c r="B2477" s="44"/>
      <c r="C2477" s="44"/>
      <c r="D2477" s="44"/>
      <c r="E2477" s="44"/>
      <c r="F2477" s="44"/>
      <c r="G2477" s="42"/>
      <c r="H2477" s="42"/>
      <c r="I2477" s="44"/>
      <c r="J2477" s="11" t="str">
        <f aca="false">IF(D2477="","",N(G2477)-N(H2477))</f>
        <v/>
      </c>
      <c r="K2477" s="34" t="str">
        <f aca="false">IF(D2477="","",IFERROR(INDEX(I_COA!$C$6:$C$265,MATCH(D2477,I_COA!$A$6:$A$265,0)),"AKUN BARU"))</f>
        <v/>
      </c>
      <c r="L2477" s="34" t="str">
        <f aca="false">IF(K2477="LabaRugi",INDEX(I_COA!$D$6:$D$265,MATCH(D2477,I_COA!$A$6:$A$265,0)),"")</f>
        <v/>
      </c>
      <c r="M2477" s="34" t="str">
        <f aca="false">IF(K2477="Neraca",INDEX(I_COA!$E$6:$E$265,MATCH(D2477,I_COA!$A$6:$A$265,0)),"")</f>
        <v/>
      </c>
      <c r="N2477" s="34" t="str">
        <f aca="false">IF(D2477="","",IFERROR(INDEX(I_COA!$G$6:$G$265,MATCH(D2477,I_COA!$A$6:$A$265,0)),"N"))</f>
        <v/>
      </c>
      <c r="O2477" s="11" t="str">
        <f aca="false">IF(N2477="N",ABS(J2477),"")</f>
        <v/>
      </c>
      <c r="P2477" s="18" t="str">
        <f aca="false">IF(N2477="N",B2477&amp;"|"&amp;ROUND(O2477,0),"")</f>
        <v/>
      </c>
      <c r="Q2477" s="18" t="str">
        <f aca="false">IF(N2477&lt;&gt;"Y","",IFERROR(INDEX($D$6:$D$4005,MATCH(B2477&amp;"|"&amp;ROUND(_xlfn.MAXIFS($O$6:$O$4005,$B$6:$B$4005,B2477,$N$6:$N$4005,"N"),0),$P$6:$P$4005,0)),"(tanpa lawan)"))</f>
        <v/>
      </c>
      <c r="R2477" s="44"/>
      <c r="S2477" s="9" t="str">
        <f aca="false">IF(N2477&lt;&gt;"Y","",IF(R2477&lt;&gt;"",R2477,IF(Q2477="(tanpa lawan)","Transfer antar rekening",IFERROR(INDEX(I_COA!$F$6:$F$265,MATCH(Q2477,I_COA!$A$6:$A$265,0)),"?"))))</f>
        <v/>
      </c>
    </row>
    <row r="2478" customFormat="false" ht="15" hidden="false" customHeight="false" outlineLevel="0" collapsed="false">
      <c r="A2478" s="37"/>
      <c r="B2478" s="44"/>
      <c r="C2478" s="44"/>
      <c r="D2478" s="44"/>
      <c r="E2478" s="44"/>
      <c r="F2478" s="44"/>
      <c r="G2478" s="42"/>
      <c r="H2478" s="42"/>
      <c r="I2478" s="44"/>
      <c r="J2478" s="11" t="str">
        <f aca="false">IF(D2478="","",N(G2478)-N(H2478))</f>
        <v/>
      </c>
      <c r="K2478" s="34" t="str">
        <f aca="false">IF(D2478="","",IFERROR(INDEX(I_COA!$C$6:$C$265,MATCH(D2478,I_COA!$A$6:$A$265,0)),"AKUN BARU"))</f>
        <v/>
      </c>
      <c r="L2478" s="34" t="str">
        <f aca="false">IF(K2478="LabaRugi",INDEX(I_COA!$D$6:$D$265,MATCH(D2478,I_COA!$A$6:$A$265,0)),"")</f>
        <v/>
      </c>
      <c r="M2478" s="34" t="str">
        <f aca="false">IF(K2478="Neraca",INDEX(I_COA!$E$6:$E$265,MATCH(D2478,I_COA!$A$6:$A$265,0)),"")</f>
        <v/>
      </c>
      <c r="N2478" s="34" t="str">
        <f aca="false">IF(D2478="","",IFERROR(INDEX(I_COA!$G$6:$G$265,MATCH(D2478,I_COA!$A$6:$A$265,0)),"N"))</f>
        <v/>
      </c>
      <c r="O2478" s="11" t="str">
        <f aca="false">IF(N2478="N",ABS(J2478),"")</f>
        <v/>
      </c>
      <c r="P2478" s="18" t="str">
        <f aca="false">IF(N2478="N",B2478&amp;"|"&amp;ROUND(O2478,0),"")</f>
        <v/>
      </c>
      <c r="Q2478" s="18" t="str">
        <f aca="false">IF(N2478&lt;&gt;"Y","",IFERROR(INDEX($D$6:$D$4005,MATCH(B2478&amp;"|"&amp;ROUND(_xlfn.MAXIFS($O$6:$O$4005,$B$6:$B$4005,B2478,$N$6:$N$4005,"N"),0),$P$6:$P$4005,0)),"(tanpa lawan)"))</f>
        <v/>
      </c>
      <c r="R2478" s="44"/>
      <c r="S2478" s="9" t="str">
        <f aca="false">IF(N2478&lt;&gt;"Y","",IF(R2478&lt;&gt;"",R2478,IF(Q2478="(tanpa lawan)","Transfer antar rekening",IFERROR(INDEX(I_COA!$F$6:$F$265,MATCH(Q2478,I_COA!$A$6:$A$265,0)),"?"))))</f>
        <v/>
      </c>
    </row>
    <row r="2479" customFormat="false" ht="15" hidden="false" customHeight="false" outlineLevel="0" collapsed="false">
      <c r="A2479" s="37"/>
      <c r="B2479" s="44"/>
      <c r="C2479" s="44"/>
      <c r="D2479" s="44"/>
      <c r="E2479" s="44"/>
      <c r="F2479" s="44"/>
      <c r="G2479" s="42"/>
      <c r="H2479" s="42"/>
      <c r="I2479" s="44"/>
      <c r="J2479" s="11" t="str">
        <f aca="false">IF(D2479="","",N(G2479)-N(H2479))</f>
        <v/>
      </c>
      <c r="K2479" s="34" t="str">
        <f aca="false">IF(D2479="","",IFERROR(INDEX(I_COA!$C$6:$C$265,MATCH(D2479,I_COA!$A$6:$A$265,0)),"AKUN BARU"))</f>
        <v/>
      </c>
      <c r="L2479" s="34" t="str">
        <f aca="false">IF(K2479="LabaRugi",INDEX(I_COA!$D$6:$D$265,MATCH(D2479,I_COA!$A$6:$A$265,0)),"")</f>
        <v/>
      </c>
      <c r="M2479" s="34" t="str">
        <f aca="false">IF(K2479="Neraca",INDEX(I_COA!$E$6:$E$265,MATCH(D2479,I_COA!$A$6:$A$265,0)),"")</f>
        <v/>
      </c>
      <c r="N2479" s="34" t="str">
        <f aca="false">IF(D2479="","",IFERROR(INDEX(I_COA!$G$6:$G$265,MATCH(D2479,I_COA!$A$6:$A$265,0)),"N"))</f>
        <v/>
      </c>
      <c r="O2479" s="11" t="str">
        <f aca="false">IF(N2479="N",ABS(J2479),"")</f>
        <v/>
      </c>
      <c r="P2479" s="18" t="str">
        <f aca="false">IF(N2479="N",B2479&amp;"|"&amp;ROUND(O2479,0),"")</f>
        <v/>
      </c>
      <c r="Q2479" s="18" t="str">
        <f aca="false">IF(N2479&lt;&gt;"Y","",IFERROR(INDEX($D$6:$D$4005,MATCH(B2479&amp;"|"&amp;ROUND(_xlfn.MAXIFS($O$6:$O$4005,$B$6:$B$4005,B2479,$N$6:$N$4005,"N"),0),$P$6:$P$4005,0)),"(tanpa lawan)"))</f>
        <v/>
      </c>
      <c r="R2479" s="44"/>
      <c r="S2479" s="9" t="str">
        <f aca="false">IF(N2479&lt;&gt;"Y","",IF(R2479&lt;&gt;"",R2479,IF(Q2479="(tanpa lawan)","Transfer antar rekening",IFERROR(INDEX(I_COA!$F$6:$F$265,MATCH(Q2479,I_COA!$A$6:$A$265,0)),"?"))))</f>
        <v/>
      </c>
    </row>
    <row r="2480" customFormat="false" ht="15" hidden="false" customHeight="false" outlineLevel="0" collapsed="false">
      <c r="A2480" s="37"/>
      <c r="B2480" s="44"/>
      <c r="C2480" s="44"/>
      <c r="D2480" s="44"/>
      <c r="E2480" s="44"/>
      <c r="F2480" s="44"/>
      <c r="G2480" s="42"/>
      <c r="H2480" s="42"/>
      <c r="I2480" s="44"/>
      <c r="J2480" s="11" t="str">
        <f aca="false">IF(D2480="","",N(G2480)-N(H2480))</f>
        <v/>
      </c>
      <c r="K2480" s="34" t="str">
        <f aca="false">IF(D2480="","",IFERROR(INDEX(I_COA!$C$6:$C$265,MATCH(D2480,I_COA!$A$6:$A$265,0)),"AKUN BARU"))</f>
        <v/>
      </c>
      <c r="L2480" s="34" t="str">
        <f aca="false">IF(K2480="LabaRugi",INDEX(I_COA!$D$6:$D$265,MATCH(D2480,I_COA!$A$6:$A$265,0)),"")</f>
        <v/>
      </c>
      <c r="M2480" s="34" t="str">
        <f aca="false">IF(K2480="Neraca",INDEX(I_COA!$E$6:$E$265,MATCH(D2480,I_COA!$A$6:$A$265,0)),"")</f>
        <v/>
      </c>
      <c r="N2480" s="34" t="str">
        <f aca="false">IF(D2480="","",IFERROR(INDEX(I_COA!$G$6:$G$265,MATCH(D2480,I_COA!$A$6:$A$265,0)),"N"))</f>
        <v/>
      </c>
      <c r="O2480" s="11" t="str">
        <f aca="false">IF(N2480="N",ABS(J2480),"")</f>
        <v/>
      </c>
      <c r="P2480" s="18" t="str">
        <f aca="false">IF(N2480="N",B2480&amp;"|"&amp;ROUND(O2480,0),"")</f>
        <v/>
      </c>
      <c r="Q2480" s="18" t="str">
        <f aca="false">IF(N2480&lt;&gt;"Y","",IFERROR(INDEX($D$6:$D$4005,MATCH(B2480&amp;"|"&amp;ROUND(_xlfn.MAXIFS($O$6:$O$4005,$B$6:$B$4005,B2480,$N$6:$N$4005,"N"),0),$P$6:$P$4005,0)),"(tanpa lawan)"))</f>
        <v/>
      </c>
      <c r="R2480" s="44"/>
      <c r="S2480" s="9" t="str">
        <f aca="false">IF(N2480&lt;&gt;"Y","",IF(R2480&lt;&gt;"",R2480,IF(Q2480="(tanpa lawan)","Transfer antar rekening",IFERROR(INDEX(I_COA!$F$6:$F$265,MATCH(Q2480,I_COA!$A$6:$A$265,0)),"?"))))</f>
        <v/>
      </c>
    </row>
    <row r="2481" customFormat="false" ht="15" hidden="false" customHeight="false" outlineLevel="0" collapsed="false">
      <c r="A2481" s="37"/>
      <c r="B2481" s="44"/>
      <c r="C2481" s="44"/>
      <c r="D2481" s="44"/>
      <c r="E2481" s="44"/>
      <c r="F2481" s="44"/>
      <c r="G2481" s="42"/>
      <c r="H2481" s="42"/>
      <c r="I2481" s="44"/>
      <c r="J2481" s="11" t="str">
        <f aca="false">IF(D2481="","",N(G2481)-N(H2481))</f>
        <v/>
      </c>
      <c r="K2481" s="34" t="str">
        <f aca="false">IF(D2481="","",IFERROR(INDEX(I_COA!$C$6:$C$265,MATCH(D2481,I_COA!$A$6:$A$265,0)),"AKUN BARU"))</f>
        <v/>
      </c>
      <c r="L2481" s="34" t="str">
        <f aca="false">IF(K2481="LabaRugi",INDEX(I_COA!$D$6:$D$265,MATCH(D2481,I_COA!$A$6:$A$265,0)),"")</f>
        <v/>
      </c>
      <c r="M2481" s="34" t="str">
        <f aca="false">IF(K2481="Neraca",INDEX(I_COA!$E$6:$E$265,MATCH(D2481,I_COA!$A$6:$A$265,0)),"")</f>
        <v/>
      </c>
      <c r="N2481" s="34" t="str">
        <f aca="false">IF(D2481="","",IFERROR(INDEX(I_COA!$G$6:$G$265,MATCH(D2481,I_COA!$A$6:$A$265,0)),"N"))</f>
        <v/>
      </c>
      <c r="O2481" s="11" t="str">
        <f aca="false">IF(N2481="N",ABS(J2481),"")</f>
        <v/>
      </c>
      <c r="P2481" s="18" t="str">
        <f aca="false">IF(N2481="N",B2481&amp;"|"&amp;ROUND(O2481,0),"")</f>
        <v/>
      </c>
      <c r="Q2481" s="18" t="str">
        <f aca="false">IF(N2481&lt;&gt;"Y","",IFERROR(INDEX($D$6:$D$4005,MATCH(B2481&amp;"|"&amp;ROUND(_xlfn.MAXIFS($O$6:$O$4005,$B$6:$B$4005,B2481,$N$6:$N$4005,"N"),0),$P$6:$P$4005,0)),"(tanpa lawan)"))</f>
        <v/>
      </c>
      <c r="R2481" s="44"/>
      <c r="S2481" s="9" t="str">
        <f aca="false">IF(N2481&lt;&gt;"Y","",IF(R2481&lt;&gt;"",R2481,IF(Q2481="(tanpa lawan)","Transfer antar rekening",IFERROR(INDEX(I_COA!$F$6:$F$265,MATCH(Q2481,I_COA!$A$6:$A$265,0)),"?"))))</f>
        <v/>
      </c>
    </row>
    <row r="2482" customFormat="false" ht="15" hidden="false" customHeight="false" outlineLevel="0" collapsed="false">
      <c r="A2482" s="37"/>
      <c r="B2482" s="44"/>
      <c r="C2482" s="44"/>
      <c r="D2482" s="44"/>
      <c r="E2482" s="44"/>
      <c r="F2482" s="44"/>
      <c r="G2482" s="42"/>
      <c r="H2482" s="42"/>
      <c r="I2482" s="44"/>
      <c r="J2482" s="11" t="str">
        <f aca="false">IF(D2482="","",N(G2482)-N(H2482))</f>
        <v/>
      </c>
      <c r="K2482" s="34" t="str">
        <f aca="false">IF(D2482="","",IFERROR(INDEX(I_COA!$C$6:$C$265,MATCH(D2482,I_COA!$A$6:$A$265,0)),"AKUN BARU"))</f>
        <v/>
      </c>
      <c r="L2482" s="34" t="str">
        <f aca="false">IF(K2482="LabaRugi",INDEX(I_COA!$D$6:$D$265,MATCH(D2482,I_COA!$A$6:$A$265,0)),"")</f>
        <v/>
      </c>
      <c r="M2482" s="34" t="str">
        <f aca="false">IF(K2482="Neraca",INDEX(I_COA!$E$6:$E$265,MATCH(D2482,I_COA!$A$6:$A$265,0)),"")</f>
        <v/>
      </c>
      <c r="N2482" s="34" t="str">
        <f aca="false">IF(D2482="","",IFERROR(INDEX(I_COA!$G$6:$G$265,MATCH(D2482,I_COA!$A$6:$A$265,0)),"N"))</f>
        <v/>
      </c>
      <c r="O2482" s="11" t="str">
        <f aca="false">IF(N2482="N",ABS(J2482),"")</f>
        <v/>
      </c>
      <c r="P2482" s="18" t="str">
        <f aca="false">IF(N2482="N",B2482&amp;"|"&amp;ROUND(O2482,0),"")</f>
        <v/>
      </c>
      <c r="Q2482" s="18" t="str">
        <f aca="false">IF(N2482&lt;&gt;"Y","",IFERROR(INDEX($D$6:$D$4005,MATCH(B2482&amp;"|"&amp;ROUND(_xlfn.MAXIFS($O$6:$O$4005,$B$6:$B$4005,B2482,$N$6:$N$4005,"N"),0),$P$6:$P$4005,0)),"(tanpa lawan)"))</f>
        <v/>
      </c>
      <c r="R2482" s="44"/>
      <c r="S2482" s="9" t="str">
        <f aca="false">IF(N2482&lt;&gt;"Y","",IF(R2482&lt;&gt;"",R2482,IF(Q2482="(tanpa lawan)","Transfer antar rekening",IFERROR(INDEX(I_COA!$F$6:$F$265,MATCH(Q2482,I_COA!$A$6:$A$265,0)),"?"))))</f>
        <v/>
      </c>
    </row>
    <row r="2483" customFormat="false" ht="15" hidden="false" customHeight="false" outlineLevel="0" collapsed="false">
      <c r="A2483" s="37"/>
      <c r="B2483" s="44"/>
      <c r="C2483" s="44"/>
      <c r="D2483" s="44"/>
      <c r="E2483" s="44"/>
      <c r="F2483" s="44"/>
      <c r="G2483" s="42"/>
      <c r="H2483" s="42"/>
      <c r="I2483" s="44"/>
      <c r="J2483" s="11" t="str">
        <f aca="false">IF(D2483="","",N(G2483)-N(H2483))</f>
        <v/>
      </c>
      <c r="K2483" s="34" t="str">
        <f aca="false">IF(D2483="","",IFERROR(INDEX(I_COA!$C$6:$C$265,MATCH(D2483,I_COA!$A$6:$A$265,0)),"AKUN BARU"))</f>
        <v/>
      </c>
      <c r="L2483" s="34" t="str">
        <f aca="false">IF(K2483="LabaRugi",INDEX(I_COA!$D$6:$D$265,MATCH(D2483,I_COA!$A$6:$A$265,0)),"")</f>
        <v/>
      </c>
      <c r="M2483" s="34" t="str">
        <f aca="false">IF(K2483="Neraca",INDEX(I_COA!$E$6:$E$265,MATCH(D2483,I_COA!$A$6:$A$265,0)),"")</f>
        <v/>
      </c>
      <c r="N2483" s="34" t="str">
        <f aca="false">IF(D2483="","",IFERROR(INDEX(I_COA!$G$6:$G$265,MATCH(D2483,I_COA!$A$6:$A$265,0)),"N"))</f>
        <v/>
      </c>
      <c r="O2483" s="11" t="str">
        <f aca="false">IF(N2483="N",ABS(J2483),"")</f>
        <v/>
      </c>
      <c r="P2483" s="18" t="str">
        <f aca="false">IF(N2483="N",B2483&amp;"|"&amp;ROUND(O2483,0),"")</f>
        <v/>
      </c>
      <c r="Q2483" s="18" t="str">
        <f aca="false">IF(N2483&lt;&gt;"Y","",IFERROR(INDEX($D$6:$D$4005,MATCH(B2483&amp;"|"&amp;ROUND(_xlfn.MAXIFS($O$6:$O$4005,$B$6:$B$4005,B2483,$N$6:$N$4005,"N"),0),$P$6:$P$4005,0)),"(tanpa lawan)"))</f>
        <v/>
      </c>
      <c r="R2483" s="44"/>
      <c r="S2483" s="9" t="str">
        <f aca="false">IF(N2483&lt;&gt;"Y","",IF(R2483&lt;&gt;"",R2483,IF(Q2483="(tanpa lawan)","Transfer antar rekening",IFERROR(INDEX(I_COA!$F$6:$F$265,MATCH(Q2483,I_COA!$A$6:$A$265,0)),"?"))))</f>
        <v/>
      </c>
    </row>
    <row r="2484" customFormat="false" ht="15" hidden="false" customHeight="false" outlineLevel="0" collapsed="false">
      <c r="A2484" s="37"/>
      <c r="B2484" s="44"/>
      <c r="C2484" s="44"/>
      <c r="D2484" s="44"/>
      <c r="E2484" s="44"/>
      <c r="F2484" s="44"/>
      <c r="G2484" s="42"/>
      <c r="H2484" s="42"/>
      <c r="I2484" s="44"/>
      <c r="J2484" s="11" t="str">
        <f aca="false">IF(D2484="","",N(G2484)-N(H2484))</f>
        <v/>
      </c>
      <c r="K2484" s="34" t="str">
        <f aca="false">IF(D2484="","",IFERROR(INDEX(I_COA!$C$6:$C$265,MATCH(D2484,I_COA!$A$6:$A$265,0)),"AKUN BARU"))</f>
        <v/>
      </c>
      <c r="L2484" s="34" t="str">
        <f aca="false">IF(K2484="LabaRugi",INDEX(I_COA!$D$6:$D$265,MATCH(D2484,I_COA!$A$6:$A$265,0)),"")</f>
        <v/>
      </c>
      <c r="M2484" s="34" t="str">
        <f aca="false">IF(K2484="Neraca",INDEX(I_COA!$E$6:$E$265,MATCH(D2484,I_COA!$A$6:$A$265,0)),"")</f>
        <v/>
      </c>
      <c r="N2484" s="34" t="str">
        <f aca="false">IF(D2484="","",IFERROR(INDEX(I_COA!$G$6:$G$265,MATCH(D2484,I_COA!$A$6:$A$265,0)),"N"))</f>
        <v/>
      </c>
      <c r="O2484" s="11" t="str">
        <f aca="false">IF(N2484="N",ABS(J2484),"")</f>
        <v/>
      </c>
      <c r="P2484" s="18" t="str">
        <f aca="false">IF(N2484="N",B2484&amp;"|"&amp;ROUND(O2484,0),"")</f>
        <v/>
      </c>
      <c r="Q2484" s="18" t="str">
        <f aca="false">IF(N2484&lt;&gt;"Y","",IFERROR(INDEX($D$6:$D$4005,MATCH(B2484&amp;"|"&amp;ROUND(_xlfn.MAXIFS($O$6:$O$4005,$B$6:$B$4005,B2484,$N$6:$N$4005,"N"),0),$P$6:$P$4005,0)),"(tanpa lawan)"))</f>
        <v/>
      </c>
      <c r="R2484" s="44"/>
      <c r="S2484" s="9" t="str">
        <f aca="false">IF(N2484&lt;&gt;"Y","",IF(R2484&lt;&gt;"",R2484,IF(Q2484="(tanpa lawan)","Transfer antar rekening",IFERROR(INDEX(I_COA!$F$6:$F$265,MATCH(Q2484,I_COA!$A$6:$A$265,0)),"?"))))</f>
        <v/>
      </c>
    </row>
    <row r="2485" customFormat="false" ht="15" hidden="false" customHeight="false" outlineLevel="0" collapsed="false">
      <c r="A2485" s="37"/>
      <c r="B2485" s="44"/>
      <c r="C2485" s="44"/>
      <c r="D2485" s="44"/>
      <c r="E2485" s="44"/>
      <c r="F2485" s="44"/>
      <c r="G2485" s="42"/>
      <c r="H2485" s="42"/>
      <c r="I2485" s="44"/>
      <c r="J2485" s="11" t="str">
        <f aca="false">IF(D2485="","",N(G2485)-N(H2485))</f>
        <v/>
      </c>
      <c r="K2485" s="34" t="str">
        <f aca="false">IF(D2485="","",IFERROR(INDEX(I_COA!$C$6:$C$265,MATCH(D2485,I_COA!$A$6:$A$265,0)),"AKUN BARU"))</f>
        <v/>
      </c>
      <c r="L2485" s="34" t="str">
        <f aca="false">IF(K2485="LabaRugi",INDEX(I_COA!$D$6:$D$265,MATCH(D2485,I_COA!$A$6:$A$265,0)),"")</f>
        <v/>
      </c>
      <c r="M2485" s="34" t="str">
        <f aca="false">IF(K2485="Neraca",INDEX(I_COA!$E$6:$E$265,MATCH(D2485,I_COA!$A$6:$A$265,0)),"")</f>
        <v/>
      </c>
      <c r="N2485" s="34" t="str">
        <f aca="false">IF(D2485="","",IFERROR(INDEX(I_COA!$G$6:$G$265,MATCH(D2485,I_COA!$A$6:$A$265,0)),"N"))</f>
        <v/>
      </c>
      <c r="O2485" s="11" t="str">
        <f aca="false">IF(N2485="N",ABS(J2485),"")</f>
        <v/>
      </c>
      <c r="P2485" s="18" t="str">
        <f aca="false">IF(N2485="N",B2485&amp;"|"&amp;ROUND(O2485,0),"")</f>
        <v/>
      </c>
      <c r="Q2485" s="18" t="str">
        <f aca="false">IF(N2485&lt;&gt;"Y","",IFERROR(INDEX($D$6:$D$4005,MATCH(B2485&amp;"|"&amp;ROUND(_xlfn.MAXIFS($O$6:$O$4005,$B$6:$B$4005,B2485,$N$6:$N$4005,"N"),0),$P$6:$P$4005,0)),"(tanpa lawan)"))</f>
        <v/>
      </c>
      <c r="R2485" s="44"/>
      <c r="S2485" s="9" t="str">
        <f aca="false">IF(N2485&lt;&gt;"Y","",IF(R2485&lt;&gt;"",R2485,IF(Q2485="(tanpa lawan)","Transfer antar rekening",IFERROR(INDEX(I_COA!$F$6:$F$265,MATCH(Q2485,I_COA!$A$6:$A$265,0)),"?"))))</f>
        <v/>
      </c>
    </row>
    <row r="2486" customFormat="false" ht="15" hidden="false" customHeight="false" outlineLevel="0" collapsed="false">
      <c r="A2486" s="37"/>
      <c r="B2486" s="44"/>
      <c r="C2486" s="44"/>
      <c r="D2486" s="44"/>
      <c r="E2486" s="44"/>
      <c r="F2486" s="44"/>
      <c r="G2486" s="42"/>
      <c r="H2486" s="42"/>
      <c r="I2486" s="44"/>
      <c r="J2486" s="11" t="str">
        <f aca="false">IF(D2486="","",N(G2486)-N(H2486))</f>
        <v/>
      </c>
      <c r="K2486" s="34" t="str">
        <f aca="false">IF(D2486="","",IFERROR(INDEX(I_COA!$C$6:$C$265,MATCH(D2486,I_COA!$A$6:$A$265,0)),"AKUN BARU"))</f>
        <v/>
      </c>
      <c r="L2486" s="34" t="str">
        <f aca="false">IF(K2486="LabaRugi",INDEX(I_COA!$D$6:$D$265,MATCH(D2486,I_COA!$A$6:$A$265,0)),"")</f>
        <v/>
      </c>
      <c r="M2486" s="34" t="str">
        <f aca="false">IF(K2486="Neraca",INDEX(I_COA!$E$6:$E$265,MATCH(D2486,I_COA!$A$6:$A$265,0)),"")</f>
        <v/>
      </c>
      <c r="N2486" s="34" t="str">
        <f aca="false">IF(D2486="","",IFERROR(INDEX(I_COA!$G$6:$G$265,MATCH(D2486,I_COA!$A$6:$A$265,0)),"N"))</f>
        <v/>
      </c>
      <c r="O2486" s="11" t="str">
        <f aca="false">IF(N2486="N",ABS(J2486),"")</f>
        <v/>
      </c>
      <c r="P2486" s="18" t="str">
        <f aca="false">IF(N2486="N",B2486&amp;"|"&amp;ROUND(O2486,0),"")</f>
        <v/>
      </c>
      <c r="Q2486" s="18" t="str">
        <f aca="false">IF(N2486&lt;&gt;"Y","",IFERROR(INDEX($D$6:$D$4005,MATCH(B2486&amp;"|"&amp;ROUND(_xlfn.MAXIFS($O$6:$O$4005,$B$6:$B$4005,B2486,$N$6:$N$4005,"N"),0),$P$6:$P$4005,0)),"(tanpa lawan)"))</f>
        <v/>
      </c>
      <c r="R2486" s="44"/>
      <c r="S2486" s="9" t="str">
        <f aca="false">IF(N2486&lt;&gt;"Y","",IF(R2486&lt;&gt;"",R2486,IF(Q2486="(tanpa lawan)","Transfer antar rekening",IFERROR(INDEX(I_COA!$F$6:$F$265,MATCH(Q2486,I_COA!$A$6:$A$265,0)),"?"))))</f>
        <v/>
      </c>
    </row>
    <row r="2487" customFormat="false" ht="15" hidden="false" customHeight="false" outlineLevel="0" collapsed="false">
      <c r="A2487" s="37"/>
      <c r="B2487" s="44"/>
      <c r="C2487" s="44"/>
      <c r="D2487" s="44"/>
      <c r="E2487" s="44"/>
      <c r="F2487" s="44"/>
      <c r="G2487" s="42"/>
      <c r="H2487" s="42"/>
      <c r="I2487" s="44"/>
      <c r="J2487" s="11" t="str">
        <f aca="false">IF(D2487="","",N(G2487)-N(H2487))</f>
        <v/>
      </c>
      <c r="K2487" s="34" t="str">
        <f aca="false">IF(D2487="","",IFERROR(INDEX(I_COA!$C$6:$C$265,MATCH(D2487,I_COA!$A$6:$A$265,0)),"AKUN BARU"))</f>
        <v/>
      </c>
      <c r="L2487" s="34" t="str">
        <f aca="false">IF(K2487="LabaRugi",INDEX(I_COA!$D$6:$D$265,MATCH(D2487,I_COA!$A$6:$A$265,0)),"")</f>
        <v/>
      </c>
      <c r="M2487" s="34" t="str">
        <f aca="false">IF(K2487="Neraca",INDEX(I_COA!$E$6:$E$265,MATCH(D2487,I_COA!$A$6:$A$265,0)),"")</f>
        <v/>
      </c>
      <c r="N2487" s="34" t="str">
        <f aca="false">IF(D2487="","",IFERROR(INDEX(I_COA!$G$6:$G$265,MATCH(D2487,I_COA!$A$6:$A$265,0)),"N"))</f>
        <v/>
      </c>
      <c r="O2487" s="11" t="str">
        <f aca="false">IF(N2487="N",ABS(J2487),"")</f>
        <v/>
      </c>
      <c r="P2487" s="18" t="str">
        <f aca="false">IF(N2487="N",B2487&amp;"|"&amp;ROUND(O2487,0),"")</f>
        <v/>
      </c>
      <c r="Q2487" s="18" t="str">
        <f aca="false">IF(N2487&lt;&gt;"Y","",IFERROR(INDEX($D$6:$D$4005,MATCH(B2487&amp;"|"&amp;ROUND(_xlfn.MAXIFS($O$6:$O$4005,$B$6:$B$4005,B2487,$N$6:$N$4005,"N"),0),$P$6:$P$4005,0)),"(tanpa lawan)"))</f>
        <v/>
      </c>
      <c r="R2487" s="44"/>
      <c r="S2487" s="9" t="str">
        <f aca="false">IF(N2487&lt;&gt;"Y","",IF(R2487&lt;&gt;"",R2487,IF(Q2487="(tanpa lawan)","Transfer antar rekening",IFERROR(INDEX(I_COA!$F$6:$F$265,MATCH(Q2487,I_COA!$A$6:$A$265,0)),"?"))))</f>
        <v/>
      </c>
    </row>
    <row r="2488" customFormat="false" ht="15" hidden="false" customHeight="false" outlineLevel="0" collapsed="false">
      <c r="A2488" s="37"/>
      <c r="B2488" s="44"/>
      <c r="C2488" s="44"/>
      <c r="D2488" s="44"/>
      <c r="E2488" s="44"/>
      <c r="F2488" s="44"/>
      <c r="G2488" s="42"/>
      <c r="H2488" s="42"/>
      <c r="I2488" s="44"/>
      <c r="J2488" s="11" t="str">
        <f aca="false">IF(D2488="","",N(G2488)-N(H2488))</f>
        <v/>
      </c>
      <c r="K2488" s="34" t="str">
        <f aca="false">IF(D2488="","",IFERROR(INDEX(I_COA!$C$6:$C$265,MATCH(D2488,I_COA!$A$6:$A$265,0)),"AKUN BARU"))</f>
        <v/>
      </c>
      <c r="L2488" s="34" t="str">
        <f aca="false">IF(K2488="LabaRugi",INDEX(I_COA!$D$6:$D$265,MATCH(D2488,I_COA!$A$6:$A$265,0)),"")</f>
        <v/>
      </c>
      <c r="M2488" s="34" t="str">
        <f aca="false">IF(K2488="Neraca",INDEX(I_COA!$E$6:$E$265,MATCH(D2488,I_COA!$A$6:$A$265,0)),"")</f>
        <v/>
      </c>
      <c r="N2488" s="34" t="str">
        <f aca="false">IF(D2488="","",IFERROR(INDEX(I_COA!$G$6:$G$265,MATCH(D2488,I_COA!$A$6:$A$265,0)),"N"))</f>
        <v/>
      </c>
      <c r="O2488" s="11" t="str">
        <f aca="false">IF(N2488="N",ABS(J2488),"")</f>
        <v/>
      </c>
      <c r="P2488" s="18" t="str">
        <f aca="false">IF(N2488="N",B2488&amp;"|"&amp;ROUND(O2488,0),"")</f>
        <v/>
      </c>
      <c r="Q2488" s="18" t="str">
        <f aca="false">IF(N2488&lt;&gt;"Y","",IFERROR(INDEX($D$6:$D$4005,MATCH(B2488&amp;"|"&amp;ROUND(_xlfn.MAXIFS($O$6:$O$4005,$B$6:$B$4005,B2488,$N$6:$N$4005,"N"),0),$P$6:$P$4005,0)),"(tanpa lawan)"))</f>
        <v/>
      </c>
      <c r="R2488" s="44"/>
      <c r="S2488" s="9" t="str">
        <f aca="false">IF(N2488&lt;&gt;"Y","",IF(R2488&lt;&gt;"",R2488,IF(Q2488="(tanpa lawan)","Transfer antar rekening",IFERROR(INDEX(I_COA!$F$6:$F$265,MATCH(Q2488,I_COA!$A$6:$A$265,0)),"?"))))</f>
        <v/>
      </c>
    </row>
    <row r="2489" customFormat="false" ht="15" hidden="false" customHeight="false" outlineLevel="0" collapsed="false">
      <c r="A2489" s="37"/>
      <c r="B2489" s="44"/>
      <c r="C2489" s="44"/>
      <c r="D2489" s="44"/>
      <c r="E2489" s="44"/>
      <c r="F2489" s="44"/>
      <c r="G2489" s="42"/>
      <c r="H2489" s="42"/>
      <c r="I2489" s="44"/>
      <c r="J2489" s="11" t="str">
        <f aca="false">IF(D2489="","",N(G2489)-N(H2489))</f>
        <v/>
      </c>
      <c r="K2489" s="34" t="str">
        <f aca="false">IF(D2489="","",IFERROR(INDEX(I_COA!$C$6:$C$265,MATCH(D2489,I_COA!$A$6:$A$265,0)),"AKUN BARU"))</f>
        <v/>
      </c>
      <c r="L2489" s="34" t="str">
        <f aca="false">IF(K2489="LabaRugi",INDEX(I_COA!$D$6:$D$265,MATCH(D2489,I_COA!$A$6:$A$265,0)),"")</f>
        <v/>
      </c>
      <c r="M2489" s="34" t="str">
        <f aca="false">IF(K2489="Neraca",INDEX(I_COA!$E$6:$E$265,MATCH(D2489,I_COA!$A$6:$A$265,0)),"")</f>
        <v/>
      </c>
      <c r="N2489" s="34" t="str">
        <f aca="false">IF(D2489="","",IFERROR(INDEX(I_COA!$G$6:$G$265,MATCH(D2489,I_COA!$A$6:$A$265,0)),"N"))</f>
        <v/>
      </c>
      <c r="O2489" s="11" t="str">
        <f aca="false">IF(N2489="N",ABS(J2489),"")</f>
        <v/>
      </c>
      <c r="P2489" s="18" t="str">
        <f aca="false">IF(N2489="N",B2489&amp;"|"&amp;ROUND(O2489,0),"")</f>
        <v/>
      </c>
      <c r="Q2489" s="18" t="str">
        <f aca="false">IF(N2489&lt;&gt;"Y","",IFERROR(INDEX($D$6:$D$4005,MATCH(B2489&amp;"|"&amp;ROUND(_xlfn.MAXIFS($O$6:$O$4005,$B$6:$B$4005,B2489,$N$6:$N$4005,"N"),0),$P$6:$P$4005,0)),"(tanpa lawan)"))</f>
        <v/>
      </c>
      <c r="R2489" s="44"/>
      <c r="S2489" s="9" t="str">
        <f aca="false">IF(N2489&lt;&gt;"Y","",IF(R2489&lt;&gt;"",R2489,IF(Q2489="(tanpa lawan)","Transfer antar rekening",IFERROR(INDEX(I_COA!$F$6:$F$265,MATCH(Q2489,I_COA!$A$6:$A$265,0)),"?"))))</f>
        <v/>
      </c>
    </row>
    <row r="2490" customFormat="false" ht="15" hidden="false" customHeight="false" outlineLevel="0" collapsed="false">
      <c r="A2490" s="37"/>
      <c r="B2490" s="44"/>
      <c r="C2490" s="44"/>
      <c r="D2490" s="44"/>
      <c r="E2490" s="44"/>
      <c r="F2490" s="44"/>
      <c r="G2490" s="42"/>
      <c r="H2490" s="42"/>
      <c r="I2490" s="44"/>
      <c r="J2490" s="11" t="str">
        <f aca="false">IF(D2490="","",N(G2490)-N(H2490))</f>
        <v/>
      </c>
      <c r="K2490" s="34" t="str">
        <f aca="false">IF(D2490="","",IFERROR(INDEX(I_COA!$C$6:$C$265,MATCH(D2490,I_COA!$A$6:$A$265,0)),"AKUN BARU"))</f>
        <v/>
      </c>
      <c r="L2490" s="34" t="str">
        <f aca="false">IF(K2490="LabaRugi",INDEX(I_COA!$D$6:$D$265,MATCH(D2490,I_COA!$A$6:$A$265,0)),"")</f>
        <v/>
      </c>
      <c r="M2490" s="34" t="str">
        <f aca="false">IF(K2490="Neraca",INDEX(I_COA!$E$6:$E$265,MATCH(D2490,I_COA!$A$6:$A$265,0)),"")</f>
        <v/>
      </c>
      <c r="N2490" s="34" t="str">
        <f aca="false">IF(D2490="","",IFERROR(INDEX(I_COA!$G$6:$G$265,MATCH(D2490,I_COA!$A$6:$A$265,0)),"N"))</f>
        <v/>
      </c>
      <c r="O2490" s="11" t="str">
        <f aca="false">IF(N2490="N",ABS(J2490),"")</f>
        <v/>
      </c>
      <c r="P2490" s="18" t="str">
        <f aca="false">IF(N2490="N",B2490&amp;"|"&amp;ROUND(O2490,0),"")</f>
        <v/>
      </c>
      <c r="Q2490" s="18" t="str">
        <f aca="false">IF(N2490&lt;&gt;"Y","",IFERROR(INDEX($D$6:$D$4005,MATCH(B2490&amp;"|"&amp;ROUND(_xlfn.MAXIFS($O$6:$O$4005,$B$6:$B$4005,B2490,$N$6:$N$4005,"N"),0),$P$6:$P$4005,0)),"(tanpa lawan)"))</f>
        <v/>
      </c>
      <c r="R2490" s="44"/>
      <c r="S2490" s="9" t="str">
        <f aca="false">IF(N2490&lt;&gt;"Y","",IF(R2490&lt;&gt;"",R2490,IF(Q2490="(tanpa lawan)","Transfer antar rekening",IFERROR(INDEX(I_COA!$F$6:$F$265,MATCH(Q2490,I_COA!$A$6:$A$265,0)),"?"))))</f>
        <v/>
      </c>
    </row>
    <row r="2491" customFormat="false" ht="15" hidden="false" customHeight="false" outlineLevel="0" collapsed="false">
      <c r="A2491" s="37"/>
      <c r="B2491" s="44"/>
      <c r="C2491" s="44"/>
      <c r="D2491" s="44"/>
      <c r="E2491" s="44"/>
      <c r="F2491" s="44"/>
      <c r="G2491" s="42"/>
      <c r="H2491" s="42"/>
      <c r="I2491" s="44"/>
      <c r="J2491" s="11" t="str">
        <f aca="false">IF(D2491="","",N(G2491)-N(H2491))</f>
        <v/>
      </c>
      <c r="K2491" s="34" t="str">
        <f aca="false">IF(D2491="","",IFERROR(INDEX(I_COA!$C$6:$C$265,MATCH(D2491,I_COA!$A$6:$A$265,0)),"AKUN BARU"))</f>
        <v/>
      </c>
      <c r="L2491" s="34" t="str">
        <f aca="false">IF(K2491="LabaRugi",INDEX(I_COA!$D$6:$D$265,MATCH(D2491,I_COA!$A$6:$A$265,0)),"")</f>
        <v/>
      </c>
      <c r="M2491" s="34" t="str">
        <f aca="false">IF(K2491="Neraca",INDEX(I_COA!$E$6:$E$265,MATCH(D2491,I_COA!$A$6:$A$265,0)),"")</f>
        <v/>
      </c>
      <c r="N2491" s="34" t="str">
        <f aca="false">IF(D2491="","",IFERROR(INDEX(I_COA!$G$6:$G$265,MATCH(D2491,I_COA!$A$6:$A$265,0)),"N"))</f>
        <v/>
      </c>
      <c r="O2491" s="11" t="str">
        <f aca="false">IF(N2491="N",ABS(J2491),"")</f>
        <v/>
      </c>
      <c r="P2491" s="18" t="str">
        <f aca="false">IF(N2491="N",B2491&amp;"|"&amp;ROUND(O2491,0),"")</f>
        <v/>
      </c>
      <c r="Q2491" s="18" t="str">
        <f aca="false">IF(N2491&lt;&gt;"Y","",IFERROR(INDEX($D$6:$D$4005,MATCH(B2491&amp;"|"&amp;ROUND(_xlfn.MAXIFS($O$6:$O$4005,$B$6:$B$4005,B2491,$N$6:$N$4005,"N"),0),$P$6:$P$4005,0)),"(tanpa lawan)"))</f>
        <v/>
      </c>
      <c r="R2491" s="44"/>
      <c r="S2491" s="9" t="str">
        <f aca="false">IF(N2491&lt;&gt;"Y","",IF(R2491&lt;&gt;"",R2491,IF(Q2491="(tanpa lawan)","Transfer antar rekening",IFERROR(INDEX(I_COA!$F$6:$F$265,MATCH(Q2491,I_COA!$A$6:$A$265,0)),"?"))))</f>
        <v/>
      </c>
    </row>
    <row r="2492" customFormat="false" ht="15" hidden="false" customHeight="false" outlineLevel="0" collapsed="false">
      <c r="A2492" s="37"/>
      <c r="B2492" s="44"/>
      <c r="C2492" s="44"/>
      <c r="D2492" s="44"/>
      <c r="E2492" s="44"/>
      <c r="F2492" s="44"/>
      <c r="G2492" s="42"/>
      <c r="H2492" s="42"/>
      <c r="I2492" s="44"/>
      <c r="J2492" s="11" t="str">
        <f aca="false">IF(D2492="","",N(G2492)-N(H2492))</f>
        <v/>
      </c>
      <c r="K2492" s="34" t="str">
        <f aca="false">IF(D2492="","",IFERROR(INDEX(I_COA!$C$6:$C$265,MATCH(D2492,I_COA!$A$6:$A$265,0)),"AKUN BARU"))</f>
        <v/>
      </c>
      <c r="L2492" s="34" t="str">
        <f aca="false">IF(K2492="LabaRugi",INDEX(I_COA!$D$6:$D$265,MATCH(D2492,I_COA!$A$6:$A$265,0)),"")</f>
        <v/>
      </c>
      <c r="M2492" s="34" t="str">
        <f aca="false">IF(K2492="Neraca",INDEX(I_COA!$E$6:$E$265,MATCH(D2492,I_COA!$A$6:$A$265,0)),"")</f>
        <v/>
      </c>
      <c r="N2492" s="34" t="str">
        <f aca="false">IF(D2492="","",IFERROR(INDEX(I_COA!$G$6:$G$265,MATCH(D2492,I_COA!$A$6:$A$265,0)),"N"))</f>
        <v/>
      </c>
      <c r="O2492" s="11" t="str">
        <f aca="false">IF(N2492="N",ABS(J2492),"")</f>
        <v/>
      </c>
      <c r="P2492" s="18" t="str">
        <f aca="false">IF(N2492="N",B2492&amp;"|"&amp;ROUND(O2492,0),"")</f>
        <v/>
      </c>
      <c r="Q2492" s="18" t="str">
        <f aca="false">IF(N2492&lt;&gt;"Y","",IFERROR(INDEX($D$6:$D$4005,MATCH(B2492&amp;"|"&amp;ROUND(_xlfn.MAXIFS($O$6:$O$4005,$B$6:$B$4005,B2492,$N$6:$N$4005,"N"),0),$P$6:$P$4005,0)),"(tanpa lawan)"))</f>
        <v/>
      </c>
      <c r="R2492" s="44"/>
      <c r="S2492" s="9" t="str">
        <f aca="false">IF(N2492&lt;&gt;"Y","",IF(R2492&lt;&gt;"",R2492,IF(Q2492="(tanpa lawan)","Transfer antar rekening",IFERROR(INDEX(I_COA!$F$6:$F$265,MATCH(Q2492,I_COA!$A$6:$A$265,0)),"?"))))</f>
        <v/>
      </c>
    </row>
    <row r="2493" customFormat="false" ht="15" hidden="false" customHeight="false" outlineLevel="0" collapsed="false">
      <c r="A2493" s="37"/>
      <c r="B2493" s="44"/>
      <c r="C2493" s="44"/>
      <c r="D2493" s="44"/>
      <c r="E2493" s="44"/>
      <c r="F2493" s="44"/>
      <c r="G2493" s="42"/>
      <c r="H2493" s="42"/>
      <c r="I2493" s="44"/>
      <c r="J2493" s="11" t="str">
        <f aca="false">IF(D2493="","",N(G2493)-N(H2493))</f>
        <v/>
      </c>
      <c r="K2493" s="34" t="str">
        <f aca="false">IF(D2493="","",IFERROR(INDEX(I_COA!$C$6:$C$265,MATCH(D2493,I_COA!$A$6:$A$265,0)),"AKUN BARU"))</f>
        <v/>
      </c>
      <c r="L2493" s="34" t="str">
        <f aca="false">IF(K2493="LabaRugi",INDEX(I_COA!$D$6:$D$265,MATCH(D2493,I_COA!$A$6:$A$265,0)),"")</f>
        <v/>
      </c>
      <c r="M2493" s="34" t="str">
        <f aca="false">IF(K2493="Neraca",INDEX(I_COA!$E$6:$E$265,MATCH(D2493,I_COA!$A$6:$A$265,0)),"")</f>
        <v/>
      </c>
      <c r="N2493" s="34" t="str">
        <f aca="false">IF(D2493="","",IFERROR(INDEX(I_COA!$G$6:$G$265,MATCH(D2493,I_COA!$A$6:$A$265,0)),"N"))</f>
        <v/>
      </c>
      <c r="O2493" s="11" t="str">
        <f aca="false">IF(N2493="N",ABS(J2493),"")</f>
        <v/>
      </c>
      <c r="P2493" s="18" t="str">
        <f aca="false">IF(N2493="N",B2493&amp;"|"&amp;ROUND(O2493,0),"")</f>
        <v/>
      </c>
      <c r="Q2493" s="18" t="str">
        <f aca="false">IF(N2493&lt;&gt;"Y","",IFERROR(INDEX($D$6:$D$4005,MATCH(B2493&amp;"|"&amp;ROUND(_xlfn.MAXIFS($O$6:$O$4005,$B$6:$B$4005,B2493,$N$6:$N$4005,"N"),0),$P$6:$P$4005,0)),"(tanpa lawan)"))</f>
        <v/>
      </c>
      <c r="R2493" s="44"/>
      <c r="S2493" s="9" t="str">
        <f aca="false">IF(N2493&lt;&gt;"Y","",IF(R2493&lt;&gt;"",R2493,IF(Q2493="(tanpa lawan)","Transfer antar rekening",IFERROR(INDEX(I_COA!$F$6:$F$265,MATCH(Q2493,I_COA!$A$6:$A$265,0)),"?"))))</f>
        <v/>
      </c>
    </row>
    <row r="2494" customFormat="false" ht="15" hidden="false" customHeight="false" outlineLevel="0" collapsed="false">
      <c r="A2494" s="37"/>
      <c r="B2494" s="44"/>
      <c r="C2494" s="44"/>
      <c r="D2494" s="44"/>
      <c r="E2494" s="44"/>
      <c r="F2494" s="44"/>
      <c r="G2494" s="42"/>
      <c r="H2494" s="42"/>
      <c r="I2494" s="44"/>
      <c r="J2494" s="11" t="str">
        <f aca="false">IF(D2494="","",N(G2494)-N(H2494))</f>
        <v/>
      </c>
      <c r="K2494" s="34" t="str">
        <f aca="false">IF(D2494="","",IFERROR(INDEX(I_COA!$C$6:$C$265,MATCH(D2494,I_COA!$A$6:$A$265,0)),"AKUN BARU"))</f>
        <v/>
      </c>
      <c r="L2494" s="34" t="str">
        <f aca="false">IF(K2494="LabaRugi",INDEX(I_COA!$D$6:$D$265,MATCH(D2494,I_COA!$A$6:$A$265,0)),"")</f>
        <v/>
      </c>
      <c r="M2494" s="34" t="str">
        <f aca="false">IF(K2494="Neraca",INDEX(I_COA!$E$6:$E$265,MATCH(D2494,I_COA!$A$6:$A$265,0)),"")</f>
        <v/>
      </c>
      <c r="N2494" s="34" t="str">
        <f aca="false">IF(D2494="","",IFERROR(INDEX(I_COA!$G$6:$G$265,MATCH(D2494,I_COA!$A$6:$A$265,0)),"N"))</f>
        <v/>
      </c>
      <c r="O2494" s="11" t="str">
        <f aca="false">IF(N2494="N",ABS(J2494),"")</f>
        <v/>
      </c>
      <c r="P2494" s="18" t="str">
        <f aca="false">IF(N2494="N",B2494&amp;"|"&amp;ROUND(O2494,0),"")</f>
        <v/>
      </c>
      <c r="Q2494" s="18" t="str">
        <f aca="false">IF(N2494&lt;&gt;"Y","",IFERROR(INDEX($D$6:$D$4005,MATCH(B2494&amp;"|"&amp;ROUND(_xlfn.MAXIFS($O$6:$O$4005,$B$6:$B$4005,B2494,$N$6:$N$4005,"N"),0),$P$6:$P$4005,0)),"(tanpa lawan)"))</f>
        <v/>
      </c>
      <c r="R2494" s="44"/>
      <c r="S2494" s="9" t="str">
        <f aca="false">IF(N2494&lt;&gt;"Y","",IF(R2494&lt;&gt;"",R2494,IF(Q2494="(tanpa lawan)","Transfer antar rekening",IFERROR(INDEX(I_COA!$F$6:$F$265,MATCH(Q2494,I_COA!$A$6:$A$265,0)),"?"))))</f>
        <v/>
      </c>
    </row>
    <row r="2495" customFormat="false" ht="15" hidden="false" customHeight="false" outlineLevel="0" collapsed="false">
      <c r="A2495" s="37"/>
      <c r="B2495" s="44"/>
      <c r="C2495" s="44"/>
      <c r="D2495" s="44"/>
      <c r="E2495" s="44"/>
      <c r="F2495" s="44"/>
      <c r="G2495" s="42"/>
      <c r="H2495" s="42"/>
      <c r="I2495" s="44"/>
      <c r="J2495" s="11" t="str">
        <f aca="false">IF(D2495="","",N(G2495)-N(H2495))</f>
        <v/>
      </c>
      <c r="K2495" s="34" t="str">
        <f aca="false">IF(D2495="","",IFERROR(INDEX(I_COA!$C$6:$C$265,MATCH(D2495,I_COA!$A$6:$A$265,0)),"AKUN BARU"))</f>
        <v/>
      </c>
      <c r="L2495" s="34" t="str">
        <f aca="false">IF(K2495="LabaRugi",INDEX(I_COA!$D$6:$D$265,MATCH(D2495,I_COA!$A$6:$A$265,0)),"")</f>
        <v/>
      </c>
      <c r="M2495" s="34" t="str">
        <f aca="false">IF(K2495="Neraca",INDEX(I_COA!$E$6:$E$265,MATCH(D2495,I_COA!$A$6:$A$265,0)),"")</f>
        <v/>
      </c>
      <c r="N2495" s="34" t="str">
        <f aca="false">IF(D2495="","",IFERROR(INDEX(I_COA!$G$6:$G$265,MATCH(D2495,I_COA!$A$6:$A$265,0)),"N"))</f>
        <v/>
      </c>
      <c r="O2495" s="11" t="str">
        <f aca="false">IF(N2495="N",ABS(J2495),"")</f>
        <v/>
      </c>
      <c r="P2495" s="18" t="str">
        <f aca="false">IF(N2495="N",B2495&amp;"|"&amp;ROUND(O2495,0),"")</f>
        <v/>
      </c>
      <c r="Q2495" s="18" t="str">
        <f aca="false">IF(N2495&lt;&gt;"Y","",IFERROR(INDEX($D$6:$D$4005,MATCH(B2495&amp;"|"&amp;ROUND(_xlfn.MAXIFS($O$6:$O$4005,$B$6:$B$4005,B2495,$N$6:$N$4005,"N"),0),$P$6:$P$4005,0)),"(tanpa lawan)"))</f>
        <v/>
      </c>
      <c r="R2495" s="44"/>
      <c r="S2495" s="9" t="str">
        <f aca="false">IF(N2495&lt;&gt;"Y","",IF(R2495&lt;&gt;"",R2495,IF(Q2495="(tanpa lawan)","Transfer antar rekening",IFERROR(INDEX(I_COA!$F$6:$F$265,MATCH(Q2495,I_COA!$A$6:$A$265,0)),"?"))))</f>
        <v/>
      </c>
    </row>
    <row r="2496" customFormat="false" ht="15" hidden="false" customHeight="false" outlineLevel="0" collapsed="false">
      <c r="A2496" s="37"/>
      <c r="B2496" s="44"/>
      <c r="C2496" s="44"/>
      <c r="D2496" s="44"/>
      <c r="E2496" s="44"/>
      <c r="F2496" s="44"/>
      <c r="G2496" s="42"/>
      <c r="H2496" s="42"/>
      <c r="I2496" s="44"/>
      <c r="J2496" s="11" t="str">
        <f aca="false">IF(D2496="","",N(G2496)-N(H2496))</f>
        <v/>
      </c>
      <c r="K2496" s="34" t="str">
        <f aca="false">IF(D2496="","",IFERROR(INDEX(I_COA!$C$6:$C$265,MATCH(D2496,I_COA!$A$6:$A$265,0)),"AKUN BARU"))</f>
        <v/>
      </c>
      <c r="L2496" s="34" t="str">
        <f aca="false">IF(K2496="LabaRugi",INDEX(I_COA!$D$6:$D$265,MATCH(D2496,I_COA!$A$6:$A$265,0)),"")</f>
        <v/>
      </c>
      <c r="M2496" s="34" t="str">
        <f aca="false">IF(K2496="Neraca",INDEX(I_COA!$E$6:$E$265,MATCH(D2496,I_COA!$A$6:$A$265,0)),"")</f>
        <v/>
      </c>
      <c r="N2496" s="34" t="str">
        <f aca="false">IF(D2496="","",IFERROR(INDEX(I_COA!$G$6:$G$265,MATCH(D2496,I_COA!$A$6:$A$265,0)),"N"))</f>
        <v/>
      </c>
      <c r="O2496" s="11" t="str">
        <f aca="false">IF(N2496="N",ABS(J2496),"")</f>
        <v/>
      </c>
      <c r="P2496" s="18" t="str">
        <f aca="false">IF(N2496="N",B2496&amp;"|"&amp;ROUND(O2496,0),"")</f>
        <v/>
      </c>
      <c r="Q2496" s="18" t="str">
        <f aca="false">IF(N2496&lt;&gt;"Y","",IFERROR(INDEX($D$6:$D$4005,MATCH(B2496&amp;"|"&amp;ROUND(_xlfn.MAXIFS($O$6:$O$4005,$B$6:$B$4005,B2496,$N$6:$N$4005,"N"),0),$P$6:$P$4005,0)),"(tanpa lawan)"))</f>
        <v/>
      </c>
      <c r="R2496" s="44"/>
      <c r="S2496" s="9" t="str">
        <f aca="false">IF(N2496&lt;&gt;"Y","",IF(R2496&lt;&gt;"",R2496,IF(Q2496="(tanpa lawan)","Transfer antar rekening",IFERROR(INDEX(I_COA!$F$6:$F$265,MATCH(Q2496,I_COA!$A$6:$A$265,0)),"?"))))</f>
        <v/>
      </c>
    </row>
    <row r="2497" customFormat="false" ht="15" hidden="false" customHeight="false" outlineLevel="0" collapsed="false">
      <c r="A2497" s="37"/>
      <c r="B2497" s="44"/>
      <c r="C2497" s="44"/>
      <c r="D2497" s="44"/>
      <c r="E2497" s="44"/>
      <c r="F2497" s="44"/>
      <c r="G2497" s="42"/>
      <c r="H2497" s="42"/>
      <c r="I2497" s="44"/>
      <c r="J2497" s="11" t="str">
        <f aca="false">IF(D2497="","",N(G2497)-N(H2497))</f>
        <v/>
      </c>
      <c r="K2497" s="34" t="str">
        <f aca="false">IF(D2497="","",IFERROR(INDEX(I_COA!$C$6:$C$265,MATCH(D2497,I_COA!$A$6:$A$265,0)),"AKUN BARU"))</f>
        <v/>
      </c>
      <c r="L2497" s="34" t="str">
        <f aca="false">IF(K2497="LabaRugi",INDEX(I_COA!$D$6:$D$265,MATCH(D2497,I_COA!$A$6:$A$265,0)),"")</f>
        <v/>
      </c>
      <c r="M2497" s="34" t="str">
        <f aca="false">IF(K2497="Neraca",INDEX(I_COA!$E$6:$E$265,MATCH(D2497,I_COA!$A$6:$A$265,0)),"")</f>
        <v/>
      </c>
      <c r="N2497" s="34" t="str">
        <f aca="false">IF(D2497="","",IFERROR(INDEX(I_COA!$G$6:$G$265,MATCH(D2497,I_COA!$A$6:$A$265,0)),"N"))</f>
        <v/>
      </c>
      <c r="O2497" s="11" t="str">
        <f aca="false">IF(N2497="N",ABS(J2497),"")</f>
        <v/>
      </c>
      <c r="P2497" s="18" t="str">
        <f aca="false">IF(N2497="N",B2497&amp;"|"&amp;ROUND(O2497,0),"")</f>
        <v/>
      </c>
      <c r="Q2497" s="18" t="str">
        <f aca="false">IF(N2497&lt;&gt;"Y","",IFERROR(INDEX($D$6:$D$4005,MATCH(B2497&amp;"|"&amp;ROUND(_xlfn.MAXIFS($O$6:$O$4005,$B$6:$B$4005,B2497,$N$6:$N$4005,"N"),0),$P$6:$P$4005,0)),"(tanpa lawan)"))</f>
        <v/>
      </c>
      <c r="R2497" s="44"/>
      <c r="S2497" s="9" t="str">
        <f aca="false">IF(N2497&lt;&gt;"Y","",IF(R2497&lt;&gt;"",R2497,IF(Q2497="(tanpa lawan)","Transfer antar rekening",IFERROR(INDEX(I_COA!$F$6:$F$265,MATCH(Q2497,I_COA!$A$6:$A$265,0)),"?"))))</f>
        <v/>
      </c>
    </row>
    <row r="2498" customFormat="false" ht="15" hidden="false" customHeight="false" outlineLevel="0" collapsed="false">
      <c r="A2498" s="37"/>
      <c r="B2498" s="44"/>
      <c r="C2498" s="44"/>
      <c r="D2498" s="44"/>
      <c r="E2498" s="44"/>
      <c r="F2498" s="44"/>
      <c r="G2498" s="42"/>
      <c r="H2498" s="42"/>
      <c r="I2498" s="44"/>
      <c r="J2498" s="11" t="str">
        <f aca="false">IF(D2498="","",N(G2498)-N(H2498))</f>
        <v/>
      </c>
      <c r="K2498" s="34" t="str">
        <f aca="false">IF(D2498="","",IFERROR(INDEX(I_COA!$C$6:$C$265,MATCH(D2498,I_COA!$A$6:$A$265,0)),"AKUN BARU"))</f>
        <v/>
      </c>
      <c r="L2498" s="34" t="str">
        <f aca="false">IF(K2498="LabaRugi",INDEX(I_COA!$D$6:$D$265,MATCH(D2498,I_COA!$A$6:$A$265,0)),"")</f>
        <v/>
      </c>
      <c r="M2498" s="34" t="str">
        <f aca="false">IF(K2498="Neraca",INDEX(I_COA!$E$6:$E$265,MATCH(D2498,I_COA!$A$6:$A$265,0)),"")</f>
        <v/>
      </c>
      <c r="N2498" s="34" t="str">
        <f aca="false">IF(D2498="","",IFERROR(INDEX(I_COA!$G$6:$G$265,MATCH(D2498,I_COA!$A$6:$A$265,0)),"N"))</f>
        <v/>
      </c>
      <c r="O2498" s="11" t="str">
        <f aca="false">IF(N2498="N",ABS(J2498),"")</f>
        <v/>
      </c>
      <c r="P2498" s="18" t="str">
        <f aca="false">IF(N2498="N",B2498&amp;"|"&amp;ROUND(O2498,0),"")</f>
        <v/>
      </c>
      <c r="Q2498" s="18" t="str">
        <f aca="false">IF(N2498&lt;&gt;"Y","",IFERROR(INDEX($D$6:$D$4005,MATCH(B2498&amp;"|"&amp;ROUND(_xlfn.MAXIFS($O$6:$O$4005,$B$6:$B$4005,B2498,$N$6:$N$4005,"N"),0),$P$6:$P$4005,0)),"(tanpa lawan)"))</f>
        <v/>
      </c>
      <c r="R2498" s="44"/>
      <c r="S2498" s="9" t="str">
        <f aca="false">IF(N2498&lt;&gt;"Y","",IF(R2498&lt;&gt;"",R2498,IF(Q2498="(tanpa lawan)","Transfer antar rekening",IFERROR(INDEX(I_COA!$F$6:$F$265,MATCH(Q2498,I_COA!$A$6:$A$265,0)),"?"))))</f>
        <v/>
      </c>
    </row>
    <row r="2499" customFormat="false" ht="15" hidden="false" customHeight="false" outlineLevel="0" collapsed="false">
      <c r="A2499" s="37"/>
      <c r="B2499" s="44"/>
      <c r="C2499" s="44"/>
      <c r="D2499" s="44"/>
      <c r="E2499" s="44"/>
      <c r="F2499" s="44"/>
      <c r="G2499" s="42"/>
      <c r="H2499" s="42"/>
      <c r="I2499" s="44"/>
      <c r="J2499" s="11" t="str">
        <f aca="false">IF(D2499="","",N(G2499)-N(H2499))</f>
        <v/>
      </c>
      <c r="K2499" s="34" t="str">
        <f aca="false">IF(D2499="","",IFERROR(INDEX(I_COA!$C$6:$C$265,MATCH(D2499,I_COA!$A$6:$A$265,0)),"AKUN BARU"))</f>
        <v/>
      </c>
      <c r="L2499" s="34" t="str">
        <f aca="false">IF(K2499="LabaRugi",INDEX(I_COA!$D$6:$D$265,MATCH(D2499,I_COA!$A$6:$A$265,0)),"")</f>
        <v/>
      </c>
      <c r="M2499" s="34" t="str">
        <f aca="false">IF(K2499="Neraca",INDEX(I_COA!$E$6:$E$265,MATCH(D2499,I_COA!$A$6:$A$265,0)),"")</f>
        <v/>
      </c>
      <c r="N2499" s="34" t="str">
        <f aca="false">IF(D2499="","",IFERROR(INDEX(I_COA!$G$6:$G$265,MATCH(D2499,I_COA!$A$6:$A$265,0)),"N"))</f>
        <v/>
      </c>
      <c r="O2499" s="11" t="str">
        <f aca="false">IF(N2499="N",ABS(J2499),"")</f>
        <v/>
      </c>
      <c r="P2499" s="18" t="str">
        <f aca="false">IF(N2499="N",B2499&amp;"|"&amp;ROUND(O2499,0),"")</f>
        <v/>
      </c>
      <c r="Q2499" s="18" t="str">
        <f aca="false">IF(N2499&lt;&gt;"Y","",IFERROR(INDEX($D$6:$D$4005,MATCH(B2499&amp;"|"&amp;ROUND(_xlfn.MAXIFS($O$6:$O$4005,$B$6:$B$4005,B2499,$N$6:$N$4005,"N"),0),$P$6:$P$4005,0)),"(tanpa lawan)"))</f>
        <v/>
      </c>
      <c r="R2499" s="44"/>
      <c r="S2499" s="9" t="str">
        <f aca="false">IF(N2499&lt;&gt;"Y","",IF(R2499&lt;&gt;"",R2499,IF(Q2499="(tanpa lawan)","Transfer antar rekening",IFERROR(INDEX(I_COA!$F$6:$F$265,MATCH(Q2499,I_COA!$A$6:$A$265,0)),"?"))))</f>
        <v/>
      </c>
    </row>
    <row r="2500" customFormat="false" ht="15" hidden="false" customHeight="false" outlineLevel="0" collapsed="false">
      <c r="A2500" s="37"/>
      <c r="B2500" s="44"/>
      <c r="C2500" s="44"/>
      <c r="D2500" s="44"/>
      <c r="E2500" s="44"/>
      <c r="F2500" s="44"/>
      <c r="G2500" s="42"/>
      <c r="H2500" s="42"/>
      <c r="I2500" s="44"/>
      <c r="J2500" s="11" t="str">
        <f aca="false">IF(D2500="","",N(G2500)-N(H2500))</f>
        <v/>
      </c>
      <c r="K2500" s="34" t="str">
        <f aca="false">IF(D2500="","",IFERROR(INDEX(I_COA!$C$6:$C$265,MATCH(D2500,I_COA!$A$6:$A$265,0)),"AKUN BARU"))</f>
        <v/>
      </c>
      <c r="L2500" s="34" t="str">
        <f aca="false">IF(K2500="LabaRugi",INDEX(I_COA!$D$6:$D$265,MATCH(D2500,I_COA!$A$6:$A$265,0)),"")</f>
        <v/>
      </c>
      <c r="M2500" s="34" t="str">
        <f aca="false">IF(K2500="Neraca",INDEX(I_COA!$E$6:$E$265,MATCH(D2500,I_COA!$A$6:$A$265,0)),"")</f>
        <v/>
      </c>
      <c r="N2500" s="34" t="str">
        <f aca="false">IF(D2500="","",IFERROR(INDEX(I_COA!$G$6:$G$265,MATCH(D2500,I_COA!$A$6:$A$265,0)),"N"))</f>
        <v/>
      </c>
      <c r="O2500" s="11" t="str">
        <f aca="false">IF(N2500="N",ABS(J2500),"")</f>
        <v/>
      </c>
      <c r="P2500" s="18" t="str">
        <f aca="false">IF(N2500="N",B2500&amp;"|"&amp;ROUND(O2500,0),"")</f>
        <v/>
      </c>
      <c r="Q2500" s="18" t="str">
        <f aca="false">IF(N2500&lt;&gt;"Y","",IFERROR(INDEX($D$6:$D$4005,MATCH(B2500&amp;"|"&amp;ROUND(_xlfn.MAXIFS($O$6:$O$4005,$B$6:$B$4005,B2500,$N$6:$N$4005,"N"),0),$P$6:$P$4005,0)),"(tanpa lawan)"))</f>
        <v/>
      </c>
      <c r="R2500" s="44"/>
      <c r="S2500" s="9" t="str">
        <f aca="false">IF(N2500&lt;&gt;"Y","",IF(R2500&lt;&gt;"",R2500,IF(Q2500="(tanpa lawan)","Transfer antar rekening",IFERROR(INDEX(I_COA!$F$6:$F$265,MATCH(Q2500,I_COA!$A$6:$A$265,0)),"?"))))</f>
        <v/>
      </c>
    </row>
    <row r="2501" customFormat="false" ht="15" hidden="false" customHeight="false" outlineLevel="0" collapsed="false">
      <c r="A2501" s="37"/>
      <c r="B2501" s="44"/>
      <c r="C2501" s="44"/>
      <c r="D2501" s="44"/>
      <c r="E2501" s="44"/>
      <c r="F2501" s="44"/>
      <c r="G2501" s="42"/>
      <c r="H2501" s="42"/>
      <c r="I2501" s="44"/>
      <c r="J2501" s="11" t="str">
        <f aca="false">IF(D2501="","",N(G2501)-N(H2501))</f>
        <v/>
      </c>
      <c r="K2501" s="34" t="str">
        <f aca="false">IF(D2501="","",IFERROR(INDEX(I_COA!$C$6:$C$265,MATCH(D2501,I_COA!$A$6:$A$265,0)),"AKUN BARU"))</f>
        <v/>
      </c>
      <c r="L2501" s="34" t="str">
        <f aca="false">IF(K2501="LabaRugi",INDEX(I_COA!$D$6:$D$265,MATCH(D2501,I_COA!$A$6:$A$265,0)),"")</f>
        <v/>
      </c>
      <c r="M2501" s="34" t="str">
        <f aca="false">IF(K2501="Neraca",INDEX(I_COA!$E$6:$E$265,MATCH(D2501,I_COA!$A$6:$A$265,0)),"")</f>
        <v/>
      </c>
      <c r="N2501" s="34" t="str">
        <f aca="false">IF(D2501="","",IFERROR(INDEX(I_COA!$G$6:$G$265,MATCH(D2501,I_COA!$A$6:$A$265,0)),"N"))</f>
        <v/>
      </c>
      <c r="O2501" s="11" t="str">
        <f aca="false">IF(N2501="N",ABS(J2501),"")</f>
        <v/>
      </c>
      <c r="P2501" s="18" t="str">
        <f aca="false">IF(N2501="N",B2501&amp;"|"&amp;ROUND(O2501,0),"")</f>
        <v/>
      </c>
      <c r="Q2501" s="18" t="str">
        <f aca="false">IF(N2501&lt;&gt;"Y","",IFERROR(INDEX($D$6:$D$4005,MATCH(B2501&amp;"|"&amp;ROUND(_xlfn.MAXIFS($O$6:$O$4005,$B$6:$B$4005,B2501,$N$6:$N$4005,"N"),0),$P$6:$P$4005,0)),"(tanpa lawan)"))</f>
        <v/>
      </c>
      <c r="R2501" s="44"/>
      <c r="S2501" s="9" t="str">
        <f aca="false">IF(N2501&lt;&gt;"Y","",IF(R2501&lt;&gt;"",R2501,IF(Q2501="(tanpa lawan)","Transfer antar rekening",IFERROR(INDEX(I_COA!$F$6:$F$265,MATCH(Q2501,I_COA!$A$6:$A$265,0)),"?"))))</f>
        <v/>
      </c>
    </row>
    <row r="2502" customFormat="false" ht="15" hidden="false" customHeight="false" outlineLevel="0" collapsed="false">
      <c r="A2502" s="37"/>
      <c r="B2502" s="44"/>
      <c r="C2502" s="44"/>
      <c r="D2502" s="44"/>
      <c r="E2502" s="44"/>
      <c r="F2502" s="44"/>
      <c r="G2502" s="42"/>
      <c r="H2502" s="42"/>
      <c r="I2502" s="44"/>
      <c r="J2502" s="11" t="str">
        <f aca="false">IF(D2502="","",N(G2502)-N(H2502))</f>
        <v/>
      </c>
      <c r="K2502" s="34" t="str">
        <f aca="false">IF(D2502="","",IFERROR(INDEX(I_COA!$C$6:$C$265,MATCH(D2502,I_COA!$A$6:$A$265,0)),"AKUN BARU"))</f>
        <v/>
      </c>
      <c r="L2502" s="34" t="str">
        <f aca="false">IF(K2502="LabaRugi",INDEX(I_COA!$D$6:$D$265,MATCH(D2502,I_COA!$A$6:$A$265,0)),"")</f>
        <v/>
      </c>
      <c r="M2502" s="34" t="str">
        <f aca="false">IF(K2502="Neraca",INDEX(I_COA!$E$6:$E$265,MATCH(D2502,I_COA!$A$6:$A$265,0)),"")</f>
        <v/>
      </c>
      <c r="N2502" s="34" t="str">
        <f aca="false">IF(D2502="","",IFERROR(INDEX(I_COA!$G$6:$G$265,MATCH(D2502,I_COA!$A$6:$A$265,0)),"N"))</f>
        <v/>
      </c>
      <c r="O2502" s="11" t="str">
        <f aca="false">IF(N2502="N",ABS(J2502),"")</f>
        <v/>
      </c>
      <c r="P2502" s="18" t="str">
        <f aca="false">IF(N2502="N",B2502&amp;"|"&amp;ROUND(O2502,0),"")</f>
        <v/>
      </c>
      <c r="Q2502" s="18" t="str">
        <f aca="false">IF(N2502&lt;&gt;"Y","",IFERROR(INDEX($D$6:$D$4005,MATCH(B2502&amp;"|"&amp;ROUND(_xlfn.MAXIFS($O$6:$O$4005,$B$6:$B$4005,B2502,$N$6:$N$4005,"N"),0),$P$6:$P$4005,0)),"(tanpa lawan)"))</f>
        <v/>
      </c>
      <c r="R2502" s="44"/>
      <c r="S2502" s="9" t="str">
        <f aca="false">IF(N2502&lt;&gt;"Y","",IF(R2502&lt;&gt;"",R2502,IF(Q2502="(tanpa lawan)","Transfer antar rekening",IFERROR(INDEX(I_COA!$F$6:$F$265,MATCH(Q2502,I_COA!$A$6:$A$265,0)),"?"))))</f>
        <v/>
      </c>
    </row>
    <row r="2503" customFormat="false" ht="15" hidden="false" customHeight="false" outlineLevel="0" collapsed="false">
      <c r="A2503" s="37"/>
      <c r="B2503" s="44"/>
      <c r="C2503" s="44"/>
      <c r="D2503" s="44"/>
      <c r="E2503" s="44"/>
      <c r="F2503" s="44"/>
      <c r="G2503" s="42"/>
      <c r="H2503" s="42"/>
      <c r="I2503" s="44"/>
      <c r="J2503" s="11" t="str">
        <f aca="false">IF(D2503="","",N(G2503)-N(H2503))</f>
        <v/>
      </c>
      <c r="K2503" s="34" t="str">
        <f aca="false">IF(D2503="","",IFERROR(INDEX(I_COA!$C$6:$C$265,MATCH(D2503,I_COA!$A$6:$A$265,0)),"AKUN BARU"))</f>
        <v/>
      </c>
      <c r="L2503" s="34" t="str">
        <f aca="false">IF(K2503="LabaRugi",INDEX(I_COA!$D$6:$D$265,MATCH(D2503,I_COA!$A$6:$A$265,0)),"")</f>
        <v/>
      </c>
      <c r="M2503" s="34" t="str">
        <f aca="false">IF(K2503="Neraca",INDEX(I_COA!$E$6:$E$265,MATCH(D2503,I_COA!$A$6:$A$265,0)),"")</f>
        <v/>
      </c>
      <c r="N2503" s="34" t="str">
        <f aca="false">IF(D2503="","",IFERROR(INDEX(I_COA!$G$6:$G$265,MATCH(D2503,I_COA!$A$6:$A$265,0)),"N"))</f>
        <v/>
      </c>
      <c r="O2503" s="11" t="str">
        <f aca="false">IF(N2503="N",ABS(J2503),"")</f>
        <v/>
      </c>
      <c r="P2503" s="18" t="str">
        <f aca="false">IF(N2503="N",B2503&amp;"|"&amp;ROUND(O2503,0),"")</f>
        <v/>
      </c>
      <c r="Q2503" s="18" t="str">
        <f aca="false">IF(N2503&lt;&gt;"Y","",IFERROR(INDEX($D$6:$D$4005,MATCH(B2503&amp;"|"&amp;ROUND(_xlfn.MAXIFS($O$6:$O$4005,$B$6:$B$4005,B2503,$N$6:$N$4005,"N"),0),$P$6:$P$4005,0)),"(tanpa lawan)"))</f>
        <v/>
      </c>
      <c r="R2503" s="44"/>
      <c r="S2503" s="9" t="str">
        <f aca="false">IF(N2503&lt;&gt;"Y","",IF(R2503&lt;&gt;"",R2503,IF(Q2503="(tanpa lawan)","Transfer antar rekening",IFERROR(INDEX(I_COA!$F$6:$F$265,MATCH(Q2503,I_COA!$A$6:$A$265,0)),"?"))))</f>
        <v/>
      </c>
    </row>
    <row r="2504" customFormat="false" ht="15" hidden="false" customHeight="false" outlineLevel="0" collapsed="false">
      <c r="A2504" s="37"/>
      <c r="B2504" s="44"/>
      <c r="C2504" s="44"/>
      <c r="D2504" s="44"/>
      <c r="E2504" s="44"/>
      <c r="F2504" s="44"/>
      <c r="G2504" s="42"/>
      <c r="H2504" s="42"/>
      <c r="I2504" s="44"/>
      <c r="J2504" s="11" t="str">
        <f aca="false">IF(D2504="","",N(G2504)-N(H2504))</f>
        <v/>
      </c>
      <c r="K2504" s="34" t="str">
        <f aca="false">IF(D2504="","",IFERROR(INDEX(I_COA!$C$6:$C$265,MATCH(D2504,I_COA!$A$6:$A$265,0)),"AKUN BARU"))</f>
        <v/>
      </c>
      <c r="L2504" s="34" t="str">
        <f aca="false">IF(K2504="LabaRugi",INDEX(I_COA!$D$6:$D$265,MATCH(D2504,I_COA!$A$6:$A$265,0)),"")</f>
        <v/>
      </c>
      <c r="M2504" s="34" t="str">
        <f aca="false">IF(K2504="Neraca",INDEX(I_COA!$E$6:$E$265,MATCH(D2504,I_COA!$A$6:$A$265,0)),"")</f>
        <v/>
      </c>
      <c r="N2504" s="34" t="str">
        <f aca="false">IF(D2504="","",IFERROR(INDEX(I_COA!$G$6:$G$265,MATCH(D2504,I_COA!$A$6:$A$265,0)),"N"))</f>
        <v/>
      </c>
      <c r="O2504" s="11" t="str">
        <f aca="false">IF(N2504="N",ABS(J2504),"")</f>
        <v/>
      </c>
      <c r="P2504" s="18" t="str">
        <f aca="false">IF(N2504="N",B2504&amp;"|"&amp;ROUND(O2504,0),"")</f>
        <v/>
      </c>
      <c r="Q2504" s="18" t="str">
        <f aca="false">IF(N2504&lt;&gt;"Y","",IFERROR(INDEX($D$6:$D$4005,MATCH(B2504&amp;"|"&amp;ROUND(_xlfn.MAXIFS($O$6:$O$4005,$B$6:$B$4005,B2504,$N$6:$N$4005,"N"),0),$P$6:$P$4005,0)),"(tanpa lawan)"))</f>
        <v/>
      </c>
      <c r="R2504" s="44"/>
      <c r="S2504" s="9" t="str">
        <f aca="false">IF(N2504&lt;&gt;"Y","",IF(R2504&lt;&gt;"",R2504,IF(Q2504="(tanpa lawan)","Transfer antar rekening",IFERROR(INDEX(I_COA!$F$6:$F$265,MATCH(Q2504,I_COA!$A$6:$A$265,0)),"?"))))</f>
        <v/>
      </c>
    </row>
    <row r="2505" customFormat="false" ht="15" hidden="false" customHeight="false" outlineLevel="0" collapsed="false">
      <c r="A2505" s="37"/>
      <c r="B2505" s="44"/>
      <c r="C2505" s="44"/>
      <c r="D2505" s="44"/>
      <c r="E2505" s="44"/>
      <c r="F2505" s="44"/>
      <c r="G2505" s="42"/>
      <c r="H2505" s="42"/>
      <c r="I2505" s="44"/>
      <c r="J2505" s="11" t="str">
        <f aca="false">IF(D2505="","",N(G2505)-N(H2505))</f>
        <v/>
      </c>
      <c r="K2505" s="34" t="str">
        <f aca="false">IF(D2505="","",IFERROR(INDEX(I_COA!$C$6:$C$265,MATCH(D2505,I_COA!$A$6:$A$265,0)),"AKUN BARU"))</f>
        <v/>
      </c>
      <c r="L2505" s="34" t="str">
        <f aca="false">IF(K2505="LabaRugi",INDEX(I_COA!$D$6:$D$265,MATCH(D2505,I_COA!$A$6:$A$265,0)),"")</f>
        <v/>
      </c>
      <c r="M2505" s="34" t="str">
        <f aca="false">IF(K2505="Neraca",INDEX(I_COA!$E$6:$E$265,MATCH(D2505,I_COA!$A$6:$A$265,0)),"")</f>
        <v/>
      </c>
      <c r="N2505" s="34" t="str">
        <f aca="false">IF(D2505="","",IFERROR(INDEX(I_COA!$G$6:$G$265,MATCH(D2505,I_COA!$A$6:$A$265,0)),"N"))</f>
        <v/>
      </c>
      <c r="O2505" s="11" t="str">
        <f aca="false">IF(N2505="N",ABS(J2505),"")</f>
        <v/>
      </c>
      <c r="P2505" s="18" t="str">
        <f aca="false">IF(N2505="N",B2505&amp;"|"&amp;ROUND(O2505,0),"")</f>
        <v/>
      </c>
      <c r="Q2505" s="18" t="str">
        <f aca="false">IF(N2505&lt;&gt;"Y","",IFERROR(INDEX($D$6:$D$4005,MATCH(B2505&amp;"|"&amp;ROUND(_xlfn.MAXIFS($O$6:$O$4005,$B$6:$B$4005,B2505,$N$6:$N$4005,"N"),0),$P$6:$P$4005,0)),"(tanpa lawan)"))</f>
        <v/>
      </c>
      <c r="R2505" s="44"/>
      <c r="S2505" s="9" t="str">
        <f aca="false">IF(N2505&lt;&gt;"Y","",IF(R2505&lt;&gt;"",R2505,IF(Q2505="(tanpa lawan)","Transfer antar rekening",IFERROR(INDEX(I_COA!$F$6:$F$265,MATCH(Q2505,I_COA!$A$6:$A$265,0)),"?"))))</f>
        <v/>
      </c>
    </row>
    <row r="2506" customFormat="false" ht="15" hidden="false" customHeight="false" outlineLevel="0" collapsed="false">
      <c r="A2506" s="37"/>
      <c r="B2506" s="44"/>
      <c r="C2506" s="44"/>
      <c r="D2506" s="44"/>
      <c r="E2506" s="44"/>
      <c r="F2506" s="44"/>
      <c r="G2506" s="42"/>
      <c r="H2506" s="42"/>
      <c r="I2506" s="44"/>
      <c r="J2506" s="11" t="str">
        <f aca="false">IF(D2506="","",N(G2506)-N(H2506))</f>
        <v/>
      </c>
      <c r="K2506" s="34" t="str">
        <f aca="false">IF(D2506="","",IFERROR(INDEX(I_COA!$C$6:$C$265,MATCH(D2506,I_COA!$A$6:$A$265,0)),"AKUN BARU"))</f>
        <v/>
      </c>
      <c r="L2506" s="34" t="str">
        <f aca="false">IF(K2506="LabaRugi",INDEX(I_COA!$D$6:$D$265,MATCH(D2506,I_COA!$A$6:$A$265,0)),"")</f>
        <v/>
      </c>
      <c r="M2506" s="34" t="str">
        <f aca="false">IF(K2506="Neraca",INDEX(I_COA!$E$6:$E$265,MATCH(D2506,I_COA!$A$6:$A$265,0)),"")</f>
        <v/>
      </c>
      <c r="N2506" s="34" t="str">
        <f aca="false">IF(D2506="","",IFERROR(INDEX(I_COA!$G$6:$G$265,MATCH(D2506,I_COA!$A$6:$A$265,0)),"N"))</f>
        <v/>
      </c>
      <c r="O2506" s="11" t="str">
        <f aca="false">IF(N2506="N",ABS(J2506),"")</f>
        <v/>
      </c>
      <c r="P2506" s="18" t="str">
        <f aca="false">IF(N2506="N",B2506&amp;"|"&amp;ROUND(O2506,0),"")</f>
        <v/>
      </c>
      <c r="Q2506" s="18" t="str">
        <f aca="false">IF(N2506&lt;&gt;"Y","",IFERROR(INDEX($D$6:$D$4005,MATCH(B2506&amp;"|"&amp;ROUND(_xlfn.MAXIFS($O$6:$O$4005,$B$6:$B$4005,B2506,$N$6:$N$4005,"N"),0),$P$6:$P$4005,0)),"(tanpa lawan)"))</f>
        <v/>
      </c>
      <c r="R2506" s="44"/>
      <c r="S2506" s="9" t="str">
        <f aca="false">IF(N2506&lt;&gt;"Y","",IF(R2506&lt;&gt;"",R2506,IF(Q2506="(tanpa lawan)","Transfer antar rekening",IFERROR(INDEX(I_COA!$F$6:$F$265,MATCH(Q2506,I_COA!$A$6:$A$265,0)),"?"))))</f>
        <v/>
      </c>
    </row>
    <row r="2507" customFormat="false" ht="15" hidden="false" customHeight="false" outlineLevel="0" collapsed="false">
      <c r="A2507" s="37"/>
      <c r="B2507" s="44"/>
      <c r="C2507" s="44"/>
      <c r="D2507" s="44"/>
      <c r="E2507" s="44"/>
      <c r="F2507" s="44"/>
      <c r="G2507" s="42"/>
      <c r="H2507" s="42"/>
      <c r="I2507" s="44"/>
      <c r="J2507" s="11" t="str">
        <f aca="false">IF(D2507="","",N(G2507)-N(H2507))</f>
        <v/>
      </c>
      <c r="K2507" s="34" t="str">
        <f aca="false">IF(D2507="","",IFERROR(INDEX(I_COA!$C$6:$C$265,MATCH(D2507,I_COA!$A$6:$A$265,0)),"AKUN BARU"))</f>
        <v/>
      </c>
      <c r="L2507" s="34" t="str">
        <f aca="false">IF(K2507="LabaRugi",INDEX(I_COA!$D$6:$D$265,MATCH(D2507,I_COA!$A$6:$A$265,0)),"")</f>
        <v/>
      </c>
      <c r="M2507" s="34" t="str">
        <f aca="false">IF(K2507="Neraca",INDEX(I_COA!$E$6:$E$265,MATCH(D2507,I_COA!$A$6:$A$265,0)),"")</f>
        <v/>
      </c>
      <c r="N2507" s="34" t="str">
        <f aca="false">IF(D2507="","",IFERROR(INDEX(I_COA!$G$6:$G$265,MATCH(D2507,I_COA!$A$6:$A$265,0)),"N"))</f>
        <v/>
      </c>
      <c r="O2507" s="11" t="str">
        <f aca="false">IF(N2507="N",ABS(J2507),"")</f>
        <v/>
      </c>
      <c r="P2507" s="18" t="str">
        <f aca="false">IF(N2507="N",B2507&amp;"|"&amp;ROUND(O2507,0),"")</f>
        <v/>
      </c>
      <c r="Q2507" s="18" t="str">
        <f aca="false">IF(N2507&lt;&gt;"Y","",IFERROR(INDEX($D$6:$D$4005,MATCH(B2507&amp;"|"&amp;ROUND(_xlfn.MAXIFS($O$6:$O$4005,$B$6:$B$4005,B2507,$N$6:$N$4005,"N"),0),$P$6:$P$4005,0)),"(tanpa lawan)"))</f>
        <v/>
      </c>
      <c r="R2507" s="44"/>
      <c r="S2507" s="9" t="str">
        <f aca="false">IF(N2507&lt;&gt;"Y","",IF(R2507&lt;&gt;"",R2507,IF(Q2507="(tanpa lawan)","Transfer antar rekening",IFERROR(INDEX(I_COA!$F$6:$F$265,MATCH(Q2507,I_COA!$A$6:$A$265,0)),"?"))))</f>
        <v/>
      </c>
    </row>
    <row r="2508" customFormat="false" ht="15" hidden="false" customHeight="false" outlineLevel="0" collapsed="false">
      <c r="A2508" s="37"/>
      <c r="B2508" s="44"/>
      <c r="C2508" s="44"/>
      <c r="D2508" s="44"/>
      <c r="E2508" s="44"/>
      <c r="F2508" s="44"/>
      <c r="G2508" s="42"/>
      <c r="H2508" s="42"/>
      <c r="I2508" s="44"/>
      <c r="J2508" s="11" t="str">
        <f aca="false">IF(D2508="","",N(G2508)-N(H2508))</f>
        <v/>
      </c>
      <c r="K2508" s="34" t="str">
        <f aca="false">IF(D2508="","",IFERROR(INDEX(I_COA!$C$6:$C$265,MATCH(D2508,I_COA!$A$6:$A$265,0)),"AKUN BARU"))</f>
        <v/>
      </c>
      <c r="L2508" s="34" t="str">
        <f aca="false">IF(K2508="LabaRugi",INDEX(I_COA!$D$6:$D$265,MATCH(D2508,I_COA!$A$6:$A$265,0)),"")</f>
        <v/>
      </c>
      <c r="M2508" s="34" t="str">
        <f aca="false">IF(K2508="Neraca",INDEX(I_COA!$E$6:$E$265,MATCH(D2508,I_COA!$A$6:$A$265,0)),"")</f>
        <v/>
      </c>
      <c r="N2508" s="34" t="str">
        <f aca="false">IF(D2508="","",IFERROR(INDEX(I_COA!$G$6:$G$265,MATCH(D2508,I_COA!$A$6:$A$265,0)),"N"))</f>
        <v/>
      </c>
      <c r="O2508" s="11" t="str">
        <f aca="false">IF(N2508="N",ABS(J2508),"")</f>
        <v/>
      </c>
      <c r="P2508" s="18" t="str">
        <f aca="false">IF(N2508="N",B2508&amp;"|"&amp;ROUND(O2508,0),"")</f>
        <v/>
      </c>
      <c r="Q2508" s="18" t="str">
        <f aca="false">IF(N2508&lt;&gt;"Y","",IFERROR(INDEX($D$6:$D$4005,MATCH(B2508&amp;"|"&amp;ROUND(_xlfn.MAXIFS($O$6:$O$4005,$B$6:$B$4005,B2508,$N$6:$N$4005,"N"),0),$P$6:$P$4005,0)),"(tanpa lawan)"))</f>
        <v/>
      </c>
      <c r="R2508" s="44"/>
      <c r="S2508" s="9" t="str">
        <f aca="false">IF(N2508&lt;&gt;"Y","",IF(R2508&lt;&gt;"",R2508,IF(Q2508="(tanpa lawan)","Transfer antar rekening",IFERROR(INDEX(I_COA!$F$6:$F$265,MATCH(Q2508,I_COA!$A$6:$A$265,0)),"?"))))</f>
        <v/>
      </c>
    </row>
    <row r="2509" customFormat="false" ht="15" hidden="false" customHeight="false" outlineLevel="0" collapsed="false">
      <c r="A2509" s="37"/>
      <c r="B2509" s="44"/>
      <c r="C2509" s="44"/>
      <c r="D2509" s="44"/>
      <c r="E2509" s="44"/>
      <c r="F2509" s="44"/>
      <c r="G2509" s="42"/>
      <c r="H2509" s="42"/>
      <c r="I2509" s="44"/>
      <c r="J2509" s="11" t="str">
        <f aca="false">IF(D2509="","",N(G2509)-N(H2509))</f>
        <v/>
      </c>
      <c r="K2509" s="34" t="str">
        <f aca="false">IF(D2509="","",IFERROR(INDEX(I_COA!$C$6:$C$265,MATCH(D2509,I_COA!$A$6:$A$265,0)),"AKUN BARU"))</f>
        <v/>
      </c>
      <c r="L2509" s="34" t="str">
        <f aca="false">IF(K2509="LabaRugi",INDEX(I_COA!$D$6:$D$265,MATCH(D2509,I_COA!$A$6:$A$265,0)),"")</f>
        <v/>
      </c>
      <c r="M2509" s="34" t="str">
        <f aca="false">IF(K2509="Neraca",INDEX(I_COA!$E$6:$E$265,MATCH(D2509,I_COA!$A$6:$A$265,0)),"")</f>
        <v/>
      </c>
      <c r="N2509" s="34" t="str">
        <f aca="false">IF(D2509="","",IFERROR(INDEX(I_COA!$G$6:$G$265,MATCH(D2509,I_COA!$A$6:$A$265,0)),"N"))</f>
        <v/>
      </c>
      <c r="O2509" s="11" t="str">
        <f aca="false">IF(N2509="N",ABS(J2509),"")</f>
        <v/>
      </c>
      <c r="P2509" s="18" t="str">
        <f aca="false">IF(N2509="N",B2509&amp;"|"&amp;ROUND(O2509,0),"")</f>
        <v/>
      </c>
      <c r="Q2509" s="18" t="str">
        <f aca="false">IF(N2509&lt;&gt;"Y","",IFERROR(INDEX($D$6:$D$4005,MATCH(B2509&amp;"|"&amp;ROUND(_xlfn.MAXIFS($O$6:$O$4005,$B$6:$B$4005,B2509,$N$6:$N$4005,"N"),0),$P$6:$P$4005,0)),"(tanpa lawan)"))</f>
        <v/>
      </c>
      <c r="R2509" s="44"/>
      <c r="S2509" s="9" t="str">
        <f aca="false">IF(N2509&lt;&gt;"Y","",IF(R2509&lt;&gt;"",R2509,IF(Q2509="(tanpa lawan)","Transfer antar rekening",IFERROR(INDEX(I_COA!$F$6:$F$265,MATCH(Q2509,I_COA!$A$6:$A$265,0)),"?"))))</f>
        <v/>
      </c>
    </row>
    <row r="2510" customFormat="false" ht="15" hidden="false" customHeight="false" outlineLevel="0" collapsed="false">
      <c r="A2510" s="37"/>
      <c r="B2510" s="44"/>
      <c r="C2510" s="44"/>
      <c r="D2510" s="44"/>
      <c r="E2510" s="44"/>
      <c r="F2510" s="44"/>
      <c r="G2510" s="42"/>
      <c r="H2510" s="42"/>
      <c r="I2510" s="44"/>
      <c r="J2510" s="11" t="str">
        <f aca="false">IF(D2510="","",N(G2510)-N(H2510))</f>
        <v/>
      </c>
      <c r="K2510" s="34" t="str">
        <f aca="false">IF(D2510="","",IFERROR(INDEX(I_COA!$C$6:$C$265,MATCH(D2510,I_COA!$A$6:$A$265,0)),"AKUN BARU"))</f>
        <v/>
      </c>
      <c r="L2510" s="34" t="str">
        <f aca="false">IF(K2510="LabaRugi",INDEX(I_COA!$D$6:$D$265,MATCH(D2510,I_COA!$A$6:$A$265,0)),"")</f>
        <v/>
      </c>
      <c r="M2510" s="34" t="str">
        <f aca="false">IF(K2510="Neraca",INDEX(I_COA!$E$6:$E$265,MATCH(D2510,I_COA!$A$6:$A$265,0)),"")</f>
        <v/>
      </c>
      <c r="N2510" s="34" t="str">
        <f aca="false">IF(D2510="","",IFERROR(INDEX(I_COA!$G$6:$G$265,MATCH(D2510,I_COA!$A$6:$A$265,0)),"N"))</f>
        <v/>
      </c>
      <c r="O2510" s="11" t="str">
        <f aca="false">IF(N2510="N",ABS(J2510),"")</f>
        <v/>
      </c>
      <c r="P2510" s="18" t="str">
        <f aca="false">IF(N2510="N",B2510&amp;"|"&amp;ROUND(O2510,0),"")</f>
        <v/>
      </c>
      <c r="Q2510" s="18" t="str">
        <f aca="false">IF(N2510&lt;&gt;"Y","",IFERROR(INDEX($D$6:$D$4005,MATCH(B2510&amp;"|"&amp;ROUND(_xlfn.MAXIFS($O$6:$O$4005,$B$6:$B$4005,B2510,$N$6:$N$4005,"N"),0),$P$6:$P$4005,0)),"(tanpa lawan)"))</f>
        <v/>
      </c>
      <c r="R2510" s="44"/>
      <c r="S2510" s="9" t="str">
        <f aca="false">IF(N2510&lt;&gt;"Y","",IF(R2510&lt;&gt;"",R2510,IF(Q2510="(tanpa lawan)","Transfer antar rekening",IFERROR(INDEX(I_COA!$F$6:$F$265,MATCH(Q2510,I_COA!$A$6:$A$265,0)),"?"))))</f>
        <v/>
      </c>
    </row>
    <row r="2511" customFormat="false" ht="15" hidden="false" customHeight="false" outlineLevel="0" collapsed="false">
      <c r="A2511" s="37"/>
      <c r="B2511" s="44"/>
      <c r="C2511" s="44"/>
      <c r="D2511" s="44"/>
      <c r="E2511" s="44"/>
      <c r="F2511" s="44"/>
      <c r="G2511" s="42"/>
      <c r="H2511" s="42"/>
      <c r="I2511" s="44"/>
      <c r="J2511" s="11" t="str">
        <f aca="false">IF(D2511="","",N(G2511)-N(H2511))</f>
        <v/>
      </c>
      <c r="K2511" s="34" t="str">
        <f aca="false">IF(D2511="","",IFERROR(INDEX(I_COA!$C$6:$C$265,MATCH(D2511,I_COA!$A$6:$A$265,0)),"AKUN BARU"))</f>
        <v/>
      </c>
      <c r="L2511" s="34" t="str">
        <f aca="false">IF(K2511="LabaRugi",INDEX(I_COA!$D$6:$D$265,MATCH(D2511,I_COA!$A$6:$A$265,0)),"")</f>
        <v/>
      </c>
      <c r="M2511" s="34" t="str">
        <f aca="false">IF(K2511="Neraca",INDEX(I_COA!$E$6:$E$265,MATCH(D2511,I_COA!$A$6:$A$265,0)),"")</f>
        <v/>
      </c>
      <c r="N2511" s="34" t="str">
        <f aca="false">IF(D2511="","",IFERROR(INDEX(I_COA!$G$6:$G$265,MATCH(D2511,I_COA!$A$6:$A$265,0)),"N"))</f>
        <v/>
      </c>
      <c r="O2511" s="11" t="str">
        <f aca="false">IF(N2511="N",ABS(J2511),"")</f>
        <v/>
      </c>
      <c r="P2511" s="18" t="str">
        <f aca="false">IF(N2511="N",B2511&amp;"|"&amp;ROUND(O2511,0),"")</f>
        <v/>
      </c>
      <c r="Q2511" s="18" t="str">
        <f aca="false">IF(N2511&lt;&gt;"Y","",IFERROR(INDEX($D$6:$D$4005,MATCH(B2511&amp;"|"&amp;ROUND(_xlfn.MAXIFS($O$6:$O$4005,$B$6:$B$4005,B2511,$N$6:$N$4005,"N"),0),$P$6:$P$4005,0)),"(tanpa lawan)"))</f>
        <v/>
      </c>
      <c r="R2511" s="44"/>
      <c r="S2511" s="9" t="str">
        <f aca="false">IF(N2511&lt;&gt;"Y","",IF(R2511&lt;&gt;"",R2511,IF(Q2511="(tanpa lawan)","Transfer antar rekening",IFERROR(INDEX(I_COA!$F$6:$F$265,MATCH(Q2511,I_COA!$A$6:$A$265,0)),"?"))))</f>
        <v/>
      </c>
    </row>
    <row r="2512" customFormat="false" ht="15" hidden="false" customHeight="false" outlineLevel="0" collapsed="false">
      <c r="A2512" s="37"/>
      <c r="B2512" s="44"/>
      <c r="C2512" s="44"/>
      <c r="D2512" s="44"/>
      <c r="E2512" s="44"/>
      <c r="F2512" s="44"/>
      <c r="G2512" s="42"/>
      <c r="H2512" s="42"/>
      <c r="I2512" s="44"/>
      <c r="J2512" s="11" t="str">
        <f aca="false">IF(D2512="","",N(G2512)-N(H2512))</f>
        <v/>
      </c>
      <c r="K2512" s="34" t="str">
        <f aca="false">IF(D2512="","",IFERROR(INDEX(I_COA!$C$6:$C$265,MATCH(D2512,I_COA!$A$6:$A$265,0)),"AKUN BARU"))</f>
        <v/>
      </c>
      <c r="L2512" s="34" t="str">
        <f aca="false">IF(K2512="LabaRugi",INDEX(I_COA!$D$6:$D$265,MATCH(D2512,I_COA!$A$6:$A$265,0)),"")</f>
        <v/>
      </c>
      <c r="M2512" s="34" t="str">
        <f aca="false">IF(K2512="Neraca",INDEX(I_COA!$E$6:$E$265,MATCH(D2512,I_COA!$A$6:$A$265,0)),"")</f>
        <v/>
      </c>
      <c r="N2512" s="34" t="str">
        <f aca="false">IF(D2512="","",IFERROR(INDEX(I_COA!$G$6:$G$265,MATCH(D2512,I_COA!$A$6:$A$265,0)),"N"))</f>
        <v/>
      </c>
      <c r="O2512" s="11" t="str">
        <f aca="false">IF(N2512="N",ABS(J2512),"")</f>
        <v/>
      </c>
      <c r="P2512" s="18" t="str">
        <f aca="false">IF(N2512="N",B2512&amp;"|"&amp;ROUND(O2512,0),"")</f>
        <v/>
      </c>
      <c r="Q2512" s="18" t="str">
        <f aca="false">IF(N2512&lt;&gt;"Y","",IFERROR(INDEX($D$6:$D$4005,MATCH(B2512&amp;"|"&amp;ROUND(_xlfn.MAXIFS($O$6:$O$4005,$B$6:$B$4005,B2512,$N$6:$N$4005,"N"),0),$P$6:$P$4005,0)),"(tanpa lawan)"))</f>
        <v/>
      </c>
      <c r="R2512" s="44"/>
      <c r="S2512" s="9" t="str">
        <f aca="false">IF(N2512&lt;&gt;"Y","",IF(R2512&lt;&gt;"",R2512,IF(Q2512="(tanpa lawan)","Transfer antar rekening",IFERROR(INDEX(I_COA!$F$6:$F$265,MATCH(Q2512,I_COA!$A$6:$A$265,0)),"?"))))</f>
        <v/>
      </c>
    </row>
    <row r="2513" customFormat="false" ht="15" hidden="false" customHeight="false" outlineLevel="0" collapsed="false">
      <c r="A2513" s="37"/>
      <c r="B2513" s="44"/>
      <c r="C2513" s="44"/>
      <c r="D2513" s="44"/>
      <c r="E2513" s="44"/>
      <c r="F2513" s="44"/>
      <c r="G2513" s="42"/>
      <c r="H2513" s="42"/>
      <c r="I2513" s="44"/>
      <c r="J2513" s="11" t="str">
        <f aca="false">IF(D2513="","",N(G2513)-N(H2513))</f>
        <v/>
      </c>
      <c r="K2513" s="34" t="str">
        <f aca="false">IF(D2513="","",IFERROR(INDEX(I_COA!$C$6:$C$265,MATCH(D2513,I_COA!$A$6:$A$265,0)),"AKUN BARU"))</f>
        <v/>
      </c>
      <c r="L2513" s="34" t="str">
        <f aca="false">IF(K2513="LabaRugi",INDEX(I_COA!$D$6:$D$265,MATCH(D2513,I_COA!$A$6:$A$265,0)),"")</f>
        <v/>
      </c>
      <c r="M2513" s="34" t="str">
        <f aca="false">IF(K2513="Neraca",INDEX(I_COA!$E$6:$E$265,MATCH(D2513,I_COA!$A$6:$A$265,0)),"")</f>
        <v/>
      </c>
      <c r="N2513" s="34" t="str">
        <f aca="false">IF(D2513="","",IFERROR(INDEX(I_COA!$G$6:$G$265,MATCH(D2513,I_COA!$A$6:$A$265,0)),"N"))</f>
        <v/>
      </c>
      <c r="O2513" s="11" t="str">
        <f aca="false">IF(N2513="N",ABS(J2513),"")</f>
        <v/>
      </c>
      <c r="P2513" s="18" t="str">
        <f aca="false">IF(N2513="N",B2513&amp;"|"&amp;ROUND(O2513,0),"")</f>
        <v/>
      </c>
      <c r="Q2513" s="18" t="str">
        <f aca="false">IF(N2513&lt;&gt;"Y","",IFERROR(INDEX($D$6:$D$4005,MATCH(B2513&amp;"|"&amp;ROUND(_xlfn.MAXIFS($O$6:$O$4005,$B$6:$B$4005,B2513,$N$6:$N$4005,"N"),0),$P$6:$P$4005,0)),"(tanpa lawan)"))</f>
        <v/>
      </c>
      <c r="R2513" s="44"/>
      <c r="S2513" s="9" t="str">
        <f aca="false">IF(N2513&lt;&gt;"Y","",IF(R2513&lt;&gt;"",R2513,IF(Q2513="(tanpa lawan)","Transfer antar rekening",IFERROR(INDEX(I_COA!$F$6:$F$265,MATCH(Q2513,I_COA!$A$6:$A$265,0)),"?"))))</f>
        <v/>
      </c>
    </row>
    <row r="2514" customFormat="false" ht="15" hidden="false" customHeight="false" outlineLevel="0" collapsed="false">
      <c r="A2514" s="37"/>
      <c r="B2514" s="44"/>
      <c r="C2514" s="44"/>
      <c r="D2514" s="44"/>
      <c r="E2514" s="44"/>
      <c r="F2514" s="44"/>
      <c r="G2514" s="42"/>
      <c r="H2514" s="42"/>
      <c r="I2514" s="44"/>
      <c r="J2514" s="11" t="str">
        <f aca="false">IF(D2514="","",N(G2514)-N(H2514))</f>
        <v/>
      </c>
      <c r="K2514" s="34" t="str">
        <f aca="false">IF(D2514="","",IFERROR(INDEX(I_COA!$C$6:$C$265,MATCH(D2514,I_COA!$A$6:$A$265,0)),"AKUN BARU"))</f>
        <v/>
      </c>
      <c r="L2514" s="34" t="str">
        <f aca="false">IF(K2514="LabaRugi",INDEX(I_COA!$D$6:$D$265,MATCH(D2514,I_COA!$A$6:$A$265,0)),"")</f>
        <v/>
      </c>
      <c r="M2514" s="34" t="str">
        <f aca="false">IF(K2514="Neraca",INDEX(I_COA!$E$6:$E$265,MATCH(D2514,I_COA!$A$6:$A$265,0)),"")</f>
        <v/>
      </c>
      <c r="N2514" s="34" t="str">
        <f aca="false">IF(D2514="","",IFERROR(INDEX(I_COA!$G$6:$G$265,MATCH(D2514,I_COA!$A$6:$A$265,0)),"N"))</f>
        <v/>
      </c>
      <c r="O2514" s="11" t="str">
        <f aca="false">IF(N2514="N",ABS(J2514),"")</f>
        <v/>
      </c>
      <c r="P2514" s="18" t="str">
        <f aca="false">IF(N2514="N",B2514&amp;"|"&amp;ROUND(O2514,0),"")</f>
        <v/>
      </c>
      <c r="Q2514" s="18" t="str">
        <f aca="false">IF(N2514&lt;&gt;"Y","",IFERROR(INDEX($D$6:$D$4005,MATCH(B2514&amp;"|"&amp;ROUND(_xlfn.MAXIFS($O$6:$O$4005,$B$6:$B$4005,B2514,$N$6:$N$4005,"N"),0),$P$6:$P$4005,0)),"(tanpa lawan)"))</f>
        <v/>
      </c>
      <c r="R2514" s="44"/>
      <c r="S2514" s="9" t="str">
        <f aca="false">IF(N2514&lt;&gt;"Y","",IF(R2514&lt;&gt;"",R2514,IF(Q2514="(tanpa lawan)","Transfer antar rekening",IFERROR(INDEX(I_COA!$F$6:$F$265,MATCH(Q2514,I_COA!$A$6:$A$265,0)),"?"))))</f>
        <v/>
      </c>
    </row>
    <row r="2515" customFormat="false" ht="15" hidden="false" customHeight="false" outlineLevel="0" collapsed="false">
      <c r="A2515" s="37"/>
      <c r="B2515" s="44"/>
      <c r="C2515" s="44"/>
      <c r="D2515" s="44"/>
      <c r="E2515" s="44"/>
      <c r="F2515" s="44"/>
      <c r="G2515" s="42"/>
      <c r="H2515" s="42"/>
      <c r="I2515" s="44"/>
      <c r="J2515" s="11" t="str">
        <f aca="false">IF(D2515="","",N(G2515)-N(H2515))</f>
        <v/>
      </c>
      <c r="K2515" s="34" t="str">
        <f aca="false">IF(D2515="","",IFERROR(INDEX(I_COA!$C$6:$C$265,MATCH(D2515,I_COA!$A$6:$A$265,0)),"AKUN BARU"))</f>
        <v/>
      </c>
      <c r="L2515" s="34" t="str">
        <f aca="false">IF(K2515="LabaRugi",INDEX(I_COA!$D$6:$D$265,MATCH(D2515,I_COA!$A$6:$A$265,0)),"")</f>
        <v/>
      </c>
      <c r="M2515" s="34" t="str">
        <f aca="false">IF(K2515="Neraca",INDEX(I_COA!$E$6:$E$265,MATCH(D2515,I_COA!$A$6:$A$265,0)),"")</f>
        <v/>
      </c>
      <c r="N2515" s="34" t="str">
        <f aca="false">IF(D2515="","",IFERROR(INDEX(I_COA!$G$6:$G$265,MATCH(D2515,I_COA!$A$6:$A$265,0)),"N"))</f>
        <v/>
      </c>
      <c r="O2515" s="11" t="str">
        <f aca="false">IF(N2515="N",ABS(J2515),"")</f>
        <v/>
      </c>
      <c r="P2515" s="18" t="str">
        <f aca="false">IF(N2515="N",B2515&amp;"|"&amp;ROUND(O2515,0),"")</f>
        <v/>
      </c>
      <c r="Q2515" s="18" t="str">
        <f aca="false">IF(N2515&lt;&gt;"Y","",IFERROR(INDEX($D$6:$D$4005,MATCH(B2515&amp;"|"&amp;ROUND(_xlfn.MAXIFS($O$6:$O$4005,$B$6:$B$4005,B2515,$N$6:$N$4005,"N"),0),$P$6:$P$4005,0)),"(tanpa lawan)"))</f>
        <v/>
      </c>
      <c r="R2515" s="44"/>
      <c r="S2515" s="9" t="str">
        <f aca="false">IF(N2515&lt;&gt;"Y","",IF(R2515&lt;&gt;"",R2515,IF(Q2515="(tanpa lawan)","Transfer antar rekening",IFERROR(INDEX(I_COA!$F$6:$F$265,MATCH(Q2515,I_COA!$A$6:$A$265,0)),"?"))))</f>
        <v/>
      </c>
    </row>
    <row r="2516" customFormat="false" ht="15" hidden="false" customHeight="false" outlineLevel="0" collapsed="false">
      <c r="A2516" s="37"/>
      <c r="B2516" s="44"/>
      <c r="C2516" s="44"/>
      <c r="D2516" s="44"/>
      <c r="E2516" s="44"/>
      <c r="F2516" s="44"/>
      <c r="G2516" s="42"/>
      <c r="H2516" s="42"/>
      <c r="I2516" s="44"/>
      <c r="J2516" s="11" t="str">
        <f aca="false">IF(D2516="","",N(G2516)-N(H2516))</f>
        <v/>
      </c>
      <c r="K2516" s="34" t="str">
        <f aca="false">IF(D2516="","",IFERROR(INDEX(I_COA!$C$6:$C$265,MATCH(D2516,I_COA!$A$6:$A$265,0)),"AKUN BARU"))</f>
        <v/>
      </c>
      <c r="L2516" s="34" t="str">
        <f aca="false">IF(K2516="LabaRugi",INDEX(I_COA!$D$6:$D$265,MATCH(D2516,I_COA!$A$6:$A$265,0)),"")</f>
        <v/>
      </c>
      <c r="M2516" s="34" t="str">
        <f aca="false">IF(K2516="Neraca",INDEX(I_COA!$E$6:$E$265,MATCH(D2516,I_COA!$A$6:$A$265,0)),"")</f>
        <v/>
      </c>
      <c r="N2516" s="34" t="str">
        <f aca="false">IF(D2516="","",IFERROR(INDEX(I_COA!$G$6:$G$265,MATCH(D2516,I_COA!$A$6:$A$265,0)),"N"))</f>
        <v/>
      </c>
      <c r="O2516" s="11" t="str">
        <f aca="false">IF(N2516="N",ABS(J2516),"")</f>
        <v/>
      </c>
      <c r="P2516" s="18" t="str">
        <f aca="false">IF(N2516="N",B2516&amp;"|"&amp;ROUND(O2516,0),"")</f>
        <v/>
      </c>
      <c r="Q2516" s="18" t="str">
        <f aca="false">IF(N2516&lt;&gt;"Y","",IFERROR(INDEX($D$6:$D$4005,MATCH(B2516&amp;"|"&amp;ROUND(_xlfn.MAXIFS($O$6:$O$4005,$B$6:$B$4005,B2516,$N$6:$N$4005,"N"),0),$P$6:$P$4005,0)),"(tanpa lawan)"))</f>
        <v/>
      </c>
      <c r="R2516" s="44"/>
      <c r="S2516" s="9" t="str">
        <f aca="false">IF(N2516&lt;&gt;"Y","",IF(R2516&lt;&gt;"",R2516,IF(Q2516="(tanpa lawan)","Transfer antar rekening",IFERROR(INDEX(I_COA!$F$6:$F$265,MATCH(Q2516,I_COA!$A$6:$A$265,0)),"?"))))</f>
        <v/>
      </c>
    </row>
    <row r="2517" customFormat="false" ht="15" hidden="false" customHeight="false" outlineLevel="0" collapsed="false">
      <c r="A2517" s="37"/>
      <c r="B2517" s="44"/>
      <c r="C2517" s="44"/>
      <c r="D2517" s="44"/>
      <c r="E2517" s="44"/>
      <c r="F2517" s="44"/>
      <c r="G2517" s="42"/>
      <c r="H2517" s="42"/>
      <c r="I2517" s="44"/>
      <c r="J2517" s="11" t="str">
        <f aca="false">IF(D2517="","",N(G2517)-N(H2517))</f>
        <v/>
      </c>
      <c r="K2517" s="34" t="str">
        <f aca="false">IF(D2517="","",IFERROR(INDEX(I_COA!$C$6:$C$265,MATCH(D2517,I_COA!$A$6:$A$265,0)),"AKUN BARU"))</f>
        <v/>
      </c>
      <c r="L2517" s="34" t="str">
        <f aca="false">IF(K2517="LabaRugi",INDEX(I_COA!$D$6:$D$265,MATCH(D2517,I_COA!$A$6:$A$265,0)),"")</f>
        <v/>
      </c>
      <c r="M2517" s="34" t="str">
        <f aca="false">IF(K2517="Neraca",INDEX(I_COA!$E$6:$E$265,MATCH(D2517,I_COA!$A$6:$A$265,0)),"")</f>
        <v/>
      </c>
      <c r="N2517" s="34" t="str">
        <f aca="false">IF(D2517="","",IFERROR(INDEX(I_COA!$G$6:$G$265,MATCH(D2517,I_COA!$A$6:$A$265,0)),"N"))</f>
        <v/>
      </c>
      <c r="O2517" s="11" t="str">
        <f aca="false">IF(N2517="N",ABS(J2517),"")</f>
        <v/>
      </c>
      <c r="P2517" s="18" t="str">
        <f aca="false">IF(N2517="N",B2517&amp;"|"&amp;ROUND(O2517,0),"")</f>
        <v/>
      </c>
      <c r="Q2517" s="18" t="str">
        <f aca="false">IF(N2517&lt;&gt;"Y","",IFERROR(INDEX($D$6:$D$4005,MATCH(B2517&amp;"|"&amp;ROUND(_xlfn.MAXIFS($O$6:$O$4005,$B$6:$B$4005,B2517,$N$6:$N$4005,"N"),0),$P$6:$P$4005,0)),"(tanpa lawan)"))</f>
        <v/>
      </c>
      <c r="R2517" s="44"/>
      <c r="S2517" s="9" t="str">
        <f aca="false">IF(N2517&lt;&gt;"Y","",IF(R2517&lt;&gt;"",R2517,IF(Q2517="(tanpa lawan)","Transfer antar rekening",IFERROR(INDEX(I_COA!$F$6:$F$265,MATCH(Q2517,I_COA!$A$6:$A$265,0)),"?"))))</f>
        <v/>
      </c>
    </row>
    <row r="2518" customFormat="false" ht="15" hidden="false" customHeight="false" outlineLevel="0" collapsed="false">
      <c r="A2518" s="37"/>
      <c r="B2518" s="44"/>
      <c r="C2518" s="44"/>
      <c r="D2518" s="44"/>
      <c r="E2518" s="44"/>
      <c r="F2518" s="44"/>
      <c r="G2518" s="42"/>
      <c r="H2518" s="42"/>
      <c r="I2518" s="44"/>
      <c r="J2518" s="11" t="str">
        <f aca="false">IF(D2518="","",N(G2518)-N(H2518))</f>
        <v/>
      </c>
      <c r="K2518" s="34" t="str">
        <f aca="false">IF(D2518="","",IFERROR(INDEX(I_COA!$C$6:$C$265,MATCH(D2518,I_COA!$A$6:$A$265,0)),"AKUN BARU"))</f>
        <v/>
      </c>
      <c r="L2518" s="34" t="str">
        <f aca="false">IF(K2518="LabaRugi",INDEX(I_COA!$D$6:$D$265,MATCH(D2518,I_COA!$A$6:$A$265,0)),"")</f>
        <v/>
      </c>
      <c r="M2518" s="34" t="str">
        <f aca="false">IF(K2518="Neraca",INDEX(I_COA!$E$6:$E$265,MATCH(D2518,I_COA!$A$6:$A$265,0)),"")</f>
        <v/>
      </c>
      <c r="N2518" s="34" t="str">
        <f aca="false">IF(D2518="","",IFERROR(INDEX(I_COA!$G$6:$G$265,MATCH(D2518,I_COA!$A$6:$A$265,0)),"N"))</f>
        <v/>
      </c>
      <c r="O2518" s="11" t="str">
        <f aca="false">IF(N2518="N",ABS(J2518),"")</f>
        <v/>
      </c>
      <c r="P2518" s="18" t="str">
        <f aca="false">IF(N2518="N",B2518&amp;"|"&amp;ROUND(O2518,0),"")</f>
        <v/>
      </c>
      <c r="Q2518" s="18" t="str">
        <f aca="false">IF(N2518&lt;&gt;"Y","",IFERROR(INDEX($D$6:$D$4005,MATCH(B2518&amp;"|"&amp;ROUND(_xlfn.MAXIFS($O$6:$O$4005,$B$6:$B$4005,B2518,$N$6:$N$4005,"N"),0),$P$6:$P$4005,0)),"(tanpa lawan)"))</f>
        <v/>
      </c>
      <c r="R2518" s="44"/>
      <c r="S2518" s="9" t="str">
        <f aca="false">IF(N2518&lt;&gt;"Y","",IF(R2518&lt;&gt;"",R2518,IF(Q2518="(tanpa lawan)","Transfer antar rekening",IFERROR(INDEX(I_COA!$F$6:$F$265,MATCH(Q2518,I_COA!$A$6:$A$265,0)),"?"))))</f>
        <v/>
      </c>
    </row>
    <row r="2519" customFormat="false" ht="15" hidden="false" customHeight="false" outlineLevel="0" collapsed="false">
      <c r="A2519" s="37"/>
      <c r="B2519" s="44"/>
      <c r="C2519" s="44"/>
      <c r="D2519" s="44"/>
      <c r="E2519" s="44"/>
      <c r="F2519" s="44"/>
      <c r="G2519" s="42"/>
      <c r="H2519" s="42"/>
      <c r="I2519" s="44"/>
      <c r="J2519" s="11" t="str">
        <f aca="false">IF(D2519="","",N(G2519)-N(H2519))</f>
        <v/>
      </c>
      <c r="K2519" s="34" t="str">
        <f aca="false">IF(D2519="","",IFERROR(INDEX(I_COA!$C$6:$C$265,MATCH(D2519,I_COA!$A$6:$A$265,0)),"AKUN BARU"))</f>
        <v/>
      </c>
      <c r="L2519" s="34" t="str">
        <f aca="false">IF(K2519="LabaRugi",INDEX(I_COA!$D$6:$D$265,MATCH(D2519,I_COA!$A$6:$A$265,0)),"")</f>
        <v/>
      </c>
      <c r="M2519" s="34" t="str">
        <f aca="false">IF(K2519="Neraca",INDEX(I_COA!$E$6:$E$265,MATCH(D2519,I_COA!$A$6:$A$265,0)),"")</f>
        <v/>
      </c>
      <c r="N2519" s="34" t="str">
        <f aca="false">IF(D2519="","",IFERROR(INDEX(I_COA!$G$6:$G$265,MATCH(D2519,I_COA!$A$6:$A$265,0)),"N"))</f>
        <v/>
      </c>
      <c r="O2519" s="11" t="str">
        <f aca="false">IF(N2519="N",ABS(J2519),"")</f>
        <v/>
      </c>
      <c r="P2519" s="18" t="str">
        <f aca="false">IF(N2519="N",B2519&amp;"|"&amp;ROUND(O2519,0),"")</f>
        <v/>
      </c>
      <c r="Q2519" s="18" t="str">
        <f aca="false">IF(N2519&lt;&gt;"Y","",IFERROR(INDEX($D$6:$D$4005,MATCH(B2519&amp;"|"&amp;ROUND(_xlfn.MAXIFS($O$6:$O$4005,$B$6:$B$4005,B2519,$N$6:$N$4005,"N"),0),$P$6:$P$4005,0)),"(tanpa lawan)"))</f>
        <v/>
      </c>
      <c r="R2519" s="44"/>
      <c r="S2519" s="9" t="str">
        <f aca="false">IF(N2519&lt;&gt;"Y","",IF(R2519&lt;&gt;"",R2519,IF(Q2519="(tanpa lawan)","Transfer antar rekening",IFERROR(INDEX(I_COA!$F$6:$F$265,MATCH(Q2519,I_COA!$A$6:$A$265,0)),"?"))))</f>
        <v/>
      </c>
    </row>
    <row r="2520" customFormat="false" ht="15" hidden="false" customHeight="false" outlineLevel="0" collapsed="false">
      <c r="A2520" s="37"/>
      <c r="B2520" s="44"/>
      <c r="C2520" s="44"/>
      <c r="D2520" s="44"/>
      <c r="E2520" s="44"/>
      <c r="F2520" s="44"/>
      <c r="G2520" s="42"/>
      <c r="H2520" s="42"/>
      <c r="I2520" s="44"/>
      <c r="J2520" s="11" t="str">
        <f aca="false">IF(D2520="","",N(G2520)-N(H2520))</f>
        <v/>
      </c>
      <c r="K2520" s="34" t="str">
        <f aca="false">IF(D2520="","",IFERROR(INDEX(I_COA!$C$6:$C$265,MATCH(D2520,I_COA!$A$6:$A$265,0)),"AKUN BARU"))</f>
        <v/>
      </c>
      <c r="L2520" s="34" t="str">
        <f aca="false">IF(K2520="LabaRugi",INDEX(I_COA!$D$6:$D$265,MATCH(D2520,I_COA!$A$6:$A$265,0)),"")</f>
        <v/>
      </c>
      <c r="M2520" s="34" t="str">
        <f aca="false">IF(K2520="Neraca",INDEX(I_COA!$E$6:$E$265,MATCH(D2520,I_COA!$A$6:$A$265,0)),"")</f>
        <v/>
      </c>
      <c r="N2520" s="34" t="str">
        <f aca="false">IF(D2520="","",IFERROR(INDEX(I_COA!$G$6:$G$265,MATCH(D2520,I_COA!$A$6:$A$265,0)),"N"))</f>
        <v/>
      </c>
      <c r="O2520" s="11" t="str">
        <f aca="false">IF(N2520="N",ABS(J2520),"")</f>
        <v/>
      </c>
      <c r="P2520" s="18" t="str">
        <f aca="false">IF(N2520="N",B2520&amp;"|"&amp;ROUND(O2520,0),"")</f>
        <v/>
      </c>
      <c r="Q2520" s="18" t="str">
        <f aca="false">IF(N2520&lt;&gt;"Y","",IFERROR(INDEX($D$6:$D$4005,MATCH(B2520&amp;"|"&amp;ROUND(_xlfn.MAXIFS($O$6:$O$4005,$B$6:$B$4005,B2520,$N$6:$N$4005,"N"),0),$P$6:$P$4005,0)),"(tanpa lawan)"))</f>
        <v/>
      </c>
      <c r="R2520" s="44"/>
      <c r="S2520" s="9" t="str">
        <f aca="false">IF(N2520&lt;&gt;"Y","",IF(R2520&lt;&gt;"",R2520,IF(Q2520="(tanpa lawan)","Transfer antar rekening",IFERROR(INDEX(I_COA!$F$6:$F$265,MATCH(Q2520,I_COA!$A$6:$A$265,0)),"?"))))</f>
        <v/>
      </c>
    </row>
    <row r="2521" customFormat="false" ht="15" hidden="false" customHeight="false" outlineLevel="0" collapsed="false">
      <c r="A2521" s="37"/>
      <c r="B2521" s="44"/>
      <c r="C2521" s="44"/>
      <c r="D2521" s="44"/>
      <c r="E2521" s="44"/>
      <c r="F2521" s="44"/>
      <c r="G2521" s="42"/>
      <c r="H2521" s="42"/>
      <c r="I2521" s="44"/>
      <c r="J2521" s="11" t="str">
        <f aca="false">IF(D2521="","",N(G2521)-N(H2521))</f>
        <v/>
      </c>
      <c r="K2521" s="34" t="str">
        <f aca="false">IF(D2521="","",IFERROR(INDEX(I_COA!$C$6:$C$265,MATCH(D2521,I_COA!$A$6:$A$265,0)),"AKUN BARU"))</f>
        <v/>
      </c>
      <c r="L2521" s="34" t="str">
        <f aca="false">IF(K2521="LabaRugi",INDEX(I_COA!$D$6:$D$265,MATCH(D2521,I_COA!$A$6:$A$265,0)),"")</f>
        <v/>
      </c>
      <c r="M2521" s="34" t="str">
        <f aca="false">IF(K2521="Neraca",INDEX(I_COA!$E$6:$E$265,MATCH(D2521,I_COA!$A$6:$A$265,0)),"")</f>
        <v/>
      </c>
      <c r="N2521" s="34" t="str">
        <f aca="false">IF(D2521="","",IFERROR(INDEX(I_COA!$G$6:$G$265,MATCH(D2521,I_COA!$A$6:$A$265,0)),"N"))</f>
        <v/>
      </c>
      <c r="O2521" s="11" t="str">
        <f aca="false">IF(N2521="N",ABS(J2521),"")</f>
        <v/>
      </c>
      <c r="P2521" s="18" t="str">
        <f aca="false">IF(N2521="N",B2521&amp;"|"&amp;ROUND(O2521,0),"")</f>
        <v/>
      </c>
      <c r="Q2521" s="18" t="str">
        <f aca="false">IF(N2521&lt;&gt;"Y","",IFERROR(INDEX($D$6:$D$4005,MATCH(B2521&amp;"|"&amp;ROUND(_xlfn.MAXIFS($O$6:$O$4005,$B$6:$B$4005,B2521,$N$6:$N$4005,"N"),0),$P$6:$P$4005,0)),"(tanpa lawan)"))</f>
        <v/>
      </c>
      <c r="R2521" s="44"/>
      <c r="S2521" s="9" t="str">
        <f aca="false">IF(N2521&lt;&gt;"Y","",IF(R2521&lt;&gt;"",R2521,IF(Q2521="(tanpa lawan)","Transfer antar rekening",IFERROR(INDEX(I_COA!$F$6:$F$265,MATCH(Q2521,I_COA!$A$6:$A$265,0)),"?"))))</f>
        <v/>
      </c>
    </row>
    <row r="2522" customFormat="false" ht="15" hidden="false" customHeight="false" outlineLevel="0" collapsed="false">
      <c r="A2522" s="37"/>
      <c r="B2522" s="44"/>
      <c r="C2522" s="44"/>
      <c r="D2522" s="44"/>
      <c r="E2522" s="44"/>
      <c r="F2522" s="44"/>
      <c r="G2522" s="42"/>
      <c r="H2522" s="42"/>
      <c r="I2522" s="44"/>
      <c r="J2522" s="11" t="str">
        <f aca="false">IF(D2522="","",N(G2522)-N(H2522))</f>
        <v/>
      </c>
      <c r="K2522" s="34" t="str">
        <f aca="false">IF(D2522="","",IFERROR(INDEX(I_COA!$C$6:$C$265,MATCH(D2522,I_COA!$A$6:$A$265,0)),"AKUN BARU"))</f>
        <v/>
      </c>
      <c r="L2522" s="34" t="str">
        <f aca="false">IF(K2522="LabaRugi",INDEX(I_COA!$D$6:$D$265,MATCH(D2522,I_COA!$A$6:$A$265,0)),"")</f>
        <v/>
      </c>
      <c r="M2522" s="34" t="str">
        <f aca="false">IF(K2522="Neraca",INDEX(I_COA!$E$6:$E$265,MATCH(D2522,I_COA!$A$6:$A$265,0)),"")</f>
        <v/>
      </c>
      <c r="N2522" s="34" t="str">
        <f aca="false">IF(D2522="","",IFERROR(INDEX(I_COA!$G$6:$G$265,MATCH(D2522,I_COA!$A$6:$A$265,0)),"N"))</f>
        <v/>
      </c>
      <c r="O2522" s="11" t="str">
        <f aca="false">IF(N2522="N",ABS(J2522),"")</f>
        <v/>
      </c>
      <c r="P2522" s="18" t="str">
        <f aca="false">IF(N2522="N",B2522&amp;"|"&amp;ROUND(O2522,0),"")</f>
        <v/>
      </c>
      <c r="Q2522" s="18" t="str">
        <f aca="false">IF(N2522&lt;&gt;"Y","",IFERROR(INDEX($D$6:$D$4005,MATCH(B2522&amp;"|"&amp;ROUND(_xlfn.MAXIFS($O$6:$O$4005,$B$6:$B$4005,B2522,$N$6:$N$4005,"N"),0),$P$6:$P$4005,0)),"(tanpa lawan)"))</f>
        <v/>
      </c>
      <c r="R2522" s="44"/>
      <c r="S2522" s="9" t="str">
        <f aca="false">IF(N2522&lt;&gt;"Y","",IF(R2522&lt;&gt;"",R2522,IF(Q2522="(tanpa lawan)","Transfer antar rekening",IFERROR(INDEX(I_COA!$F$6:$F$265,MATCH(Q2522,I_COA!$A$6:$A$265,0)),"?"))))</f>
        <v/>
      </c>
    </row>
    <row r="2523" customFormat="false" ht="15" hidden="false" customHeight="false" outlineLevel="0" collapsed="false">
      <c r="A2523" s="37"/>
      <c r="B2523" s="44"/>
      <c r="C2523" s="44"/>
      <c r="D2523" s="44"/>
      <c r="E2523" s="44"/>
      <c r="F2523" s="44"/>
      <c r="G2523" s="42"/>
      <c r="H2523" s="42"/>
      <c r="I2523" s="44"/>
      <c r="J2523" s="11" t="str">
        <f aca="false">IF(D2523="","",N(G2523)-N(H2523))</f>
        <v/>
      </c>
      <c r="K2523" s="34" t="str">
        <f aca="false">IF(D2523="","",IFERROR(INDEX(I_COA!$C$6:$C$265,MATCH(D2523,I_COA!$A$6:$A$265,0)),"AKUN BARU"))</f>
        <v/>
      </c>
      <c r="L2523" s="34" t="str">
        <f aca="false">IF(K2523="LabaRugi",INDEX(I_COA!$D$6:$D$265,MATCH(D2523,I_COA!$A$6:$A$265,0)),"")</f>
        <v/>
      </c>
      <c r="M2523" s="34" t="str">
        <f aca="false">IF(K2523="Neraca",INDEX(I_COA!$E$6:$E$265,MATCH(D2523,I_COA!$A$6:$A$265,0)),"")</f>
        <v/>
      </c>
      <c r="N2523" s="34" t="str">
        <f aca="false">IF(D2523="","",IFERROR(INDEX(I_COA!$G$6:$G$265,MATCH(D2523,I_COA!$A$6:$A$265,0)),"N"))</f>
        <v/>
      </c>
      <c r="O2523" s="11" t="str">
        <f aca="false">IF(N2523="N",ABS(J2523),"")</f>
        <v/>
      </c>
      <c r="P2523" s="18" t="str">
        <f aca="false">IF(N2523="N",B2523&amp;"|"&amp;ROUND(O2523,0),"")</f>
        <v/>
      </c>
      <c r="Q2523" s="18" t="str">
        <f aca="false">IF(N2523&lt;&gt;"Y","",IFERROR(INDEX($D$6:$D$4005,MATCH(B2523&amp;"|"&amp;ROUND(_xlfn.MAXIFS($O$6:$O$4005,$B$6:$B$4005,B2523,$N$6:$N$4005,"N"),0),$P$6:$P$4005,0)),"(tanpa lawan)"))</f>
        <v/>
      </c>
      <c r="R2523" s="44"/>
      <c r="S2523" s="9" t="str">
        <f aca="false">IF(N2523&lt;&gt;"Y","",IF(R2523&lt;&gt;"",R2523,IF(Q2523="(tanpa lawan)","Transfer antar rekening",IFERROR(INDEX(I_COA!$F$6:$F$265,MATCH(Q2523,I_COA!$A$6:$A$265,0)),"?"))))</f>
        <v/>
      </c>
    </row>
    <row r="2524" customFormat="false" ht="15" hidden="false" customHeight="false" outlineLevel="0" collapsed="false">
      <c r="A2524" s="37"/>
      <c r="B2524" s="44"/>
      <c r="C2524" s="44"/>
      <c r="D2524" s="44"/>
      <c r="E2524" s="44"/>
      <c r="F2524" s="44"/>
      <c r="G2524" s="42"/>
      <c r="H2524" s="42"/>
      <c r="I2524" s="44"/>
      <c r="J2524" s="11" t="str">
        <f aca="false">IF(D2524="","",N(G2524)-N(H2524))</f>
        <v/>
      </c>
      <c r="K2524" s="34" t="str">
        <f aca="false">IF(D2524="","",IFERROR(INDEX(I_COA!$C$6:$C$265,MATCH(D2524,I_COA!$A$6:$A$265,0)),"AKUN BARU"))</f>
        <v/>
      </c>
      <c r="L2524" s="34" t="str">
        <f aca="false">IF(K2524="LabaRugi",INDEX(I_COA!$D$6:$D$265,MATCH(D2524,I_COA!$A$6:$A$265,0)),"")</f>
        <v/>
      </c>
      <c r="M2524" s="34" t="str">
        <f aca="false">IF(K2524="Neraca",INDEX(I_COA!$E$6:$E$265,MATCH(D2524,I_COA!$A$6:$A$265,0)),"")</f>
        <v/>
      </c>
      <c r="N2524" s="34" t="str">
        <f aca="false">IF(D2524="","",IFERROR(INDEX(I_COA!$G$6:$G$265,MATCH(D2524,I_COA!$A$6:$A$265,0)),"N"))</f>
        <v/>
      </c>
      <c r="O2524" s="11" t="str">
        <f aca="false">IF(N2524="N",ABS(J2524),"")</f>
        <v/>
      </c>
      <c r="P2524" s="18" t="str">
        <f aca="false">IF(N2524="N",B2524&amp;"|"&amp;ROUND(O2524,0),"")</f>
        <v/>
      </c>
      <c r="Q2524" s="18" t="str">
        <f aca="false">IF(N2524&lt;&gt;"Y","",IFERROR(INDEX($D$6:$D$4005,MATCH(B2524&amp;"|"&amp;ROUND(_xlfn.MAXIFS($O$6:$O$4005,$B$6:$B$4005,B2524,$N$6:$N$4005,"N"),0),$P$6:$P$4005,0)),"(tanpa lawan)"))</f>
        <v/>
      </c>
      <c r="R2524" s="44"/>
      <c r="S2524" s="9" t="str">
        <f aca="false">IF(N2524&lt;&gt;"Y","",IF(R2524&lt;&gt;"",R2524,IF(Q2524="(tanpa lawan)","Transfer antar rekening",IFERROR(INDEX(I_COA!$F$6:$F$265,MATCH(Q2524,I_COA!$A$6:$A$265,0)),"?"))))</f>
        <v/>
      </c>
    </row>
    <row r="2525" customFormat="false" ht="15" hidden="false" customHeight="false" outlineLevel="0" collapsed="false">
      <c r="A2525" s="37"/>
      <c r="B2525" s="44"/>
      <c r="C2525" s="44"/>
      <c r="D2525" s="44"/>
      <c r="E2525" s="44"/>
      <c r="F2525" s="44"/>
      <c r="G2525" s="42"/>
      <c r="H2525" s="42"/>
      <c r="I2525" s="44"/>
      <c r="J2525" s="11" t="str">
        <f aca="false">IF(D2525="","",N(G2525)-N(H2525))</f>
        <v/>
      </c>
      <c r="K2525" s="34" t="str">
        <f aca="false">IF(D2525="","",IFERROR(INDEX(I_COA!$C$6:$C$265,MATCH(D2525,I_COA!$A$6:$A$265,0)),"AKUN BARU"))</f>
        <v/>
      </c>
      <c r="L2525" s="34" t="str">
        <f aca="false">IF(K2525="LabaRugi",INDEX(I_COA!$D$6:$D$265,MATCH(D2525,I_COA!$A$6:$A$265,0)),"")</f>
        <v/>
      </c>
      <c r="M2525" s="34" t="str">
        <f aca="false">IF(K2525="Neraca",INDEX(I_COA!$E$6:$E$265,MATCH(D2525,I_COA!$A$6:$A$265,0)),"")</f>
        <v/>
      </c>
      <c r="N2525" s="34" t="str">
        <f aca="false">IF(D2525="","",IFERROR(INDEX(I_COA!$G$6:$G$265,MATCH(D2525,I_COA!$A$6:$A$265,0)),"N"))</f>
        <v/>
      </c>
      <c r="O2525" s="11" t="str">
        <f aca="false">IF(N2525="N",ABS(J2525),"")</f>
        <v/>
      </c>
      <c r="P2525" s="18" t="str">
        <f aca="false">IF(N2525="N",B2525&amp;"|"&amp;ROUND(O2525,0),"")</f>
        <v/>
      </c>
      <c r="Q2525" s="18" t="str">
        <f aca="false">IF(N2525&lt;&gt;"Y","",IFERROR(INDEX($D$6:$D$4005,MATCH(B2525&amp;"|"&amp;ROUND(_xlfn.MAXIFS($O$6:$O$4005,$B$6:$B$4005,B2525,$N$6:$N$4005,"N"),0),$P$6:$P$4005,0)),"(tanpa lawan)"))</f>
        <v/>
      </c>
      <c r="R2525" s="44"/>
      <c r="S2525" s="9" t="str">
        <f aca="false">IF(N2525&lt;&gt;"Y","",IF(R2525&lt;&gt;"",R2525,IF(Q2525="(tanpa lawan)","Transfer antar rekening",IFERROR(INDEX(I_COA!$F$6:$F$265,MATCH(Q2525,I_COA!$A$6:$A$265,0)),"?"))))</f>
        <v/>
      </c>
    </row>
    <row r="2526" customFormat="false" ht="15" hidden="false" customHeight="false" outlineLevel="0" collapsed="false">
      <c r="A2526" s="37"/>
      <c r="B2526" s="44"/>
      <c r="C2526" s="44"/>
      <c r="D2526" s="44"/>
      <c r="E2526" s="44"/>
      <c r="F2526" s="44"/>
      <c r="G2526" s="42"/>
      <c r="H2526" s="42"/>
      <c r="I2526" s="44"/>
      <c r="J2526" s="11" t="str">
        <f aca="false">IF(D2526="","",N(G2526)-N(H2526))</f>
        <v/>
      </c>
      <c r="K2526" s="34" t="str">
        <f aca="false">IF(D2526="","",IFERROR(INDEX(I_COA!$C$6:$C$265,MATCH(D2526,I_COA!$A$6:$A$265,0)),"AKUN BARU"))</f>
        <v/>
      </c>
      <c r="L2526" s="34" t="str">
        <f aca="false">IF(K2526="LabaRugi",INDEX(I_COA!$D$6:$D$265,MATCH(D2526,I_COA!$A$6:$A$265,0)),"")</f>
        <v/>
      </c>
      <c r="M2526" s="34" t="str">
        <f aca="false">IF(K2526="Neraca",INDEX(I_COA!$E$6:$E$265,MATCH(D2526,I_COA!$A$6:$A$265,0)),"")</f>
        <v/>
      </c>
      <c r="N2526" s="34" t="str">
        <f aca="false">IF(D2526="","",IFERROR(INDEX(I_COA!$G$6:$G$265,MATCH(D2526,I_COA!$A$6:$A$265,0)),"N"))</f>
        <v/>
      </c>
      <c r="O2526" s="11" t="str">
        <f aca="false">IF(N2526="N",ABS(J2526),"")</f>
        <v/>
      </c>
      <c r="P2526" s="18" t="str">
        <f aca="false">IF(N2526="N",B2526&amp;"|"&amp;ROUND(O2526,0),"")</f>
        <v/>
      </c>
      <c r="Q2526" s="18" t="str">
        <f aca="false">IF(N2526&lt;&gt;"Y","",IFERROR(INDEX($D$6:$D$4005,MATCH(B2526&amp;"|"&amp;ROUND(_xlfn.MAXIFS($O$6:$O$4005,$B$6:$B$4005,B2526,$N$6:$N$4005,"N"),0),$P$6:$P$4005,0)),"(tanpa lawan)"))</f>
        <v/>
      </c>
      <c r="R2526" s="44"/>
      <c r="S2526" s="9" t="str">
        <f aca="false">IF(N2526&lt;&gt;"Y","",IF(R2526&lt;&gt;"",R2526,IF(Q2526="(tanpa lawan)","Transfer antar rekening",IFERROR(INDEX(I_COA!$F$6:$F$265,MATCH(Q2526,I_COA!$A$6:$A$265,0)),"?"))))</f>
        <v/>
      </c>
    </row>
    <row r="2527" customFormat="false" ht="15" hidden="false" customHeight="false" outlineLevel="0" collapsed="false">
      <c r="A2527" s="37"/>
      <c r="B2527" s="44"/>
      <c r="C2527" s="44"/>
      <c r="D2527" s="44"/>
      <c r="E2527" s="44"/>
      <c r="F2527" s="44"/>
      <c r="G2527" s="42"/>
      <c r="H2527" s="42"/>
      <c r="I2527" s="44"/>
      <c r="J2527" s="11" t="str">
        <f aca="false">IF(D2527="","",N(G2527)-N(H2527))</f>
        <v/>
      </c>
      <c r="K2527" s="34" t="str">
        <f aca="false">IF(D2527="","",IFERROR(INDEX(I_COA!$C$6:$C$265,MATCH(D2527,I_COA!$A$6:$A$265,0)),"AKUN BARU"))</f>
        <v/>
      </c>
      <c r="L2527" s="34" t="str">
        <f aca="false">IF(K2527="LabaRugi",INDEX(I_COA!$D$6:$D$265,MATCH(D2527,I_COA!$A$6:$A$265,0)),"")</f>
        <v/>
      </c>
      <c r="M2527" s="34" t="str">
        <f aca="false">IF(K2527="Neraca",INDEX(I_COA!$E$6:$E$265,MATCH(D2527,I_COA!$A$6:$A$265,0)),"")</f>
        <v/>
      </c>
      <c r="N2527" s="34" t="str">
        <f aca="false">IF(D2527="","",IFERROR(INDEX(I_COA!$G$6:$G$265,MATCH(D2527,I_COA!$A$6:$A$265,0)),"N"))</f>
        <v/>
      </c>
      <c r="O2527" s="11" t="str">
        <f aca="false">IF(N2527="N",ABS(J2527),"")</f>
        <v/>
      </c>
      <c r="P2527" s="18" t="str">
        <f aca="false">IF(N2527="N",B2527&amp;"|"&amp;ROUND(O2527,0),"")</f>
        <v/>
      </c>
      <c r="Q2527" s="18" t="str">
        <f aca="false">IF(N2527&lt;&gt;"Y","",IFERROR(INDEX($D$6:$D$4005,MATCH(B2527&amp;"|"&amp;ROUND(_xlfn.MAXIFS($O$6:$O$4005,$B$6:$B$4005,B2527,$N$6:$N$4005,"N"),0),$P$6:$P$4005,0)),"(tanpa lawan)"))</f>
        <v/>
      </c>
      <c r="R2527" s="44"/>
      <c r="S2527" s="9" t="str">
        <f aca="false">IF(N2527&lt;&gt;"Y","",IF(R2527&lt;&gt;"",R2527,IF(Q2527="(tanpa lawan)","Transfer antar rekening",IFERROR(INDEX(I_COA!$F$6:$F$265,MATCH(Q2527,I_COA!$A$6:$A$265,0)),"?"))))</f>
        <v/>
      </c>
    </row>
    <row r="2528" customFormat="false" ht="15" hidden="false" customHeight="false" outlineLevel="0" collapsed="false">
      <c r="A2528" s="37"/>
      <c r="B2528" s="44"/>
      <c r="C2528" s="44"/>
      <c r="D2528" s="44"/>
      <c r="E2528" s="44"/>
      <c r="F2528" s="44"/>
      <c r="G2528" s="42"/>
      <c r="H2528" s="42"/>
      <c r="I2528" s="44"/>
      <c r="J2528" s="11" t="str">
        <f aca="false">IF(D2528="","",N(G2528)-N(H2528))</f>
        <v/>
      </c>
      <c r="K2528" s="34" t="str">
        <f aca="false">IF(D2528="","",IFERROR(INDEX(I_COA!$C$6:$C$265,MATCH(D2528,I_COA!$A$6:$A$265,0)),"AKUN BARU"))</f>
        <v/>
      </c>
      <c r="L2528" s="34" t="str">
        <f aca="false">IF(K2528="LabaRugi",INDEX(I_COA!$D$6:$D$265,MATCH(D2528,I_COA!$A$6:$A$265,0)),"")</f>
        <v/>
      </c>
      <c r="M2528" s="34" t="str">
        <f aca="false">IF(K2528="Neraca",INDEX(I_COA!$E$6:$E$265,MATCH(D2528,I_COA!$A$6:$A$265,0)),"")</f>
        <v/>
      </c>
      <c r="N2528" s="34" t="str">
        <f aca="false">IF(D2528="","",IFERROR(INDEX(I_COA!$G$6:$G$265,MATCH(D2528,I_COA!$A$6:$A$265,0)),"N"))</f>
        <v/>
      </c>
      <c r="O2528" s="11" t="str">
        <f aca="false">IF(N2528="N",ABS(J2528),"")</f>
        <v/>
      </c>
      <c r="P2528" s="18" t="str">
        <f aca="false">IF(N2528="N",B2528&amp;"|"&amp;ROUND(O2528,0),"")</f>
        <v/>
      </c>
      <c r="Q2528" s="18" t="str">
        <f aca="false">IF(N2528&lt;&gt;"Y","",IFERROR(INDEX($D$6:$D$4005,MATCH(B2528&amp;"|"&amp;ROUND(_xlfn.MAXIFS($O$6:$O$4005,$B$6:$B$4005,B2528,$N$6:$N$4005,"N"),0),$P$6:$P$4005,0)),"(tanpa lawan)"))</f>
        <v/>
      </c>
      <c r="R2528" s="44"/>
      <c r="S2528" s="9" t="str">
        <f aca="false">IF(N2528&lt;&gt;"Y","",IF(R2528&lt;&gt;"",R2528,IF(Q2528="(tanpa lawan)","Transfer antar rekening",IFERROR(INDEX(I_COA!$F$6:$F$265,MATCH(Q2528,I_COA!$A$6:$A$265,0)),"?"))))</f>
        <v/>
      </c>
    </row>
    <row r="2529" customFormat="false" ht="15" hidden="false" customHeight="false" outlineLevel="0" collapsed="false">
      <c r="A2529" s="37"/>
      <c r="B2529" s="44"/>
      <c r="C2529" s="44"/>
      <c r="D2529" s="44"/>
      <c r="E2529" s="44"/>
      <c r="F2529" s="44"/>
      <c r="G2529" s="42"/>
      <c r="H2529" s="42"/>
      <c r="I2529" s="44"/>
      <c r="J2529" s="11" t="str">
        <f aca="false">IF(D2529="","",N(G2529)-N(H2529))</f>
        <v/>
      </c>
      <c r="K2529" s="34" t="str">
        <f aca="false">IF(D2529="","",IFERROR(INDEX(I_COA!$C$6:$C$265,MATCH(D2529,I_COA!$A$6:$A$265,0)),"AKUN BARU"))</f>
        <v/>
      </c>
      <c r="L2529" s="34" t="str">
        <f aca="false">IF(K2529="LabaRugi",INDEX(I_COA!$D$6:$D$265,MATCH(D2529,I_COA!$A$6:$A$265,0)),"")</f>
        <v/>
      </c>
      <c r="M2529" s="34" t="str">
        <f aca="false">IF(K2529="Neraca",INDEX(I_COA!$E$6:$E$265,MATCH(D2529,I_COA!$A$6:$A$265,0)),"")</f>
        <v/>
      </c>
      <c r="N2529" s="34" t="str">
        <f aca="false">IF(D2529="","",IFERROR(INDEX(I_COA!$G$6:$G$265,MATCH(D2529,I_COA!$A$6:$A$265,0)),"N"))</f>
        <v/>
      </c>
      <c r="O2529" s="11" t="str">
        <f aca="false">IF(N2529="N",ABS(J2529),"")</f>
        <v/>
      </c>
      <c r="P2529" s="18" t="str">
        <f aca="false">IF(N2529="N",B2529&amp;"|"&amp;ROUND(O2529,0),"")</f>
        <v/>
      </c>
      <c r="Q2529" s="18" t="str">
        <f aca="false">IF(N2529&lt;&gt;"Y","",IFERROR(INDEX($D$6:$D$4005,MATCH(B2529&amp;"|"&amp;ROUND(_xlfn.MAXIFS($O$6:$O$4005,$B$6:$B$4005,B2529,$N$6:$N$4005,"N"),0),$P$6:$P$4005,0)),"(tanpa lawan)"))</f>
        <v/>
      </c>
      <c r="R2529" s="44"/>
      <c r="S2529" s="9" t="str">
        <f aca="false">IF(N2529&lt;&gt;"Y","",IF(R2529&lt;&gt;"",R2529,IF(Q2529="(tanpa lawan)","Transfer antar rekening",IFERROR(INDEX(I_COA!$F$6:$F$265,MATCH(Q2529,I_COA!$A$6:$A$265,0)),"?"))))</f>
        <v/>
      </c>
    </row>
    <row r="2530" customFormat="false" ht="15" hidden="false" customHeight="false" outlineLevel="0" collapsed="false">
      <c r="A2530" s="37"/>
      <c r="B2530" s="44"/>
      <c r="C2530" s="44"/>
      <c r="D2530" s="44"/>
      <c r="E2530" s="44"/>
      <c r="F2530" s="44"/>
      <c r="G2530" s="42"/>
      <c r="H2530" s="42"/>
      <c r="I2530" s="44"/>
      <c r="J2530" s="11" t="str">
        <f aca="false">IF(D2530="","",N(G2530)-N(H2530))</f>
        <v/>
      </c>
      <c r="K2530" s="34" t="str">
        <f aca="false">IF(D2530="","",IFERROR(INDEX(I_COA!$C$6:$C$265,MATCH(D2530,I_COA!$A$6:$A$265,0)),"AKUN BARU"))</f>
        <v/>
      </c>
      <c r="L2530" s="34" t="str">
        <f aca="false">IF(K2530="LabaRugi",INDEX(I_COA!$D$6:$D$265,MATCH(D2530,I_COA!$A$6:$A$265,0)),"")</f>
        <v/>
      </c>
      <c r="M2530" s="34" t="str">
        <f aca="false">IF(K2530="Neraca",INDEX(I_COA!$E$6:$E$265,MATCH(D2530,I_COA!$A$6:$A$265,0)),"")</f>
        <v/>
      </c>
      <c r="N2530" s="34" t="str">
        <f aca="false">IF(D2530="","",IFERROR(INDEX(I_COA!$G$6:$G$265,MATCH(D2530,I_COA!$A$6:$A$265,0)),"N"))</f>
        <v/>
      </c>
      <c r="O2530" s="11" t="str">
        <f aca="false">IF(N2530="N",ABS(J2530),"")</f>
        <v/>
      </c>
      <c r="P2530" s="18" t="str">
        <f aca="false">IF(N2530="N",B2530&amp;"|"&amp;ROUND(O2530,0),"")</f>
        <v/>
      </c>
      <c r="Q2530" s="18" t="str">
        <f aca="false">IF(N2530&lt;&gt;"Y","",IFERROR(INDEX($D$6:$D$4005,MATCH(B2530&amp;"|"&amp;ROUND(_xlfn.MAXIFS($O$6:$O$4005,$B$6:$B$4005,B2530,$N$6:$N$4005,"N"),0),$P$6:$P$4005,0)),"(tanpa lawan)"))</f>
        <v/>
      </c>
      <c r="R2530" s="44"/>
      <c r="S2530" s="9" t="str">
        <f aca="false">IF(N2530&lt;&gt;"Y","",IF(R2530&lt;&gt;"",R2530,IF(Q2530="(tanpa lawan)","Transfer antar rekening",IFERROR(INDEX(I_COA!$F$6:$F$265,MATCH(Q2530,I_COA!$A$6:$A$265,0)),"?"))))</f>
        <v/>
      </c>
    </row>
    <row r="2531" customFormat="false" ht="15" hidden="false" customHeight="false" outlineLevel="0" collapsed="false">
      <c r="A2531" s="37"/>
      <c r="B2531" s="44"/>
      <c r="C2531" s="44"/>
      <c r="D2531" s="44"/>
      <c r="E2531" s="44"/>
      <c r="F2531" s="44"/>
      <c r="G2531" s="42"/>
      <c r="H2531" s="42"/>
      <c r="I2531" s="44"/>
      <c r="J2531" s="11" t="str">
        <f aca="false">IF(D2531="","",N(G2531)-N(H2531))</f>
        <v/>
      </c>
      <c r="K2531" s="34" t="str">
        <f aca="false">IF(D2531="","",IFERROR(INDEX(I_COA!$C$6:$C$265,MATCH(D2531,I_COA!$A$6:$A$265,0)),"AKUN BARU"))</f>
        <v/>
      </c>
      <c r="L2531" s="34" t="str">
        <f aca="false">IF(K2531="LabaRugi",INDEX(I_COA!$D$6:$D$265,MATCH(D2531,I_COA!$A$6:$A$265,0)),"")</f>
        <v/>
      </c>
      <c r="M2531" s="34" t="str">
        <f aca="false">IF(K2531="Neraca",INDEX(I_COA!$E$6:$E$265,MATCH(D2531,I_COA!$A$6:$A$265,0)),"")</f>
        <v/>
      </c>
      <c r="N2531" s="34" t="str">
        <f aca="false">IF(D2531="","",IFERROR(INDEX(I_COA!$G$6:$G$265,MATCH(D2531,I_COA!$A$6:$A$265,0)),"N"))</f>
        <v/>
      </c>
      <c r="O2531" s="11" t="str">
        <f aca="false">IF(N2531="N",ABS(J2531),"")</f>
        <v/>
      </c>
      <c r="P2531" s="18" t="str">
        <f aca="false">IF(N2531="N",B2531&amp;"|"&amp;ROUND(O2531,0),"")</f>
        <v/>
      </c>
      <c r="Q2531" s="18" t="str">
        <f aca="false">IF(N2531&lt;&gt;"Y","",IFERROR(INDEX($D$6:$D$4005,MATCH(B2531&amp;"|"&amp;ROUND(_xlfn.MAXIFS($O$6:$O$4005,$B$6:$B$4005,B2531,$N$6:$N$4005,"N"),0),$P$6:$P$4005,0)),"(tanpa lawan)"))</f>
        <v/>
      </c>
      <c r="R2531" s="44"/>
      <c r="S2531" s="9" t="str">
        <f aca="false">IF(N2531&lt;&gt;"Y","",IF(R2531&lt;&gt;"",R2531,IF(Q2531="(tanpa lawan)","Transfer antar rekening",IFERROR(INDEX(I_COA!$F$6:$F$265,MATCH(Q2531,I_COA!$A$6:$A$265,0)),"?"))))</f>
        <v/>
      </c>
    </row>
    <row r="2532" customFormat="false" ht="15" hidden="false" customHeight="false" outlineLevel="0" collapsed="false">
      <c r="A2532" s="37"/>
      <c r="B2532" s="44"/>
      <c r="C2532" s="44"/>
      <c r="D2532" s="44"/>
      <c r="E2532" s="44"/>
      <c r="F2532" s="44"/>
      <c r="G2532" s="42"/>
      <c r="H2532" s="42"/>
      <c r="I2532" s="44"/>
      <c r="J2532" s="11" t="str">
        <f aca="false">IF(D2532="","",N(G2532)-N(H2532))</f>
        <v/>
      </c>
      <c r="K2532" s="34" t="str">
        <f aca="false">IF(D2532="","",IFERROR(INDEX(I_COA!$C$6:$C$265,MATCH(D2532,I_COA!$A$6:$A$265,0)),"AKUN BARU"))</f>
        <v/>
      </c>
      <c r="L2532" s="34" t="str">
        <f aca="false">IF(K2532="LabaRugi",INDEX(I_COA!$D$6:$D$265,MATCH(D2532,I_COA!$A$6:$A$265,0)),"")</f>
        <v/>
      </c>
      <c r="M2532" s="34" t="str">
        <f aca="false">IF(K2532="Neraca",INDEX(I_COA!$E$6:$E$265,MATCH(D2532,I_COA!$A$6:$A$265,0)),"")</f>
        <v/>
      </c>
      <c r="N2532" s="34" t="str">
        <f aca="false">IF(D2532="","",IFERROR(INDEX(I_COA!$G$6:$G$265,MATCH(D2532,I_COA!$A$6:$A$265,0)),"N"))</f>
        <v/>
      </c>
      <c r="O2532" s="11" t="str">
        <f aca="false">IF(N2532="N",ABS(J2532),"")</f>
        <v/>
      </c>
      <c r="P2532" s="18" t="str">
        <f aca="false">IF(N2532="N",B2532&amp;"|"&amp;ROUND(O2532,0),"")</f>
        <v/>
      </c>
      <c r="Q2532" s="18" t="str">
        <f aca="false">IF(N2532&lt;&gt;"Y","",IFERROR(INDEX($D$6:$D$4005,MATCH(B2532&amp;"|"&amp;ROUND(_xlfn.MAXIFS($O$6:$O$4005,$B$6:$B$4005,B2532,$N$6:$N$4005,"N"),0),$P$6:$P$4005,0)),"(tanpa lawan)"))</f>
        <v/>
      </c>
      <c r="R2532" s="44"/>
      <c r="S2532" s="9" t="str">
        <f aca="false">IF(N2532&lt;&gt;"Y","",IF(R2532&lt;&gt;"",R2532,IF(Q2532="(tanpa lawan)","Transfer antar rekening",IFERROR(INDEX(I_COA!$F$6:$F$265,MATCH(Q2532,I_COA!$A$6:$A$265,0)),"?"))))</f>
        <v/>
      </c>
    </row>
    <row r="2533" customFormat="false" ht="15" hidden="false" customHeight="false" outlineLevel="0" collapsed="false">
      <c r="A2533" s="37"/>
      <c r="B2533" s="44"/>
      <c r="C2533" s="44"/>
      <c r="D2533" s="44"/>
      <c r="E2533" s="44"/>
      <c r="F2533" s="44"/>
      <c r="G2533" s="42"/>
      <c r="H2533" s="42"/>
      <c r="I2533" s="44"/>
      <c r="J2533" s="11" t="str">
        <f aca="false">IF(D2533="","",N(G2533)-N(H2533))</f>
        <v/>
      </c>
      <c r="K2533" s="34" t="str">
        <f aca="false">IF(D2533="","",IFERROR(INDEX(I_COA!$C$6:$C$265,MATCH(D2533,I_COA!$A$6:$A$265,0)),"AKUN BARU"))</f>
        <v/>
      </c>
      <c r="L2533" s="34" t="str">
        <f aca="false">IF(K2533="LabaRugi",INDEX(I_COA!$D$6:$D$265,MATCH(D2533,I_COA!$A$6:$A$265,0)),"")</f>
        <v/>
      </c>
      <c r="M2533" s="34" t="str">
        <f aca="false">IF(K2533="Neraca",INDEX(I_COA!$E$6:$E$265,MATCH(D2533,I_COA!$A$6:$A$265,0)),"")</f>
        <v/>
      </c>
      <c r="N2533" s="34" t="str">
        <f aca="false">IF(D2533="","",IFERROR(INDEX(I_COA!$G$6:$G$265,MATCH(D2533,I_COA!$A$6:$A$265,0)),"N"))</f>
        <v/>
      </c>
      <c r="O2533" s="11" t="str">
        <f aca="false">IF(N2533="N",ABS(J2533),"")</f>
        <v/>
      </c>
      <c r="P2533" s="18" t="str">
        <f aca="false">IF(N2533="N",B2533&amp;"|"&amp;ROUND(O2533,0),"")</f>
        <v/>
      </c>
      <c r="Q2533" s="18" t="str">
        <f aca="false">IF(N2533&lt;&gt;"Y","",IFERROR(INDEX($D$6:$D$4005,MATCH(B2533&amp;"|"&amp;ROUND(_xlfn.MAXIFS($O$6:$O$4005,$B$6:$B$4005,B2533,$N$6:$N$4005,"N"),0),$P$6:$P$4005,0)),"(tanpa lawan)"))</f>
        <v/>
      </c>
      <c r="R2533" s="44"/>
      <c r="S2533" s="9" t="str">
        <f aca="false">IF(N2533&lt;&gt;"Y","",IF(R2533&lt;&gt;"",R2533,IF(Q2533="(tanpa lawan)","Transfer antar rekening",IFERROR(INDEX(I_COA!$F$6:$F$265,MATCH(Q2533,I_COA!$A$6:$A$265,0)),"?"))))</f>
        <v/>
      </c>
    </row>
    <row r="2534" customFormat="false" ht="15" hidden="false" customHeight="false" outlineLevel="0" collapsed="false">
      <c r="A2534" s="37"/>
      <c r="B2534" s="44"/>
      <c r="C2534" s="44"/>
      <c r="D2534" s="44"/>
      <c r="E2534" s="44"/>
      <c r="F2534" s="44"/>
      <c r="G2534" s="42"/>
      <c r="H2534" s="42"/>
      <c r="I2534" s="44"/>
      <c r="J2534" s="11" t="str">
        <f aca="false">IF(D2534="","",N(G2534)-N(H2534))</f>
        <v/>
      </c>
      <c r="K2534" s="34" t="str">
        <f aca="false">IF(D2534="","",IFERROR(INDEX(I_COA!$C$6:$C$265,MATCH(D2534,I_COA!$A$6:$A$265,0)),"AKUN BARU"))</f>
        <v/>
      </c>
      <c r="L2534" s="34" t="str">
        <f aca="false">IF(K2534="LabaRugi",INDEX(I_COA!$D$6:$D$265,MATCH(D2534,I_COA!$A$6:$A$265,0)),"")</f>
        <v/>
      </c>
      <c r="M2534" s="34" t="str">
        <f aca="false">IF(K2534="Neraca",INDEX(I_COA!$E$6:$E$265,MATCH(D2534,I_COA!$A$6:$A$265,0)),"")</f>
        <v/>
      </c>
      <c r="N2534" s="34" t="str">
        <f aca="false">IF(D2534="","",IFERROR(INDEX(I_COA!$G$6:$G$265,MATCH(D2534,I_COA!$A$6:$A$265,0)),"N"))</f>
        <v/>
      </c>
      <c r="O2534" s="11" t="str">
        <f aca="false">IF(N2534="N",ABS(J2534),"")</f>
        <v/>
      </c>
      <c r="P2534" s="18" t="str">
        <f aca="false">IF(N2534="N",B2534&amp;"|"&amp;ROUND(O2534,0),"")</f>
        <v/>
      </c>
      <c r="Q2534" s="18" t="str">
        <f aca="false">IF(N2534&lt;&gt;"Y","",IFERROR(INDEX($D$6:$D$4005,MATCH(B2534&amp;"|"&amp;ROUND(_xlfn.MAXIFS($O$6:$O$4005,$B$6:$B$4005,B2534,$N$6:$N$4005,"N"),0),$P$6:$P$4005,0)),"(tanpa lawan)"))</f>
        <v/>
      </c>
      <c r="R2534" s="44"/>
      <c r="S2534" s="9" t="str">
        <f aca="false">IF(N2534&lt;&gt;"Y","",IF(R2534&lt;&gt;"",R2534,IF(Q2534="(tanpa lawan)","Transfer antar rekening",IFERROR(INDEX(I_COA!$F$6:$F$265,MATCH(Q2534,I_COA!$A$6:$A$265,0)),"?"))))</f>
        <v/>
      </c>
    </row>
    <row r="2535" customFormat="false" ht="15" hidden="false" customHeight="false" outlineLevel="0" collapsed="false">
      <c r="A2535" s="37"/>
      <c r="B2535" s="44"/>
      <c r="C2535" s="44"/>
      <c r="D2535" s="44"/>
      <c r="E2535" s="44"/>
      <c r="F2535" s="44"/>
      <c r="G2535" s="42"/>
      <c r="H2535" s="42"/>
      <c r="I2535" s="44"/>
      <c r="J2535" s="11" t="str">
        <f aca="false">IF(D2535="","",N(G2535)-N(H2535))</f>
        <v/>
      </c>
      <c r="K2535" s="34" t="str">
        <f aca="false">IF(D2535="","",IFERROR(INDEX(I_COA!$C$6:$C$265,MATCH(D2535,I_COA!$A$6:$A$265,0)),"AKUN BARU"))</f>
        <v/>
      </c>
      <c r="L2535" s="34" t="str">
        <f aca="false">IF(K2535="LabaRugi",INDEX(I_COA!$D$6:$D$265,MATCH(D2535,I_COA!$A$6:$A$265,0)),"")</f>
        <v/>
      </c>
      <c r="M2535" s="34" t="str">
        <f aca="false">IF(K2535="Neraca",INDEX(I_COA!$E$6:$E$265,MATCH(D2535,I_COA!$A$6:$A$265,0)),"")</f>
        <v/>
      </c>
      <c r="N2535" s="34" t="str">
        <f aca="false">IF(D2535="","",IFERROR(INDEX(I_COA!$G$6:$G$265,MATCH(D2535,I_COA!$A$6:$A$265,0)),"N"))</f>
        <v/>
      </c>
      <c r="O2535" s="11" t="str">
        <f aca="false">IF(N2535="N",ABS(J2535),"")</f>
        <v/>
      </c>
      <c r="P2535" s="18" t="str">
        <f aca="false">IF(N2535="N",B2535&amp;"|"&amp;ROUND(O2535,0),"")</f>
        <v/>
      </c>
      <c r="Q2535" s="18" t="str">
        <f aca="false">IF(N2535&lt;&gt;"Y","",IFERROR(INDEX($D$6:$D$4005,MATCH(B2535&amp;"|"&amp;ROUND(_xlfn.MAXIFS($O$6:$O$4005,$B$6:$B$4005,B2535,$N$6:$N$4005,"N"),0),$P$6:$P$4005,0)),"(tanpa lawan)"))</f>
        <v/>
      </c>
      <c r="R2535" s="44"/>
      <c r="S2535" s="9" t="str">
        <f aca="false">IF(N2535&lt;&gt;"Y","",IF(R2535&lt;&gt;"",R2535,IF(Q2535="(tanpa lawan)","Transfer antar rekening",IFERROR(INDEX(I_COA!$F$6:$F$265,MATCH(Q2535,I_COA!$A$6:$A$265,0)),"?"))))</f>
        <v/>
      </c>
    </row>
    <row r="2536" customFormat="false" ht="15" hidden="false" customHeight="false" outlineLevel="0" collapsed="false">
      <c r="A2536" s="37"/>
      <c r="B2536" s="44"/>
      <c r="C2536" s="44"/>
      <c r="D2536" s="44"/>
      <c r="E2536" s="44"/>
      <c r="F2536" s="44"/>
      <c r="G2536" s="42"/>
      <c r="H2536" s="42"/>
      <c r="I2536" s="44"/>
      <c r="J2536" s="11" t="str">
        <f aca="false">IF(D2536="","",N(G2536)-N(H2536))</f>
        <v/>
      </c>
      <c r="K2536" s="34" t="str">
        <f aca="false">IF(D2536="","",IFERROR(INDEX(I_COA!$C$6:$C$265,MATCH(D2536,I_COA!$A$6:$A$265,0)),"AKUN BARU"))</f>
        <v/>
      </c>
      <c r="L2536" s="34" t="str">
        <f aca="false">IF(K2536="LabaRugi",INDEX(I_COA!$D$6:$D$265,MATCH(D2536,I_COA!$A$6:$A$265,0)),"")</f>
        <v/>
      </c>
      <c r="M2536" s="34" t="str">
        <f aca="false">IF(K2536="Neraca",INDEX(I_COA!$E$6:$E$265,MATCH(D2536,I_COA!$A$6:$A$265,0)),"")</f>
        <v/>
      </c>
      <c r="N2536" s="34" t="str">
        <f aca="false">IF(D2536="","",IFERROR(INDEX(I_COA!$G$6:$G$265,MATCH(D2536,I_COA!$A$6:$A$265,0)),"N"))</f>
        <v/>
      </c>
      <c r="O2536" s="11" t="str">
        <f aca="false">IF(N2536="N",ABS(J2536),"")</f>
        <v/>
      </c>
      <c r="P2536" s="18" t="str">
        <f aca="false">IF(N2536="N",B2536&amp;"|"&amp;ROUND(O2536,0),"")</f>
        <v/>
      </c>
      <c r="Q2536" s="18" t="str">
        <f aca="false">IF(N2536&lt;&gt;"Y","",IFERROR(INDEX($D$6:$D$4005,MATCH(B2536&amp;"|"&amp;ROUND(_xlfn.MAXIFS($O$6:$O$4005,$B$6:$B$4005,B2536,$N$6:$N$4005,"N"),0),$P$6:$P$4005,0)),"(tanpa lawan)"))</f>
        <v/>
      </c>
      <c r="R2536" s="44"/>
      <c r="S2536" s="9" t="str">
        <f aca="false">IF(N2536&lt;&gt;"Y","",IF(R2536&lt;&gt;"",R2536,IF(Q2536="(tanpa lawan)","Transfer antar rekening",IFERROR(INDEX(I_COA!$F$6:$F$265,MATCH(Q2536,I_COA!$A$6:$A$265,0)),"?"))))</f>
        <v/>
      </c>
    </row>
    <row r="2537" customFormat="false" ht="15" hidden="false" customHeight="false" outlineLevel="0" collapsed="false">
      <c r="A2537" s="37"/>
      <c r="B2537" s="44"/>
      <c r="C2537" s="44"/>
      <c r="D2537" s="44"/>
      <c r="E2537" s="44"/>
      <c r="F2537" s="44"/>
      <c r="G2537" s="42"/>
      <c r="H2537" s="42"/>
      <c r="I2537" s="44"/>
      <c r="J2537" s="11" t="str">
        <f aca="false">IF(D2537="","",N(G2537)-N(H2537))</f>
        <v/>
      </c>
      <c r="K2537" s="34" t="str">
        <f aca="false">IF(D2537="","",IFERROR(INDEX(I_COA!$C$6:$C$265,MATCH(D2537,I_COA!$A$6:$A$265,0)),"AKUN BARU"))</f>
        <v/>
      </c>
      <c r="L2537" s="34" t="str">
        <f aca="false">IF(K2537="LabaRugi",INDEX(I_COA!$D$6:$D$265,MATCH(D2537,I_COA!$A$6:$A$265,0)),"")</f>
        <v/>
      </c>
      <c r="M2537" s="34" t="str">
        <f aca="false">IF(K2537="Neraca",INDEX(I_COA!$E$6:$E$265,MATCH(D2537,I_COA!$A$6:$A$265,0)),"")</f>
        <v/>
      </c>
      <c r="N2537" s="34" t="str">
        <f aca="false">IF(D2537="","",IFERROR(INDEX(I_COA!$G$6:$G$265,MATCH(D2537,I_COA!$A$6:$A$265,0)),"N"))</f>
        <v/>
      </c>
      <c r="O2537" s="11" t="str">
        <f aca="false">IF(N2537="N",ABS(J2537),"")</f>
        <v/>
      </c>
      <c r="P2537" s="18" t="str">
        <f aca="false">IF(N2537="N",B2537&amp;"|"&amp;ROUND(O2537,0),"")</f>
        <v/>
      </c>
      <c r="Q2537" s="18" t="str">
        <f aca="false">IF(N2537&lt;&gt;"Y","",IFERROR(INDEX($D$6:$D$4005,MATCH(B2537&amp;"|"&amp;ROUND(_xlfn.MAXIFS($O$6:$O$4005,$B$6:$B$4005,B2537,$N$6:$N$4005,"N"),0),$P$6:$P$4005,0)),"(tanpa lawan)"))</f>
        <v/>
      </c>
      <c r="R2537" s="44"/>
      <c r="S2537" s="9" t="str">
        <f aca="false">IF(N2537&lt;&gt;"Y","",IF(R2537&lt;&gt;"",R2537,IF(Q2537="(tanpa lawan)","Transfer antar rekening",IFERROR(INDEX(I_COA!$F$6:$F$265,MATCH(Q2537,I_COA!$A$6:$A$265,0)),"?"))))</f>
        <v/>
      </c>
    </row>
    <row r="2538" customFormat="false" ht="15" hidden="false" customHeight="false" outlineLevel="0" collapsed="false">
      <c r="A2538" s="37"/>
      <c r="B2538" s="44"/>
      <c r="C2538" s="44"/>
      <c r="D2538" s="44"/>
      <c r="E2538" s="44"/>
      <c r="F2538" s="44"/>
      <c r="G2538" s="42"/>
      <c r="H2538" s="42"/>
      <c r="I2538" s="44"/>
      <c r="J2538" s="11" t="str">
        <f aca="false">IF(D2538="","",N(G2538)-N(H2538))</f>
        <v/>
      </c>
      <c r="K2538" s="34" t="str">
        <f aca="false">IF(D2538="","",IFERROR(INDEX(I_COA!$C$6:$C$265,MATCH(D2538,I_COA!$A$6:$A$265,0)),"AKUN BARU"))</f>
        <v/>
      </c>
      <c r="L2538" s="34" t="str">
        <f aca="false">IF(K2538="LabaRugi",INDEX(I_COA!$D$6:$D$265,MATCH(D2538,I_COA!$A$6:$A$265,0)),"")</f>
        <v/>
      </c>
      <c r="M2538" s="34" t="str">
        <f aca="false">IF(K2538="Neraca",INDEX(I_COA!$E$6:$E$265,MATCH(D2538,I_COA!$A$6:$A$265,0)),"")</f>
        <v/>
      </c>
      <c r="N2538" s="34" t="str">
        <f aca="false">IF(D2538="","",IFERROR(INDEX(I_COA!$G$6:$G$265,MATCH(D2538,I_COA!$A$6:$A$265,0)),"N"))</f>
        <v/>
      </c>
      <c r="O2538" s="11" t="str">
        <f aca="false">IF(N2538="N",ABS(J2538),"")</f>
        <v/>
      </c>
      <c r="P2538" s="18" t="str">
        <f aca="false">IF(N2538="N",B2538&amp;"|"&amp;ROUND(O2538,0),"")</f>
        <v/>
      </c>
      <c r="Q2538" s="18" t="str">
        <f aca="false">IF(N2538&lt;&gt;"Y","",IFERROR(INDEX($D$6:$D$4005,MATCH(B2538&amp;"|"&amp;ROUND(_xlfn.MAXIFS($O$6:$O$4005,$B$6:$B$4005,B2538,$N$6:$N$4005,"N"),0),$P$6:$P$4005,0)),"(tanpa lawan)"))</f>
        <v/>
      </c>
      <c r="R2538" s="44"/>
      <c r="S2538" s="9" t="str">
        <f aca="false">IF(N2538&lt;&gt;"Y","",IF(R2538&lt;&gt;"",R2538,IF(Q2538="(tanpa lawan)","Transfer antar rekening",IFERROR(INDEX(I_COA!$F$6:$F$265,MATCH(Q2538,I_COA!$A$6:$A$265,0)),"?"))))</f>
        <v/>
      </c>
    </row>
    <row r="2539" customFormat="false" ht="15" hidden="false" customHeight="false" outlineLevel="0" collapsed="false">
      <c r="A2539" s="37"/>
      <c r="B2539" s="44"/>
      <c r="C2539" s="44"/>
      <c r="D2539" s="44"/>
      <c r="E2539" s="44"/>
      <c r="F2539" s="44"/>
      <c r="G2539" s="42"/>
      <c r="H2539" s="42"/>
      <c r="I2539" s="44"/>
      <c r="J2539" s="11" t="str">
        <f aca="false">IF(D2539="","",N(G2539)-N(H2539))</f>
        <v/>
      </c>
      <c r="K2539" s="34" t="str">
        <f aca="false">IF(D2539="","",IFERROR(INDEX(I_COA!$C$6:$C$265,MATCH(D2539,I_COA!$A$6:$A$265,0)),"AKUN BARU"))</f>
        <v/>
      </c>
      <c r="L2539" s="34" t="str">
        <f aca="false">IF(K2539="LabaRugi",INDEX(I_COA!$D$6:$D$265,MATCH(D2539,I_COA!$A$6:$A$265,0)),"")</f>
        <v/>
      </c>
      <c r="M2539" s="34" t="str">
        <f aca="false">IF(K2539="Neraca",INDEX(I_COA!$E$6:$E$265,MATCH(D2539,I_COA!$A$6:$A$265,0)),"")</f>
        <v/>
      </c>
      <c r="N2539" s="34" t="str">
        <f aca="false">IF(D2539="","",IFERROR(INDEX(I_COA!$G$6:$G$265,MATCH(D2539,I_COA!$A$6:$A$265,0)),"N"))</f>
        <v/>
      </c>
      <c r="O2539" s="11" t="str">
        <f aca="false">IF(N2539="N",ABS(J2539),"")</f>
        <v/>
      </c>
      <c r="P2539" s="18" t="str">
        <f aca="false">IF(N2539="N",B2539&amp;"|"&amp;ROUND(O2539,0),"")</f>
        <v/>
      </c>
      <c r="Q2539" s="18" t="str">
        <f aca="false">IF(N2539&lt;&gt;"Y","",IFERROR(INDEX($D$6:$D$4005,MATCH(B2539&amp;"|"&amp;ROUND(_xlfn.MAXIFS($O$6:$O$4005,$B$6:$B$4005,B2539,$N$6:$N$4005,"N"),0),$P$6:$P$4005,0)),"(tanpa lawan)"))</f>
        <v/>
      </c>
      <c r="R2539" s="44"/>
      <c r="S2539" s="9" t="str">
        <f aca="false">IF(N2539&lt;&gt;"Y","",IF(R2539&lt;&gt;"",R2539,IF(Q2539="(tanpa lawan)","Transfer antar rekening",IFERROR(INDEX(I_COA!$F$6:$F$265,MATCH(Q2539,I_COA!$A$6:$A$265,0)),"?"))))</f>
        <v/>
      </c>
    </row>
    <row r="2540" customFormat="false" ht="15" hidden="false" customHeight="false" outlineLevel="0" collapsed="false">
      <c r="A2540" s="37"/>
      <c r="B2540" s="44"/>
      <c r="C2540" s="44"/>
      <c r="D2540" s="44"/>
      <c r="E2540" s="44"/>
      <c r="F2540" s="44"/>
      <c r="G2540" s="42"/>
      <c r="H2540" s="42"/>
      <c r="I2540" s="44"/>
      <c r="J2540" s="11" t="str">
        <f aca="false">IF(D2540="","",N(G2540)-N(H2540))</f>
        <v/>
      </c>
      <c r="K2540" s="34" t="str">
        <f aca="false">IF(D2540="","",IFERROR(INDEX(I_COA!$C$6:$C$265,MATCH(D2540,I_COA!$A$6:$A$265,0)),"AKUN BARU"))</f>
        <v/>
      </c>
      <c r="L2540" s="34" t="str">
        <f aca="false">IF(K2540="LabaRugi",INDEX(I_COA!$D$6:$D$265,MATCH(D2540,I_COA!$A$6:$A$265,0)),"")</f>
        <v/>
      </c>
      <c r="M2540" s="34" t="str">
        <f aca="false">IF(K2540="Neraca",INDEX(I_COA!$E$6:$E$265,MATCH(D2540,I_COA!$A$6:$A$265,0)),"")</f>
        <v/>
      </c>
      <c r="N2540" s="34" t="str">
        <f aca="false">IF(D2540="","",IFERROR(INDEX(I_COA!$G$6:$G$265,MATCH(D2540,I_COA!$A$6:$A$265,0)),"N"))</f>
        <v/>
      </c>
      <c r="O2540" s="11" t="str">
        <f aca="false">IF(N2540="N",ABS(J2540),"")</f>
        <v/>
      </c>
      <c r="P2540" s="18" t="str">
        <f aca="false">IF(N2540="N",B2540&amp;"|"&amp;ROUND(O2540,0),"")</f>
        <v/>
      </c>
      <c r="Q2540" s="18" t="str">
        <f aca="false">IF(N2540&lt;&gt;"Y","",IFERROR(INDEX($D$6:$D$4005,MATCH(B2540&amp;"|"&amp;ROUND(_xlfn.MAXIFS($O$6:$O$4005,$B$6:$B$4005,B2540,$N$6:$N$4005,"N"),0),$P$6:$P$4005,0)),"(tanpa lawan)"))</f>
        <v/>
      </c>
      <c r="R2540" s="44"/>
      <c r="S2540" s="9" t="str">
        <f aca="false">IF(N2540&lt;&gt;"Y","",IF(R2540&lt;&gt;"",R2540,IF(Q2540="(tanpa lawan)","Transfer antar rekening",IFERROR(INDEX(I_COA!$F$6:$F$265,MATCH(Q2540,I_COA!$A$6:$A$265,0)),"?"))))</f>
        <v/>
      </c>
    </row>
    <row r="2541" customFormat="false" ht="15" hidden="false" customHeight="false" outlineLevel="0" collapsed="false">
      <c r="A2541" s="37"/>
      <c r="B2541" s="44"/>
      <c r="C2541" s="44"/>
      <c r="D2541" s="44"/>
      <c r="E2541" s="44"/>
      <c r="F2541" s="44"/>
      <c r="G2541" s="42"/>
      <c r="H2541" s="42"/>
      <c r="I2541" s="44"/>
      <c r="J2541" s="11" t="str">
        <f aca="false">IF(D2541="","",N(G2541)-N(H2541))</f>
        <v/>
      </c>
      <c r="K2541" s="34" t="str">
        <f aca="false">IF(D2541="","",IFERROR(INDEX(I_COA!$C$6:$C$265,MATCH(D2541,I_COA!$A$6:$A$265,0)),"AKUN BARU"))</f>
        <v/>
      </c>
      <c r="L2541" s="34" t="str">
        <f aca="false">IF(K2541="LabaRugi",INDEX(I_COA!$D$6:$D$265,MATCH(D2541,I_COA!$A$6:$A$265,0)),"")</f>
        <v/>
      </c>
      <c r="M2541" s="34" t="str">
        <f aca="false">IF(K2541="Neraca",INDEX(I_COA!$E$6:$E$265,MATCH(D2541,I_COA!$A$6:$A$265,0)),"")</f>
        <v/>
      </c>
      <c r="N2541" s="34" t="str">
        <f aca="false">IF(D2541="","",IFERROR(INDEX(I_COA!$G$6:$G$265,MATCH(D2541,I_COA!$A$6:$A$265,0)),"N"))</f>
        <v/>
      </c>
      <c r="O2541" s="11" t="str">
        <f aca="false">IF(N2541="N",ABS(J2541),"")</f>
        <v/>
      </c>
      <c r="P2541" s="18" t="str">
        <f aca="false">IF(N2541="N",B2541&amp;"|"&amp;ROUND(O2541,0),"")</f>
        <v/>
      </c>
      <c r="Q2541" s="18" t="str">
        <f aca="false">IF(N2541&lt;&gt;"Y","",IFERROR(INDEX($D$6:$D$4005,MATCH(B2541&amp;"|"&amp;ROUND(_xlfn.MAXIFS($O$6:$O$4005,$B$6:$B$4005,B2541,$N$6:$N$4005,"N"),0),$P$6:$P$4005,0)),"(tanpa lawan)"))</f>
        <v/>
      </c>
      <c r="R2541" s="44"/>
      <c r="S2541" s="9" t="str">
        <f aca="false">IF(N2541&lt;&gt;"Y","",IF(R2541&lt;&gt;"",R2541,IF(Q2541="(tanpa lawan)","Transfer antar rekening",IFERROR(INDEX(I_COA!$F$6:$F$265,MATCH(Q2541,I_COA!$A$6:$A$265,0)),"?"))))</f>
        <v/>
      </c>
    </row>
    <row r="2542" customFormat="false" ht="15" hidden="false" customHeight="false" outlineLevel="0" collapsed="false">
      <c r="A2542" s="37"/>
      <c r="B2542" s="44"/>
      <c r="C2542" s="44"/>
      <c r="D2542" s="44"/>
      <c r="E2542" s="44"/>
      <c r="F2542" s="44"/>
      <c r="G2542" s="42"/>
      <c r="H2542" s="42"/>
      <c r="I2542" s="44"/>
      <c r="J2542" s="11" t="str">
        <f aca="false">IF(D2542="","",N(G2542)-N(H2542))</f>
        <v/>
      </c>
      <c r="K2542" s="34" t="str">
        <f aca="false">IF(D2542="","",IFERROR(INDEX(I_COA!$C$6:$C$265,MATCH(D2542,I_COA!$A$6:$A$265,0)),"AKUN BARU"))</f>
        <v/>
      </c>
      <c r="L2542" s="34" t="str">
        <f aca="false">IF(K2542="LabaRugi",INDEX(I_COA!$D$6:$D$265,MATCH(D2542,I_COA!$A$6:$A$265,0)),"")</f>
        <v/>
      </c>
      <c r="M2542" s="34" t="str">
        <f aca="false">IF(K2542="Neraca",INDEX(I_COA!$E$6:$E$265,MATCH(D2542,I_COA!$A$6:$A$265,0)),"")</f>
        <v/>
      </c>
      <c r="N2542" s="34" t="str">
        <f aca="false">IF(D2542="","",IFERROR(INDEX(I_COA!$G$6:$G$265,MATCH(D2542,I_COA!$A$6:$A$265,0)),"N"))</f>
        <v/>
      </c>
      <c r="O2542" s="11" t="str">
        <f aca="false">IF(N2542="N",ABS(J2542),"")</f>
        <v/>
      </c>
      <c r="P2542" s="18" t="str">
        <f aca="false">IF(N2542="N",B2542&amp;"|"&amp;ROUND(O2542,0),"")</f>
        <v/>
      </c>
      <c r="Q2542" s="18" t="str">
        <f aca="false">IF(N2542&lt;&gt;"Y","",IFERROR(INDEX($D$6:$D$4005,MATCH(B2542&amp;"|"&amp;ROUND(_xlfn.MAXIFS($O$6:$O$4005,$B$6:$B$4005,B2542,$N$6:$N$4005,"N"),0),$P$6:$P$4005,0)),"(tanpa lawan)"))</f>
        <v/>
      </c>
      <c r="R2542" s="44"/>
      <c r="S2542" s="9" t="str">
        <f aca="false">IF(N2542&lt;&gt;"Y","",IF(R2542&lt;&gt;"",R2542,IF(Q2542="(tanpa lawan)","Transfer antar rekening",IFERROR(INDEX(I_COA!$F$6:$F$265,MATCH(Q2542,I_COA!$A$6:$A$265,0)),"?"))))</f>
        <v/>
      </c>
    </row>
    <row r="2543" customFormat="false" ht="15" hidden="false" customHeight="false" outlineLevel="0" collapsed="false">
      <c r="A2543" s="37"/>
      <c r="B2543" s="44"/>
      <c r="C2543" s="44"/>
      <c r="D2543" s="44"/>
      <c r="E2543" s="44"/>
      <c r="F2543" s="44"/>
      <c r="G2543" s="42"/>
      <c r="H2543" s="42"/>
      <c r="I2543" s="44"/>
      <c r="J2543" s="11" t="str">
        <f aca="false">IF(D2543="","",N(G2543)-N(H2543))</f>
        <v/>
      </c>
      <c r="K2543" s="34" t="str">
        <f aca="false">IF(D2543="","",IFERROR(INDEX(I_COA!$C$6:$C$265,MATCH(D2543,I_COA!$A$6:$A$265,0)),"AKUN BARU"))</f>
        <v/>
      </c>
      <c r="L2543" s="34" t="str">
        <f aca="false">IF(K2543="LabaRugi",INDEX(I_COA!$D$6:$D$265,MATCH(D2543,I_COA!$A$6:$A$265,0)),"")</f>
        <v/>
      </c>
      <c r="M2543" s="34" t="str">
        <f aca="false">IF(K2543="Neraca",INDEX(I_COA!$E$6:$E$265,MATCH(D2543,I_COA!$A$6:$A$265,0)),"")</f>
        <v/>
      </c>
      <c r="N2543" s="34" t="str">
        <f aca="false">IF(D2543="","",IFERROR(INDEX(I_COA!$G$6:$G$265,MATCH(D2543,I_COA!$A$6:$A$265,0)),"N"))</f>
        <v/>
      </c>
      <c r="O2543" s="11" t="str">
        <f aca="false">IF(N2543="N",ABS(J2543),"")</f>
        <v/>
      </c>
      <c r="P2543" s="18" t="str">
        <f aca="false">IF(N2543="N",B2543&amp;"|"&amp;ROUND(O2543,0),"")</f>
        <v/>
      </c>
      <c r="Q2543" s="18" t="str">
        <f aca="false">IF(N2543&lt;&gt;"Y","",IFERROR(INDEX($D$6:$D$4005,MATCH(B2543&amp;"|"&amp;ROUND(_xlfn.MAXIFS($O$6:$O$4005,$B$6:$B$4005,B2543,$N$6:$N$4005,"N"),0),$P$6:$P$4005,0)),"(tanpa lawan)"))</f>
        <v/>
      </c>
      <c r="R2543" s="44"/>
      <c r="S2543" s="9" t="str">
        <f aca="false">IF(N2543&lt;&gt;"Y","",IF(R2543&lt;&gt;"",R2543,IF(Q2543="(tanpa lawan)","Transfer antar rekening",IFERROR(INDEX(I_COA!$F$6:$F$265,MATCH(Q2543,I_COA!$A$6:$A$265,0)),"?"))))</f>
        <v/>
      </c>
    </row>
    <row r="2544" customFormat="false" ht="15" hidden="false" customHeight="false" outlineLevel="0" collapsed="false">
      <c r="A2544" s="37"/>
      <c r="B2544" s="44"/>
      <c r="C2544" s="44"/>
      <c r="D2544" s="44"/>
      <c r="E2544" s="44"/>
      <c r="F2544" s="44"/>
      <c r="G2544" s="42"/>
      <c r="H2544" s="42"/>
      <c r="I2544" s="44"/>
      <c r="J2544" s="11" t="str">
        <f aca="false">IF(D2544="","",N(G2544)-N(H2544))</f>
        <v/>
      </c>
      <c r="K2544" s="34" t="str">
        <f aca="false">IF(D2544="","",IFERROR(INDEX(I_COA!$C$6:$C$265,MATCH(D2544,I_COA!$A$6:$A$265,0)),"AKUN BARU"))</f>
        <v/>
      </c>
      <c r="L2544" s="34" t="str">
        <f aca="false">IF(K2544="LabaRugi",INDEX(I_COA!$D$6:$D$265,MATCH(D2544,I_COA!$A$6:$A$265,0)),"")</f>
        <v/>
      </c>
      <c r="M2544" s="34" t="str">
        <f aca="false">IF(K2544="Neraca",INDEX(I_COA!$E$6:$E$265,MATCH(D2544,I_COA!$A$6:$A$265,0)),"")</f>
        <v/>
      </c>
      <c r="N2544" s="34" t="str">
        <f aca="false">IF(D2544="","",IFERROR(INDEX(I_COA!$G$6:$G$265,MATCH(D2544,I_COA!$A$6:$A$265,0)),"N"))</f>
        <v/>
      </c>
      <c r="O2544" s="11" t="str">
        <f aca="false">IF(N2544="N",ABS(J2544),"")</f>
        <v/>
      </c>
      <c r="P2544" s="18" t="str">
        <f aca="false">IF(N2544="N",B2544&amp;"|"&amp;ROUND(O2544,0),"")</f>
        <v/>
      </c>
      <c r="Q2544" s="18" t="str">
        <f aca="false">IF(N2544&lt;&gt;"Y","",IFERROR(INDEX($D$6:$D$4005,MATCH(B2544&amp;"|"&amp;ROUND(_xlfn.MAXIFS($O$6:$O$4005,$B$6:$B$4005,B2544,$N$6:$N$4005,"N"),0),$P$6:$P$4005,0)),"(tanpa lawan)"))</f>
        <v/>
      </c>
      <c r="R2544" s="44"/>
      <c r="S2544" s="9" t="str">
        <f aca="false">IF(N2544&lt;&gt;"Y","",IF(R2544&lt;&gt;"",R2544,IF(Q2544="(tanpa lawan)","Transfer antar rekening",IFERROR(INDEX(I_COA!$F$6:$F$265,MATCH(Q2544,I_COA!$A$6:$A$265,0)),"?"))))</f>
        <v/>
      </c>
    </row>
    <row r="2545" customFormat="false" ht="15" hidden="false" customHeight="false" outlineLevel="0" collapsed="false">
      <c r="A2545" s="37"/>
      <c r="B2545" s="44"/>
      <c r="C2545" s="44"/>
      <c r="D2545" s="44"/>
      <c r="E2545" s="44"/>
      <c r="F2545" s="44"/>
      <c r="G2545" s="42"/>
      <c r="H2545" s="42"/>
      <c r="I2545" s="44"/>
      <c r="J2545" s="11" t="str">
        <f aca="false">IF(D2545="","",N(G2545)-N(H2545))</f>
        <v/>
      </c>
      <c r="K2545" s="34" t="str">
        <f aca="false">IF(D2545="","",IFERROR(INDEX(I_COA!$C$6:$C$265,MATCH(D2545,I_COA!$A$6:$A$265,0)),"AKUN BARU"))</f>
        <v/>
      </c>
      <c r="L2545" s="34" t="str">
        <f aca="false">IF(K2545="LabaRugi",INDEX(I_COA!$D$6:$D$265,MATCH(D2545,I_COA!$A$6:$A$265,0)),"")</f>
        <v/>
      </c>
      <c r="M2545" s="34" t="str">
        <f aca="false">IF(K2545="Neraca",INDEX(I_COA!$E$6:$E$265,MATCH(D2545,I_COA!$A$6:$A$265,0)),"")</f>
        <v/>
      </c>
      <c r="N2545" s="34" t="str">
        <f aca="false">IF(D2545="","",IFERROR(INDEX(I_COA!$G$6:$G$265,MATCH(D2545,I_COA!$A$6:$A$265,0)),"N"))</f>
        <v/>
      </c>
      <c r="O2545" s="11" t="str">
        <f aca="false">IF(N2545="N",ABS(J2545),"")</f>
        <v/>
      </c>
      <c r="P2545" s="18" t="str">
        <f aca="false">IF(N2545="N",B2545&amp;"|"&amp;ROUND(O2545,0),"")</f>
        <v/>
      </c>
      <c r="Q2545" s="18" t="str">
        <f aca="false">IF(N2545&lt;&gt;"Y","",IFERROR(INDEX($D$6:$D$4005,MATCH(B2545&amp;"|"&amp;ROUND(_xlfn.MAXIFS($O$6:$O$4005,$B$6:$B$4005,B2545,$N$6:$N$4005,"N"),0),$P$6:$P$4005,0)),"(tanpa lawan)"))</f>
        <v/>
      </c>
      <c r="R2545" s="44"/>
      <c r="S2545" s="9" t="str">
        <f aca="false">IF(N2545&lt;&gt;"Y","",IF(R2545&lt;&gt;"",R2545,IF(Q2545="(tanpa lawan)","Transfer antar rekening",IFERROR(INDEX(I_COA!$F$6:$F$265,MATCH(Q2545,I_COA!$A$6:$A$265,0)),"?"))))</f>
        <v/>
      </c>
    </row>
    <row r="2546" customFormat="false" ht="15" hidden="false" customHeight="false" outlineLevel="0" collapsed="false">
      <c r="A2546" s="37"/>
      <c r="B2546" s="44"/>
      <c r="C2546" s="44"/>
      <c r="D2546" s="44"/>
      <c r="E2546" s="44"/>
      <c r="F2546" s="44"/>
      <c r="G2546" s="42"/>
      <c r="H2546" s="42"/>
      <c r="I2546" s="44"/>
      <c r="J2546" s="11" t="str">
        <f aca="false">IF(D2546="","",N(G2546)-N(H2546))</f>
        <v/>
      </c>
      <c r="K2546" s="34" t="str">
        <f aca="false">IF(D2546="","",IFERROR(INDEX(I_COA!$C$6:$C$265,MATCH(D2546,I_COA!$A$6:$A$265,0)),"AKUN BARU"))</f>
        <v/>
      </c>
      <c r="L2546" s="34" t="str">
        <f aca="false">IF(K2546="LabaRugi",INDEX(I_COA!$D$6:$D$265,MATCH(D2546,I_COA!$A$6:$A$265,0)),"")</f>
        <v/>
      </c>
      <c r="M2546" s="34" t="str">
        <f aca="false">IF(K2546="Neraca",INDEX(I_COA!$E$6:$E$265,MATCH(D2546,I_COA!$A$6:$A$265,0)),"")</f>
        <v/>
      </c>
      <c r="N2546" s="34" t="str">
        <f aca="false">IF(D2546="","",IFERROR(INDEX(I_COA!$G$6:$G$265,MATCH(D2546,I_COA!$A$6:$A$265,0)),"N"))</f>
        <v/>
      </c>
      <c r="O2546" s="11" t="str">
        <f aca="false">IF(N2546="N",ABS(J2546),"")</f>
        <v/>
      </c>
      <c r="P2546" s="18" t="str">
        <f aca="false">IF(N2546="N",B2546&amp;"|"&amp;ROUND(O2546,0),"")</f>
        <v/>
      </c>
      <c r="Q2546" s="18" t="str">
        <f aca="false">IF(N2546&lt;&gt;"Y","",IFERROR(INDEX($D$6:$D$4005,MATCH(B2546&amp;"|"&amp;ROUND(_xlfn.MAXIFS($O$6:$O$4005,$B$6:$B$4005,B2546,$N$6:$N$4005,"N"),0),$P$6:$P$4005,0)),"(tanpa lawan)"))</f>
        <v/>
      </c>
      <c r="R2546" s="44"/>
      <c r="S2546" s="9" t="str">
        <f aca="false">IF(N2546&lt;&gt;"Y","",IF(R2546&lt;&gt;"",R2546,IF(Q2546="(tanpa lawan)","Transfer antar rekening",IFERROR(INDEX(I_COA!$F$6:$F$265,MATCH(Q2546,I_COA!$A$6:$A$265,0)),"?"))))</f>
        <v/>
      </c>
    </row>
    <row r="2547" customFormat="false" ht="15" hidden="false" customHeight="false" outlineLevel="0" collapsed="false">
      <c r="A2547" s="37"/>
      <c r="B2547" s="44"/>
      <c r="C2547" s="44"/>
      <c r="D2547" s="44"/>
      <c r="E2547" s="44"/>
      <c r="F2547" s="44"/>
      <c r="G2547" s="42"/>
      <c r="H2547" s="42"/>
      <c r="I2547" s="44"/>
      <c r="J2547" s="11" t="str">
        <f aca="false">IF(D2547="","",N(G2547)-N(H2547))</f>
        <v/>
      </c>
      <c r="K2547" s="34" t="str">
        <f aca="false">IF(D2547="","",IFERROR(INDEX(I_COA!$C$6:$C$265,MATCH(D2547,I_COA!$A$6:$A$265,0)),"AKUN BARU"))</f>
        <v/>
      </c>
      <c r="L2547" s="34" t="str">
        <f aca="false">IF(K2547="LabaRugi",INDEX(I_COA!$D$6:$D$265,MATCH(D2547,I_COA!$A$6:$A$265,0)),"")</f>
        <v/>
      </c>
      <c r="M2547" s="34" t="str">
        <f aca="false">IF(K2547="Neraca",INDEX(I_COA!$E$6:$E$265,MATCH(D2547,I_COA!$A$6:$A$265,0)),"")</f>
        <v/>
      </c>
      <c r="N2547" s="34" t="str">
        <f aca="false">IF(D2547="","",IFERROR(INDEX(I_COA!$G$6:$G$265,MATCH(D2547,I_COA!$A$6:$A$265,0)),"N"))</f>
        <v/>
      </c>
      <c r="O2547" s="11" t="str">
        <f aca="false">IF(N2547="N",ABS(J2547),"")</f>
        <v/>
      </c>
      <c r="P2547" s="18" t="str">
        <f aca="false">IF(N2547="N",B2547&amp;"|"&amp;ROUND(O2547,0),"")</f>
        <v/>
      </c>
      <c r="Q2547" s="18" t="str">
        <f aca="false">IF(N2547&lt;&gt;"Y","",IFERROR(INDEX($D$6:$D$4005,MATCH(B2547&amp;"|"&amp;ROUND(_xlfn.MAXIFS($O$6:$O$4005,$B$6:$B$4005,B2547,$N$6:$N$4005,"N"),0),$P$6:$P$4005,0)),"(tanpa lawan)"))</f>
        <v/>
      </c>
      <c r="R2547" s="44"/>
      <c r="S2547" s="9" t="str">
        <f aca="false">IF(N2547&lt;&gt;"Y","",IF(R2547&lt;&gt;"",R2547,IF(Q2547="(tanpa lawan)","Transfer antar rekening",IFERROR(INDEX(I_COA!$F$6:$F$265,MATCH(Q2547,I_COA!$A$6:$A$265,0)),"?"))))</f>
        <v/>
      </c>
    </row>
    <row r="2548" customFormat="false" ht="15" hidden="false" customHeight="false" outlineLevel="0" collapsed="false">
      <c r="A2548" s="37"/>
      <c r="B2548" s="44"/>
      <c r="C2548" s="44"/>
      <c r="D2548" s="44"/>
      <c r="E2548" s="44"/>
      <c r="F2548" s="44"/>
      <c r="G2548" s="42"/>
      <c r="H2548" s="42"/>
      <c r="I2548" s="44"/>
      <c r="J2548" s="11" t="str">
        <f aca="false">IF(D2548="","",N(G2548)-N(H2548))</f>
        <v/>
      </c>
      <c r="K2548" s="34" t="str">
        <f aca="false">IF(D2548="","",IFERROR(INDEX(I_COA!$C$6:$C$265,MATCH(D2548,I_COA!$A$6:$A$265,0)),"AKUN BARU"))</f>
        <v/>
      </c>
      <c r="L2548" s="34" t="str">
        <f aca="false">IF(K2548="LabaRugi",INDEX(I_COA!$D$6:$D$265,MATCH(D2548,I_COA!$A$6:$A$265,0)),"")</f>
        <v/>
      </c>
      <c r="M2548" s="34" t="str">
        <f aca="false">IF(K2548="Neraca",INDEX(I_COA!$E$6:$E$265,MATCH(D2548,I_COA!$A$6:$A$265,0)),"")</f>
        <v/>
      </c>
      <c r="N2548" s="34" t="str">
        <f aca="false">IF(D2548="","",IFERROR(INDEX(I_COA!$G$6:$G$265,MATCH(D2548,I_COA!$A$6:$A$265,0)),"N"))</f>
        <v/>
      </c>
      <c r="O2548" s="11" t="str">
        <f aca="false">IF(N2548="N",ABS(J2548),"")</f>
        <v/>
      </c>
      <c r="P2548" s="18" t="str">
        <f aca="false">IF(N2548="N",B2548&amp;"|"&amp;ROUND(O2548,0),"")</f>
        <v/>
      </c>
      <c r="Q2548" s="18" t="str">
        <f aca="false">IF(N2548&lt;&gt;"Y","",IFERROR(INDEX($D$6:$D$4005,MATCH(B2548&amp;"|"&amp;ROUND(_xlfn.MAXIFS($O$6:$O$4005,$B$6:$B$4005,B2548,$N$6:$N$4005,"N"),0),$P$6:$P$4005,0)),"(tanpa lawan)"))</f>
        <v/>
      </c>
      <c r="R2548" s="44"/>
      <c r="S2548" s="9" t="str">
        <f aca="false">IF(N2548&lt;&gt;"Y","",IF(R2548&lt;&gt;"",R2548,IF(Q2548="(tanpa lawan)","Transfer antar rekening",IFERROR(INDEX(I_COA!$F$6:$F$265,MATCH(Q2548,I_COA!$A$6:$A$265,0)),"?"))))</f>
        <v/>
      </c>
    </row>
    <row r="2549" customFormat="false" ht="15" hidden="false" customHeight="false" outlineLevel="0" collapsed="false">
      <c r="A2549" s="37"/>
      <c r="B2549" s="44"/>
      <c r="C2549" s="44"/>
      <c r="D2549" s="44"/>
      <c r="E2549" s="44"/>
      <c r="F2549" s="44"/>
      <c r="G2549" s="42"/>
      <c r="H2549" s="42"/>
      <c r="I2549" s="44"/>
      <c r="J2549" s="11" t="str">
        <f aca="false">IF(D2549="","",N(G2549)-N(H2549))</f>
        <v/>
      </c>
      <c r="K2549" s="34" t="str">
        <f aca="false">IF(D2549="","",IFERROR(INDEX(I_COA!$C$6:$C$265,MATCH(D2549,I_COA!$A$6:$A$265,0)),"AKUN BARU"))</f>
        <v/>
      </c>
      <c r="L2549" s="34" t="str">
        <f aca="false">IF(K2549="LabaRugi",INDEX(I_COA!$D$6:$D$265,MATCH(D2549,I_COA!$A$6:$A$265,0)),"")</f>
        <v/>
      </c>
      <c r="M2549" s="34" t="str">
        <f aca="false">IF(K2549="Neraca",INDEX(I_COA!$E$6:$E$265,MATCH(D2549,I_COA!$A$6:$A$265,0)),"")</f>
        <v/>
      </c>
      <c r="N2549" s="34" t="str">
        <f aca="false">IF(D2549="","",IFERROR(INDEX(I_COA!$G$6:$G$265,MATCH(D2549,I_COA!$A$6:$A$265,0)),"N"))</f>
        <v/>
      </c>
      <c r="O2549" s="11" t="str">
        <f aca="false">IF(N2549="N",ABS(J2549),"")</f>
        <v/>
      </c>
      <c r="P2549" s="18" t="str">
        <f aca="false">IF(N2549="N",B2549&amp;"|"&amp;ROUND(O2549,0),"")</f>
        <v/>
      </c>
      <c r="Q2549" s="18" t="str">
        <f aca="false">IF(N2549&lt;&gt;"Y","",IFERROR(INDEX($D$6:$D$4005,MATCH(B2549&amp;"|"&amp;ROUND(_xlfn.MAXIFS($O$6:$O$4005,$B$6:$B$4005,B2549,$N$6:$N$4005,"N"),0),$P$6:$P$4005,0)),"(tanpa lawan)"))</f>
        <v/>
      </c>
      <c r="R2549" s="44"/>
      <c r="S2549" s="9" t="str">
        <f aca="false">IF(N2549&lt;&gt;"Y","",IF(R2549&lt;&gt;"",R2549,IF(Q2549="(tanpa lawan)","Transfer antar rekening",IFERROR(INDEX(I_COA!$F$6:$F$265,MATCH(Q2549,I_COA!$A$6:$A$265,0)),"?"))))</f>
        <v/>
      </c>
    </row>
    <row r="2550" customFormat="false" ht="15" hidden="false" customHeight="false" outlineLevel="0" collapsed="false">
      <c r="A2550" s="37"/>
      <c r="B2550" s="44"/>
      <c r="C2550" s="44"/>
      <c r="D2550" s="44"/>
      <c r="E2550" s="44"/>
      <c r="F2550" s="44"/>
      <c r="G2550" s="42"/>
      <c r="H2550" s="42"/>
      <c r="I2550" s="44"/>
      <c r="J2550" s="11" t="str">
        <f aca="false">IF(D2550="","",N(G2550)-N(H2550))</f>
        <v/>
      </c>
      <c r="K2550" s="34" t="str">
        <f aca="false">IF(D2550="","",IFERROR(INDEX(I_COA!$C$6:$C$265,MATCH(D2550,I_COA!$A$6:$A$265,0)),"AKUN BARU"))</f>
        <v/>
      </c>
      <c r="L2550" s="34" t="str">
        <f aca="false">IF(K2550="LabaRugi",INDEX(I_COA!$D$6:$D$265,MATCH(D2550,I_COA!$A$6:$A$265,0)),"")</f>
        <v/>
      </c>
      <c r="M2550" s="34" t="str">
        <f aca="false">IF(K2550="Neraca",INDEX(I_COA!$E$6:$E$265,MATCH(D2550,I_COA!$A$6:$A$265,0)),"")</f>
        <v/>
      </c>
      <c r="N2550" s="34" t="str">
        <f aca="false">IF(D2550="","",IFERROR(INDEX(I_COA!$G$6:$G$265,MATCH(D2550,I_COA!$A$6:$A$265,0)),"N"))</f>
        <v/>
      </c>
      <c r="O2550" s="11" t="str">
        <f aca="false">IF(N2550="N",ABS(J2550),"")</f>
        <v/>
      </c>
      <c r="P2550" s="18" t="str">
        <f aca="false">IF(N2550="N",B2550&amp;"|"&amp;ROUND(O2550,0),"")</f>
        <v/>
      </c>
      <c r="Q2550" s="18" t="str">
        <f aca="false">IF(N2550&lt;&gt;"Y","",IFERROR(INDEX($D$6:$D$4005,MATCH(B2550&amp;"|"&amp;ROUND(_xlfn.MAXIFS($O$6:$O$4005,$B$6:$B$4005,B2550,$N$6:$N$4005,"N"),0),$P$6:$P$4005,0)),"(tanpa lawan)"))</f>
        <v/>
      </c>
      <c r="R2550" s="44"/>
      <c r="S2550" s="9" t="str">
        <f aca="false">IF(N2550&lt;&gt;"Y","",IF(R2550&lt;&gt;"",R2550,IF(Q2550="(tanpa lawan)","Transfer antar rekening",IFERROR(INDEX(I_COA!$F$6:$F$265,MATCH(Q2550,I_COA!$A$6:$A$265,0)),"?"))))</f>
        <v/>
      </c>
    </row>
    <row r="2551" customFormat="false" ht="15" hidden="false" customHeight="false" outlineLevel="0" collapsed="false">
      <c r="A2551" s="37"/>
      <c r="B2551" s="44"/>
      <c r="C2551" s="44"/>
      <c r="D2551" s="44"/>
      <c r="E2551" s="44"/>
      <c r="F2551" s="44"/>
      <c r="G2551" s="42"/>
      <c r="H2551" s="42"/>
      <c r="I2551" s="44"/>
      <c r="J2551" s="11" t="str">
        <f aca="false">IF(D2551="","",N(G2551)-N(H2551))</f>
        <v/>
      </c>
      <c r="K2551" s="34" t="str">
        <f aca="false">IF(D2551="","",IFERROR(INDEX(I_COA!$C$6:$C$265,MATCH(D2551,I_COA!$A$6:$A$265,0)),"AKUN BARU"))</f>
        <v/>
      </c>
      <c r="L2551" s="34" t="str">
        <f aca="false">IF(K2551="LabaRugi",INDEX(I_COA!$D$6:$D$265,MATCH(D2551,I_COA!$A$6:$A$265,0)),"")</f>
        <v/>
      </c>
      <c r="M2551" s="34" t="str">
        <f aca="false">IF(K2551="Neraca",INDEX(I_COA!$E$6:$E$265,MATCH(D2551,I_COA!$A$6:$A$265,0)),"")</f>
        <v/>
      </c>
      <c r="N2551" s="34" t="str">
        <f aca="false">IF(D2551="","",IFERROR(INDEX(I_COA!$G$6:$G$265,MATCH(D2551,I_COA!$A$6:$A$265,0)),"N"))</f>
        <v/>
      </c>
      <c r="O2551" s="11" t="str">
        <f aca="false">IF(N2551="N",ABS(J2551),"")</f>
        <v/>
      </c>
      <c r="P2551" s="18" t="str">
        <f aca="false">IF(N2551="N",B2551&amp;"|"&amp;ROUND(O2551,0),"")</f>
        <v/>
      </c>
      <c r="Q2551" s="18" t="str">
        <f aca="false">IF(N2551&lt;&gt;"Y","",IFERROR(INDEX($D$6:$D$4005,MATCH(B2551&amp;"|"&amp;ROUND(_xlfn.MAXIFS($O$6:$O$4005,$B$6:$B$4005,B2551,$N$6:$N$4005,"N"),0),$P$6:$P$4005,0)),"(tanpa lawan)"))</f>
        <v/>
      </c>
      <c r="R2551" s="44"/>
      <c r="S2551" s="9" t="str">
        <f aca="false">IF(N2551&lt;&gt;"Y","",IF(R2551&lt;&gt;"",R2551,IF(Q2551="(tanpa lawan)","Transfer antar rekening",IFERROR(INDEX(I_COA!$F$6:$F$265,MATCH(Q2551,I_COA!$A$6:$A$265,0)),"?"))))</f>
        <v/>
      </c>
    </row>
    <row r="2552" customFormat="false" ht="15" hidden="false" customHeight="false" outlineLevel="0" collapsed="false">
      <c r="A2552" s="37"/>
      <c r="B2552" s="44"/>
      <c r="C2552" s="44"/>
      <c r="D2552" s="44"/>
      <c r="E2552" s="44"/>
      <c r="F2552" s="44"/>
      <c r="G2552" s="42"/>
      <c r="H2552" s="42"/>
      <c r="I2552" s="44"/>
      <c r="J2552" s="11" t="str">
        <f aca="false">IF(D2552="","",N(G2552)-N(H2552))</f>
        <v/>
      </c>
      <c r="K2552" s="34" t="str">
        <f aca="false">IF(D2552="","",IFERROR(INDEX(I_COA!$C$6:$C$265,MATCH(D2552,I_COA!$A$6:$A$265,0)),"AKUN BARU"))</f>
        <v/>
      </c>
      <c r="L2552" s="34" t="str">
        <f aca="false">IF(K2552="LabaRugi",INDEX(I_COA!$D$6:$D$265,MATCH(D2552,I_COA!$A$6:$A$265,0)),"")</f>
        <v/>
      </c>
      <c r="M2552" s="34" t="str">
        <f aca="false">IF(K2552="Neraca",INDEX(I_COA!$E$6:$E$265,MATCH(D2552,I_COA!$A$6:$A$265,0)),"")</f>
        <v/>
      </c>
      <c r="N2552" s="34" t="str">
        <f aca="false">IF(D2552="","",IFERROR(INDEX(I_COA!$G$6:$G$265,MATCH(D2552,I_COA!$A$6:$A$265,0)),"N"))</f>
        <v/>
      </c>
      <c r="O2552" s="11" t="str">
        <f aca="false">IF(N2552="N",ABS(J2552),"")</f>
        <v/>
      </c>
      <c r="P2552" s="18" t="str">
        <f aca="false">IF(N2552="N",B2552&amp;"|"&amp;ROUND(O2552,0),"")</f>
        <v/>
      </c>
      <c r="Q2552" s="18" t="str">
        <f aca="false">IF(N2552&lt;&gt;"Y","",IFERROR(INDEX($D$6:$D$4005,MATCH(B2552&amp;"|"&amp;ROUND(_xlfn.MAXIFS($O$6:$O$4005,$B$6:$B$4005,B2552,$N$6:$N$4005,"N"),0),$P$6:$P$4005,0)),"(tanpa lawan)"))</f>
        <v/>
      </c>
      <c r="R2552" s="44"/>
      <c r="S2552" s="9" t="str">
        <f aca="false">IF(N2552&lt;&gt;"Y","",IF(R2552&lt;&gt;"",R2552,IF(Q2552="(tanpa lawan)","Transfer antar rekening",IFERROR(INDEX(I_COA!$F$6:$F$265,MATCH(Q2552,I_COA!$A$6:$A$265,0)),"?"))))</f>
        <v/>
      </c>
    </row>
    <row r="2553" customFormat="false" ht="15" hidden="false" customHeight="false" outlineLevel="0" collapsed="false">
      <c r="A2553" s="37"/>
      <c r="B2553" s="44"/>
      <c r="C2553" s="44"/>
      <c r="D2553" s="44"/>
      <c r="E2553" s="44"/>
      <c r="F2553" s="44"/>
      <c r="G2553" s="42"/>
      <c r="H2553" s="42"/>
      <c r="I2553" s="44"/>
      <c r="J2553" s="11" t="str">
        <f aca="false">IF(D2553="","",N(G2553)-N(H2553))</f>
        <v/>
      </c>
      <c r="K2553" s="34" t="str">
        <f aca="false">IF(D2553="","",IFERROR(INDEX(I_COA!$C$6:$C$265,MATCH(D2553,I_COA!$A$6:$A$265,0)),"AKUN BARU"))</f>
        <v/>
      </c>
      <c r="L2553" s="34" t="str">
        <f aca="false">IF(K2553="LabaRugi",INDEX(I_COA!$D$6:$D$265,MATCH(D2553,I_COA!$A$6:$A$265,0)),"")</f>
        <v/>
      </c>
      <c r="M2553" s="34" t="str">
        <f aca="false">IF(K2553="Neraca",INDEX(I_COA!$E$6:$E$265,MATCH(D2553,I_COA!$A$6:$A$265,0)),"")</f>
        <v/>
      </c>
      <c r="N2553" s="34" t="str">
        <f aca="false">IF(D2553="","",IFERROR(INDEX(I_COA!$G$6:$G$265,MATCH(D2553,I_COA!$A$6:$A$265,0)),"N"))</f>
        <v/>
      </c>
      <c r="O2553" s="11" t="str">
        <f aca="false">IF(N2553="N",ABS(J2553),"")</f>
        <v/>
      </c>
      <c r="P2553" s="18" t="str">
        <f aca="false">IF(N2553="N",B2553&amp;"|"&amp;ROUND(O2553,0),"")</f>
        <v/>
      </c>
      <c r="Q2553" s="18" t="str">
        <f aca="false">IF(N2553&lt;&gt;"Y","",IFERROR(INDEX($D$6:$D$4005,MATCH(B2553&amp;"|"&amp;ROUND(_xlfn.MAXIFS($O$6:$O$4005,$B$6:$B$4005,B2553,$N$6:$N$4005,"N"),0),$P$6:$P$4005,0)),"(tanpa lawan)"))</f>
        <v/>
      </c>
      <c r="R2553" s="44"/>
      <c r="S2553" s="9" t="str">
        <f aca="false">IF(N2553&lt;&gt;"Y","",IF(R2553&lt;&gt;"",R2553,IF(Q2553="(tanpa lawan)","Transfer antar rekening",IFERROR(INDEX(I_COA!$F$6:$F$265,MATCH(Q2553,I_COA!$A$6:$A$265,0)),"?"))))</f>
        <v/>
      </c>
    </row>
    <row r="2554" customFormat="false" ht="15" hidden="false" customHeight="false" outlineLevel="0" collapsed="false">
      <c r="A2554" s="37"/>
      <c r="B2554" s="44"/>
      <c r="C2554" s="44"/>
      <c r="D2554" s="44"/>
      <c r="E2554" s="44"/>
      <c r="F2554" s="44"/>
      <c r="G2554" s="42"/>
      <c r="H2554" s="42"/>
      <c r="I2554" s="44"/>
      <c r="J2554" s="11" t="str">
        <f aca="false">IF(D2554="","",N(G2554)-N(H2554))</f>
        <v/>
      </c>
      <c r="K2554" s="34" t="str">
        <f aca="false">IF(D2554="","",IFERROR(INDEX(I_COA!$C$6:$C$265,MATCH(D2554,I_COA!$A$6:$A$265,0)),"AKUN BARU"))</f>
        <v/>
      </c>
      <c r="L2554" s="34" t="str">
        <f aca="false">IF(K2554="LabaRugi",INDEX(I_COA!$D$6:$D$265,MATCH(D2554,I_COA!$A$6:$A$265,0)),"")</f>
        <v/>
      </c>
      <c r="M2554" s="34" t="str">
        <f aca="false">IF(K2554="Neraca",INDEX(I_COA!$E$6:$E$265,MATCH(D2554,I_COA!$A$6:$A$265,0)),"")</f>
        <v/>
      </c>
      <c r="N2554" s="34" t="str">
        <f aca="false">IF(D2554="","",IFERROR(INDEX(I_COA!$G$6:$G$265,MATCH(D2554,I_COA!$A$6:$A$265,0)),"N"))</f>
        <v/>
      </c>
      <c r="O2554" s="11" t="str">
        <f aca="false">IF(N2554="N",ABS(J2554),"")</f>
        <v/>
      </c>
      <c r="P2554" s="18" t="str">
        <f aca="false">IF(N2554="N",B2554&amp;"|"&amp;ROUND(O2554,0),"")</f>
        <v/>
      </c>
      <c r="Q2554" s="18" t="str">
        <f aca="false">IF(N2554&lt;&gt;"Y","",IFERROR(INDEX($D$6:$D$4005,MATCH(B2554&amp;"|"&amp;ROUND(_xlfn.MAXIFS($O$6:$O$4005,$B$6:$B$4005,B2554,$N$6:$N$4005,"N"),0),$P$6:$P$4005,0)),"(tanpa lawan)"))</f>
        <v/>
      </c>
      <c r="R2554" s="44"/>
      <c r="S2554" s="9" t="str">
        <f aca="false">IF(N2554&lt;&gt;"Y","",IF(R2554&lt;&gt;"",R2554,IF(Q2554="(tanpa lawan)","Transfer antar rekening",IFERROR(INDEX(I_COA!$F$6:$F$265,MATCH(Q2554,I_COA!$A$6:$A$265,0)),"?"))))</f>
        <v/>
      </c>
    </row>
    <row r="2555" customFormat="false" ht="15" hidden="false" customHeight="false" outlineLevel="0" collapsed="false">
      <c r="A2555" s="37"/>
      <c r="B2555" s="44"/>
      <c r="C2555" s="44"/>
      <c r="D2555" s="44"/>
      <c r="E2555" s="44"/>
      <c r="F2555" s="44"/>
      <c r="G2555" s="42"/>
      <c r="H2555" s="42"/>
      <c r="I2555" s="44"/>
      <c r="J2555" s="11" t="str">
        <f aca="false">IF(D2555="","",N(G2555)-N(H2555))</f>
        <v/>
      </c>
      <c r="K2555" s="34" t="str">
        <f aca="false">IF(D2555="","",IFERROR(INDEX(I_COA!$C$6:$C$265,MATCH(D2555,I_COA!$A$6:$A$265,0)),"AKUN BARU"))</f>
        <v/>
      </c>
      <c r="L2555" s="34" t="str">
        <f aca="false">IF(K2555="LabaRugi",INDEX(I_COA!$D$6:$D$265,MATCH(D2555,I_COA!$A$6:$A$265,0)),"")</f>
        <v/>
      </c>
      <c r="M2555" s="34" t="str">
        <f aca="false">IF(K2555="Neraca",INDEX(I_COA!$E$6:$E$265,MATCH(D2555,I_COA!$A$6:$A$265,0)),"")</f>
        <v/>
      </c>
      <c r="N2555" s="34" t="str">
        <f aca="false">IF(D2555="","",IFERROR(INDEX(I_COA!$G$6:$G$265,MATCH(D2555,I_COA!$A$6:$A$265,0)),"N"))</f>
        <v/>
      </c>
      <c r="O2555" s="11" t="str">
        <f aca="false">IF(N2555="N",ABS(J2555),"")</f>
        <v/>
      </c>
      <c r="P2555" s="18" t="str">
        <f aca="false">IF(N2555="N",B2555&amp;"|"&amp;ROUND(O2555,0),"")</f>
        <v/>
      </c>
      <c r="Q2555" s="18" t="str">
        <f aca="false">IF(N2555&lt;&gt;"Y","",IFERROR(INDEX($D$6:$D$4005,MATCH(B2555&amp;"|"&amp;ROUND(_xlfn.MAXIFS($O$6:$O$4005,$B$6:$B$4005,B2555,$N$6:$N$4005,"N"),0),$P$6:$P$4005,0)),"(tanpa lawan)"))</f>
        <v/>
      </c>
      <c r="R2555" s="44"/>
      <c r="S2555" s="9" t="str">
        <f aca="false">IF(N2555&lt;&gt;"Y","",IF(R2555&lt;&gt;"",R2555,IF(Q2555="(tanpa lawan)","Transfer antar rekening",IFERROR(INDEX(I_COA!$F$6:$F$265,MATCH(Q2555,I_COA!$A$6:$A$265,0)),"?"))))</f>
        <v/>
      </c>
    </row>
    <row r="2556" customFormat="false" ht="15" hidden="false" customHeight="false" outlineLevel="0" collapsed="false">
      <c r="A2556" s="37"/>
      <c r="B2556" s="44"/>
      <c r="C2556" s="44"/>
      <c r="D2556" s="44"/>
      <c r="E2556" s="44"/>
      <c r="F2556" s="44"/>
      <c r="G2556" s="42"/>
      <c r="H2556" s="42"/>
      <c r="I2556" s="44"/>
      <c r="J2556" s="11" t="str">
        <f aca="false">IF(D2556="","",N(G2556)-N(H2556))</f>
        <v/>
      </c>
      <c r="K2556" s="34" t="str">
        <f aca="false">IF(D2556="","",IFERROR(INDEX(I_COA!$C$6:$C$265,MATCH(D2556,I_COA!$A$6:$A$265,0)),"AKUN BARU"))</f>
        <v/>
      </c>
      <c r="L2556" s="34" t="str">
        <f aca="false">IF(K2556="LabaRugi",INDEX(I_COA!$D$6:$D$265,MATCH(D2556,I_COA!$A$6:$A$265,0)),"")</f>
        <v/>
      </c>
      <c r="M2556" s="34" t="str">
        <f aca="false">IF(K2556="Neraca",INDEX(I_COA!$E$6:$E$265,MATCH(D2556,I_COA!$A$6:$A$265,0)),"")</f>
        <v/>
      </c>
      <c r="N2556" s="34" t="str">
        <f aca="false">IF(D2556="","",IFERROR(INDEX(I_COA!$G$6:$G$265,MATCH(D2556,I_COA!$A$6:$A$265,0)),"N"))</f>
        <v/>
      </c>
      <c r="O2556" s="11" t="str">
        <f aca="false">IF(N2556="N",ABS(J2556),"")</f>
        <v/>
      </c>
      <c r="P2556" s="18" t="str">
        <f aca="false">IF(N2556="N",B2556&amp;"|"&amp;ROUND(O2556,0),"")</f>
        <v/>
      </c>
      <c r="Q2556" s="18" t="str">
        <f aca="false">IF(N2556&lt;&gt;"Y","",IFERROR(INDEX($D$6:$D$4005,MATCH(B2556&amp;"|"&amp;ROUND(_xlfn.MAXIFS($O$6:$O$4005,$B$6:$B$4005,B2556,$N$6:$N$4005,"N"),0),$P$6:$P$4005,0)),"(tanpa lawan)"))</f>
        <v/>
      </c>
      <c r="R2556" s="44"/>
      <c r="S2556" s="9" t="str">
        <f aca="false">IF(N2556&lt;&gt;"Y","",IF(R2556&lt;&gt;"",R2556,IF(Q2556="(tanpa lawan)","Transfer antar rekening",IFERROR(INDEX(I_COA!$F$6:$F$265,MATCH(Q2556,I_COA!$A$6:$A$265,0)),"?"))))</f>
        <v/>
      </c>
    </row>
    <row r="2557" customFormat="false" ht="15" hidden="false" customHeight="false" outlineLevel="0" collapsed="false">
      <c r="A2557" s="37"/>
      <c r="B2557" s="44"/>
      <c r="C2557" s="44"/>
      <c r="D2557" s="44"/>
      <c r="E2557" s="44"/>
      <c r="F2557" s="44"/>
      <c r="G2557" s="42"/>
      <c r="H2557" s="42"/>
      <c r="I2557" s="44"/>
      <c r="J2557" s="11" t="str">
        <f aca="false">IF(D2557="","",N(G2557)-N(H2557))</f>
        <v/>
      </c>
      <c r="K2557" s="34" t="str">
        <f aca="false">IF(D2557="","",IFERROR(INDEX(I_COA!$C$6:$C$265,MATCH(D2557,I_COA!$A$6:$A$265,0)),"AKUN BARU"))</f>
        <v/>
      </c>
      <c r="L2557" s="34" t="str">
        <f aca="false">IF(K2557="LabaRugi",INDEX(I_COA!$D$6:$D$265,MATCH(D2557,I_COA!$A$6:$A$265,0)),"")</f>
        <v/>
      </c>
      <c r="M2557" s="34" t="str">
        <f aca="false">IF(K2557="Neraca",INDEX(I_COA!$E$6:$E$265,MATCH(D2557,I_COA!$A$6:$A$265,0)),"")</f>
        <v/>
      </c>
      <c r="N2557" s="34" t="str">
        <f aca="false">IF(D2557="","",IFERROR(INDEX(I_COA!$G$6:$G$265,MATCH(D2557,I_COA!$A$6:$A$265,0)),"N"))</f>
        <v/>
      </c>
      <c r="O2557" s="11" t="str">
        <f aca="false">IF(N2557="N",ABS(J2557),"")</f>
        <v/>
      </c>
      <c r="P2557" s="18" t="str">
        <f aca="false">IF(N2557="N",B2557&amp;"|"&amp;ROUND(O2557,0),"")</f>
        <v/>
      </c>
      <c r="Q2557" s="18" t="str">
        <f aca="false">IF(N2557&lt;&gt;"Y","",IFERROR(INDEX($D$6:$D$4005,MATCH(B2557&amp;"|"&amp;ROUND(_xlfn.MAXIFS($O$6:$O$4005,$B$6:$B$4005,B2557,$N$6:$N$4005,"N"),0),$P$6:$P$4005,0)),"(tanpa lawan)"))</f>
        <v/>
      </c>
      <c r="R2557" s="44"/>
      <c r="S2557" s="9" t="str">
        <f aca="false">IF(N2557&lt;&gt;"Y","",IF(R2557&lt;&gt;"",R2557,IF(Q2557="(tanpa lawan)","Transfer antar rekening",IFERROR(INDEX(I_COA!$F$6:$F$265,MATCH(Q2557,I_COA!$A$6:$A$265,0)),"?"))))</f>
        <v/>
      </c>
    </row>
    <row r="2558" customFormat="false" ht="15" hidden="false" customHeight="false" outlineLevel="0" collapsed="false">
      <c r="A2558" s="37"/>
      <c r="B2558" s="44"/>
      <c r="C2558" s="44"/>
      <c r="D2558" s="44"/>
      <c r="E2558" s="44"/>
      <c r="F2558" s="44"/>
      <c r="G2558" s="42"/>
      <c r="H2558" s="42"/>
      <c r="I2558" s="44"/>
      <c r="J2558" s="11" t="str">
        <f aca="false">IF(D2558="","",N(G2558)-N(H2558))</f>
        <v/>
      </c>
      <c r="K2558" s="34" t="str">
        <f aca="false">IF(D2558="","",IFERROR(INDEX(I_COA!$C$6:$C$265,MATCH(D2558,I_COA!$A$6:$A$265,0)),"AKUN BARU"))</f>
        <v/>
      </c>
      <c r="L2558" s="34" t="str">
        <f aca="false">IF(K2558="LabaRugi",INDEX(I_COA!$D$6:$D$265,MATCH(D2558,I_COA!$A$6:$A$265,0)),"")</f>
        <v/>
      </c>
      <c r="M2558" s="34" t="str">
        <f aca="false">IF(K2558="Neraca",INDEX(I_COA!$E$6:$E$265,MATCH(D2558,I_COA!$A$6:$A$265,0)),"")</f>
        <v/>
      </c>
      <c r="N2558" s="34" t="str">
        <f aca="false">IF(D2558="","",IFERROR(INDEX(I_COA!$G$6:$G$265,MATCH(D2558,I_COA!$A$6:$A$265,0)),"N"))</f>
        <v/>
      </c>
      <c r="O2558" s="11" t="str">
        <f aca="false">IF(N2558="N",ABS(J2558),"")</f>
        <v/>
      </c>
      <c r="P2558" s="18" t="str">
        <f aca="false">IF(N2558="N",B2558&amp;"|"&amp;ROUND(O2558,0),"")</f>
        <v/>
      </c>
      <c r="Q2558" s="18" t="str">
        <f aca="false">IF(N2558&lt;&gt;"Y","",IFERROR(INDEX($D$6:$D$4005,MATCH(B2558&amp;"|"&amp;ROUND(_xlfn.MAXIFS($O$6:$O$4005,$B$6:$B$4005,B2558,$N$6:$N$4005,"N"),0),$P$6:$P$4005,0)),"(tanpa lawan)"))</f>
        <v/>
      </c>
      <c r="R2558" s="44"/>
      <c r="S2558" s="9" t="str">
        <f aca="false">IF(N2558&lt;&gt;"Y","",IF(R2558&lt;&gt;"",R2558,IF(Q2558="(tanpa lawan)","Transfer antar rekening",IFERROR(INDEX(I_COA!$F$6:$F$265,MATCH(Q2558,I_COA!$A$6:$A$265,0)),"?"))))</f>
        <v/>
      </c>
    </row>
    <row r="2559" customFormat="false" ht="15" hidden="false" customHeight="false" outlineLevel="0" collapsed="false">
      <c r="A2559" s="37"/>
      <c r="B2559" s="44"/>
      <c r="C2559" s="44"/>
      <c r="D2559" s="44"/>
      <c r="E2559" s="44"/>
      <c r="F2559" s="44"/>
      <c r="G2559" s="42"/>
      <c r="H2559" s="42"/>
      <c r="I2559" s="44"/>
      <c r="J2559" s="11" t="str">
        <f aca="false">IF(D2559="","",N(G2559)-N(H2559))</f>
        <v/>
      </c>
      <c r="K2559" s="34" t="str">
        <f aca="false">IF(D2559="","",IFERROR(INDEX(I_COA!$C$6:$C$265,MATCH(D2559,I_COA!$A$6:$A$265,0)),"AKUN BARU"))</f>
        <v/>
      </c>
      <c r="L2559" s="34" t="str">
        <f aca="false">IF(K2559="LabaRugi",INDEX(I_COA!$D$6:$D$265,MATCH(D2559,I_COA!$A$6:$A$265,0)),"")</f>
        <v/>
      </c>
      <c r="M2559" s="34" t="str">
        <f aca="false">IF(K2559="Neraca",INDEX(I_COA!$E$6:$E$265,MATCH(D2559,I_COA!$A$6:$A$265,0)),"")</f>
        <v/>
      </c>
      <c r="N2559" s="34" t="str">
        <f aca="false">IF(D2559="","",IFERROR(INDEX(I_COA!$G$6:$G$265,MATCH(D2559,I_COA!$A$6:$A$265,0)),"N"))</f>
        <v/>
      </c>
      <c r="O2559" s="11" t="str">
        <f aca="false">IF(N2559="N",ABS(J2559),"")</f>
        <v/>
      </c>
      <c r="P2559" s="18" t="str">
        <f aca="false">IF(N2559="N",B2559&amp;"|"&amp;ROUND(O2559,0),"")</f>
        <v/>
      </c>
      <c r="Q2559" s="18" t="str">
        <f aca="false">IF(N2559&lt;&gt;"Y","",IFERROR(INDEX($D$6:$D$4005,MATCH(B2559&amp;"|"&amp;ROUND(_xlfn.MAXIFS($O$6:$O$4005,$B$6:$B$4005,B2559,$N$6:$N$4005,"N"),0),$P$6:$P$4005,0)),"(tanpa lawan)"))</f>
        <v/>
      </c>
      <c r="R2559" s="44"/>
      <c r="S2559" s="9" t="str">
        <f aca="false">IF(N2559&lt;&gt;"Y","",IF(R2559&lt;&gt;"",R2559,IF(Q2559="(tanpa lawan)","Transfer antar rekening",IFERROR(INDEX(I_COA!$F$6:$F$265,MATCH(Q2559,I_COA!$A$6:$A$265,0)),"?"))))</f>
        <v/>
      </c>
    </row>
    <row r="2560" customFormat="false" ht="15" hidden="false" customHeight="false" outlineLevel="0" collapsed="false">
      <c r="A2560" s="37"/>
      <c r="B2560" s="44"/>
      <c r="C2560" s="44"/>
      <c r="D2560" s="44"/>
      <c r="E2560" s="44"/>
      <c r="F2560" s="44"/>
      <c r="G2560" s="42"/>
      <c r="H2560" s="42"/>
      <c r="I2560" s="44"/>
      <c r="J2560" s="11" t="str">
        <f aca="false">IF(D2560="","",N(G2560)-N(H2560))</f>
        <v/>
      </c>
      <c r="K2560" s="34" t="str">
        <f aca="false">IF(D2560="","",IFERROR(INDEX(I_COA!$C$6:$C$265,MATCH(D2560,I_COA!$A$6:$A$265,0)),"AKUN BARU"))</f>
        <v/>
      </c>
      <c r="L2560" s="34" t="str">
        <f aca="false">IF(K2560="LabaRugi",INDEX(I_COA!$D$6:$D$265,MATCH(D2560,I_COA!$A$6:$A$265,0)),"")</f>
        <v/>
      </c>
      <c r="M2560" s="34" t="str">
        <f aca="false">IF(K2560="Neraca",INDEX(I_COA!$E$6:$E$265,MATCH(D2560,I_COA!$A$6:$A$265,0)),"")</f>
        <v/>
      </c>
      <c r="N2560" s="34" t="str">
        <f aca="false">IF(D2560="","",IFERROR(INDEX(I_COA!$G$6:$G$265,MATCH(D2560,I_COA!$A$6:$A$265,0)),"N"))</f>
        <v/>
      </c>
      <c r="O2560" s="11" t="str">
        <f aca="false">IF(N2560="N",ABS(J2560),"")</f>
        <v/>
      </c>
      <c r="P2560" s="18" t="str">
        <f aca="false">IF(N2560="N",B2560&amp;"|"&amp;ROUND(O2560,0),"")</f>
        <v/>
      </c>
      <c r="Q2560" s="18" t="str">
        <f aca="false">IF(N2560&lt;&gt;"Y","",IFERROR(INDEX($D$6:$D$4005,MATCH(B2560&amp;"|"&amp;ROUND(_xlfn.MAXIFS($O$6:$O$4005,$B$6:$B$4005,B2560,$N$6:$N$4005,"N"),0),$P$6:$P$4005,0)),"(tanpa lawan)"))</f>
        <v/>
      </c>
      <c r="R2560" s="44"/>
      <c r="S2560" s="9" t="str">
        <f aca="false">IF(N2560&lt;&gt;"Y","",IF(R2560&lt;&gt;"",R2560,IF(Q2560="(tanpa lawan)","Transfer antar rekening",IFERROR(INDEX(I_COA!$F$6:$F$265,MATCH(Q2560,I_COA!$A$6:$A$265,0)),"?"))))</f>
        <v/>
      </c>
    </row>
    <row r="2561" customFormat="false" ht="15" hidden="false" customHeight="false" outlineLevel="0" collapsed="false">
      <c r="A2561" s="37"/>
      <c r="B2561" s="44"/>
      <c r="C2561" s="44"/>
      <c r="D2561" s="44"/>
      <c r="E2561" s="44"/>
      <c r="F2561" s="44"/>
      <c r="G2561" s="42"/>
      <c r="H2561" s="42"/>
      <c r="I2561" s="44"/>
      <c r="J2561" s="11" t="str">
        <f aca="false">IF(D2561="","",N(G2561)-N(H2561))</f>
        <v/>
      </c>
      <c r="K2561" s="34" t="str">
        <f aca="false">IF(D2561="","",IFERROR(INDEX(I_COA!$C$6:$C$265,MATCH(D2561,I_COA!$A$6:$A$265,0)),"AKUN BARU"))</f>
        <v/>
      </c>
      <c r="L2561" s="34" t="str">
        <f aca="false">IF(K2561="LabaRugi",INDEX(I_COA!$D$6:$D$265,MATCH(D2561,I_COA!$A$6:$A$265,0)),"")</f>
        <v/>
      </c>
      <c r="M2561" s="34" t="str">
        <f aca="false">IF(K2561="Neraca",INDEX(I_COA!$E$6:$E$265,MATCH(D2561,I_COA!$A$6:$A$265,0)),"")</f>
        <v/>
      </c>
      <c r="N2561" s="34" t="str">
        <f aca="false">IF(D2561="","",IFERROR(INDEX(I_COA!$G$6:$G$265,MATCH(D2561,I_COA!$A$6:$A$265,0)),"N"))</f>
        <v/>
      </c>
      <c r="O2561" s="11" t="str">
        <f aca="false">IF(N2561="N",ABS(J2561),"")</f>
        <v/>
      </c>
      <c r="P2561" s="18" t="str">
        <f aca="false">IF(N2561="N",B2561&amp;"|"&amp;ROUND(O2561,0),"")</f>
        <v/>
      </c>
      <c r="Q2561" s="18" t="str">
        <f aca="false">IF(N2561&lt;&gt;"Y","",IFERROR(INDEX($D$6:$D$4005,MATCH(B2561&amp;"|"&amp;ROUND(_xlfn.MAXIFS($O$6:$O$4005,$B$6:$B$4005,B2561,$N$6:$N$4005,"N"),0),$P$6:$P$4005,0)),"(tanpa lawan)"))</f>
        <v/>
      </c>
      <c r="R2561" s="44"/>
      <c r="S2561" s="9" t="str">
        <f aca="false">IF(N2561&lt;&gt;"Y","",IF(R2561&lt;&gt;"",R2561,IF(Q2561="(tanpa lawan)","Transfer antar rekening",IFERROR(INDEX(I_COA!$F$6:$F$265,MATCH(Q2561,I_COA!$A$6:$A$265,0)),"?"))))</f>
        <v/>
      </c>
    </row>
    <row r="2562" customFormat="false" ht="15" hidden="false" customHeight="false" outlineLevel="0" collapsed="false">
      <c r="A2562" s="37"/>
      <c r="B2562" s="44"/>
      <c r="C2562" s="44"/>
      <c r="D2562" s="44"/>
      <c r="E2562" s="44"/>
      <c r="F2562" s="44"/>
      <c r="G2562" s="42"/>
      <c r="H2562" s="42"/>
      <c r="I2562" s="44"/>
      <c r="J2562" s="11" t="str">
        <f aca="false">IF(D2562="","",N(G2562)-N(H2562))</f>
        <v/>
      </c>
      <c r="K2562" s="34" t="str">
        <f aca="false">IF(D2562="","",IFERROR(INDEX(I_COA!$C$6:$C$265,MATCH(D2562,I_COA!$A$6:$A$265,0)),"AKUN BARU"))</f>
        <v/>
      </c>
      <c r="L2562" s="34" t="str">
        <f aca="false">IF(K2562="LabaRugi",INDEX(I_COA!$D$6:$D$265,MATCH(D2562,I_COA!$A$6:$A$265,0)),"")</f>
        <v/>
      </c>
      <c r="M2562" s="34" t="str">
        <f aca="false">IF(K2562="Neraca",INDEX(I_COA!$E$6:$E$265,MATCH(D2562,I_COA!$A$6:$A$265,0)),"")</f>
        <v/>
      </c>
      <c r="N2562" s="34" t="str">
        <f aca="false">IF(D2562="","",IFERROR(INDEX(I_COA!$G$6:$G$265,MATCH(D2562,I_COA!$A$6:$A$265,0)),"N"))</f>
        <v/>
      </c>
      <c r="O2562" s="11" t="str">
        <f aca="false">IF(N2562="N",ABS(J2562),"")</f>
        <v/>
      </c>
      <c r="P2562" s="18" t="str">
        <f aca="false">IF(N2562="N",B2562&amp;"|"&amp;ROUND(O2562,0),"")</f>
        <v/>
      </c>
      <c r="Q2562" s="18" t="str">
        <f aca="false">IF(N2562&lt;&gt;"Y","",IFERROR(INDEX($D$6:$D$4005,MATCH(B2562&amp;"|"&amp;ROUND(_xlfn.MAXIFS($O$6:$O$4005,$B$6:$B$4005,B2562,$N$6:$N$4005,"N"),0),$P$6:$P$4005,0)),"(tanpa lawan)"))</f>
        <v/>
      </c>
      <c r="R2562" s="44"/>
      <c r="S2562" s="9" t="str">
        <f aca="false">IF(N2562&lt;&gt;"Y","",IF(R2562&lt;&gt;"",R2562,IF(Q2562="(tanpa lawan)","Transfer antar rekening",IFERROR(INDEX(I_COA!$F$6:$F$265,MATCH(Q2562,I_COA!$A$6:$A$265,0)),"?"))))</f>
        <v/>
      </c>
    </row>
    <row r="2563" customFormat="false" ht="15" hidden="false" customHeight="false" outlineLevel="0" collapsed="false">
      <c r="A2563" s="37"/>
      <c r="B2563" s="44"/>
      <c r="C2563" s="44"/>
      <c r="D2563" s="44"/>
      <c r="E2563" s="44"/>
      <c r="F2563" s="44"/>
      <c r="G2563" s="42"/>
      <c r="H2563" s="42"/>
      <c r="I2563" s="44"/>
      <c r="J2563" s="11" t="str">
        <f aca="false">IF(D2563="","",N(G2563)-N(H2563))</f>
        <v/>
      </c>
      <c r="K2563" s="34" t="str">
        <f aca="false">IF(D2563="","",IFERROR(INDEX(I_COA!$C$6:$C$265,MATCH(D2563,I_COA!$A$6:$A$265,0)),"AKUN BARU"))</f>
        <v/>
      </c>
      <c r="L2563" s="34" t="str">
        <f aca="false">IF(K2563="LabaRugi",INDEX(I_COA!$D$6:$D$265,MATCH(D2563,I_COA!$A$6:$A$265,0)),"")</f>
        <v/>
      </c>
      <c r="M2563" s="34" t="str">
        <f aca="false">IF(K2563="Neraca",INDEX(I_COA!$E$6:$E$265,MATCH(D2563,I_COA!$A$6:$A$265,0)),"")</f>
        <v/>
      </c>
      <c r="N2563" s="34" t="str">
        <f aca="false">IF(D2563="","",IFERROR(INDEX(I_COA!$G$6:$G$265,MATCH(D2563,I_COA!$A$6:$A$265,0)),"N"))</f>
        <v/>
      </c>
      <c r="O2563" s="11" t="str">
        <f aca="false">IF(N2563="N",ABS(J2563),"")</f>
        <v/>
      </c>
      <c r="P2563" s="18" t="str">
        <f aca="false">IF(N2563="N",B2563&amp;"|"&amp;ROUND(O2563,0),"")</f>
        <v/>
      </c>
      <c r="Q2563" s="18" t="str">
        <f aca="false">IF(N2563&lt;&gt;"Y","",IFERROR(INDEX($D$6:$D$4005,MATCH(B2563&amp;"|"&amp;ROUND(_xlfn.MAXIFS($O$6:$O$4005,$B$6:$B$4005,B2563,$N$6:$N$4005,"N"),0),$P$6:$P$4005,0)),"(tanpa lawan)"))</f>
        <v/>
      </c>
      <c r="R2563" s="44"/>
      <c r="S2563" s="9" t="str">
        <f aca="false">IF(N2563&lt;&gt;"Y","",IF(R2563&lt;&gt;"",R2563,IF(Q2563="(tanpa lawan)","Transfer antar rekening",IFERROR(INDEX(I_COA!$F$6:$F$265,MATCH(Q2563,I_COA!$A$6:$A$265,0)),"?"))))</f>
        <v/>
      </c>
    </row>
    <row r="2564" customFormat="false" ht="15" hidden="false" customHeight="false" outlineLevel="0" collapsed="false">
      <c r="A2564" s="37"/>
      <c r="B2564" s="44"/>
      <c r="C2564" s="44"/>
      <c r="D2564" s="44"/>
      <c r="E2564" s="44"/>
      <c r="F2564" s="44"/>
      <c r="G2564" s="42"/>
      <c r="H2564" s="42"/>
      <c r="I2564" s="44"/>
      <c r="J2564" s="11" t="str">
        <f aca="false">IF(D2564="","",N(G2564)-N(H2564))</f>
        <v/>
      </c>
      <c r="K2564" s="34" t="str">
        <f aca="false">IF(D2564="","",IFERROR(INDEX(I_COA!$C$6:$C$265,MATCH(D2564,I_COA!$A$6:$A$265,0)),"AKUN BARU"))</f>
        <v/>
      </c>
      <c r="L2564" s="34" t="str">
        <f aca="false">IF(K2564="LabaRugi",INDEX(I_COA!$D$6:$D$265,MATCH(D2564,I_COA!$A$6:$A$265,0)),"")</f>
        <v/>
      </c>
      <c r="M2564" s="34" t="str">
        <f aca="false">IF(K2564="Neraca",INDEX(I_COA!$E$6:$E$265,MATCH(D2564,I_COA!$A$6:$A$265,0)),"")</f>
        <v/>
      </c>
      <c r="N2564" s="34" t="str">
        <f aca="false">IF(D2564="","",IFERROR(INDEX(I_COA!$G$6:$G$265,MATCH(D2564,I_COA!$A$6:$A$265,0)),"N"))</f>
        <v/>
      </c>
      <c r="O2564" s="11" t="str">
        <f aca="false">IF(N2564="N",ABS(J2564),"")</f>
        <v/>
      </c>
      <c r="P2564" s="18" t="str">
        <f aca="false">IF(N2564="N",B2564&amp;"|"&amp;ROUND(O2564,0),"")</f>
        <v/>
      </c>
      <c r="Q2564" s="18" t="str">
        <f aca="false">IF(N2564&lt;&gt;"Y","",IFERROR(INDEX($D$6:$D$4005,MATCH(B2564&amp;"|"&amp;ROUND(_xlfn.MAXIFS($O$6:$O$4005,$B$6:$B$4005,B2564,$N$6:$N$4005,"N"),0),$P$6:$P$4005,0)),"(tanpa lawan)"))</f>
        <v/>
      </c>
      <c r="R2564" s="44"/>
      <c r="S2564" s="9" t="str">
        <f aca="false">IF(N2564&lt;&gt;"Y","",IF(R2564&lt;&gt;"",R2564,IF(Q2564="(tanpa lawan)","Transfer antar rekening",IFERROR(INDEX(I_COA!$F$6:$F$265,MATCH(Q2564,I_COA!$A$6:$A$265,0)),"?"))))</f>
        <v/>
      </c>
    </row>
    <row r="2565" customFormat="false" ht="15" hidden="false" customHeight="false" outlineLevel="0" collapsed="false">
      <c r="A2565" s="37"/>
      <c r="B2565" s="44"/>
      <c r="C2565" s="44"/>
      <c r="D2565" s="44"/>
      <c r="E2565" s="44"/>
      <c r="F2565" s="44"/>
      <c r="G2565" s="42"/>
      <c r="H2565" s="42"/>
      <c r="I2565" s="44"/>
      <c r="J2565" s="11" t="str">
        <f aca="false">IF(D2565="","",N(G2565)-N(H2565))</f>
        <v/>
      </c>
      <c r="K2565" s="34" t="str">
        <f aca="false">IF(D2565="","",IFERROR(INDEX(I_COA!$C$6:$C$265,MATCH(D2565,I_COA!$A$6:$A$265,0)),"AKUN BARU"))</f>
        <v/>
      </c>
      <c r="L2565" s="34" t="str">
        <f aca="false">IF(K2565="LabaRugi",INDEX(I_COA!$D$6:$D$265,MATCH(D2565,I_COA!$A$6:$A$265,0)),"")</f>
        <v/>
      </c>
      <c r="M2565" s="34" t="str">
        <f aca="false">IF(K2565="Neraca",INDEX(I_COA!$E$6:$E$265,MATCH(D2565,I_COA!$A$6:$A$265,0)),"")</f>
        <v/>
      </c>
      <c r="N2565" s="34" t="str">
        <f aca="false">IF(D2565="","",IFERROR(INDEX(I_COA!$G$6:$G$265,MATCH(D2565,I_COA!$A$6:$A$265,0)),"N"))</f>
        <v/>
      </c>
      <c r="O2565" s="11" t="str">
        <f aca="false">IF(N2565="N",ABS(J2565),"")</f>
        <v/>
      </c>
      <c r="P2565" s="18" t="str">
        <f aca="false">IF(N2565="N",B2565&amp;"|"&amp;ROUND(O2565,0),"")</f>
        <v/>
      </c>
      <c r="Q2565" s="18" t="str">
        <f aca="false">IF(N2565&lt;&gt;"Y","",IFERROR(INDEX($D$6:$D$4005,MATCH(B2565&amp;"|"&amp;ROUND(_xlfn.MAXIFS($O$6:$O$4005,$B$6:$B$4005,B2565,$N$6:$N$4005,"N"),0),$P$6:$P$4005,0)),"(tanpa lawan)"))</f>
        <v/>
      </c>
      <c r="R2565" s="44"/>
      <c r="S2565" s="9" t="str">
        <f aca="false">IF(N2565&lt;&gt;"Y","",IF(R2565&lt;&gt;"",R2565,IF(Q2565="(tanpa lawan)","Transfer antar rekening",IFERROR(INDEX(I_COA!$F$6:$F$265,MATCH(Q2565,I_COA!$A$6:$A$265,0)),"?"))))</f>
        <v/>
      </c>
    </row>
    <row r="2566" customFormat="false" ht="15" hidden="false" customHeight="false" outlineLevel="0" collapsed="false">
      <c r="A2566" s="37"/>
      <c r="B2566" s="44"/>
      <c r="C2566" s="44"/>
      <c r="D2566" s="44"/>
      <c r="E2566" s="44"/>
      <c r="F2566" s="44"/>
      <c r="G2566" s="42"/>
      <c r="H2566" s="42"/>
      <c r="I2566" s="44"/>
      <c r="J2566" s="11" t="str">
        <f aca="false">IF(D2566="","",N(G2566)-N(H2566))</f>
        <v/>
      </c>
      <c r="K2566" s="34" t="str">
        <f aca="false">IF(D2566="","",IFERROR(INDEX(I_COA!$C$6:$C$265,MATCH(D2566,I_COA!$A$6:$A$265,0)),"AKUN BARU"))</f>
        <v/>
      </c>
      <c r="L2566" s="34" t="str">
        <f aca="false">IF(K2566="LabaRugi",INDEX(I_COA!$D$6:$D$265,MATCH(D2566,I_COA!$A$6:$A$265,0)),"")</f>
        <v/>
      </c>
      <c r="M2566" s="34" t="str">
        <f aca="false">IF(K2566="Neraca",INDEX(I_COA!$E$6:$E$265,MATCH(D2566,I_COA!$A$6:$A$265,0)),"")</f>
        <v/>
      </c>
      <c r="N2566" s="34" t="str">
        <f aca="false">IF(D2566="","",IFERROR(INDEX(I_COA!$G$6:$G$265,MATCH(D2566,I_COA!$A$6:$A$265,0)),"N"))</f>
        <v/>
      </c>
      <c r="O2566" s="11" t="str">
        <f aca="false">IF(N2566="N",ABS(J2566),"")</f>
        <v/>
      </c>
      <c r="P2566" s="18" t="str">
        <f aca="false">IF(N2566="N",B2566&amp;"|"&amp;ROUND(O2566,0),"")</f>
        <v/>
      </c>
      <c r="Q2566" s="18" t="str">
        <f aca="false">IF(N2566&lt;&gt;"Y","",IFERROR(INDEX($D$6:$D$4005,MATCH(B2566&amp;"|"&amp;ROUND(_xlfn.MAXIFS($O$6:$O$4005,$B$6:$B$4005,B2566,$N$6:$N$4005,"N"),0),$P$6:$P$4005,0)),"(tanpa lawan)"))</f>
        <v/>
      </c>
      <c r="R2566" s="44"/>
      <c r="S2566" s="9" t="str">
        <f aca="false">IF(N2566&lt;&gt;"Y","",IF(R2566&lt;&gt;"",R2566,IF(Q2566="(tanpa lawan)","Transfer antar rekening",IFERROR(INDEX(I_COA!$F$6:$F$265,MATCH(Q2566,I_COA!$A$6:$A$265,0)),"?"))))</f>
        <v/>
      </c>
    </row>
    <row r="2567" customFormat="false" ht="15" hidden="false" customHeight="false" outlineLevel="0" collapsed="false">
      <c r="A2567" s="37"/>
      <c r="B2567" s="44"/>
      <c r="C2567" s="44"/>
      <c r="D2567" s="44"/>
      <c r="E2567" s="44"/>
      <c r="F2567" s="44"/>
      <c r="G2567" s="42"/>
      <c r="H2567" s="42"/>
      <c r="I2567" s="44"/>
      <c r="J2567" s="11" t="str">
        <f aca="false">IF(D2567="","",N(G2567)-N(H2567))</f>
        <v/>
      </c>
      <c r="K2567" s="34" t="str">
        <f aca="false">IF(D2567="","",IFERROR(INDEX(I_COA!$C$6:$C$265,MATCH(D2567,I_COA!$A$6:$A$265,0)),"AKUN BARU"))</f>
        <v/>
      </c>
      <c r="L2567" s="34" t="str">
        <f aca="false">IF(K2567="LabaRugi",INDEX(I_COA!$D$6:$D$265,MATCH(D2567,I_COA!$A$6:$A$265,0)),"")</f>
        <v/>
      </c>
      <c r="M2567" s="34" t="str">
        <f aca="false">IF(K2567="Neraca",INDEX(I_COA!$E$6:$E$265,MATCH(D2567,I_COA!$A$6:$A$265,0)),"")</f>
        <v/>
      </c>
      <c r="N2567" s="34" t="str">
        <f aca="false">IF(D2567="","",IFERROR(INDEX(I_COA!$G$6:$G$265,MATCH(D2567,I_COA!$A$6:$A$265,0)),"N"))</f>
        <v/>
      </c>
      <c r="O2567" s="11" t="str">
        <f aca="false">IF(N2567="N",ABS(J2567),"")</f>
        <v/>
      </c>
      <c r="P2567" s="18" t="str">
        <f aca="false">IF(N2567="N",B2567&amp;"|"&amp;ROUND(O2567,0),"")</f>
        <v/>
      </c>
      <c r="Q2567" s="18" t="str">
        <f aca="false">IF(N2567&lt;&gt;"Y","",IFERROR(INDEX($D$6:$D$4005,MATCH(B2567&amp;"|"&amp;ROUND(_xlfn.MAXIFS($O$6:$O$4005,$B$6:$B$4005,B2567,$N$6:$N$4005,"N"),0),$P$6:$P$4005,0)),"(tanpa lawan)"))</f>
        <v/>
      </c>
      <c r="R2567" s="44"/>
      <c r="S2567" s="9" t="str">
        <f aca="false">IF(N2567&lt;&gt;"Y","",IF(R2567&lt;&gt;"",R2567,IF(Q2567="(tanpa lawan)","Transfer antar rekening",IFERROR(INDEX(I_COA!$F$6:$F$265,MATCH(Q2567,I_COA!$A$6:$A$265,0)),"?"))))</f>
        <v/>
      </c>
    </row>
    <row r="2568" customFormat="false" ht="15" hidden="false" customHeight="false" outlineLevel="0" collapsed="false">
      <c r="A2568" s="37"/>
      <c r="B2568" s="44"/>
      <c r="C2568" s="44"/>
      <c r="D2568" s="44"/>
      <c r="E2568" s="44"/>
      <c r="F2568" s="44"/>
      <c r="G2568" s="42"/>
      <c r="H2568" s="42"/>
      <c r="I2568" s="44"/>
      <c r="J2568" s="11" t="str">
        <f aca="false">IF(D2568="","",N(G2568)-N(H2568))</f>
        <v/>
      </c>
      <c r="K2568" s="34" t="str">
        <f aca="false">IF(D2568="","",IFERROR(INDEX(I_COA!$C$6:$C$265,MATCH(D2568,I_COA!$A$6:$A$265,0)),"AKUN BARU"))</f>
        <v/>
      </c>
      <c r="L2568" s="34" t="str">
        <f aca="false">IF(K2568="LabaRugi",INDEX(I_COA!$D$6:$D$265,MATCH(D2568,I_COA!$A$6:$A$265,0)),"")</f>
        <v/>
      </c>
      <c r="M2568" s="34" t="str">
        <f aca="false">IF(K2568="Neraca",INDEX(I_COA!$E$6:$E$265,MATCH(D2568,I_COA!$A$6:$A$265,0)),"")</f>
        <v/>
      </c>
      <c r="N2568" s="34" t="str">
        <f aca="false">IF(D2568="","",IFERROR(INDEX(I_COA!$G$6:$G$265,MATCH(D2568,I_COA!$A$6:$A$265,0)),"N"))</f>
        <v/>
      </c>
      <c r="O2568" s="11" t="str">
        <f aca="false">IF(N2568="N",ABS(J2568),"")</f>
        <v/>
      </c>
      <c r="P2568" s="18" t="str">
        <f aca="false">IF(N2568="N",B2568&amp;"|"&amp;ROUND(O2568,0),"")</f>
        <v/>
      </c>
      <c r="Q2568" s="18" t="str">
        <f aca="false">IF(N2568&lt;&gt;"Y","",IFERROR(INDEX($D$6:$D$4005,MATCH(B2568&amp;"|"&amp;ROUND(_xlfn.MAXIFS($O$6:$O$4005,$B$6:$B$4005,B2568,$N$6:$N$4005,"N"),0),$P$6:$P$4005,0)),"(tanpa lawan)"))</f>
        <v/>
      </c>
      <c r="R2568" s="44"/>
      <c r="S2568" s="9" t="str">
        <f aca="false">IF(N2568&lt;&gt;"Y","",IF(R2568&lt;&gt;"",R2568,IF(Q2568="(tanpa lawan)","Transfer antar rekening",IFERROR(INDEX(I_COA!$F$6:$F$265,MATCH(Q2568,I_COA!$A$6:$A$265,0)),"?"))))</f>
        <v/>
      </c>
    </row>
    <row r="2569" customFormat="false" ht="15" hidden="false" customHeight="false" outlineLevel="0" collapsed="false">
      <c r="A2569" s="37"/>
      <c r="B2569" s="44"/>
      <c r="C2569" s="44"/>
      <c r="D2569" s="44"/>
      <c r="E2569" s="44"/>
      <c r="F2569" s="44"/>
      <c r="G2569" s="42"/>
      <c r="H2569" s="42"/>
      <c r="I2569" s="44"/>
      <c r="J2569" s="11" t="str">
        <f aca="false">IF(D2569="","",N(G2569)-N(H2569))</f>
        <v/>
      </c>
      <c r="K2569" s="34" t="str">
        <f aca="false">IF(D2569="","",IFERROR(INDEX(I_COA!$C$6:$C$265,MATCH(D2569,I_COA!$A$6:$A$265,0)),"AKUN BARU"))</f>
        <v/>
      </c>
      <c r="L2569" s="34" t="str">
        <f aca="false">IF(K2569="LabaRugi",INDEX(I_COA!$D$6:$D$265,MATCH(D2569,I_COA!$A$6:$A$265,0)),"")</f>
        <v/>
      </c>
      <c r="M2569" s="34" t="str">
        <f aca="false">IF(K2569="Neraca",INDEX(I_COA!$E$6:$E$265,MATCH(D2569,I_COA!$A$6:$A$265,0)),"")</f>
        <v/>
      </c>
      <c r="N2569" s="34" t="str">
        <f aca="false">IF(D2569="","",IFERROR(INDEX(I_COA!$G$6:$G$265,MATCH(D2569,I_COA!$A$6:$A$265,0)),"N"))</f>
        <v/>
      </c>
      <c r="O2569" s="11" t="str">
        <f aca="false">IF(N2569="N",ABS(J2569),"")</f>
        <v/>
      </c>
      <c r="P2569" s="18" t="str">
        <f aca="false">IF(N2569="N",B2569&amp;"|"&amp;ROUND(O2569,0),"")</f>
        <v/>
      </c>
      <c r="Q2569" s="18" t="str">
        <f aca="false">IF(N2569&lt;&gt;"Y","",IFERROR(INDEX($D$6:$D$4005,MATCH(B2569&amp;"|"&amp;ROUND(_xlfn.MAXIFS($O$6:$O$4005,$B$6:$B$4005,B2569,$N$6:$N$4005,"N"),0),$P$6:$P$4005,0)),"(tanpa lawan)"))</f>
        <v/>
      </c>
      <c r="R2569" s="44"/>
      <c r="S2569" s="9" t="str">
        <f aca="false">IF(N2569&lt;&gt;"Y","",IF(R2569&lt;&gt;"",R2569,IF(Q2569="(tanpa lawan)","Transfer antar rekening",IFERROR(INDEX(I_COA!$F$6:$F$265,MATCH(Q2569,I_COA!$A$6:$A$265,0)),"?"))))</f>
        <v/>
      </c>
    </row>
    <row r="2570" customFormat="false" ht="15" hidden="false" customHeight="false" outlineLevel="0" collapsed="false">
      <c r="A2570" s="37"/>
      <c r="B2570" s="44"/>
      <c r="C2570" s="44"/>
      <c r="D2570" s="44"/>
      <c r="E2570" s="44"/>
      <c r="F2570" s="44"/>
      <c r="G2570" s="42"/>
      <c r="H2570" s="42"/>
      <c r="I2570" s="44"/>
      <c r="J2570" s="11" t="str">
        <f aca="false">IF(D2570="","",N(G2570)-N(H2570))</f>
        <v/>
      </c>
      <c r="K2570" s="34" t="str">
        <f aca="false">IF(D2570="","",IFERROR(INDEX(I_COA!$C$6:$C$265,MATCH(D2570,I_COA!$A$6:$A$265,0)),"AKUN BARU"))</f>
        <v/>
      </c>
      <c r="L2570" s="34" t="str">
        <f aca="false">IF(K2570="LabaRugi",INDEX(I_COA!$D$6:$D$265,MATCH(D2570,I_COA!$A$6:$A$265,0)),"")</f>
        <v/>
      </c>
      <c r="M2570" s="34" t="str">
        <f aca="false">IF(K2570="Neraca",INDEX(I_COA!$E$6:$E$265,MATCH(D2570,I_COA!$A$6:$A$265,0)),"")</f>
        <v/>
      </c>
      <c r="N2570" s="34" t="str">
        <f aca="false">IF(D2570="","",IFERROR(INDEX(I_COA!$G$6:$G$265,MATCH(D2570,I_COA!$A$6:$A$265,0)),"N"))</f>
        <v/>
      </c>
      <c r="O2570" s="11" t="str">
        <f aca="false">IF(N2570="N",ABS(J2570),"")</f>
        <v/>
      </c>
      <c r="P2570" s="18" t="str">
        <f aca="false">IF(N2570="N",B2570&amp;"|"&amp;ROUND(O2570,0),"")</f>
        <v/>
      </c>
      <c r="Q2570" s="18" t="str">
        <f aca="false">IF(N2570&lt;&gt;"Y","",IFERROR(INDEX($D$6:$D$4005,MATCH(B2570&amp;"|"&amp;ROUND(_xlfn.MAXIFS($O$6:$O$4005,$B$6:$B$4005,B2570,$N$6:$N$4005,"N"),0),$P$6:$P$4005,0)),"(tanpa lawan)"))</f>
        <v/>
      </c>
      <c r="R2570" s="44"/>
      <c r="S2570" s="9" t="str">
        <f aca="false">IF(N2570&lt;&gt;"Y","",IF(R2570&lt;&gt;"",R2570,IF(Q2570="(tanpa lawan)","Transfer antar rekening",IFERROR(INDEX(I_COA!$F$6:$F$265,MATCH(Q2570,I_COA!$A$6:$A$265,0)),"?"))))</f>
        <v/>
      </c>
    </row>
    <row r="2571" customFormat="false" ht="15" hidden="false" customHeight="false" outlineLevel="0" collapsed="false">
      <c r="A2571" s="37"/>
      <c r="B2571" s="44"/>
      <c r="C2571" s="44"/>
      <c r="D2571" s="44"/>
      <c r="E2571" s="44"/>
      <c r="F2571" s="44"/>
      <c r="G2571" s="42"/>
      <c r="H2571" s="42"/>
      <c r="I2571" s="44"/>
      <c r="J2571" s="11" t="str">
        <f aca="false">IF(D2571="","",N(G2571)-N(H2571))</f>
        <v/>
      </c>
      <c r="K2571" s="34" t="str">
        <f aca="false">IF(D2571="","",IFERROR(INDEX(I_COA!$C$6:$C$265,MATCH(D2571,I_COA!$A$6:$A$265,0)),"AKUN BARU"))</f>
        <v/>
      </c>
      <c r="L2571" s="34" t="str">
        <f aca="false">IF(K2571="LabaRugi",INDEX(I_COA!$D$6:$D$265,MATCH(D2571,I_COA!$A$6:$A$265,0)),"")</f>
        <v/>
      </c>
      <c r="M2571" s="34" t="str">
        <f aca="false">IF(K2571="Neraca",INDEX(I_COA!$E$6:$E$265,MATCH(D2571,I_COA!$A$6:$A$265,0)),"")</f>
        <v/>
      </c>
      <c r="N2571" s="34" t="str">
        <f aca="false">IF(D2571="","",IFERROR(INDEX(I_COA!$G$6:$G$265,MATCH(D2571,I_COA!$A$6:$A$265,0)),"N"))</f>
        <v/>
      </c>
      <c r="O2571" s="11" t="str">
        <f aca="false">IF(N2571="N",ABS(J2571),"")</f>
        <v/>
      </c>
      <c r="P2571" s="18" t="str">
        <f aca="false">IF(N2571="N",B2571&amp;"|"&amp;ROUND(O2571,0),"")</f>
        <v/>
      </c>
      <c r="Q2571" s="18" t="str">
        <f aca="false">IF(N2571&lt;&gt;"Y","",IFERROR(INDEX($D$6:$D$4005,MATCH(B2571&amp;"|"&amp;ROUND(_xlfn.MAXIFS($O$6:$O$4005,$B$6:$B$4005,B2571,$N$6:$N$4005,"N"),0),$P$6:$P$4005,0)),"(tanpa lawan)"))</f>
        <v/>
      </c>
      <c r="R2571" s="44"/>
      <c r="S2571" s="9" t="str">
        <f aca="false">IF(N2571&lt;&gt;"Y","",IF(R2571&lt;&gt;"",R2571,IF(Q2571="(tanpa lawan)","Transfer antar rekening",IFERROR(INDEX(I_COA!$F$6:$F$265,MATCH(Q2571,I_COA!$A$6:$A$265,0)),"?"))))</f>
        <v/>
      </c>
    </row>
    <row r="2572" customFormat="false" ht="15" hidden="false" customHeight="false" outlineLevel="0" collapsed="false">
      <c r="A2572" s="37"/>
      <c r="B2572" s="44"/>
      <c r="C2572" s="44"/>
      <c r="D2572" s="44"/>
      <c r="E2572" s="44"/>
      <c r="F2572" s="44"/>
      <c r="G2572" s="42"/>
      <c r="H2572" s="42"/>
      <c r="I2572" s="44"/>
      <c r="J2572" s="11" t="str">
        <f aca="false">IF(D2572="","",N(G2572)-N(H2572))</f>
        <v/>
      </c>
      <c r="K2572" s="34" t="str">
        <f aca="false">IF(D2572="","",IFERROR(INDEX(I_COA!$C$6:$C$265,MATCH(D2572,I_COA!$A$6:$A$265,0)),"AKUN BARU"))</f>
        <v/>
      </c>
      <c r="L2572" s="34" t="str">
        <f aca="false">IF(K2572="LabaRugi",INDEX(I_COA!$D$6:$D$265,MATCH(D2572,I_COA!$A$6:$A$265,0)),"")</f>
        <v/>
      </c>
      <c r="M2572" s="34" t="str">
        <f aca="false">IF(K2572="Neraca",INDEX(I_COA!$E$6:$E$265,MATCH(D2572,I_COA!$A$6:$A$265,0)),"")</f>
        <v/>
      </c>
      <c r="N2572" s="34" t="str">
        <f aca="false">IF(D2572="","",IFERROR(INDEX(I_COA!$G$6:$G$265,MATCH(D2572,I_COA!$A$6:$A$265,0)),"N"))</f>
        <v/>
      </c>
      <c r="O2572" s="11" t="str">
        <f aca="false">IF(N2572="N",ABS(J2572),"")</f>
        <v/>
      </c>
      <c r="P2572" s="18" t="str">
        <f aca="false">IF(N2572="N",B2572&amp;"|"&amp;ROUND(O2572,0),"")</f>
        <v/>
      </c>
      <c r="Q2572" s="18" t="str">
        <f aca="false">IF(N2572&lt;&gt;"Y","",IFERROR(INDEX($D$6:$D$4005,MATCH(B2572&amp;"|"&amp;ROUND(_xlfn.MAXIFS($O$6:$O$4005,$B$6:$B$4005,B2572,$N$6:$N$4005,"N"),0),$P$6:$P$4005,0)),"(tanpa lawan)"))</f>
        <v/>
      </c>
      <c r="R2572" s="44"/>
      <c r="S2572" s="9" t="str">
        <f aca="false">IF(N2572&lt;&gt;"Y","",IF(R2572&lt;&gt;"",R2572,IF(Q2572="(tanpa lawan)","Transfer antar rekening",IFERROR(INDEX(I_COA!$F$6:$F$265,MATCH(Q2572,I_COA!$A$6:$A$265,0)),"?"))))</f>
        <v/>
      </c>
    </row>
    <row r="2573" customFormat="false" ht="15" hidden="false" customHeight="false" outlineLevel="0" collapsed="false">
      <c r="A2573" s="37"/>
      <c r="B2573" s="44"/>
      <c r="C2573" s="44"/>
      <c r="D2573" s="44"/>
      <c r="E2573" s="44"/>
      <c r="F2573" s="44"/>
      <c r="G2573" s="42"/>
      <c r="H2573" s="42"/>
      <c r="I2573" s="44"/>
      <c r="J2573" s="11" t="str">
        <f aca="false">IF(D2573="","",N(G2573)-N(H2573))</f>
        <v/>
      </c>
      <c r="K2573" s="34" t="str">
        <f aca="false">IF(D2573="","",IFERROR(INDEX(I_COA!$C$6:$C$265,MATCH(D2573,I_COA!$A$6:$A$265,0)),"AKUN BARU"))</f>
        <v/>
      </c>
      <c r="L2573" s="34" t="str">
        <f aca="false">IF(K2573="LabaRugi",INDEX(I_COA!$D$6:$D$265,MATCH(D2573,I_COA!$A$6:$A$265,0)),"")</f>
        <v/>
      </c>
      <c r="M2573" s="34" t="str">
        <f aca="false">IF(K2573="Neraca",INDEX(I_COA!$E$6:$E$265,MATCH(D2573,I_COA!$A$6:$A$265,0)),"")</f>
        <v/>
      </c>
      <c r="N2573" s="34" t="str">
        <f aca="false">IF(D2573="","",IFERROR(INDEX(I_COA!$G$6:$G$265,MATCH(D2573,I_COA!$A$6:$A$265,0)),"N"))</f>
        <v/>
      </c>
      <c r="O2573" s="11" t="str">
        <f aca="false">IF(N2573="N",ABS(J2573),"")</f>
        <v/>
      </c>
      <c r="P2573" s="18" t="str">
        <f aca="false">IF(N2573="N",B2573&amp;"|"&amp;ROUND(O2573,0),"")</f>
        <v/>
      </c>
      <c r="Q2573" s="18" t="str">
        <f aca="false">IF(N2573&lt;&gt;"Y","",IFERROR(INDEX($D$6:$D$4005,MATCH(B2573&amp;"|"&amp;ROUND(_xlfn.MAXIFS($O$6:$O$4005,$B$6:$B$4005,B2573,$N$6:$N$4005,"N"),0),$P$6:$P$4005,0)),"(tanpa lawan)"))</f>
        <v/>
      </c>
      <c r="R2573" s="44"/>
      <c r="S2573" s="9" t="str">
        <f aca="false">IF(N2573&lt;&gt;"Y","",IF(R2573&lt;&gt;"",R2573,IF(Q2573="(tanpa lawan)","Transfer antar rekening",IFERROR(INDEX(I_COA!$F$6:$F$265,MATCH(Q2573,I_COA!$A$6:$A$265,0)),"?"))))</f>
        <v/>
      </c>
    </row>
    <row r="2574" customFormat="false" ht="15" hidden="false" customHeight="false" outlineLevel="0" collapsed="false">
      <c r="A2574" s="37"/>
      <c r="B2574" s="44"/>
      <c r="C2574" s="44"/>
      <c r="D2574" s="44"/>
      <c r="E2574" s="44"/>
      <c r="F2574" s="44"/>
      <c r="G2574" s="42"/>
      <c r="H2574" s="42"/>
      <c r="I2574" s="44"/>
      <c r="J2574" s="11" t="str">
        <f aca="false">IF(D2574="","",N(G2574)-N(H2574))</f>
        <v/>
      </c>
      <c r="K2574" s="34" t="str">
        <f aca="false">IF(D2574="","",IFERROR(INDEX(I_COA!$C$6:$C$265,MATCH(D2574,I_COA!$A$6:$A$265,0)),"AKUN BARU"))</f>
        <v/>
      </c>
      <c r="L2574" s="34" t="str">
        <f aca="false">IF(K2574="LabaRugi",INDEX(I_COA!$D$6:$D$265,MATCH(D2574,I_COA!$A$6:$A$265,0)),"")</f>
        <v/>
      </c>
      <c r="M2574" s="34" t="str">
        <f aca="false">IF(K2574="Neraca",INDEX(I_COA!$E$6:$E$265,MATCH(D2574,I_COA!$A$6:$A$265,0)),"")</f>
        <v/>
      </c>
      <c r="N2574" s="34" t="str">
        <f aca="false">IF(D2574="","",IFERROR(INDEX(I_COA!$G$6:$G$265,MATCH(D2574,I_COA!$A$6:$A$265,0)),"N"))</f>
        <v/>
      </c>
      <c r="O2574" s="11" t="str">
        <f aca="false">IF(N2574="N",ABS(J2574),"")</f>
        <v/>
      </c>
      <c r="P2574" s="18" t="str">
        <f aca="false">IF(N2574="N",B2574&amp;"|"&amp;ROUND(O2574,0),"")</f>
        <v/>
      </c>
      <c r="Q2574" s="18" t="str">
        <f aca="false">IF(N2574&lt;&gt;"Y","",IFERROR(INDEX($D$6:$D$4005,MATCH(B2574&amp;"|"&amp;ROUND(_xlfn.MAXIFS($O$6:$O$4005,$B$6:$B$4005,B2574,$N$6:$N$4005,"N"),0),$P$6:$P$4005,0)),"(tanpa lawan)"))</f>
        <v/>
      </c>
      <c r="R2574" s="44"/>
      <c r="S2574" s="9" t="str">
        <f aca="false">IF(N2574&lt;&gt;"Y","",IF(R2574&lt;&gt;"",R2574,IF(Q2574="(tanpa lawan)","Transfer antar rekening",IFERROR(INDEX(I_COA!$F$6:$F$265,MATCH(Q2574,I_COA!$A$6:$A$265,0)),"?"))))</f>
        <v/>
      </c>
    </row>
    <row r="2575" customFormat="false" ht="15" hidden="false" customHeight="false" outlineLevel="0" collapsed="false">
      <c r="A2575" s="37"/>
      <c r="B2575" s="44"/>
      <c r="C2575" s="44"/>
      <c r="D2575" s="44"/>
      <c r="E2575" s="44"/>
      <c r="F2575" s="44"/>
      <c r="G2575" s="42"/>
      <c r="H2575" s="42"/>
      <c r="I2575" s="44"/>
      <c r="J2575" s="11" t="str">
        <f aca="false">IF(D2575="","",N(G2575)-N(H2575))</f>
        <v/>
      </c>
      <c r="K2575" s="34" t="str">
        <f aca="false">IF(D2575="","",IFERROR(INDEX(I_COA!$C$6:$C$265,MATCH(D2575,I_COA!$A$6:$A$265,0)),"AKUN BARU"))</f>
        <v/>
      </c>
      <c r="L2575" s="34" t="str">
        <f aca="false">IF(K2575="LabaRugi",INDEX(I_COA!$D$6:$D$265,MATCH(D2575,I_COA!$A$6:$A$265,0)),"")</f>
        <v/>
      </c>
      <c r="M2575" s="34" t="str">
        <f aca="false">IF(K2575="Neraca",INDEX(I_COA!$E$6:$E$265,MATCH(D2575,I_COA!$A$6:$A$265,0)),"")</f>
        <v/>
      </c>
      <c r="N2575" s="34" t="str">
        <f aca="false">IF(D2575="","",IFERROR(INDEX(I_COA!$G$6:$G$265,MATCH(D2575,I_COA!$A$6:$A$265,0)),"N"))</f>
        <v/>
      </c>
      <c r="O2575" s="11" t="str">
        <f aca="false">IF(N2575="N",ABS(J2575),"")</f>
        <v/>
      </c>
      <c r="P2575" s="18" t="str">
        <f aca="false">IF(N2575="N",B2575&amp;"|"&amp;ROUND(O2575,0),"")</f>
        <v/>
      </c>
      <c r="Q2575" s="18" t="str">
        <f aca="false">IF(N2575&lt;&gt;"Y","",IFERROR(INDEX($D$6:$D$4005,MATCH(B2575&amp;"|"&amp;ROUND(_xlfn.MAXIFS($O$6:$O$4005,$B$6:$B$4005,B2575,$N$6:$N$4005,"N"),0),$P$6:$P$4005,0)),"(tanpa lawan)"))</f>
        <v/>
      </c>
      <c r="R2575" s="44"/>
      <c r="S2575" s="9" t="str">
        <f aca="false">IF(N2575&lt;&gt;"Y","",IF(R2575&lt;&gt;"",R2575,IF(Q2575="(tanpa lawan)","Transfer antar rekening",IFERROR(INDEX(I_COA!$F$6:$F$265,MATCH(Q2575,I_COA!$A$6:$A$265,0)),"?"))))</f>
        <v/>
      </c>
    </row>
    <row r="2576" customFormat="false" ht="15" hidden="false" customHeight="false" outlineLevel="0" collapsed="false">
      <c r="A2576" s="37"/>
      <c r="B2576" s="44"/>
      <c r="C2576" s="44"/>
      <c r="D2576" s="44"/>
      <c r="E2576" s="44"/>
      <c r="F2576" s="44"/>
      <c r="G2576" s="42"/>
      <c r="H2576" s="42"/>
      <c r="I2576" s="44"/>
      <c r="J2576" s="11" t="str">
        <f aca="false">IF(D2576="","",N(G2576)-N(H2576))</f>
        <v/>
      </c>
      <c r="K2576" s="34" t="str">
        <f aca="false">IF(D2576="","",IFERROR(INDEX(I_COA!$C$6:$C$265,MATCH(D2576,I_COA!$A$6:$A$265,0)),"AKUN BARU"))</f>
        <v/>
      </c>
      <c r="L2576" s="34" t="str">
        <f aca="false">IF(K2576="LabaRugi",INDEX(I_COA!$D$6:$D$265,MATCH(D2576,I_COA!$A$6:$A$265,0)),"")</f>
        <v/>
      </c>
      <c r="M2576" s="34" t="str">
        <f aca="false">IF(K2576="Neraca",INDEX(I_COA!$E$6:$E$265,MATCH(D2576,I_COA!$A$6:$A$265,0)),"")</f>
        <v/>
      </c>
      <c r="N2576" s="34" t="str">
        <f aca="false">IF(D2576="","",IFERROR(INDEX(I_COA!$G$6:$G$265,MATCH(D2576,I_COA!$A$6:$A$265,0)),"N"))</f>
        <v/>
      </c>
      <c r="O2576" s="11" t="str">
        <f aca="false">IF(N2576="N",ABS(J2576),"")</f>
        <v/>
      </c>
      <c r="P2576" s="18" t="str">
        <f aca="false">IF(N2576="N",B2576&amp;"|"&amp;ROUND(O2576,0),"")</f>
        <v/>
      </c>
      <c r="Q2576" s="18" t="str">
        <f aca="false">IF(N2576&lt;&gt;"Y","",IFERROR(INDEX($D$6:$D$4005,MATCH(B2576&amp;"|"&amp;ROUND(_xlfn.MAXIFS($O$6:$O$4005,$B$6:$B$4005,B2576,$N$6:$N$4005,"N"),0),$P$6:$P$4005,0)),"(tanpa lawan)"))</f>
        <v/>
      </c>
      <c r="R2576" s="44"/>
      <c r="S2576" s="9" t="str">
        <f aca="false">IF(N2576&lt;&gt;"Y","",IF(R2576&lt;&gt;"",R2576,IF(Q2576="(tanpa lawan)","Transfer antar rekening",IFERROR(INDEX(I_COA!$F$6:$F$265,MATCH(Q2576,I_COA!$A$6:$A$265,0)),"?"))))</f>
        <v/>
      </c>
    </row>
    <row r="2577" customFormat="false" ht="15" hidden="false" customHeight="false" outlineLevel="0" collapsed="false">
      <c r="A2577" s="37"/>
      <c r="B2577" s="44"/>
      <c r="C2577" s="44"/>
      <c r="D2577" s="44"/>
      <c r="E2577" s="44"/>
      <c r="F2577" s="44"/>
      <c r="G2577" s="42"/>
      <c r="H2577" s="42"/>
      <c r="I2577" s="44"/>
      <c r="J2577" s="11" t="str">
        <f aca="false">IF(D2577="","",N(G2577)-N(H2577))</f>
        <v/>
      </c>
      <c r="K2577" s="34" t="str">
        <f aca="false">IF(D2577="","",IFERROR(INDEX(I_COA!$C$6:$C$265,MATCH(D2577,I_COA!$A$6:$A$265,0)),"AKUN BARU"))</f>
        <v/>
      </c>
      <c r="L2577" s="34" t="str">
        <f aca="false">IF(K2577="LabaRugi",INDEX(I_COA!$D$6:$D$265,MATCH(D2577,I_COA!$A$6:$A$265,0)),"")</f>
        <v/>
      </c>
      <c r="M2577" s="34" t="str">
        <f aca="false">IF(K2577="Neraca",INDEX(I_COA!$E$6:$E$265,MATCH(D2577,I_COA!$A$6:$A$265,0)),"")</f>
        <v/>
      </c>
      <c r="N2577" s="34" t="str">
        <f aca="false">IF(D2577="","",IFERROR(INDEX(I_COA!$G$6:$G$265,MATCH(D2577,I_COA!$A$6:$A$265,0)),"N"))</f>
        <v/>
      </c>
      <c r="O2577" s="11" t="str">
        <f aca="false">IF(N2577="N",ABS(J2577),"")</f>
        <v/>
      </c>
      <c r="P2577" s="18" t="str">
        <f aca="false">IF(N2577="N",B2577&amp;"|"&amp;ROUND(O2577,0),"")</f>
        <v/>
      </c>
      <c r="Q2577" s="18" t="str">
        <f aca="false">IF(N2577&lt;&gt;"Y","",IFERROR(INDEX($D$6:$D$4005,MATCH(B2577&amp;"|"&amp;ROUND(_xlfn.MAXIFS($O$6:$O$4005,$B$6:$B$4005,B2577,$N$6:$N$4005,"N"),0),$P$6:$P$4005,0)),"(tanpa lawan)"))</f>
        <v/>
      </c>
      <c r="R2577" s="44"/>
      <c r="S2577" s="9" t="str">
        <f aca="false">IF(N2577&lt;&gt;"Y","",IF(R2577&lt;&gt;"",R2577,IF(Q2577="(tanpa lawan)","Transfer antar rekening",IFERROR(INDEX(I_COA!$F$6:$F$265,MATCH(Q2577,I_COA!$A$6:$A$265,0)),"?"))))</f>
        <v/>
      </c>
    </row>
    <row r="2578" customFormat="false" ht="15" hidden="false" customHeight="false" outlineLevel="0" collapsed="false">
      <c r="A2578" s="37"/>
      <c r="B2578" s="44"/>
      <c r="C2578" s="44"/>
      <c r="D2578" s="44"/>
      <c r="E2578" s="44"/>
      <c r="F2578" s="44"/>
      <c r="G2578" s="42"/>
      <c r="H2578" s="42"/>
      <c r="I2578" s="44"/>
      <c r="J2578" s="11" t="str">
        <f aca="false">IF(D2578="","",N(G2578)-N(H2578))</f>
        <v/>
      </c>
      <c r="K2578" s="34" t="str">
        <f aca="false">IF(D2578="","",IFERROR(INDEX(I_COA!$C$6:$C$265,MATCH(D2578,I_COA!$A$6:$A$265,0)),"AKUN BARU"))</f>
        <v/>
      </c>
      <c r="L2578" s="34" t="str">
        <f aca="false">IF(K2578="LabaRugi",INDEX(I_COA!$D$6:$D$265,MATCH(D2578,I_COA!$A$6:$A$265,0)),"")</f>
        <v/>
      </c>
      <c r="M2578" s="34" t="str">
        <f aca="false">IF(K2578="Neraca",INDEX(I_COA!$E$6:$E$265,MATCH(D2578,I_COA!$A$6:$A$265,0)),"")</f>
        <v/>
      </c>
      <c r="N2578" s="34" t="str">
        <f aca="false">IF(D2578="","",IFERROR(INDEX(I_COA!$G$6:$G$265,MATCH(D2578,I_COA!$A$6:$A$265,0)),"N"))</f>
        <v/>
      </c>
      <c r="O2578" s="11" t="str">
        <f aca="false">IF(N2578="N",ABS(J2578),"")</f>
        <v/>
      </c>
      <c r="P2578" s="18" t="str">
        <f aca="false">IF(N2578="N",B2578&amp;"|"&amp;ROUND(O2578,0),"")</f>
        <v/>
      </c>
      <c r="Q2578" s="18" t="str">
        <f aca="false">IF(N2578&lt;&gt;"Y","",IFERROR(INDEX($D$6:$D$4005,MATCH(B2578&amp;"|"&amp;ROUND(_xlfn.MAXIFS($O$6:$O$4005,$B$6:$B$4005,B2578,$N$6:$N$4005,"N"),0),$P$6:$P$4005,0)),"(tanpa lawan)"))</f>
        <v/>
      </c>
      <c r="R2578" s="44"/>
      <c r="S2578" s="9" t="str">
        <f aca="false">IF(N2578&lt;&gt;"Y","",IF(R2578&lt;&gt;"",R2578,IF(Q2578="(tanpa lawan)","Transfer antar rekening",IFERROR(INDEX(I_COA!$F$6:$F$265,MATCH(Q2578,I_COA!$A$6:$A$265,0)),"?"))))</f>
        <v/>
      </c>
    </row>
    <row r="2579" customFormat="false" ht="15" hidden="false" customHeight="false" outlineLevel="0" collapsed="false">
      <c r="A2579" s="37"/>
      <c r="B2579" s="44"/>
      <c r="C2579" s="44"/>
      <c r="D2579" s="44"/>
      <c r="E2579" s="44"/>
      <c r="F2579" s="44"/>
      <c r="G2579" s="42"/>
      <c r="H2579" s="42"/>
      <c r="I2579" s="44"/>
      <c r="J2579" s="11" t="str">
        <f aca="false">IF(D2579="","",N(G2579)-N(H2579))</f>
        <v/>
      </c>
      <c r="K2579" s="34" t="str">
        <f aca="false">IF(D2579="","",IFERROR(INDEX(I_COA!$C$6:$C$265,MATCH(D2579,I_COA!$A$6:$A$265,0)),"AKUN BARU"))</f>
        <v/>
      </c>
      <c r="L2579" s="34" t="str">
        <f aca="false">IF(K2579="LabaRugi",INDEX(I_COA!$D$6:$D$265,MATCH(D2579,I_COA!$A$6:$A$265,0)),"")</f>
        <v/>
      </c>
      <c r="M2579" s="34" t="str">
        <f aca="false">IF(K2579="Neraca",INDEX(I_COA!$E$6:$E$265,MATCH(D2579,I_COA!$A$6:$A$265,0)),"")</f>
        <v/>
      </c>
      <c r="N2579" s="34" t="str">
        <f aca="false">IF(D2579="","",IFERROR(INDEX(I_COA!$G$6:$G$265,MATCH(D2579,I_COA!$A$6:$A$265,0)),"N"))</f>
        <v/>
      </c>
      <c r="O2579" s="11" t="str">
        <f aca="false">IF(N2579="N",ABS(J2579),"")</f>
        <v/>
      </c>
      <c r="P2579" s="18" t="str">
        <f aca="false">IF(N2579="N",B2579&amp;"|"&amp;ROUND(O2579,0),"")</f>
        <v/>
      </c>
      <c r="Q2579" s="18" t="str">
        <f aca="false">IF(N2579&lt;&gt;"Y","",IFERROR(INDEX($D$6:$D$4005,MATCH(B2579&amp;"|"&amp;ROUND(_xlfn.MAXIFS($O$6:$O$4005,$B$6:$B$4005,B2579,$N$6:$N$4005,"N"),0),$P$6:$P$4005,0)),"(tanpa lawan)"))</f>
        <v/>
      </c>
      <c r="R2579" s="44"/>
      <c r="S2579" s="9" t="str">
        <f aca="false">IF(N2579&lt;&gt;"Y","",IF(R2579&lt;&gt;"",R2579,IF(Q2579="(tanpa lawan)","Transfer antar rekening",IFERROR(INDEX(I_COA!$F$6:$F$265,MATCH(Q2579,I_COA!$A$6:$A$265,0)),"?"))))</f>
        <v/>
      </c>
    </row>
    <row r="2580" customFormat="false" ht="15" hidden="false" customHeight="false" outlineLevel="0" collapsed="false">
      <c r="A2580" s="37"/>
      <c r="B2580" s="44"/>
      <c r="C2580" s="44"/>
      <c r="D2580" s="44"/>
      <c r="E2580" s="44"/>
      <c r="F2580" s="44"/>
      <c r="G2580" s="42"/>
      <c r="H2580" s="42"/>
      <c r="I2580" s="44"/>
      <c r="J2580" s="11" t="str">
        <f aca="false">IF(D2580="","",N(G2580)-N(H2580))</f>
        <v/>
      </c>
      <c r="K2580" s="34" t="str">
        <f aca="false">IF(D2580="","",IFERROR(INDEX(I_COA!$C$6:$C$265,MATCH(D2580,I_COA!$A$6:$A$265,0)),"AKUN BARU"))</f>
        <v/>
      </c>
      <c r="L2580" s="34" t="str">
        <f aca="false">IF(K2580="LabaRugi",INDEX(I_COA!$D$6:$D$265,MATCH(D2580,I_COA!$A$6:$A$265,0)),"")</f>
        <v/>
      </c>
      <c r="M2580" s="34" t="str">
        <f aca="false">IF(K2580="Neraca",INDEX(I_COA!$E$6:$E$265,MATCH(D2580,I_COA!$A$6:$A$265,0)),"")</f>
        <v/>
      </c>
      <c r="N2580" s="34" t="str">
        <f aca="false">IF(D2580="","",IFERROR(INDEX(I_COA!$G$6:$G$265,MATCH(D2580,I_COA!$A$6:$A$265,0)),"N"))</f>
        <v/>
      </c>
      <c r="O2580" s="11" t="str">
        <f aca="false">IF(N2580="N",ABS(J2580),"")</f>
        <v/>
      </c>
      <c r="P2580" s="18" t="str">
        <f aca="false">IF(N2580="N",B2580&amp;"|"&amp;ROUND(O2580,0),"")</f>
        <v/>
      </c>
      <c r="Q2580" s="18" t="str">
        <f aca="false">IF(N2580&lt;&gt;"Y","",IFERROR(INDEX($D$6:$D$4005,MATCH(B2580&amp;"|"&amp;ROUND(_xlfn.MAXIFS($O$6:$O$4005,$B$6:$B$4005,B2580,$N$6:$N$4005,"N"),0),$P$6:$P$4005,0)),"(tanpa lawan)"))</f>
        <v/>
      </c>
      <c r="R2580" s="44"/>
      <c r="S2580" s="9" t="str">
        <f aca="false">IF(N2580&lt;&gt;"Y","",IF(R2580&lt;&gt;"",R2580,IF(Q2580="(tanpa lawan)","Transfer antar rekening",IFERROR(INDEX(I_COA!$F$6:$F$265,MATCH(Q2580,I_COA!$A$6:$A$265,0)),"?"))))</f>
        <v/>
      </c>
    </row>
    <row r="2581" customFormat="false" ht="15" hidden="false" customHeight="false" outlineLevel="0" collapsed="false">
      <c r="A2581" s="37"/>
      <c r="B2581" s="44"/>
      <c r="C2581" s="44"/>
      <c r="D2581" s="44"/>
      <c r="E2581" s="44"/>
      <c r="F2581" s="44"/>
      <c r="G2581" s="42"/>
      <c r="H2581" s="42"/>
      <c r="I2581" s="44"/>
      <c r="J2581" s="11" t="str">
        <f aca="false">IF(D2581="","",N(G2581)-N(H2581))</f>
        <v/>
      </c>
      <c r="K2581" s="34" t="str">
        <f aca="false">IF(D2581="","",IFERROR(INDEX(I_COA!$C$6:$C$265,MATCH(D2581,I_COA!$A$6:$A$265,0)),"AKUN BARU"))</f>
        <v/>
      </c>
      <c r="L2581" s="34" t="str">
        <f aca="false">IF(K2581="LabaRugi",INDEX(I_COA!$D$6:$D$265,MATCH(D2581,I_COA!$A$6:$A$265,0)),"")</f>
        <v/>
      </c>
      <c r="M2581" s="34" t="str">
        <f aca="false">IF(K2581="Neraca",INDEX(I_COA!$E$6:$E$265,MATCH(D2581,I_COA!$A$6:$A$265,0)),"")</f>
        <v/>
      </c>
      <c r="N2581" s="34" t="str">
        <f aca="false">IF(D2581="","",IFERROR(INDEX(I_COA!$G$6:$G$265,MATCH(D2581,I_COA!$A$6:$A$265,0)),"N"))</f>
        <v/>
      </c>
      <c r="O2581" s="11" t="str">
        <f aca="false">IF(N2581="N",ABS(J2581),"")</f>
        <v/>
      </c>
      <c r="P2581" s="18" t="str">
        <f aca="false">IF(N2581="N",B2581&amp;"|"&amp;ROUND(O2581,0),"")</f>
        <v/>
      </c>
      <c r="Q2581" s="18" t="str">
        <f aca="false">IF(N2581&lt;&gt;"Y","",IFERROR(INDEX($D$6:$D$4005,MATCH(B2581&amp;"|"&amp;ROUND(_xlfn.MAXIFS($O$6:$O$4005,$B$6:$B$4005,B2581,$N$6:$N$4005,"N"),0),$P$6:$P$4005,0)),"(tanpa lawan)"))</f>
        <v/>
      </c>
      <c r="R2581" s="44"/>
      <c r="S2581" s="9" t="str">
        <f aca="false">IF(N2581&lt;&gt;"Y","",IF(R2581&lt;&gt;"",R2581,IF(Q2581="(tanpa lawan)","Transfer antar rekening",IFERROR(INDEX(I_COA!$F$6:$F$265,MATCH(Q2581,I_COA!$A$6:$A$265,0)),"?"))))</f>
        <v/>
      </c>
    </row>
    <row r="2582" customFormat="false" ht="15" hidden="false" customHeight="false" outlineLevel="0" collapsed="false">
      <c r="A2582" s="37"/>
      <c r="B2582" s="44"/>
      <c r="C2582" s="44"/>
      <c r="D2582" s="44"/>
      <c r="E2582" s="44"/>
      <c r="F2582" s="44"/>
      <c r="G2582" s="42"/>
      <c r="H2582" s="42"/>
      <c r="I2582" s="44"/>
      <c r="J2582" s="11" t="str">
        <f aca="false">IF(D2582="","",N(G2582)-N(H2582))</f>
        <v/>
      </c>
      <c r="K2582" s="34" t="str">
        <f aca="false">IF(D2582="","",IFERROR(INDEX(I_COA!$C$6:$C$265,MATCH(D2582,I_COA!$A$6:$A$265,0)),"AKUN BARU"))</f>
        <v/>
      </c>
      <c r="L2582" s="34" t="str">
        <f aca="false">IF(K2582="LabaRugi",INDEX(I_COA!$D$6:$D$265,MATCH(D2582,I_COA!$A$6:$A$265,0)),"")</f>
        <v/>
      </c>
      <c r="M2582" s="34" t="str">
        <f aca="false">IF(K2582="Neraca",INDEX(I_COA!$E$6:$E$265,MATCH(D2582,I_COA!$A$6:$A$265,0)),"")</f>
        <v/>
      </c>
      <c r="N2582" s="34" t="str">
        <f aca="false">IF(D2582="","",IFERROR(INDEX(I_COA!$G$6:$G$265,MATCH(D2582,I_COA!$A$6:$A$265,0)),"N"))</f>
        <v/>
      </c>
      <c r="O2582" s="11" t="str">
        <f aca="false">IF(N2582="N",ABS(J2582),"")</f>
        <v/>
      </c>
      <c r="P2582" s="18" t="str">
        <f aca="false">IF(N2582="N",B2582&amp;"|"&amp;ROUND(O2582,0),"")</f>
        <v/>
      </c>
      <c r="Q2582" s="18" t="str">
        <f aca="false">IF(N2582&lt;&gt;"Y","",IFERROR(INDEX($D$6:$D$4005,MATCH(B2582&amp;"|"&amp;ROUND(_xlfn.MAXIFS($O$6:$O$4005,$B$6:$B$4005,B2582,$N$6:$N$4005,"N"),0),$P$6:$P$4005,0)),"(tanpa lawan)"))</f>
        <v/>
      </c>
      <c r="R2582" s="44"/>
      <c r="S2582" s="9" t="str">
        <f aca="false">IF(N2582&lt;&gt;"Y","",IF(R2582&lt;&gt;"",R2582,IF(Q2582="(tanpa lawan)","Transfer antar rekening",IFERROR(INDEX(I_COA!$F$6:$F$265,MATCH(Q2582,I_COA!$A$6:$A$265,0)),"?"))))</f>
        <v/>
      </c>
    </row>
    <row r="2583" customFormat="false" ht="15" hidden="false" customHeight="false" outlineLevel="0" collapsed="false">
      <c r="A2583" s="37"/>
      <c r="B2583" s="44"/>
      <c r="C2583" s="44"/>
      <c r="D2583" s="44"/>
      <c r="E2583" s="44"/>
      <c r="F2583" s="44"/>
      <c r="G2583" s="42"/>
      <c r="H2583" s="42"/>
      <c r="I2583" s="44"/>
      <c r="J2583" s="11" t="str">
        <f aca="false">IF(D2583="","",N(G2583)-N(H2583))</f>
        <v/>
      </c>
      <c r="K2583" s="34" t="str">
        <f aca="false">IF(D2583="","",IFERROR(INDEX(I_COA!$C$6:$C$265,MATCH(D2583,I_COA!$A$6:$A$265,0)),"AKUN BARU"))</f>
        <v/>
      </c>
      <c r="L2583" s="34" t="str">
        <f aca="false">IF(K2583="LabaRugi",INDEX(I_COA!$D$6:$D$265,MATCH(D2583,I_COA!$A$6:$A$265,0)),"")</f>
        <v/>
      </c>
      <c r="M2583" s="34" t="str">
        <f aca="false">IF(K2583="Neraca",INDEX(I_COA!$E$6:$E$265,MATCH(D2583,I_COA!$A$6:$A$265,0)),"")</f>
        <v/>
      </c>
      <c r="N2583" s="34" t="str">
        <f aca="false">IF(D2583="","",IFERROR(INDEX(I_COA!$G$6:$G$265,MATCH(D2583,I_COA!$A$6:$A$265,0)),"N"))</f>
        <v/>
      </c>
      <c r="O2583" s="11" t="str">
        <f aca="false">IF(N2583="N",ABS(J2583),"")</f>
        <v/>
      </c>
      <c r="P2583" s="18" t="str">
        <f aca="false">IF(N2583="N",B2583&amp;"|"&amp;ROUND(O2583,0),"")</f>
        <v/>
      </c>
      <c r="Q2583" s="18" t="str">
        <f aca="false">IF(N2583&lt;&gt;"Y","",IFERROR(INDEX($D$6:$D$4005,MATCH(B2583&amp;"|"&amp;ROUND(_xlfn.MAXIFS($O$6:$O$4005,$B$6:$B$4005,B2583,$N$6:$N$4005,"N"),0),$P$6:$P$4005,0)),"(tanpa lawan)"))</f>
        <v/>
      </c>
      <c r="R2583" s="44"/>
      <c r="S2583" s="9" t="str">
        <f aca="false">IF(N2583&lt;&gt;"Y","",IF(R2583&lt;&gt;"",R2583,IF(Q2583="(tanpa lawan)","Transfer antar rekening",IFERROR(INDEX(I_COA!$F$6:$F$265,MATCH(Q2583,I_COA!$A$6:$A$265,0)),"?"))))</f>
        <v/>
      </c>
    </row>
    <row r="2584" customFormat="false" ht="15" hidden="false" customHeight="false" outlineLevel="0" collapsed="false">
      <c r="A2584" s="37"/>
      <c r="B2584" s="44"/>
      <c r="C2584" s="44"/>
      <c r="D2584" s="44"/>
      <c r="E2584" s="44"/>
      <c r="F2584" s="44"/>
      <c r="G2584" s="42"/>
      <c r="H2584" s="42"/>
      <c r="I2584" s="44"/>
      <c r="J2584" s="11" t="str">
        <f aca="false">IF(D2584="","",N(G2584)-N(H2584))</f>
        <v/>
      </c>
      <c r="K2584" s="34" t="str">
        <f aca="false">IF(D2584="","",IFERROR(INDEX(I_COA!$C$6:$C$265,MATCH(D2584,I_COA!$A$6:$A$265,0)),"AKUN BARU"))</f>
        <v/>
      </c>
      <c r="L2584" s="34" t="str">
        <f aca="false">IF(K2584="LabaRugi",INDEX(I_COA!$D$6:$D$265,MATCH(D2584,I_COA!$A$6:$A$265,0)),"")</f>
        <v/>
      </c>
      <c r="M2584" s="34" t="str">
        <f aca="false">IF(K2584="Neraca",INDEX(I_COA!$E$6:$E$265,MATCH(D2584,I_COA!$A$6:$A$265,0)),"")</f>
        <v/>
      </c>
      <c r="N2584" s="34" t="str">
        <f aca="false">IF(D2584="","",IFERROR(INDEX(I_COA!$G$6:$G$265,MATCH(D2584,I_COA!$A$6:$A$265,0)),"N"))</f>
        <v/>
      </c>
      <c r="O2584" s="11" t="str">
        <f aca="false">IF(N2584="N",ABS(J2584),"")</f>
        <v/>
      </c>
      <c r="P2584" s="18" t="str">
        <f aca="false">IF(N2584="N",B2584&amp;"|"&amp;ROUND(O2584,0),"")</f>
        <v/>
      </c>
      <c r="Q2584" s="18" t="str">
        <f aca="false">IF(N2584&lt;&gt;"Y","",IFERROR(INDEX($D$6:$D$4005,MATCH(B2584&amp;"|"&amp;ROUND(_xlfn.MAXIFS($O$6:$O$4005,$B$6:$B$4005,B2584,$N$6:$N$4005,"N"),0),$P$6:$P$4005,0)),"(tanpa lawan)"))</f>
        <v/>
      </c>
      <c r="R2584" s="44"/>
      <c r="S2584" s="9" t="str">
        <f aca="false">IF(N2584&lt;&gt;"Y","",IF(R2584&lt;&gt;"",R2584,IF(Q2584="(tanpa lawan)","Transfer antar rekening",IFERROR(INDEX(I_COA!$F$6:$F$265,MATCH(Q2584,I_COA!$A$6:$A$265,0)),"?"))))</f>
        <v/>
      </c>
    </row>
    <row r="2585" customFormat="false" ht="15" hidden="false" customHeight="false" outlineLevel="0" collapsed="false">
      <c r="A2585" s="37"/>
      <c r="B2585" s="44"/>
      <c r="C2585" s="44"/>
      <c r="D2585" s="44"/>
      <c r="E2585" s="44"/>
      <c r="F2585" s="44"/>
      <c r="G2585" s="42"/>
      <c r="H2585" s="42"/>
      <c r="I2585" s="44"/>
      <c r="J2585" s="11" t="str">
        <f aca="false">IF(D2585="","",N(G2585)-N(H2585))</f>
        <v/>
      </c>
      <c r="K2585" s="34" t="str">
        <f aca="false">IF(D2585="","",IFERROR(INDEX(I_COA!$C$6:$C$265,MATCH(D2585,I_COA!$A$6:$A$265,0)),"AKUN BARU"))</f>
        <v/>
      </c>
      <c r="L2585" s="34" t="str">
        <f aca="false">IF(K2585="LabaRugi",INDEX(I_COA!$D$6:$D$265,MATCH(D2585,I_COA!$A$6:$A$265,0)),"")</f>
        <v/>
      </c>
      <c r="M2585" s="34" t="str">
        <f aca="false">IF(K2585="Neraca",INDEX(I_COA!$E$6:$E$265,MATCH(D2585,I_COA!$A$6:$A$265,0)),"")</f>
        <v/>
      </c>
      <c r="N2585" s="34" t="str">
        <f aca="false">IF(D2585="","",IFERROR(INDEX(I_COA!$G$6:$G$265,MATCH(D2585,I_COA!$A$6:$A$265,0)),"N"))</f>
        <v/>
      </c>
      <c r="O2585" s="11" t="str">
        <f aca="false">IF(N2585="N",ABS(J2585),"")</f>
        <v/>
      </c>
      <c r="P2585" s="18" t="str">
        <f aca="false">IF(N2585="N",B2585&amp;"|"&amp;ROUND(O2585,0),"")</f>
        <v/>
      </c>
      <c r="Q2585" s="18" t="str">
        <f aca="false">IF(N2585&lt;&gt;"Y","",IFERROR(INDEX($D$6:$D$4005,MATCH(B2585&amp;"|"&amp;ROUND(_xlfn.MAXIFS($O$6:$O$4005,$B$6:$B$4005,B2585,$N$6:$N$4005,"N"),0),$P$6:$P$4005,0)),"(tanpa lawan)"))</f>
        <v/>
      </c>
      <c r="R2585" s="44"/>
      <c r="S2585" s="9" t="str">
        <f aca="false">IF(N2585&lt;&gt;"Y","",IF(R2585&lt;&gt;"",R2585,IF(Q2585="(tanpa lawan)","Transfer antar rekening",IFERROR(INDEX(I_COA!$F$6:$F$265,MATCH(Q2585,I_COA!$A$6:$A$265,0)),"?"))))</f>
        <v/>
      </c>
    </row>
    <row r="2586" customFormat="false" ht="15" hidden="false" customHeight="false" outlineLevel="0" collapsed="false">
      <c r="A2586" s="37"/>
      <c r="B2586" s="44"/>
      <c r="C2586" s="44"/>
      <c r="D2586" s="44"/>
      <c r="E2586" s="44"/>
      <c r="F2586" s="44"/>
      <c r="G2586" s="42"/>
      <c r="H2586" s="42"/>
      <c r="I2586" s="44"/>
      <c r="J2586" s="11" t="str">
        <f aca="false">IF(D2586="","",N(G2586)-N(H2586))</f>
        <v/>
      </c>
      <c r="K2586" s="34" t="str">
        <f aca="false">IF(D2586="","",IFERROR(INDEX(I_COA!$C$6:$C$265,MATCH(D2586,I_COA!$A$6:$A$265,0)),"AKUN BARU"))</f>
        <v/>
      </c>
      <c r="L2586" s="34" t="str">
        <f aca="false">IF(K2586="LabaRugi",INDEX(I_COA!$D$6:$D$265,MATCH(D2586,I_COA!$A$6:$A$265,0)),"")</f>
        <v/>
      </c>
      <c r="M2586" s="34" t="str">
        <f aca="false">IF(K2586="Neraca",INDEX(I_COA!$E$6:$E$265,MATCH(D2586,I_COA!$A$6:$A$265,0)),"")</f>
        <v/>
      </c>
      <c r="N2586" s="34" t="str">
        <f aca="false">IF(D2586="","",IFERROR(INDEX(I_COA!$G$6:$G$265,MATCH(D2586,I_COA!$A$6:$A$265,0)),"N"))</f>
        <v/>
      </c>
      <c r="O2586" s="11" t="str">
        <f aca="false">IF(N2586="N",ABS(J2586),"")</f>
        <v/>
      </c>
      <c r="P2586" s="18" t="str">
        <f aca="false">IF(N2586="N",B2586&amp;"|"&amp;ROUND(O2586,0),"")</f>
        <v/>
      </c>
      <c r="Q2586" s="18" t="str">
        <f aca="false">IF(N2586&lt;&gt;"Y","",IFERROR(INDEX($D$6:$D$4005,MATCH(B2586&amp;"|"&amp;ROUND(_xlfn.MAXIFS($O$6:$O$4005,$B$6:$B$4005,B2586,$N$6:$N$4005,"N"),0),$P$6:$P$4005,0)),"(tanpa lawan)"))</f>
        <v/>
      </c>
      <c r="R2586" s="44"/>
      <c r="S2586" s="9" t="str">
        <f aca="false">IF(N2586&lt;&gt;"Y","",IF(R2586&lt;&gt;"",R2586,IF(Q2586="(tanpa lawan)","Transfer antar rekening",IFERROR(INDEX(I_COA!$F$6:$F$265,MATCH(Q2586,I_COA!$A$6:$A$265,0)),"?"))))</f>
        <v/>
      </c>
    </row>
    <row r="2587" customFormat="false" ht="15" hidden="false" customHeight="false" outlineLevel="0" collapsed="false">
      <c r="A2587" s="37"/>
      <c r="B2587" s="44"/>
      <c r="C2587" s="44"/>
      <c r="D2587" s="44"/>
      <c r="E2587" s="44"/>
      <c r="F2587" s="44"/>
      <c r="G2587" s="42"/>
      <c r="H2587" s="42"/>
      <c r="I2587" s="44"/>
      <c r="J2587" s="11" t="str">
        <f aca="false">IF(D2587="","",N(G2587)-N(H2587))</f>
        <v/>
      </c>
      <c r="K2587" s="34" t="str">
        <f aca="false">IF(D2587="","",IFERROR(INDEX(I_COA!$C$6:$C$265,MATCH(D2587,I_COA!$A$6:$A$265,0)),"AKUN BARU"))</f>
        <v/>
      </c>
      <c r="L2587" s="34" t="str">
        <f aca="false">IF(K2587="LabaRugi",INDEX(I_COA!$D$6:$D$265,MATCH(D2587,I_COA!$A$6:$A$265,0)),"")</f>
        <v/>
      </c>
      <c r="M2587" s="34" t="str">
        <f aca="false">IF(K2587="Neraca",INDEX(I_COA!$E$6:$E$265,MATCH(D2587,I_COA!$A$6:$A$265,0)),"")</f>
        <v/>
      </c>
      <c r="N2587" s="34" t="str">
        <f aca="false">IF(D2587="","",IFERROR(INDEX(I_COA!$G$6:$G$265,MATCH(D2587,I_COA!$A$6:$A$265,0)),"N"))</f>
        <v/>
      </c>
      <c r="O2587" s="11" t="str">
        <f aca="false">IF(N2587="N",ABS(J2587),"")</f>
        <v/>
      </c>
      <c r="P2587" s="18" t="str">
        <f aca="false">IF(N2587="N",B2587&amp;"|"&amp;ROUND(O2587,0),"")</f>
        <v/>
      </c>
      <c r="Q2587" s="18" t="str">
        <f aca="false">IF(N2587&lt;&gt;"Y","",IFERROR(INDEX($D$6:$D$4005,MATCH(B2587&amp;"|"&amp;ROUND(_xlfn.MAXIFS($O$6:$O$4005,$B$6:$B$4005,B2587,$N$6:$N$4005,"N"),0),$P$6:$P$4005,0)),"(tanpa lawan)"))</f>
        <v/>
      </c>
      <c r="R2587" s="44"/>
      <c r="S2587" s="9" t="str">
        <f aca="false">IF(N2587&lt;&gt;"Y","",IF(R2587&lt;&gt;"",R2587,IF(Q2587="(tanpa lawan)","Transfer antar rekening",IFERROR(INDEX(I_COA!$F$6:$F$265,MATCH(Q2587,I_COA!$A$6:$A$265,0)),"?"))))</f>
        <v/>
      </c>
    </row>
    <row r="2588" customFormat="false" ht="15" hidden="false" customHeight="false" outlineLevel="0" collapsed="false">
      <c r="A2588" s="37"/>
      <c r="B2588" s="44"/>
      <c r="C2588" s="44"/>
      <c r="D2588" s="44"/>
      <c r="E2588" s="44"/>
      <c r="F2588" s="44"/>
      <c r="G2588" s="42"/>
      <c r="H2588" s="42"/>
      <c r="I2588" s="44"/>
      <c r="J2588" s="11" t="str">
        <f aca="false">IF(D2588="","",N(G2588)-N(H2588))</f>
        <v/>
      </c>
      <c r="K2588" s="34" t="str">
        <f aca="false">IF(D2588="","",IFERROR(INDEX(I_COA!$C$6:$C$265,MATCH(D2588,I_COA!$A$6:$A$265,0)),"AKUN BARU"))</f>
        <v/>
      </c>
      <c r="L2588" s="34" t="str">
        <f aca="false">IF(K2588="LabaRugi",INDEX(I_COA!$D$6:$D$265,MATCH(D2588,I_COA!$A$6:$A$265,0)),"")</f>
        <v/>
      </c>
      <c r="M2588" s="34" t="str">
        <f aca="false">IF(K2588="Neraca",INDEX(I_COA!$E$6:$E$265,MATCH(D2588,I_COA!$A$6:$A$265,0)),"")</f>
        <v/>
      </c>
      <c r="N2588" s="34" t="str">
        <f aca="false">IF(D2588="","",IFERROR(INDEX(I_COA!$G$6:$G$265,MATCH(D2588,I_COA!$A$6:$A$265,0)),"N"))</f>
        <v/>
      </c>
      <c r="O2588" s="11" t="str">
        <f aca="false">IF(N2588="N",ABS(J2588),"")</f>
        <v/>
      </c>
      <c r="P2588" s="18" t="str">
        <f aca="false">IF(N2588="N",B2588&amp;"|"&amp;ROUND(O2588,0),"")</f>
        <v/>
      </c>
      <c r="Q2588" s="18" t="str">
        <f aca="false">IF(N2588&lt;&gt;"Y","",IFERROR(INDEX($D$6:$D$4005,MATCH(B2588&amp;"|"&amp;ROUND(_xlfn.MAXIFS($O$6:$O$4005,$B$6:$B$4005,B2588,$N$6:$N$4005,"N"),0),$P$6:$P$4005,0)),"(tanpa lawan)"))</f>
        <v/>
      </c>
      <c r="R2588" s="44"/>
      <c r="S2588" s="9" t="str">
        <f aca="false">IF(N2588&lt;&gt;"Y","",IF(R2588&lt;&gt;"",R2588,IF(Q2588="(tanpa lawan)","Transfer antar rekening",IFERROR(INDEX(I_COA!$F$6:$F$265,MATCH(Q2588,I_COA!$A$6:$A$265,0)),"?"))))</f>
        <v/>
      </c>
    </row>
    <row r="2589" customFormat="false" ht="15" hidden="false" customHeight="false" outlineLevel="0" collapsed="false">
      <c r="A2589" s="37"/>
      <c r="B2589" s="44"/>
      <c r="C2589" s="44"/>
      <c r="D2589" s="44"/>
      <c r="E2589" s="44"/>
      <c r="F2589" s="44"/>
      <c r="G2589" s="42"/>
      <c r="H2589" s="42"/>
      <c r="I2589" s="44"/>
      <c r="J2589" s="11" t="str">
        <f aca="false">IF(D2589="","",N(G2589)-N(H2589))</f>
        <v/>
      </c>
      <c r="K2589" s="34" t="str">
        <f aca="false">IF(D2589="","",IFERROR(INDEX(I_COA!$C$6:$C$265,MATCH(D2589,I_COA!$A$6:$A$265,0)),"AKUN BARU"))</f>
        <v/>
      </c>
      <c r="L2589" s="34" t="str">
        <f aca="false">IF(K2589="LabaRugi",INDEX(I_COA!$D$6:$D$265,MATCH(D2589,I_COA!$A$6:$A$265,0)),"")</f>
        <v/>
      </c>
      <c r="M2589" s="34" t="str">
        <f aca="false">IF(K2589="Neraca",INDEX(I_COA!$E$6:$E$265,MATCH(D2589,I_COA!$A$6:$A$265,0)),"")</f>
        <v/>
      </c>
      <c r="N2589" s="34" t="str">
        <f aca="false">IF(D2589="","",IFERROR(INDEX(I_COA!$G$6:$G$265,MATCH(D2589,I_COA!$A$6:$A$265,0)),"N"))</f>
        <v/>
      </c>
      <c r="O2589" s="11" t="str">
        <f aca="false">IF(N2589="N",ABS(J2589),"")</f>
        <v/>
      </c>
      <c r="P2589" s="18" t="str">
        <f aca="false">IF(N2589="N",B2589&amp;"|"&amp;ROUND(O2589,0),"")</f>
        <v/>
      </c>
      <c r="Q2589" s="18" t="str">
        <f aca="false">IF(N2589&lt;&gt;"Y","",IFERROR(INDEX($D$6:$D$4005,MATCH(B2589&amp;"|"&amp;ROUND(_xlfn.MAXIFS($O$6:$O$4005,$B$6:$B$4005,B2589,$N$6:$N$4005,"N"),0),$P$6:$P$4005,0)),"(tanpa lawan)"))</f>
        <v/>
      </c>
      <c r="R2589" s="44"/>
      <c r="S2589" s="9" t="str">
        <f aca="false">IF(N2589&lt;&gt;"Y","",IF(R2589&lt;&gt;"",R2589,IF(Q2589="(tanpa lawan)","Transfer antar rekening",IFERROR(INDEX(I_COA!$F$6:$F$265,MATCH(Q2589,I_COA!$A$6:$A$265,0)),"?"))))</f>
        <v/>
      </c>
    </row>
    <row r="2590" customFormat="false" ht="15" hidden="false" customHeight="false" outlineLevel="0" collapsed="false">
      <c r="A2590" s="37"/>
      <c r="B2590" s="44"/>
      <c r="C2590" s="44"/>
      <c r="D2590" s="44"/>
      <c r="E2590" s="44"/>
      <c r="F2590" s="44"/>
      <c r="G2590" s="42"/>
      <c r="H2590" s="42"/>
      <c r="I2590" s="44"/>
      <c r="J2590" s="11" t="str">
        <f aca="false">IF(D2590="","",N(G2590)-N(H2590))</f>
        <v/>
      </c>
      <c r="K2590" s="34" t="str">
        <f aca="false">IF(D2590="","",IFERROR(INDEX(I_COA!$C$6:$C$265,MATCH(D2590,I_COA!$A$6:$A$265,0)),"AKUN BARU"))</f>
        <v/>
      </c>
      <c r="L2590" s="34" t="str">
        <f aca="false">IF(K2590="LabaRugi",INDEX(I_COA!$D$6:$D$265,MATCH(D2590,I_COA!$A$6:$A$265,0)),"")</f>
        <v/>
      </c>
      <c r="M2590" s="34" t="str">
        <f aca="false">IF(K2590="Neraca",INDEX(I_COA!$E$6:$E$265,MATCH(D2590,I_COA!$A$6:$A$265,0)),"")</f>
        <v/>
      </c>
      <c r="N2590" s="34" t="str">
        <f aca="false">IF(D2590="","",IFERROR(INDEX(I_COA!$G$6:$G$265,MATCH(D2590,I_COA!$A$6:$A$265,0)),"N"))</f>
        <v/>
      </c>
      <c r="O2590" s="11" t="str">
        <f aca="false">IF(N2590="N",ABS(J2590),"")</f>
        <v/>
      </c>
      <c r="P2590" s="18" t="str">
        <f aca="false">IF(N2590="N",B2590&amp;"|"&amp;ROUND(O2590,0),"")</f>
        <v/>
      </c>
      <c r="Q2590" s="18" t="str">
        <f aca="false">IF(N2590&lt;&gt;"Y","",IFERROR(INDEX($D$6:$D$4005,MATCH(B2590&amp;"|"&amp;ROUND(_xlfn.MAXIFS($O$6:$O$4005,$B$6:$B$4005,B2590,$N$6:$N$4005,"N"),0),$P$6:$P$4005,0)),"(tanpa lawan)"))</f>
        <v/>
      </c>
      <c r="R2590" s="44"/>
      <c r="S2590" s="9" t="str">
        <f aca="false">IF(N2590&lt;&gt;"Y","",IF(R2590&lt;&gt;"",R2590,IF(Q2590="(tanpa lawan)","Transfer antar rekening",IFERROR(INDEX(I_COA!$F$6:$F$265,MATCH(Q2590,I_COA!$A$6:$A$265,0)),"?"))))</f>
        <v/>
      </c>
    </row>
    <row r="2591" customFormat="false" ht="15" hidden="false" customHeight="false" outlineLevel="0" collapsed="false">
      <c r="A2591" s="37"/>
      <c r="B2591" s="44"/>
      <c r="C2591" s="44"/>
      <c r="D2591" s="44"/>
      <c r="E2591" s="44"/>
      <c r="F2591" s="44"/>
      <c r="G2591" s="42"/>
      <c r="H2591" s="42"/>
      <c r="I2591" s="44"/>
      <c r="J2591" s="11" t="str">
        <f aca="false">IF(D2591="","",N(G2591)-N(H2591))</f>
        <v/>
      </c>
      <c r="K2591" s="34" t="str">
        <f aca="false">IF(D2591="","",IFERROR(INDEX(I_COA!$C$6:$C$265,MATCH(D2591,I_COA!$A$6:$A$265,0)),"AKUN BARU"))</f>
        <v/>
      </c>
      <c r="L2591" s="34" t="str">
        <f aca="false">IF(K2591="LabaRugi",INDEX(I_COA!$D$6:$D$265,MATCH(D2591,I_COA!$A$6:$A$265,0)),"")</f>
        <v/>
      </c>
      <c r="M2591" s="34" t="str">
        <f aca="false">IF(K2591="Neraca",INDEX(I_COA!$E$6:$E$265,MATCH(D2591,I_COA!$A$6:$A$265,0)),"")</f>
        <v/>
      </c>
      <c r="N2591" s="34" t="str">
        <f aca="false">IF(D2591="","",IFERROR(INDEX(I_COA!$G$6:$G$265,MATCH(D2591,I_COA!$A$6:$A$265,0)),"N"))</f>
        <v/>
      </c>
      <c r="O2591" s="11" t="str">
        <f aca="false">IF(N2591="N",ABS(J2591),"")</f>
        <v/>
      </c>
      <c r="P2591" s="18" t="str">
        <f aca="false">IF(N2591="N",B2591&amp;"|"&amp;ROUND(O2591,0),"")</f>
        <v/>
      </c>
      <c r="Q2591" s="18" t="str">
        <f aca="false">IF(N2591&lt;&gt;"Y","",IFERROR(INDEX($D$6:$D$4005,MATCH(B2591&amp;"|"&amp;ROUND(_xlfn.MAXIFS($O$6:$O$4005,$B$6:$B$4005,B2591,$N$6:$N$4005,"N"),0),$P$6:$P$4005,0)),"(tanpa lawan)"))</f>
        <v/>
      </c>
      <c r="R2591" s="44"/>
      <c r="S2591" s="9" t="str">
        <f aca="false">IF(N2591&lt;&gt;"Y","",IF(R2591&lt;&gt;"",R2591,IF(Q2591="(tanpa lawan)","Transfer antar rekening",IFERROR(INDEX(I_COA!$F$6:$F$265,MATCH(Q2591,I_COA!$A$6:$A$265,0)),"?"))))</f>
        <v/>
      </c>
    </row>
    <row r="2592" customFormat="false" ht="15" hidden="false" customHeight="false" outlineLevel="0" collapsed="false">
      <c r="A2592" s="37"/>
      <c r="B2592" s="44"/>
      <c r="C2592" s="44"/>
      <c r="D2592" s="44"/>
      <c r="E2592" s="44"/>
      <c r="F2592" s="44"/>
      <c r="G2592" s="42"/>
      <c r="H2592" s="42"/>
      <c r="I2592" s="44"/>
      <c r="J2592" s="11" t="str">
        <f aca="false">IF(D2592="","",N(G2592)-N(H2592))</f>
        <v/>
      </c>
      <c r="K2592" s="34" t="str">
        <f aca="false">IF(D2592="","",IFERROR(INDEX(I_COA!$C$6:$C$265,MATCH(D2592,I_COA!$A$6:$A$265,0)),"AKUN BARU"))</f>
        <v/>
      </c>
      <c r="L2592" s="34" t="str">
        <f aca="false">IF(K2592="LabaRugi",INDEX(I_COA!$D$6:$D$265,MATCH(D2592,I_COA!$A$6:$A$265,0)),"")</f>
        <v/>
      </c>
      <c r="M2592" s="34" t="str">
        <f aca="false">IF(K2592="Neraca",INDEX(I_COA!$E$6:$E$265,MATCH(D2592,I_COA!$A$6:$A$265,0)),"")</f>
        <v/>
      </c>
      <c r="N2592" s="34" t="str">
        <f aca="false">IF(D2592="","",IFERROR(INDEX(I_COA!$G$6:$G$265,MATCH(D2592,I_COA!$A$6:$A$265,0)),"N"))</f>
        <v/>
      </c>
      <c r="O2592" s="11" t="str">
        <f aca="false">IF(N2592="N",ABS(J2592),"")</f>
        <v/>
      </c>
      <c r="P2592" s="18" t="str">
        <f aca="false">IF(N2592="N",B2592&amp;"|"&amp;ROUND(O2592,0),"")</f>
        <v/>
      </c>
      <c r="Q2592" s="18" t="str">
        <f aca="false">IF(N2592&lt;&gt;"Y","",IFERROR(INDEX($D$6:$D$4005,MATCH(B2592&amp;"|"&amp;ROUND(_xlfn.MAXIFS($O$6:$O$4005,$B$6:$B$4005,B2592,$N$6:$N$4005,"N"),0),$P$6:$P$4005,0)),"(tanpa lawan)"))</f>
        <v/>
      </c>
      <c r="R2592" s="44"/>
      <c r="S2592" s="9" t="str">
        <f aca="false">IF(N2592&lt;&gt;"Y","",IF(R2592&lt;&gt;"",R2592,IF(Q2592="(tanpa lawan)","Transfer antar rekening",IFERROR(INDEX(I_COA!$F$6:$F$265,MATCH(Q2592,I_COA!$A$6:$A$265,0)),"?"))))</f>
        <v/>
      </c>
    </row>
    <row r="2593" customFormat="false" ht="15" hidden="false" customHeight="false" outlineLevel="0" collapsed="false">
      <c r="A2593" s="37"/>
      <c r="B2593" s="44"/>
      <c r="C2593" s="44"/>
      <c r="D2593" s="44"/>
      <c r="E2593" s="44"/>
      <c r="F2593" s="44"/>
      <c r="G2593" s="42"/>
      <c r="H2593" s="42"/>
      <c r="I2593" s="44"/>
      <c r="J2593" s="11" t="str">
        <f aca="false">IF(D2593="","",N(G2593)-N(H2593))</f>
        <v/>
      </c>
      <c r="K2593" s="34" t="str">
        <f aca="false">IF(D2593="","",IFERROR(INDEX(I_COA!$C$6:$C$265,MATCH(D2593,I_COA!$A$6:$A$265,0)),"AKUN BARU"))</f>
        <v/>
      </c>
      <c r="L2593" s="34" t="str">
        <f aca="false">IF(K2593="LabaRugi",INDEX(I_COA!$D$6:$D$265,MATCH(D2593,I_COA!$A$6:$A$265,0)),"")</f>
        <v/>
      </c>
      <c r="M2593" s="34" t="str">
        <f aca="false">IF(K2593="Neraca",INDEX(I_COA!$E$6:$E$265,MATCH(D2593,I_COA!$A$6:$A$265,0)),"")</f>
        <v/>
      </c>
      <c r="N2593" s="34" t="str">
        <f aca="false">IF(D2593="","",IFERROR(INDEX(I_COA!$G$6:$G$265,MATCH(D2593,I_COA!$A$6:$A$265,0)),"N"))</f>
        <v/>
      </c>
      <c r="O2593" s="11" t="str">
        <f aca="false">IF(N2593="N",ABS(J2593),"")</f>
        <v/>
      </c>
      <c r="P2593" s="18" t="str">
        <f aca="false">IF(N2593="N",B2593&amp;"|"&amp;ROUND(O2593,0),"")</f>
        <v/>
      </c>
      <c r="Q2593" s="18" t="str">
        <f aca="false">IF(N2593&lt;&gt;"Y","",IFERROR(INDEX($D$6:$D$4005,MATCH(B2593&amp;"|"&amp;ROUND(_xlfn.MAXIFS($O$6:$O$4005,$B$6:$B$4005,B2593,$N$6:$N$4005,"N"),0),$P$6:$P$4005,0)),"(tanpa lawan)"))</f>
        <v/>
      </c>
      <c r="R2593" s="44"/>
      <c r="S2593" s="9" t="str">
        <f aca="false">IF(N2593&lt;&gt;"Y","",IF(R2593&lt;&gt;"",R2593,IF(Q2593="(tanpa lawan)","Transfer antar rekening",IFERROR(INDEX(I_COA!$F$6:$F$265,MATCH(Q2593,I_COA!$A$6:$A$265,0)),"?"))))</f>
        <v/>
      </c>
    </row>
    <row r="2594" customFormat="false" ht="15" hidden="false" customHeight="false" outlineLevel="0" collapsed="false">
      <c r="A2594" s="37"/>
      <c r="B2594" s="44"/>
      <c r="C2594" s="44"/>
      <c r="D2594" s="44"/>
      <c r="E2594" s="44"/>
      <c r="F2594" s="44"/>
      <c r="G2594" s="42"/>
      <c r="H2594" s="42"/>
      <c r="I2594" s="44"/>
      <c r="J2594" s="11" t="str">
        <f aca="false">IF(D2594="","",N(G2594)-N(H2594))</f>
        <v/>
      </c>
      <c r="K2594" s="34" t="str">
        <f aca="false">IF(D2594="","",IFERROR(INDEX(I_COA!$C$6:$C$265,MATCH(D2594,I_COA!$A$6:$A$265,0)),"AKUN BARU"))</f>
        <v/>
      </c>
      <c r="L2594" s="34" t="str">
        <f aca="false">IF(K2594="LabaRugi",INDEX(I_COA!$D$6:$D$265,MATCH(D2594,I_COA!$A$6:$A$265,0)),"")</f>
        <v/>
      </c>
      <c r="M2594" s="34" t="str">
        <f aca="false">IF(K2594="Neraca",INDEX(I_COA!$E$6:$E$265,MATCH(D2594,I_COA!$A$6:$A$265,0)),"")</f>
        <v/>
      </c>
      <c r="N2594" s="34" t="str">
        <f aca="false">IF(D2594="","",IFERROR(INDEX(I_COA!$G$6:$G$265,MATCH(D2594,I_COA!$A$6:$A$265,0)),"N"))</f>
        <v/>
      </c>
      <c r="O2594" s="11" t="str">
        <f aca="false">IF(N2594="N",ABS(J2594),"")</f>
        <v/>
      </c>
      <c r="P2594" s="18" t="str">
        <f aca="false">IF(N2594="N",B2594&amp;"|"&amp;ROUND(O2594,0),"")</f>
        <v/>
      </c>
      <c r="Q2594" s="18" t="str">
        <f aca="false">IF(N2594&lt;&gt;"Y","",IFERROR(INDEX($D$6:$D$4005,MATCH(B2594&amp;"|"&amp;ROUND(_xlfn.MAXIFS($O$6:$O$4005,$B$6:$B$4005,B2594,$N$6:$N$4005,"N"),0),$P$6:$P$4005,0)),"(tanpa lawan)"))</f>
        <v/>
      </c>
      <c r="R2594" s="44"/>
      <c r="S2594" s="9" t="str">
        <f aca="false">IF(N2594&lt;&gt;"Y","",IF(R2594&lt;&gt;"",R2594,IF(Q2594="(tanpa lawan)","Transfer antar rekening",IFERROR(INDEX(I_COA!$F$6:$F$265,MATCH(Q2594,I_COA!$A$6:$A$265,0)),"?"))))</f>
        <v/>
      </c>
    </row>
    <row r="2595" customFormat="false" ht="15" hidden="false" customHeight="false" outlineLevel="0" collapsed="false">
      <c r="A2595" s="37"/>
      <c r="B2595" s="44"/>
      <c r="C2595" s="44"/>
      <c r="D2595" s="44"/>
      <c r="E2595" s="44"/>
      <c r="F2595" s="44"/>
      <c r="G2595" s="42"/>
      <c r="H2595" s="42"/>
      <c r="I2595" s="44"/>
      <c r="J2595" s="11" t="str">
        <f aca="false">IF(D2595="","",N(G2595)-N(H2595))</f>
        <v/>
      </c>
      <c r="K2595" s="34" t="str">
        <f aca="false">IF(D2595="","",IFERROR(INDEX(I_COA!$C$6:$C$265,MATCH(D2595,I_COA!$A$6:$A$265,0)),"AKUN BARU"))</f>
        <v/>
      </c>
      <c r="L2595" s="34" t="str">
        <f aca="false">IF(K2595="LabaRugi",INDEX(I_COA!$D$6:$D$265,MATCH(D2595,I_COA!$A$6:$A$265,0)),"")</f>
        <v/>
      </c>
      <c r="M2595" s="34" t="str">
        <f aca="false">IF(K2595="Neraca",INDEX(I_COA!$E$6:$E$265,MATCH(D2595,I_COA!$A$6:$A$265,0)),"")</f>
        <v/>
      </c>
      <c r="N2595" s="34" t="str">
        <f aca="false">IF(D2595="","",IFERROR(INDEX(I_COA!$G$6:$G$265,MATCH(D2595,I_COA!$A$6:$A$265,0)),"N"))</f>
        <v/>
      </c>
      <c r="O2595" s="11" t="str">
        <f aca="false">IF(N2595="N",ABS(J2595),"")</f>
        <v/>
      </c>
      <c r="P2595" s="18" t="str">
        <f aca="false">IF(N2595="N",B2595&amp;"|"&amp;ROUND(O2595,0),"")</f>
        <v/>
      </c>
      <c r="Q2595" s="18" t="str">
        <f aca="false">IF(N2595&lt;&gt;"Y","",IFERROR(INDEX($D$6:$D$4005,MATCH(B2595&amp;"|"&amp;ROUND(_xlfn.MAXIFS($O$6:$O$4005,$B$6:$B$4005,B2595,$N$6:$N$4005,"N"),0),$P$6:$P$4005,0)),"(tanpa lawan)"))</f>
        <v/>
      </c>
      <c r="R2595" s="44"/>
      <c r="S2595" s="9" t="str">
        <f aca="false">IF(N2595&lt;&gt;"Y","",IF(R2595&lt;&gt;"",R2595,IF(Q2595="(tanpa lawan)","Transfer antar rekening",IFERROR(INDEX(I_COA!$F$6:$F$265,MATCH(Q2595,I_COA!$A$6:$A$265,0)),"?"))))</f>
        <v/>
      </c>
    </row>
    <row r="2596" customFormat="false" ht="15" hidden="false" customHeight="false" outlineLevel="0" collapsed="false">
      <c r="A2596" s="37"/>
      <c r="B2596" s="44"/>
      <c r="C2596" s="44"/>
      <c r="D2596" s="44"/>
      <c r="E2596" s="44"/>
      <c r="F2596" s="44"/>
      <c r="G2596" s="42"/>
      <c r="H2596" s="42"/>
      <c r="I2596" s="44"/>
      <c r="J2596" s="11" t="str">
        <f aca="false">IF(D2596="","",N(G2596)-N(H2596))</f>
        <v/>
      </c>
      <c r="K2596" s="34" t="str">
        <f aca="false">IF(D2596="","",IFERROR(INDEX(I_COA!$C$6:$C$265,MATCH(D2596,I_COA!$A$6:$A$265,0)),"AKUN BARU"))</f>
        <v/>
      </c>
      <c r="L2596" s="34" t="str">
        <f aca="false">IF(K2596="LabaRugi",INDEX(I_COA!$D$6:$D$265,MATCH(D2596,I_COA!$A$6:$A$265,0)),"")</f>
        <v/>
      </c>
      <c r="M2596" s="34" t="str">
        <f aca="false">IF(K2596="Neraca",INDEX(I_COA!$E$6:$E$265,MATCH(D2596,I_COA!$A$6:$A$265,0)),"")</f>
        <v/>
      </c>
      <c r="N2596" s="34" t="str">
        <f aca="false">IF(D2596="","",IFERROR(INDEX(I_COA!$G$6:$G$265,MATCH(D2596,I_COA!$A$6:$A$265,0)),"N"))</f>
        <v/>
      </c>
      <c r="O2596" s="11" t="str">
        <f aca="false">IF(N2596="N",ABS(J2596),"")</f>
        <v/>
      </c>
      <c r="P2596" s="18" t="str">
        <f aca="false">IF(N2596="N",B2596&amp;"|"&amp;ROUND(O2596,0),"")</f>
        <v/>
      </c>
      <c r="Q2596" s="18" t="str">
        <f aca="false">IF(N2596&lt;&gt;"Y","",IFERROR(INDEX($D$6:$D$4005,MATCH(B2596&amp;"|"&amp;ROUND(_xlfn.MAXIFS($O$6:$O$4005,$B$6:$B$4005,B2596,$N$6:$N$4005,"N"),0),$P$6:$P$4005,0)),"(tanpa lawan)"))</f>
        <v/>
      </c>
      <c r="R2596" s="44"/>
      <c r="S2596" s="9" t="str">
        <f aca="false">IF(N2596&lt;&gt;"Y","",IF(R2596&lt;&gt;"",R2596,IF(Q2596="(tanpa lawan)","Transfer antar rekening",IFERROR(INDEX(I_COA!$F$6:$F$265,MATCH(Q2596,I_COA!$A$6:$A$265,0)),"?"))))</f>
        <v/>
      </c>
    </row>
    <row r="2597" customFormat="false" ht="15" hidden="false" customHeight="false" outlineLevel="0" collapsed="false">
      <c r="A2597" s="37"/>
      <c r="B2597" s="44"/>
      <c r="C2597" s="44"/>
      <c r="D2597" s="44"/>
      <c r="E2597" s="44"/>
      <c r="F2597" s="44"/>
      <c r="G2597" s="42"/>
      <c r="H2597" s="42"/>
      <c r="I2597" s="44"/>
      <c r="J2597" s="11" t="str">
        <f aca="false">IF(D2597="","",N(G2597)-N(H2597))</f>
        <v/>
      </c>
      <c r="K2597" s="34" t="str">
        <f aca="false">IF(D2597="","",IFERROR(INDEX(I_COA!$C$6:$C$265,MATCH(D2597,I_COA!$A$6:$A$265,0)),"AKUN BARU"))</f>
        <v/>
      </c>
      <c r="L2597" s="34" t="str">
        <f aca="false">IF(K2597="LabaRugi",INDEX(I_COA!$D$6:$D$265,MATCH(D2597,I_COA!$A$6:$A$265,0)),"")</f>
        <v/>
      </c>
      <c r="M2597" s="34" t="str">
        <f aca="false">IF(K2597="Neraca",INDEX(I_COA!$E$6:$E$265,MATCH(D2597,I_COA!$A$6:$A$265,0)),"")</f>
        <v/>
      </c>
      <c r="N2597" s="34" t="str">
        <f aca="false">IF(D2597="","",IFERROR(INDEX(I_COA!$G$6:$G$265,MATCH(D2597,I_COA!$A$6:$A$265,0)),"N"))</f>
        <v/>
      </c>
      <c r="O2597" s="11" t="str">
        <f aca="false">IF(N2597="N",ABS(J2597),"")</f>
        <v/>
      </c>
      <c r="P2597" s="18" t="str">
        <f aca="false">IF(N2597="N",B2597&amp;"|"&amp;ROUND(O2597,0),"")</f>
        <v/>
      </c>
      <c r="Q2597" s="18" t="str">
        <f aca="false">IF(N2597&lt;&gt;"Y","",IFERROR(INDEX($D$6:$D$4005,MATCH(B2597&amp;"|"&amp;ROUND(_xlfn.MAXIFS($O$6:$O$4005,$B$6:$B$4005,B2597,$N$6:$N$4005,"N"),0),$P$6:$P$4005,0)),"(tanpa lawan)"))</f>
        <v/>
      </c>
      <c r="R2597" s="44"/>
      <c r="S2597" s="9" t="str">
        <f aca="false">IF(N2597&lt;&gt;"Y","",IF(R2597&lt;&gt;"",R2597,IF(Q2597="(tanpa lawan)","Transfer antar rekening",IFERROR(INDEX(I_COA!$F$6:$F$265,MATCH(Q2597,I_COA!$A$6:$A$265,0)),"?"))))</f>
        <v/>
      </c>
    </row>
    <row r="2598" customFormat="false" ht="15" hidden="false" customHeight="false" outlineLevel="0" collapsed="false">
      <c r="A2598" s="37"/>
      <c r="B2598" s="44"/>
      <c r="C2598" s="44"/>
      <c r="D2598" s="44"/>
      <c r="E2598" s="44"/>
      <c r="F2598" s="44"/>
      <c r="G2598" s="42"/>
      <c r="H2598" s="42"/>
      <c r="I2598" s="44"/>
      <c r="J2598" s="11" t="str">
        <f aca="false">IF(D2598="","",N(G2598)-N(H2598))</f>
        <v/>
      </c>
      <c r="K2598" s="34" t="str">
        <f aca="false">IF(D2598="","",IFERROR(INDEX(I_COA!$C$6:$C$265,MATCH(D2598,I_COA!$A$6:$A$265,0)),"AKUN BARU"))</f>
        <v/>
      </c>
      <c r="L2598" s="34" t="str">
        <f aca="false">IF(K2598="LabaRugi",INDEX(I_COA!$D$6:$D$265,MATCH(D2598,I_COA!$A$6:$A$265,0)),"")</f>
        <v/>
      </c>
      <c r="M2598" s="34" t="str">
        <f aca="false">IF(K2598="Neraca",INDEX(I_COA!$E$6:$E$265,MATCH(D2598,I_COA!$A$6:$A$265,0)),"")</f>
        <v/>
      </c>
      <c r="N2598" s="34" t="str">
        <f aca="false">IF(D2598="","",IFERROR(INDEX(I_COA!$G$6:$G$265,MATCH(D2598,I_COA!$A$6:$A$265,0)),"N"))</f>
        <v/>
      </c>
      <c r="O2598" s="11" t="str">
        <f aca="false">IF(N2598="N",ABS(J2598),"")</f>
        <v/>
      </c>
      <c r="P2598" s="18" t="str">
        <f aca="false">IF(N2598="N",B2598&amp;"|"&amp;ROUND(O2598,0),"")</f>
        <v/>
      </c>
      <c r="Q2598" s="18" t="str">
        <f aca="false">IF(N2598&lt;&gt;"Y","",IFERROR(INDEX($D$6:$D$4005,MATCH(B2598&amp;"|"&amp;ROUND(_xlfn.MAXIFS($O$6:$O$4005,$B$6:$B$4005,B2598,$N$6:$N$4005,"N"),0),$P$6:$P$4005,0)),"(tanpa lawan)"))</f>
        <v/>
      </c>
      <c r="R2598" s="44"/>
      <c r="S2598" s="9" t="str">
        <f aca="false">IF(N2598&lt;&gt;"Y","",IF(R2598&lt;&gt;"",R2598,IF(Q2598="(tanpa lawan)","Transfer antar rekening",IFERROR(INDEX(I_COA!$F$6:$F$265,MATCH(Q2598,I_COA!$A$6:$A$265,0)),"?"))))</f>
        <v/>
      </c>
    </row>
    <row r="2599" customFormat="false" ht="15" hidden="false" customHeight="false" outlineLevel="0" collapsed="false">
      <c r="A2599" s="37"/>
      <c r="B2599" s="44"/>
      <c r="C2599" s="44"/>
      <c r="D2599" s="44"/>
      <c r="E2599" s="44"/>
      <c r="F2599" s="44"/>
      <c r="G2599" s="42"/>
      <c r="H2599" s="42"/>
      <c r="I2599" s="44"/>
      <c r="J2599" s="11" t="str">
        <f aca="false">IF(D2599="","",N(G2599)-N(H2599))</f>
        <v/>
      </c>
      <c r="K2599" s="34" t="str">
        <f aca="false">IF(D2599="","",IFERROR(INDEX(I_COA!$C$6:$C$265,MATCH(D2599,I_COA!$A$6:$A$265,0)),"AKUN BARU"))</f>
        <v/>
      </c>
      <c r="L2599" s="34" t="str">
        <f aca="false">IF(K2599="LabaRugi",INDEX(I_COA!$D$6:$D$265,MATCH(D2599,I_COA!$A$6:$A$265,0)),"")</f>
        <v/>
      </c>
      <c r="M2599" s="34" t="str">
        <f aca="false">IF(K2599="Neraca",INDEX(I_COA!$E$6:$E$265,MATCH(D2599,I_COA!$A$6:$A$265,0)),"")</f>
        <v/>
      </c>
      <c r="N2599" s="34" t="str">
        <f aca="false">IF(D2599="","",IFERROR(INDEX(I_COA!$G$6:$G$265,MATCH(D2599,I_COA!$A$6:$A$265,0)),"N"))</f>
        <v/>
      </c>
      <c r="O2599" s="11" t="str">
        <f aca="false">IF(N2599="N",ABS(J2599),"")</f>
        <v/>
      </c>
      <c r="P2599" s="18" t="str">
        <f aca="false">IF(N2599="N",B2599&amp;"|"&amp;ROUND(O2599,0),"")</f>
        <v/>
      </c>
      <c r="Q2599" s="18" t="str">
        <f aca="false">IF(N2599&lt;&gt;"Y","",IFERROR(INDEX($D$6:$D$4005,MATCH(B2599&amp;"|"&amp;ROUND(_xlfn.MAXIFS($O$6:$O$4005,$B$6:$B$4005,B2599,$N$6:$N$4005,"N"),0),$P$6:$P$4005,0)),"(tanpa lawan)"))</f>
        <v/>
      </c>
      <c r="R2599" s="44"/>
      <c r="S2599" s="9" t="str">
        <f aca="false">IF(N2599&lt;&gt;"Y","",IF(R2599&lt;&gt;"",R2599,IF(Q2599="(tanpa lawan)","Transfer antar rekening",IFERROR(INDEX(I_COA!$F$6:$F$265,MATCH(Q2599,I_COA!$A$6:$A$265,0)),"?"))))</f>
        <v/>
      </c>
    </row>
    <row r="2600" customFormat="false" ht="15" hidden="false" customHeight="false" outlineLevel="0" collapsed="false">
      <c r="A2600" s="37"/>
      <c r="B2600" s="44"/>
      <c r="C2600" s="44"/>
      <c r="D2600" s="44"/>
      <c r="E2600" s="44"/>
      <c r="F2600" s="44"/>
      <c r="G2600" s="42"/>
      <c r="H2600" s="42"/>
      <c r="I2600" s="44"/>
      <c r="J2600" s="11" t="str">
        <f aca="false">IF(D2600="","",N(G2600)-N(H2600))</f>
        <v/>
      </c>
      <c r="K2600" s="34" t="str">
        <f aca="false">IF(D2600="","",IFERROR(INDEX(I_COA!$C$6:$C$265,MATCH(D2600,I_COA!$A$6:$A$265,0)),"AKUN BARU"))</f>
        <v/>
      </c>
      <c r="L2600" s="34" t="str">
        <f aca="false">IF(K2600="LabaRugi",INDEX(I_COA!$D$6:$D$265,MATCH(D2600,I_COA!$A$6:$A$265,0)),"")</f>
        <v/>
      </c>
      <c r="M2600" s="34" t="str">
        <f aca="false">IF(K2600="Neraca",INDEX(I_COA!$E$6:$E$265,MATCH(D2600,I_COA!$A$6:$A$265,0)),"")</f>
        <v/>
      </c>
      <c r="N2600" s="34" t="str">
        <f aca="false">IF(D2600="","",IFERROR(INDEX(I_COA!$G$6:$G$265,MATCH(D2600,I_COA!$A$6:$A$265,0)),"N"))</f>
        <v/>
      </c>
      <c r="O2600" s="11" t="str">
        <f aca="false">IF(N2600="N",ABS(J2600),"")</f>
        <v/>
      </c>
      <c r="P2600" s="18" t="str">
        <f aca="false">IF(N2600="N",B2600&amp;"|"&amp;ROUND(O2600,0),"")</f>
        <v/>
      </c>
      <c r="Q2600" s="18" t="str">
        <f aca="false">IF(N2600&lt;&gt;"Y","",IFERROR(INDEX($D$6:$D$4005,MATCH(B2600&amp;"|"&amp;ROUND(_xlfn.MAXIFS($O$6:$O$4005,$B$6:$B$4005,B2600,$N$6:$N$4005,"N"),0),$P$6:$P$4005,0)),"(tanpa lawan)"))</f>
        <v/>
      </c>
      <c r="R2600" s="44"/>
      <c r="S2600" s="9" t="str">
        <f aca="false">IF(N2600&lt;&gt;"Y","",IF(R2600&lt;&gt;"",R2600,IF(Q2600="(tanpa lawan)","Transfer antar rekening",IFERROR(INDEX(I_COA!$F$6:$F$265,MATCH(Q2600,I_COA!$A$6:$A$265,0)),"?"))))</f>
        <v/>
      </c>
    </row>
    <row r="2601" customFormat="false" ht="15" hidden="false" customHeight="false" outlineLevel="0" collapsed="false">
      <c r="A2601" s="37"/>
      <c r="B2601" s="44"/>
      <c r="C2601" s="44"/>
      <c r="D2601" s="44"/>
      <c r="E2601" s="44"/>
      <c r="F2601" s="44"/>
      <c r="G2601" s="42"/>
      <c r="H2601" s="42"/>
      <c r="I2601" s="44"/>
      <c r="J2601" s="11" t="str">
        <f aca="false">IF(D2601="","",N(G2601)-N(H2601))</f>
        <v/>
      </c>
      <c r="K2601" s="34" t="str">
        <f aca="false">IF(D2601="","",IFERROR(INDEX(I_COA!$C$6:$C$265,MATCH(D2601,I_COA!$A$6:$A$265,0)),"AKUN BARU"))</f>
        <v/>
      </c>
      <c r="L2601" s="34" t="str">
        <f aca="false">IF(K2601="LabaRugi",INDEX(I_COA!$D$6:$D$265,MATCH(D2601,I_COA!$A$6:$A$265,0)),"")</f>
        <v/>
      </c>
      <c r="M2601" s="34" t="str">
        <f aca="false">IF(K2601="Neraca",INDEX(I_COA!$E$6:$E$265,MATCH(D2601,I_COA!$A$6:$A$265,0)),"")</f>
        <v/>
      </c>
      <c r="N2601" s="34" t="str">
        <f aca="false">IF(D2601="","",IFERROR(INDEX(I_COA!$G$6:$G$265,MATCH(D2601,I_COA!$A$6:$A$265,0)),"N"))</f>
        <v/>
      </c>
      <c r="O2601" s="11" t="str">
        <f aca="false">IF(N2601="N",ABS(J2601),"")</f>
        <v/>
      </c>
      <c r="P2601" s="18" t="str">
        <f aca="false">IF(N2601="N",B2601&amp;"|"&amp;ROUND(O2601,0),"")</f>
        <v/>
      </c>
      <c r="Q2601" s="18" t="str">
        <f aca="false">IF(N2601&lt;&gt;"Y","",IFERROR(INDEX($D$6:$D$4005,MATCH(B2601&amp;"|"&amp;ROUND(_xlfn.MAXIFS($O$6:$O$4005,$B$6:$B$4005,B2601,$N$6:$N$4005,"N"),0),$P$6:$P$4005,0)),"(tanpa lawan)"))</f>
        <v/>
      </c>
      <c r="R2601" s="44"/>
      <c r="S2601" s="9" t="str">
        <f aca="false">IF(N2601&lt;&gt;"Y","",IF(R2601&lt;&gt;"",R2601,IF(Q2601="(tanpa lawan)","Transfer antar rekening",IFERROR(INDEX(I_COA!$F$6:$F$265,MATCH(Q2601,I_COA!$A$6:$A$265,0)),"?"))))</f>
        <v/>
      </c>
    </row>
    <row r="2602" customFormat="false" ht="15" hidden="false" customHeight="false" outlineLevel="0" collapsed="false">
      <c r="A2602" s="37"/>
      <c r="B2602" s="44"/>
      <c r="C2602" s="44"/>
      <c r="D2602" s="44"/>
      <c r="E2602" s="44"/>
      <c r="F2602" s="44"/>
      <c r="G2602" s="42"/>
      <c r="H2602" s="42"/>
      <c r="I2602" s="44"/>
      <c r="J2602" s="11" t="str">
        <f aca="false">IF(D2602="","",N(G2602)-N(H2602))</f>
        <v/>
      </c>
      <c r="K2602" s="34" t="str">
        <f aca="false">IF(D2602="","",IFERROR(INDEX(I_COA!$C$6:$C$265,MATCH(D2602,I_COA!$A$6:$A$265,0)),"AKUN BARU"))</f>
        <v/>
      </c>
      <c r="L2602" s="34" t="str">
        <f aca="false">IF(K2602="LabaRugi",INDEX(I_COA!$D$6:$D$265,MATCH(D2602,I_COA!$A$6:$A$265,0)),"")</f>
        <v/>
      </c>
      <c r="M2602" s="34" t="str">
        <f aca="false">IF(K2602="Neraca",INDEX(I_COA!$E$6:$E$265,MATCH(D2602,I_COA!$A$6:$A$265,0)),"")</f>
        <v/>
      </c>
      <c r="N2602" s="34" t="str">
        <f aca="false">IF(D2602="","",IFERROR(INDEX(I_COA!$G$6:$G$265,MATCH(D2602,I_COA!$A$6:$A$265,0)),"N"))</f>
        <v/>
      </c>
      <c r="O2602" s="11" t="str">
        <f aca="false">IF(N2602="N",ABS(J2602),"")</f>
        <v/>
      </c>
      <c r="P2602" s="18" t="str">
        <f aca="false">IF(N2602="N",B2602&amp;"|"&amp;ROUND(O2602,0),"")</f>
        <v/>
      </c>
      <c r="Q2602" s="18" t="str">
        <f aca="false">IF(N2602&lt;&gt;"Y","",IFERROR(INDEX($D$6:$D$4005,MATCH(B2602&amp;"|"&amp;ROUND(_xlfn.MAXIFS($O$6:$O$4005,$B$6:$B$4005,B2602,$N$6:$N$4005,"N"),0),$P$6:$P$4005,0)),"(tanpa lawan)"))</f>
        <v/>
      </c>
      <c r="R2602" s="44"/>
      <c r="S2602" s="9" t="str">
        <f aca="false">IF(N2602&lt;&gt;"Y","",IF(R2602&lt;&gt;"",R2602,IF(Q2602="(tanpa lawan)","Transfer antar rekening",IFERROR(INDEX(I_COA!$F$6:$F$265,MATCH(Q2602,I_COA!$A$6:$A$265,0)),"?"))))</f>
        <v/>
      </c>
    </row>
    <row r="2603" customFormat="false" ht="15" hidden="false" customHeight="false" outlineLevel="0" collapsed="false">
      <c r="A2603" s="37"/>
      <c r="B2603" s="44"/>
      <c r="C2603" s="44"/>
      <c r="D2603" s="44"/>
      <c r="E2603" s="44"/>
      <c r="F2603" s="44"/>
      <c r="G2603" s="42"/>
      <c r="H2603" s="42"/>
      <c r="I2603" s="44"/>
      <c r="J2603" s="11" t="str">
        <f aca="false">IF(D2603="","",N(G2603)-N(H2603))</f>
        <v/>
      </c>
      <c r="K2603" s="34" t="str">
        <f aca="false">IF(D2603="","",IFERROR(INDEX(I_COA!$C$6:$C$265,MATCH(D2603,I_COA!$A$6:$A$265,0)),"AKUN BARU"))</f>
        <v/>
      </c>
      <c r="L2603" s="34" t="str">
        <f aca="false">IF(K2603="LabaRugi",INDEX(I_COA!$D$6:$D$265,MATCH(D2603,I_COA!$A$6:$A$265,0)),"")</f>
        <v/>
      </c>
      <c r="M2603" s="34" t="str">
        <f aca="false">IF(K2603="Neraca",INDEX(I_COA!$E$6:$E$265,MATCH(D2603,I_COA!$A$6:$A$265,0)),"")</f>
        <v/>
      </c>
      <c r="N2603" s="34" t="str">
        <f aca="false">IF(D2603="","",IFERROR(INDEX(I_COA!$G$6:$G$265,MATCH(D2603,I_COA!$A$6:$A$265,0)),"N"))</f>
        <v/>
      </c>
      <c r="O2603" s="11" t="str">
        <f aca="false">IF(N2603="N",ABS(J2603),"")</f>
        <v/>
      </c>
      <c r="P2603" s="18" t="str">
        <f aca="false">IF(N2603="N",B2603&amp;"|"&amp;ROUND(O2603,0),"")</f>
        <v/>
      </c>
      <c r="Q2603" s="18" t="str">
        <f aca="false">IF(N2603&lt;&gt;"Y","",IFERROR(INDEX($D$6:$D$4005,MATCH(B2603&amp;"|"&amp;ROUND(_xlfn.MAXIFS($O$6:$O$4005,$B$6:$B$4005,B2603,$N$6:$N$4005,"N"),0),$P$6:$P$4005,0)),"(tanpa lawan)"))</f>
        <v/>
      </c>
      <c r="R2603" s="44"/>
      <c r="S2603" s="9" t="str">
        <f aca="false">IF(N2603&lt;&gt;"Y","",IF(R2603&lt;&gt;"",R2603,IF(Q2603="(tanpa lawan)","Transfer antar rekening",IFERROR(INDEX(I_COA!$F$6:$F$265,MATCH(Q2603,I_COA!$A$6:$A$265,0)),"?"))))</f>
        <v/>
      </c>
    </row>
    <row r="2604" customFormat="false" ht="15" hidden="false" customHeight="false" outlineLevel="0" collapsed="false">
      <c r="A2604" s="37"/>
      <c r="B2604" s="44"/>
      <c r="C2604" s="44"/>
      <c r="D2604" s="44"/>
      <c r="E2604" s="44"/>
      <c r="F2604" s="44"/>
      <c r="G2604" s="42"/>
      <c r="H2604" s="42"/>
      <c r="I2604" s="44"/>
      <c r="J2604" s="11" t="str">
        <f aca="false">IF(D2604="","",N(G2604)-N(H2604))</f>
        <v/>
      </c>
      <c r="K2604" s="34" t="str">
        <f aca="false">IF(D2604="","",IFERROR(INDEX(I_COA!$C$6:$C$265,MATCH(D2604,I_COA!$A$6:$A$265,0)),"AKUN BARU"))</f>
        <v/>
      </c>
      <c r="L2604" s="34" t="str">
        <f aca="false">IF(K2604="LabaRugi",INDEX(I_COA!$D$6:$D$265,MATCH(D2604,I_COA!$A$6:$A$265,0)),"")</f>
        <v/>
      </c>
      <c r="M2604" s="34" t="str">
        <f aca="false">IF(K2604="Neraca",INDEX(I_COA!$E$6:$E$265,MATCH(D2604,I_COA!$A$6:$A$265,0)),"")</f>
        <v/>
      </c>
      <c r="N2604" s="34" t="str">
        <f aca="false">IF(D2604="","",IFERROR(INDEX(I_COA!$G$6:$G$265,MATCH(D2604,I_COA!$A$6:$A$265,0)),"N"))</f>
        <v/>
      </c>
      <c r="O2604" s="11" t="str">
        <f aca="false">IF(N2604="N",ABS(J2604),"")</f>
        <v/>
      </c>
      <c r="P2604" s="18" t="str">
        <f aca="false">IF(N2604="N",B2604&amp;"|"&amp;ROUND(O2604,0),"")</f>
        <v/>
      </c>
      <c r="Q2604" s="18" t="str">
        <f aca="false">IF(N2604&lt;&gt;"Y","",IFERROR(INDEX($D$6:$D$4005,MATCH(B2604&amp;"|"&amp;ROUND(_xlfn.MAXIFS($O$6:$O$4005,$B$6:$B$4005,B2604,$N$6:$N$4005,"N"),0),$P$6:$P$4005,0)),"(tanpa lawan)"))</f>
        <v/>
      </c>
      <c r="R2604" s="44"/>
      <c r="S2604" s="9" t="str">
        <f aca="false">IF(N2604&lt;&gt;"Y","",IF(R2604&lt;&gt;"",R2604,IF(Q2604="(tanpa lawan)","Transfer antar rekening",IFERROR(INDEX(I_COA!$F$6:$F$265,MATCH(Q2604,I_COA!$A$6:$A$265,0)),"?"))))</f>
        <v/>
      </c>
    </row>
    <row r="2605" customFormat="false" ht="15" hidden="false" customHeight="false" outlineLevel="0" collapsed="false">
      <c r="A2605" s="37"/>
      <c r="B2605" s="44"/>
      <c r="C2605" s="44"/>
      <c r="D2605" s="44"/>
      <c r="E2605" s="44"/>
      <c r="F2605" s="44"/>
      <c r="G2605" s="42"/>
      <c r="H2605" s="42"/>
      <c r="I2605" s="44"/>
      <c r="J2605" s="11" t="str">
        <f aca="false">IF(D2605="","",N(G2605)-N(H2605))</f>
        <v/>
      </c>
      <c r="K2605" s="34" t="str">
        <f aca="false">IF(D2605="","",IFERROR(INDEX(I_COA!$C$6:$C$265,MATCH(D2605,I_COA!$A$6:$A$265,0)),"AKUN BARU"))</f>
        <v/>
      </c>
      <c r="L2605" s="34" t="str">
        <f aca="false">IF(K2605="LabaRugi",INDEX(I_COA!$D$6:$D$265,MATCH(D2605,I_COA!$A$6:$A$265,0)),"")</f>
        <v/>
      </c>
      <c r="M2605" s="34" t="str">
        <f aca="false">IF(K2605="Neraca",INDEX(I_COA!$E$6:$E$265,MATCH(D2605,I_COA!$A$6:$A$265,0)),"")</f>
        <v/>
      </c>
      <c r="N2605" s="34" t="str">
        <f aca="false">IF(D2605="","",IFERROR(INDEX(I_COA!$G$6:$G$265,MATCH(D2605,I_COA!$A$6:$A$265,0)),"N"))</f>
        <v/>
      </c>
      <c r="O2605" s="11" t="str">
        <f aca="false">IF(N2605="N",ABS(J2605),"")</f>
        <v/>
      </c>
      <c r="P2605" s="18" t="str">
        <f aca="false">IF(N2605="N",B2605&amp;"|"&amp;ROUND(O2605,0),"")</f>
        <v/>
      </c>
      <c r="Q2605" s="18" t="str">
        <f aca="false">IF(N2605&lt;&gt;"Y","",IFERROR(INDEX($D$6:$D$4005,MATCH(B2605&amp;"|"&amp;ROUND(_xlfn.MAXIFS($O$6:$O$4005,$B$6:$B$4005,B2605,$N$6:$N$4005,"N"),0),$P$6:$P$4005,0)),"(tanpa lawan)"))</f>
        <v/>
      </c>
      <c r="R2605" s="44"/>
      <c r="S2605" s="9" t="str">
        <f aca="false">IF(N2605&lt;&gt;"Y","",IF(R2605&lt;&gt;"",R2605,IF(Q2605="(tanpa lawan)","Transfer antar rekening",IFERROR(INDEX(I_COA!$F$6:$F$265,MATCH(Q2605,I_COA!$A$6:$A$265,0)),"?"))))</f>
        <v/>
      </c>
    </row>
    <row r="2606" customFormat="false" ht="15" hidden="false" customHeight="false" outlineLevel="0" collapsed="false">
      <c r="A2606" s="37"/>
      <c r="B2606" s="44"/>
      <c r="C2606" s="44"/>
      <c r="D2606" s="44"/>
      <c r="E2606" s="44"/>
      <c r="F2606" s="44"/>
      <c r="G2606" s="42"/>
      <c r="H2606" s="42"/>
      <c r="I2606" s="44"/>
      <c r="J2606" s="11" t="str">
        <f aca="false">IF(D2606="","",N(G2606)-N(H2606))</f>
        <v/>
      </c>
      <c r="K2606" s="34" t="str">
        <f aca="false">IF(D2606="","",IFERROR(INDEX(I_COA!$C$6:$C$265,MATCH(D2606,I_COA!$A$6:$A$265,0)),"AKUN BARU"))</f>
        <v/>
      </c>
      <c r="L2606" s="34" t="str">
        <f aca="false">IF(K2606="LabaRugi",INDEX(I_COA!$D$6:$D$265,MATCH(D2606,I_COA!$A$6:$A$265,0)),"")</f>
        <v/>
      </c>
      <c r="M2606" s="34" t="str">
        <f aca="false">IF(K2606="Neraca",INDEX(I_COA!$E$6:$E$265,MATCH(D2606,I_COA!$A$6:$A$265,0)),"")</f>
        <v/>
      </c>
      <c r="N2606" s="34" t="str">
        <f aca="false">IF(D2606="","",IFERROR(INDEX(I_COA!$G$6:$G$265,MATCH(D2606,I_COA!$A$6:$A$265,0)),"N"))</f>
        <v/>
      </c>
      <c r="O2606" s="11" t="str">
        <f aca="false">IF(N2606="N",ABS(J2606),"")</f>
        <v/>
      </c>
      <c r="P2606" s="18" t="str">
        <f aca="false">IF(N2606="N",B2606&amp;"|"&amp;ROUND(O2606,0),"")</f>
        <v/>
      </c>
      <c r="Q2606" s="18" t="str">
        <f aca="false">IF(N2606&lt;&gt;"Y","",IFERROR(INDEX($D$6:$D$4005,MATCH(B2606&amp;"|"&amp;ROUND(_xlfn.MAXIFS($O$6:$O$4005,$B$6:$B$4005,B2606,$N$6:$N$4005,"N"),0),$P$6:$P$4005,0)),"(tanpa lawan)"))</f>
        <v/>
      </c>
      <c r="R2606" s="44"/>
      <c r="S2606" s="9" t="str">
        <f aca="false">IF(N2606&lt;&gt;"Y","",IF(R2606&lt;&gt;"",R2606,IF(Q2606="(tanpa lawan)","Transfer antar rekening",IFERROR(INDEX(I_COA!$F$6:$F$265,MATCH(Q2606,I_COA!$A$6:$A$265,0)),"?"))))</f>
        <v/>
      </c>
    </row>
    <row r="2607" customFormat="false" ht="15" hidden="false" customHeight="false" outlineLevel="0" collapsed="false">
      <c r="A2607" s="37"/>
      <c r="B2607" s="44"/>
      <c r="C2607" s="44"/>
      <c r="D2607" s="44"/>
      <c r="E2607" s="44"/>
      <c r="F2607" s="44"/>
      <c r="G2607" s="42"/>
      <c r="H2607" s="42"/>
      <c r="I2607" s="44"/>
      <c r="J2607" s="11" t="str">
        <f aca="false">IF(D2607="","",N(G2607)-N(H2607))</f>
        <v/>
      </c>
      <c r="K2607" s="34" t="str">
        <f aca="false">IF(D2607="","",IFERROR(INDEX(I_COA!$C$6:$C$265,MATCH(D2607,I_COA!$A$6:$A$265,0)),"AKUN BARU"))</f>
        <v/>
      </c>
      <c r="L2607" s="34" t="str">
        <f aca="false">IF(K2607="LabaRugi",INDEX(I_COA!$D$6:$D$265,MATCH(D2607,I_COA!$A$6:$A$265,0)),"")</f>
        <v/>
      </c>
      <c r="M2607" s="34" t="str">
        <f aca="false">IF(K2607="Neraca",INDEX(I_COA!$E$6:$E$265,MATCH(D2607,I_COA!$A$6:$A$265,0)),"")</f>
        <v/>
      </c>
      <c r="N2607" s="34" t="str">
        <f aca="false">IF(D2607="","",IFERROR(INDEX(I_COA!$G$6:$G$265,MATCH(D2607,I_COA!$A$6:$A$265,0)),"N"))</f>
        <v/>
      </c>
      <c r="O2607" s="11" t="str">
        <f aca="false">IF(N2607="N",ABS(J2607),"")</f>
        <v/>
      </c>
      <c r="P2607" s="18" t="str">
        <f aca="false">IF(N2607="N",B2607&amp;"|"&amp;ROUND(O2607,0),"")</f>
        <v/>
      </c>
      <c r="Q2607" s="18" t="str">
        <f aca="false">IF(N2607&lt;&gt;"Y","",IFERROR(INDEX($D$6:$D$4005,MATCH(B2607&amp;"|"&amp;ROUND(_xlfn.MAXIFS($O$6:$O$4005,$B$6:$B$4005,B2607,$N$6:$N$4005,"N"),0),$P$6:$P$4005,0)),"(tanpa lawan)"))</f>
        <v/>
      </c>
      <c r="R2607" s="44"/>
      <c r="S2607" s="9" t="str">
        <f aca="false">IF(N2607&lt;&gt;"Y","",IF(R2607&lt;&gt;"",R2607,IF(Q2607="(tanpa lawan)","Transfer antar rekening",IFERROR(INDEX(I_COA!$F$6:$F$265,MATCH(Q2607,I_COA!$A$6:$A$265,0)),"?"))))</f>
        <v/>
      </c>
    </row>
    <row r="2608" customFormat="false" ht="15" hidden="false" customHeight="false" outlineLevel="0" collapsed="false">
      <c r="A2608" s="37"/>
      <c r="B2608" s="44"/>
      <c r="C2608" s="44"/>
      <c r="D2608" s="44"/>
      <c r="E2608" s="44"/>
      <c r="F2608" s="44"/>
      <c r="G2608" s="42"/>
      <c r="H2608" s="42"/>
      <c r="I2608" s="44"/>
      <c r="J2608" s="11" t="str">
        <f aca="false">IF(D2608="","",N(G2608)-N(H2608))</f>
        <v/>
      </c>
      <c r="K2608" s="34" t="str">
        <f aca="false">IF(D2608="","",IFERROR(INDEX(I_COA!$C$6:$C$265,MATCH(D2608,I_COA!$A$6:$A$265,0)),"AKUN BARU"))</f>
        <v/>
      </c>
      <c r="L2608" s="34" t="str">
        <f aca="false">IF(K2608="LabaRugi",INDEX(I_COA!$D$6:$D$265,MATCH(D2608,I_COA!$A$6:$A$265,0)),"")</f>
        <v/>
      </c>
      <c r="M2608" s="34" t="str">
        <f aca="false">IF(K2608="Neraca",INDEX(I_COA!$E$6:$E$265,MATCH(D2608,I_COA!$A$6:$A$265,0)),"")</f>
        <v/>
      </c>
      <c r="N2608" s="34" t="str">
        <f aca="false">IF(D2608="","",IFERROR(INDEX(I_COA!$G$6:$G$265,MATCH(D2608,I_COA!$A$6:$A$265,0)),"N"))</f>
        <v/>
      </c>
      <c r="O2608" s="11" t="str">
        <f aca="false">IF(N2608="N",ABS(J2608),"")</f>
        <v/>
      </c>
      <c r="P2608" s="18" t="str">
        <f aca="false">IF(N2608="N",B2608&amp;"|"&amp;ROUND(O2608,0),"")</f>
        <v/>
      </c>
      <c r="Q2608" s="18" t="str">
        <f aca="false">IF(N2608&lt;&gt;"Y","",IFERROR(INDEX($D$6:$D$4005,MATCH(B2608&amp;"|"&amp;ROUND(_xlfn.MAXIFS($O$6:$O$4005,$B$6:$B$4005,B2608,$N$6:$N$4005,"N"),0),$P$6:$P$4005,0)),"(tanpa lawan)"))</f>
        <v/>
      </c>
      <c r="R2608" s="44"/>
      <c r="S2608" s="9" t="str">
        <f aca="false">IF(N2608&lt;&gt;"Y","",IF(R2608&lt;&gt;"",R2608,IF(Q2608="(tanpa lawan)","Transfer antar rekening",IFERROR(INDEX(I_COA!$F$6:$F$265,MATCH(Q2608,I_COA!$A$6:$A$265,0)),"?"))))</f>
        <v/>
      </c>
    </row>
    <row r="2609" customFormat="false" ht="15" hidden="false" customHeight="false" outlineLevel="0" collapsed="false">
      <c r="A2609" s="37"/>
      <c r="B2609" s="44"/>
      <c r="C2609" s="44"/>
      <c r="D2609" s="44"/>
      <c r="E2609" s="44"/>
      <c r="F2609" s="44"/>
      <c r="G2609" s="42"/>
      <c r="H2609" s="42"/>
      <c r="I2609" s="44"/>
      <c r="J2609" s="11" t="str">
        <f aca="false">IF(D2609="","",N(G2609)-N(H2609))</f>
        <v/>
      </c>
      <c r="K2609" s="34" t="str">
        <f aca="false">IF(D2609="","",IFERROR(INDEX(I_COA!$C$6:$C$265,MATCH(D2609,I_COA!$A$6:$A$265,0)),"AKUN BARU"))</f>
        <v/>
      </c>
      <c r="L2609" s="34" t="str">
        <f aca="false">IF(K2609="LabaRugi",INDEX(I_COA!$D$6:$D$265,MATCH(D2609,I_COA!$A$6:$A$265,0)),"")</f>
        <v/>
      </c>
      <c r="M2609" s="34" t="str">
        <f aca="false">IF(K2609="Neraca",INDEX(I_COA!$E$6:$E$265,MATCH(D2609,I_COA!$A$6:$A$265,0)),"")</f>
        <v/>
      </c>
      <c r="N2609" s="34" t="str">
        <f aca="false">IF(D2609="","",IFERROR(INDEX(I_COA!$G$6:$G$265,MATCH(D2609,I_COA!$A$6:$A$265,0)),"N"))</f>
        <v/>
      </c>
      <c r="O2609" s="11" t="str">
        <f aca="false">IF(N2609="N",ABS(J2609),"")</f>
        <v/>
      </c>
      <c r="P2609" s="18" t="str">
        <f aca="false">IF(N2609="N",B2609&amp;"|"&amp;ROUND(O2609,0),"")</f>
        <v/>
      </c>
      <c r="Q2609" s="18" t="str">
        <f aca="false">IF(N2609&lt;&gt;"Y","",IFERROR(INDEX($D$6:$D$4005,MATCH(B2609&amp;"|"&amp;ROUND(_xlfn.MAXIFS($O$6:$O$4005,$B$6:$B$4005,B2609,$N$6:$N$4005,"N"),0),$P$6:$P$4005,0)),"(tanpa lawan)"))</f>
        <v/>
      </c>
      <c r="R2609" s="44"/>
      <c r="S2609" s="9" t="str">
        <f aca="false">IF(N2609&lt;&gt;"Y","",IF(R2609&lt;&gt;"",R2609,IF(Q2609="(tanpa lawan)","Transfer antar rekening",IFERROR(INDEX(I_COA!$F$6:$F$265,MATCH(Q2609,I_COA!$A$6:$A$265,0)),"?"))))</f>
        <v/>
      </c>
    </row>
    <row r="2610" customFormat="false" ht="15" hidden="false" customHeight="false" outlineLevel="0" collapsed="false">
      <c r="A2610" s="37"/>
      <c r="B2610" s="44"/>
      <c r="C2610" s="44"/>
      <c r="D2610" s="44"/>
      <c r="E2610" s="44"/>
      <c r="F2610" s="44"/>
      <c r="G2610" s="42"/>
      <c r="H2610" s="42"/>
      <c r="I2610" s="44"/>
      <c r="J2610" s="11" t="str">
        <f aca="false">IF(D2610="","",N(G2610)-N(H2610))</f>
        <v/>
      </c>
      <c r="K2610" s="34" t="str">
        <f aca="false">IF(D2610="","",IFERROR(INDEX(I_COA!$C$6:$C$265,MATCH(D2610,I_COA!$A$6:$A$265,0)),"AKUN BARU"))</f>
        <v/>
      </c>
      <c r="L2610" s="34" t="str">
        <f aca="false">IF(K2610="LabaRugi",INDEX(I_COA!$D$6:$D$265,MATCH(D2610,I_COA!$A$6:$A$265,0)),"")</f>
        <v/>
      </c>
      <c r="M2610" s="34" t="str">
        <f aca="false">IF(K2610="Neraca",INDEX(I_COA!$E$6:$E$265,MATCH(D2610,I_COA!$A$6:$A$265,0)),"")</f>
        <v/>
      </c>
      <c r="N2610" s="34" t="str">
        <f aca="false">IF(D2610="","",IFERROR(INDEX(I_COA!$G$6:$G$265,MATCH(D2610,I_COA!$A$6:$A$265,0)),"N"))</f>
        <v/>
      </c>
      <c r="O2610" s="11" t="str">
        <f aca="false">IF(N2610="N",ABS(J2610),"")</f>
        <v/>
      </c>
      <c r="P2610" s="18" t="str">
        <f aca="false">IF(N2610="N",B2610&amp;"|"&amp;ROUND(O2610,0),"")</f>
        <v/>
      </c>
      <c r="Q2610" s="18" t="str">
        <f aca="false">IF(N2610&lt;&gt;"Y","",IFERROR(INDEX($D$6:$D$4005,MATCH(B2610&amp;"|"&amp;ROUND(_xlfn.MAXIFS($O$6:$O$4005,$B$6:$B$4005,B2610,$N$6:$N$4005,"N"),0),$P$6:$P$4005,0)),"(tanpa lawan)"))</f>
        <v/>
      </c>
      <c r="R2610" s="44"/>
      <c r="S2610" s="9" t="str">
        <f aca="false">IF(N2610&lt;&gt;"Y","",IF(R2610&lt;&gt;"",R2610,IF(Q2610="(tanpa lawan)","Transfer antar rekening",IFERROR(INDEX(I_COA!$F$6:$F$265,MATCH(Q2610,I_COA!$A$6:$A$265,0)),"?"))))</f>
        <v/>
      </c>
    </row>
    <row r="2611" customFormat="false" ht="15" hidden="false" customHeight="false" outlineLevel="0" collapsed="false">
      <c r="A2611" s="37"/>
      <c r="B2611" s="44"/>
      <c r="C2611" s="44"/>
      <c r="D2611" s="44"/>
      <c r="E2611" s="44"/>
      <c r="F2611" s="44"/>
      <c r="G2611" s="42"/>
      <c r="H2611" s="42"/>
      <c r="I2611" s="44"/>
      <c r="J2611" s="11" t="str">
        <f aca="false">IF(D2611="","",N(G2611)-N(H2611))</f>
        <v/>
      </c>
      <c r="K2611" s="34" t="str">
        <f aca="false">IF(D2611="","",IFERROR(INDEX(I_COA!$C$6:$C$265,MATCH(D2611,I_COA!$A$6:$A$265,0)),"AKUN BARU"))</f>
        <v/>
      </c>
      <c r="L2611" s="34" t="str">
        <f aca="false">IF(K2611="LabaRugi",INDEX(I_COA!$D$6:$D$265,MATCH(D2611,I_COA!$A$6:$A$265,0)),"")</f>
        <v/>
      </c>
      <c r="M2611" s="34" t="str">
        <f aca="false">IF(K2611="Neraca",INDEX(I_COA!$E$6:$E$265,MATCH(D2611,I_COA!$A$6:$A$265,0)),"")</f>
        <v/>
      </c>
      <c r="N2611" s="34" t="str">
        <f aca="false">IF(D2611="","",IFERROR(INDEX(I_COA!$G$6:$G$265,MATCH(D2611,I_COA!$A$6:$A$265,0)),"N"))</f>
        <v/>
      </c>
      <c r="O2611" s="11" t="str">
        <f aca="false">IF(N2611="N",ABS(J2611),"")</f>
        <v/>
      </c>
      <c r="P2611" s="18" t="str">
        <f aca="false">IF(N2611="N",B2611&amp;"|"&amp;ROUND(O2611,0),"")</f>
        <v/>
      </c>
      <c r="Q2611" s="18" t="str">
        <f aca="false">IF(N2611&lt;&gt;"Y","",IFERROR(INDEX($D$6:$D$4005,MATCH(B2611&amp;"|"&amp;ROUND(_xlfn.MAXIFS($O$6:$O$4005,$B$6:$B$4005,B2611,$N$6:$N$4005,"N"),0),$P$6:$P$4005,0)),"(tanpa lawan)"))</f>
        <v/>
      </c>
      <c r="R2611" s="44"/>
      <c r="S2611" s="9" t="str">
        <f aca="false">IF(N2611&lt;&gt;"Y","",IF(R2611&lt;&gt;"",R2611,IF(Q2611="(tanpa lawan)","Transfer antar rekening",IFERROR(INDEX(I_COA!$F$6:$F$265,MATCH(Q2611,I_COA!$A$6:$A$265,0)),"?"))))</f>
        <v/>
      </c>
    </row>
    <row r="2612" customFormat="false" ht="15" hidden="false" customHeight="false" outlineLevel="0" collapsed="false">
      <c r="A2612" s="37"/>
      <c r="B2612" s="44"/>
      <c r="C2612" s="44"/>
      <c r="D2612" s="44"/>
      <c r="E2612" s="44"/>
      <c r="F2612" s="44"/>
      <c r="G2612" s="42"/>
      <c r="H2612" s="42"/>
      <c r="I2612" s="44"/>
      <c r="J2612" s="11" t="str">
        <f aca="false">IF(D2612="","",N(G2612)-N(H2612))</f>
        <v/>
      </c>
      <c r="K2612" s="34" t="str">
        <f aca="false">IF(D2612="","",IFERROR(INDEX(I_COA!$C$6:$C$265,MATCH(D2612,I_COA!$A$6:$A$265,0)),"AKUN BARU"))</f>
        <v/>
      </c>
      <c r="L2612" s="34" t="str">
        <f aca="false">IF(K2612="LabaRugi",INDEX(I_COA!$D$6:$D$265,MATCH(D2612,I_COA!$A$6:$A$265,0)),"")</f>
        <v/>
      </c>
      <c r="M2612" s="34" t="str">
        <f aca="false">IF(K2612="Neraca",INDEX(I_COA!$E$6:$E$265,MATCH(D2612,I_COA!$A$6:$A$265,0)),"")</f>
        <v/>
      </c>
      <c r="N2612" s="34" t="str">
        <f aca="false">IF(D2612="","",IFERROR(INDEX(I_COA!$G$6:$G$265,MATCH(D2612,I_COA!$A$6:$A$265,0)),"N"))</f>
        <v/>
      </c>
      <c r="O2612" s="11" t="str">
        <f aca="false">IF(N2612="N",ABS(J2612),"")</f>
        <v/>
      </c>
      <c r="P2612" s="18" t="str">
        <f aca="false">IF(N2612="N",B2612&amp;"|"&amp;ROUND(O2612,0),"")</f>
        <v/>
      </c>
      <c r="Q2612" s="18" t="str">
        <f aca="false">IF(N2612&lt;&gt;"Y","",IFERROR(INDEX($D$6:$D$4005,MATCH(B2612&amp;"|"&amp;ROUND(_xlfn.MAXIFS($O$6:$O$4005,$B$6:$B$4005,B2612,$N$6:$N$4005,"N"),0),$P$6:$P$4005,0)),"(tanpa lawan)"))</f>
        <v/>
      </c>
      <c r="R2612" s="44"/>
      <c r="S2612" s="9" t="str">
        <f aca="false">IF(N2612&lt;&gt;"Y","",IF(R2612&lt;&gt;"",R2612,IF(Q2612="(tanpa lawan)","Transfer antar rekening",IFERROR(INDEX(I_COA!$F$6:$F$265,MATCH(Q2612,I_COA!$A$6:$A$265,0)),"?"))))</f>
        <v/>
      </c>
    </row>
    <row r="2613" customFormat="false" ht="15" hidden="false" customHeight="false" outlineLevel="0" collapsed="false">
      <c r="A2613" s="37"/>
      <c r="B2613" s="44"/>
      <c r="C2613" s="44"/>
      <c r="D2613" s="44"/>
      <c r="E2613" s="44"/>
      <c r="F2613" s="44"/>
      <c r="G2613" s="42"/>
      <c r="H2613" s="42"/>
      <c r="I2613" s="44"/>
      <c r="J2613" s="11" t="str">
        <f aca="false">IF(D2613="","",N(G2613)-N(H2613))</f>
        <v/>
      </c>
      <c r="K2613" s="34" t="str">
        <f aca="false">IF(D2613="","",IFERROR(INDEX(I_COA!$C$6:$C$265,MATCH(D2613,I_COA!$A$6:$A$265,0)),"AKUN BARU"))</f>
        <v/>
      </c>
      <c r="L2613" s="34" t="str">
        <f aca="false">IF(K2613="LabaRugi",INDEX(I_COA!$D$6:$D$265,MATCH(D2613,I_COA!$A$6:$A$265,0)),"")</f>
        <v/>
      </c>
      <c r="M2613" s="34" t="str">
        <f aca="false">IF(K2613="Neraca",INDEX(I_COA!$E$6:$E$265,MATCH(D2613,I_COA!$A$6:$A$265,0)),"")</f>
        <v/>
      </c>
      <c r="N2613" s="34" t="str">
        <f aca="false">IF(D2613="","",IFERROR(INDEX(I_COA!$G$6:$G$265,MATCH(D2613,I_COA!$A$6:$A$265,0)),"N"))</f>
        <v/>
      </c>
      <c r="O2613" s="11" t="str">
        <f aca="false">IF(N2613="N",ABS(J2613),"")</f>
        <v/>
      </c>
      <c r="P2613" s="18" t="str">
        <f aca="false">IF(N2613="N",B2613&amp;"|"&amp;ROUND(O2613,0),"")</f>
        <v/>
      </c>
      <c r="Q2613" s="18" t="str">
        <f aca="false">IF(N2613&lt;&gt;"Y","",IFERROR(INDEX($D$6:$D$4005,MATCH(B2613&amp;"|"&amp;ROUND(_xlfn.MAXIFS($O$6:$O$4005,$B$6:$B$4005,B2613,$N$6:$N$4005,"N"),0),$P$6:$P$4005,0)),"(tanpa lawan)"))</f>
        <v/>
      </c>
      <c r="R2613" s="44"/>
      <c r="S2613" s="9" t="str">
        <f aca="false">IF(N2613&lt;&gt;"Y","",IF(R2613&lt;&gt;"",R2613,IF(Q2613="(tanpa lawan)","Transfer antar rekening",IFERROR(INDEX(I_COA!$F$6:$F$265,MATCH(Q2613,I_COA!$A$6:$A$265,0)),"?"))))</f>
        <v/>
      </c>
    </row>
    <row r="2614" customFormat="false" ht="15" hidden="false" customHeight="false" outlineLevel="0" collapsed="false">
      <c r="A2614" s="37"/>
      <c r="B2614" s="44"/>
      <c r="C2614" s="44"/>
      <c r="D2614" s="44"/>
      <c r="E2614" s="44"/>
      <c r="F2614" s="44"/>
      <c r="G2614" s="42"/>
      <c r="H2614" s="42"/>
      <c r="I2614" s="44"/>
      <c r="J2614" s="11" t="str">
        <f aca="false">IF(D2614="","",N(G2614)-N(H2614))</f>
        <v/>
      </c>
      <c r="K2614" s="34" t="str">
        <f aca="false">IF(D2614="","",IFERROR(INDEX(I_COA!$C$6:$C$265,MATCH(D2614,I_COA!$A$6:$A$265,0)),"AKUN BARU"))</f>
        <v/>
      </c>
      <c r="L2614" s="34" t="str">
        <f aca="false">IF(K2614="LabaRugi",INDEX(I_COA!$D$6:$D$265,MATCH(D2614,I_COA!$A$6:$A$265,0)),"")</f>
        <v/>
      </c>
      <c r="M2614" s="34" t="str">
        <f aca="false">IF(K2614="Neraca",INDEX(I_COA!$E$6:$E$265,MATCH(D2614,I_COA!$A$6:$A$265,0)),"")</f>
        <v/>
      </c>
      <c r="N2614" s="34" t="str">
        <f aca="false">IF(D2614="","",IFERROR(INDEX(I_COA!$G$6:$G$265,MATCH(D2614,I_COA!$A$6:$A$265,0)),"N"))</f>
        <v/>
      </c>
      <c r="O2614" s="11" t="str">
        <f aca="false">IF(N2614="N",ABS(J2614),"")</f>
        <v/>
      </c>
      <c r="P2614" s="18" t="str">
        <f aca="false">IF(N2614="N",B2614&amp;"|"&amp;ROUND(O2614,0),"")</f>
        <v/>
      </c>
      <c r="Q2614" s="18" t="str">
        <f aca="false">IF(N2614&lt;&gt;"Y","",IFERROR(INDEX($D$6:$D$4005,MATCH(B2614&amp;"|"&amp;ROUND(_xlfn.MAXIFS($O$6:$O$4005,$B$6:$B$4005,B2614,$N$6:$N$4005,"N"),0),$P$6:$P$4005,0)),"(tanpa lawan)"))</f>
        <v/>
      </c>
      <c r="R2614" s="44"/>
      <c r="S2614" s="9" t="str">
        <f aca="false">IF(N2614&lt;&gt;"Y","",IF(R2614&lt;&gt;"",R2614,IF(Q2614="(tanpa lawan)","Transfer antar rekening",IFERROR(INDEX(I_COA!$F$6:$F$265,MATCH(Q2614,I_COA!$A$6:$A$265,0)),"?"))))</f>
        <v/>
      </c>
    </row>
    <row r="2615" customFormat="false" ht="15" hidden="false" customHeight="false" outlineLevel="0" collapsed="false">
      <c r="A2615" s="37"/>
      <c r="B2615" s="44"/>
      <c r="C2615" s="44"/>
      <c r="D2615" s="44"/>
      <c r="E2615" s="44"/>
      <c r="F2615" s="44"/>
      <c r="G2615" s="42"/>
      <c r="H2615" s="42"/>
      <c r="I2615" s="44"/>
      <c r="J2615" s="11" t="str">
        <f aca="false">IF(D2615="","",N(G2615)-N(H2615))</f>
        <v/>
      </c>
      <c r="K2615" s="34" t="str">
        <f aca="false">IF(D2615="","",IFERROR(INDEX(I_COA!$C$6:$C$265,MATCH(D2615,I_COA!$A$6:$A$265,0)),"AKUN BARU"))</f>
        <v/>
      </c>
      <c r="L2615" s="34" t="str">
        <f aca="false">IF(K2615="LabaRugi",INDEX(I_COA!$D$6:$D$265,MATCH(D2615,I_COA!$A$6:$A$265,0)),"")</f>
        <v/>
      </c>
      <c r="M2615" s="34" t="str">
        <f aca="false">IF(K2615="Neraca",INDEX(I_COA!$E$6:$E$265,MATCH(D2615,I_COA!$A$6:$A$265,0)),"")</f>
        <v/>
      </c>
      <c r="N2615" s="34" t="str">
        <f aca="false">IF(D2615="","",IFERROR(INDEX(I_COA!$G$6:$G$265,MATCH(D2615,I_COA!$A$6:$A$265,0)),"N"))</f>
        <v/>
      </c>
      <c r="O2615" s="11" t="str">
        <f aca="false">IF(N2615="N",ABS(J2615),"")</f>
        <v/>
      </c>
      <c r="P2615" s="18" t="str">
        <f aca="false">IF(N2615="N",B2615&amp;"|"&amp;ROUND(O2615,0),"")</f>
        <v/>
      </c>
      <c r="Q2615" s="18" t="str">
        <f aca="false">IF(N2615&lt;&gt;"Y","",IFERROR(INDEX($D$6:$D$4005,MATCH(B2615&amp;"|"&amp;ROUND(_xlfn.MAXIFS($O$6:$O$4005,$B$6:$B$4005,B2615,$N$6:$N$4005,"N"),0),$P$6:$P$4005,0)),"(tanpa lawan)"))</f>
        <v/>
      </c>
      <c r="R2615" s="44"/>
      <c r="S2615" s="9" t="str">
        <f aca="false">IF(N2615&lt;&gt;"Y","",IF(R2615&lt;&gt;"",R2615,IF(Q2615="(tanpa lawan)","Transfer antar rekening",IFERROR(INDEX(I_COA!$F$6:$F$265,MATCH(Q2615,I_COA!$A$6:$A$265,0)),"?"))))</f>
        <v/>
      </c>
    </row>
    <row r="2616" customFormat="false" ht="15" hidden="false" customHeight="false" outlineLevel="0" collapsed="false">
      <c r="A2616" s="37"/>
      <c r="B2616" s="44"/>
      <c r="C2616" s="44"/>
      <c r="D2616" s="44"/>
      <c r="E2616" s="44"/>
      <c r="F2616" s="44"/>
      <c r="G2616" s="42"/>
      <c r="H2616" s="42"/>
      <c r="I2616" s="44"/>
      <c r="J2616" s="11" t="str">
        <f aca="false">IF(D2616="","",N(G2616)-N(H2616))</f>
        <v/>
      </c>
      <c r="K2616" s="34" t="str">
        <f aca="false">IF(D2616="","",IFERROR(INDEX(I_COA!$C$6:$C$265,MATCH(D2616,I_COA!$A$6:$A$265,0)),"AKUN BARU"))</f>
        <v/>
      </c>
      <c r="L2616" s="34" t="str">
        <f aca="false">IF(K2616="LabaRugi",INDEX(I_COA!$D$6:$D$265,MATCH(D2616,I_COA!$A$6:$A$265,0)),"")</f>
        <v/>
      </c>
      <c r="M2616" s="34" t="str">
        <f aca="false">IF(K2616="Neraca",INDEX(I_COA!$E$6:$E$265,MATCH(D2616,I_COA!$A$6:$A$265,0)),"")</f>
        <v/>
      </c>
      <c r="N2616" s="34" t="str">
        <f aca="false">IF(D2616="","",IFERROR(INDEX(I_COA!$G$6:$G$265,MATCH(D2616,I_COA!$A$6:$A$265,0)),"N"))</f>
        <v/>
      </c>
      <c r="O2616" s="11" t="str">
        <f aca="false">IF(N2616="N",ABS(J2616),"")</f>
        <v/>
      </c>
      <c r="P2616" s="18" t="str">
        <f aca="false">IF(N2616="N",B2616&amp;"|"&amp;ROUND(O2616,0),"")</f>
        <v/>
      </c>
      <c r="Q2616" s="18" t="str">
        <f aca="false">IF(N2616&lt;&gt;"Y","",IFERROR(INDEX($D$6:$D$4005,MATCH(B2616&amp;"|"&amp;ROUND(_xlfn.MAXIFS($O$6:$O$4005,$B$6:$B$4005,B2616,$N$6:$N$4005,"N"),0),$P$6:$P$4005,0)),"(tanpa lawan)"))</f>
        <v/>
      </c>
      <c r="R2616" s="44"/>
      <c r="S2616" s="9" t="str">
        <f aca="false">IF(N2616&lt;&gt;"Y","",IF(R2616&lt;&gt;"",R2616,IF(Q2616="(tanpa lawan)","Transfer antar rekening",IFERROR(INDEX(I_COA!$F$6:$F$265,MATCH(Q2616,I_COA!$A$6:$A$265,0)),"?"))))</f>
        <v/>
      </c>
    </row>
    <row r="2617" customFormat="false" ht="15" hidden="false" customHeight="false" outlineLevel="0" collapsed="false">
      <c r="A2617" s="37"/>
      <c r="B2617" s="44"/>
      <c r="C2617" s="44"/>
      <c r="D2617" s="44"/>
      <c r="E2617" s="44"/>
      <c r="F2617" s="44"/>
      <c r="G2617" s="42"/>
      <c r="H2617" s="42"/>
      <c r="I2617" s="44"/>
      <c r="J2617" s="11" t="str">
        <f aca="false">IF(D2617="","",N(G2617)-N(H2617))</f>
        <v/>
      </c>
      <c r="K2617" s="34" t="str">
        <f aca="false">IF(D2617="","",IFERROR(INDEX(I_COA!$C$6:$C$265,MATCH(D2617,I_COA!$A$6:$A$265,0)),"AKUN BARU"))</f>
        <v/>
      </c>
      <c r="L2617" s="34" t="str">
        <f aca="false">IF(K2617="LabaRugi",INDEX(I_COA!$D$6:$D$265,MATCH(D2617,I_COA!$A$6:$A$265,0)),"")</f>
        <v/>
      </c>
      <c r="M2617" s="34" t="str">
        <f aca="false">IF(K2617="Neraca",INDEX(I_COA!$E$6:$E$265,MATCH(D2617,I_COA!$A$6:$A$265,0)),"")</f>
        <v/>
      </c>
      <c r="N2617" s="34" t="str">
        <f aca="false">IF(D2617="","",IFERROR(INDEX(I_COA!$G$6:$G$265,MATCH(D2617,I_COA!$A$6:$A$265,0)),"N"))</f>
        <v/>
      </c>
      <c r="O2617" s="11" t="str">
        <f aca="false">IF(N2617="N",ABS(J2617),"")</f>
        <v/>
      </c>
      <c r="P2617" s="18" t="str">
        <f aca="false">IF(N2617="N",B2617&amp;"|"&amp;ROUND(O2617,0),"")</f>
        <v/>
      </c>
      <c r="Q2617" s="18" t="str">
        <f aca="false">IF(N2617&lt;&gt;"Y","",IFERROR(INDEX($D$6:$D$4005,MATCH(B2617&amp;"|"&amp;ROUND(_xlfn.MAXIFS($O$6:$O$4005,$B$6:$B$4005,B2617,$N$6:$N$4005,"N"),0),$P$6:$P$4005,0)),"(tanpa lawan)"))</f>
        <v/>
      </c>
      <c r="R2617" s="44"/>
      <c r="S2617" s="9" t="str">
        <f aca="false">IF(N2617&lt;&gt;"Y","",IF(R2617&lt;&gt;"",R2617,IF(Q2617="(tanpa lawan)","Transfer antar rekening",IFERROR(INDEX(I_COA!$F$6:$F$265,MATCH(Q2617,I_COA!$A$6:$A$265,0)),"?"))))</f>
        <v/>
      </c>
    </row>
    <row r="2618" customFormat="false" ht="15" hidden="false" customHeight="false" outlineLevel="0" collapsed="false">
      <c r="A2618" s="37"/>
      <c r="B2618" s="44"/>
      <c r="C2618" s="44"/>
      <c r="D2618" s="44"/>
      <c r="E2618" s="44"/>
      <c r="F2618" s="44"/>
      <c r="G2618" s="42"/>
      <c r="H2618" s="42"/>
      <c r="I2618" s="44"/>
      <c r="J2618" s="11" t="str">
        <f aca="false">IF(D2618="","",N(G2618)-N(H2618))</f>
        <v/>
      </c>
      <c r="K2618" s="34" t="str">
        <f aca="false">IF(D2618="","",IFERROR(INDEX(I_COA!$C$6:$C$265,MATCH(D2618,I_COA!$A$6:$A$265,0)),"AKUN BARU"))</f>
        <v/>
      </c>
      <c r="L2618" s="34" t="str">
        <f aca="false">IF(K2618="LabaRugi",INDEX(I_COA!$D$6:$D$265,MATCH(D2618,I_COA!$A$6:$A$265,0)),"")</f>
        <v/>
      </c>
      <c r="M2618" s="34" t="str">
        <f aca="false">IF(K2618="Neraca",INDEX(I_COA!$E$6:$E$265,MATCH(D2618,I_COA!$A$6:$A$265,0)),"")</f>
        <v/>
      </c>
      <c r="N2618" s="34" t="str">
        <f aca="false">IF(D2618="","",IFERROR(INDEX(I_COA!$G$6:$G$265,MATCH(D2618,I_COA!$A$6:$A$265,0)),"N"))</f>
        <v/>
      </c>
      <c r="O2618" s="11" t="str">
        <f aca="false">IF(N2618="N",ABS(J2618),"")</f>
        <v/>
      </c>
      <c r="P2618" s="18" t="str">
        <f aca="false">IF(N2618="N",B2618&amp;"|"&amp;ROUND(O2618,0),"")</f>
        <v/>
      </c>
      <c r="Q2618" s="18" t="str">
        <f aca="false">IF(N2618&lt;&gt;"Y","",IFERROR(INDEX($D$6:$D$4005,MATCH(B2618&amp;"|"&amp;ROUND(_xlfn.MAXIFS($O$6:$O$4005,$B$6:$B$4005,B2618,$N$6:$N$4005,"N"),0),$P$6:$P$4005,0)),"(tanpa lawan)"))</f>
        <v/>
      </c>
      <c r="R2618" s="44"/>
      <c r="S2618" s="9" t="str">
        <f aca="false">IF(N2618&lt;&gt;"Y","",IF(R2618&lt;&gt;"",R2618,IF(Q2618="(tanpa lawan)","Transfer antar rekening",IFERROR(INDEX(I_COA!$F$6:$F$265,MATCH(Q2618,I_COA!$A$6:$A$265,0)),"?"))))</f>
        <v/>
      </c>
    </row>
    <row r="2619" customFormat="false" ht="15" hidden="false" customHeight="false" outlineLevel="0" collapsed="false">
      <c r="A2619" s="37"/>
      <c r="B2619" s="44"/>
      <c r="C2619" s="44"/>
      <c r="D2619" s="44"/>
      <c r="E2619" s="44"/>
      <c r="F2619" s="44"/>
      <c r="G2619" s="42"/>
      <c r="H2619" s="42"/>
      <c r="I2619" s="44"/>
      <c r="J2619" s="11" t="str">
        <f aca="false">IF(D2619="","",N(G2619)-N(H2619))</f>
        <v/>
      </c>
      <c r="K2619" s="34" t="str">
        <f aca="false">IF(D2619="","",IFERROR(INDEX(I_COA!$C$6:$C$265,MATCH(D2619,I_COA!$A$6:$A$265,0)),"AKUN BARU"))</f>
        <v/>
      </c>
      <c r="L2619" s="34" t="str">
        <f aca="false">IF(K2619="LabaRugi",INDEX(I_COA!$D$6:$D$265,MATCH(D2619,I_COA!$A$6:$A$265,0)),"")</f>
        <v/>
      </c>
      <c r="M2619" s="34" t="str">
        <f aca="false">IF(K2619="Neraca",INDEX(I_COA!$E$6:$E$265,MATCH(D2619,I_COA!$A$6:$A$265,0)),"")</f>
        <v/>
      </c>
      <c r="N2619" s="34" t="str">
        <f aca="false">IF(D2619="","",IFERROR(INDEX(I_COA!$G$6:$G$265,MATCH(D2619,I_COA!$A$6:$A$265,0)),"N"))</f>
        <v/>
      </c>
      <c r="O2619" s="11" t="str">
        <f aca="false">IF(N2619="N",ABS(J2619),"")</f>
        <v/>
      </c>
      <c r="P2619" s="18" t="str">
        <f aca="false">IF(N2619="N",B2619&amp;"|"&amp;ROUND(O2619,0),"")</f>
        <v/>
      </c>
      <c r="Q2619" s="18" t="str">
        <f aca="false">IF(N2619&lt;&gt;"Y","",IFERROR(INDEX($D$6:$D$4005,MATCH(B2619&amp;"|"&amp;ROUND(_xlfn.MAXIFS($O$6:$O$4005,$B$6:$B$4005,B2619,$N$6:$N$4005,"N"),0),$P$6:$P$4005,0)),"(tanpa lawan)"))</f>
        <v/>
      </c>
      <c r="R2619" s="44"/>
      <c r="S2619" s="9" t="str">
        <f aca="false">IF(N2619&lt;&gt;"Y","",IF(R2619&lt;&gt;"",R2619,IF(Q2619="(tanpa lawan)","Transfer antar rekening",IFERROR(INDEX(I_COA!$F$6:$F$265,MATCH(Q2619,I_COA!$A$6:$A$265,0)),"?"))))</f>
        <v/>
      </c>
    </row>
    <row r="2620" customFormat="false" ht="15" hidden="false" customHeight="false" outlineLevel="0" collapsed="false">
      <c r="A2620" s="37"/>
      <c r="B2620" s="44"/>
      <c r="C2620" s="44"/>
      <c r="D2620" s="44"/>
      <c r="E2620" s="44"/>
      <c r="F2620" s="44"/>
      <c r="G2620" s="42"/>
      <c r="H2620" s="42"/>
      <c r="I2620" s="44"/>
      <c r="J2620" s="11" t="str">
        <f aca="false">IF(D2620="","",N(G2620)-N(H2620))</f>
        <v/>
      </c>
      <c r="K2620" s="34" t="str">
        <f aca="false">IF(D2620="","",IFERROR(INDEX(I_COA!$C$6:$C$265,MATCH(D2620,I_COA!$A$6:$A$265,0)),"AKUN BARU"))</f>
        <v/>
      </c>
      <c r="L2620" s="34" t="str">
        <f aca="false">IF(K2620="LabaRugi",INDEX(I_COA!$D$6:$D$265,MATCH(D2620,I_COA!$A$6:$A$265,0)),"")</f>
        <v/>
      </c>
      <c r="M2620" s="34" t="str">
        <f aca="false">IF(K2620="Neraca",INDEX(I_COA!$E$6:$E$265,MATCH(D2620,I_COA!$A$6:$A$265,0)),"")</f>
        <v/>
      </c>
      <c r="N2620" s="34" t="str">
        <f aca="false">IF(D2620="","",IFERROR(INDEX(I_COA!$G$6:$G$265,MATCH(D2620,I_COA!$A$6:$A$265,0)),"N"))</f>
        <v/>
      </c>
      <c r="O2620" s="11" t="str">
        <f aca="false">IF(N2620="N",ABS(J2620),"")</f>
        <v/>
      </c>
      <c r="P2620" s="18" t="str">
        <f aca="false">IF(N2620="N",B2620&amp;"|"&amp;ROUND(O2620,0),"")</f>
        <v/>
      </c>
      <c r="Q2620" s="18" t="str">
        <f aca="false">IF(N2620&lt;&gt;"Y","",IFERROR(INDEX($D$6:$D$4005,MATCH(B2620&amp;"|"&amp;ROUND(_xlfn.MAXIFS($O$6:$O$4005,$B$6:$B$4005,B2620,$N$6:$N$4005,"N"),0),$P$6:$P$4005,0)),"(tanpa lawan)"))</f>
        <v/>
      </c>
      <c r="R2620" s="44"/>
      <c r="S2620" s="9" t="str">
        <f aca="false">IF(N2620&lt;&gt;"Y","",IF(R2620&lt;&gt;"",R2620,IF(Q2620="(tanpa lawan)","Transfer antar rekening",IFERROR(INDEX(I_COA!$F$6:$F$265,MATCH(Q2620,I_COA!$A$6:$A$265,0)),"?"))))</f>
        <v/>
      </c>
    </row>
    <row r="2621" customFormat="false" ht="15" hidden="false" customHeight="false" outlineLevel="0" collapsed="false">
      <c r="A2621" s="37"/>
      <c r="B2621" s="44"/>
      <c r="C2621" s="44"/>
      <c r="D2621" s="44"/>
      <c r="E2621" s="44"/>
      <c r="F2621" s="44"/>
      <c r="G2621" s="42"/>
      <c r="H2621" s="42"/>
      <c r="I2621" s="44"/>
      <c r="J2621" s="11" t="str">
        <f aca="false">IF(D2621="","",N(G2621)-N(H2621))</f>
        <v/>
      </c>
      <c r="K2621" s="34" t="str">
        <f aca="false">IF(D2621="","",IFERROR(INDEX(I_COA!$C$6:$C$265,MATCH(D2621,I_COA!$A$6:$A$265,0)),"AKUN BARU"))</f>
        <v/>
      </c>
      <c r="L2621" s="34" t="str">
        <f aca="false">IF(K2621="LabaRugi",INDEX(I_COA!$D$6:$D$265,MATCH(D2621,I_COA!$A$6:$A$265,0)),"")</f>
        <v/>
      </c>
      <c r="M2621" s="34" t="str">
        <f aca="false">IF(K2621="Neraca",INDEX(I_COA!$E$6:$E$265,MATCH(D2621,I_COA!$A$6:$A$265,0)),"")</f>
        <v/>
      </c>
      <c r="N2621" s="34" t="str">
        <f aca="false">IF(D2621="","",IFERROR(INDEX(I_COA!$G$6:$G$265,MATCH(D2621,I_COA!$A$6:$A$265,0)),"N"))</f>
        <v/>
      </c>
      <c r="O2621" s="11" t="str">
        <f aca="false">IF(N2621="N",ABS(J2621),"")</f>
        <v/>
      </c>
      <c r="P2621" s="18" t="str">
        <f aca="false">IF(N2621="N",B2621&amp;"|"&amp;ROUND(O2621,0),"")</f>
        <v/>
      </c>
      <c r="Q2621" s="18" t="str">
        <f aca="false">IF(N2621&lt;&gt;"Y","",IFERROR(INDEX($D$6:$D$4005,MATCH(B2621&amp;"|"&amp;ROUND(_xlfn.MAXIFS($O$6:$O$4005,$B$6:$B$4005,B2621,$N$6:$N$4005,"N"),0),$P$6:$P$4005,0)),"(tanpa lawan)"))</f>
        <v/>
      </c>
      <c r="R2621" s="44"/>
      <c r="S2621" s="9" t="str">
        <f aca="false">IF(N2621&lt;&gt;"Y","",IF(R2621&lt;&gt;"",R2621,IF(Q2621="(tanpa lawan)","Transfer antar rekening",IFERROR(INDEX(I_COA!$F$6:$F$265,MATCH(Q2621,I_COA!$A$6:$A$265,0)),"?"))))</f>
        <v/>
      </c>
    </row>
    <row r="2622" customFormat="false" ht="15" hidden="false" customHeight="false" outlineLevel="0" collapsed="false">
      <c r="A2622" s="37"/>
      <c r="B2622" s="44"/>
      <c r="C2622" s="44"/>
      <c r="D2622" s="44"/>
      <c r="E2622" s="44"/>
      <c r="F2622" s="44"/>
      <c r="G2622" s="42"/>
      <c r="H2622" s="42"/>
      <c r="I2622" s="44"/>
      <c r="J2622" s="11" t="str">
        <f aca="false">IF(D2622="","",N(G2622)-N(H2622))</f>
        <v/>
      </c>
      <c r="K2622" s="34" t="str">
        <f aca="false">IF(D2622="","",IFERROR(INDEX(I_COA!$C$6:$C$265,MATCH(D2622,I_COA!$A$6:$A$265,0)),"AKUN BARU"))</f>
        <v/>
      </c>
      <c r="L2622" s="34" t="str">
        <f aca="false">IF(K2622="LabaRugi",INDEX(I_COA!$D$6:$D$265,MATCH(D2622,I_COA!$A$6:$A$265,0)),"")</f>
        <v/>
      </c>
      <c r="M2622" s="34" t="str">
        <f aca="false">IF(K2622="Neraca",INDEX(I_COA!$E$6:$E$265,MATCH(D2622,I_COA!$A$6:$A$265,0)),"")</f>
        <v/>
      </c>
      <c r="N2622" s="34" t="str">
        <f aca="false">IF(D2622="","",IFERROR(INDEX(I_COA!$G$6:$G$265,MATCH(D2622,I_COA!$A$6:$A$265,0)),"N"))</f>
        <v/>
      </c>
      <c r="O2622" s="11" t="str">
        <f aca="false">IF(N2622="N",ABS(J2622),"")</f>
        <v/>
      </c>
      <c r="P2622" s="18" t="str">
        <f aca="false">IF(N2622="N",B2622&amp;"|"&amp;ROUND(O2622,0),"")</f>
        <v/>
      </c>
      <c r="Q2622" s="18" t="str">
        <f aca="false">IF(N2622&lt;&gt;"Y","",IFERROR(INDEX($D$6:$D$4005,MATCH(B2622&amp;"|"&amp;ROUND(_xlfn.MAXIFS($O$6:$O$4005,$B$6:$B$4005,B2622,$N$6:$N$4005,"N"),0),$P$6:$P$4005,0)),"(tanpa lawan)"))</f>
        <v/>
      </c>
      <c r="R2622" s="44"/>
      <c r="S2622" s="9" t="str">
        <f aca="false">IF(N2622&lt;&gt;"Y","",IF(R2622&lt;&gt;"",R2622,IF(Q2622="(tanpa lawan)","Transfer antar rekening",IFERROR(INDEX(I_COA!$F$6:$F$265,MATCH(Q2622,I_COA!$A$6:$A$265,0)),"?"))))</f>
        <v/>
      </c>
    </row>
    <row r="2623" customFormat="false" ht="15" hidden="false" customHeight="false" outlineLevel="0" collapsed="false">
      <c r="A2623" s="37"/>
      <c r="B2623" s="44"/>
      <c r="C2623" s="44"/>
      <c r="D2623" s="44"/>
      <c r="E2623" s="44"/>
      <c r="F2623" s="44"/>
      <c r="G2623" s="42"/>
      <c r="H2623" s="42"/>
      <c r="I2623" s="44"/>
      <c r="J2623" s="11" t="str">
        <f aca="false">IF(D2623="","",N(G2623)-N(H2623))</f>
        <v/>
      </c>
      <c r="K2623" s="34" t="str">
        <f aca="false">IF(D2623="","",IFERROR(INDEX(I_COA!$C$6:$C$265,MATCH(D2623,I_COA!$A$6:$A$265,0)),"AKUN BARU"))</f>
        <v/>
      </c>
      <c r="L2623" s="34" t="str">
        <f aca="false">IF(K2623="LabaRugi",INDEX(I_COA!$D$6:$D$265,MATCH(D2623,I_COA!$A$6:$A$265,0)),"")</f>
        <v/>
      </c>
      <c r="M2623" s="34" t="str">
        <f aca="false">IF(K2623="Neraca",INDEX(I_COA!$E$6:$E$265,MATCH(D2623,I_COA!$A$6:$A$265,0)),"")</f>
        <v/>
      </c>
      <c r="N2623" s="34" t="str">
        <f aca="false">IF(D2623="","",IFERROR(INDEX(I_COA!$G$6:$G$265,MATCH(D2623,I_COA!$A$6:$A$265,0)),"N"))</f>
        <v/>
      </c>
      <c r="O2623" s="11" t="str">
        <f aca="false">IF(N2623="N",ABS(J2623),"")</f>
        <v/>
      </c>
      <c r="P2623" s="18" t="str">
        <f aca="false">IF(N2623="N",B2623&amp;"|"&amp;ROUND(O2623,0),"")</f>
        <v/>
      </c>
      <c r="Q2623" s="18" t="str">
        <f aca="false">IF(N2623&lt;&gt;"Y","",IFERROR(INDEX($D$6:$D$4005,MATCH(B2623&amp;"|"&amp;ROUND(_xlfn.MAXIFS($O$6:$O$4005,$B$6:$B$4005,B2623,$N$6:$N$4005,"N"),0),$P$6:$P$4005,0)),"(tanpa lawan)"))</f>
        <v/>
      </c>
      <c r="R2623" s="44"/>
      <c r="S2623" s="9" t="str">
        <f aca="false">IF(N2623&lt;&gt;"Y","",IF(R2623&lt;&gt;"",R2623,IF(Q2623="(tanpa lawan)","Transfer antar rekening",IFERROR(INDEX(I_COA!$F$6:$F$265,MATCH(Q2623,I_COA!$A$6:$A$265,0)),"?"))))</f>
        <v/>
      </c>
    </row>
    <row r="2624" customFormat="false" ht="15" hidden="false" customHeight="false" outlineLevel="0" collapsed="false">
      <c r="A2624" s="37"/>
      <c r="B2624" s="44"/>
      <c r="C2624" s="44"/>
      <c r="D2624" s="44"/>
      <c r="E2624" s="44"/>
      <c r="F2624" s="44"/>
      <c r="G2624" s="42"/>
      <c r="H2624" s="42"/>
      <c r="I2624" s="44"/>
      <c r="J2624" s="11" t="str">
        <f aca="false">IF(D2624="","",N(G2624)-N(H2624))</f>
        <v/>
      </c>
      <c r="K2624" s="34" t="str">
        <f aca="false">IF(D2624="","",IFERROR(INDEX(I_COA!$C$6:$C$265,MATCH(D2624,I_COA!$A$6:$A$265,0)),"AKUN BARU"))</f>
        <v/>
      </c>
      <c r="L2624" s="34" t="str">
        <f aca="false">IF(K2624="LabaRugi",INDEX(I_COA!$D$6:$D$265,MATCH(D2624,I_COA!$A$6:$A$265,0)),"")</f>
        <v/>
      </c>
      <c r="M2624" s="34" t="str">
        <f aca="false">IF(K2624="Neraca",INDEX(I_COA!$E$6:$E$265,MATCH(D2624,I_COA!$A$6:$A$265,0)),"")</f>
        <v/>
      </c>
      <c r="N2624" s="34" t="str">
        <f aca="false">IF(D2624="","",IFERROR(INDEX(I_COA!$G$6:$G$265,MATCH(D2624,I_COA!$A$6:$A$265,0)),"N"))</f>
        <v/>
      </c>
      <c r="O2624" s="11" t="str">
        <f aca="false">IF(N2624="N",ABS(J2624),"")</f>
        <v/>
      </c>
      <c r="P2624" s="18" t="str">
        <f aca="false">IF(N2624="N",B2624&amp;"|"&amp;ROUND(O2624,0),"")</f>
        <v/>
      </c>
      <c r="Q2624" s="18" t="str">
        <f aca="false">IF(N2624&lt;&gt;"Y","",IFERROR(INDEX($D$6:$D$4005,MATCH(B2624&amp;"|"&amp;ROUND(_xlfn.MAXIFS($O$6:$O$4005,$B$6:$B$4005,B2624,$N$6:$N$4005,"N"),0),$P$6:$P$4005,0)),"(tanpa lawan)"))</f>
        <v/>
      </c>
      <c r="R2624" s="44"/>
      <c r="S2624" s="9" t="str">
        <f aca="false">IF(N2624&lt;&gt;"Y","",IF(R2624&lt;&gt;"",R2624,IF(Q2624="(tanpa lawan)","Transfer antar rekening",IFERROR(INDEX(I_COA!$F$6:$F$265,MATCH(Q2624,I_COA!$A$6:$A$265,0)),"?"))))</f>
        <v/>
      </c>
    </row>
    <row r="2625" customFormat="false" ht="15" hidden="false" customHeight="false" outlineLevel="0" collapsed="false">
      <c r="A2625" s="37"/>
      <c r="B2625" s="44"/>
      <c r="C2625" s="44"/>
      <c r="D2625" s="44"/>
      <c r="E2625" s="44"/>
      <c r="F2625" s="44"/>
      <c r="G2625" s="42"/>
      <c r="H2625" s="42"/>
      <c r="I2625" s="44"/>
      <c r="J2625" s="11" t="str">
        <f aca="false">IF(D2625="","",N(G2625)-N(H2625))</f>
        <v/>
      </c>
      <c r="K2625" s="34" t="str">
        <f aca="false">IF(D2625="","",IFERROR(INDEX(I_COA!$C$6:$C$265,MATCH(D2625,I_COA!$A$6:$A$265,0)),"AKUN BARU"))</f>
        <v/>
      </c>
      <c r="L2625" s="34" t="str">
        <f aca="false">IF(K2625="LabaRugi",INDEX(I_COA!$D$6:$D$265,MATCH(D2625,I_COA!$A$6:$A$265,0)),"")</f>
        <v/>
      </c>
      <c r="M2625" s="34" t="str">
        <f aca="false">IF(K2625="Neraca",INDEX(I_COA!$E$6:$E$265,MATCH(D2625,I_COA!$A$6:$A$265,0)),"")</f>
        <v/>
      </c>
      <c r="N2625" s="34" t="str">
        <f aca="false">IF(D2625="","",IFERROR(INDEX(I_COA!$G$6:$G$265,MATCH(D2625,I_COA!$A$6:$A$265,0)),"N"))</f>
        <v/>
      </c>
      <c r="O2625" s="11" t="str">
        <f aca="false">IF(N2625="N",ABS(J2625),"")</f>
        <v/>
      </c>
      <c r="P2625" s="18" t="str">
        <f aca="false">IF(N2625="N",B2625&amp;"|"&amp;ROUND(O2625,0),"")</f>
        <v/>
      </c>
      <c r="Q2625" s="18" t="str">
        <f aca="false">IF(N2625&lt;&gt;"Y","",IFERROR(INDEX($D$6:$D$4005,MATCH(B2625&amp;"|"&amp;ROUND(_xlfn.MAXIFS($O$6:$O$4005,$B$6:$B$4005,B2625,$N$6:$N$4005,"N"),0),$P$6:$P$4005,0)),"(tanpa lawan)"))</f>
        <v/>
      </c>
      <c r="R2625" s="44"/>
      <c r="S2625" s="9" t="str">
        <f aca="false">IF(N2625&lt;&gt;"Y","",IF(R2625&lt;&gt;"",R2625,IF(Q2625="(tanpa lawan)","Transfer antar rekening",IFERROR(INDEX(I_COA!$F$6:$F$265,MATCH(Q2625,I_COA!$A$6:$A$265,0)),"?"))))</f>
        <v/>
      </c>
    </row>
    <row r="2626" customFormat="false" ht="15" hidden="false" customHeight="false" outlineLevel="0" collapsed="false">
      <c r="A2626" s="37"/>
      <c r="B2626" s="44"/>
      <c r="C2626" s="44"/>
      <c r="D2626" s="44"/>
      <c r="E2626" s="44"/>
      <c r="F2626" s="44"/>
      <c r="G2626" s="42"/>
      <c r="H2626" s="42"/>
      <c r="I2626" s="44"/>
      <c r="J2626" s="11" t="str">
        <f aca="false">IF(D2626="","",N(G2626)-N(H2626))</f>
        <v/>
      </c>
      <c r="K2626" s="34" t="str">
        <f aca="false">IF(D2626="","",IFERROR(INDEX(I_COA!$C$6:$C$265,MATCH(D2626,I_COA!$A$6:$A$265,0)),"AKUN BARU"))</f>
        <v/>
      </c>
      <c r="L2626" s="34" t="str">
        <f aca="false">IF(K2626="LabaRugi",INDEX(I_COA!$D$6:$D$265,MATCH(D2626,I_COA!$A$6:$A$265,0)),"")</f>
        <v/>
      </c>
      <c r="M2626" s="34" t="str">
        <f aca="false">IF(K2626="Neraca",INDEX(I_COA!$E$6:$E$265,MATCH(D2626,I_COA!$A$6:$A$265,0)),"")</f>
        <v/>
      </c>
      <c r="N2626" s="34" t="str">
        <f aca="false">IF(D2626="","",IFERROR(INDEX(I_COA!$G$6:$G$265,MATCH(D2626,I_COA!$A$6:$A$265,0)),"N"))</f>
        <v/>
      </c>
      <c r="O2626" s="11" t="str">
        <f aca="false">IF(N2626="N",ABS(J2626),"")</f>
        <v/>
      </c>
      <c r="P2626" s="18" t="str">
        <f aca="false">IF(N2626="N",B2626&amp;"|"&amp;ROUND(O2626,0),"")</f>
        <v/>
      </c>
      <c r="Q2626" s="18" t="str">
        <f aca="false">IF(N2626&lt;&gt;"Y","",IFERROR(INDEX($D$6:$D$4005,MATCH(B2626&amp;"|"&amp;ROUND(_xlfn.MAXIFS($O$6:$O$4005,$B$6:$B$4005,B2626,$N$6:$N$4005,"N"),0),$P$6:$P$4005,0)),"(tanpa lawan)"))</f>
        <v/>
      </c>
      <c r="R2626" s="44"/>
      <c r="S2626" s="9" t="str">
        <f aca="false">IF(N2626&lt;&gt;"Y","",IF(R2626&lt;&gt;"",R2626,IF(Q2626="(tanpa lawan)","Transfer antar rekening",IFERROR(INDEX(I_COA!$F$6:$F$265,MATCH(Q2626,I_COA!$A$6:$A$265,0)),"?"))))</f>
        <v/>
      </c>
    </row>
    <row r="2627" customFormat="false" ht="15" hidden="false" customHeight="false" outlineLevel="0" collapsed="false">
      <c r="A2627" s="37"/>
      <c r="B2627" s="44"/>
      <c r="C2627" s="44"/>
      <c r="D2627" s="44"/>
      <c r="E2627" s="44"/>
      <c r="F2627" s="44"/>
      <c r="G2627" s="42"/>
      <c r="H2627" s="42"/>
      <c r="I2627" s="44"/>
      <c r="J2627" s="11" t="str">
        <f aca="false">IF(D2627="","",N(G2627)-N(H2627))</f>
        <v/>
      </c>
      <c r="K2627" s="34" t="str">
        <f aca="false">IF(D2627="","",IFERROR(INDEX(I_COA!$C$6:$C$265,MATCH(D2627,I_COA!$A$6:$A$265,0)),"AKUN BARU"))</f>
        <v/>
      </c>
      <c r="L2627" s="34" t="str">
        <f aca="false">IF(K2627="LabaRugi",INDEX(I_COA!$D$6:$D$265,MATCH(D2627,I_COA!$A$6:$A$265,0)),"")</f>
        <v/>
      </c>
      <c r="M2627" s="34" t="str">
        <f aca="false">IF(K2627="Neraca",INDEX(I_COA!$E$6:$E$265,MATCH(D2627,I_COA!$A$6:$A$265,0)),"")</f>
        <v/>
      </c>
      <c r="N2627" s="34" t="str">
        <f aca="false">IF(D2627="","",IFERROR(INDEX(I_COA!$G$6:$G$265,MATCH(D2627,I_COA!$A$6:$A$265,0)),"N"))</f>
        <v/>
      </c>
      <c r="O2627" s="11" t="str">
        <f aca="false">IF(N2627="N",ABS(J2627),"")</f>
        <v/>
      </c>
      <c r="P2627" s="18" t="str">
        <f aca="false">IF(N2627="N",B2627&amp;"|"&amp;ROUND(O2627,0),"")</f>
        <v/>
      </c>
      <c r="Q2627" s="18" t="str">
        <f aca="false">IF(N2627&lt;&gt;"Y","",IFERROR(INDEX($D$6:$D$4005,MATCH(B2627&amp;"|"&amp;ROUND(_xlfn.MAXIFS($O$6:$O$4005,$B$6:$B$4005,B2627,$N$6:$N$4005,"N"),0),$P$6:$P$4005,0)),"(tanpa lawan)"))</f>
        <v/>
      </c>
      <c r="R2627" s="44"/>
      <c r="S2627" s="9" t="str">
        <f aca="false">IF(N2627&lt;&gt;"Y","",IF(R2627&lt;&gt;"",R2627,IF(Q2627="(tanpa lawan)","Transfer antar rekening",IFERROR(INDEX(I_COA!$F$6:$F$265,MATCH(Q2627,I_COA!$A$6:$A$265,0)),"?"))))</f>
        <v/>
      </c>
    </row>
    <row r="2628" customFormat="false" ht="15" hidden="false" customHeight="false" outlineLevel="0" collapsed="false">
      <c r="A2628" s="37"/>
      <c r="B2628" s="44"/>
      <c r="C2628" s="44"/>
      <c r="D2628" s="44"/>
      <c r="E2628" s="44"/>
      <c r="F2628" s="44"/>
      <c r="G2628" s="42"/>
      <c r="H2628" s="42"/>
      <c r="I2628" s="44"/>
      <c r="J2628" s="11" t="str">
        <f aca="false">IF(D2628="","",N(G2628)-N(H2628))</f>
        <v/>
      </c>
      <c r="K2628" s="34" t="str">
        <f aca="false">IF(D2628="","",IFERROR(INDEX(I_COA!$C$6:$C$265,MATCH(D2628,I_COA!$A$6:$A$265,0)),"AKUN BARU"))</f>
        <v/>
      </c>
      <c r="L2628" s="34" t="str">
        <f aca="false">IF(K2628="LabaRugi",INDEX(I_COA!$D$6:$D$265,MATCH(D2628,I_COA!$A$6:$A$265,0)),"")</f>
        <v/>
      </c>
      <c r="M2628" s="34" t="str">
        <f aca="false">IF(K2628="Neraca",INDEX(I_COA!$E$6:$E$265,MATCH(D2628,I_COA!$A$6:$A$265,0)),"")</f>
        <v/>
      </c>
      <c r="N2628" s="34" t="str">
        <f aca="false">IF(D2628="","",IFERROR(INDEX(I_COA!$G$6:$G$265,MATCH(D2628,I_COA!$A$6:$A$265,0)),"N"))</f>
        <v/>
      </c>
      <c r="O2628" s="11" t="str">
        <f aca="false">IF(N2628="N",ABS(J2628),"")</f>
        <v/>
      </c>
      <c r="P2628" s="18" t="str">
        <f aca="false">IF(N2628="N",B2628&amp;"|"&amp;ROUND(O2628,0),"")</f>
        <v/>
      </c>
      <c r="Q2628" s="18" t="str">
        <f aca="false">IF(N2628&lt;&gt;"Y","",IFERROR(INDEX($D$6:$D$4005,MATCH(B2628&amp;"|"&amp;ROUND(_xlfn.MAXIFS($O$6:$O$4005,$B$6:$B$4005,B2628,$N$6:$N$4005,"N"),0),$P$6:$P$4005,0)),"(tanpa lawan)"))</f>
        <v/>
      </c>
      <c r="R2628" s="44"/>
      <c r="S2628" s="9" t="str">
        <f aca="false">IF(N2628&lt;&gt;"Y","",IF(R2628&lt;&gt;"",R2628,IF(Q2628="(tanpa lawan)","Transfer antar rekening",IFERROR(INDEX(I_COA!$F$6:$F$265,MATCH(Q2628,I_COA!$A$6:$A$265,0)),"?"))))</f>
        <v/>
      </c>
    </row>
    <row r="2629" customFormat="false" ht="15" hidden="false" customHeight="false" outlineLevel="0" collapsed="false">
      <c r="A2629" s="37"/>
      <c r="B2629" s="44"/>
      <c r="C2629" s="44"/>
      <c r="D2629" s="44"/>
      <c r="E2629" s="44"/>
      <c r="F2629" s="44"/>
      <c r="G2629" s="42"/>
      <c r="H2629" s="42"/>
      <c r="I2629" s="44"/>
      <c r="J2629" s="11" t="str">
        <f aca="false">IF(D2629="","",N(G2629)-N(H2629))</f>
        <v/>
      </c>
      <c r="K2629" s="34" t="str">
        <f aca="false">IF(D2629="","",IFERROR(INDEX(I_COA!$C$6:$C$265,MATCH(D2629,I_COA!$A$6:$A$265,0)),"AKUN BARU"))</f>
        <v/>
      </c>
      <c r="L2629" s="34" t="str">
        <f aca="false">IF(K2629="LabaRugi",INDEX(I_COA!$D$6:$D$265,MATCH(D2629,I_COA!$A$6:$A$265,0)),"")</f>
        <v/>
      </c>
      <c r="M2629" s="34" t="str">
        <f aca="false">IF(K2629="Neraca",INDEX(I_COA!$E$6:$E$265,MATCH(D2629,I_COA!$A$6:$A$265,0)),"")</f>
        <v/>
      </c>
      <c r="N2629" s="34" t="str">
        <f aca="false">IF(D2629="","",IFERROR(INDEX(I_COA!$G$6:$G$265,MATCH(D2629,I_COA!$A$6:$A$265,0)),"N"))</f>
        <v/>
      </c>
      <c r="O2629" s="11" t="str">
        <f aca="false">IF(N2629="N",ABS(J2629),"")</f>
        <v/>
      </c>
      <c r="P2629" s="18" t="str">
        <f aca="false">IF(N2629="N",B2629&amp;"|"&amp;ROUND(O2629,0),"")</f>
        <v/>
      </c>
      <c r="Q2629" s="18" t="str">
        <f aca="false">IF(N2629&lt;&gt;"Y","",IFERROR(INDEX($D$6:$D$4005,MATCH(B2629&amp;"|"&amp;ROUND(_xlfn.MAXIFS($O$6:$O$4005,$B$6:$B$4005,B2629,$N$6:$N$4005,"N"),0),$P$6:$P$4005,0)),"(tanpa lawan)"))</f>
        <v/>
      </c>
      <c r="R2629" s="44"/>
      <c r="S2629" s="9" t="str">
        <f aca="false">IF(N2629&lt;&gt;"Y","",IF(R2629&lt;&gt;"",R2629,IF(Q2629="(tanpa lawan)","Transfer antar rekening",IFERROR(INDEX(I_COA!$F$6:$F$265,MATCH(Q2629,I_COA!$A$6:$A$265,0)),"?"))))</f>
        <v/>
      </c>
    </row>
    <row r="2630" customFormat="false" ht="15" hidden="false" customHeight="false" outlineLevel="0" collapsed="false">
      <c r="A2630" s="37"/>
      <c r="B2630" s="44"/>
      <c r="C2630" s="44"/>
      <c r="D2630" s="44"/>
      <c r="E2630" s="44"/>
      <c r="F2630" s="44"/>
      <c r="G2630" s="42"/>
      <c r="H2630" s="42"/>
      <c r="I2630" s="44"/>
      <c r="J2630" s="11" t="str">
        <f aca="false">IF(D2630="","",N(G2630)-N(H2630))</f>
        <v/>
      </c>
      <c r="K2630" s="34" t="str">
        <f aca="false">IF(D2630="","",IFERROR(INDEX(I_COA!$C$6:$C$265,MATCH(D2630,I_COA!$A$6:$A$265,0)),"AKUN BARU"))</f>
        <v/>
      </c>
      <c r="L2630" s="34" t="str">
        <f aca="false">IF(K2630="LabaRugi",INDEX(I_COA!$D$6:$D$265,MATCH(D2630,I_COA!$A$6:$A$265,0)),"")</f>
        <v/>
      </c>
      <c r="M2630" s="34" t="str">
        <f aca="false">IF(K2630="Neraca",INDEX(I_COA!$E$6:$E$265,MATCH(D2630,I_COA!$A$6:$A$265,0)),"")</f>
        <v/>
      </c>
      <c r="N2630" s="34" t="str">
        <f aca="false">IF(D2630="","",IFERROR(INDEX(I_COA!$G$6:$G$265,MATCH(D2630,I_COA!$A$6:$A$265,0)),"N"))</f>
        <v/>
      </c>
      <c r="O2630" s="11" t="str">
        <f aca="false">IF(N2630="N",ABS(J2630),"")</f>
        <v/>
      </c>
      <c r="P2630" s="18" t="str">
        <f aca="false">IF(N2630="N",B2630&amp;"|"&amp;ROUND(O2630,0),"")</f>
        <v/>
      </c>
      <c r="Q2630" s="18" t="str">
        <f aca="false">IF(N2630&lt;&gt;"Y","",IFERROR(INDEX($D$6:$D$4005,MATCH(B2630&amp;"|"&amp;ROUND(_xlfn.MAXIFS($O$6:$O$4005,$B$6:$B$4005,B2630,$N$6:$N$4005,"N"),0),$P$6:$P$4005,0)),"(tanpa lawan)"))</f>
        <v/>
      </c>
      <c r="R2630" s="44"/>
      <c r="S2630" s="9" t="str">
        <f aca="false">IF(N2630&lt;&gt;"Y","",IF(R2630&lt;&gt;"",R2630,IF(Q2630="(tanpa lawan)","Transfer antar rekening",IFERROR(INDEX(I_COA!$F$6:$F$265,MATCH(Q2630,I_COA!$A$6:$A$265,0)),"?"))))</f>
        <v/>
      </c>
    </row>
    <row r="2631" customFormat="false" ht="15" hidden="false" customHeight="false" outlineLevel="0" collapsed="false">
      <c r="A2631" s="37"/>
      <c r="B2631" s="44"/>
      <c r="C2631" s="44"/>
      <c r="D2631" s="44"/>
      <c r="E2631" s="44"/>
      <c r="F2631" s="44"/>
      <c r="G2631" s="42"/>
      <c r="H2631" s="42"/>
      <c r="I2631" s="44"/>
      <c r="J2631" s="11" t="str">
        <f aca="false">IF(D2631="","",N(G2631)-N(H2631))</f>
        <v/>
      </c>
      <c r="K2631" s="34" t="str">
        <f aca="false">IF(D2631="","",IFERROR(INDEX(I_COA!$C$6:$C$265,MATCH(D2631,I_COA!$A$6:$A$265,0)),"AKUN BARU"))</f>
        <v/>
      </c>
      <c r="L2631" s="34" t="str">
        <f aca="false">IF(K2631="LabaRugi",INDEX(I_COA!$D$6:$D$265,MATCH(D2631,I_COA!$A$6:$A$265,0)),"")</f>
        <v/>
      </c>
      <c r="M2631" s="34" t="str">
        <f aca="false">IF(K2631="Neraca",INDEX(I_COA!$E$6:$E$265,MATCH(D2631,I_COA!$A$6:$A$265,0)),"")</f>
        <v/>
      </c>
      <c r="N2631" s="34" t="str">
        <f aca="false">IF(D2631="","",IFERROR(INDEX(I_COA!$G$6:$G$265,MATCH(D2631,I_COA!$A$6:$A$265,0)),"N"))</f>
        <v/>
      </c>
      <c r="O2631" s="11" t="str">
        <f aca="false">IF(N2631="N",ABS(J2631),"")</f>
        <v/>
      </c>
      <c r="P2631" s="18" t="str">
        <f aca="false">IF(N2631="N",B2631&amp;"|"&amp;ROUND(O2631,0),"")</f>
        <v/>
      </c>
      <c r="Q2631" s="18" t="str">
        <f aca="false">IF(N2631&lt;&gt;"Y","",IFERROR(INDEX($D$6:$D$4005,MATCH(B2631&amp;"|"&amp;ROUND(_xlfn.MAXIFS($O$6:$O$4005,$B$6:$B$4005,B2631,$N$6:$N$4005,"N"),0),$P$6:$P$4005,0)),"(tanpa lawan)"))</f>
        <v/>
      </c>
      <c r="R2631" s="44"/>
      <c r="S2631" s="9" t="str">
        <f aca="false">IF(N2631&lt;&gt;"Y","",IF(R2631&lt;&gt;"",R2631,IF(Q2631="(tanpa lawan)","Transfer antar rekening",IFERROR(INDEX(I_COA!$F$6:$F$265,MATCH(Q2631,I_COA!$A$6:$A$265,0)),"?"))))</f>
        <v/>
      </c>
    </row>
    <row r="2632" customFormat="false" ht="15" hidden="false" customHeight="false" outlineLevel="0" collapsed="false">
      <c r="A2632" s="37"/>
      <c r="B2632" s="44"/>
      <c r="C2632" s="44"/>
      <c r="D2632" s="44"/>
      <c r="E2632" s="44"/>
      <c r="F2632" s="44"/>
      <c r="G2632" s="42"/>
      <c r="H2632" s="42"/>
      <c r="I2632" s="44"/>
      <c r="J2632" s="11" t="str">
        <f aca="false">IF(D2632="","",N(G2632)-N(H2632))</f>
        <v/>
      </c>
      <c r="K2632" s="34" t="str">
        <f aca="false">IF(D2632="","",IFERROR(INDEX(I_COA!$C$6:$C$265,MATCH(D2632,I_COA!$A$6:$A$265,0)),"AKUN BARU"))</f>
        <v/>
      </c>
      <c r="L2632" s="34" t="str">
        <f aca="false">IF(K2632="LabaRugi",INDEX(I_COA!$D$6:$D$265,MATCH(D2632,I_COA!$A$6:$A$265,0)),"")</f>
        <v/>
      </c>
      <c r="M2632" s="34" t="str">
        <f aca="false">IF(K2632="Neraca",INDEX(I_COA!$E$6:$E$265,MATCH(D2632,I_COA!$A$6:$A$265,0)),"")</f>
        <v/>
      </c>
      <c r="N2632" s="34" t="str">
        <f aca="false">IF(D2632="","",IFERROR(INDEX(I_COA!$G$6:$G$265,MATCH(D2632,I_COA!$A$6:$A$265,0)),"N"))</f>
        <v/>
      </c>
      <c r="O2632" s="11" t="str">
        <f aca="false">IF(N2632="N",ABS(J2632),"")</f>
        <v/>
      </c>
      <c r="P2632" s="18" t="str">
        <f aca="false">IF(N2632="N",B2632&amp;"|"&amp;ROUND(O2632,0),"")</f>
        <v/>
      </c>
      <c r="Q2632" s="18" t="str">
        <f aca="false">IF(N2632&lt;&gt;"Y","",IFERROR(INDEX($D$6:$D$4005,MATCH(B2632&amp;"|"&amp;ROUND(_xlfn.MAXIFS($O$6:$O$4005,$B$6:$B$4005,B2632,$N$6:$N$4005,"N"),0),$P$6:$P$4005,0)),"(tanpa lawan)"))</f>
        <v/>
      </c>
      <c r="R2632" s="44"/>
      <c r="S2632" s="9" t="str">
        <f aca="false">IF(N2632&lt;&gt;"Y","",IF(R2632&lt;&gt;"",R2632,IF(Q2632="(tanpa lawan)","Transfer antar rekening",IFERROR(INDEX(I_COA!$F$6:$F$265,MATCH(Q2632,I_COA!$A$6:$A$265,0)),"?"))))</f>
        <v/>
      </c>
    </row>
    <row r="2633" customFormat="false" ht="15" hidden="false" customHeight="false" outlineLevel="0" collapsed="false">
      <c r="A2633" s="37"/>
      <c r="B2633" s="44"/>
      <c r="C2633" s="44"/>
      <c r="D2633" s="44"/>
      <c r="E2633" s="44"/>
      <c r="F2633" s="44"/>
      <c r="G2633" s="42"/>
      <c r="H2633" s="42"/>
      <c r="I2633" s="44"/>
      <c r="J2633" s="11" t="str">
        <f aca="false">IF(D2633="","",N(G2633)-N(H2633))</f>
        <v/>
      </c>
      <c r="K2633" s="34" t="str">
        <f aca="false">IF(D2633="","",IFERROR(INDEX(I_COA!$C$6:$C$265,MATCH(D2633,I_COA!$A$6:$A$265,0)),"AKUN BARU"))</f>
        <v/>
      </c>
      <c r="L2633" s="34" t="str">
        <f aca="false">IF(K2633="LabaRugi",INDEX(I_COA!$D$6:$D$265,MATCH(D2633,I_COA!$A$6:$A$265,0)),"")</f>
        <v/>
      </c>
      <c r="M2633" s="34" t="str">
        <f aca="false">IF(K2633="Neraca",INDEX(I_COA!$E$6:$E$265,MATCH(D2633,I_COA!$A$6:$A$265,0)),"")</f>
        <v/>
      </c>
      <c r="N2633" s="34" t="str">
        <f aca="false">IF(D2633="","",IFERROR(INDEX(I_COA!$G$6:$G$265,MATCH(D2633,I_COA!$A$6:$A$265,0)),"N"))</f>
        <v/>
      </c>
      <c r="O2633" s="11" t="str">
        <f aca="false">IF(N2633="N",ABS(J2633),"")</f>
        <v/>
      </c>
      <c r="P2633" s="18" t="str">
        <f aca="false">IF(N2633="N",B2633&amp;"|"&amp;ROUND(O2633,0),"")</f>
        <v/>
      </c>
      <c r="Q2633" s="18" t="str">
        <f aca="false">IF(N2633&lt;&gt;"Y","",IFERROR(INDEX($D$6:$D$4005,MATCH(B2633&amp;"|"&amp;ROUND(_xlfn.MAXIFS($O$6:$O$4005,$B$6:$B$4005,B2633,$N$6:$N$4005,"N"),0),$P$6:$P$4005,0)),"(tanpa lawan)"))</f>
        <v/>
      </c>
      <c r="R2633" s="44"/>
      <c r="S2633" s="9" t="str">
        <f aca="false">IF(N2633&lt;&gt;"Y","",IF(R2633&lt;&gt;"",R2633,IF(Q2633="(tanpa lawan)","Transfer antar rekening",IFERROR(INDEX(I_COA!$F$6:$F$265,MATCH(Q2633,I_COA!$A$6:$A$265,0)),"?"))))</f>
        <v/>
      </c>
    </row>
    <row r="2634" customFormat="false" ht="15" hidden="false" customHeight="false" outlineLevel="0" collapsed="false">
      <c r="A2634" s="37"/>
      <c r="B2634" s="44"/>
      <c r="C2634" s="44"/>
      <c r="D2634" s="44"/>
      <c r="E2634" s="44"/>
      <c r="F2634" s="44"/>
      <c r="G2634" s="42"/>
      <c r="H2634" s="42"/>
      <c r="I2634" s="44"/>
      <c r="J2634" s="11" t="str">
        <f aca="false">IF(D2634="","",N(G2634)-N(H2634))</f>
        <v/>
      </c>
      <c r="K2634" s="34" t="str">
        <f aca="false">IF(D2634="","",IFERROR(INDEX(I_COA!$C$6:$C$265,MATCH(D2634,I_COA!$A$6:$A$265,0)),"AKUN BARU"))</f>
        <v/>
      </c>
      <c r="L2634" s="34" t="str">
        <f aca="false">IF(K2634="LabaRugi",INDEX(I_COA!$D$6:$D$265,MATCH(D2634,I_COA!$A$6:$A$265,0)),"")</f>
        <v/>
      </c>
      <c r="M2634" s="34" t="str">
        <f aca="false">IF(K2634="Neraca",INDEX(I_COA!$E$6:$E$265,MATCH(D2634,I_COA!$A$6:$A$265,0)),"")</f>
        <v/>
      </c>
      <c r="N2634" s="34" t="str">
        <f aca="false">IF(D2634="","",IFERROR(INDEX(I_COA!$G$6:$G$265,MATCH(D2634,I_COA!$A$6:$A$265,0)),"N"))</f>
        <v/>
      </c>
      <c r="O2634" s="11" t="str">
        <f aca="false">IF(N2634="N",ABS(J2634),"")</f>
        <v/>
      </c>
      <c r="P2634" s="18" t="str">
        <f aca="false">IF(N2634="N",B2634&amp;"|"&amp;ROUND(O2634,0),"")</f>
        <v/>
      </c>
      <c r="Q2634" s="18" t="str">
        <f aca="false">IF(N2634&lt;&gt;"Y","",IFERROR(INDEX($D$6:$D$4005,MATCH(B2634&amp;"|"&amp;ROUND(_xlfn.MAXIFS($O$6:$O$4005,$B$6:$B$4005,B2634,$N$6:$N$4005,"N"),0),$P$6:$P$4005,0)),"(tanpa lawan)"))</f>
        <v/>
      </c>
      <c r="R2634" s="44"/>
      <c r="S2634" s="9" t="str">
        <f aca="false">IF(N2634&lt;&gt;"Y","",IF(R2634&lt;&gt;"",R2634,IF(Q2634="(tanpa lawan)","Transfer antar rekening",IFERROR(INDEX(I_COA!$F$6:$F$265,MATCH(Q2634,I_COA!$A$6:$A$265,0)),"?"))))</f>
        <v/>
      </c>
    </row>
    <row r="2635" customFormat="false" ht="15" hidden="false" customHeight="false" outlineLevel="0" collapsed="false">
      <c r="A2635" s="37"/>
      <c r="B2635" s="44"/>
      <c r="C2635" s="44"/>
      <c r="D2635" s="44"/>
      <c r="E2635" s="44"/>
      <c r="F2635" s="44"/>
      <c r="G2635" s="42"/>
      <c r="H2635" s="42"/>
      <c r="I2635" s="44"/>
      <c r="J2635" s="11" t="str">
        <f aca="false">IF(D2635="","",N(G2635)-N(H2635))</f>
        <v/>
      </c>
      <c r="K2635" s="34" t="str">
        <f aca="false">IF(D2635="","",IFERROR(INDEX(I_COA!$C$6:$C$265,MATCH(D2635,I_COA!$A$6:$A$265,0)),"AKUN BARU"))</f>
        <v/>
      </c>
      <c r="L2635" s="34" t="str">
        <f aca="false">IF(K2635="LabaRugi",INDEX(I_COA!$D$6:$D$265,MATCH(D2635,I_COA!$A$6:$A$265,0)),"")</f>
        <v/>
      </c>
      <c r="M2635" s="34" t="str">
        <f aca="false">IF(K2635="Neraca",INDEX(I_COA!$E$6:$E$265,MATCH(D2635,I_COA!$A$6:$A$265,0)),"")</f>
        <v/>
      </c>
      <c r="N2635" s="34" t="str">
        <f aca="false">IF(D2635="","",IFERROR(INDEX(I_COA!$G$6:$G$265,MATCH(D2635,I_COA!$A$6:$A$265,0)),"N"))</f>
        <v/>
      </c>
      <c r="O2635" s="11" t="str">
        <f aca="false">IF(N2635="N",ABS(J2635),"")</f>
        <v/>
      </c>
      <c r="P2635" s="18" t="str">
        <f aca="false">IF(N2635="N",B2635&amp;"|"&amp;ROUND(O2635,0),"")</f>
        <v/>
      </c>
      <c r="Q2635" s="18" t="str">
        <f aca="false">IF(N2635&lt;&gt;"Y","",IFERROR(INDEX($D$6:$D$4005,MATCH(B2635&amp;"|"&amp;ROUND(_xlfn.MAXIFS($O$6:$O$4005,$B$6:$B$4005,B2635,$N$6:$N$4005,"N"),0),$P$6:$P$4005,0)),"(tanpa lawan)"))</f>
        <v/>
      </c>
      <c r="R2635" s="44"/>
      <c r="S2635" s="9" t="str">
        <f aca="false">IF(N2635&lt;&gt;"Y","",IF(R2635&lt;&gt;"",R2635,IF(Q2635="(tanpa lawan)","Transfer antar rekening",IFERROR(INDEX(I_COA!$F$6:$F$265,MATCH(Q2635,I_COA!$A$6:$A$265,0)),"?"))))</f>
        <v/>
      </c>
    </row>
    <row r="2636" customFormat="false" ht="15" hidden="false" customHeight="false" outlineLevel="0" collapsed="false">
      <c r="A2636" s="37"/>
      <c r="B2636" s="44"/>
      <c r="C2636" s="44"/>
      <c r="D2636" s="44"/>
      <c r="E2636" s="44"/>
      <c r="F2636" s="44"/>
      <c r="G2636" s="42"/>
      <c r="H2636" s="42"/>
      <c r="I2636" s="44"/>
      <c r="J2636" s="11" t="str">
        <f aca="false">IF(D2636="","",N(G2636)-N(H2636))</f>
        <v/>
      </c>
      <c r="K2636" s="34" t="str">
        <f aca="false">IF(D2636="","",IFERROR(INDEX(I_COA!$C$6:$C$265,MATCH(D2636,I_COA!$A$6:$A$265,0)),"AKUN BARU"))</f>
        <v/>
      </c>
      <c r="L2636" s="34" t="str">
        <f aca="false">IF(K2636="LabaRugi",INDEX(I_COA!$D$6:$D$265,MATCH(D2636,I_COA!$A$6:$A$265,0)),"")</f>
        <v/>
      </c>
      <c r="M2636" s="34" t="str">
        <f aca="false">IF(K2636="Neraca",INDEX(I_COA!$E$6:$E$265,MATCH(D2636,I_COA!$A$6:$A$265,0)),"")</f>
        <v/>
      </c>
      <c r="N2636" s="34" t="str">
        <f aca="false">IF(D2636="","",IFERROR(INDEX(I_COA!$G$6:$G$265,MATCH(D2636,I_COA!$A$6:$A$265,0)),"N"))</f>
        <v/>
      </c>
      <c r="O2636" s="11" t="str">
        <f aca="false">IF(N2636="N",ABS(J2636),"")</f>
        <v/>
      </c>
      <c r="P2636" s="18" t="str">
        <f aca="false">IF(N2636="N",B2636&amp;"|"&amp;ROUND(O2636,0),"")</f>
        <v/>
      </c>
      <c r="Q2636" s="18" t="str">
        <f aca="false">IF(N2636&lt;&gt;"Y","",IFERROR(INDEX($D$6:$D$4005,MATCH(B2636&amp;"|"&amp;ROUND(_xlfn.MAXIFS($O$6:$O$4005,$B$6:$B$4005,B2636,$N$6:$N$4005,"N"),0),$P$6:$P$4005,0)),"(tanpa lawan)"))</f>
        <v/>
      </c>
      <c r="R2636" s="44"/>
      <c r="S2636" s="9" t="str">
        <f aca="false">IF(N2636&lt;&gt;"Y","",IF(R2636&lt;&gt;"",R2636,IF(Q2636="(tanpa lawan)","Transfer antar rekening",IFERROR(INDEX(I_COA!$F$6:$F$265,MATCH(Q2636,I_COA!$A$6:$A$265,0)),"?"))))</f>
        <v/>
      </c>
    </row>
    <row r="2637" customFormat="false" ht="15" hidden="false" customHeight="false" outlineLevel="0" collapsed="false">
      <c r="A2637" s="37"/>
      <c r="B2637" s="44"/>
      <c r="C2637" s="44"/>
      <c r="D2637" s="44"/>
      <c r="E2637" s="44"/>
      <c r="F2637" s="44"/>
      <c r="G2637" s="42"/>
      <c r="H2637" s="42"/>
      <c r="I2637" s="44"/>
      <c r="J2637" s="11" t="str">
        <f aca="false">IF(D2637="","",N(G2637)-N(H2637))</f>
        <v/>
      </c>
      <c r="K2637" s="34" t="str">
        <f aca="false">IF(D2637="","",IFERROR(INDEX(I_COA!$C$6:$C$265,MATCH(D2637,I_COA!$A$6:$A$265,0)),"AKUN BARU"))</f>
        <v/>
      </c>
      <c r="L2637" s="34" t="str">
        <f aca="false">IF(K2637="LabaRugi",INDEX(I_COA!$D$6:$D$265,MATCH(D2637,I_COA!$A$6:$A$265,0)),"")</f>
        <v/>
      </c>
      <c r="M2637" s="34" t="str">
        <f aca="false">IF(K2637="Neraca",INDEX(I_COA!$E$6:$E$265,MATCH(D2637,I_COA!$A$6:$A$265,0)),"")</f>
        <v/>
      </c>
      <c r="N2637" s="34" t="str">
        <f aca="false">IF(D2637="","",IFERROR(INDEX(I_COA!$G$6:$G$265,MATCH(D2637,I_COA!$A$6:$A$265,0)),"N"))</f>
        <v/>
      </c>
      <c r="O2637" s="11" t="str">
        <f aca="false">IF(N2637="N",ABS(J2637),"")</f>
        <v/>
      </c>
      <c r="P2637" s="18" t="str">
        <f aca="false">IF(N2637="N",B2637&amp;"|"&amp;ROUND(O2637,0),"")</f>
        <v/>
      </c>
      <c r="Q2637" s="18" t="str">
        <f aca="false">IF(N2637&lt;&gt;"Y","",IFERROR(INDEX($D$6:$D$4005,MATCH(B2637&amp;"|"&amp;ROUND(_xlfn.MAXIFS($O$6:$O$4005,$B$6:$B$4005,B2637,$N$6:$N$4005,"N"),0),$P$6:$P$4005,0)),"(tanpa lawan)"))</f>
        <v/>
      </c>
      <c r="R2637" s="44"/>
      <c r="S2637" s="9" t="str">
        <f aca="false">IF(N2637&lt;&gt;"Y","",IF(R2637&lt;&gt;"",R2637,IF(Q2637="(tanpa lawan)","Transfer antar rekening",IFERROR(INDEX(I_COA!$F$6:$F$265,MATCH(Q2637,I_COA!$A$6:$A$265,0)),"?"))))</f>
        <v/>
      </c>
    </row>
    <row r="2638" customFormat="false" ht="15" hidden="false" customHeight="false" outlineLevel="0" collapsed="false">
      <c r="A2638" s="37"/>
      <c r="B2638" s="44"/>
      <c r="C2638" s="44"/>
      <c r="D2638" s="44"/>
      <c r="E2638" s="44"/>
      <c r="F2638" s="44"/>
      <c r="G2638" s="42"/>
      <c r="H2638" s="42"/>
      <c r="I2638" s="44"/>
      <c r="J2638" s="11" t="str">
        <f aca="false">IF(D2638="","",N(G2638)-N(H2638))</f>
        <v/>
      </c>
      <c r="K2638" s="34" t="str">
        <f aca="false">IF(D2638="","",IFERROR(INDEX(I_COA!$C$6:$C$265,MATCH(D2638,I_COA!$A$6:$A$265,0)),"AKUN BARU"))</f>
        <v/>
      </c>
      <c r="L2638" s="34" t="str">
        <f aca="false">IF(K2638="LabaRugi",INDEX(I_COA!$D$6:$D$265,MATCH(D2638,I_COA!$A$6:$A$265,0)),"")</f>
        <v/>
      </c>
      <c r="M2638" s="34" t="str">
        <f aca="false">IF(K2638="Neraca",INDEX(I_COA!$E$6:$E$265,MATCH(D2638,I_COA!$A$6:$A$265,0)),"")</f>
        <v/>
      </c>
      <c r="N2638" s="34" t="str">
        <f aca="false">IF(D2638="","",IFERROR(INDEX(I_COA!$G$6:$G$265,MATCH(D2638,I_COA!$A$6:$A$265,0)),"N"))</f>
        <v/>
      </c>
      <c r="O2638" s="11" t="str">
        <f aca="false">IF(N2638="N",ABS(J2638),"")</f>
        <v/>
      </c>
      <c r="P2638" s="18" t="str">
        <f aca="false">IF(N2638="N",B2638&amp;"|"&amp;ROUND(O2638,0),"")</f>
        <v/>
      </c>
      <c r="Q2638" s="18" t="str">
        <f aca="false">IF(N2638&lt;&gt;"Y","",IFERROR(INDEX($D$6:$D$4005,MATCH(B2638&amp;"|"&amp;ROUND(_xlfn.MAXIFS($O$6:$O$4005,$B$6:$B$4005,B2638,$N$6:$N$4005,"N"),0),$P$6:$P$4005,0)),"(tanpa lawan)"))</f>
        <v/>
      </c>
      <c r="R2638" s="44"/>
      <c r="S2638" s="9" t="str">
        <f aca="false">IF(N2638&lt;&gt;"Y","",IF(R2638&lt;&gt;"",R2638,IF(Q2638="(tanpa lawan)","Transfer antar rekening",IFERROR(INDEX(I_COA!$F$6:$F$265,MATCH(Q2638,I_COA!$A$6:$A$265,0)),"?"))))</f>
        <v/>
      </c>
    </row>
    <row r="2639" customFormat="false" ht="15" hidden="false" customHeight="false" outlineLevel="0" collapsed="false">
      <c r="A2639" s="37"/>
      <c r="B2639" s="44"/>
      <c r="C2639" s="44"/>
      <c r="D2639" s="44"/>
      <c r="E2639" s="44"/>
      <c r="F2639" s="44"/>
      <c r="G2639" s="42"/>
      <c r="H2639" s="42"/>
      <c r="I2639" s="44"/>
      <c r="J2639" s="11" t="str">
        <f aca="false">IF(D2639="","",N(G2639)-N(H2639))</f>
        <v/>
      </c>
      <c r="K2639" s="34" t="str">
        <f aca="false">IF(D2639="","",IFERROR(INDEX(I_COA!$C$6:$C$265,MATCH(D2639,I_COA!$A$6:$A$265,0)),"AKUN BARU"))</f>
        <v/>
      </c>
      <c r="L2639" s="34" t="str">
        <f aca="false">IF(K2639="LabaRugi",INDEX(I_COA!$D$6:$D$265,MATCH(D2639,I_COA!$A$6:$A$265,0)),"")</f>
        <v/>
      </c>
      <c r="M2639" s="34" t="str">
        <f aca="false">IF(K2639="Neraca",INDEX(I_COA!$E$6:$E$265,MATCH(D2639,I_COA!$A$6:$A$265,0)),"")</f>
        <v/>
      </c>
      <c r="N2639" s="34" t="str">
        <f aca="false">IF(D2639="","",IFERROR(INDEX(I_COA!$G$6:$G$265,MATCH(D2639,I_COA!$A$6:$A$265,0)),"N"))</f>
        <v/>
      </c>
      <c r="O2639" s="11" t="str">
        <f aca="false">IF(N2639="N",ABS(J2639),"")</f>
        <v/>
      </c>
      <c r="P2639" s="18" t="str">
        <f aca="false">IF(N2639="N",B2639&amp;"|"&amp;ROUND(O2639,0),"")</f>
        <v/>
      </c>
      <c r="Q2639" s="18" t="str">
        <f aca="false">IF(N2639&lt;&gt;"Y","",IFERROR(INDEX($D$6:$D$4005,MATCH(B2639&amp;"|"&amp;ROUND(_xlfn.MAXIFS($O$6:$O$4005,$B$6:$B$4005,B2639,$N$6:$N$4005,"N"),0),$P$6:$P$4005,0)),"(tanpa lawan)"))</f>
        <v/>
      </c>
      <c r="R2639" s="44"/>
      <c r="S2639" s="9" t="str">
        <f aca="false">IF(N2639&lt;&gt;"Y","",IF(R2639&lt;&gt;"",R2639,IF(Q2639="(tanpa lawan)","Transfer antar rekening",IFERROR(INDEX(I_COA!$F$6:$F$265,MATCH(Q2639,I_COA!$A$6:$A$265,0)),"?"))))</f>
        <v/>
      </c>
    </row>
    <row r="2640" customFormat="false" ht="15" hidden="false" customHeight="false" outlineLevel="0" collapsed="false">
      <c r="A2640" s="37"/>
      <c r="B2640" s="44"/>
      <c r="C2640" s="44"/>
      <c r="D2640" s="44"/>
      <c r="E2640" s="44"/>
      <c r="F2640" s="44"/>
      <c r="G2640" s="42"/>
      <c r="H2640" s="42"/>
      <c r="I2640" s="44"/>
      <c r="J2640" s="11" t="str">
        <f aca="false">IF(D2640="","",N(G2640)-N(H2640))</f>
        <v/>
      </c>
      <c r="K2640" s="34" t="str">
        <f aca="false">IF(D2640="","",IFERROR(INDEX(I_COA!$C$6:$C$265,MATCH(D2640,I_COA!$A$6:$A$265,0)),"AKUN BARU"))</f>
        <v/>
      </c>
      <c r="L2640" s="34" t="str">
        <f aca="false">IF(K2640="LabaRugi",INDEX(I_COA!$D$6:$D$265,MATCH(D2640,I_COA!$A$6:$A$265,0)),"")</f>
        <v/>
      </c>
      <c r="M2640" s="34" t="str">
        <f aca="false">IF(K2640="Neraca",INDEX(I_COA!$E$6:$E$265,MATCH(D2640,I_COA!$A$6:$A$265,0)),"")</f>
        <v/>
      </c>
      <c r="N2640" s="34" t="str">
        <f aca="false">IF(D2640="","",IFERROR(INDEX(I_COA!$G$6:$G$265,MATCH(D2640,I_COA!$A$6:$A$265,0)),"N"))</f>
        <v/>
      </c>
      <c r="O2640" s="11" t="str">
        <f aca="false">IF(N2640="N",ABS(J2640),"")</f>
        <v/>
      </c>
      <c r="P2640" s="18" t="str">
        <f aca="false">IF(N2640="N",B2640&amp;"|"&amp;ROUND(O2640,0),"")</f>
        <v/>
      </c>
      <c r="Q2640" s="18" t="str">
        <f aca="false">IF(N2640&lt;&gt;"Y","",IFERROR(INDEX($D$6:$D$4005,MATCH(B2640&amp;"|"&amp;ROUND(_xlfn.MAXIFS($O$6:$O$4005,$B$6:$B$4005,B2640,$N$6:$N$4005,"N"),0),$P$6:$P$4005,0)),"(tanpa lawan)"))</f>
        <v/>
      </c>
      <c r="R2640" s="44"/>
      <c r="S2640" s="9" t="str">
        <f aca="false">IF(N2640&lt;&gt;"Y","",IF(R2640&lt;&gt;"",R2640,IF(Q2640="(tanpa lawan)","Transfer antar rekening",IFERROR(INDEX(I_COA!$F$6:$F$265,MATCH(Q2640,I_COA!$A$6:$A$265,0)),"?"))))</f>
        <v/>
      </c>
    </row>
    <row r="2641" customFormat="false" ht="15" hidden="false" customHeight="false" outlineLevel="0" collapsed="false">
      <c r="A2641" s="37"/>
      <c r="B2641" s="44"/>
      <c r="C2641" s="44"/>
      <c r="D2641" s="44"/>
      <c r="E2641" s="44"/>
      <c r="F2641" s="44"/>
      <c r="G2641" s="42"/>
      <c r="H2641" s="42"/>
      <c r="I2641" s="44"/>
      <c r="J2641" s="11" t="str">
        <f aca="false">IF(D2641="","",N(G2641)-N(H2641))</f>
        <v/>
      </c>
      <c r="K2641" s="34" t="str">
        <f aca="false">IF(D2641="","",IFERROR(INDEX(I_COA!$C$6:$C$265,MATCH(D2641,I_COA!$A$6:$A$265,0)),"AKUN BARU"))</f>
        <v/>
      </c>
      <c r="L2641" s="34" t="str">
        <f aca="false">IF(K2641="LabaRugi",INDEX(I_COA!$D$6:$D$265,MATCH(D2641,I_COA!$A$6:$A$265,0)),"")</f>
        <v/>
      </c>
      <c r="M2641" s="34" t="str">
        <f aca="false">IF(K2641="Neraca",INDEX(I_COA!$E$6:$E$265,MATCH(D2641,I_COA!$A$6:$A$265,0)),"")</f>
        <v/>
      </c>
      <c r="N2641" s="34" t="str">
        <f aca="false">IF(D2641="","",IFERROR(INDEX(I_COA!$G$6:$G$265,MATCH(D2641,I_COA!$A$6:$A$265,0)),"N"))</f>
        <v/>
      </c>
      <c r="O2641" s="11" t="str">
        <f aca="false">IF(N2641="N",ABS(J2641),"")</f>
        <v/>
      </c>
      <c r="P2641" s="18" t="str">
        <f aca="false">IF(N2641="N",B2641&amp;"|"&amp;ROUND(O2641,0),"")</f>
        <v/>
      </c>
      <c r="Q2641" s="18" t="str">
        <f aca="false">IF(N2641&lt;&gt;"Y","",IFERROR(INDEX($D$6:$D$4005,MATCH(B2641&amp;"|"&amp;ROUND(_xlfn.MAXIFS($O$6:$O$4005,$B$6:$B$4005,B2641,$N$6:$N$4005,"N"),0),$P$6:$P$4005,0)),"(tanpa lawan)"))</f>
        <v/>
      </c>
      <c r="R2641" s="44"/>
      <c r="S2641" s="9" t="str">
        <f aca="false">IF(N2641&lt;&gt;"Y","",IF(R2641&lt;&gt;"",R2641,IF(Q2641="(tanpa lawan)","Transfer antar rekening",IFERROR(INDEX(I_COA!$F$6:$F$265,MATCH(Q2641,I_COA!$A$6:$A$265,0)),"?"))))</f>
        <v/>
      </c>
    </row>
    <row r="2642" customFormat="false" ht="15" hidden="false" customHeight="false" outlineLevel="0" collapsed="false">
      <c r="A2642" s="37"/>
      <c r="B2642" s="44"/>
      <c r="C2642" s="44"/>
      <c r="D2642" s="44"/>
      <c r="E2642" s="44"/>
      <c r="F2642" s="44"/>
      <c r="G2642" s="42"/>
      <c r="H2642" s="42"/>
      <c r="I2642" s="44"/>
      <c r="J2642" s="11" t="str">
        <f aca="false">IF(D2642="","",N(G2642)-N(H2642))</f>
        <v/>
      </c>
      <c r="K2642" s="34" t="str">
        <f aca="false">IF(D2642="","",IFERROR(INDEX(I_COA!$C$6:$C$265,MATCH(D2642,I_COA!$A$6:$A$265,0)),"AKUN BARU"))</f>
        <v/>
      </c>
      <c r="L2642" s="34" t="str">
        <f aca="false">IF(K2642="LabaRugi",INDEX(I_COA!$D$6:$D$265,MATCH(D2642,I_COA!$A$6:$A$265,0)),"")</f>
        <v/>
      </c>
      <c r="M2642" s="34" t="str">
        <f aca="false">IF(K2642="Neraca",INDEX(I_COA!$E$6:$E$265,MATCH(D2642,I_COA!$A$6:$A$265,0)),"")</f>
        <v/>
      </c>
      <c r="N2642" s="34" t="str">
        <f aca="false">IF(D2642="","",IFERROR(INDEX(I_COA!$G$6:$G$265,MATCH(D2642,I_COA!$A$6:$A$265,0)),"N"))</f>
        <v/>
      </c>
      <c r="O2642" s="11" t="str">
        <f aca="false">IF(N2642="N",ABS(J2642),"")</f>
        <v/>
      </c>
      <c r="P2642" s="18" t="str">
        <f aca="false">IF(N2642="N",B2642&amp;"|"&amp;ROUND(O2642,0),"")</f>
        <v/>
      </c>
      <c r="Q2642" s="18" t="str">
        <f aca="false">IF(N2642&lt;&gt;"Y","",IFERROR(INDEX($D$6:$D$4005,MATCH(B2642&amp;"|"&amp;ROUND(_xlfn.MAXIFS($O$6:$O$4005,$B$6:$B$4005,B2642,$N$6:$N$4005,"N"),0),$P$6:$P$4005,0)),"(tanpa lawan)"))</f>
        <v/>
      </c>
      <c r="R2642" s="44"/>
      <c r="S2642" s="9" t="str">
        <f aca="false">IF(N2642&lt;&gt;"Y","",IF(R2642&lt;&gt;"",R2642,IF(Q2642="(tanpa lawan)","Transfer antar rekening",IFERROR(INDEX(I_COA!$F$6:$F$265,MATCH(Q2642,I_COA!$A$6:$A$265,0)),"?"))))</f>
        <v/>
      </c>
    </row>
    <row r="2643" customFormat="false" ht="15" hidden="false" customHeight="false" outlineLevel="0" collapsed="false">
      <c r="A2643" s="37"/>
      <c r="B2643" s="44"/>
      <c r="C2643" s="44"/>
      <c r="D2643" s="44"/>
      <c r="E2643" s="44"/>
      <c r="F2643" s="44"/>
      <c r="G2643" s="42"/>
      <c r="H2643" s="42"/>
      <c r="I2643" s="44"/>
      <c r="J2643" s="11" t="str">
        <f aca="false">IF(D2643="","",N(G2643)-N(H2643))</f>
        <v/>
      </c>
      <c r="K2643" s="34" t="str">
        <f aca="false">IF(D2643="","",IFERROR(INDEX(I_COA!$C$6:$C$265,MATCH(D2643,I_COA!$A$6:$A$265,0)),"AKUN BARU"))</f>
        <v/>
      </c>
      <c r="L2643" s="34" t="str">
        <f aca="false">IF(K2643="LabaRugi",INDEX(I_COA!$D$6:$D$265,MATCH(D2643,I_COA!$A$6:$A$265,0)),"")</f>
        <v/>
      </c>
      <c r="M2643" s="34" t="str">
        <f aca="false">IF(K2643="Neraca",INDEX(I_COA!$E$6:$E$265,MATCH(D2643,I_COA!$A$6:$A$265,0)),"")</f>
        <v/>
      </c>
      <c r="N2643" s="34" t="str">
        <f aca="false">IF(D2643="","",IFERROR(INDEX(I_COA!$G$6:$G$265,MATCH(D2643,I_COA!$A$6:$A$265,0)),"N"))</f>
        <v/>
      </c>
      <c r="O2643" s="11" t="str">
        <f aca="false">IF(N2643="N",ABS(J2643),"")</f>
        <v/>
      </c>
      <c r="P2643" s="18" t="str">
        <f aca="false">IF(N2643="N",B2643&amp;"|"&amp;ROUND(O2643,0),"")</f>
        <v/>
      </c>
      <c r="Q2643" s="18" t="str">
        <f aca="false">IF(N2643&lt;&gt;"Y","",IFERROR(INDEX($D$6:$D$4005,MATCH(B2643&amp;"|"&amp;ROUND(_xlfn.MAXIFS($O$6:$O$4005,$B$6:$B$4005,B2643,$N$6:$N$4005,"N"),0),$P$6:$P$4005,0)),"(tanpa lawan)"))</f>
        <v/>
      </c>
      <c r="R2643" s="44"/>
      <c r="S2643" s="9" t="str">
        <f aca="false">IF(N2643&lt;&gt;"Y","",IF(R2643&lt;&gt;"",R2643,IF(Q2643="(tanpa lawan)","Transfer antar rekening",IFERROR(INDEX(I_COA!$F$6:$F$265,MATCH(Q2643,I_COA!$A$6:$A$265,0)),"?"))))</f>
        <v/>
      </c>
    </row>
    <row r="2644" customFormat="false" ht="15" hidden="false" customHeight="false" outlineLevel="0" collapsed="false">
      <c r="A2644" s="37"/>
      <c r="B2644" s="44"/>
      <c r="C2644" s="44"/>
      <c r="D2644" s="44"/>
      <c r="E2644" s="44"/>
      <c r="F2644" s="44"/>
      <c r="G2644" s="42"/>
      <c r="H2644" s="42"/>
      <c r="I2644" s="44"/>
      <c r="J2644" s="11" t="str">
        <f aca="false">IF(D2644="","",N(G2644)-N(H2644))</f>
        <v/>
      </c>
      <c r="K2644" s="34" t="str">
        <f aca="false">IF(D2644="","",IFERROR(INDEX(I_COA!$C$6:$C$265,MATCH(D2644,I_COA!$A$6:$A$265,0)),"AKUN BARU"))</f>
        <v/>
      </c>
      <c r="L2644" s="34" t="str">
        <f aca="false">IF(K2644="LabaRugi",INDEX(I_COA!$D$6:$D$265,MATCH(D2644,I_COA!$A$6:$A$265,0)),"")</f>
        <v/>
      </c>
      <c r="M2644" s="34" t="str">
        <f aca="false">IF(K2644="Neraca",INDEX(I_COA!$E$6:$E$265,MATCH(D2644,I_COA!$A$6:$A$265,0)),"")</f>
        <v/>
      </c>
      <c r="N2644" s="34" t="str">
        <f aca="false">IF(D2644="","",IFERROR(INDEX(I_COA!$G$6:$G$265,MATCH(D2644,I_COA!$A$6:$A$265,0)),"N"))</f>
        <v/>
      </c>
      <c r="O2644" s="11" t="str">
        <f aca="false">IF(N2644="N",ABS(J2644),"")</f>
        <v/>
      </c>
      <c r="P2644" s="18" t="str">
        <f aca="false">IF(N2644="N",B2644&amp;"|"&amp;ROUND(O2644,0),"")</f>
        <v/>
      </c>
      <c r="Q2644" s="18" t="str">
        <f aca="false">IF(N2644&lt;&gt;"Y","",IFERROR(INDEX($D$6:$D$4005,MATCH(B2644&amp;"|"&amp;ROUND(_xlfn.MAXIFS($O$6:$O$4005,$B$6:$B$4005,B2644,$N$6:$N$4005,"N"),0),$P$6:$P$4005,0)),"(tanpa lawan)"))</f>
        <v/>
      </c>
      <c r="R2644" s="44"/>
      <c r="S2644" s="9" t="str">
        <f aca="false">IF(N2644&lt;&gt;"Y","",IF(R2644&lt;&gt;"",R2644,IF(Q2644="(tanpa lawan)","Transfer antar rekening",IFERROR(INDEX(I_COA!$F$6:$F$265,MATCH(Q2644,I_COA!$A$6:$A$265,0)),"?"))))</f>
        <v/>
      </c>
    </row>
    <row r="2645" customFormat="false" ht="15" hidden="false" customHeight="false" outlineLevel="0" collapsed="false">
      <c r="A2645" s="37"/>
      <c r="B2645" s="44"/>
      <c r="C2645" s="44"/>
      <c r="D2645" s="44"/>
      <c r="E2645" s="44"/>
      <c r="F2645" s="44"/>
      <c r="G2645" s="42"/>
      <c r="H2645" s="42"/>
      <c r="I2645" s="44"/>
      <c r="J2645" s="11" t="str">
        <f aca="false">IF(D2645="","",N(G2645)-N(H2645))</f>
        <v/>
      </c>
      <c r="K2645" s="34" t="str">
        <f aca="false">IF(D2645="","",IFERROR(INDEX(I_COA!$C$6:$C$265,MATCH(D2645,I_COA!$A$6:$A$265,0)),"AKUN BARU"))</f>
        <v/>
      </c>
      <c r="L2645" s="34" t="str">
        <f aca="false">IF(K2645="LabaRugi",INDEX(I_COA!$D$6:$D$265,MATCH(D2645,I_COA!$A$6:$A$265,0)),"")</f>
        <v/>
      </c>
      <c r="M2645" s="34" t="str">
        <f aca="false">IF(K2645="Neraca",INDEX(I_COA!$E$6:$E$265,MATCH(D2645,I_COA!$A$6:$A$265,0)),"")</f>
        <v/>
      </c>
      <c r="N2645" s="34" t="str">
        <f aca="false">IF(D2645="","",IFERROR(INDEX(I_COA!$G$6:$G$265,MATCH(D2645,I_COA!$A$6:$A$265,0)),"N"))</f>
        <v/>
      </c>
      <c r="O2645" s="11" t="str">
        <f aca="false">IF(N2645="N",ABS(J2645),"")</f>
        <v/>
      </c>
      <c r="P2645" s="18" t="str">
        <f aca="false">IF(N2645="N",B2645&amp;"|"&amp;ROUND(O2645,0),"")</f>
        <v/>
      </c>
      <c r="Q2645" s="18" t="str">
        <f aca="false">IF(N2645&lt;&gt;"Y","",IFERROR(INDEX($D$6:$D$4005,MATCH(B2645&amp;"|"&amp;ROUND(_xlfn.MAXIFS($O$6:$O$4005,$B$6:$B$4005,B2645,$N$6:$N$4005,"N"),0),$P$6:$P$4005,0)),"(tanpa lawan)"))</f>
        <v/>
      </c>
      <c r="R2645" s="44"/>
      <c r="S2645" s="9" t="str">
        <f aca="false">IF(N2645&lt;&gt;"Y","",IF(R2645&lt;&gt;"",R2645,IF(Q2645="(tanpa lawan)","Transfer antar rekening",IFERROR(INDEX(I_COA!$F$6:$F$265,MATCH(Q2645,I_COA!$A$6:$A$265,0)),"?"))))</f>
        <v/>
      </c>
    </row>
    <row r="2646" customFormat="false" ht="15" hidden="false" customHeight="false" outlineLevel="0" collapsed="false">
      <c r="A2646" s="37"/>
      <c r="B2646" s="44"/>
      <c r="C2646" s="44"/>
      <c r="D2646" s="44"/>
      <c r="E2646" s="44"/>
      <c r="F2646" s="44"/>
      <c r="G2646" s="42"/>
      <c r="H2646" s="42"/>
      <c r="I2646" s="44"/>
      <c r="J2646" s="11" t="str">
        <f aca="false">IF(D2646="","",N(G2646)-N(H2646))</f>
        <v/>
      </c>
      <c r="K2646" s="34" t="str">
        <f aca="false">IF(D2646="","",IFERROR(INDEX(I_COA!$C$6:$C$265,MATCH(D2646,I_COA!$A$6:$A$265,0)),"AKUN BARU"))</f>
        <v/>
      </c>
      <c r="L2646" s="34" t="str">
        <f aca="false">IF(K2646="LabaRugi",INDEX(I_COA!$D$6:$D$265,MATCH(D2646,I_COA!$A$6:$A$265,0)),"")</f>
        <v/>
      </c>
      <c r="M2646" s="34" t="str">
        <f aca="false">IF(K2646="Neraca",INDEX(I_COA!$E$6:$E$265,MATCH(D2646,I_COA!$A$6:$A$265,0)),"")</f>
        <v/>
      </c>
      <c r="N2646" s="34" t="str">
        <f aca="false">IF(D2646="","",IFERROR(INDEX(I_COA!$G$6:$G$265,MATCH(D2646,I_COA!$A$6:$A$265,0)),"N"))</f>
        <v/>
      </c>
      <c r="O2646" s="11" t="str">
        <f aca="false">IF(N2646="N",ABS(J2646),"")</f>
        <v/>
      </c>
      <c r="P2646" s="18" t="str">
        <f aca="false">IF(N2646="N",B2646&amp;"|"&amp;ROUND(O2646,0),"")</f>
        <v/>
      </c>
      <c r="Q2646" s="18" t="str">
        <f aca="false">IF(N2646&lt;&gt;"Y","",IFERROR(INDEX($D$6:$D$4005,MATCH(B2646&amp;"|"&amp;ROUND(_xlfn.MAXIFS($O$6:$O$4005,$B$6:$B$4005,B2646,$N$6:$N$4005,"N"),0),$P$6:$P$4005,0)),"(tanpa lawan)"))</f>
        <v/>
      </c>
      <c r="R2646" s="44"/>
      <c r="S2646" s="9" t="str">
        <f aca="false">IF(N2646&lt;&gt;"Y","",IF(R2646&lt;&gt;"",R2646,IF(Q2646="(tanpa lawan)","Transfer antar rekening",IFERROR(INDEX(I_COA!$F$6:$F$265,MATCH(Q2646,I_COA!$A$6:$A$265,0)),"?"))))</f>
        <v/>
      </c>
    </row>
    <row r="2647" customFormat="false" ht="15" hidden="false" customHeight="false" outlineLevel="0" collapsed="false">
      <c r="A2647" s="37"/>
      <c r="B2647" s="44"/>
      <c r="C2647" s="44"/>
      <c r="D2647" s="44"/>
      <c r="E2647" s="44"/>
      <c r="F2647" s="44"/>
      <c r="G2647" s="42"/>
      <c r="H2647" s="42"/>
      <c r="I2647" s="44"/>
      <c r="J2647" s="11" t="str">
        <f aca="false">IF(D2647="","",N(G2647)-N(H2647))</f>
        <v/>
      </c>
      <c r="K2647" s="34" t="str">
        <f aca="false">IF(D2647="","",IFERROR(INDEX(I_COA!$C$6:$C$265,MATCH(D2647,I_COA!$A$6:$A$265,0)),"AKUN BARU"))</f>
        <v/>
      </c>
      <c r="L2647" s="34" t="str">
        <f aca="false">IF(K2647="LabaRugi",INDEX(I_COA!$D$6:$D$265,MATCH(D2647,I_COA!$A$6:$A$265,0)),"")</f>
        <v/>
      </c>
      <c r="M2647" s="34" t="str">
        <f aca="false">IF(K2647="Neraca",INDEX(I_COA!$E$6:$E$265,MATCH(D2647,I_COA!$A$6:$A$265,0)),"")</f>
        <v/>
      </c>
      <c r="N2647" s="34" t="str">
        <f aca="false">IF(D2647="","",IFERROR(INDEX(I_COA!$G$6:$G$265,MATCH(D2647,I_COA!$A$6:$A$265,0)),"N"))</f>
        <v/>
      </c>
      <c r="O2647" s="11" t="str">
        <f aca="false">IF(N2647="N",ABS(J2647),"")</f>
        <v/>
      </c>
      <c r="P2647" s="18" t="str">
        <f aca="false">IF(N2647="N",B2647&amp;"|"&amp;ROUND(O2647,0),"")</f>
        <v/>
      </c>
      <c r="Q2647" s="18" t="str">
        <f aca="false">IF(N2647&lt;&gt;"Y","",IFERROR(INDEX($D$6:$D$4005,MATCH(B2647&amp;"|"&amp;ROUND(_xlfn.MAXIFS($O$6:$O$4005,$B$6:$B$4005,B2647,$N$6:$N$4005,"N"),0),$P$6:$P$4005,0)),"(tanpa lawan)"))</f>
        <v/>
      </c>
      <c r="R2647" s="44"/>
      <c r="S2647" s="9" t="str">
        <f aca="false">IF(N2647&lt;&gt;"Y","",IF(R2647&lt;&gt;"",R2647,IF(Q2647="(tanpa lawan)","Transfer antar rekening",IFERROR(INDEX(I_COA!$F$6:$F$265,MATCH(Q2647,I_COA!$A$6:$A$265,0)),"?"))))</f>
        <v/>
      </c>
    </row>
    <row r="2648" customFormat="false" ht="15" hidden="false" customHeight="false" outlineLevel="0" collapsed="false">
      <c r="A2648" s="37"/>
      <c r="B2648" s="44"/>
      <c r="C2648" s="44"/>
      <c r="D2648" s="44"/>
      <c r="E2648" s="44"/>
      <c r="F2648" s="44"/>
      <c r="G2648" s="42"/>
      <c r="H2648" s="42"/>
      <c r="I2648" s="44"/>
      <c r="J2648" s="11" t="str">
        <f aca="false">IF(D2648="","",N(G2648)-N(H2648))</f>
        <v/>
      </c>
      <c r="K2648" s="34" t="str">
        <f aca="false">IF(D2648="","",IFERROR(INDEX(I_COA!$C$6:$C$265,MATCH(D2648,I_COA!$A$6:$A$265,0)),"AKUN BARU"))</f>
        <v/>
      </c>
      <c r="L2648" s="34" t="str">
        <f aca="false">IF(K2648="LabaRugi",INDEX(I_COA!$D$6:$D$265,MATCH(D2648,I_COA!$A$6:$A$265,0)),"")</f>
        <v/>
      </c>
      <c r="M2648" s="34" t="str">
        <f aca="false">IF(K2648="Neraca",INDEX(I_COA!$E$6:$E$265,MATCH(D2648,I_COA!$A$6:$A$265,0)),"")</f>
        <v/>
      </c>
      <c r="N2648" s="34" t="str">
        <f aca="false">IF(D2648="","",IFERROR(INDEX(I_COA!$G$6:$G$265,MATCH(D2648,I_COA!$A$6:$A$265,0)),"N"))</f>
        <v/>
      </c>
      <c r="O2648" s="11" t="str">
        <f aca="false">IF(N2648="N",ABS(J2648),"")</f>
        <v/>
      </c>
      <c r="P2648" s="18" t="str">
        <f aca="false">IF(N2648="N",B2648&amp;"|"&amp;ROUND(O2648,0),"")</f>
        <v/>
      </c>
      <c r="Q2648" s="18" t="str">
        <f aca="false">IF(N2648&lt;&gt;"Y","",IFERROR(INDEX($D$6:$D$4005,MATCH(B2648&amp;"|"&amp;ROUND(_xlfn.MAXIFS($O$6:$O$4005,$B$6:$B$4005,B2648,$N$6:$N$4005,"N"),0),$P$6:$P$4005,0)),"(tanpa lawan)"))</f>
        <v/>
      </c>
      <c r="R2648" s="44"/>
      <c r="S2648" s="9" t="str">
        <f aca="false">IF(N2648&lt;&gt;"Y","",IF(R2648&lt;&gt;"",R2648,IF(Q2648="(tanpa lawan)","Transfer antar rekening",IFERROR(INDEX(I_COA!$F$6:$F$265,MATCH(Q2648,I_COA!$A$6:$A$265,0)),"?"))))</f>
        <v/>
      </c>
    </row>
    <row r="2649" customFormat="false" ht="15" hidden="false" customHeight="false" outlineLevel="0" collapsed="false">
      <c r="A2649" s="37"/>
      <c r="B2649" s="44"/>
      <c r="C2649" s="44"/>
      <c r="D2649" s="44"/>
      <c r="E2649" s="44"/>
      <c r="F2649" s="44"/>
      <c r="G2649" s="42"/>
      <c r="H2649" s="42"/>
      <c r="I2649" s="44"/>
      <c r="J2649" s="11" t="str">
        <f aca="false">IF(D2649="","",N(G2649)-N(H2649))</f>
        <v/>
      </c>
      <c r="K2649" s="34" t="str">
        <f aca="false">IF(D2649="","",IFERROR(INDEX(I_COA!$C$6:$C$265,MATCH(D2649,I_COA!$A$6:$A$265,0)),"AKUN BARU"))</f>
        <v/>
      </c>
      <c r="L2649" s="34" t="str">
        <f aca="false">IF(K2649="LabaRugi",INDEX(I_COA!$D$6:$D$265,MATCH(D2649,I_COA!$A$6:$A$265,0)),"")</f>
        <v/>
      </c>
      <c r="M2649" s="34" t="str">
        <f aca="false">IF(K2649="Neraca",INDEX(I_COA!$E$6:$E$265,MATCH(D2649,I_COA!$A$6:$A$265,0)),"")</f>
        <v/>
      </c>
      <c r="N2649" s="34" t="str">
        <f aca="false">IF(D2649="","",IFERROR(INDEX(I_COA!$G$6:$G$265,MATCH(D2649,I_COA!$A$6:$A$265,0)),"N"))</f>
        <v/>
      </c>
      <c r="O2649" s="11" t="str">
        <f aca="false">IF(N2649="N",ABS(J2649),"")</f>
        <v/>
      </c>
      <c r="P2649" s="18" t="str">
        <f aca="false">IF(N2649="N",B2649&amp;"|"&amp;ROUND(O2649,0),"")</f>
        <v/>
      </c>
      <c r="Q2649" s="18" t="str">
        <f aca="false">IF(N2649&lt;&gt;"Y","",IFERROR(INDEX($D$6:$D$4005,MATCH(B2649&amp;"|"&amp;ROUND(_xlfn.MAXIFS($O$6:$O$4005,$B$6:$B$4005,B2649,$N$6:$N$4005,"N"),0),$P$6:$P$4005,0)),"(tanpa lawan)"))</f>
        <v/>
      </c>
      <c r="R2649" s="44"/>
      <c r="S2649" s="9" t="str">
        <f aca="false">IF(N2649&lt;&gt;"Y","",IF(R2649&lt;&gt;"",R2649,IF(Q2649="(tanpa lawan)","Transfer antar rekening",IFERROR(INDEX(I_COA!$F$6:$F$265,MATCH(Q2649,I_COA!$A$6:$A$265,0)),"?"))))</f>
        <v/>
      </c>
    </row>
    <row r="2650" customFormat="false" ht="15" hidden="false" customHeight="false" outlineLevel="0" collapsed="false">
      <c r="A2650" s="37"/>
      <c r="B2650" s="44"/>
      <c r="C2650" s="44"/>
      <c r="D2650" s="44"/>
      <c r="E2650" s="44"/>
      <c r="F2650" s="44"/>
      <c r="G2650" s="42"/>
      <c r="H2650" s="42"/>
      <c r="I2650" s="44"/>
      <c r="J2650" s="11" t="str">
        <f aca="false">IF(D2650="","",N(G2650)-N(H2650))</f>
        <v/>
      </c>
      <c r="K2650" s="34" t="str">
        <f aca="false">IF(D2650="","",IFERROR(INDEX(I_COA!$C$6:$C$265,MATCH(D2650,I_COA!$A$6:$A$265,0)),"AKUN BARU"))</f>
        <v/>
      </c>
      <c r="L2650" s="34" t="str">
        <f aca="false">IF(K2650="LabaRugi",INDEX(I_COA!$D$6:$D$265,MATCH(D2650,I_COA!$A$6:$A$265,0)),"")</f>
        <v/>
      </c>
      <c r="M2650" s="34" t="str">
        <f aca="false">IF(K2650="Neraca",INDEX(I_COA!$E$6:$E$265,MATCH(D2650,I_COA!$A$6:$A$265,0)),"")</f>
        <v/>
      </c>
      <c r="N2650" s="34" t="str">
        <f aca="false">IF(D2650="","",IFERROR(INDEX(I_COA!$G$6:$G$265,MATCH(D2650,I_COA!$A$6:$A$265,0)),"N"))</f>
        <v/>
      </c>
      <c r="O2650" s="11" t="str">
        <f aca="false">IF(N2650="N",ABS(J2650),"")</f>
        <v/>
      </c>
      <c r="P2650" s="18" t="str">
        <f aca="false">IF(N2650="N",B2650&amp;"|"&amp;ROUND(O2650,0),"")</f>
        <v/>
      </c>
      <c r="Q2650" s="18" t="str">
        <f aca="false">IF(N2650&lt;&gt;"Y","",IFERROR(INDEX($D$6:$D$4005,MATCH(B2650&amp;"|"&amp;ROUND(_xlfn.MAXIFS($O$6:$O$4005,$B$6:$B$4005,B2650,$N$6:$N$4005,"N"),0),$P$6:$P$4005,0)),"(tanpa lawan)"))</f>
        <v/>
      </c>
      <c r="R2650" s="44"/>
      <c r="S2650" s="9" t="str">
        <f aca="false">IF(N2650&lt;&gt;"Y","",IF(R2650&lt;&gt;"",R2650,IF(Q2650="(tanpa lawan)","Transfer antar rekening",IFERROR(INDEX(I_COA!$F$6:$F$265,MATCH(Q2650,I_COA!$A$6:$A$265,0)),"?"))))</f>
        <v/>
      </c>
    </row>
    <row r="2651" customFormat="false" ht="15" hidden="false" customHeight="false" outlineLevel="0" collapsed="false">
      <c r="A2651" s="37"/>
      <c r="B2651" s="44"/>
      <c r="C2651" s="44"/>
      <c r="D2651" s="44"/>
      <c r="E2651" s="44"/>
      <c r="F2651" s="44"/>
      <c r="G2651" s="42"/>
      <c r="H2651" s="42"/>
      <c r="I2651" s="44"/>
      <c r="J2651" s="11" t="str">
        <f aca="false">IF(D2651="","",N(G2651)-N(H2651))</f>
        <v/>
      </c>
      <c r="K2651" s="34" t="str">
        <f aca="false">IF(D2651="","",IFERROR(INDEX(I_COA!$C$6:$C$265,MATCH(D2651,I_COA!$A$6:$A$265,0)),"AKUN BARU"))</f>
        <v/>
      </c>
      <c r="L2651" s="34" t="str">
        <f aca="false">IF(K2651="LabaRugi",INDEX(I_COA!$D$6:$D$265,MATCH(D2651,I_COA!$A$6:$A$265,0)),"")</f>
        <v/>
      </c>
      <c r="M2651" s="34" t="str">
        <f aca="false">IF(K2651="Neraca",INDEX(I_COA!$E$6:$E$265,MATCH(D2651,I_COA!$A$6:$A$265,0)),"")</f>
        <v/>
      </c>
      <c r="N2651" s="34" t="str">
        <f aca="false">IF(D2651="","",IFERROR(INDEX(I_COA!$G$6:$G$265,MATCH(D2651,I_COA!$A$6:$A$265,0)),"N"))</f>
        <v/>
      </c>
      <c r="O2651" s="11" t="str">
        <f aca="false">IF(N2651="N",ABS(J2651),"")</f>
        <v/>
      </c>
      <c r="P2651" s="18" t="str">
        <f aca="false">IF(N2651="N",B2651&amp;"|"&amp;ROUND(O2651,0),"")</f>
        <v/>
      </c>
      <c r="Q2651" s="18" t="str">
        <f aca="false">IF(N2651&lt;&gt;"Y","",IFERROR(INDEX($D$6:$D$4005,MATCH(B2651&amp;"|"&amp;ROUND(_xlfn.MAXIFS($O$6:$O$4005,$B$6:$B$4005,B2651,$N$6:$N$4005,"N"),0),$P$6:$P$4005,0)),"(tanpa lawan)"))</f>
        <v/>
      </c>
      <c r="R2651" s="44"/>
      <c r="S2651" s="9" t="str">
        <f aca="false">IF(N2651&lt;&gt;"Y","",IF(R2651&lt;&gt;"",R2651,IF(Q2651="(tanpa lawan)","Transfer antar rekening",IFERROR(INDEX(I_COA!$F$6:$F$265,MATCH(Q2651,I_COA!$A$6:$A$265,0)),"?"))))</f>
        <v/>
      </c>
    </row>
    <row r="2652" customFormat="false" ht="15" hidden="false" customHeight="false" outlineLevel="0" collapsed="false">
      <c r="A2652" s="37"/>
      <c r="B2652" s="44"/>
      <c r="C2652" s="44"/>
      <c r="D2652" s="44"/>
      <c r="E2652" s="44"/>
      <c r="F2652" s="44"/>
      <c r="G2652" s="42"/>
      <c r="H2652" s="42"/>
      <c r="I2652" s="44"/>
      <c r="J2652" s="11" t="str">
        <f aca="false">IF(D2652="","",N(G2652)-N(H2652))</f>
        <v/>
      </c>
      <c r="K2652" s="34" t="str">
        <f aca="false">IF(D2652="","",IFERROR(INDEX(I_COA!$C$6:$C$265,MATCH(D2652,I_COA!$A$6:$A$265,0)),"AKUN BARU"))</f>
        <v/>
      </c>
      <c r="L2652" s="34" t="str">
        <f aca="false">IF(K2652="LabaRugi",INDEX(I_COA!$D$6:$D$265,MATCH(D2652,I_COA!$A$6:$A$265,0)),"")</f>
        <v/>
      </c>
      <c r="M2652" s="34" t="str">
        <f aca="false">IF(K2652="Neraca",INDEX(I_COA!$E$6:$E$265,MATCH(D2652,I_COA!$A$6:$A$265,0)),"")</f>
        <v/>
      </c>
      <c r="N2652" s="34" t="str">
        <f aca="false">IF(D2652="","",IFERROR(INDEX(I_COA!$G$6:$G$265,MATCH(D2652,I_COA!$A$6:$A$265,0)),"N"))</f>
        <v/>
      </c>
      <c r="O2652" s="11" t="str">
        <f aca="false">IF(N2652="N",ABS(J2652),"")</f>
        <v/>
      </c>
      <c r="P2652" s="18" t="str">
        <f aca="false">IF(N2652="N",B2652&amp;"|"&amp;ROUND(O2652,0),"")</f>
        <v/>
      </c>
      <c r="Q2652" s="18" t="str">
        <f aca="false">IF(N2652&lt;&gt;"Y","",IFERROR(INDEX($D$6:$D$4005,MATCH(B2652&amp;"|"&amp;ROUND(_xlfn.MAXIFS($O$6:$O$4005,$B$6:$B$4005,B2652,$N$6:$N$4005,"N"),0),$P$6:$P$4005,0)),"(tanpa lawan)"))</f>
        <v/>
      </c>
      <c r="R2652" s="44"/>
      <c r="S2652" s="9" t="str">
        <f aca="false">IF(N2652&lt;&gt;"Y","",IF(R2652&lt;&gt;"",R2652,IF(Q2652="(tanpa lawan)","Transfer antar rekening",IFERROR(INDEX(I_COA!$F$6:$F$265,MATCH(Q2652,I_COA!$A$6:$A$265,0)),"?"))))</f>
        <v/>
      </c>
    </row>
    <row r="2653" customFormat="false" ht="15" hidden="false" customHeight="false" outlineLevel="0" collapsed="false">
      <c r="A2653" s="37"/>
      <c r="B2653" s="44"/>
      <c r="C2653" s="44"/>
      <c r="D2653" s="44"/>
      <c r="E2653" s="44"/>
      <c r="F2653" s="44"/>
      <c r="G2653" s="42"/>
      <c r="H2653" s="42"/>
      <c r="I2653" s="44"/>
      <c r="J2653" s="11" t="str">
        <f aca="false">IF(D2653="","",N(G2653)-N(H2653))</f>
        <v/>
      </c>
      <c r="K2653" s="34" t="str">
        <f aca="false">IF(D2653="","",IFERROR(INDEX(I_COA!$C$6:$C$265,MATCH(D2653,I_COA!$A$6:$A$265,0)),"AKUN BARU"))</f>
        <v/>
      </c>
      <c r="L2653" s="34" t="str">
        <f aca="false">IF(K2653="LabaRugi",INDEX(I_COA!$D$6:$D$265,MATCH(D2653,I_COA!$A$6:$A$265,0)),"")</f>
        <v/>
      </c>
      <c r="M2653" s="34" t="str">
        <f aca="false">IF(K2653="Neraca",INDEX(I_COA!$E$6:$E$265,MATCH(D2653,I_COA!$A$6:$A$265,0)),"")</f>
        <v/>
      </c>
      <c r="N2653" s="34" t="str">
        <f aca="false">IF(D2653="","",IFERROR(INDEX(I_COA!$G$6:$G$265,MATCH(D2653,I_COA!$A$6:$A$265,0)),"N"))</f>
        <v/>
      </c>
      <c r="O2653" s="11" t="str">
        <f aca="false">IF(N2653="N",ABS(J2653),"")</f>
        <v/>
      </c>
      <c r="P2653" s="18" t="str">
        <f aca="false">IF(N2653="N",B2653&amp;"|"&amp;ROUND(O2653,0),"")</f>
        <v/>
      </c>
      <c r="Q2653" s="18" t="str">
        <f aca="false">IF(N2653&lt;&gt;"Y","",IFERROR(INDEX($D$6:$D$4005,MATCH(B2653&amp;"|"&amp;ROUND(_xlfn.MAXIFS($O$6:$O$4005,$B$6:$B$4005,B2653,$N$6:$N$4005,"N"),0),$P$6:$P$4005,0)),"(tanpa lawan)"))</f>
        <v/>
      </c>
      <c r="R2653" s="44"/>
      <c r="S2653" s="9" t="str">
        <f aca="false">IF(N2653&lt;&gt;"Y","",IF(R2653&lt;&gt;"",R2653,IF(Q2653="(tanpa lawan)","Transfer antar rekening",IFERROR(INDEX(I_COA!$F$6:$F$265,MATCH(Q2653,I_COA!$A$6:$A$265,0)),"?"))))</f>
        <v/>
      </c>
    </row>
    <row r="2654" customFormat="false" ht="15" hidden="false" customHeight="false" outlineLevel="0" collapsed="false">
      <c r="A2654" s="37"/>
      <c r="B2654" s="44"/>
      <c r="C2654" s="44"/>
      <c r="D2654" s="44"/>
      <c r="E2654" s="44"/>
      <c r="F2654" s="44"/>
      <c r="G2654" s="42"/>
      <c r="H2654" s="42"/>
      <c r="I2654" s="44"/>
      <c r="J2654" s="11" t="str">
        <f aca="false">IF(D2654="","",N(G2654)-N(H2654))</f>
        <v/>
      </c>
      <c r="K2654" s="34" t="str">
        <f aca="false">IF(D2654="","",IFERROR(INDEX(I_COA!$C$6:$C$265,MATCH(D2654,I_COA!$A$6:$A$265,0)),"AKUN BARU"))</f>
        <v/>
      </c>
      <c r="L2654" s="34" t="str">
        <f aca="false">IF(K2654="LabaRugi",INDEX(I_COA!$D$6:$D$265,MATCH(D2654,I_COA!$A$6:$A$265,0)),"")</f>
        <v/>
      </c>
      <c r="M2654" s="34" t="str">
        <f aca="false">IF(K2654="Neraca",INDEX(I_COA!$E$6:$E$265,MATCH(D2654,I_COA!$A$6:$A$265,0)),"")</f>
        <v/>
      </c>
      <c r="N2654" s="34" t="str">
        <f aca="false">IF(D2654="","",IFERROR(INDEX(I_COA!$G$6:$G$265,MATCH(D2654,I_COA!$A$6:$A$265,0)),"N"))</f>
        <v/>
      </c>
      <c r="O2654" s="11" t="str">
        <f aca="false">IF(N2654="N",ABS(J2654),"")</f>
        <v/>
      </c>
      <c r="P2654" s="18" t="str">
        <f aca="false">IF(N2654="N",B2654&amp;"|"&amp;ROUND(O2654,0),"")</f>
        <v/>
      </c>
      <c r="Q2654" s="18" t="str">
        <f aca="false">IF(N2654&lt;&gt;"Y","",IFERROR(INDEX($D$6:$D$4005,MATCH(B2654&amp;"|"&amp;ROUND(_xlfn.MAXIFS($O$6:$O$4005,$B$6:$B$4005,B2654,$N$6:$N$4005,"N"),0),$P$6:$P$4005,0)),"(tanpa lawan)"))</f>
        <v/>
      </c>
      <c r="R2654" s="44"/>
      <c r="S2654" s="9" t="str">
        <f aca="false">IF(N2654&lt;&gt;"Y","",IF(R2654&lt;&gt;"",R2654,IF(Q2654="(tanpa lawan)","Transfer antar rekening",IFERROR(INDEX(I_COA!$F$6:$F$265,MATCH(Q2654,I_COA!$A$6:$A$265,0)),"?"))))</f>
        <v/>
      </c>
    </row>
    <row r="2655" customFormat="false" ht="15" hidden="false" customHeight="false" outlineLevel="0" collapsed="false">
      <c r="A2655" s="37"/>
      <c r="B2655" s="44"/>
      <c r="C2655" s="44"/>
      <c r="D2655" s="44"/>
      <c r="E2655" s="44"/>
      <c r="F2655" s="44"/>
      <c r="G2655" s="42"/>
      <c r="H2655" s="42"/>
      <c r="I2655" s="44"/>
      <c r="J2655" s="11" t="str">
        <f aca="false">IF(D2655="","",N(G2655)-N(H2655))</f>
        <v/>
      </c>
      <c r="K2655" s="34" t="str">
        <f aca="false">IF(D2655="","",IFERROR(INDEX(I_COA!$C$6:$C$265,MATCH(D2655,I_COA!$A$6:$A$265,0)),"AKUN BARU"))</f>
        <v/>
      </c>
      <c r="L2655" s="34" t="str">
        <f aca="false">IF(K2655="LabaRugi",INDEX(I_COA!$D$6:$D$265,MATCH(D2655,I_COA!$A$6:$A$265,0)),"")</f>
        <v/>
      </c>
      <c r="M2655" s="34" t="str">
        <f aca="false">IF(K2655="Neraca",INDEX(I_COA!$E$6:$E$265,MATCH(D2655,I_COA!$A$6:$A$265,0)),"")</f>
        <v/>
      </c>
      <c r="N2655" s="34" t="str">
        <f aca="false">IF(D2655="","",IFERROR(INDEX(I_COA!$G$6:$G$265,MATCH(D2655,I_COA!$A$6:$A$265,0)),"N"))</f>
        <v/>
      </c>
      <c r="O2655" s="11" t="str">
        <f aca="false">IF(N2655="N",ABS(J2655),"")</f>
        <v/>
      </c>
      <c r="P2655" s="18" t="str">
        <f aca="false">IF(N2655="N",B2655&amp;"|"&amp;ROUND(O2655,0),"")</f>
        <v/>
      </c>
      <c r="Q2655" s="18" t="str">
        <f aca="false">IF(N2655&lt;&gt;"Y","",IFERROR(INDEX($D$6:$D$4005,MATCH(B2655&amp;"|"&amp;ROUND(_xlfn.MAXIFS($O$6:$O$4005,$B$6:$B$4005,B2655,$N$6:$N$4005,"N"),0),$P$6:$P$4005,0)),"(tanpa lawan)"))</f>
        <v/>
      </c>
      <c r="R2655" s="44"/>
      <c r="S2655" s="9" t="str">
        <f aca="false">IF(N2655&lt;&gt;"Y","",IF(R2655&lt;&gt;"",R2655,IF(Q2655="(tanpa lawan)","Transfer antar rekening",IFERROR(INDEX(I_COA!$F$6:$F$265,MATCH(Q2655,I_COA!$A$6:$A$265,0)),"?"))))</f>
        <v/>
      </c>
    </row>
    <row r="2656" customFormat="false" ht="15" hidden="false" customHeight="false" outlineLevel="0" collapsed="false">
      <c r="A2656" s="37"/>
      <c r="B2656" s="44"/>
      <c r="C2656" s="44"/>
      <c r="D2656" s="44"/>
      <c r="E2656" s="44"/>
      <c r="F2656" s="44"/>
      <c r="G2656" s="42"/>
      <c r="H2656" s="42"/>
      <c r="I2656" s="44"/>
      <c r="J2656" s="11" t="str">
        <f aca="false">IF(D2656="","",N(G2656)-N(H2656))</f>
        <v/>
      </c>
      <c r="K2656" s="34" t="str">
        <f aca="false">IF(D2656="","",IFERROR(INDEX(I_COA!$C$6:$C$265,MATCH(D2656,I_COA!$A$6:$A$265,0)),"AKUN BARU"))</f>
        <v/>
      </c>
      <c r="L2656" s="34" t="str">
        <f aca="false">IF(K2656="LabaRugi",INDEX(I_COA!$D$6:$D$265,MATCH(D2656,I_COA!$A$6:$A$265,0)),"")</f>
        <v/>
      </c>
      <c r="M2656" s="34" t="str">
        <f aca="false">IF(K2656="Neraca",INDEX(I_COA!$E$6:$E$265,MATCH(D2656,I_COA!$A$6:$A$265,0)),"")</f>
        <v/>
      </c>
      <c r="N2656" s="34" t="str">
        <f aca="false">IF(D2656="","",IFERROR(INDEX(I_COA!$G$6:$G$265,MATCH(D2656,I_COA!$A$6:$A$265,0)),"N"))</f>
        <v/>
      </c>
      <c r="O2656" s="11" t="str">
        <f aca="false">IF(N2656="N",ABS(J2656),"")</f>
        <v/>
      </c>
      <c r="P2656" s="18" t="str">
        <f aca="false">IF(N2656="N",B2656&amp;"|"&amp;ROUND(O2656,0),"")</f>
        <v/>
      </c>
      <c r="Q2656" s="18" t="str">
        <f aca="false">IF(N2656&lt;&gt;"Y","",IFERROR(INDEX($D$6:$D$4005,MATCH(B2656&amp;"|"&amp;ROUND(_xlfn.MAXIFS($O$6:$O$4005,$B$6:$B$4005,B2656,$N$6:$N$4005,"N"),0),$P$6:$P$4005,0)),"(tanpa lawan)"))</f>
        <v/>
      </c>
      <c r="R2656" s="44"/>
      <c r="S2656" s="9" t="str">
        <f aca="false">IF(N2656&lt;&gt;"Y","",IF(R2656&lt;&gt;"",R2656,IF(Q2656="(tanpa lawan)","Transfer antar rekening",IFERROR(INDEX(I_COA!$F$6:$F$265,MATCH(Q2656,I_COA!$A$6:$A$265,0)),"?"))))</f>
        <v/>
      </c>
    </row>
    <row r="2657" customFormat="false" ht="15" hidden="false" customHeight="false" outlineLevel="0" collapsed="false">
      <c r="A2657" s="37"/>
      <c r="B2657" s="44"/>
      <c r="C2657" s="44"/>
      <c r="D2657" s="44"/>
      <c r="E2657" s="44"/>
      <c r="F2657" s="44"/>
      <c r="G2657" s="42"/>
      <c r="H2657" s="42"/>
      <c r="I2657" s="44"/>
      <c r="J2657" s="11" t="str">
        <f aca="false">IF(D2657="","",N(G2657)-N(H2657))</f>
        <v/>
      </c>
      <c r="K2657" s="34" t="str">
        <f aca="false">IF(D2657="","",IFERROR(INDEX(I_COA!$C$6:$C$265,MATCH(D2657,I_COA!$A$6:$A$265,0)),"AKUN BARU"))</f>
        <v/>
      </c>
      <c r="L2657" s="34" t="str">
        <f aca="false">IF(K2657="LabaRugi",INDEX(I_COA!$D$6:$D$265,MATCH(D2657,I_COA!$A$6:$A$265,0)),"")</f>
        <v/>
      </c>
      <c r="M2657" s="34" t="str">
        <f aca="false">IF(K2657="Neraca",INDEX(I_COA!$E$6:$E$265,MATCH(D2657,I_COA!$A$6:$A$265,0)),"")</f>
        <v/>
      </c>
      <c r="N2657" s="34" t="str">
        <f aca="false">IF(D2657="","",IFERROR(INDEX(I_COA!$G$6:$G$265,MATCH(D2657,I_COA!$A$6:$A$265,0)),"N"))</f>
        <v/>
      </c>
      <c r="O2657" s="11" t="str">
        <f aca="false">IF(N2657="N",ABS(J2657),"")</f>
        <v/>
      </c>
      <c r="P2657" s="18" t="str">
        <f aca="false">IF(N2657="N",B2657&amp;"|"&amp;ROUND(O2657,0),"")</f>
        <v/>
      </c>
      <c r="Q2657" s="18" t="str">
        <f aca="false">IF(N2657&lt;&gt;"Y","",IFERROR(INDEX($D$6:$D$4005,MATCH(B2657&amp;"|"&amp;ROUND(_xlfn.MAXIFS($O$6:$O$4005,$B$6:$B$4005,B2657,$N$6:$N$4005,"N"),0),$P$6:$P$4005,0)),"(tanpa lawan)"))</f>
        <v/>
      </c>
      <c r="R2657" s="44"/>
      <c r="S2657" s="9" t="str">
        <f aca="false">IF(N2657&lt;&gt;"Y","",IF(R2657&lt;&gt;"",R2657,IF(Q2657="(tanpa lawan)","Transfer antar rekening",IFERROR(INDEX(I_COA!$F$6:$F$265,MATCH(Q2657,I_COA!$A$6:$A$265,0)),"?"))))</f>
        <v/>
      </c>
    </row>
    <row r="2658" customFormat="false" ht="15" hidden="false" customHeight="false" outlineLevel="0" collapsed="false">
      <c r="A2658" s="37"/>
      <c r="B2658" s="44"/>
      <c r="C2658" s="44"/>
      <c r="D2658" s="44"/>
      <c r="E2658" s="44"/>
      <c r="F2658" s="44"/>
      <c r="G2658" s="42"/>
      <c r="H2658" s="42"/>
      <c r="I2658" s="44"/>
      <c r="J2658" s="11" t="str">
        <f aca="false">IF(D2658="","",N(G2658)-N(H2658))</f>
        <v/>
      </c>
      <c r="K2658" s="34" t="str">
        <f aca="false">IF(D2658="","",IFERROR(INDEX(I_COA!$C$6:$C$265,MATCH(D2658,I_COA!$A$6:$A$265,0)),"AKUN BARU"))</f>
        <v/>
      </c>
      <c r="L2658" s="34" t="str">
        <f aca="false">IF(K2658="LabaRugi",INDEX(I_COA!$D$6:$D$265,MATCH(D2658,I_COA!$A$6:$A$265,0)),"")</f>
        <v/>
      </c>
      <c r="M2658" s="34" t="str">
        <f aca="false">IF(K2658="Neraca",INDEX(I_COA!$E$6:$E$265,MATCH(D2658,I_COA!$A$6:$A$265,0)),"")</f>
        <v/>
      </c>
      <c r="N2658" s="34" t="str">
        <f aca="false">IF(D2658="","",IFERROR(INDEX(I_COA!$G$6:$G$265,MATCH(D2658,I_COA!$A$6:$A$265,0)),"N"))</f>
        <v/>
      </c>
      <c r="O2658" s="11" t="str">
        <f aca="false">IF(N2658="N",ABS(J2658),"")</f>
        <v/>
      </c>
      <c r="P2658" s="18" t="str">
        <f aca="false">IF(N2658="N",B2658&amp;"|"&amp;ROUND(O2658,0),"")</f>
        <v/>
      </c>
      <c r="Q2658" s="18" t="str">
        <f aca="false">IF(N2658&lt;&gt;"Y","",IFERROR(INDEX($D$6:$D$4005,MATCH(B2658&amp;"|"&amp;ROUND(_xlfn.MAXIFS($O$6:$O$4005,$B$6:$B$4005,B2658,$N$6:$N$4005,"N"),0),$P$6:$P$4005,0)),"(tanpa lawan)"))</f>
        <v/>
      </c>
      <c r="R2658" s="44"/>
      <c r="S2658" s="9" t="str">
        <f aca="false">IF(N2658&lt;&gt;"Y","",IF(R2658&lt;&gt;"",R2658,IF(Q2658="(tanpa lawan)","Transfer antar rekening",IFERROR(INDEX(I_COA!$F$6:$F$265,MATCH(Q2658,I_COA!$A$6:$A$265,0)),"?"))))</f>
        <v/>
      </c>
    </row>
    <row r="2659" customFormat="false" ht="15" hidden="false" customHeight="false" outlineLevel="0" collapsed="false">
      <c r="A2659" s="37"/>
      <c r="B2659" s="44"/>
      <c r="C2659" s="44"/>
      <c r="D2659" s="44"/>
      <c r="E2659" s="44"/>
      <c r="F2659" s="44"/>
      <c r="G2659" s="42"/>
      <c r="H2659" s="42"/>
      <c r="I2659" s="44"/>
      <c r="J2659" s="11" t="str">
        <f aca="false">IF(D2659="","",N(G2659)-N(H2659))</f>
        <v/>
      </c>
      <c r="K2659" s="34" t="str">
        <f aca="false">IF(D2659="","",IFERROR(INDEX(I_COA!$C$6:$C$265,MATCH(D2659,I_COA!$A$6:$A$265,0)),"AKUN BARU"))</f>
        <v/>
      </c>
      <c r="L2659" s="34" t="str">
        <f aca="false">IF(K2659="LabaRugi",INDEX(I_COA!$D$6:$D$265,MATCH(D2659,I_COA!$A$6:$A$265,0)),"")</f>
        <v/>
      </c>
      <c r="M2659" s="34" t="str">
        <f aca="false">IF(K2659="Neraca",INDEX(I_COA!$E$6:$E$265,MATCH(D2659,I_COA!$A$6:$A$265,0)),"")</f>
        <v/>
      </c>
      <c r="N2659" s="34" t="str">
        <f aca="false">IF(D2659="","",IFERROR(INDEX(I_COA!$G$6:$G$265,MATCH(D2659,I_COA!$A$6:$A$265,0)),"N"))</f>
        <v/>
      </c>
      <c r="O2659" s="11" t="str">
        <f aca="false">IF(N2659="N",ABS(J2659),"")</f>
        <v/>
      </c>
      <c r="P2659" s="18" t="str">
        <f aca="false">IF(N2659="N",B2659&amp;"|"&amp;ROUND(O2659,0),"")</f>
        <v/>
      </c>
      <c r="Q2659" s="18" t="str">
        <f aca="false">IF(N2659&lt;&gt;"Y","",IFERROR(INDEX($D$6:$D$4005,MATCH(B2659&amp;"|"&amp;ROUND(_xlfn.MAXIFS($O$6:$O$4005,$B$6:$B$4005,B2659,$N$6:$N$4005,"N"),0),$P$6:$P$4005,0)),"(tanpa lawan)"))</f>
        <v/>
      </c>
      <c r="R2659" s="44"/>
      <c r="S2659" s="9" t="str">
        <f aca="false">IF(N2659&lt;&gt;"Y","",IF(R2659&lt;&gt;"",R2659,IF(Q2659="(tanpa lawan)","Transfer antar rekening",IFERROR(INDEX(I_COA!$F$6:$F$265,MATCH(Q2659,I_COA!$A$6:$A$265,0)),"?"))))</f>
        <v/>
      </c>
    </row>
    <row r="2660" customFormat="false" ht="15" hidden="false" customHeight="false" outlineLevel="0" collapsed="false">
      <c r="A2660" s="37"/>
      <c r="B2660" s="44"/>
      <c r="C2660" s="44"/>
      <c r="D2660" s="44"/>
      <c r="E2660" s="44"/>
      <c r="F2660" s="44"/>
      <c r="G2660" s="42"/>
      <c r="H2660" s="42"/>
      <c r="I2660" s="44"/>
      <c r="J2660" s="11" t="str">
        <f aca="false">IF(D2660="","",N(G2660)-N(H2660))</f>
        <v/>
      </c>
      <c r="K2660" s="34" t="str">
        <f aca="false">IF(D2660="","",IFERROR(INDEX(I_COA!$C$6:$C$265,MATCH(D2660,I_COA!$A$6:$A$265,0)),"AKUN BARU"))</f>
        <v/>
      </c>
      <c r="L2660" s="34" t="str">
        <f aca="false">IF(K2660="LabaRugi",INDEX(I_COA!$D$6:$D$265,MATCH(D2660,I_COA!$A$6:$A$265,0)),"")</f>
        <v/>
      </c>
      <c r="M2660" s="34" t="str">
        <f aca="false">IF(K2660="Neraca",INDEX(I_COA!$E$6:$E$265,MATCH(D2660,I_COA!$A$6:$A$265,0)),"")</f>
        <v/>
      </c>
      <c r="N2660" s="34" t="str">
        <f aca="false">IF(D2660="","",IFERROR(INDEX(I_COA!$G$6:$G$265,MATCH(D2660,I_COA!$A$6:$A$265,0)),"N"))</f>
        <v/>
      </c>
      <c r="O2660" s="11" t="str">
        <f aca="false">IF(N2660="N",ABS(J2660),"")</f>
        <v/>
      </c>
      <c r="P2660" s="18" t="str">
        <f aca="false">IF(N2660="N",B2660&amp;"|"&amp;ROUND(O2660,0),"")</f>
        <v/>
      </c>
      <c r="Q2660" s="18" t="str">
        <f aca="false">IF(N2660&lt;&gt;"Y","",IFERROR(INDEX($D$6:$D$4005,MATCH(B2660&amp;"|"&amp;ROUND(_xlfn.MAXIFS($O$6:$O$4005,$B$6:$B$4005,B2660,$N$6:$N$4005,"N"),0),$P$6:$P$4005,0)),"(tanpa lawan)"))</f>
        <v/>
      </c>
      <c r="R2660" s="44"/>
      <c r="S2660" s="9" t="str">
        <f aca="false">IF(N2660&lt;&gt;"Y","",IF(R2660&lt;&gt;"",R2660,IF(Q2660="(tanpa lawan)","Transfer antar rekening",IFERROR(INDEX(I_COA!$F$6:$F$265,MATCH(Q2660,I_COA!$A$6:$A$265,0)),"?"))))</f>
        <v/>
      </c>
    </row>
    <row r="2661" customFormat="false" ht="15" hidden="false" customHeight="false" outlineLevel="0" collapsed="false">
      <c r="A2661" s="37"/>
      <c r="B2661" s="44"/>
      <c r="C2661" s="44"/>
      <c r="D2661" s="44"/>
      <c r="E2661" s="44"/>
      <c r="F2661" s="44"/>
      <c r="G2661" s="42"/>
      <c r="H2661" s="42"/>
      <c r="I2661" s="44"/>
      <c r="J2661" s="11" t="str">
        <f aca="false">IF(D2661="","",N(G2661)-N(H2661))</f>
        <v/>
      </c>
      <c r="K2661" s="34" t="str">
        <f aca="false">IF(D2661="","",IFERROR(INDEX(I_COA!$C$6:$C$265,MATCH(D2661,I_COA!$A$6:$A$265,0)),"AKUN BARU"))</f>
        <v/>
      </c>
      <c r="L2661" s="34" t="str">
        <f aca="false">IF(K2661="LabaRugi",INDEX(I_COA!$D$6:$D$265,MATCH(D2661,I_COA!$A$6:$A$265,0)),"")</f>
        <v/>
      </c>
      <c r="M2661" s="34" t="str">
        <f aca="false">IF(K2661="Neraca",INDEX(I_COA!$E$6:$E$265,MATCH(D2661,I_COA!$A$6:$A$265,0)),"")</f>
        <v/>
      </c>
      <c r="N2661" s="34" t="str">
        <f aca="false">IF(D2661="","",IFERROR(INDEX(I_COA!$G$6:$G$265,MATCH(D2661,I_COA!$A$6:$A$265,0)),"N"))</f>
        <v/>
      </c>
      <c r="O2661" s="11" t="str">
        <f aca="false">IF(N2661="N",ABS(J2661),"")</f>
        <v/>
      </c>
      <c r="P2661" s="18" t="str">
        <f aca="false">IF(N2661="N",B2661&amp;"|"&amp;ROUND(O2661,0),"")</f>
        <v/>
      </c>
      <c r="Q2661" s="18" t="str">
        <f aca="false">IF(N2661&lt;&gt;"Y","",IFERROR(INDEX($D$6:$D$4005,MATCH(B2661&amp;"|"&amp;ROUND(_xlfn.MAXIFS($O$6:$O$4005,$B$6:$B$4005,B2661,$N$6:$N$4005,"N"),0),$P$6:$P$4005,0)),"(tanpa lawan)"))</f>
        <v/>
      </c>
      <c r="R2661" s="44"/>
      <c r="S2661" s="9" t="str">
        <f aca="false">IF(N2661&lt;&gt;"Y","",IF(R2661&lt;&gt;"",R2661,IF(Q2661="(tanpa lawan)","Transfer antar rekening",IFERROR(INDEX(I_COA!$F$6:$F$265,MATCH(Q2661,I_COA!$A$6:$A$265,0)),"?"))))</f>
        <v/>
      </c>
    </row>
    <row r="2662" customFormat="false" ht="15" hidden="false" customHeight="false" outlineLevel="0" collapsed="false">
      <c r="A2662" s="37"/>
      <c r="B2662" s="44"/>
      <c r="C2662" s="44"/>
      <c r="D2662" s="44"/>
      <c r="E2662" s="44"/>
      <c r="F2662" s="44"/>
      <c r="G2662" s="42"/>
      <c r="H2662" s="42"/>
      <c r="I2662" s="44"/>
      <c r="J2662" s="11" t="str">
        <f aca="false">IF(D2662="","",N(G2662)-N(H2662))</f>
        <v/>
      </c>
      <c r="K2662" s="34" t="str">
        <f aca="false">IF(D2662="","",IFERROR(INDEX(I_COA!$C$6:$C$265,MATCH(D2662,I_COA!$A$6:$A$265,0)),"AKUN BARU"))</f>
        <v/>
      </c>
      <c r="L2662" s="34" t="str">
        <f aca="false">IF(K2662="LabaRugi",INDEX(I_COA!$D$6:$D$265,MATCH(D2662,I_COA!$A$6:$A$265,0)),"")</f>
        <v/>
      </c>
      <c r="M2662" s="34" t="str">
        <f aca="false">IF(K2662="Neraca",INDEX(I_COA!$E$6:$E$265,MATCH(D2662,I_COA!$A$6:$A$265,0)),"")</f>
        <v/>
      </c>
      <c r="N2662" s="34" t="str">
        <f aca="false">IF(D2662="","",IFERROR(INDEX(I_COA!$G$6:$G$265,MATCH(D2662,I_COA!$A$6:$A$265,0)),"N"))</f>
        <v/>
      </c>
      <c r="O2662" s="11" t="str">
        <f aca="false">IF(N2662="N",ABS(J2662),"")</f>
        <v/>
      </c>
      <c r="P2662" s="18" t="str">
        <f aca="false">IF(N2662="N",B2662&amp;"|"&amp;ROUND(O2662,0),"")</f>
        <v/>
      </c>
      <c r="Q2662" s="18" t="str">
        <f aca="false">IF(N2662&lt;&gt;"Y","",IFERROR(INDEX($D$6:$D$4005,MATCH(B2662&amp;"|"&amp;ROUND(_xlfn.MAXIFS($O$6:$O$4005,$B$6:$B$4005,B2662,$N$6:$N$4005,"N"),0),$P$6:$P$4005,0)),"(tanpa lawan)"))</f>
        <v/>
      </c>
      <c r="R2662" s="44"/>
      <c r="S2662" s="9" t="str">
        <f aca="false">IF(N2662&lt;&gt;"Y","",IF(R2662&lt;&gt;"",R2662,IF(Q2662="(tanpa lawan)","Transfer antar rekening",IFERROR(INDEX(I_COA!$F$6:$F$265,MATCH(Q2662,I_COA!$A$6:$A$265,0)),"?"))))</f>
        <v/>
      </c>
    </row>
    <row r="2663" customFormat="false" ht="15" hidden="false" customHeight="false" outlineLevel="0" collapsed="false">
      <c r="A2663" s="37"/>
      <c r="B2663" s="44"/>
      <c r="C2663" s="44"/>
      <c r="D2663" s="44"/>
      <c r="E2663" s="44"/>
      <c r="F2663" s="44"/>
      <c r="G2663" s="42"/>
      <c r="H2663" s="42"/>
      <c r="I2663" s="44"/>
      <c r="J2663" s="11" t="str">
        <f aca="false">IF(D2663="","",N(G2663)-N(H2663))</f>
        <v/>
      </c>
      <c r="K2663" s="34" t="str">
        <f aca="false">IF(D2663="","",IFERROR(INDEX(I_COA!$C$6:$C$265,MATCH(D2663,I_COA!$A$6:$A$265,0)),"AKUN BARU"))</f>
        <v/>
      </c>
      <c r="L2663" s="34" t="str">
        <f aca="false">IF(K2663="LabaRugi",INDEX(I_COA!$D$6:$D$265,MATCH(D2663,I_COA!$A$6:$A$265,0)),"")</f>
        <v/>
      </c>
      <c r="M2663" s="34" t="str">
        <f aca="false">IF(K2663="Neraca",INDEX(I_COA!$E$6:$E$265,MATCH(D2663,I_COA!$A$6:$A$265,0)),"")</f>
        <v/>
      </c>
      <c r="N2663" s="34" t="str">
        <f aca="false">IF(D2663="","",IFERROR(INDEX(I_COA!$G$6:$G$265,MATCH(D2663,I_COA!$A$6:$A$265,0)),"N"))</f>
        <v/>
      </c>
      <c r="O2663" s="11" t="str">
        <f aca="false">IF(N2663="N",ABS(J2663),"")</f>
        <v/>
      </c>
      <c r="P2663" s="18" t="str">
        <f aca="false">IF(N2663="N",B2663&amp;"|"&amp;ROUND(O2663,0),"")</f>
        <v/>
      </c>
      <c r="Q2663" s="18" t="str">
        <f aca="false">IF(N2663&lt;&gt;"Y","",IFERROR(INDEX($D$6:$D$4005,MATCH(B2663&amp;"|"&amp;ROUND(_xlfn.MAXIFS($O$6:$O$4005,$B$6:$B$4005,B2663,$N$6:$N$4005,"N"),0),$P$6:$P$4005,0)),"(tanpa lawan)"))</f>
        <v/>
      </c>
      <c r="R2663" s="44"/>
      <c r="S2663" s="9" t="str">
        <f aca="false">IF(N2663&lt;&gt;"Y","",IF(R2663&lt;&gt;"",R2663,IF(Q2663="(tanpa lawan)","Transfer antar rekening",IFERROR(INDEX(I_COA!$F$6:$F$265,MATCH(Q2663,I_COA!$A$6:$A$265,0)),"?"))))</f>
        <v/>
      </c>
    </row>
    <row r="2664" customFormat="false" ht="15" hidden="false" customHeight="false" outlineLevel="0" collapsed="false">
      <c r="A2664" s="37"/>
      <c r="B2664" s="44"/>
      <c r="C2664" s="44"/>
      <c r="D2664" s="44"/>
      <c r="E2664" s="44"/>
      <c r="F2664" s="44"/>
      <c r="G2664" s="42"/>
      <c r="H2664" s="42"/>
      <c r="I2664" s="44"/>
      <c r="J2664" s="11" t="str">
        <f aca="false">IF(D2664="","",N(G2664)-N(H2664))</f>
        <v/>
      </c>
      <c r="K2664" s="34" t="str">
        <f aca="false">IF(D2664="","",IFERROR(INDEX(I_COA!$C$6:$C$265,MATCH(D2664,I_COA!$A$6:$A$265,0)),"AKUN BARU"))</f>
        <v/>
      </c>
      <c r="L2664" s="34" t="str">
        <f aca="false">IF(K2664="LabaRugi",INDEX(I_COA!$D$6:$D$265,MATCH(D2664,I_COA!$A$6:$A$265,0)),"")</f>
        <v/>
      </c>
      <c r="M2664" s="34" t="str">
        <f aca="false">IF(K2664="Neraca",INDEX(I_COA!$E$6:$E$265,MATCH(D2664,I_COA!$A$6:$A$265,0)),"")</f>
        <v/>
      </c>
      <c r="N2664" s="34" t="str">
        <f aca="false">IF(D2664="","",IFERROR(INDEX(I_COA!$G$6:$G$265,MATCH(D2664,I_COA!$A$6:$A$265,0)),"N"))</f>
        <v/>
      </c>
      <c r="O2664" s="11" t="str">
        <f aca="false">IF(N2664="N",ABS(J2664),"")</f>
        <v/>
      </c>
      <c r="P2664" s="18" t="str">
        <f aca="false">IF(N2664="N",B2664&amp;"|"&amp;ROUND(O2664,0),"")</f>
        <v/>
      </c>
      <c r="Q2664" s="18" t="str">
        <f aca="false">IF(N2664&lt;&gt;"Y","",IFERROR(INDEX($D$6:$D$4005,MATCH(B2664&amp;"|"&amp;ROUND(_xlfn.MAXIFS($O$6:$O$4005,$B$6:$B$4005,B2664,$N$6:$N$4005,"N"),0),$P$6:$P$4005,0)),"(tanpa lawan)"))</f>
        <v/>
      </c>
      <c r="R2664" s="44"/>
      <c r="S2664" s="9" t="str">
        <f aca="false">IF(N2664&lt;&gt;"Y","",IF(R2664&lt;&gt;"",R2664,IF(Q2664="(tanpa lawan)","Transfer antar rekening",IFERROR(INDEX(I_COA!$F$6:$F$265,MATCH(Q2664,I_COA!$A$6:$A$265,0)),"?"))))</f>
        <v/>
      </c>
    </row>
    <row r="2665" customFormat="false" ht="15" hidden="false" customHeight="false" outlineLevel="0" collapsed="false">
      <c r="A2665" s="37"/>
      <c r="B2665" s="44"/>
      <c r="C2665" s="44"/>
      <c r="D2665" s="44"/>
      <c r="E2665" s="44"/>
      <c r="F2665" s="44"/>
      <c r="G2665" s="42"/>
      <c r="H2665" s="42"/>
      <c r="I2665" s="44"/>
      <c r="J2665" s="11" t="str">
        <f aca="false">IF(D2665="","",N(G2665)-N(H2665))</f>
        <v/>
      </c>
      <c r="K2665" s="34" t="str">
        <f aca="false">IF(D2665="","",IFERROR(INDEX(I_COA!$C$6:$C$265,MATCH(D2665,I_COA!$A$6:$A$265,0)),"AKUN BARU"))</f>
        <v/>
      </c>
      <c r="L2665" s="34" t="str">
        <f aca="false">IF(K2665="LabaRugi",INDEX(I_COA!$D$6:$D$265,MATCH(D2665,I_COA!$A$6:$A$265,0)),"")</f>
        <v/>
      </c>
      <c r="M2665" s="34" t="str">
        <f aca="false">IF(K2665="Neraca",INDEX(I_COA!$E$6:$E$265,MATCH(D2665,I_COA!$A$6:$A$265,0)),"")</f>
        <v/>
      </c>
      <c r="N2665" s="34" t="str">
        <f aca="false">IF(D2665="","",IFERROR(INDEX(I_COA!$G$6:$G$265,MATCH(D2665,I_COA!$A$6:$A$265,0)),"N"))</f>
        <v/>
      </c>
      <c r="O2665" s="11" t="str">
        <f aca="false">IF(N2665="N",ABS(J2665),"")</f>
        <v/>
      </c>
      <c r="P2665" s="18" t="str">
        <f aca="false">IF(N2665="N",B2665&amp;"|"&amp;ROUND(O2665,0),"")</f>
        <v/>
      </c>
      <c r="Q2665" s="18" t="str">
        <f aca="false">IF(N2665&lt;&gt;"Y","",IFERROR(INDEX($D$6:$D$4005,MATCH(B2665&amp;"|"&amp;ROUND(_xlfn.MAXIFS($O$6:$O$4005,$B$6:$B$4005,B2665,$N$6:$N$4005,"N"),0),$P$6:$P$4005,0)),"(tanpa lawan)"))</f>
        <v/>
      </c>
      <c r="R2665" s="44"/>
      <c r="S2665" s="9" t="str">
        <f aca="false">IF(N2665&lt;&gt;"Y","",IF(R2665&lt;&gt;"",R2665,IF(Q2665="(tanpa lawan)","Transfer antar rekening",IFERROR(INDEX(I_COA!$F$6:$F$265,MATCH(Q2665,I_COA!$A$6:$A$265,0)),"?"))))</f>
        <v/>
      </c>
    </row>
    <row r="2666" customFormat="false" ht="15" hidden="false" customHeight="false" outlineLevel="0" collapsed="false">
      <c r="A2666" s="37"/>
      <c r="B2666" s="44"/>
      <c r="C2666" s="44"/>
      <c r="D2666" s="44"/>
      <c r="E2666" s="44"/>
      <c r="F2666" s="44"/>
      <c r="G2666" s="42"/>
      <c r="H2666" s="42"/>
      <c r="I2666" s="44"/>
      <c r="J2666" s="11" t="str">
        <f aca="false">IF(D2666="","",N(G2666)-N(H2666))</f>
        <v/>
      </c>
      <c r="K2666" s="34" t="str">
        <f aca="false">IF(D2666="","",IFERROR(INDEX(I_COA!$C$6:$C$265,MATCH(D2666,I_COA!$A$6:$A$265,0)),"AKUN BARU"))</f>
        <v/>
      </c>
      <c r="L2666" s="34" t="str">
        <f aca="false">IF(K2666="LabaRugi",INDEX(I_COA!$D$6:$D$265,MATCH(D2666,I_COA!$A$6:$A$265,0)),"")</f>
        <v/>
      </c>
      <c r="M2666" s="34" t="str">
        <f aca="false">IF(K2666="Neraca",INDEX(I_COA!$E$6:$E$265,MATCH(D2666,I_COA!$A$6:$A$265,0)),"")</f>
        <v/>
      </c>
      <c r="N2666" s="34" t="str">
        <f aca="false">IF(D2666="","",IFERROR(INDEX(I_COA!$G$6:$G$265,MATCH(D2666,I_COA!$A$6:$A$265,0)),"N"))</f>
        <v/>
      </c>
      <c r="O2666" s="11" t="str">
        <f aca="false">IF(N2666="N",ABS(J2666),"")</f>
        <v/>
      </c>
      <c r="P2666" s="18" t="str">
        <f aca="false">IF(N2666="N",B2666&amp;"|"&amp;ROUND(O2666,0),"")</f>
        <v/>
      </c>
      <c r="Q2666" s="18" t="str">
        <f aca="false">IF(N2666&lt;&gt;"Y","",IFERROR(INDEX($D$6:$D$4005,MATCH(B2666&amp;"|"&amp;ROUND(_xlfn.MAXIFS($O$6:$O$4005,$B$6:$B$4005,B2666,$N$6:$N$4005,"N"),0),$P$6:$P$4005,0)),"(tanpa lawan)"))</f>
        <v/>
      </c>
      <c r="R2666" s="44"/>
      <c r="S2666" s="9" t="str">
        <f aca="false">IF(N2666&lt;&gt;"Y","",IF(R2666&lt;&gt;"",R2666,IF(Q2666="(tanpa lawan)","Transfer antar rekening",IFERROR(INDEX(I_COA!$F$6:$F$265,MATCH(Q2666,I_COA!$A$6:$A$265,0)),"?"))))</f>
        <v/>
      </c>
    </row>
    <row r="2667" customFormat="false" ht="15" hidden="false" customHeight="false" outlineLevel="0" collapsed="false">
      <c r="A2667" s="37"/>
      <c r="B2667" s="44"/>
      <c r="C2667" s="44"/>
      <c r="D2667" s="44"/>
      <c r="E2667" s="44"/>
      <c r="F2667" s="44"/>
      <c r="G2667" s="42"/>
      <c r="H2667" s="42"/>
      <c r="I2667" s="44"/>
      <c r="J2667" s="11" t="str">
        <f aca="false">IF(D2667="","",N(G2667)-N(H2667))</f>
        <v/>
      </c>
      <c r="K2667" s="34" t="str">
        <f aca="false">IF(D2667="","",IFERROR(INDEX(I_COA!$C$6:$C$265,MATCH(D2667,I_COA!$A$6:$A$265,0)),"AKUN BARU"))</f>
        <v/>
      </c>
      <c r="L2667" s="34" t="str">
        <f aca="false">IF(K2667="LabaRugi",INDEX(I_COA!$D$6:$D$265,MATCH(D2667,I_COA!$A$6:$A$265,0)),"")</f>
        <v/>
      </c>
      <c r="M2667" s="34" t="str">
        <f aca="false">IF(K2667="Neraca",INDEX(I_COA!$E$6:$E$265,MATCH(D2667,I_COA!$A$6:$A$265,0)),"")</f>
        <v/>
      </c>
      <c r="N2667" s="34" t="str">
        <f aca="false">IF(D2667="","",IFERROR(INDEX(I_COA!$G$6:$G$265,MATCH(D2667,I_COA!$A$6:$A$265,0)),"N"))</f>
        <v/>
      </c>
      <c r="O2667" s="11" t="str">
        <f aca="false">IF(N2667="N",ABS(J2667),"")</f>
        <v/>
      </c>
      <c r="P2667" s="18" t="str">
        <f aca="false">IF(N2667="N",B2667&amp;"|"&amp;ROUND(O2667,0),"")</f>
        <v/>
      </c>
      <c r="Q2667" s="18" t="str">
        <f aca="false">IF(N2667&lt;&gt;"Y","",IFERROR(INDEX($D$6:$D$4005,MATCH(B2667&amp;"|"&amp;ROUND(_xlfn.MAXIFS($O$6:$O$4005,$B$6:$B$4005,B2667,$N$6:$N$4005,"N"),0),$P$6:$P$4005,0)),"(tanpa lawan)"))</f>
        <v/>
      </c>
      <c r="R2667" s="44"/>
      <c r="S2667" s="9" t="str">
        <f aca="false">IF(N2667&lt;&gt;"Y","",IF(R2667&lt;&gt;"",R2667,IF(Q2667="(tanpa lawan)","Transfer antar rekening",IFERROR(INDEX(I_COA!$F$6:$F$265,MATCH(Q2667,I_COA!$A$6:$A$265,0)),"?"))))</f>
        <v/>
      </c>
    </row>
    <row r="2668" customFormat="false" ht="15" hidden="false" customHeight="false" outlineLevel="0" collapsed="false">
      <c r="A2668" s="37"/>
      <c r="B2668" s="44"/>
      <c r="C2668" s="44"/>
      <c r="D2668" s="44"/>
      <c r="E2668" s="44"/>
      <c r="F2668" s="44"/>
      <c r="G2668" s="42"/>
      <c r="H2668" s="42"/>
      <c r="I2668" s="44"/>
      <c r="J2668" s="11" t="str">
        <f aca="false">IF(D2668="","",N(G2668)-N(H2668))</f>
        <v/>
      </c>
      <c r="K2668" s="34" t="str">
        <f aca="false">IF(D2668="","",IFERROR(INDEX(I_COA!$C$6:$C$265,MATCH(D2668,I_COA!$A$6:$A$265,0)),"AKUN BARU"))</f>
        <v/>
      </c>
      <c r="L2668" s="34" t="str">
        <f aca="false">IF(K2668="LabaRugi",INDEX(I_COA!$D$6:$D$265,MATCH(D2668,I_COA!$A$6:$A$265,0)),"")</f>
        <v/>
      </c>
      <c r="M2668" s="34" t="str">
        <f aca="false">IF(K2668="Neraca",INDEX(I_COA!$E$6:$E$265,MATCH(D2668,I_COA!$A$6:$A$265,0)),"")</f>
        <v/>
      </c>
      <c r="N2668" s="34" t="str">
        <f aca="false">IF(D2668="","",IFERROR(INDEX(I_COA!$G$6:$G$265,MATCH(D2668,I_COA!$A$6:$A$265,0)),"N"))</f>
        <v/>
      </c>
      <c r="O2668" s="11" t="str">
        <f aca="false">IF(N2668="N",ABS(J2668),"")</f>
        <v/>
      </c>
      <c r="P2668" s="18" t="str">
        <f aca="false">IF(N2668="N",B2668&amp;"|"&amp;ROUND(O2668,0),"")</f>
        <v/>
      </c>
      <c r="Q2668" s="18" t="str">
        <f aca="false">IF(N2668&lt;&gt;"Y","",IFERROR(INDEX($D$6:$D$4005,MATCH(B2668&amp;"|"&amp;ROUND(_xlfn.MAXIFS($O$6:$O$4005,$B$6:$B$4005,B2668,$N$6:$N$4005,"N"),0),$P$6:$P$4005,0)),"(tanpa lawan)"))</f>
        <v/>
      </c>
      <c r="R2668" s="44"/>
      <c r="S2668" s="9" t="str">
        <f aca="false">IF(N2668&lt;&gt;"Y","",IF(R2668&lt;&gt;"",R2668,IF(Q2668="(tanpa lawan)","Transfer antar rekening",IFERROR(INDEX(I_COA!$F$6:$F$265,MATCH(Q2668,I_COA!$A$6:$A$265,0)),"?"))))</f>
        <v/>
      </c>
    </row>
    <row r="2669" customFormat="false" ht="15" hidden="false" customHeight="false" outlineLevel="0" collapsed="false">
      <c r="A2669" s="37"/>
      <c r="B2669" s="44"/>
      <c r="C2669" s="44"/>
      <c r="D2669" s="44"/>
      <c r="E2669" s="44"/>
      <c r="F2669" s="44"/>
      <c r="G2669" s="42"/>
      <c r="H2669" s="42"/>
      <c r="I2669" s="44"/>
      <c r="J2669" s="11" t="str">
        <f aca="false">IF(D2669="","",N(G2669)-N(H2669))</f>
        <v/>
      </c>
      <c r="K2669" s="34" t="str">
        <f aca="false">IF(D2669="","",IFERROR(INDEX(I_COA!$C$6:$C$265,MATCH(D2669,I_COA!$A$6:$A$265,0)),"AKUN BARU"))</f>
        <v/>
      </c>
      <c r="L2669" s="34" t="str">
        <f aca="false">IF(K2669="LabaRugi",INDEX(I_COA!$D$6:$D$265,MATCH(D2669,I_COA!$A$6:$A$265,0)),"")</f>
        <v/>
      </c>
      <c r="M2669" s="34" t="str">
        <f aca="false">IF(K2669="Neraca",INDEX(I_COA!$E$6:$E$265,MATCH(D2669,I_COA!$A$6:$A$265,0)),"")</f>
        <v/>
      </c>
      <c r="N2669" s="34" t="str">
        <f aca="false">IF(D2669="","",IFERROR(INDEX(I_COA!$G$6:$G$265,MATCH(D2669,I_COA!$A$6:$A$265,0)),"N"))</f>
        <v/>
      </c>
      <c r="O2669" s="11" t="str">
        <f aca="false">IF(N2669="N",ABS(J2669),"")</f>
        <v/>
      </c>
      <c r="P2669" s="18" t="str">
        <f aca="false">IF(N2669="N",B2669&amp;"|"&amp;ROUND(O2669,0),"")</f>
        <v/>
      </c>
      <c r="Q2669" s="18" t="str">
        <f aca="false">IF(N2669&lt;&gt;"Y","",IFERROR(INDEX($D$6:$D$4005,MATCH(B2669&amp;"|"&amp;ROUND(_xlfn.MAXIFS($O$6:$O$4005,$B$6:$B$4005,B2669,$N$6:$N$4005,"N"),0),$P$6:$P$4005,0)),"(tanpa lawan)"))</f>
        <v/>
      </c>
      <c r="R2669" s="44"/>
      <c r="S2669" s="9" t="str">
        <f aca="false">IF(N2669&lt;&gt;"Y","",IF(R2669&lt;&gt;"",R2669,IF(Q2669="(tanpa lawan)","Transfer antar rekening",IFERROR(INDEX(I_COA!$F$6:$F$265,MATCH(Q2669,I_COA!$A$6:$A$265,0)),"?"))))</f>
        <v/>
      </c>
    </row>
    <row r="2670" customFormat="false" ht="15" hidden="false" customHeight="false" outlineLevel="0" collapsed="false">
      <c r="A2670" s="37"/>
      <c r="B2670" s="44"/>
      <c r="C2670" s="44"/>
      <c r="D2670" s="44"/>
      <c r="E2670" s="44"/>
      <c r="F2670" s="44"/>
      <c r="G2670" s="42"/>
      <c r="H2670" s="42"/>
      <c r="I2670" s="44"/>
      <c r="J2670" s="11" t="str">
        <f aca="false">IF(D2670="","",N(G2670)-N(H2670))</f>
        <v/>
      </c>
      <c r="K2670" s="34" t="str">
        <f aca="false">IF(D2670="","",IFERROR(INDEX(I_COA!$C$6:$C$265,MATCH(D2670,I_COA!$A$6:$A$265,0)),"AKUN BARU"))</f>
        <v/>
      </c>
      <c r="L2670" s="34" t="str">
        <f aca="false">IF(K2670="LabaRugi",INDEX(I_COA!$D$6:$D$265,MATCH(D2670,I_COA!$A$6:$A$265,0)),"")</f>
        <v/>
      </c>
      <c r="M2670" s="34" t="str">
        <f aca="false">IF(K2670="Neraca",INDEX(I_COA!$E$6:$E$265,MATCH(D2670,I_COA!$A$6:$A$265,0)),"")</f>
        <v/>
      </c>
      <c r="N2670" s="34" t="str">
        <f aca="false">IF(D2670="","",IFERROR(INDEX(I_COA!$G$6:$G$265,MATCH(D2670,I_COA!$A$6:$A$265,0)),"N"))</f>
        <v/>
      </c>
      <c r="O2670" s="11" t="str">
        <f aca="false">IF(N2670="N",ABS(J2670),"")</f>
        <v/>
      </c>
      <c r="P2670" s="18" t="str">
        <f aca="false">IF(N2670="N",B2670&amp;"|"&amp;ROUND(O2670,0),"")</f>
        <v/>
      </c>
      <c r="Q2670" s="18" t="str">
        <f aca="false">IF(N2670&lt;&gt;"Y","",IFERROR(INDEX($D$6:$D$4005,MATCH(B2670&amp;"|"&amp;ROUND(_xlfn.MAXIFS($O$6:$O$4005,$B$6:$B$4005,B2670,$N$6:$N$4005,"N"),0),$P$6:$P$4005,0)),"(tanpa lawan)"))</f>
        <v/>
      </c>
      <c r="R2670" s="44"/>
      <c r="S2670" s="9" t="str">
        <f aca="false">IF(N2670&lt;&gt;"Y","",IF(R2670&lt;&gt;"",R2670,IF(Q2670="(tanpa lawan)","Transfer antar rekening",IFERROR(INDEX(I_COA!$F$6:$F$265,MATCH(Q2670,I_COA!$A$6:$A$265,0)),"?"))))</f>
        <v/>
      </c>
    </row>
    <row r="2671" customFormat="false" ht="15" hidden="false" customHeight="false" outlineLevel="0" collapsed="false">
      <c r="A2671" s="37"/>
      <c r="B2671" s="44"/>
      <c r="C2671" s="44"/>
      <c r="D2671" s="44"/>
      <c r="E2671" s="44"/>
      <c r="F2671" s="44"/>
      <c r="G2671" s="42"/>
      <c r="H2671" s="42"/>
      <c r="I2671" s="44"/>
      <c r="J2671" s="11" t="str">
        <f aca="false">IF(D2671="","",N(G2671)-N(H2671))</f>
        <v/>
      </c>
      <c r="K2671" s="34" t="str">
        <f aca="false">IF(D2671="","",IFERROR(INDEX(I_COA!$C$6:$C$265,MATCH(D2671,I_COA!$A$6:$A$265,0)),"AKUN BARU"))</f>
        <v/>
      </c>
      <c r="L2671" s="34" t="str">
        <f aca="false">IF(K2671="LabaRugi",INDEX(I_COA!$D$6:$D$265,MATCH(D2671,I_COA!$A$6:$A$265,0)),"")</f>
        <v/>
      </c>
      <c r="M2671" s="34" t="str">
        <f aca="false">IF(K2671="Neraca",INDEX(I_COA!$E$6:$E$265,MATCH(D2671,I_COA!$A$6:$A$265,0)),"")</f>
        <v/>
      </c>
      <c r="N2671" s="34" t="str">
        <f aca="false">IF(D2671="","",IFERROR(INDEX(I_COA!$G$6:$G$265,MATCH(D2671,I_COA!$A$6:$A$265,0)),"N"))</f>
        <v/>
      </c>
      <c r="O2671" s="11" t="str">
        <f aca="false">IF(N2671="N",ABS(J2671),"")</f>
        <v/>
      </c>
      <c r="P2671" s="18" t="str">
        <f aca="false">IF(N2671="N",B2671&amp;"|"&amp;ROUND(O2671,0),"")</f>
        <v/>
      </c>
      <c r="Q2671" s="18" t="str">
        <f aca="false">IF(N2671&lt;&gt;"Y","",IFERROR(INDEX($D$6:$D$4005,MATCH(B2671&amp;"|"&amp;ROUND(_xlfn.MAXIFS($O$6:$O$4005,$B$6:$B$4005,B2671,$N$6:$N$4005,"N"),0),$P$6:$P$4005,0)),"(tanpa lawan)"))</f>
        <v/>
      </c>
      <c r="R2671" s="44"/>
      <c r="S2671" s="9" t="str">
        <f aca="false">IF(N2671&lt;&gt;"Y","",IF(R2671&lt;&gt;"",R2671,IF(Q2671="(tanpa lawan)","Transfer antar rekening",IFERROR(INDEX(I_COA!$F$6:$F$265,MATCH(Q2671,I_COA!$A$6:$A$265,0)),"?"))))</f>
        <v/>
      </c>
    </row>
    <row r="2672" customFormat="false" ht="15" hidden="false" customHeight="false" outlineLevel="0" collapsed="false">
      <c r="A2672" s="37"/>
      <c r="B2672" s="44"/>
      <c r="C2672" s="44"/>
      <c r="D2672" s="44"/>
      <c r="E2672" s="44"/>
      <c r="F2672" s="44"/>
      <c r="G2672" s="42"/>
      <c r="H2672" s="42"/>
      <c r="I2672" s="44"/>
      <c r="J2672" s="11" t="str">
        <f aca="false">IF(D2672="","",N(G2672)-N(H2672))</f>
        <v/>
      </c>
      <c r="K2672" s="34" t="str">
        <f aca="false">IF(D2672="","",IFERROR(INDEX(I_COA!$C$6:$C$265,MATCH(D2672,I_COA!$A$6:$A$265,0)),"AKUN BARU"))</f>
        <v/>
      </c>
      <c r="L2672" s="34" t="str">
        <f aca="false">IF(K2672="LabaRugi",INDEX(I_COA!$D$6:$D$265,MATCH(D2672,I_COA!$A$6:$A$265,0)),"")</f>
        <v/>
      </c>
      <c r="M2672" s="34" t="str">
        <f aca="false">IF(K2672="Neraca",INDEX(I_COA!$E$6:$E$265,MATCH(D2672,I_COA!$A$6:$A$265,0)),"")</f>
        <v/>
      </c>
      <c r="N2672" s="34" t="str">
        <f aca="false">IF(D2672="","",IFERROR(INDEX(I_COA!$G$6:$G$265,MATCH(D2672,I_COA!$A$6:$A$265,0)),"N"))</f>
        <v/>
      </c>
      <c r="O2672" s="11" t="str">
        <f aca="false">IF(N2672="N",ABS(J2672),"")</f>
        <v/>
      </c>
      <c r="P2672" s="18" t="str">
        <f aca="false">IF(N2672="N",B2672&amp;"|"&amp;ROUND(O2672,0),"")</f>
        <v/>
      </c>
      <c r="Q2672" s="18" t="str">
        <f aca="false">IF(N2672&lt;&gt;"Y","",IFERROR(INDEX($D$6:$D$4005,MATCH(B2672&amp;"|"&amp;ROUND(_xlfn.MAXIFS($O$6:$O$4005,$B$6:$B$4005,B2672,$N$6:$N$4005,"N"),0),$P$6:$P$4005,0)),"(tanpa lawan)"))</f>
        <v/>
      </c>
      <c r="R2672" s="44"/>
      <c r="S2672" s="9" t="str">
        <f aca="false">IF(N2672&lt;&gt;"Y","",IF(R2672&lt;&gt;"",R2672,IF(Q2672="(tanpa lawan)","Transfer antar rekening",IFERROR(INDEX(I_COA!$F$6:$F$265,MATCH(Q2672,I_COA!$A$6:$A$265,0)),"?"))))</f>
        <v/>
      </c>
    </row>
    <row r="2673" customFormat="false" ht="15" hidden="false" customHeight="false" outlineLevel="0" collapsed="false">
      <c r="A2673" s="37"/>
      <c r="B2673" s="44"/>
      <c r="C2673" s="44"/>
      <c r="D2673" s="44"/>
      <c r="E2673" s="44"/>
      <c r="F2673" s="44"/>
      <c r="G2673" s="42"/>
      <c r="H2673" s="42"/>
      <c r="I2673" s="44"/>
      <c r="J2673" s="11" t="str">
        <f aca="false">IF(D2673="","",N(G2673)-N(H2673))</f>
        <v/>
      </c>
      <c r="K2673" s="34" t="str">
        <f aca="false">IF(D2673="","",IFERROR(INDEX(I_COA!$C$6:$C$265,MATCH(D2673,I_COA!$A$6:$A$265,0)),"AKUN BARU"))</f>
        <v/>
      </c>
      <c r="L2673" s="34" t="str">
        <f aca="false">IF(K2673="LabaRugi",INDEX(I_COA!$D$6:$D$265,MATCH(D2673,I_COA!$A$6:$A$265,0)),"")</f>
        <v/>
      </c>
      <c r="M2673" s="34" t="str">
        <f aca="false">IF(K2673="Neraca",INDEX(I_COA!$E$6:$E$265,MATCH(D2673,I_COA!$A$6:$A$265,0)),"")</f>
        <v/>
      </c>
      <c r="N2673" s="34" t="str">
        <f aca="false">IF(D2673="","",IFERROR(INDEX(I_COA!$G$6:$G$265,MATCH(D2673,I_COA!$A$6:$A$265,0)),"N"))</f>
        <v/>
      </c>
      <c r="O2673" s="11" t="str">
        <f aca="false">IF(N2673="N",ABS(J2673),"")</f>
        <v/>
      </c>
      <c r="P2673" s="18" t="str">
        <f aca="false">IF(N2673="N",B2673&amp;"|"&amp;ROUND(O2673,0),"")</f>
        <v/>
      </c>
      <c r="Q2673" s="18" t="str">
        <f aca="false">IF(N2673&lt;&gt;"Y","",IFERROR(INDEX($D$6:$D$4005,MATCH(B2673&amp;"|"&amp;ROUND(_xlfn.MAXIFS($O$6:$O$4005,$B$6:$B$4005,B2673,$N$6:$N$4005,"N"),0),$P$6:$P$4005,0)),"(tanpa lawan)"))</f>
        <v/>
      </c>
      <c r="R2673" s="44"/>
      <c r="S2673" s="9" t="str">
        <f aca="false">IF(N2673&lt;&gt;"Y","",IF(R2673&lt;&gt;"",R2673,IF(Q2673="(tanpa lawan)","Transfer antar rekening",IFERROR(INDEX(I_COA!$F$6:$F$265,MATCH(Q2673,I_COA!$A$6:$A$265,0)),"?"))))</f>
        <v/>
      </c>
    </row>
    <row r="2674" customFormat="false" ht="15" hidden="false" customHeight="false" outlineLevel="0" collapsed="false">
      <c r="A2674" s="37"/>
      <c r="B2674" s="44"/>
      <c r="C2674" s="44"/>
      <c r="D2674" s="44"/>
      <c r="E2674" s="44"/>
      <c r="F2674" s="44"/>
      <c r="G2674" s="42"/>
      <c r="H2674" s="42"/>
      <c r="I2674" s="44"/>
      <c r="J2674" s="11" t="str">
        <f aca="false">IF(D2674="","",N(G2674)-N(H2674))</f>
        <v/>
      </c>
      <c r="K2674" s="34" t="str">
        <f aca="false">IF(D2674="","",IFERROR(INDEX(I_COA!$C$6:$C$265,MATCH(D2674,I_COA!$A$6:$A$265,0)),"AKUN BARU"))</f>
        <v/>
      </c>
      <c r="L2674" s="34" t="str">
        <f aca="false">IF(K2674="LabaRugi",INDEX(I_COA!$D$6:$D$265,MATCH(D2674,I_COA!$A$6:$A$265,0)),"")</f>
        <v/>
      </c>
      <c r="M2674" s="34" t="str">
        <f aca="false">IF(K2674="Neraca",INDEX(I_COA!$E$6:$E$265,MATCH(D2674,I_COA!$A$6:$A$265,0)),"")</f>
        <v/>
      </c>
      <c r="N2674" s="34" t="str">
        <f aca="false">IF(D2674="","",IFERROR(INDEX(I_COA!$G$6:$G$265,MATCH(D2674,I_COA!$A$6:$A$265,0)),"N"))</f>
        <v/>
      </c>
      <c r="O2674" s="11" t="str">
        <f aca="false">IF(N2674="N",ABS(J2674),"")</f>
        <v/>
      </c>
      <c r="P2674" s="18" t="str">
        <f aca="false">IF(N2674="N",B2674&amp;"|"&amp;ROUND(O2674,0),"")</f>
        <v/>
      </c>
      <c r="Q2674" s="18" t="str">
        <f aca="false">IF(N2674&lt;&gt;"Y","",IFERROR(INDEX($D$6:$D$4005,MATCH(B2674&amp;"|"&amp;ROUND(_xlfn.MAXIFS($O$6:$O$4005,$B$6:$B$4005,B2674,$N$6:$N$4005,"N"),0),$P$6:$P$4005,0)),"(tanpa lawan)"))</f>
        <v/>
      </c>
      <c r="R2674" s="44"/>
      <c r="S2674" s="9" t="str">
        <f aca="false">IF(N2674&lt;&gt;"Y","",IF(R2674&lt;&gt;"",R2674,IF(Q2674="(tanpa lawan)","Transfer antar rekening",IFERROR(INDEX(I_COA!$F$6:$F$265,MATCH(Q2674,I_COA!$A$6:$A$265,0)),"?"))))</f>
        <v/>
      </c>
    </row>
    <row r="2675" customFormat="false" ht="15" hidden="false" customHeight="false" outlineLevel="0" collapsed="false">
      <c r="A2675" s="37"/>
      <c r="B2675" s="44"/>
      <c r="C2675" s="44"/>
      <c r="D2675" s="44"/>
      <c r="E2675" s="44"/>
      <c r="F2675" s="44"/>
      <c r="G2675" s="42"/>
      <c r="H2675" s="42"/>
      <c r="I2675" s="44"/>
      <c r="J2675" s="11" t="str">
        <f aca="false">IF(D2675="","",N(G2675)-N(H2675))</f>
        <v/>
      </c>
      <c r="K2675" s="34" t="str">
        <f aca="false">IF(D2675="","",IFERROR(INDEX(I_COA!$C$6:$C$265,MATCH(D2675,I_COA!$A$6:$A$265,0)),"AKUN BARU"))</f>
        <v/>
      </c>
      <c r="L2675" s="34" t="str">
        <f aca="false">IF(K2675="LabaRugi",INDEX(I_COA!$D$6:$D$265,MATCH(D2675,I_COA!$A$6:$A$265,0)),"")</f>
        <v/>
      </c>
      <c r="M2675" s="34" t="str">
        <f aca="false">IF(K2675="Neraca",INDEX(I_COA!$E$6:$E$265,MATCH(D2675,I_COA!$A$6:$A$265,0)),"")</f>
        <v/>
      </c>
      <c r="N2675" s="34" t="str">
        <f aca="false">IF(D2675="","",IFERROR(INDEX(I_COA!$G$6:$G$265,MATCH(D2675,I_COA!$A$6:$A$265,0)),"N"))</f>
        <v/>
      </c>
      <c r="O2675" s="11" t="str">
        <f aca="false">IF(N2675="N",ABS(J2675),"")</f>
        <v/>
      </c>
      <c r="P2675" s="18" t="str">
        <f aca="false">IF(N2675="N",B2675&amp;"|"&amp;ROUND(O2675,0),"")</f>
        <v/>
      </c>
      <c r="Q2675" s="18" t="str">
        <f aca="false">IF(N2675&lt;&gt;"Y","",IFERROR(INDEX($D$6:$D$4005,MATCH(B2675&amp;"|"&amp;ROUND(_xlfn.MAXIFS($O$6:$O$4005,$B$6:$B$4005,B2675,$N$6:$N$4005,"N"),0),$P$6:$P$4005,0)),"(tanpa lawan)"))</f>
        <v/>
      </c>
      <c r="R2675" s="44"/>
      <c r="S2675" s="9" t="str">
        <f aca="false">IF(N2675&lt;&gt;"Y","",IF(R2675&lt;&gt;"",R2675,IF(Q2675="(tanpa lawan)","Transfer antar rekening",IFERROR(INDEX(I_COA!$F$6:$F$265,MATCH(Q2675,I_COA!$A$6:$A$265,0)),"?"))))</f>
        <v/>
      </c>
    </row>
    <row r="2676" customFormat="false" ht="15" hidden="false" customHeight="false" outlineLevel="0" collapsed="false">
      <c r="A2676" s="37"/>
      <c r="B2676" s="44"/>
      <c r="C2676" s="44"/>
      <c r="D2676" s="44"/>
      <c r="E2676" s="44"/>
      <c r="F2676" s="44"/>
      <c r="G2676" s="42"/>
      <c r="H2676" s="42"/>
      <c r="I2676" s="44"/>
      <c r="J2676" s="11" t="str">
        <f aca="false">IF(D2676="","",N(G2676)-N(H2676))</f>
        <v/>
      </c>
      <c r="K2676" s="34" t="str">
        <f aca="false">IF(D2676="","",IFERROR(INDEX(I_COA!$C$6:$C$265,MATCH(D2676,I_COA!$A$6:$A$265,0)),"AKUN BARU"))</f>
        <v/>
      </c>
      <c r="L2676" s="34" t="str">
        <f aca="false">IF(K2676="LabaRugi",INDEX(I_COA!$D$6:$D$265,MATCH(D2676,I_COA!$A$6:$A$265,0)),"")</f>
        <v/>
      </c>
      <c r="M2676" s="34" t="str">
        <f aca="false">IF(K2676="Neraca",INDEX(I_COA!$E$6:$E$265,MATCH(D2676,I_COA!$A$6:$A$265,0)),"")</f>
        <v/>
      </c>
      <c r="N2676" s="34" t="str">
        <f aca="false">IF(D2676="","",IFERROR(INDEX(I_COA!$G$6:$G$265,MATCH(D2676,I_COA!$A$6:$A$265,0)),"N"))</f>
        <v/>
      </c>
      <c r="O2676" s="11" t="str">
        <f aca="false">IF(N2676="N",ABS(J2676),"")</f>
        <v/>
      </c>
      <c r="P2676" s="18" t="str">
        <f aca="false">IF(N2676="N",B2676&amp;"|"&amp;ROUND(O2676,0),"")</f>
        <v/>
      </c>
      <c r="Q2676" s="18" t="str">
        <f aca="false">IF(N2676&lt;&gt;"Y","",IFERROR(INDEX($D$6:$D$4005,MATCH(B2676&amp;"|"&amp;ROUND(_xlfn.MAXIFS($O$6:$O$4005,$B$6:$B$4005,B2676,$N$6:$N$4005,"N"),0),$P$6:$P$4005,0)),"(tanpa lawan)"))</f>
        <v/>
      </c>
      <c r="R2676" s="44"/>
      <c r="S2676" s="9" t="str">
        <f aca="false">IF(N2676&lt;&gt;"Y","",IF(R2676&lt;&gt;"",R2676,IF(Q2676="(tanpa lawan)","Transfer antar rekening",IFERROR(INDEX(I_COA!$F$6:$F$265,MATCH(Q2676,I_COA!$A$6:$A$265,0)),"?"))))</f>
        <v/>
      </c>
    </row>
    <row r="2677" customFormat="false" ht="15" hidden="false" customHeight="false" outlineLevel="0" collapsed="false">
      <c r="A2677" s="37"/>
      <c r="B2677" s="44"/>
      <c r="C2677" s="44"/>
      <c r="D2677" s="44"/>
      <c r="E2677" s="44"/>
      <c r="F2677" s="44"/>
      <c r="G2677" s="42"/>
      <c r="H2677" s="42"/>
      <c r="I2677" s="44"/>
      <c r="J2677" s="11" t="str">
        <f aca="false">IF(D2677="","",N(G2677)-N(H2677))</f>
        <v/>
      </c>
      <c r="K2677" s="34" t="str">
        <f aca="false">IF(D2677="","",IFERROR(INDEX(I_COA!$C$6:$C$265,MATCH(D2677,I_COA!$A$6:$A$265,0)),"AKUN BARU"))</f>
        <v/>
      </c>
      <c r="L2677" s="34" t="str">
        <f aca="false">IF(K2677="LabaRugi",INDEX(I_COA!$D$6:$D$265,MATCH(D2677,I_COA!$A$6:$A$265,0)),"")</f>
        <v/>
      </c>
      <c r="M2677" s="34" t="str">
        <f aca="false">IF(K2677="Neraca",INDEX(I_COA!$E$6:$E$265,MATCH(D2677,I_COA!$A$6:$A$265,0)),"")</f>
        <v/>
      </c>
      <c r="N2677" s="34" t="str">
        <f aca="false">IF(D2677="","",IFERROR(INDEX(I_COA!$G$6:$G$265,MATCH(D2677,I_COA!$A$6:$A$265,0)),"N"))</f>
        <v/>
      </c>
      <c r="O2677" s="11" t="str">
        <f aca="false">IF(N2677="N",ABS(J2677),"")</f>
        <v/>
      </c>
      <c r="P2677" s="18" t="str">
        <f aca="false">IF(N2677="N",B2677&amp;"|"&amp;ROUND(O2677,0),"")</f>
        <v/>
      </c>
      <c r="Q2677" s="18" t="str">
        <f aca="false">IF(N2677&lt;&gt;"Y","",IFERROR(INDEX($D$6:$D$4005,MATCH(B2677&amp;"|"&amp;ROUND(_xlfn.MAXIFS($O$6:$O$4005,$B$6:$B$4005,B2677,$N$6:$N$4005,"N"),0),$P$6:$P$4005,0)),"(tanpa lawan)"))</f>
        <v/>
      </c>
      <c r="R2677" s="44"/>
      <c r="S2677" s="9" t="str">
        <f aca="false">IF(N2677&lt;&gt;"Y","",IF(R2677&lt;&gt;"",R2677,IF(Q2677="(tanpa lawan)","Transfer antar rekening",IFERROR(INDEX(I_COA!$F$6:$F$265,MATCH(Q2677,I_COA!$A$6:$A$265,0)),"?"))))</f>
        <v/>
      </c>
    </row>
    <row r="2678" customFormat="false" ht="15" hidden="false" customHeight="false" outlineLevel="0" collapsed="false">
      <c r="A2678" s="37"/>
      <c r="B2678" s="44"/>
      <c r="C2678" s="44"/>
      <c r="D2678" s="44"/>
      <c r="E2678" s="44"/>
      <c r="F2678" s="44"/>
      <c r="G2678" s="42"/>
      <c r="H2678" s="42"/>
      <c r="I2678" s="44"/>
      <c r="J2678" s="11" t="str">
        <f aca="false">IF(D2678="","",N(G2678)-N(H2678))</f>
        <v/>
      </c>
      <c r="K2678" s="34" t="str">
        <f aca="false">IF(D2678="","",IFERROR(INDEX(I_COA!$C$6:$C$265,MATCH(D2678,I_COA!$A$6:$A$265,0)),"AKUN BARU"))</f>
        <v/>
      </c>
      <c r="L2678" s="34" t="str">
        <f aca="false">IF(K2678="LabaRugi",INDEX(I_COA!$D$6:$D$265,MATCH(D2678,I_COA!$A$6:$A$265,0)),"")</f>
        <v/>
      </c>
      <c r="M2678" s="34" t="str">
        <f aca="false">IF(K2678="Neraca",INDEX(I_COA!$E$6:$E$265,MATCH(D2678,I_COA!$A$6:$A$265,0)),"")</f>
        <v/>
      </c>
      <c r="N2678" s="34" t="str">
        <f aca="false">IF(D2678="","",IFERROR(INDEX(I_COA!$G$6:$G$265,MATCH(D2678,I_COA!$A$6:$A$265,0)),"N"))</f>
        <v/>
      </c>
      <c r="O2678" s="11" t="str">
        <f aca="false">IF(N2678="N",ABS(J2678),"")</f>
        <v/>
      </c>
      <c r="P2678" s="18" t="str">
        <f aca="false">IF(N2678="N",B2678&amp;"|"&amp;ROUND(O2678,0),"")</f>
        <v/>
      </c>
      <c r="Q2678" s="18" t="str">
        <f aca="false">IF(N2678&lt;&gt;"Y","",IFERROR(INDEX($D$6:$D$4005,MATCH(B2678&amp;"|"&amp;ROUND(_xlfn.MAXIFS($O$6:$O$4005,$B$6:$B$4005,B2678,$N$6:$N$4005,"N"),0),$P$6:$P$4005,0)),"(tanpa lawan)"))</f>
        <v/>
      </c>
      <c r="R2678" s="44"/>
      <c r="S2678" s="9" t="str">
        <f aca="false">IF(N2678&lt;&gt;"Y","",IF(R2678&lt;&gt;"",R2678,IF(Q2678="(tanpa lawan)","Transfer antar rekening",IFERROR(INDEX(I_COA!$F$6:$F$265,MATCH(Q2678,I_COA!$A$6:$A$265,0)),"?"))))</f>
        <v/>
      </c>
    </row>
    <row r="2679" customFormat="false" ht="15" hidden="false" customHeight="false" outlineLevel="0" collapsed="false">
      <c r="A2679" s="37"/>
      <c r="B2679" s="44"/>
      <c r="C2679" s="44"/>
      <c r="D2679" s="44"/>
      <c r="E2679" s="44"/>
      <c r="F2679" s="44"/>
      <c r="G2679" s="42"/>
      <c r="H2679" s="42"/>
      <c r="I2679" s="44"/>
      <c r="J2679" s="11" t="str">
        <f aca="false">IF(D2679="","",N(G2679)-N(H2679))</f>
        <v/>
      </c>
      <c r="K2679" s="34" t="str">
        <f aca="false">IF(D2679="","",IFERROR(INDEX(I_COA!$C$6:$C$265,MATCH(D2679,I_COA!$A$6:$A$265,0)),"AKUN BARU"))</f>
        <v/>
      </c>
      <c r="L2679" s="34" t="str">
        <f aca="false">IF(K2679="LabaRugi",INDEX(I_COA!$D$6:$D$265,MATCH(D2679,I_COA!$A$6:$A$265,0)),"")</f>
        <v/>
      </c>
      <c r="M2679" s="34" t="str">
        <f aca="false">IF(K2679="Neraca",INDEX(I_COA!$E$6:$E$265,MATCH(D2679,I_COA!$A$6:$A$265,0)),"")</f>
        <v/>
      </c>
      <c r="N2679" s="34" t="str">
        <f aca="false">IF(D2679="","",IFERROR(INDEX(I_COA!$G$6:$G$265,MATCH(D2679,I_COA!$A$6:$A$265,0)),"N"))</f>
        <v/>
      </c>
      <c r="O2679" s="11" t="str">
        <f aca="false">IF(N2679="N",ABS(J2679),"")</f>
        <v/>
      </c>
      <c r="P2679" s="18" t="str">
        <f aca="false">IF(N2679="N",B2679&amp;"|"&amp;ROUND(O2679,0),"")</f>
        <v/>
      </c>
      <c r="Q2679" s="18" t="str">
        <f aca="false">IF(N2679&lt;&gt;"Y","",IFERROR(INDEX($D$6:$D$4005,MATCH(B2679&amp;"|"&amp;ROUND(_xlfn.MAXIFS($O$6:$O$4005,$B$6:$B$4005,B2679,$N$6:$N$4005,"N"),0),$P$6:$P$4005,0)),"(tanpa lawan)"))</f>
        <v/>
      </c>
      <c r="R2679" s="44"/>
      <c r="S2679" s="9" t="str">
        <f aca="false">IF(N2679&lt;&gt;"Y","",IF(R2679&lt;&gt;"",R2679,IF(Q2679="(tanpa lawan)","Transfer antar rekening",IFERROR(INDEX(I_COA!$F$6:$F$265,MATCH(Q2679,I_COA!$A$6:$A$265,0)),"?"))))</f>
        <v/>
      </c>
    </row>
    <row r="2680" customFormat="false" ht="15" hidden="false" customHeight="false" outlineLevel="0" collapsed="false">
      <c r="A2680" s="37"/>
      <c r="B2680" s="44"/>
      <c r="C2680" s="44"/>
      <c r="D2680" s="44"/>
      <c r="E2680" s="44"/>
      <c r="F2680" s="44"/>
      <c r="G2680" s="42"/>
      <c r="H2680" s="42"/>
      <c r="I2680" s="44"/>
      <c r="J2680" s="11" t="str">
        <f aca="false">IF(D2680="","",N(G2680)-N(H2680))</f>
        <v/>
      </c>
      <c r="K2680" s="34" t="str">
        <f aca="false">IF(D2680="","",IFERROR(INDEX(I_COA!$C$6:$C$265,MATCH(D2680,I_COA!$A$6:$A$265,0)),"AKUN BARU"))</f>
        <v/>
      </c>
      <c r="L2680" s="34" t="str">
        <f aca="false">IF(K2680="LabaRugi",INDEX(I_COA!$D$6:$D$265,MATCH(D2680,I_COA!$A$6:$A$265,0)),"")</f>
        <v/>
      </c>
      <c r="M2680" s="34" t="str">
        <f aca="false">IF(K2680="Neraca",INDEX(I_COA!$E$6:$E$265,MATCH(D2680,I_COA!$A$6:$A$265,0)),"")</f>
        <v/>
      </c>
      <c r="N2680" s="34" t="str">
        <f aca="false">IF(D2680="","",IFERROR(INDEX(I_COA!$G$6:$G$265,MATCH(D2680,I_COA!$A$6:$A$265,0)),"N"))</f>
        <v/>
      </c>
      <c r="O2680" s="11" t="str">
        <f aca="false">IF(N2680="N",ABS(J2680),"")</f>
        <v/>
      </c>
      <c r="P2680" s="18" t="str">
        <f aca="false">IF(N2680="N",B2680&amp;"|"&amp;ROUND(O2680,0),"")</f>
        <v/>
      </c>
      <c r="Q2680" s="18" t="str">
        <f aca="false">IF(N2680&lt;&gt;"Y","",IFERROR(INDEX($D$6:$D$4005,MATCH(B2680&amp;"|"&amp;ROUND(_xlfn.MAXIFS($O$6:$O$4005,$B$6:$B$4005,B2680,$N$6:$N$4005,"N"),0),$P$6:$P$4005,0)),"(tanpa lawan)"))</f>
        <v/>
      </c>
      <c r="R2680" s="44"/>
      <c r="S2680" s="9" t="str">
        <f aca="false">IF(N2680&lt;&gt;"Y","",IF(R2680&lt;&gt;"",R2680,IF(Q2680="(tanpa lawan)","Transfer antar rekening",IFERROR(INDEX(I_COA!$F$6:$F$265,MATCH(Q2680,I_COA!$A$6:$A$265,0)),"?"))))</f>
        <v/>
      </c>
    </row>
    <row r="2681" customFormat="false" ht="15" hidden="false" customHeight="false" outlineLevel="0" collapsed="false">
      <c r="A2681" s="37"/>
      <c r="B2681" s="44"/>
      <c r="C2681" s="44"/>
      <c r="D2681" s="44"/>
      <c r="E2681" s="44"/>
      <c r="F2681" s="44"/>
      <c r="G2681" s="42"/>
      <c r="H2681" s="42"/>
      <c r="I2681" s="44"/>
      <c r="J2681" s="11" t="str">
        <f aca="false">IF(D2681="","",N(G2681)-N(H2681))</f>
        <v/>
      </c>
      <c r="K2681" s="34" t="str">
        <f aca="false">IF(D2681="","",IFERROR(INDEX(I_COA!$C$6:$C$265,MATCH(D2681,I_COA!$A$6:$A$265,0)),"AKUN BARU"))</f>
        <v/>
      </c>
      <c r="L2681" s="34" t="str">
        <f aca="false">IF(K2681="LabaRugi",INDEX(I_COA!$D$6:$D$265,MATCH(D2681,I_COA!$A$6:$A$265,0)),"")</f>
        <v/>
      </c>
      <c r="M2681" s="34" t="str">
        <f aca="false">IF(K2681="Neraca",INDEX(I_COA!$E$6:$E$265,MATCH(D2681,I_COA!$A$6:$A$265,0)),"")</f>
        <v/>
      </c>
      <c r="N2681" s="34" t="str">
        <f aca="false">IF(D2681="","",IFERROR(INDEX(I_COA!$G$6:$G$265,MATCH(D2681,I_COA!$A$6:$A$265,0)),"N"))</f>
        <v/>
      </c>
      <c r="O2681" s="11" t="str">
        <f aca="false">IF(N2681="N",ABS(J2681),"")</f>
        <v/>
      </c>
      <c r="P2681" s="18" t="str">
        <f aca="false">IF(N2681="N",B2681&amp;"|"&amp;ROUND(O2681,0),"")</f>
        <v/>
      </c>
      <c r="Q2681" s="18" t="str">
        <f aca="false">IF(N2681&lt;&gt;"Y","",IFERROR(INDEX($D$6:$D$4005,MATCH(B2681&amp;"|"&amp;ROUND(_xlfn.MAXIFS($O$6:$O$4005,$B$6:$B$4005,B2681,$N$6:$N$4005,"N"),0),$P$6:$P$4005,0)),"(tanpa lawan)"))</f>
        <v/>
      </c>
      <c r="R2681" s="44"/>
      <c r="S2681" s="9" t="str">
        <f aca="false">IF(N2681&lt;&gt;"Y","",IF(R2681&lt;&gt;"",R2681,IF(Q2681="(tanpa lawan)","Transfer antar rekening",IFERROR(INDEX(I_COA!$F$6:$F$265,MATCH(Q2681,I_COA!$A$6:$A$265,0)),"?"))))</f>
        <v/>
      </c>
    </row>
    <row r="2682" customFormat="false" ht="15" hidden="false" customHeight="false" outlineLevel="0" collapsed="false">
      <c r="A2682" s="37"/>
      <c r="B2682" s="44"/>
      <c r="C2682" s="44"/>
      <c r="D2682" s="44"/>
      <c r="E2682" s="44"/>
      <c r="F2682" s="44"/>
      <c r="G2682" s="42"/>
      <c r="H2682" s="42"/>
      <c r="I2682" s="44"/>
      <c r="J2682" s="11" t="str">
        <f aca="false">IF(D2682="","",N(G2682)-N(H2682))</f>
        <v/>
      </c>
      <c r="K2682" s="34" t="str">
        <f aca="false">IF(D2682="","",IFERROR(INDEX(I_COA!$C$6:$C$265,MATCH(D2682,I_COA!$A$6:$A$265,0)),"AKUN BARU"))</f>
        <v/>
      </c>
      <c r="L2682" s="34" t="str">
        <f aca="false">IF(K2682="LabaRugi",INDEX(I_COA!$D$6:$D$265,MATCH(D2682,I_COA!$A$6:$A$265,0)),"")</f>
        <v/>
      </c>
      <c r="M2682" s="34" t="str">
        <f aca="false">IF(K2682="Neraca",INDEX(I_COA!$E$6:$E$265,MATCH(D2682,I_COA!$A$6:$A$265,0)),"")</f>
        <v/>
      </c>
      <c r="N2682" s="34" t="str">
        <f aca="false">IF(D2682="","",IFERROR(INDEX(I_COA!$G$6:$G$265,MATCH(D2682,I_COA!$A$6:$A$265,0)),"N"))</f>
        <v/>
      </c>
      <c r="O2682" s="11" t="str">
        <f aca="false">IF(N2682="N",ABS(J2682),"")</f>
        <v/>
      </c>
      <c r="P2682" s="18" t="str">
        <f aca="false">IF(N2682="N",B2682&amp;"|"&amp;ROUND(O2682,0),"")</f>
        <v/>
      </c>
      <c r="Q2682" s="18" t="str">
        <f aca="false">IF(N2682&lt;&gt;"Y","",IFERROR(INDEX($D$6:$D$4005,MATCH(B2682&amp;"|"&amp;ROUND(_xlfn.MAXIFS($O$6:$O$4005,$B$6:$B$4005,B2682,$N$6:$N$4005,"N"),0),$P$6:$P$4005,0)),"(tanpa lawan)"))</f>
        <v/>
      </c>
      <c r="R2682" s="44"/>
      <c r="S2682" s="9" t="str">
        <f aca="false">IF(N2682&lt;&gt;"Y","",IF(R2682&lt;&gt;"",R2682,IF(Q2682="(tanpa lawan)","Transfer antar rekening",IFERROR(INDEX(I_COA!$F$6:$F$265,MATCH(Q2682,I_COA!$A$6:$A$265,0)),"?"))))</f>
        <v/>
      </c>
    </row>
    <row r="2683" customFormat="false" ht="15" hidden="false" customHeight="false" outlineLevel="0" collapsed="false">
      <c r="A2683" s="37"/>
      <c r="B2683" s="44"/>
      <c r="C2683" s="44"/>
      <c r="D2683" s="44"/>
      <c r="E2683" s="44"/>
      <c r="F2683" s="44"/>
      <c r="G2683" s="42"/>
      <c r="H2683" s="42"/>
      <c r="I2683" s="44"/>
      <c r="J2683" s="11" t="str">
        <f aca="false">IF(D2683="","",N(G2683)-N(H2683))</f>
        <v/>
      </c>
      <c r="K2683" s="34" t="str">
        <f aca="false">IF(D2683="","",IFERROR(INDEX(I_COA!$C$6:$C$265,MATCH(D2683,I_COA!$A$6:$A$265,0)),"AKUN BARU"))</f>
        <v/>
      </c>
      <c r="L2683" s="34" t="str">
        <f aca="false">IF(K2683="LabaRugi",INDEX(I_COA!$D$6:$D$265,MATCH(D2683,I_COA!$A$6:$A$265,0)),"")</f>
        <v/>
      </c>
      <c r="M2683" s="34" t="str">
        <f aca="false">IF(K2683="Neraca",INDEX(I_COA!$E$6:$E$265,MATCH(D2683,I_COA!$A$6:$A$265,0)),"")</f>
        <v/>
      </c>
      <c r="N2683" s="34" t="str">
        <f aca="false">IF(D2683="","",IFERROR(INDEX(I_COA!$G$6:$G$265,MATCH(D2683,I_COA!$A$6:$A$265,0)),"N"))</f>
        <v/>
      </c>
      <c r="O2683" s="11" t="str">
        <f aca="false">IF(N2683="N",ABS(J2683),"")</f>
        <v/>
      </c>
      <c r="P2683" s="18" t="str">
        <f aca="false">IF(N2683="N",B2683&amp;"|"&amp;ROUND(O2683,0),"")</f>
        <v/>
      </c>
      <c r="Q2683" s="18" t="str">
        <f aca="false">IF(N2683&lt;&gt;"Y","",IFERROR(INDEX($D$6:$D$4005,MATCH(B2683&amp;"|"&amp;ROUND(_xlfn.MAXIFS($O$6:$O$4005,$B$6:$B$4005,B2683,$N$6:$N$4005,"N"),0),$P$6:$P$4005,0)),"(tanpa lawan)"))</f>
        <v/>
      </c>
      <c r="R2683" s="44"/>
      <c r="S2683" s="9" t="str">
        <f aca="false">IF(N2683&lt;&gt;"Y","",IF(R2683&lt;&gt;"",R2683,IF(Q2683="(tanpa lawan)","Transfer antar rekening",IFERROR(INDEX(I_COA!$F$6:$F$265,MATCH(Q2683,I_COA!$A$6:$A$265,0)),"?"))))</f>
        <v/>
      </c>
    </row>
    <row r="2684" customFormat="false" ht="15" hidden="false" customHeight="false" outlineLevel="0" collapsed="false">
      <c r="A2684" s="37"/>
      <c r="B2684" s="44"/>
      <c r="C2684" s="44"/>
      <c r="D2684" s="44"/>
      <c r="E2684" s="44"/>
      <c r="F2684" s="44"/>
      <c r="G2684" s="42"/>
      <c r="H2684" s="42"/>
      <c r="I2684" s="44"/>
      <c r="J2684" s="11" t="str">
        <f aca="false">IF(D2684="","",N(G2684)-N(H2684))</f>
        <v/>
      </c>
      <c r="K2684" s="34" t="str">
        <f aca="false">IF(D2684="","",IFERROR(INDEX(I_COA!$C$6:$C$265,MATCH(D2684,I_COA!$A$6:$A$265,0)),"AKUN BARU"))</f>
        <v/>
      </c>
      <c r="L2684" s="34" t="str">
        <f aca="false">IF(K2684="LabaRugi",INDEX(I_COA!$D$6:$D$265,MATCH(D2684,I_COA!$A$6:$A$265,0)),"")</f>
        <v/>
      </c>
      <c r="M2684" s="34" t="str">
        <f aca="false">IF(K2684="Neraca",INDEX(I_COA!$E$6:$E$265,MATCH(D2684,I_COA!$A$6:$A$265,0)),"")</f>
        <v/>
      </c>
      <c r="N2684" s="34" t="str">
        <f aca="false">IF(D2684="","",IFERROR(INDEX(I_COA!$G$6:$G$265,MATCH(D2684,I_COA!$A$6:$A$265,0)),"N"))</f>
        <v/>
      </c>
      <c r="O2684" s="11" t="str">
        <f aca="false">IF(N2684="N",ABS(J2684),"")</f>
        <v/>
      </c>
      <c r="P2684" s="18" t="str">
        <f aca="false">IF(N2684="N",B2684&amp;"|"&amp;ROUND(O2684,0),"")</f>
        <v/>
      </c>
      <c r="Q2684" s="18" t="str">
        <f aca="false">IF(N2684&lt;&gt;"Y","",IFERROR(INDEX($D$6:$D$4005,MATCH(B2684&amp;"|"&amp;ROUND(_xlfn.MAXIFS($O$6:$O$4005,$B$6:$B$4005,B2684,$N$6:$N$4005,"N"),0),$P$6:$P$4005,0)),"(tanpa lawan)"))</f>
        <v/>
      </c>
      <c r="R2684" s="44"/>
      <c r="S2684" s="9" t="str">
        <f aca="false">IF(N2684&lt;&gt;"Y","",IF(R2684&lt;&gt;"",R2684,IF(Q2684="(tanpa lawan)","Transfer antar rekening",IFERROR(INDEX(I_COA!$F$6:$F$265,MATCH(Q2684,I_COA!$A$6:$A$265,0)),"?"))))</f>
        <v/>
      </c>
    </row>
    <row r="2685" customFormat="false" ht="15" hidden="false" customHeight="false" outlineLevel="0" collapsed="false">
      <c r="A2685" s="37"/>
      <c r="B2685" s="44"/>
      <c r="C2685" s="44"/>
      <c r="D2685" s="44"/>
      <c r="E2685" s="44"/>
      <c r="F2685" s="44"/>
      <c r="G2685" s="42"/>
      <c r="H2685" s="42"/>
      <c r="I2685" s="44"/>
      <c r="J2685" s="11" t="str">
        <f aca="false">IF(D2685="","",N(G2685)-N(H2685))</f>
        <v/>
      </c>
      <c r="K2685" s="34" t="str">
        <f aca="false">IF(D2685="","",IFERROR(INDEX(I_COA!$C$6:$C$265,MATCH(D2685,I_COA!$A$6:$A$265,0)),"AKUN BARU"))</f>
        <v/>
      </c>
      <c r="L2685" s="34" t="str">
        <f aca="false">IF(K2685="LabaRugi",INDEX(I_COA!$D$6:$D$265,MATCH(D2685,I_COA!$A$6:$A$265,0)),"")</f>
        <v/>
      </c>
      <c r="M2685" s="34" t="str">
        <f aca="false">IF(K2685="Neraca",INDEX(I_COA!$E$6:$E$265,MATCH(D2685,I_COA!$A$6:$A$265,0)),"")</f>
        <v/>
      </c>
      <c r="N2685" s="34" t="str">
        <f aca="false">IF(D2685="","",IFERROR(INDEX(I_COA!$G$6:$G$265,MATCH(D2685,I_COA!$A$6:$A$265,0)),"N"))</f>
        <v/>
      </c>
      <c r="O2685" s="11" t="str">
        <f aca="false">IF(N2685="N",ABS(J2685),"")</f>
        <v/>
      </c>
      <c r="P2685" s="18" t="str">
        <f aca="false">IF(N2685="N",B2685&amp;"|"&amp;ROUND(O2685,0),"")</f>
        <v/>
      </c>
      <c r="Q2685" s="18" t="str">
        <f aca="false">IF(N2685&lt;&gt;"Y","",IFERROR(INDEX($D$6:$D$4005,MATCH(B2685&amp;"|"&amp;ROUND(_xlfn.MAXIFS($O$6:$O$4005,$B$6:$B$4005,B2685,$N$6:$N$4005,"N"),0),$P$6:$P$4005,0)),"(tanpa lawan)"))</f>
        <v/>
      </c>
      <c r="R2685" s="44"/>
      <c r="S2685" s="9" t="str">
        <f aca="false">IF(N2685&lt;&gt;"Y","",IF(R2685&lt;&gt;"",R2685,IF(Q2685="(tanpa lawan)","Transfer antar rekening",IFERROR(INDEX(I_COA!$F$6:$F$265,MATCH(Q2685,I_COA!$A$6:$A$265,0)),"?"))))</f>
        <v/>
      </c>
    </row>
    <row r="2686" customFormat="false" ht="15" hidden="false" customHeight="false" outlineLevel="0" collapsed="false">
      <c r="A2686" s="37"/>
      <c r="B2686" s="44"/>
      <c r="C2686" s="44"/>
      <c r="D2686" s="44"/>
      <c r="E2686" s="44"/>
      <c r="F2686" s="44"/>
      <c r="G2686" s="42"/>
      <c r="H2686" s="42"/>
      <c r="I2686" s="44"/>
      <c r="J2686" s="11" t="str">
        <f aca="false">IF(D2686="","",N(G2686)-N(H2686))</f>
        <v/>
      </c>
      <c r="K2686" s="34" t="str">
        <f aca="false">IF(D2686="","",IFERROR(INDEX(I_COA!$C$6:$C$265,MATCH(D2686,I_COA!$A$6:$A$265,0)),"AKUN BARU"))</f>
        <v/>
      </c>
      <c r="L2686" s="34" t="str">
        <f aca="false">IF(K2686="LabaRugi",INDEX(I_COA!$D$6:$D$265,MATCH(D2686,I_COA!$A$6:$A$265,0)),"")</f>
        <v/>
      </c>
      <c r="M2686" s="34" t="str">
        <f aca="false">IF(K2686="Neraca",INDEX(I_COA!$E$6:$E$265,MATCH(D2686,I_COA!$A$6:$A$265,0)),"")</f>
        <v/>
      </c>
      <c r="N2686" s="34" t="str">
        <f aca="false">IF(D2686="","",IFERROR(INDEX(I_COA!$G$6:$G$265,MATCH(D2686,I_COA!$A$6:$A$265,0)),"N"))</f>
        <v/>
      </c>
      <c r="O2686" s="11" t="str">
        <f aca="false">IF(N2686="N",ABS(J2686),"")</f>
        <v/>
      </c>
      <c r="P2686" s="18" t="str">
        <f aca="false">IF(N2686="N",B2686&amp;"|"&amp;ROUND(O2686,0),"")</f>
        <v/>
      </c>
      <c r="Q2686" s="18" t="str">
        <f aca="false">IF(N2686&lt;&gt;"Y","",IFERROR(INDEX($D$6:$D$4005,MATCH(B2686&amp;"|"&amp;ROUND(_xlfn.MAXIFS($O$6:$O$4005,$B$6:$B$4005,B2686,$N$6:$N$4005,"N"),0),$P$6:$P$4005,0)),"(tanpa lawan)"))</f>
        <v/>
      </c>
      <c r="R2686" s="44"/>
      <c r="S2686" s="9" t="str">
        <f aca="false">IF(N2686&lt;&gt;"Y","",IF(R2686&lt;&gt;"",R2686,IF(Q2686="(tanpa lawan)","Transfer antar rekening",IFERROR(INDEX(I_COA!$F$6:$F$265,MATCH(Q2686,I_COA!$A$6:$A$265,0)),"?"))))</f>
        <v/>
      </c>
    </row>
    <row r="2687" customFormat="false" ht="15" hidden="false" customHeight="false" outlineLevel="0" collapsed="false">
      <c r="A2687" s="37"/>
      <c r="B2687" s="44"/>
      <c r="C2687" s="44"/>
      <c r="D2687" s="44"/>
      <c r="E2687" s="44"/>
      <c r="F2687" s="44"/>
      <c r="G2687" s="42"/>
      <c r="H2687" s="42"/>
      <c r="I2687" s="44"/>
      <c r="J2687" s="11" t="str">
        <f aca="false">IF(D2687="","",N(G2687)-N(H2687))</f>
        <v/>
      </c>
      <c r="K2687" s="34" t="str">
        <f aca="false">IF(D2687="","",IFERROR(INDEX(I_COA!$C$6:$C$265,MATCH(D2687,I_COA!$A$6:$A$265,0)),"AKUN BARU"))</f>
        <v/>
      </c>
      <c r="L2687" s="34" t="str">
        <f aca="false">IF(K2687="LabaRugi",INDEX(I_COA!$D$6:$D$265,MATCH(D2687,I_COA!$A$6:$A$265,0)),"")</f>
        <v/>
      </c>
      <c r="M2687" s="34" t="str">
        <f aca="false">IF(K2687="Neraca",INDEX(I_COA!$E$6:$E$265,MATCH(D2687,I_COA!$A$6:$A$265,0)),"")</f>
        <v/>
      </c>
      <c r="N2687" s="34" t="str">
        <f aca="false">IF(D2687="","",IFERROR(INDEX(I_COA!$G$6:$G$265,MATCH(D2687,I_COA!$A$6:$A$265,0)),"N"))</f>
        <v/>
      </c>
      <c r="O2687" s="11" t="str">
        <f aca="false">IF(N2687="N",ABS(J2687),"")</f>
        <v/>
      </c>
      <c r="P2687" s="18" t="str">
        <f aca="false">IF(N2687="N",B2687&amp;"|"&amp;ROUND(O2687,0),"")</f>
        <v/>
      </c>
      <c r="Q2687" s="18" t="str">
        <f aca="false">IF(N2687&lt;&gt;"Y","",IFERROR(INDEX($D$6:$D$4005,MATCH(B2687&amp;"|"&amp;ROUND(_xlfn.MAXIFS($O$6:$O$4005,$B$6:$B$4005,B2687,$N$6:$N$4005,"N"),0),$P$6:$P$4005,0)),"(tanpa lawan)"))</f>
        <v/>
      </c>
      <c r="R2687" s="44"/>
      <c r="S2687" s="9" t="str">
        <f aca="false">IF(N2687&lt;&gt;"Y","",IF(R2687&lt;&gt;"",R2687,IF(Q2687="(tanpa lawan)","Transfer antar rekening",IFERROR(INDEX(I_COA!$F$6:$F$265,MATCH(Q2687,I_COA!$A$6:$A$265,0)),"?"))))</f>
        <v/>
      </c>
    </row>
    <row r="2688" customFormat="false" ht="15" hidden="false" customHeight="false" outlineLevel="0" collapsed="false">
      <c r="A2688" s="37"/>
      <c r="B2688" s="44"/>
      <c r="C2688" s="44"/>
      <c r="D2688" s="44"/>
      <c r="E2688" s="44"/>
      <c r="F2688" s="44"/>
      <c r="G2688" s="42"/>
      <c r="H2688" s="42"/>
      <c r="I2688" s="44"/>
      <c r="J2688" s="11" t="str">
        <f aca="false">IF(D2688="","",N(G2688)-N(H2688))</f>
        <v/>
      </c>
      <c r="K2688" s="34" t="str">
        <f aca="false">IF(D2688="","",IFERROR(INDEX(I_COA!$C$6:$C$265,MATCH(D2688,I_COA!$A$6:$A$265,0)),"AKUN BARU"))</f>
        <v/>
      </c>
      <c r="L2688" s="34" t="str">
        <f aca="false">IF(K2688="LabaRugi",INDEX(I_COA!$D$6:$D$265,MATCH(D2688,I_COA!$A$6:$A$265,0)),"")</f>
        <v/>
      </c>
      <c r="M2688" s="34" t="str">
        <f aca="false">IF(K2688="Neraca",INDEX(I_COA!$E$6:$E$265,MATCH(D2688,I_COA!$A$6:$A$265,0)),"")</f>
        <v/>
      </c>
      <c r="N2688" s="34" t="str">
        <f aca="false">IF(D2688="","",IFERROR(INDEX(I_COA!$G$6:$G$265,MATCH(D2688,I_COA!$A$6:$A$265,0)),"N"))</f>
        <v/>
      </c>
      <c r="O2688" s="11" t="str">
        <f aca="false">IF(N2688="N",ABS(J2688),"")</f>
        <v/>
      </c>
      <c r="P2688" s="18" t="str">
        <f aca="false">IF(N2688="N",B2688&amp;"|"&amp;ROUND(O2688,0),"")</f>
        <v/>
      </c>
      <c r="Q2688" s="18" t="str">
        <f aca="false">IF(N2688&lt;&gt;"Y","",IFERROR(INDEX($D$6:$D$4005,MATCH(B2688&amp;"|"&amp;ROUND(_xlfn.MAXIFS($O$6:$O$4005,$B$6:$B$4005,B2688,$N$6:$N$4005,"N"),0),$P$6:$P$4005,0)),"(tanpa lawan)"))</f>
        <v/>
      </c>
      <c r="R2688" s="44"/>
      <c r="S2688" s="9" t="str">
        <f aca="false">IF(N2688&lt;&gt;"Y","",IF(R2688&lt;&gt;"",R2688,IF(Q2688="(tanpa lawan)","Transfer antar rekening",IFERROR(INDEX(I_COA!$F$6:$F$265,MATCH(Q2688,I_COA!$A$6:$A$265,0)),"?"))))</f>
        <v/>
      </c>
    </row>
    <row r="2689" customFormat="false" ht="15" hidden="false" customHeight="false" outlineLevel="0" collapsed="false">
      <c r="A2689" s="37"/>
      <c r="B2689" s="44"/>
      <c r="C2689" s="44"/>
      <c r="D2689" s="44"/>
      <c r="E2689" s="44"/>
      <c r="F2689" s="44"/>
      <c r="G2689" s="42"/>
      <c r="H2689" s="42"/>
      <c r="I2689" s="44"/>
      <c r="J2689" s="11" t="str">
        <f aca="false">IF(D2689="","",N(G2689)-N(H2689))</f>
        <v/>
      </c>
      <c r="K2689" s="34" t="str">
        <f aca="false">IF(D2689="","",IFERROR(INDEX(I_COA!$C$6:$C$265,MATCH(D2689,I_COA!$A$6:$A$265,0)),"AKUN BARU"))</f>
        <v/>
      </c>
      <c r="L2689" s="34" t="str">
        <f aca="false">IF(K2689="LabaRugi",INDEX(I_COA!$D$6:$D$265,MATCH(D2689,I_COA!$A$6:$A$265,0)),"")</f>
        <v/>
      </c>
      <c r="M2689" s="34" t="str">
        <f aca="false">IF(K2689="Neraca",INDEX(I_COA!$E$6:$E$265,MATCH(D2689,I_COA!$A$6:$A$265,0)),"")</f>
        <v/>
      </c>
      <c r="N2689" s="34" t="str">
        <f aca="false">IF(D2689="","",IFERROR(INDEX(I_COA!$G$6:$G$265,MATCH(D2689,I_COA!$A$6:$A$265,0)),"N"))</f>
        <v/>
      </c>
      <c r="O2689" s="11" t="str">
        <f aca="false">IF(N2689="N",ABS(J2689),"")</f>
        <v/>
      </c>
      <c r="P2689" s="18" t="str">
        <f aca="false">IF(N2689="N",B2689&amp;"|"&amp;ROUND(O2689,0),"")</f>
        <v/>
      </c>
      <c r="Q2689" s="18" t="str">
        <f aca="false">IF(N2689&lt;&gt;"Y","",IFERROR(INDEX($D$6:$D$4005,MATCH(B2689&amp;"|"&amp;ROUND(_xlfn.MAXIFS($O$6:$O$4005,$B$6:$B$4005,B2689,$N$6:$N$4005,"N"),0),$P$6:$P$4005,0)),"(tanpa lawan)"))</f>
        <v/>
      </c>
      <c r="R2689" s="44"/>
      <c r="S2689" s="9" t="str">
        <f aca="false">IF(N2689&lt;&gt;"Y","",IF(R2689&lt;&gt;"",R2689,IF(Q2689="(tanpa lawan)","Transfer antar rekening",IFERROR(INDEX(I_COA!$F$6:$F$265,MATCH(Q2689,I_COA!$A$6:$A$265,0)),"?"))))</f>
        <v/>
      </c>
    </row>
    <row r="2690" customFormat="false" ht="15" hidden="false" customHeight="false" outlineLevel="0" collapsed="false">
      <c r="A2690" s="37"/>
      <c r="B2690" s="44"/>
      <c r="C2690" s="44"/>
      <c r="D2690" s="44"/>
      <c r="E2690" s="44"/>
      <c r="F2690" s="44"/>
      <c r="G2690" s="42"/>
      <c r="H2690" s="42"/>
      <c r="I2690" s="44"/>
      <c r="J2690" s="11" t="str">
        <f aca="false">IF(D2690="","",N(G2690)-N(H2690))</f>
        <v/>
      </c>
      <c r="K2690" s="34" t="str">
        <f aca="false">IF(D2690="","",IFERROR(INDEX(I_COA!$C$6:$C$265,MATCH(D2690,I_COA!$A$6:$A$265,0)),"AKUN BARU"))</f>
        <v/>
      </c>
      <c r="L2690" s="34" t="str">
        <f aca="false">IF(K2690="LabaRugi",INDEX(I_COA!$D$6:$D$265,MATCH(D2690,I_COA!$A$6:$A$265,0)),"")</f>
        <v/>
      </c>
      <c r="M2690" s="34" t="str">
        <f aca="false">IF(K2690="Neraca",INDEX(I_COA!$E$6:$E$265,MATCH(D2690,I_COA!$A$6:$A$265,0)),"")</f>
        <v/>
      </c>
      <c r="N2690" s="34" t="str">
        <f aca="false">IF(D2690="","",IFERROR(INDEX(I_COA!$G$6:$G$265,MATCH(D2690,I_COA!$A$6:$A$265,0)),"N"))</f>
        <v/>
      </c>
      <c r="O2690" s="11" t="str">
        <f aca="false">IF(N2690="N",ABS(J2690),"")</f>
        <v/>
      </c>
      <c r="P2690" s="18" t="str">
        <f aca="false">IF(N2690="N",B2690&amp;"|"&amp;ROUND(O2690,0),"")</f>
        <v/>
      </c>
      <c r="Q2690" s="18" t="str">
        <f aca="false">IF(N2690&lt;&gt;"Y","",IFERROR(INDEX($D$6:$D$4005,MATCH(B2690&amp;"|"&amp;ROUND(_xlfn.MAXIFS($O$6:$O$4005,$B$6:$B$4005,B2690,$N$6:$N$4005,"N"),0),$P$6:$P$4005,0)),"(tanpa lawan)"))</f>
        <v/>
      </c>
      <c r="R2690" s="44"/>
      <c r="S2690" s="9" t="str">
        <f aca="false">IF(N2690&lt;&gt;"Y","",IF(R2690&lt;&gt;"",R2690,IF(Q2690="(tanpa lawan)","Transfer antar rekening",IFERROR(INDEX(I_COA!$F$6:$F$265,MATCH(Q2690,I_COA!$A$6:$A$265,0)),"?"))))</f>
        <v/>
      </c>
    </row>
    <row r="2691" customFormat="false" ht="15" hidden="false" customHeight="false" outlineLevel="0" collapsed="false">
      <c r="A2691" s="37"/>
      <c r="B2691" s="44"/>
      <c r="C2691" s="44"/>
      <c r="D2691" s="44"/>
      <c r="E2691" s="44"/>
      <c r="F2691" s="44"/>
      <c r="G2691" s="42"/>
      <c r="H2691" s="42"/>
      <c r="I2691" s="44"/>
      <c r="J2691" s="11" t="str">
        <f aca="false">IF(D2691="","",N(G2691)-N(H2691))</f>
        <v/>
      </c>
      <c r="K2691" s="34" t="str">
        <f aca="false">IF(D2691="","",IFERROR(INDEX(I_COA!$C$6:$C$265,MATCH(D2691,I_COA!$A$6:$A$265,0)),"AKUN BARU"))</f>
        <v/>
      </c>
      <c r="L2691" s="34" t="str">
        <f aca="false">IF(K2691="LabaRugi",INDEX(I_COA!$D$6:$D$265,MATCH(D2691,I_COA!$A$6:$A$265,0)),"")</f>
        <v/>
      </c>
      <c r="M2691" s="34" t="str">
        <f aca="false">IF(K2691="Neraca",INDEX(I_COA!$E$6:$E$265,MATCH(D2691,I_COA!$A$6:$A$265,0)),"")</f>
        <v/>
      </c>
      <c r="N2691" s="34" t="str">
        <f aca="false">IF(D2691="","",IFERROR(INDEX(I_COA!$G$6:$G$265,MATCH(D2691,I_COA!$A$6:$A$265,0)),"N"))</f>
        <v/>
      </c>
      <c r="O2691" s="11" t="str">
        <f aca="false">IF(N2691="N",ABS(J2691),"")</f>
        <v/>
      </c>
      <c r="P2691" s="18" t="str">
        <f aca="false">IF(N2691="N",B2691&amp;"|"&amp;ROUND(O2691,0),"")</f>
        <v/>
      </c>
      <c r="Q2691" s="18" t="str">
        <f aca="false">IF(N2691&lt;&gt;"Y","",IFERROR(INDEX($D$6:$D$4005,MATCH(B2691&amp;"|"&amp;ROUND(_xlfn.MAXIFS($O$6:$O$4005,$B$6:$B$4005,B2691,$N$6:$N$4005,"N"),0),$P$6:$P$4005,0)),"(tanpa lawan)"))</f>
        <v/>
      </c>
      <c r="R2691" s="44"/>
      <c r="S2691" s="9" t="str">
        <f aca="false">IF(N2691&lt;&gt;"Y","",IF(R2691&lt;&gt;"",R2691,IF(Q2691="(tanpa lawan)","Transfer antar rekening",IFERROR(INDEX(I_COA!$F$6:$F$265,MATCH(Q2691,I_COA!$A$6:$A$265,0)),"?"))))</f>
        <v/>
      </c>
    </row>
    <row r="2692" customFormat="false" ht="15" hidden="false" customHeight="false" outlineLevel="0" collapsed="false">
      <c r="A2692" s="37"/>
      <c r="B2692" s="44"/>
      <c r="C2692" s="44"/>
      <c r="D2692" s="44"/>
      <c r="E2692" s="44"/>
      <c r="F2692" s="44"/>
      <c r="G2692" s="42"/>
      <c r="H2692" s="42"/>
      <c r="I2692" s="44"/>
      <c r="J2692" s="11" t="str">
        <f aca="false">IF(D2692="","",N(G2692)-N(H2692))</f>
        <v/>
      </c>
      <c r="K2692" s="34" t="str">
        <f aca="false">IF(D2692="","",IFERROR(INDEX(I_COA!$C$6:$C$265,MATCH(D2692,I_COA!$A$6:$A$265,0)),"AKUN BARU"))</f>
        <v/>
      </c>
      <c r="L2692" s="34" t="str">
        <f aca="false">IF(K2692="LabaRugi",INDEX(I_COA!$D$6:$D$265,MATCH(D2692,I_COA!$A$6:$A$265,0)),"")</f>
        <v/>
      </c>
      <c r="M2692" s="34" t="str">
        <f aca="false">IF(K2692="Neraca",INDEX(I_COA!$E$6:$E$265,MATCH(D2692,I_COA!$A$6:$A$265,0)),"")</f>
        <v/>
      </c>
      <c r="N2692" s="34" t="str">
        <f aca="false">IF(D2692="","",IFERROR(INDEX(I_COA!$G$6:$G$265,MATCH(D2692,I_COA!$A$6:$A$265,0)),"N"))</f>
        <v/>
      </c>
      <c r="O2692" s="11" t="str">
        <f aca="false">IF(N2692="N",ABS(J2692),"")</f>
        <v/>
      </c>
      <c r="P2692" s="18" t="str">
        <f aca="false">IF(N2692="N",B2692&amp;"|"&amp;ROUND(O2692,0),"")</f>
        <v/>
      </c>
      <c r="Q2692" s="18" t="str">
        <f aca="false">IF(N2692&lt;&gt;"Y","",IFERROR(INDEX($D$6:$D$4005,MATCH(B2692&amp;"|"&amp;ROUND(_xlfn.MAXIFS($O$6:$O$4005,$B$6:$B$4005,B2692,$N$6:$N$4005,"N"),0),$P$6:$P$4005,0)),"(tanpa lawan)"))</f>
        <v/>
      </c>
      <c r="R2692" s="44"/>
      <c r="S2692" s="9" t="str">
        <f aca="false">IF(N2692&lt;&gt;"Y","",IF(R2692&lt;&gt;"",R2692,IF(Q2692="(tanpa lawan)","Transfer antar rekening",IFERROR(INDEX(I_COA!$F$6:$F$265,MATCH(Q2692,I_COA!$A$6:$A$265,0)),"?"))))</f>
        <v/>
      </c>
    </row>
    <row r="2693" customFormat="false" ht="15" hidden="false" customHeight="false" outlineLevel="0" collapsed="false">
      <c r="A2693" s="37"/>
      <c r="B2693" s="44"/>
      <c r="C2693" s="44"/>
      <c r="D2693" s="44"/>
      <c r="E2693" s="44"/>
      <c r="F2693" s="44"/>
      <c r="G2693" s="42"/>
      <c r="H2693" s="42"/>
      <c r="I2693" s="44"/>
      <c r="J2693" s="11" t="str">
        <f aca="false">IF(D2693="","",N(G2693)-N(H2693))</f>
        <v/>
      </c>
      <c r="K2693" s="34" t="str">
        <f aca="false">IF(D2693="","",IFERROR(INDEX(I_COA!$C$6:$C$265,MATCH(D2693,I_COA!$A$6:$A$265,0)),"AKUN BARU"))</f>
        <v/>
      </c>
      <c r="L2693" s="34" t="str">
        <f aca="false">IF(K2693="LabaRugi",INDEX(I_COA!$D$6:$D$265,MATCH(D2693,I_COA!$A$6:$A$265,0)),"")</f>
        <v/>
      </c>
      <c r="M2693" s="34" t="str">
        <f aca="false">IF(K2693="Neraca",INDEX(I_COA!$E$6:$E$265,MATCH(D2693,I_COA!$A$6:$A$265,0)),"")</f>
        <v/>
      </c>
      <c r="N2693" s="34" t="str">
        <f aca="false">IF(D2693="","",IFERROR(INDEX(I_COA!$G$6:$G$265,MATCH(D2693,I_COA!$A$6:$A$265,0)),"N"))</f>
        <v/>
      </c>
      <c r="O2693" s="11" t="str">
        <f aca="false">IF(N2693="N",ABS(J2693),"")</f>
        <v/>
      </c>
      <c r="P2693" s="18" t="str">
        <f aca="false">IF(N2693="N",B2693&amp;"|"&amp;ROUND(O2693,0),"")</f>
        <v/>
      </c>
      <c r="Q2693" s="18" t="str">
        <f aca="false">IF(N2693&lt;&gt;"Y","",IFERROR(INDEX($D$6:$D$4005,MATCH(B2693&amp;"|"&amp;ROUND(_xlfn.MAXIFS($O$6:$O$4005,$B$6:$B$4005,B2693,$N$6:$N$4005,"N"),0),$P$6:$P$4005,0)),"(tanpa lawan)"))</f>
        <v/>
      </c>
      <c r="R2693" s="44"/>
      <c r="S2693" s="9" t="str">
        <f aca="false">IF(N2693&lt;&gt;"Y","",IF(R2693&lt;&gt;"",R2693,IF(Q2693="(tanpa lawan)","Transfer antar rekening",IFERROR(INDEX(I_COA!$F$6:$F$265,MATCH(Q2693,I_COA!$A$6:$A$265,0)),"?"))))</f>
        <v/>
      </c>
    </row>
    <row r="2694" customFormat="false" ht="15" hidden="false" customHeight="false" outlineLevel="0" collapsed="false">
      <c r="A2694" s="37"/>
      <c r="B2694" s="44"/>
      <c r="C2694" s="44"/>
      <c r="D2694" s="44"/>
      <c r="E2694" s="44"/>
      <c r="F2694" s="44"/>
      <c r="G2694" s="42"/>
      <c r="H2694" s="42"/>
      <c r="I2694" s="44"/>
      <c r="J2694" s="11" t="str">
        <f aca="false">IF(D2694="","",N(G2694)-N(H2694))</f>
        <v/>
      </c>
      <c r="K2694" s="34" t="str">
        <f aca="false">IF(D2694="","",IFERROR(INDEX(I_COA!$C$6:$C$265,MATCH(D2694,I_COA!$A$6:$A$265,0)),"AKUN BARU"))</f>
        <v/>
      </c>
      <c r="L2694" s="34" t="str">
        <f aca="false">IF(K2694="LabaRugi",INDEX(I_COA!$D$6:$D$265,MATCH(D2694,I_COA!$A$6:$A$265,0)),"")</f>
        <v/>
      </c>
      <c r="M2694" s="34" t="str">
        <f aca="false">IF(K2694="Neraca",INDEX(I_COA!$E$6:$E$265,MATCH(D2694,I_COA!$A$6:$A$265,0)),"")</f>
        <v/>
      </c>
      <c r="N2694" s="34" t="str">
        <f aca="false">IF(D2694="","",IFERROR(INDEX(I_COA!$G$6:$G$265,MATCH(D2694,I_COA!$A$6:$A$265,0)),"N"))</f>
        <v/>
      </c>
      <c r="O2694" s="11" t="str">
        <f aca="false">IF(N2694="N",ABS(J2694),"")</f>
        <v/>
      </c>
      <c r="P2694" s="18" t="str">
        <f aca="false">IF(N2694="N",B2694&amp;"|"&amp;ROUND(O2694,0),"")</f>
        <v/>
      </c>
      <c r="Q2694" s="18" t="str">
        <f aca="false">IF(N2694&lt;&gt;"Y","",IFERROR(INDEX($D$6:$D$4005,MATCH(B2694&amp;"|"&amp;ROUND(_xlfn.MAXIFS($O$6:$O$4005,$B$6:$B$4005,B2694,$N$6:$N$4005,"N"),0),$P$6:$P$4005,0)),"(tanpa lawan)"))</f>
        <v/>
      </c>
      <c r="R2694" s="44"/>
      <c r="S2694" s="9" t="str">
        <f aca="false">IF(N2694&lt;&gt;"Y","",IF(R2694&lt;&gt;"",R2694,IF(Q2694="(tanpa lawan)","Transfer antar rekening",IFERROR(INDEX(I_COA!$F$6:$F$265,MATCH(Q2694,I_COA!$A$6:$A$265,0)),"?"))))</f>
        <v/>
      </c>
    </row>
    <row r="2695" customFormat="false" ht="15" hidden="false" customHeight="false" outlineLevel="0" collapsed="false">
      <c r="A2695" s="37"/>
      <c r="B2695" s="44"/>
      <c r="C2695" s="44"/>
      <c r="D2695" s="44"/>
      <c r="E2695" s="44"/>
      <c r="F2695" s="44"/>
      <c r="G2695" s="42"/>
      <c r="H2695" s="42"/>
      <c r="I2695" s="44"/>
      <c r="J2695" s="11" t="str">
        <f aca="false">IF(D2695="","",N(G2695)-N(H2695))</f>
        <v/>
      </c>
      <c r="K2695" s="34" t="str">
        <f aca="false">IF(D2695="","",IFERROR(INDEX(I_COA!$C$6:$C$265,MATCH(D2695,I_COA!$A$6:$A$265,0)),"AKUN BARU"))</f>
        <v/>
      </c>
      <c r="L2695" s="34" t="str">
        <f aca="false">IF(K2695="LabaRugi",INDEX(I_COA!$D$6:$D$265,MATCH(D2695,I_COA!$A$6:$A$265,0)),"")</f>
        <v/>
      </c>
      <c r="M2695" s="34" t="str">
        <f aca="false">IF(K2695="Neraca",INDEX(I_COA!$E$6:$E$265,MATCH(D2695,I_COA!$A$6:$A$265,0)),"")</f>
        <v/>
      </c>
      <c r="N2695" s="34" t="str">
        <f aca="false">IF(D2695="","",IFERROR(INDEX(I_COA!$G$6:$G$265,MATCH(D2695,I_COA!$A$6:$A$265,0)),"N"))</f>
        <v/>
      </c>
      <c r="O2695" s="11" t="str">
        <f aca="false">IF(N2695="N",ABS(J2695),"")</f>
        <v/>
      </c>
      <c r="P2695" s="18" t="str">
        <f aca="false">IF(N2695="N",B2695&amp;"|"&amp;ROUND(O2695,0),"")</f>
        <v/>
      </c>
      <c r="Q2695" s="18" t="str">
        <f aca="false">IF(N2695&lt;&gt;"Y","",IFERROR(INDEX($D$6:$D$4005,MATCH(B2695&amp;"|"&amp;ROUND(_xlfn.MAXIFS($O$6:$O$4005,$B$6:$B$4005,B2695,$N$6:$N$4005,"N"),0),$P$6:$P$4005,0)),"(tanpa lawan)"))</f>
        <v/>
      </c>
      <c r="R2695" s="44"/>
      <c r="S2695" s="9" t="str">
        <f aca="false">IF(N2695&lt;&gt;"Y","",IF(R2695&lt;&gt;"",R2695,IF(Q2695="(tanpa lawan)","Transfer antar rekening",IFERROR(INDEX(I_COA!$F$6:$F$265,MATCH(Q2695,I_COA!$A$6:$A$265,0)),"?"))))</f>
        <v/>
      </c>
    </row>
    <row r="2696" customFormat="false" ht="15" hidden="false" customHeight="false" outlineLevel="0" collapsed="false">
      <c r="A2696" s="37"/>
      <c r="B2696" s="44"/>
      <c r="C2696" s="44"/>
      <c r="D2696" s="44"/>
      <c r="E2696" s="44"/>
      <c r="F2696" s="44"/>
      <c r="G2696" s="42"/>
      <c r="H2696" s="42"/>
      <c r="I2696" s="44"/>
      <c r="J2696" s="11" t="str">
        <f aca="false">IF(D2696="","",N(G2696)-N(H2696))</f>
        <v/>
      </c>
      <c r="K2696" s="34" t="str">
        <f aca="false">IF(D2696="","",IFERROR(INDEX(I_COA!$C$6:$C$265,MATCH(D2696,I_COA!$A$6:$A$265,0)),"AKUN BARU"))</f>
        <v/>
      </c>
      <c r="L2696" s="34" t="str">
        <f aca="false">IF(K2696="LabaRugi",INDEX(I_COA!$D$6:$D$265,MATCH(D2696,I_COA!$A$6:$A$265,0)),"")</f>
        <v/>
      </c>
      <c r="M2696" s="34" t="str">
        <f aca="false">IF(K2696="Neraca",INDEX(I_COA!$E$6:$E$265,MATCH(D2696,I_COA!$A$6:$A$265,0)),"")</f>
        <v/>
      </c>
      <c r="N2696" s="34" t="str">
        <f aca="false">IF(D2696="","",IFERROR(INDEX(I_COA!$G$6:$G$265,MATCH(D2696,I_COA!$A$6:$A$265,0)),"N"))</f>
        <v/>
      </c>
      <c r="O2696" s="11" t="str">
        <f aca="false">IF(N2696="N",ABS(J2696),"")</f>
        <v/>
      </c>
      <c r="P2696" s="18" t="str">
        <f aca="false">IF(N2696="N",B2696&amp;"|"&amp;ROUND(O2696,0),"")</f>
        <v/>
      </c>
      <c r="Q2696" s="18" t="str">
        <f aca="false">IF(N2696&lt;&gt;"Y","",IFERROR(INDEX($D$6:$D$4005,MATCH(B2696&amp;"|"&amp;ROUND(_xlfn.MAXIFS($O$6:$O$4005,$B$6:$B$4005,B2696,$N$6:$N$4005,"N"),0),$P$6:$P$4005,0)),"(tanpa lawan)"))</f>
        <v/>
      </c>
      <c r="R2696" s="44"/>
      <c r="S2696" s="9" t="str">
        <f aca="false">IF(N2696&lt;&gt;"Y","",IF(R2696&lt;&gt;"",R2696,IF(Q2696="(tanpa lawan)","Transfer antar rekening",IFERROR(INDEX(I_COA!$F$6:$F$265,MATCH(Q2696,I_COA!$A$6:$A$265,0)),"?"))))</f>
        <v/>
      </c>
    </row>
    <row r="2697" customFormat="false" ht="15" hidden="false" customHeight="false" outlineLevel="0" collapsed="false">
      <c r="A2697" s="37"/>
      <c r="B2697" s="44"/>
      <c r="C2697" s="44"/>
      <c r="D2697" s="44"/>
      <c r="E2697" s="44"/>
      <c r="F2697" s="44"/>
      <c r="G2697" s="42"/>
      <c r="H2697" s="42"/>
      <c r="I2697" s="44"/>
      <c r="J2697" s="11" t="str">
        <f aca="false">IF(D2697="","",N(G2697)-N(H2697))</f>
        <v/>
      </c>
      <c r="K2697" s="34" t="str">
        <f aca="false">IF(D2697="","",IFERROR(INDEX(I_COA!$C$6:$C$265,MATCH(D2697,I_COA!$A$6:$A$265,0)),"AKUN BARU"))</f>
        <v/>
      </c>
      <c r="L2697" s="34" t="str">
        <f aca="false">IF(K2697="LabaRugi",INDEX(I_COA!$D$6:$D$265,MATCH(D2697,I_COA!$A$6:$A$265,0)),"")</f>
        <v/>
      </c>
      <c r="M2697" s="34" t="str">
        <f aca="false">IF(K2697="Neraca",INDEX(I_COA!$E$6:$E$265,MATCH(D2697,I_COA!$A$6:$A$265,0)),"")</f>
        <v/>
      </c>
      <c r="N2697" s="34" t="str">
        <f aca="false">IF(D2697="","",IFERROR(INDEX(I_COA!$G$6:$G$265,MATCH(D2697,I_COA!$A$6:$A$265,0)),"N"))</f>
        <v/>
      </c>
      <c r="O2697" s="11" t="str">
        <f aca="false">IF(N2697="N",ABS(J2697),"")</f>
        <v/>
      </c>
      <c r="P2697" s="18" t="str">
        <f aca="false">IF(N2697="N",B2697&amp;"|"&amp;ROUND(O2697,0),"")</f>
        <v/>
      </c>
      <c r="Q2697" s="18" t="str">
        <f aca="false">IF(N2697&lt;&gt;"Y","",IFERROR(INDEX($D$6:$D$4005,MATCH(B2697&amp;"|"&amp;ROUND(_xlfn.MAXIFS($O$6:$O$4005,$B$6:$B$4005,B2697,$N$6:$N$4005,"N"),0),$P$6:$P$4005,0)),"(tanpa lawan)"))</f>
        <v/>
      </c>
      <c r="R2697" s="44"/>
      <c r="S2697" s="9" t="str">
        <f aca="false">IF(N2697&lt;&gt;"Y","",IF(R2697&lt;&gt;"",R2697,IF(Q2697="(tanpa lawan)","Transfer antar rekening",IFERROR(INDEX(I_COA!$F$6:$F$265,MATCH(Q2697,I_COA!$A$6:$A$265,0)),"?"))))</f>
        <v/>
      </c>
    </row>
    <row r="2698" customFormat="false" ht="15" hidden="false" customHeight="false" outlineLevel="0" collapsed="false">
      <c r="A2698" s="37"/>
      <c r="B2698" s="44"/>
      <c r="C2698" s="44"/>
      <c r="D2698" s="44"/>
      <c r="E2698" s="44"/>
      <c r="F2698" s="44"/>
      <c r="G2698" s="42"/>
      <c r="H2698" s="42"/>
      <c r="I2698" s="44"/>
      <c r="J2698" s="11" t="str">
        <f aca="false">IF(D2698="","",N(G2698)-N(H2698))</f>
        <v/>
      </c>
      <c r="K2698" s="34" t="str">
        <f aca="false">IF(D2698="","",IFERROR(INDEX(I_COA!$C$6:$C$265,MATCH(D2698,I_COA!$A$6:$A$265,0)),"AKUN BARU"))</f>
        <v/>
      </c>
      <c r="L2698" s="34" t="str">
        <f aca="false">IF(K2698="LabaRugi",INDEX(I_COA!$D$6:$D$265,MATCH(D2698,I_COA!$A$6:$A$265,0)),"")</f>
        <v/>
      </c>
      <c r="M2698" s="34" t="str">
        <f aca="false">IF(K2698="Neraca",INDEX(I_COA!$E$6:$E$265,MATCH(D2698,I_COA!$A$6:$A$265,0)),"")</f>
        <v/>
      </c>
      <c r="N2698" s="34" t="str">
        <f aca="false">IF(D2698="","",IFERROR(INDEX(I_COA!$G$6:$G$265,MATCH(D2698,I_COA!$A$6:$A$265,0)),"N"))</f>
        <v/>
      </c>
      <c r="O2698" s="11" t="str">
        <f aca="false">IF(N2698="N",ABS(J2698),"")</f>
        <v/>
      </c>
      <c r="P2698" s="18" t="str">
        <f aca="false">IF(N2698="N",B2698&amp;"|"&amp;ROUND(O2698,0),"")</f>
        <v/>
      </c>
      <c r="Q2698" s="18" t="str">
        <f aca="false">IF(N2698&lt;&gt;"Y","",IFERROR(INDEX($D$6:$D$4005,MATCH(B2698&amp;"|"&amp;ROUND(_xlfn.MAXIFS($O$6:$O$4005,$B$6:$B$4005,B2698,$N$6:$N$4005,"N"),0),$P$6:$P$4005,0)),"(tanpa lawan)"))</f>
        <v/>
      </c>
      <c r="R2698" s="44"/>
      <c r="S2698" s="9" t="str">
        <f aca="false">IF(N2698&lt;&gt;"Y","",IF(R2698&lt;&gt;"",R2698,IF(Q2698="(tanpa lawan)","Transfer antar rekening",IFERROR(INDEX(I_COA!$F$6:$F$265,MATCH(Q2698,I_COA!$A$6:$A$265,0)),"?"))))</f>
        <v/>
      </c>
    </row>
    <row r="2699" customFormat="false" ht="15" hidden="false" customHeight="false" outlineLevel="0" collapsed="false">
      <c r="A2699" s="37"/>
      <c r="B2699" s="44"/>
      <c r="C2699" s="44"/>
      <c r="D2699" s="44"/>
      <c r="E2699" s="44"/>
      <c r="F2699" s="44"/>
      <c r="G2699" s="42"/>
      <c r="H2699" s="42"/>
      <c r="I2699" s="44"/>
      <c r="J2699" s="11" t="str">
        <f aca="false">IF(D2699="","",N(G2699)-N(H2699))</f>
        <v/>
      </c>
      <c r="K2699" s="34" t="str">
        <f aca="false">IF(D2699="","",IFERROR(INDEX(I_COA!$C$6:$C$265,MATCH(D2699,I_COA!$A$6:$A$265,0)),"AKUN BARU"))</f>
        <v/>
      </c>
      <c r="L2699" s="34" t="str">
        <f aca="false">IF(K2699="LabaRugi",INDEX(I_COA!$D$6:$D$265,MATCH(D2699,I_COA!$A$6:$A$265,0)),"")</f>
        <v/>
      </c>
      <c r="M2699" s="34" t="str">
        <f aca="false">IF(K2699="Neraca",INDEX(I_COA!$E$6:$E$265,MATCH(D2699,I_COA!$A$6:$A$265,0)),"")</f>
        <v/>
      </c>
      <c r="N2699" s="34" t="str">
        <f aca="false">IF(D2699="","",IFERROR(INDEX(I_COA!$G$6:$G$265,MATCH(D2699,I_COA!$A$6:$A$265,0)),"N"))</f>
        <v/>
      </c>
      <c r="O2699" s="11" t="str">
        <f aca="false">IF(N2699="N",ABS(J2699),"")</f>
        <v/>
      </c>
      <c r="P2699" s="18" t="str">
        <f aca="false">IF(N2699="N",B2699&amp;"|"&amp;ROUND(O2699,0),"")</f>
        <v/>
      </c>
      <c r="Q2699" s="18" t="str">
        <f aca="false">IF(N2699&lt;&gt;"Y","",IFERROR(INDEX($D$6:$D$4005,MATCH(B2699&amp;"|"&amp;ROUND(_xlfn.MAXIFS($O$6:$O$4005,$B$6:$B$4005,B2699,$N$6:$N$4005,"N"),0),$P$6:$P$4005,0)),"(tanpa lawan)"))</f>
        <v/>
      </c>
      <c r="R2699" s="44"/>
      <c r="S2699" s="9" t="str">
        <f aca="false">IF(N2699&lt;&gt;"Y","",IF(R2699&lt;&gt;"",R2699,IF(Q2699="(tanpa lawan)","Transfer antar rekening",IFERROR(INDEX(I_COA!$F$6:$F$265,MATCH(Q2699,I_COA!$A$6:$A$265,0)),"?"))))</f>
        <v/>
      </c>
    </row>
    <row r="2700" customFormat="false" ht="15" hidden="false" customHeight="false" outlineLevel="0" collapsed="false">
      <c r="A2700" s="37"/>
      <c r="B2700" s="44"/>
      <c r="C2700" s="44"/>
      <c r="D2700" s="44"/>
      <c r="E2700" s="44"/>
      <c r="F2700" s="44"/>
      <c r="G2700" s="42"/>
      <c r="H2700" s="42"/>
      <c r="I2700" s="44"/>
      <c r="J2700" s="11" t="str">
        <f aca="false">IF(D2700="","",N(G2700)-N(H2700))</f>
        <v/>
      </c>
      <c r="K2700" s="34" t="str">
        <f aca="false">IF(D2700="","",IFERROR(INDEX(I_COA!$C$6:$C$265,MATCH(D2700,I_COA!$A$6:$A$265,0)),"AKUN BARU"))</f>
        <v/>
      </c>
      <c r="L2700" s="34" t="str">
        <f aca="false">IF(K2700="LabaRugi",INDEX(I_COA!$D$6:$D$265,MATCH(D2700,I_COA!$A$6:$A$265,0)),"")</f>
        <v/>
      </c>
      <c r="M2700" s="34" t="str">
        <f aca="false">IF(K2700="Neraca",INDEX(I_COA!$E$6:$E$265,MATCH(D2700,I_COA!$A$6:$A$265,0)),"")</f>
        <v/>
      </c>
      <c r="N2700" s="34" t="str">
        <f aca="false">IF(D2700="","",IFERROR(INDEX(I_COA!$G$6:$G$265,MATCH(D2700,I_COA!$A$6:$A$265,0)),"N"))</f>
        <v/>
      </c>
      <c r="O2700" s="11" t="str">
        <f aca="false">IF(N2700="N",ABS(J2700),"")</f>
        <v/>
      </c>
      <c r="P2700" s="18" t="str">
        <f aca="false">IF(N2700="N",B2700&amp;"|"&amp;ROUND(O2700,0),"")</f>
        <v/>
      </c>
      <c r="Q2700" s="18" t="str">
        <f aca="false">IF(N2700&lt;&gt;"Y","",IFERROR(INDEX($D$6:$D$4005,MATCH(B2700&amp;"|"&amp;ROUND(_xlfn.MAXIFS($O$6:$O$4005,$B$6:$B$4005,B2700,$N$6:$N$4005,"N"),0),$P$6:$P$4005,0)),"(tanpa lawan)"))</f>
        <v/>
      </c>
      <c r="R2700" s="44"/>
      <c r="S2700" s="9" t="str">
        <f aca="false">IF(N2700&lt;&gt;"Y","",IF(R2700&lt;&gt;"",R2700,IF(Q2700="(tanpa lawan)","Transfer antar rekening",IFERROR(INDEX(I_COA!$F$6:$F$265,MATCH(Q2700,I_COA!$A$6:$A$265,0)),"?"))))</f>
        <v/>
      </c>
    </row>
    <row r="2701" customFormat="false" ht="15" hidden="false" customHeight="false" outlineLevel="0" collapsed="false">
      <c r="A2701" s="37"/>
      <c r="B2701" s="44"/>
      <c r="C2701" s="44"/>
      <c r="D2701" s="44"/>
      <c r="E2701" s="44"/>
      <c r="F2701" s="44"/>
      <c r="G2701" s="42"/>
      <c r="H2701" s="42"/>
      <c r="I2701" s="44"/>
      <c r="J2701" s="11" t="str">
        <f aca="false">IF(D2701="","",N(G2701)-N(H2701))</f>
        <v/>
      </c>
      <c r="K2701" s="34" t="str">
        <f aca="false">IF(D2701="","",IFERROR(INDEX(I_COA!$C$6:$C$265,MATCH(D2701,I_COA!$A$6:$A$265,0)),"AKUN BARU"))</f>
        <v/>
      </c>
      <c r="L2701" s="34" t="str">
        <f aca="false">IF(K2701="LabaRugi",INDEX(I_COA!$D$6:$D$265,MATCH(D2701,I_COA!$A$6:$A$265,0)),"")</f>
        <v/>
      </c>
      <c r="M2701" s="34" t="str">
        <f aca="false">IF(K2701="Neraca",INDEX(I_COA!$E$6:$E$265,MATCH(D2701,I_COA!$A$6:$A$265,0)),"")</f>
        <v/>
      </c>
      <c r="N2701" s="34" t="str">
        <f aca="false">IF(D2701="","",IFERROR(INDEX(I_COA!$G$6:$G$265,MATCH(D2701,I_COA!$A$6:$A$265,0)),"N"))</f>
        <v/>
      </c>
      <c r="O2701" s="11" t="str">
        <f aca="false">IF(N2701="N",ABS(J2701),"")</f>
        <v/>
      </c>
      <c r="P2701" s="18" t="str">
        <f aca="false">IF(N2701="N",B2701&amp;"|"&amp;ROUND(O2701,0),"")</f>
        <v/>
      </c>
      <c r="Q2701" s="18" t="str">
        <f aca="false">IF(N2701&lt;&gt;"Y","",IFERROR(INDEX($D$6:$D$4005,MATCH(B2701&amp;"|"&amp;ROUND(_xlfn.MAXIFS($O$6:$O$4005,$B$6:$B$4005,B2701,$N$6:$N$4005,"N"),0),$P$6:$P$4005,0)),"(tanpa lawan)"))</f>
        <v/>
      </c>
      <c r="R2701" s="44"/>
      <c r="S2701" s="9" t="str">
        <f aca="false">IF(N2701&lt;&gt;"Y","",IF(R2701&lt;&gt;"",R2701,IF(Q2701="(tanpa lawan)","Transfer antar rekening",IFERROR(INDEX(I_COA!$F$6:$F$265,MATCH(Q2701,I_COA!$A$6:$A$265,0)),"?"))))</f>
        <v/>
      </c>
    </row>
    <row r="2702" customFormat="false" ht="15" hidden="false" customHeight="false" outlineLevel="0" collapsed="false">
      <c r="A2702" s="37"/>
      <c r="B2702" s="44"/>
      <c r="C2702" s="44"/>
      <c r="D2702" s="44"/>
      <c r="E2702" s="44"/>
      <c r="F2702" s="44"/>
      <c r="G2702" s="42"/>
      <c r="H2702" s="42"/>
      <c r="I2702" s="44"/>
      <c r="J2702" s="11" t="str">
        <f aca="false">IF(D2702="","",N(G2702)-N(H2702))</f>
        <v/>
      </c>
      <c r="K2702" s="34" t="str">
        <f aca="false">IF(D2702="","",IFERROR(INDEX(I_COA!$C$6:$C$265,MATCH(D2702,I_COA!$A$6:$A$265,0)),"AKUN BARU"))</f>
        <v/>
      </c>
      <c r="L2702" s="34" t="str">
        <f aca="false">IF(K2702="LabaRugi",INDEX(I_COA!$D$6:$D$265,MATCH(D2702,I_COA!$A$6:$A$265,0)),"")</f>
        <v/>
      </c>
      <c r="M2702" s="34" t="str">
        <f aca="false">IF(K2702="Neraca",INDEX(I_COA!$E$6:$E$265,MATCH(D2702,I_COA!$A$6:$A$265,0)),"")</f>
        <v/>
      </c>
      <c r="N2702" s="34" t="str">
        <f aca="false">IF(D2702="","",IFERROR(INDEX(I_COA!$G$6:$G$265,MATCH(D2702,I_COA!$A$6:$A$265,0)),"N"))</f>
        <v/>
      </c>
      <c r="O2702" s="11" t="str">
        <f aca="false">IF(N2702="N",ABS(J2702),"")</f>
        <v/>
      </c>
      <c r="P2702" s="18" t="str">
        <f aca="false">IF(N2702="N",B2702&amp;"|"&amp;ROUND(O2702,0),"")</f>
        <v/>
      </c>
      <c r="Q2702" s="18" t="str">
        <f aca="false">IF(N2702&lt;&gt;"Y","",IFERROR(INDEX($D$6:$D$4005,MATCH(B2702&amp;"|"&amp;ROUND(_xlfn.MAXIFS($O$6:$O$4005,$B$6:$B$4005,B2702,$N$6:$N$4005,"N"),0),$P$6:$P$4005,0)),"(tanpa lawan)"))</f>
        <v/>
      </c>
      <c r="R2702" s="44"/>
      <c r="S2702" s="9" t="str">
        <f aca="false">IF(N2702&lt;&gt;"Y","",IF(R2702&lt;&gt;"",R2702,IF(Q2702="(tanpa lawan)","Transfer antar rekening",IFERROR(INDEX(I_COA!$F$6:$F$265,MATCH(Q2702,I_COA!$A$6:$A$265,0)),"?"))))</f>
        <v/>
      </c>
    </row>
    <row r="2703" customFormat="false" ht="15" hidden="false" customHeight="false" outlineLevel="0" collapsed="false">
      <c r="A2703" s="37"/>
      <c r="B2703" s="44"/>
      <c r="C2703" s="44"/>
      <c r="D2703" s="44"/>
      <c r="E2703" s="44"/>
      <c r="F2703" s="44"/>
      <c r="G2703" s="42"/>
      <c r="H2703" s="42"/>
      <c r="I2703" s="44"/>
      <c r="J2703" s="11" t="str">
        <f aca="false">IF(D2703="","",N(G2703)-N(H2703))</f>
        <v/>
      </c>
      <c r="K2703" s="34" t="str">
        <f aca="false">IF(D2703="","",IFERROR(INDEX(I_COA!$C$6:$C$265,MATCH(D2703,I_COA!$A$6:$A$265,0)),"AKUN BARU"))</f>
        <v/>
      </c>
      <c r="L2703" s="34" t="str">
        <f aca="false">IF(K2703="LabaRugi",INDEX(I_COA!$D$6:$D$265,MATCH(D2703,I_COA!$A$6:$A$265,0)),"")</f>
        <v/>
      </c>
      <c r="M2703" s="34" t="str">
        <f aca="false">IF(K2703="Neraca",INDEX(I_COA!$E$6:$E$265,MATCH(D2703,I_COA!$A$6:$A$265,0)),"")</f>
        <v/>
      </c>
      <c r="N2703" s="34" t="str">
        <f aca="false">IF(D2703="","",IFERROR(INDEX(I_COA!$G$6:$G$265,MATCH(D2703,I_COA!$A$6:$A$265,0)),"N"))</f>
        <v/>
      </c>
      <c r="O2703" s="11" t="str">
        <f aca="false">IF(N2703="N",ABS(J2703),"")</f>
        <v/>
      </c>
      <c r="P2703" s="18" t="str">
        <f aca="false">IF(N2703="N",B2703&amp;"|"&amp;ROUND(O2703,0),"")</f>
        <v/>
      </c>
      <c r="Q2703" s="18" t="str">
        <f aca="false">IF(N2703&lt;&gt;"Y","",IFERROR(INDEX($D$6:$D$4005,MATCH(B2703&amp;"|"&amp;ROUND(_xlfn.MAXIFS($O$6:$O$4005,$B$6:$B$4005,B2703,$N$6:$N$4005,"N"),0),$P$6:$P$4005,0)),"(tanpa lawan)"))</f>
        <v/>
      </c>
      <c r="R2703" s="44"/>
      <c r="S2703" s="9" t="str">
        <f aca="false">IF(N2703&lt;&gt;"Y","",IF(R2703&lt;&gt;"",R2703,IF(Q2703="(tanpa lawan)","Transfer antar rekening",IFERROR(INDEX(I_COA!$F$6:$F$265,MATCH(Q2703,I_COA!$A$6:$A$265,0)),"?"))))</f>
        <v/>
      </c>
    </row>
    <row r="2704" customFormat="false" ht="15" hidden="false" customHeight="false" outlineLevel="0" collapsed="false">
      <c r="A2704" s="37"/>
      <c r="B2704" s="44"/>
      <c r="C2704" s="44"/>
      <c r="D2704" s="44"/>
      <c r="E2704" s="44"/>
      <c r="F2704" s="44"/>
      <c r="G2704" s="42"/>
      <c r="H2704" s="42"/>
      <c r="I2704" s="44"/>
      <c r="J2704" s="11" t="str">
        <f aca="false">IF(D2704="","",N(G2704)-N(H2704))</f>
        <v/>
      </c>
      <c r="K2704" s="34" t="str">
        <f aca="false">IF(D2704="","",IFERROR(INDEX(I_COA!$C$6:$C$265,MATCH(D2704,I_COA!$A$6:$A$265,0)),"AKUN BARU"))</f>
        <v/>
      </c>
      <c r="L2704" s="34" t="str">
        <f aca="false">IF(K2704="LabaRugi",INDEX(I_COA!$D$6:$D$265,MATCH(D2704,I_COA!$A$6:$A$265,0)),"")</f>
        <v/>
      </c>
      <c r="M2704" s="34" t="str">
        <f aca="false">IF(K2704="Neraca",INDEX(I_COA!$E$6:$E$265,MATCH(D2704,I_COA!$A$6:$A$265,0)),"")</f>
        <v/>
      </c>
      <c r="N2704" s="34" t="str">
        <f aca="false">IF(D2704="","",IFERROR(INDEX(I_COA!$G$6:$G$265,MATCH(D2704,I_COA!$A$6:$A$265,0)),"N"))</f>
        <v/>
      </c>
      <c r="O2704" s="11" t="str">
        <f aca="false">IF(N2704="N",ABS(J2704),"")</f>
        <v/>
      </c>
      <c r="P2704" s="18" t="str">
        <f aca="false">IF(N2704="N",B2704&amp;"|"&amp;ROUND(O2704,0),"")</f>
        <v/>
      </c>
      <c r="Q2704" s="18" t="str">
        <f aca="false">IF(N2704&lt;&gt;"Y","",IFERROR(INDEX($D$6:$D$4005,MATCH(B2704&amp;"|"&amp;ROUND(_xlfn.MAXIFS($O$6:$O$4005,$B$6:$B$4005,B2704,$N$6:$N$4005,"N"),0),$P$6:$P$4005,0)),"(tanpa lawan)"))</f>
        <v/>
      </c>
      <c r="R2704" s="44"/>
      <c r="S2704" s="9" t="str">
        <f aca="false">IF(N2704&lt;&gt;"Y","",IF(R2704&lt;&gt;"",R2704,IF(Q2704="(tanpa lawan)","Transfer antar rekening",IFERROR(INDEX(I_COA!$F$6:$F$265,MATCH(Q2704,I_COA!$A$6:$A$265,0)),"?"))))</f>
        <v/>
      </c>
    </row>
    <row r="2705" customFormat="false" ht="15" hidden="false" customHeight="false" outlineLevel="0" collapsed="false">
      <c r="A2705" s="37"/>
      <c r="B2705" s="44"/>
      <c r="C2705" s="44"/>
      <c r="D2705" s="44"/>
      <c r="E2705" s="44"/>
      <c r="F2705" s="44"/>
      <c r="G2705" s="42"/>
      <c r="H2705" s="42"/>
      <c r="I2705" s="44"/>
      <c r="J2705" s="11" t="str">
        <f aca="false">IF(D2705="","",N(G2705)-N(H2705))</f>
        <v/>
      </c>
      <c r="K2705" s="34" t="str">
        <f aca="false">IF(D2705="","",IFERROR(INDEX(I_COA!$C$6:$C$265,MATCH(D2705,I_COA!$A$6:$A$265,0)),"AKUN BARU"))</f>
        <v/>
      </c>
      <c r="L2705" s="34" t="str">
        <f aca="false">IF(K2705="LabaRugi",INDEX(I_COA!$D$6:$D$265,MATCH(D2705,I_COA!$A$6:$A$265,0)),"")</f>
        <v/>
      </c>
      <c r="M2705" s="34" t="str">
        <f aca="false">IF(K2705="Neraca",INDEX(I_COA!$E$6:$E$265,MATCH(D2705,I_COA!$A$6:$A$265,0)),"")</f>
        <v/>
      </c>
      <c r="N2705" s="34" t="str">
        <f aca="false">IF(D2705="","",IFERROR(INDEX(I_COA!$G$6:$G$265,MATCH(D2705,I_COA!$A$6:$A$265,0)),"N"))</f>
        <v/>
      </c>
      <c r="O2705" s="11" t="str">
        <f aca="false">IF(N2705="N",ABS(J2705),"")</f>
        <v/>
      </c>
      <c r="P2705" s="18" t="str">
        <f aca="false">IF(N2705="N",B2705&amp;"|"&amp;ROUND(O2705,0),"")</f>
        <v/>
      </c>
      <c r="Q2705" s="18" t="str">
        <f aca="false">IF(N2705&lt;&gt;"Y","",IFERROR(INDEX($D$6:$D$4005,MATCH(B2705&amp;"|"&amp;ROUND(_xlfn.MAXIFS($O$6:$O$4005,$B$6:$B$4005,B2705,$N$6:$N$4005,"N"),0),$P$6:$P$4005,0)),"(tanpa lawan)"))</f>
        <v/>
      </c>
      <c r="R2705" s="44"/>
      <c r="S2705" s="9" t="str">
        <f aca="false">IF(N2705&lt;&gt;"Y","",IF(R2705&lt;&gt;"",R2705,IF(Q2705="(tanpa lawan)","Transfer antar rekening",IFERROR(INDEX(I_COA!$F$6:$F$265,MATCH(Q2705,I_COA!$A$6:$A$265,0)),"?"))))</f>
        <v/>
      </c>
    </row>
    <row r="2706" customFormat="false" ht="15" hidden="false" customHeight="false" outlineLevel="0" collapsed="false">
      <c r="A2706" s="37"/>
      <c r="B2706" s="44"/>
      <c r="C2706" s="44"/>
      <c r="D2706" s="44"/>
      <c r="E2706" s="44"/>
      <c r="F2706" s="44"/>
      <c r="G2706" s="42"/>
      <c r="H2706" s="42"/>
      <c r="I2706" s="44"/>
      <c r="J2706" s="11" t="str">
        <f aca="false">IF(D2706="","",N(G2706)-N(H2706))</f>
        <v/>
      </c>
      <c r="K2706" s="34" t="str">
        <f aca="false">IF(D2706="","",IFERROR(INDEX(I_COA!$C$6:$C$265,MATCH(D2706,I_COA!$A$6:$A$265,0)),"AKUN BARU"))</f>
        <v/>
      </c>
      <c r="L2706" s="34" t="str">
        <f aca="false">IF(K2706="LabaRugi",INDEX(I_COA!$D$6:$D$265,MATCH(D2706,I_COA!$A$6:$A$265,0)),"")</f>
        <v/>
      </c>
      <c r="M2706" s="34" t="str">
        <f aca="false">IF(K2706="Neraca",INDEX(I_COA!$E$6:$E$265,MATCH(D2706,I_COA!$A$6:$A$265,0)),"")</f>
        <v/>
      </c>
      <c r="N2706" s="34" t="str">
        <f aca="false">IF(D2706="","",IFERROR(INDEX(I_COA!$G$6:$G$265,MATCH(D2706,I_COA!$A$6:$A$265,0)),"N"))</f>
        <v/>
      </c>
      <c r="O2706" s="11" t="str">
        <f aca="false">IF(N2706="N",ABS(J2706),"")</f>
        <v/>
      </c>
      <c r="P2706" s="18" t="str">
        <f aca="false">IF(N2706="N",B2706&amp;"|"&amp;ROUND(O2706,0),"")</f>
        <v/>
      </c>
      <c r="Q2706" s="18" t="str">
        <f aca="false">IF(N2706&lt;&gt;"Y","",IFERROR(INDEX($D$6:$D$4005,MATCH(B2706&amp;"|"&amp;ROUND(_xlfn.MAXIFS($O$6:$O$4005,$B$6:$B$4005,B2706,$N$6:$N$4005,"N"),0),$P$6:$P$4005,0)),"(tanpa lawan)"))</f>
        <v/>
      </c>
      <c r="R2706" s="44"/>
      <c r="S2706" s="9" t="str">
        <f aca="false">IF(N2706&lt;&gt;"Y","",IF(R2706&lt;&gt;"",R2706,IF(Q2706="(tanpa lawan)","Transfer antar rekening",IFERROR(INDEX(I_COA!$F$6:$F$265,MATCH(Q2706,I_COA!$A$6:$A$265,0)),"?"))))</f>
        <v/>
      </c>
    </row>
    <row r="2707" customFormat="false" ht="15" hidden="false" customHeight="false" outlineLevel="0" collapsed="false">
      <c r="A2707" s="37"/>
      <c r="B2707" s="44"/>
      <c r="C2707" s="44"/>
      <c r="D2707" s="44"/>
      <c r="E2707" s="44"/>
      <c r="F2707" s="44"/>
      <c r="G2707" s="42"/>
      <c r="H2707" s="42"/>
      <c r="I2707" s="44"/>
      <c r="J2707" s="11" t="str">
        <f aca="false">IF(D2707="","",N(G2707)-N(H2707))</f>
        <v/>
      </c>
      <c r="K2707" s="34" t="str">
        <f aca="false">IF(D2707="","",IFERROR(INDEX(I_COA!$C$6:$C$265,MATCH(D2707,I_COA!$A$6:$A$265,0)),"AKUN BARU"))</f>
        <v/>
      </c>
      <c r="L2707" s="34" t="str">
        <f aca="false">IF(K2707="LabaRugi",INDEX(I_COA!$D$6:$D$265,MATCH(D2707,I_COA!$A$6:$A$265,0)),"")</f>
        <v/>
      </c>
      <c r="M2707" s="34" t="str">
        <f aca="false">IF(K2707="Neraca",INDEX(I_COA!$E$6:$E$265,MATCH(D2707,I_COA!$A$6:$A$265,0)),"")</f>
        <v/>
      </c>
      <c r="N2707" s="34" t="str">
        <f aca="false">IF(D2707="","",IFERROR(INDEX(I_COA!$G$6:$G$265,MATCH(D2707,I_COA!$A$6:$A$265,0)),"N"))</f>
        <v/>
      </c>
      <c r="O2707" s="11" t="str">
        <f aca="false">IF(N2707="N",ABS(J2707),"")</f>
        <v/>
      </c>
      <c r="P2707" s="18" t="str">
        <f aca="false">IF(N2707="N",B2707&amp;"|"&amp;ROUND(O2707,0),"")</f>
        <v/>
      </c>
      <c r="Q2707" s="18" t="str">
        <f aca="false">IF(N2707&lt;&gt;"Y","",IFERROR(INDEX($D$6:$D$4005,MATCH(B2707&amp;"|"&amp;ROUND(_xlfn.MAXIFS($O$6:$O$4005,$B$6:$B$4005,B2707,$N$6:$N$4005,"N"),0),$P$6:$P$4005,0)),"(tanpa lawan)"))</f>
        <v/>
      </c>
      <c r="R2707" s="44"/>
      <c r="S2707" s="9" t="str">
        <f aca="false">IF(N2707&lt;&gt;"Y","",IF(R2707&lt;&gt;"",R2707,IF(Q2707="(tanpa lawan)","Transfer antar rekening",IFERROR(INDEX(I_COA!$F$6:$F$265,MATCH(Q2707,I_COA!$A$6:$A$265,0)),"?"))))</f>
        <v/>
      </c>
    </row>
    <row r="2708" customFormat="false" ht="15" hidden="false" customHeight="false" outlineLevel="0" collapsed="false">
      <c r="A2708" s="37"/>
      <c r="B2708" s="44"/>
      <c r="C2708" s="44"/>
      <c r="D2708" s="44"/>
      <c r="E2708" s="44"/>
      <c r="F2708" s="44"/>
      <c r="G2708" s="42"/>
      <c r="H2708" s="42"/>
      <c r="I2708" s="44"/>
      <c r="J2708" s="11" t="str">
        <f aca="false">IF(D2708="","",N(G2708)-N(H2708))</f>
        <v/>
      </c>
      <c r="K2708" s="34" t="str">
        <f aca="false">IF(D2708="","",IFERROR(INDEX(I_COA!$C$6:$C$265,MATCH(D2708,I_COA!$A$6:$A$265,0)),"AKUN BARU"))</f>
        <v/>
      </c>
      <c r="L2708" s="34" t="str">
        <f aca="false">IF(K2708="LabaRugi",INDEX(I_COA!$D$6:$D$265,MATCH(D2708,I_COA!$A$6:$A$265,0)),"")</f>
        <v/>
      </c>
      <c r="M2708" s="34" t="str">
        <f aca="false">IF(K2708="Neraca",INDEX(I_COA!$E$6:$E$265,MATCH(D2708,I_COA!$A$6:$A$265,0)),"")</f>
        <v/>
      </c>
      <c r="N2708" s="34" t="str">
        <f aca="false">IF(D2708="","",IFERROR(INDEX(I_COA!$G$6:$G$265,MATCH(D2708,I_COA!$A$6:$A$265,0)),"N"))</f>
        <v/>
      </c>
      <c r="O2708" s="11" t="str">
        <f aca="false">IF(N2708="N",ABS(J2708),"")</f>
        <v/>
      </c>
      <c r="P2708" s="18" t="str">
        <f aca="false">IF(N2708="N",B2708&amp;"|"&amp;ROUND(O2708,0),"")</f>
        <v/>
      </c>
      <c r="Q2708" s="18" t="str">
        <f aca="false">IF(N2708&lt;&gt;"Y","",IFERROR(INDEX($D$6:$D$4005,MATCH(B2708&amp;"|"&amp;ROUND(_xlfn.MAXIFS($O$6:$O$4005,$B$6:$B$4005,B2708,$N$6:$N$4005,"N"),0),$P$6:$P$4005,0)),"(tanpa lawan)"))</f>
        <v/>
      </c>
      <c r="R2708" s="44"/>
      <c r="S2708" s="9" t="str">
        <f aca="false">IF(N2708&lt;&gt;"Y","",IF(R2708&lt;&gt;"",R2708,IF(Q2708="(tanpa lawan)","Transfer antar rekening",IFERROR(INDEX(I_COA!$F$6:$F$265,MATCH(Q2708,I_COA!$A$6:$A$265,0)),"?"))))</f>
        <v/>
      </c>
    </row>
    <row r="2709" customFormat="false" ht="15" hidden="false" customHeight="false" outlineLevel="0" collapsed="false">
      <c r="A2709" s="37"/>
      <c r="B2709" s="44"/>
      <c r="C2709" s="44"/>
      <c r="D2709" s="44"/>
      <c r="E2709" s="44"/>
      <c r="F2709" s="44"/>
      <c r="G2709" s="42"/>
      <c r="H2709" s="42"/>
      <c r="I2709" s="44"/>
      <c r="J2709" s="11" t="str">
        <f aca="false">IF(D2709="","",N(G2709)-N(H2709))</f>
        <v/>
      </c>
      <c r="K2709" s="34" t="str">
        <f aca="false">IF(D2709="","",IFERROR(INDEX(I_COA!$C$6:$C$265,MATCH(D2709,I_COA!$A$6:$A$265,0)),"AKUN BARU"))</f>
        <v/>
      </c>
      <c r="L2709" s="34" t="str">
        <f aca="false">IF(K2709="LabaRugi",INDEX(I_COA!$D$6:$D$265,MATCH(D2709,I_COA!$A$6:$A$265,0)),"")</f>
        <v/>
      </c>
      <c r="M2709" s="34" t="str">
        <f aca="false">IF(K2709="Neraca",INDEX(I_COA!$E$6:$E$265,MATCH(D2709,I_COA!$A$6:$A$265,0)),"")</f>
        <v/>
      </c>
      <c r="N2709" s="34" t="str">
        <f aca="false">IF(D2709="","",IFERROR(INDEX(I_COA!$G$6:$G$265,MATCH(D2709,I_COA!$A$6:$A$265,0)),"N"))</f>
        <v/>
      </c>
      <c r="O2709" s="11" t="str">
        <f aca="false">IF(N2709="N",ABS(J2709),"")</f>
        <v/>
      </c>
      <c r="P2709" s="18" t="str">
        <f aca="false">IF(N2709="N",B2709&amp;"|"&amp;ROUND(O2709,0),"")</f>
        <v/>
      </c>
      <c r="Q2709" s="18" t="str">
        <f aca="false">IF(N2709&lt;&gt;"Y","",IFERROR(INDEX($D$6:$D$4005,MATCH(B2709&amp;"|"&amp;ROUND(_xlfn.MAXIFS($O$6:$O$4005,$B$6:$B$4005,B2709,$N$6:$N$4005,"N"),0),$P$6:$P$4005,0)),"(tanpa lawan)"))</f>
        <v/>
      </c>
      <c r="R2709" s="44"/>
      <c r="S2709" s="9" t="str">
        <f aca="false">IF(N2709&lt;&gt;"Y","",IF(R2709&lt;&gt;"",R2709,IF(Q2709="(tanpa lawan)","Transfer antar rekening",IFERROR(INDEX(I_COA!$F$6:$F$265,MATCH(Q2709,I_COA!$A$6:$A$265,0)),"?"))))</f>
        <v/>
      </c>
    </row>
    <row r="2710" customFormat="false" ht="15" hidden="false" customHeight="false" outlineLevel="0" collapsed="false">
      <c r="A2710" s="37"/>
      <c r="B2710" s="44"/>
      <c r="C2710" s="44"/>
      <c r="D2710" s="44"/>
      <c r="E2710" s="44"/>
      <c r="F2710" s="44"/>
      <c r="G2710" s="42"/>
      <c r="H2710" s="42"/>
      <c r="I2710" s="44"/>
      <c r="J2710" s="11" t="str">
        <f aca="false">IF(D2710="","",N(G2710)-N(H2710))</f>
        <v/>
      </c>
      <c r="K2710" s="34" t="str">
        <f aca="false">IF(D2710="","",IFERROR(INDEX(I_COA!$C$6:$C$265,MATCH(D2710,I_COA!$A$6:$A$265,0)),"AKUN BARU"))</f>
        <v/>
      </c>
      <c r="L2710" s="34" t="str">
        <f aca="false">IF(K2710="LabaRugi",INDEX(I_COA!$D$6:$D$265,MATCH(D2710,I_COA!$A$6:$A$265,0)),"")</f>
        <v/>
      </c>
      <c r="M2710" s="34" t="str">
        <f aca="false">IF(K2710="Neraca",INDEX(I_COA!$E$6:$E$265,MATCH(D2710,I_COA!$A$6:$A$265,0)),"")</f>
        <v/>
      </c>
      <c r="N2710" s="34" t="str">
        <f aca="false">IF(D2710="","",IFERROR(INDEX(I_COA!$G$6:$G$265,MATCH(D2710,I_COA!$A$6:$A$265,0)),"N"))</f>
        <v/>
      </c>
      <c r="O2710" s="11" t="str">
        <f aca="false">IF(N2710="N",ABS(J2710),"")</f>
        <v/>
      </c>
      <c r="P2710" s="18" t="str">
        <f aca="false">IF(N2710="N",B2710&amp;"|"&amp;ROUND(O2710,0),"")</f>
        <v/>
      </c>
      <c r="Q2710" s="18" t="str">
        <f aca="false">IF(N2710&lt;&gt;"Y","",IFERROR(INDEX($D$6:$D$4005,MATCH(B2710&amp;"|"&amp;ROUND(_xlfn.MAXIFS($O$6:$O$4005,$B$6:$B$4005,B2710,$N$6:$N$4005,"N"),0),$P$6:$P$4005,0)),"(tanpa lawan)"))</f>
        <v/>
      </c>
      <c r="R2710" s="44"/>
      <c r="S2710" s="9" t="str">
        <f aca="false">IF(N2710&lt;&gt;"Y","",IF(R2710&lt;&gt;"",R2710,IF(Q2710="(tanpa lawan)","Transfer antar rekening",IFERROR(INDEX(I_COA!$F$6:$F$265,MATCH(Q2710,I_COA!$A$6:$A$265,0)),"?"))))</f>
        <v/>
      </c>
    </row>
    <row r="2711" customFormat="false" ht="15" hidden="false" customHeight="false" outlineLevel="0" collapsed="false">
      <c r="A2711" s="37"/>
      <c r="B2711" s="44"/>
      <c r="C2711" s="44"/>
      <c r="D2711" s="44"/>
      <c r="E2711" s="44"/>
      <c r="F2711" s="44"/>
      <c r="G2711" s="42"/>
      <c r="H2711" s="42"/>
      <c r="I2711" s="44"/>
      <c r="J2711" s="11" t="str">
        <f aca="false">IF(D2711="","",N(G2711)-N(H2711))</f>
        <v/>
      </c>
      <c r="K2711" s="34" t="str">
        <f aca="false">IF(D2711="","",IFERROR(INDEX(I_COA!$C$6:$C$265,MATCH(D2711,I_COA!$A$6:$A$265,0)),"AKUN BARU"))</f>
        <v/>
      </c>
      <c r="L2711" s="34" t="str">
        <f aca="false">IF(K2711="LabaRugi",INDEX(I_COA!$D$6:$D$265,MATCH(D2711,I_COA!$A$6:$A$265,0)),"")</f>
        <v/>
      </c>
      <c r="M2711" s="34" t="str">
        <f aca="false">IF(K2711="Neraca",INDEX(I_COA!$E$6:$E$265,MATCH(D2711,I_COA!$A$6:$A$265,0)),"")</f>
        <v/>
      </c>
      <c r="N2711" s="34" t="str">
        <f aca="false">IF(D2711="","",IFERROR(INDEX(I_COA!$G$6:$G$265,MATCH(D2711,I_COA!$A$6:$A$265,0)),"N"))</f>
        <v/>
      </c>
      <c r="O2711" s="11" t="str">
        <f aca="false">IF(N2711="N",ABS(J2711),"")</f>
        <v/>
      </c>
      <c r="P2711" s="18" t="str">
        <f aca="false">IF(N2711="N",B2711&amp;"|"&amp;ROUND(O2711,0),"")</f>
        <v/>
      </c>
      <c r="Q2711" s="18" t="str">
        <f aca="false">IF(N2711&lt;&gt;"Y","",IFERROR(INDEX($D$6:$D$4005,MATCH(B2711&amp;"|"&amp;ROUND(_xlfn.MAXIFS($O$6:$O$4005,$B$6:$B$4005,B2711,$N$6:$N$4005,"N"),0),$P$6:$P$4005,0)),"(tanpa lawan)"))</f>
        <v/>
      </c>
      <c r="R2711" s="44"/>
      <c r="S2711" s="9" t="str">
        <f aca="false">IF(N2711&lt;&gt;"Y","",IF(R2711&lt;&gt;"",R2711,IF(Q2711="(tanpa lawan)","Transfer antar rekening",IFERROR(INDEX(I_COA!$F$6:$F$265,MATCH(Q2711,I_COA!$A$6:$A$265,0)),"?"))))</f>
        <v/>
      </c>
    </row>
    <row r="2712" customFormat="false" ht="15" hidden="false" customHeight="false" outlineLevel="0" collapsed="false">
      <c r="A2712" s="37"/>
      <c r="B2712" s="44"/>
      <c r="C2712" s="44"/>
      <c r="D2712" s="44"/>
      <c r="E2712" s="44"/>
      <c r="F2712" s="44"/>
      <c r="G2712" s="42"/>
      <c r="H2712" s="42"/>
      <c r="I2712" s="44"/>
      <c r="J2712" s="11" t="str">
        <f aca="false">IF(D2712="","",N(G2712)-N(H2712))</f>
        <v/>
      </c>
      <c r="K2712" s="34" t="str">
        <f aca="false">IF(D2712="","",IFERROR(INDEX(I_COA!$C$6:$C$265,MATCH(D2712,I_COA!$A$6:$A$265,0)),"AKUN BARU"))</f>
        <v/>
      </c>
      <c r="L2712" s="34" t="str">
        <f aca="false">IF(K2712="LabaRugi",INDEX(I_COA!$D$6:$D$265,MATCH(D2712,I_COA!$A$6:$A$265,0)),"")</f>
        <v/>
      </c>
      <c r="M2712" s="34" t="str">
        <f aca="false">IF(K2712="Neraca",INDEX(I_COA!$E$6:$E$265,MATCH(D2712,I_COA!$A$6:$A$265,0)),"")</f>
        <v/>
      </c>
      <c r="N2712" s="34" t="str">
        <f aca="false">IF(D2712="","",IFERROR(INDEX(I_COA!$G$6:$G$265,MATCH(D2712,I_COA!$A$6:$A$265,0)),"N"))</f>
        <v/>
      </c>
      <c r="O2712" s="11" t="str">
        <f aca="false">IF(N2712="N",ABS(J2712),"")</f>
        <v/>
      </c>
      <c r="P2712" s="18" t="str">
        <f aca="false">IF(N2712="N",B2712&amp;"|"&amp;ROUND(O2712,0),"")</f>
        <v/>
      </c>
      <c r="Q2712" s="18" t="str">
        <f aca="false">IF(N2712&lt;&gt;"Y","",IFERROR(INDEX($D$6:$D$4005,MATCH(B2712&amp;"|"&amp;ROUND(_xlfn.MAXIFS($O$6:$O$4005,$B$6:$B$4005,B2712,$N$6:$N$4005,"N"),0),$P$6:$P$4005,0)),"(tanpa lawan)"))</f>
        <v/>
      </c>
      <c r="R2712" s="44"/>
      <c r="S2712" s="9" t="str">
        <f aca="false">IF(N2712&lt;&gt;"Y","",IF(R2712&lt;&gt;"",R2712,IF(Q2712="(tanpa lawan)","Transfer antar rekening",IFERROR(INDEX(I_COA!$F$6:$F$265,MATCH(Q2712,I_COA!$A$6:$A$265,0)),"?"))))</f>
        <v/>
      </c>
    </row>
    <row r="2713" customFormat="false" ht="15" hidden="false" customHeight="false" outlineLevel="0" collapsed="false">
      <c r="A2713" s="37"/>
      <c r="B2713" s="44"/>
      <c r="C2713" s="44"/>
      <c r="D2713" s="44"/>
      <c r="E2713" s="44"/>
      <c r="F2713" s="44"/>
      <c r="G2713" s="42"/>
      <c r="H2713" s="42"/>
      <c r="I2713" s="44"/>
      <c r="J2713" s="11" t="str">
        <f aca="false">IF(D2713="","",N(G2713)-N(H2713))</f>
        <v/>
      </c>
      <c r="K2713" s="34" t="str">
        <f aca="false">IF(D2713="","",IFERROR(INDEX(I_COA!$C$6:$C$265,MATCH(D2713,I_COA!$A$6:$A$265,0)),"AKUN BARU"))</f>
        <v/>
      </c>
      <c r="L2713" s="34" t="str">
        <f aca="false">IF(K2713="LabaRugi",INDEX(I_COA!$D$6:$D$265,MATCH(D2713,I_COA!$A$6:$A$265,0)),"")</f>
        <v/>
      </c>
      <c r="M2713" s="34" t="str">
        <f aca="false">IF(K2713="Neraca",INDEX(I_COA!$E$6:$E$265,MATCH(D2713,I_COA!$A$6:$A$265,0)),"")</f>
        <v/>
      </c>
      <c r="N2713" s="34" t="str">
        <f aca="false">IF(D2713="","",IFERROR(INDEX(I_COA!$G$6:$G$265,MATCH(D2713,I_COA!$A$6:$A$265,0)),"N"))</f>
        <v/>
      </c>
      <c r="O2713" s="11" t="str">
        <f aca="false">IF(N2713="N",ABS(J2713),"")</f>
        <v/>
      </c>
      <c r="P2713" s="18" t="str">
        <f aca="false">IF(N2713="N",B2713&amp;"|"&amp;ROUND(O2713,0),"")</f>
        <v/>
      </c>
      <c r="Q2713" s="18" t="str">
        <f aca="false">IF(N2713&lt;&gt;"Y","",IFERROR(INDEX($D$6:$D$4005,MATCH(B2713&amp;"|"&amp;ROUND(_xlfn.MAXIFS($O$6:$O$4005,$B$6:$B$4005,B2713,$N$6:$N$4005,"N"),0),$P$6:$P$4005,0)),"(tanpa lawan)"))</f>
        <v/>
      </c>
      <c r="R2713" s="44"/>
      <c r="S2713" s="9" t="str">
        <f aca="false">IF(N2713&lt;&gt;"Y","",IF(R2713&lt;&gt;"",R2713,IF(Q2713="(tanpa lawan)","Transfer antar rekening",IFERROR(INDEX(I_COA!$F$6:$F$265,MATCH(Q2713,I_COA!$A$6:$A$265,0)),"?"))))</f>
        <v/>
      </c>
    </row>
    <row r="2714" customFormat="false" ht="15" hidden="false" customHeight="false" outlineLevel="0" collapsed="false">
      <c r="A2714" s="37"/>
      <c r="B2714" s="44"/>
      <c r="C2714" s="44"/>
      <c r="D2714" s="44"/>
      <c r="E2714" s="44"/>
      <c r="F2714" s="44"/>
      <c r="G2714" s="42"/>
      <c r="H2714" s="42"/>
      <c r="I2714" s="44"/>
      <c r="J2714" s="11" t="str">
        <f aca="false">IF(D2714="","",N(G2714)-N(H2714))</f>
        <v/>
      </c>
      <c r="K2714" s="34" t="str">
        <f aca="false">IF(D2714="","",IFERROR(INDEX(I_COA!$C$6:$C$265,MATCH(D2714,I_COA!$A$6:$A$265,0)),"AKUN BARU"))</f>
        <v/>
      </c>
      <c r="L2714" s="34" t="str">
        <f aca="false">IF(K2714="LabaRugi",INDEX(I_COA!$D$6:$D$265,MATCH(D2714,I_COA!$A$6:$A$265,0)),"")</f>
        <v/>
      </c>
      <c r="M2714" s="34" t="str">
        <f aca="false">IF(K2714="Neraca",INDEX(I_COA!$E$6:$E$265,MATCH(D2714,I_COA!$A$6:$A$265,0)),"")</f>
        <v/>
      </c>
      <c r="N2714" s="34" t="str">
        <f aca="false">IF(D2714="","",IFERROR(INDEX(I_COA!$G$6:$G$265,MATCH(D2714,I_COA!$A$6:$A$265,0)),"N"))</f>
        <v/>
      </c>
      <c r="O2714" s="11" t="str">
        <f aca="false">IF(N2714="N",ABS(J2714),"")</f>
        <v/>
      </c>
      <c r="P2714" s="18" t="str">
        <f aca="false">IF(N2714="N",B2714&amp;"|"&amp;ROUND(O2714,0),"")</f>
        <v/>
      </c>
      <c r="Q2714" s="18" t="str">
        <f aca="false">IF(N2714&lt;&gt;"Y","",IFERROR(INDEX($D$6:$D$4005,MATCH(B2714&amp;"|"&amp;ROUND(_xlfn.MAXIFS($O$6:$O$4005,$B$6:$B$4005,B2714,$N$6:$N$4005,"N"),0),$P$6:$P$4005,0)),"(tanpa lawan)"))</f>
        <v/>
      </c>
      <c r="R2714" s="44"/>
      <c r="S2714" s="9" t="str">
        <f aca="false">IF(N2714&lt;&gt;"Y","",IF(R2714&lt;&gt;"",R2714,IF(Q2714="(tanpa lawan)","Transfer antar rekening",IFERROR(INDEX(I_COA!$F$6:$F$265,MATCH(Q2714,I_COA!$A$6:$A$265,0)),"?"))))</f>
        <v/>
      </c>
    </row>
    <row r="2715" customFormat="false" ht="15" hidden="false" customHeight="false" outlineLevel="0" collapsed="false">
      <c r="A2715" s="37"/>
      <c r="B2715" s="44"/>
      <c r="C2715" s="44"/>
      <c r="D2715" s="44"/>
      <c r="E2715" s="44"/>
      <c r="F2715" s="44"/>
      <c r="G2715" s="42"/>
      <c r="H2715" s="42"/>
      <c r="I2715" s="44"/>
      <c r="J2715" s="11" t="str">
        <f aca="false">IF(D2715="","",N(G2715)-N(H2715))</f>
        <v/>
      </c>
      <c r="K2715" s="34" t="str">
        <f aca="false">IF(D2715="","",IFERROR(INDEX(I_COA!$C$6:$C$265,MATCH(D2715,I_COA!$A$6:$A$265,0)),"AKUN BARU"))</f>
        <v/>
      </c>
      <c r="L2715" s="34" t="str">
        <f aca="false">IF(K2715="LabaRugi",INDEX(I_COA!$D$6:$D$265,MATCH(D2715,I_COA!$A$6:$A$265,0)),"")</f>
        <v/>
      </c>
      <c r="M2715" s="34" t="str">
        <f aca="false">IF(K2715="Neraca",INDEX(I_COA!$E$6:$E$265,MATCH(D2715,I_COA!$A$6:$A$265,0)),"")</f>
        <v/>
      </c>
      <c r="N2715" s="34" t="str">
        <f aca="false">IF(D2715="","",IFERROR(INDEX(I_COA!$G$6:$G$265,MATCH(D2715,I_COA!$A$6:$A$265,0)),"N"))</f>
        <v/>
      </c>
      <c r="O2715" s="11" t="str">
        <f aca="false">IF(N2715="N",ABS(J2715),"")</f>
        <v/>
      </c>
      <c r="P2715" s="18" t="str">
        <f aca="false">IF(N2715="N",B2715&amp;"|"&amp;ROUND(O2715,0),"")</f>
        <v/>
      </c>
      <c r="Q2715" s="18" t="str">
        <f aca="false">IF(N2715&lt;&gt;"Y","",IFERROR(INDEX($D$6:$D$4005,MATCH(B2715&amp;"|"&amp;ROUND(_xlfn.MAXIFS($O$6:$O$4005,$B$6:$B$4005,B2715,$N$6:$N$4005,"N"),0),$P$6:$P$4005,0)),"(tanpa lawan)"))</f>
        <v/>
      </c>
      <c r="R2715" s="44"/>
      <c r="S2715" s="9" t="str">
        <f aca="false">IF(N2715&lt;&gt;"Y","",IF(R2715&lt;&gt;"",R2715,IF(Q2715="(tanpa lawan)","Transfer antar rekening",IFERROR(INDEX(I_COA!$F$6:$F$265,MATCH(Q2715,I_COA!$A$6:$A$265,0)),"?"))))</f>
        <v/>
      </c>
    </row>
    <row r="2716" customFormat="false" ht="15" hidden="false" customHeight="false" outlineLevel="0" collapsed="false">
      <c r="A2716" s="37"/>
      <c r="B2716" s="44"/>
      <c r="C2716" s="44"/>
      <c r="D2716" s="44"/>
      <c r="E2716" s="44"/>
      <c r="F2716" s="44"/>
      <c r="G2716" s="42"/>
      <c r="H2716" s="42"/>
      <c r="I2716" s="44"/>
      <c r="J2716" s="11" t="str">
        <f aca="false">IF(D2716="","",N(G2716)-N(H2716))</f>
        <v/>
      </c>
      <c r="K2716" s="34" t="str">
        <f aca="false">IF(D2716="","",IFERROR(INDEX(I_COA!$C$6:$C$265,MATCH(D2716,I_COA!$A$6:$A$265,0)),"AKUN BARU"))</f>
        <v/>
      </c>
      <c r="L2716" s="34" t="str">
        <f aca="false">IF(K2716="LabaRugi",INDEX(I_COA!$D$6:$D$265,MATCH(D2716,I_COA!$A$6:$A$265,0)),"")</f>
        <v/>
      </c>
      <c r="M2716" s="34" t="str">
        <f aca="false">IF(K2716="Neraca",INDEX(I_COA!$E$6:$E$265,MATCH(D2716,I_COA!$A$6:$A$265,0)),"")</f>
        <v/>
      </c>
      <c r="N2716" s="34" t="str">
        <f aca="false">IF(D2716="","",IFERROR(INDEX(I_COA!$G$6:$G$265,MATCH(D2716,I_COA!$A$6:$A$265,0)),"N"))</f>
        <v/>
      </c>
      <c r="O2716" s="11" t="str">
        <f aca="false">IF(N2716="N",ABS(J2716),"")</f>
        <v/>
      </c>
      <c r="P2716" s="18" t="str">
        <f aca="false">IF(N2716="N",B2716&amp;"|"&amp;ROUND(O2716,0),"")</f>
        <v/>
      </c>
      <c r="Q2716" s="18" t="str">
        <f aca="false">IF(N2716&lt;&gt;"Y","",IFERROR(INDEX($D$6:$D$4005,MATCH(B2716&amp;"|"&amp;ROUND(_xlfn.MAXIFS($O$6:$O$4005,$B$6:$B$4005,B2716,$N$6:$N$4005,"N"),0),$P$6:$P$4005,0)),"(tanpa lawan)"))</f>
        <v/>
      </c>
      <c r="R2716" s="44"/>
      <c r="S2716" s="9" t="str">
        <f aca="false">IF(N2716&lt;&gt;"Y","",IF(R2716&lt;&gt;"",R2716,IF(Q2716="(tanpa lawan)","Transfer antar rekening",IFERROR(INDEX(I_COA!$F$6:$F$265,MATCH(Q2716,I_COA!$A$6:$A$265,0)),"?"))))</f>
        <v/>
      </c>
    </row>
    <row r="2717" customFormat="false" ht="15" hidden="false" customHeight="false" outlineLevel="0" collapsed="false">
      <c r="A2717" s="37"/>
      <c r="B2717" s="44"/>
      <c r="C2717" s="44"/>
      <c r="D2717" s="44"/>
      <c r="E2717" s="44"/>
      <c r="F2717" s="44"/>
      <c r="G2717" s="42"/>
      <c r="H2717" s="42"/>
      <c r="I2717" s="44"/>
      <c r="J2717" s="11" t="str">
        <f aca="false">IF(D2717="","",N(G2717)-N(H2717))</f>
        <v/>
      </c>
      <c r="K2717" s="34" t="str">
        <f aca="false">IF(D2717="","",IFERROR(INDEX(I_COA!$C$6:$C$265,MATCH(D2717,I_COA!$A$6:$A$265,0)),"AKUN BARU"))</f>
        <v/>
      </c>
      <c r="L2717" s="34" t="str">
        <f aca="false">IF(K2717="LabaRugi",INDEX(I_COA!$D$6:$D$265,MATCH(D2717,I_COA!$A$6:$A$265,0)),"")</f>
        <v/>
      </c>
      <c r="M2717" s="34" t="str">
        <f aca="false">IF(K2717="Neraca",INDEX(I_COA!$E$6:$E$265,MATCH(D2717,I_COA!$A$6:$A$265,0)),"")</f>
        <v/>
      </c>
      <c r="N2717" s="34" t="str">
        <f aca="false">IF(D2717="","",IFERROR(INDEX(I_COA!$G$6:$G$265,MATCH(D2717,I_COA!$A$6:$A$265,0)),"N"))</f>
        <v/>
      </c>
      <c r="O2717" s="11" t="str">
        <f aca="false">IF(N2717="N",ABS(J2717),"")</f>
        <v/>
      </c>
      <c r="P2717" s="18" t="str">
        <f aca="false">IF(N2717="N",B2717&amp;"|"&amp;ROUND(O2717,0),"")</f>
        <v/>
      </c>
      <c r="Q2717" s="18" t="str">
        <f aca="false">IF(N2717&lt;&gt;"Y","",IFERROR(INDEX($D$6:$D$4005,MATCH(B2717&amp;"|"&amp;ROUND(_xlfn.MAXIFS($O$6:$O$4005,$B$6:$B$4005,B2717,$N$6:$N$4005,"N"),0),$P$6:$P$4005,0)),"(tanpa lawan)"))</f>
        <v/>
      </c>
      <c r="R2717" s="44"/>
      <c r="S2717" s="9" t="str">
        <f aca="false">IF(N2717&lt;&gt;"Y","",IF(R2717&lt;&gt;"",R2717,IF(Q2717="(tanpa lawan)","Transfer antar rekening",IFERROR(INDEX(I_COA!$F$6:$F$265,MATCH(Q2717,I_COA!$A$6:$A$265,0)),"?"))))</f>
        <v/>
      </c>
    </row>
    <row r="2718" customFormat="false" ht="15" hidden="false" customHeight="false" outlineLevel="0" collapsed="false">
      <c r="A2718" s="37"/>
      <c r="B2718" s="44"/>
      <c r="C2718" s="44"/>
      <c r="D2718" s="44"/>
      <c r="E2718" s="44"/>
      <c r="F2718" s="44"/>
      <c r="G2718" s="42"/>
      <c r="H2718" s="42"/>
      <c r="I2718" s="44"/>
      <c r="J2718" s="11" t="str">
        <f aca="false">IF(D2718="","",N(G2718)-N(H2718))</f>
        <v/>
      </c>
      <c r="K2718" s="34" t="str">
        <f aca="false">IF(D2718="","",IFERROR(INDEX(I_COA!$C$6:$C$265,MATCH(D2718,I_COA!$A$6:$A$265,0)),"AKUN BARU"))</f>
        <v/>
      </c>
      <c r="L2718" s="34" t="str">
        <f aca="false">IF(K2718="LabaRugi",INDEX(I_COA!$D$6:$D$265,MATCH(D2718,I_COA!$A$6:$A$265,0)),"")</f>
        <v/>
      </c>
      <c r="M2718" s="34" t="str">
        <f aca="false">IF(K2718="Neraca",INDEX(I_COA!$E$6:$E$265,MATCH(D2718,I_COA!$A$6:$A$265,0)),"")</f>
        <v/>
      </c>
      <c r="N2718" s="34" t="str">
        <f aca="false">IF(D2718="","",IFERROR(INDEX(I_COA!$G$6:$G$265,MATCH(D2718,I_COA!$A$6:$A$265,0)),"N"))</f>
        <v/>
      </c>
      <c r="O2718" s="11" t="str">
        <f aca="false">IF(N2718="N",ABS(J2718),"")</f>
        <v/>
      </c>
      <c r="P2718" s="18" t="str">
        <f aca="false">IF(N2718="N",B2718&amp;"|"&amp;ROUND(O2718,0),"")</f>
        <v/>
      </c>
      <c r="Q2718" s="18" t="str">
        <f aca="false">IF(N2718&lt;&gt;"Y","",IFERROR(INDEX($D$6:$D$4005,MATCH(B2718&amp;"|"&amp;ROUND(_xlfn.MAXIFS($O$6:$O$4005,$B$6:$B$4005,B2718,$N$6:$N$4005,"N"),0),$P$6:$P$4005,0)),"(tanpa lawan)"))</f>
        <v/>
      </c>
      <c r="R2718" s="44"/>
      <c r="S2718" s="9" t="str">
        <f aca="false">IF(N2718&lt;&gt;"Y","",IF(R2718&lt;&gt;"",R2718,IF(Q2718="(tanpa lawan)","Transfer antar rekening",IFERROR(INDEX(I_COA!$F$6:$F$265,MATCH(Q2718,I_COA!$A$6:$A$265,0)),"?"))))</f>
        <v/>
      </c>
    </row>
    <row r="2719" customFormat="false" ht="15" hidden="false" customHeight="false" outlineLevel="0" collapsed="false">
      <c r="A2719" s="37"/>
      <c r="B2719" s="44"/>
      <c r="C2719" s="44"/>
      <c r="D2719" s="44"/>
      <c r="E2719" s="44"/>
      <c r="F2719" s="44"/>
      <c r="G2719" s="42"/>
      <c r="H2719" s="42"/>
      <c r="I2719" s="44"/>
      <c r="J2719" s="11" t="str">
        <f aca="false">IF(D2719="","",N(G2719)-N(H2719))</f>
        <v/>
      </c>
      <c r="K2719" s="34" t="str">
        <f aca="false">IF(D2719="","",IFERROR(INDEX(I_COA!$C$6:$C$265,MATCH(D2719,I_COA!$A$6:$A$265,0)),"AKUN BARU"))</f>
        <v/>
      </c>
      <c r="L2719" s="34" t="str">
        <f aca="false">IF(K2719="LabaRugi",INDEX(I_COA!$D$6:$D$265,MATCH(D2719,I_COA!$A$6:$A$265,0)),"")</f>
        <v/>
      </c>
      <c r="M2719" s="34" t="str">
        <f aca="false">IF(K2719="Neraca",INDEX(I_COA!$E$6:$E$265,MATCH(D2719,I_COA!$A$6:$A$265,0)),"")</f>
        <v/>
      </c>
      <c r="N2719" s="34" t="str">
        <f aca="false">IF(D2719="","",IFERROR(INDEX(I_COA!$G$6:$G$265,MATCH(D2719,I_COA!$A$6:$A$265,0)),"N"))</f>
        <v/>
      </c>
      <c r="O2719" s="11" t="str">
        <f aca="false">IF(N2719="N",ABS(J2719),"")</f>
        <v/>
      </c>
      <c r="P2719" s="18" t="str">
        <f aca="false">IF(N2719="N",B2719&amp;"|"&amp;ROUND(O2719,0),"")</f>
        <v/>
      </c>
      <c r="Q2719" s="18" t="str">
        <f aca="false">IF(N2719&lt;&gt;"Y","",IFERROR(INDEX($D$6:$D$4005,MATCH(B2719&amp;"|"&amp;ROUND(_xlfn.MAXIFS($O$6:$O$4005,$B$6:$B$4005,B2719,$N$6:$N$4005,"N"),0),$P$6:$P$4005,0)),"(tanpa lawan)"))</f>
        <v/>
      </c>
      <c r="R2719" s="44"/>
      <c r="S2719" s="9" t="str">
        <f aca="false">IF(N2719&lt;&gt;"Y","",IF(R2719&lt;&gt;"",R2719,IF(Q2719="(tanpa lawan)","Transfer antar rekening",IFERROR(INDEX(I_COA!$F$6:$F$265,MATCH(Q2719,I_COA!$A$6:$A$265,0)),"?"))))</f>
        <v/>
      </c>
    </row>
    <row r="2720" customFormat="false" ht="15" hidden="false" customHeight="false" outlineLevel="0" collapsed="false">
      <c r="A2720" s="37"/>
      <c r="B2720" s="44"/>
      <c r="C2720" s="44"/>
      <c r="D2720" s="44"/>
      <c r="E2720" s="44"/>
      <c r="F2720" s="44"/>
      <c r="G2720" s="42"/>
      <c r="H2720" s="42"/>
      <c r="I2720" s="44"/>
      <c r="J2720" s="11" t="str">
        <f aca="false">IF(D2720="","",N(G2720)-N(H2720))</f>
        <v/>
      </c>
      <c r="K2720" s="34" t="str">
        <f aca="false">IF(D2720="","",IFERROR(INDEX(I_COA!$C$6:$C$265,MATCH(D2720,I_COA!$A$6:$A$265,0)),"AKUN BARU"))</f>
        <v/>
      </c>
      <c r="L2720" s="34" t="str">
        <f aca="false">IF(K2720="LabaRugi",INDEX(I_COA!$D$6:$D$265,MATCH(D2720,I_COA!$A$6:$A$265,0)),"")</f>
        <v/>
      </c>
      <c r="M2720" s="34" t="str">
        <f aca="false">IF(K2720="Neraca",INDEX(I_COA!$E$6:$E$265,MATCH(D2720,I_COA!$A$6:$A$265,0)),"")</f>
        <v/>
      </c>
      <c r="N2720" s="34" t="str">
        <f aca="false">IF(D2720="","",IFERROR(INDEX(I_COA!$G$6:$G$265,MATCH(D2720,I_COA!$A$6:$A$265,0)),"N"))</f>
        <v/>
      </c>
      <c r="O2720" s="11" t="str">
        <f aca="false">IF(N2720="N",ABS(J2720),"")</f>
        <v/>
      </c>
      <c r="P2720" s="18" t="str">
        <f aca="false">IF(N2720="N",B2720&amp;"|"&amp;ROUND(O2720,0),"")</f>
        <v/>
      </c>
      <c r="Q2720" s="18" t="str">
        <f aca="false">IF(N2720&lt;&gt;"Y","",IFERROR(INDEX($D$6:$D$4005,MATCH(B2720&amp;"|"&amp;ROUND(_xlfn.MAXIFS($O$6:$O$4005,$B$6:$B$4005,B2720,$N$6:$N$4005,"N"),0),$P$6:$P$4005,0)),"(tanpa lawan)"))</f>
        <v/>
      </c>
      <c r="R2720" s="44"/>
      <c r="S2720" s="9" t="str">
        <f aca="false">IF(N2720&lt;&gt;"Y","",IF(R2720&lt;&gt;"",R2720,IF(Q2720="(tanpa lawan)","Transfer antar rekening",IFERROR(INDEX(I_COA!$F$6:$F$265,MATCH(Q2720,I_COA!$A$6:$A$265,0)),"?"))))</f>
        <v/>
      </c>
    </row>
    <row r="2721" customFormat="false" ht="15" hidden="false" customHeight="false" outlineLevel="0" collapsed="false">
      <c r="A2721" s="37"/>
      <c r="B2721" s="44"/>
      <c r="C2721" s="44"/>
      <c r="D2721" s="44"/>
      <c r="E2721" s="44"/>
      <c r="F2721" s="44"/>
      <c r="G2721" s="42"/>
      <c r="H2721" s="42"/>
      <c r="I2721" s="44"/>
      <c r="J2721" s="11" t="str">
        <f aca="false">IF(D2721="","",N(G2721)-N(H2721))</f>
        <v/>
      </c>
      <c r="K2721" s="34" t="str">
        <f aca="false">IF(D2721="","",IFERROR(INDEX(I_COA!$C$6:$C$265,MATCH(D2721,I_COA!$A$6:$A$265,0)),"AKUN BARU"))</f>
        <v/>
      </c>
      <c r="L2721" s="34" t="str">
        <f aca="false">IF(K2721="LabaRugi",INDEX(I_COA!$D$6:$D$265,MATCH(D2721,I_COA!$A$6:$A$265,0)),"")</f>
        <v/>
      </c>
      <c r="M2721" s="34" t="str">
        <f aca="false">IF(K2721="Neraca",INDEX(I_COA!$E$6:$E$265,MATCH(D2721,I_COA!$A$6:$A$265,0)),"")</f>
        <v/>
      </c>
      <c r="N2721" s="34" t="str">
        <f aca="false">IF(D2721="","",IFERROR(INDEX(I_COA!$G$6:$G$265,MATCH(D2721,I_COA!$A$6:$A$265,0)),"N"))</f>
        <v/>
      </c>
      <c r="O2721" s="11" t="str">
        <f aca="false">IF(N2721="N",ABS(J2721),"")</f>
        <v/>
      </c>
      <c r="P2721" s="18" t="str">
        <f aca="false">IF(N2721="N",B2721&amp;"|"&amp;ROUND(O2721,0),"")</f>
        <v/>
      </c>
      <c r="Q2721" s="18" t="str">
        <f aca="false">IF(N2721&lt;&gt;"Y","",IFERROR(INDEX($D$6:$D$4005,MATCH(B2721&amp;"|"&amp;ROUND(_xlfn.MAXIFS($O$6:$O$4005,$B$6:$B$4005,B2721,$N$6:$N$4005,"N"),0),$P$6:$P$4005,0)),"(tanpa lawan)"))</f>
        <v/>
      </c>
      <c r="R2721" s="44"/>
      <c r="S2721" s="9" t="str">
        <f aca="false">IF(N2721&lt;&gt;"Y","",IF(R2721&lt;&gt;"",R2721,IF(Q2721="(tanpa lawan)","Transfer antar rekening",IFERROR(INDEX(I_COA!$F$6:$F$265,MATCH(Q2721,I_COA!$A$6:$A$265,0)),"?"))))</f>
        <v/>
      </c>
    </row>
    <row r="2722" customFormat="false" ht="15" hidden="false" customHeight="false" outlineLevel="0" collapsed="false">
      <c r="A2722" s="37"/>
      <c r="B2722" s="44"/>
      <c r="C2722" s="44"/>
      <c r="D2722" s="44"/>
      <c r="E2722" s="44"/>
      <c r="F2722" s="44"/>
      <c r="G2722" s="42"/>
      <c r="H2722" s="42"/>
      <c r="I2722" s="44"/>
      <c r="J2722" s="11" t="str">
        <f aca="false">IF(D2722="","",N(G2722)-N(H2722))</f>
        <v/>
      </c>
      <c r="K2722" s="34" t="str">
        <f aca="false">IF(D2722="","",IFERROR(INDEX(I_COA!$C$6:$C$265,MATCH(D2722,I_COA!$A$6:$A$265,0)),"AKUN BARU"))</f>
        <v/>
      </c>
      <c r="L2722" s="34" t="str">
        <f aca="false">IF(K2722="LabaRugi",INDEX(I_COA!$D$6:$D$265,MATCH(D2722,I_COA!$A$6:$A$265,0)),"")</f>
        <v/>
      </c>
      <c r="M2722" s="34" t="str">
        <f aca="false">IF(K2722="Neraca",INDEX(I_COA!$E$6:$E$265,MATCH(D2722,I_COA!$A$6:$A$265,0)),"")</f>
        <v/>
      </c>
      <c r="N2722" s="34" t="str">
        <f aca="false">IF(D2722="","",IFERROR(INDEX(I_COA!$G$6:$G$265,MATCH(D2722,I_COA!$A$6:$A$265,0)),"N"))</f>
        <v/>
      </c>
      <c r="O2722" s="11" t="str">
        <f aca="false">IF(N2722="N",ABS(J2722),"")</f>
        <v/>
      </c>
      <c r="P2722" s="18" t="str">
        <f aca="false">IF(N2722="N",B2722&amp;"|"&amp;ROUND(O2722,0),"")</f>
        <v/>
      </c>
      <c r="Q2722" s="18" t="str">
        <f aca="false">IF(N2722&lt;&gt;"Y","",IFERROR(INDEX($D$6:$D$4005,MATCH(B2722&amp;"|"&amp;ROUND(_xlfn.MAXIFS($O$6:$O$4005,$B$6:$B$4005,B2722,$N$6:$N$4005,"N"),0),$P$6:$P$4005,0)),"(tanpa lawan)"))</f>
        <v/>
      </c>
      <c r="R2722" s="44"/>
      <c r="S2722" s="9" t="str">
        <f aca="false">IF(N2722&lt;&gt;"Y","",IF(R2722&lt;&gt;"",R2722,IF(Q2722="(tanpa lawan)","Transfer antar rekening",IFERROR(INDEX(I_COA!$F$6:$F$265,MATCH(Q2722,I_COA!$A$6:$A$265,0)),"?"))))</f>
        <v/>
      </c>
    </row>
    <row r="2723" customFormat="false" ht="15" hidden="false" customHeight="false" outlineLevel="0" collapsed="false">
      <c r="A2723" s="37"/>
      <c r="B2723" s="44"/>
      <c r="C2723" s="44"/>
      <c r="D2723" s="44"/>
      <c r="E2723" s="44"/>
      <c r="F2723" s="44"/>
      <c r="G2723" s="42"/>
      <c r="H2723" s="42"/>
      <c r="I2723" s="44"/>
      <c r="J2723" s="11" t="str">
        <f aca="false">IF(D2723="","",N(G2723)-N(H2723))</f>
        <v/>
      </c>
      <c r="K2723" s="34" t="str">
        <f aca="false">IF(D2723="","",IFERROR(INDEX(I_COA!$C$6:$C$265,MATCH(D2723,I_COA!$A$6:$A$265,0)),"AKUN BARU"))</f>
        <v/>
      </c>
      <c r="L2723" s="34" t="str">
        <f aca="false">IF(K2723="LabaRugi",INDEX(I_COA!$D$6:$D$265,MATCH(D2723,I_COA!$A$6:$A$265,0)),"")</f>
        <v/>
      </c>
      <c r="M2723" s="34" t="str">
        <f aca="false">IF(K2723="Neraca",INDEX(I_COA!$E$6:$E$265,MATCH(D2723,I_COA!$A$6:$A$265,0)),"")</f>
        <v/>
      </c>
      <c r="N2723" s="34" t="str">
        <f aca="false">IF(D2723="","",IFERROR(INDEX(I_COA!$G$6:$G$265,MATCH(D2723,I_COA!$A$6:$A$265,0)),"N"))</f>
        <v/>
      </c>
      <c r="O2723" s="11" t="str">
        <f aca="false">IF(N2723="N",ABS(J2723),"")</f>
        <v/>
      </c>
      <c r="P2723" s="18" t="str">
        <f aca="false">IF(N2723="N",B2723&amp;"|"&amp;ROUND(O2723,0),"")</f>
        <v/>
      </c>
      <c r="Q2723" s="18" t="str">
        <f aca="false">IF(N2723&lt;&gt;"Y","",IFERROR(INDEX($D$6:$D$4005,MATCH(B2723&amp;"|"&amp;ROUND(_xlfn.MAXIFS($O$6:$O$4005,$B$6:$B$4005,B2723,$N$6:$N$4005,"N"),0),$P$6:$P$4005,0)),"(tanpa lawan)"))</f>
        <v/>
      </c>
      <c r="R2723" s="44"/>
      <c r="S2723" s="9" t="str">
        <f aca="false">IF(N2723&lt;&gt;"Y","",IF(R2723&lt;&gt;"",R2723,IF(Q2723="(tanpa lawan)","Transfer antar rekening",IFERROR(INDEX(I_COA!$F$6:$F$265,MATCH(Q2723,I_COA!$A$6:$A$265,0)),"?"))))</f>
        <v/>
      </c>
    </row>
    <row r="2724" customFormat="false" ht="15" hidden="false" customHeight="false" outlineLevel="0" collapsed="false">
      <c r="A2724" s="37"/>
      <c r="B2724" s="44"/>
      <c r="C2724" s="44"/>
      <c r="D2724" s="44"/>
      <c r="E2724" s="44"/>
      <c r="F2724" s="44"/>
      <c r="G2724" s="42"/>
      <c r="H2724" s="42"/>
      <c r="I2724" s="44"/>
      <c r="J2724" s="11" t="str">
        <f aca="false">IF(D2724="","",N(G2724)-N(H2724))</f>
        <v/>
      </c>
      <c r="K2724" s="34" t="str">
        <f aca="false">IF(D2724="","",IFERROR(INDEX(I_COA!$C$6:$C$265,MATCH(D2724,I_COA!$A$6:$A$265,0)),"AKUN BARU"))</f>
        <v/>
      </c>
      <c r="L2724" s="34" t="str">
        <f aca="false">IF(K2724="LabaRugi",INDEX(I_COA!$D$6:$D$265,MATCH(D2724,I_COA!$A$6:$A$265,0)),"")</f>
        <v/>
      </c>
      <c r="M2724" s="34" t="str">
        <f aca="false">IF(K2724="Neraca",INDEX(I_COA!$E$6:$E$265,MATCH(D2724,I_COA!$A$6:$A$265,0)),"")</f>
        <v/>
      </c>
      <c r="N2724" s="34" t="str">
        <f aca="false">IF(D2724="","",IFERROR(INDEX(I_COA!$G$6:$G$265,MATCH(D2724,I_COA!$A$6:$A$265,0)),"N"))</f>
        <v/>
      </c>
      <c r="O2724" s="11" t="str">
        <f aca="false">IF(N2724="N",ABS(J2724),"")</f>
        <v/>
      </c>
      <c r="P2724" s="18" t="str">
        <f aca="false">IF(N2724="N",B2724&amp;"|"&amp;ROUND(O2724,0),"")</f>
        <v/>
      </c>
      <c r="Q2724" s="18" t="str">
        <f aca="false">IF(N2724&lt;&gt;"Y","",IFERROR(INDEX($D$6:$D$4005,MATCH(B2724&amp;"|"&amp;ROUND(_xlfn.MAXIFS($O$6:$O$4005,$B$6:$B$4005,B2724,$N$6:$N$4005,"N"),0),$P$6:$P$4005,0)),"(tanpa lawan)"))</f>
        <v/>
      </c>
      <c r="R2724" s="44"/>
      <c r="S2724" s="9" t="str">
        <f aca="false">IF(N2724&lt;&gt;"Y","",IF(R2724&lt;&gt;"",R2724,IF(Q2724="(tanpa lawan)","Transfer antar rekening",IFERROR(INDEX(I_COA!$F$6:$F$265,MATCH(Q2724,I_COA!$A$6:$A$265,0)),"?"))))</f>
        <v/>
      </c>
    </row>
    <row r="2725" customFormat="false" ht="15" hidden="false" customHeight="false" outlineLevel="0" collapsed="false">
      <c r="A2725" s="37"/>
      <c r="B2725" s="44"/>
      <c r="C2725" s="44"/>
      <c r="D2725" s="44"/>
      <c r="E2725" s="44"/>
      <c r="F2725" s="44"/>
      <c r="G2725" s="42"/>
      <c r="H2725" s="42"/>
      <c r="I2725" s="44"/>
      <c r="J2725" s="11" t="str">
        <f aca="false">IF(D2725="","",N(G2725)-N(H2725))</f>
        <v/>
      </c>
      <c r="K2725" s="34" t="str">
        <f aca="false">IF(D2725="","",IFERROR(INDEX(I_COA!$C$6:$C$265,MATCH(D2725,I_COA!$A$6:$A$265,0)),"AKUN BARU"))</f>
        <v/>
      </c>
      <c r="L2725" s="34" t="str">
        <f aca="false">IF(K2725="LabaRugi",INDEX(I_COA!$D$6:$D$265,MATCH(D2725,I_COA!$A$6:$A$265,0)),"")</f>
        <v/>
      </c>
      <c r="M2725" s="34" t="str">
        <f aca="false">IF(K2725="Neraca",INDEX(I_COA!$E$6:$E$265,MATCH(D2725,I_COA!$A$6:$A$265,0)),"")</f>
        <v/>
      </c>
      <c r="N2725" s="34" t="str">
        <f aca="false">IF(D2725="","",IFERROR(INDEX(I_COA!$G$6:$G$265,MATCH(D2725,I_COA!$A$6:$A$265,0)),"N"))</f>
        <v/>
      </c>
      <c r="O2725" s="11" t="str">
        <f aca="false">IF(N2725="N",ABS(J2725),"")</f>
        <v/>
      </c>
      <c r="P2725" s="18" t="str">
        <f aca="false">IF(N2725="N",B2725&amp;"|"&amp;ROUND(O2725,0),"")</f>
        <v/>
      </c>
      <c r="Q2725" s="18" t="str">
        <f aca="false">IF(N2725&lt;&gt;"Y","",IFERROR(INDEX($D$6:$D$4005,MATCH(B2725&amp;"|"&amp;ROUND(_xlfn.MAXIFS($O$6:$O$4005,$B$6:$B$4005,B2725,$N$6:$N$4005,"N"),0),$P$6:$P$4005,0)),"(tanpa lawan)"))</f>
        <v/>
      </c>
      <c r="R2725" s="44"/>
      <c r="S2725" s="9" t="str">
        <f aca="false">IF(N2725&lt;&gt;"Y","",IF(R2725&lt;&gt;"",R2725,IF(Q2725="(tanpa lawan)","Transfer antar rekening",IFERROR(INDEX(I_COA!$F$6:$F$265,MATCH(Q2725,I_COA!$A$6:$A$265,0)),"?"))))</f>
        <v/>
      </c>
    </row>
    <row r="2726" customFormat="false" ht="15" hidden="false" customHeight="false" outlineLevel="0" collapsed="false">
      <c r="A2726" s="37"/>
      <c r="B2726" s="44"/>
      <c r="C2726" s="44"/>
      <c r="D2726" s="44"/>
      <c r="E2726" s="44"/>
      <c r="F2726" s="44"/>
      <c r="G2726" s="42"/>
      <c r="H2726" s="42"/>
      <c r="I2726" s="44"/>
      <c r="J2726" s="11" t="str">
        <f aca="false">IF(D2726="","",N(G2726)-N(H2726))</f>
        <v/>
      </c>
      <c r="K2726" s="34" t="str">
        <f aca="false">IF(D2726="","",IFERROR(INDEX(I_COA!$C$6:$C$265,MATCH(D2726,I_COA!$A$6:$A$265,0)),"AKUN BARU"))</f>
        <v/>
      </c>
      <c r="L2726" s="34" t="str">
        <f aca="false">IF(K2726="LabaRugi",INDEX(I_COA!$D$6:$D$265,MATCH(D2726,I_COA!$A$6:$A$265,0)),"")</f>
        <v/>
      </c>
      <c r="M2726" s="34" t="str">
        <f aca="false">IF(K2726="Neraca",INDEX(I_COA!$E$6:$E$265,MATCH(D2726,I_COA!$A$6:$A$265,0)),"")</f>
        <v/>
      </c>
      <c r="N2726" s="34" t="str">
        <f aca="false">IF(D2726="","",IFERROR(INDEX(I_COA!$G$6:$G$265,MATCH(D2726,I_COA!$A$6:$A$265,0)),"N"))</f>
        <v/>
      </c>
      <c r="O2726" s="11" t="str">
        <f aca="false">IF(N2726="N",ABS(J2726),"")</f>
        <v/>
      </c>
      <c r="P2726" s="18" t="str">
        <f aca="false">IF(N2726="N",B2726&amp;"|"&amp;ROUND(O2726,0),"")</f>
        <v/>
      </c>
      <c r="Q2726" s="18" t="str">
        <f aca="false">IF(N2726&lt;&gt;"Y","",IFERROR(INDEX($D$6:$D$4005,MATCH(B2726&amp;"|"&amp;ROUND(_xlfn.MAXIFS($O$6:$O$4005,$B$6:$B$4005,B2726,$N$6:$N$4005,"N"),0),$P$6:$P$4005,0)),"(tanpa lawan)"))</f>
        <v/>
      </c>
      <c r="R2726" s="44"/>
      <c r="S2726" s="9" t="str">
        <f aca="false">IF(N2726&lt;&gt;"Y","",IF(R2726&lt;&gt;"",R2726,IF(Q2726="(tanpa lawan)","Transfer antar rekening",IFERROR(INDEX(I_COA!$F$6:$F$265,MATCH(Q2726,I_COA!$A$6:$A$265,0)),"?"))))</f>
        <v/>
      </c>
    </row>
    <row r="2727" customFormat="false" ht="15" hidden="false" customHeight="false" outlineLevel="0" collapsed="false">
      <c r="A2727" s="37"/>
      <c r="B2727" s="44"/>
      <c r="C2727" s="44"/>
      <c r="D2727" s="44"/>
      <c r="E2727" s="44"/>
      <c r="F2727" s="44"/>
      <c r="G2727" s="42"/>
      <c r="H2727" s="42"/>
      <c r="I2727" s="44"/>
      <c r="J2727" s="11" t="str">
        <f aca="false">IF(D2727="","",N(G2727)-N(H2727))</f>
        <v/>
      </c>
      <c r="K2727" s="34" t="str">
        <f aca="false">IF(D2727="","",IFERROR(INDEX(I_COA!$C$6:$C$265,MATCH(D2727,I_COA!$A$6:$A$265,0)),"AKUN BARU"))</f>
        <v/>
      </c>
      <c r="L2727" s="34" t="str">
        <f aca="false">IF(K2727="LabaRugi",INDEX(I_COA!$D$6:$D$265,MATCH(D2727,I_COA!$A$6:$A$265,0)),"")</f>
        <v/>
      </c>
      <c r="M2727" s="34" t="str">
        <f aca="false">IF(K2727="Neraca",INDEX(I_COA!$E$6:$E$265,MATCH(D2727,I_COA!$A$6:$A$265,0)),"")</f>
        <v/>
      </c>
      <c r="N2727" s="34" t="str">
        <f aca="false">IF(D2727="","",IFERROR(INDEX(I_COA!$G$6:$G$265,MATCH(D2727,I_COA!$A$6:$A$265,0)),"N"))</f>
        <v/>
      </c>
      <c r="O2727" s="11" t="str">
        <f aca="false">IF(N2727="N",ABS(J2727),"")</f>
        <v/>
      </c>
      <c r="P2727" s="18" t="str">
        <f aca="false">IF(N2727="N",B2727&amp;"|"&amp;ROUND(O2727,0),"")</f>
        <v/>
      </c>
      <c r="Q2727" s="18" t="str">
        <f aca="false">IF(N2727&lt;&gt;"Y","",IFERROR(INDEX($D$6:$D$4005,MATCH(B2727&amp;"|"&amp;ROUND(_xlfn.MAXIFS($O$6:$O$4005,$B$6:$B$4005,B2727,$N$6:$N$4005,"N"),0),$P$6:$P$4005,0)),"(tanpa lawan)"))</f>
        <v/>
      </c>
      <c r="R2727" s="44"/>
      <c r="S2727" s="9" t="str">
        <f aca="false">IF(N2727&lt;&gt;"Y","",IF(R2727&lt;&gt;"",R2727,IF(Q2727="(tanpa lawan)","Transfer antar rekening",IFERROR(INDEX(I_COA!$F$6:$F$265,MATCH(Q2727,I_COA!$A$6:$A$265,0)),"?"))))</f>
        <v/>
      </c>
    </row>
    <row r="2728" customFormat="false" ht="15" hidden="false" customHeight="false" outlineLevel="0" collapsed="false">
      <c r="A2728" s="37"/>
      <c r="B2728" s="44"/>
      <c r="C2728" s="44"/>
      <c r="D2728" s="44"/>
      <c r="E2728" s="44"/>
      <c r="F2728" s="44"/>
      <c r="G2728" s="42"/>
      <c r="H2728" s="42"/>
      <c r="I2728" s="44"/>
      <c r="J2728" s="11" t="str">
        <f aca="false">IF(D2728="","",N(G2728)-N(H2728))</f>
        <v/>
      </c>
      <c r="K2728" s="34" t="str">
        <f aca="false">IF(D2728="","",IFERROR(INDEX(I_COA!$C$6:$C$265,MATCH(D2728,I_COA!$A$6:$A$265,0)),"AKUN BARU"))</f>
        <v/>
      </c>
      <c r="L2728" s="34" t="str">
        <f aca="false">IF(K2728="LabaRugi",INDEX(I_COA!$D$6:$D$265,MATCH(D2728,I_COA!$A$6:$A$265,0)),"")</f>
        <v/>
      </c>
      <c r="M2728" s="34" t="str">
        <f aca="false">IF(K2728="Neraca",INDEX(I_COA!$E$6:$E$265,MATCH(D2728,I_COA!$A$6:$A$265,0)),"")</f>
        <v/>
      </c>
      <c r="N2728" s="34" t="str">
        <f aca="false">IF(D2728="","",IFERROR(INDEX(I_COA!$G$6:$G$265,MATCH(D2728,I_COA!$A$6:$A$265,0)),"N"))</f>
        <v/>
      </c>
      <c r="O2728" s="11" t="str">
        <f aca="false">IF(N2728="N",ABS(J2728),"")</f>
        <v/>
      </c>
      <c r="P2728" s="18" t="str">
        <f aca="false">IF(N2728="N",B2728&amp;"|"&amp;ROUND(O2728,0),"")</f>
        <v/>
      </c>
      <c r="Q2728" s="18" t="str">
        <f aca="false">IF(N2728&lt;&gt;"Y","",IFERROR(INDEX($D$6:$D$4005,MATCH(B2728&amp;"|"&amp;ROUND(_xlfn.MAXIFS($O$6:$O$4005,$B$6:$B$4005,B2728,$N$6:$N$4005,"N"),0),$P$6:$P$4005,0)),"(tanpa lawan)"))</f>
        <v/>
      </c>
      <c r="R2728" s="44"/>
      <c r="S2728" s="9" t="str">
        <f aca="false">IF(N2728&lt;&gt;"Y","",IF(R2728&lt;&gt;"",R2728,IF(Q2728="(tanpa lawan)","Transfer antar rekening",IFERROR(INDEX(I_COA!$F$6:$F$265,MATCH(Q2728,I_COA!$A$6:$A$265,0)),"?"))))</f>
        <v/>
      </c>
    </row>
    <row r="2729" customFormat="false" ht="15" hidden="false" customHeight="false" outlineLevel="0" collapsed="false">
      <c r="A2729" s="37"/>
      <c r="B2729" s="44"/>
      <c r="C2729" s="44"/>
      <c r="D2729" s="44"/>
      <c r="E2729" s="44"/>
      <c r="F2729" s="44"/>
      <c r="G2729" s="42"/>
      <c r="H2729" s="42"/>
      <c r="I2729" s="44"/>
      <c r="J2729" s="11" t="str">
        <f aca="false">IF(D2729="","",N(G2729)-N(H2729))</f>
        <v/>
      </c>
      <c r="K2729" s="34" t="str">
        <f aca="false">IF(D2729="","",IFERROR(INDEX(I_COA!$C$6:$C$265,MATCH(D2729,I_COA!$A$6:$A$265,0)),"AKUN BARU"))</f>
        <v/>
      </c>
      <c r="L2729" s="34" t="str">
        <f aca="false">IF(K2729="LabaRugi",INDEX(I_COA!$D$6:$D$265,MATCH(D2729,I_COA!$A$6:$A$265,0)),"")</f>
        <v/>
      </c>
      <c r="M2729" s="34" t="str">
        <f aca="false">IF(K2729="Neraca",INDEX(I_COA!$E$6:$E$265,MATCH(D2729,I_COA!$A$6:$A$265,0)),"")</f>
        <v/>
      </c>
      <c r="N2729" s="34" t="str">
        <f aca="false">IF(D2729="","",IFERROR(INDEX(I_COA!$G$6:$G$265,MATCH(D2729,I_COA!$A$6:$A$265,0)),"N"))</f>
        <v/>
      </c>
      <c r="O2729" s="11" t="str">
        <f aca="false">IF(N2729="N",ABS(J2729),"")</f>
        <v/>
      </c>
      <c r="P2729" s="18" t="str">
        <f aca="false">IF(N2729="N",B2729&amp;"|"&amp;ROUND(O2729,0),"")</f>
        <v/>
      </c>
      <c r="Q2729" s="18" t="str">
        <f aca="false">IF(N2729&lt;&gt;"Y","",IFERROR(INDEX($D$6:$D$4005,MATCH(B2729&amp;"|"&amp;ROUND(_xlfn.MAXIFS($O$6:$O$4005,$B$6:$B$4005,B2729,$N$6:$N$4005,"N"),0),$P$6:$P$4005,0)),"(tanpa lawan)"))</f>
        <v/>
      </c>
      <c r="R2729" s="44"/>
      <c r="S2729" s="9" t="str">
        <f aca="false">IF(N2729&lt;&gt;"Y","",IF(R2729&lt;&gt;"",R2729,IF(Q2729="(tanpa lawan)","Transfer antar rekening",IFERROR(INDEX(I_COA!$F$6:$F$265,MATCH(Q2729,I_COA!$A$6:$A$265,0)),"?"))))</f>
        <v/>
      </c>
    </row>
    <row r="2730" customFormat="false" ht="15" hidden="false" customHeight="false" outlineLevel="0" collapsed="false">
      <c r="A2730" s="37"/>
      <c r="B2730" s="44"/>
      <c r="C2730" s="44"/>
      <c r="D2730" s="44"/>
      <c r="E2730" s="44"/>
      <c r="F2730" s="44"/>
      <c r="G2730" s="42"/>
      <c r="H2730" s="42"/>
      <c r="I2730" s="44"/>
      <c r="J2730" s="11" t="str">
        <f aca="false">IF(D2730="","",N(G2730)-N(H2730))</f>
        <v/>
      </c>
      <c r="K2730" s="34" t="str">
        <f aca="false">IF(D2730="","",IFERROR(INDEX(I_COA!$C$6:$C$265,MATCH(D2730,I_COA!$A$6:$A$265,0)),"AKUN BARU"))</f>
        <v/>
      </c>
      <c r="L2730" s="34" t="str">
        <f aca="false">IF(K2730="LabaRugi",INDEX(I_COA!$D$6:$D$265,MATCH(D2730,I_COA!$A$6:$A$265,0)),"")</f>
        <v/>
      </c>
      <c r="M2730" s="34" t="str">
        <f aca="false">IF(K2730="Neraca",INDEX(I_COA!$E$6:$E$265,MATCH(D2730,I_COA!$A$6:$A$265,0)),"")</f>
        <v/>
      </c>
      <c r="N2730" s="34" t="str">
        <f aca="false">IF(D2730="","",IFERROR(INDEX(I_COA!$G$6:$G$265,MATCH(D2730,I_COA!$A$6:$A$265,0)),"N"))</f>
        <v/>
      </c>
      <c r="O2730" s="11" t="str">
        <f aca="false">IF(N2730="N",ABS(J2730),"")</f>
        <v/>
      </c>
      <c r="P2730" s="18" t="str">
        <f aca="false">IF(N2730="N",B2730&amp;"|"&amp;ROUND(O2730,0),"")</f>
        <v/>
      </c>
      <c r="Q2730" s="18" t="str">
        <f aca="false">IF(N2730&lt;&gt;"Y","",IFERROR(INDEX($D$6:$D$4005,MATCH(B2730&amp;"|"&amp;ROUND(_xlfn.MAXIFS($O$6:$O$4005,$B$6:$B$4005,B2730,$N$6:$N$4005,"N"),0),$P$6:$P$4005,0)),"(tanpa lawan)"))</f>
        <v/>
      </c>
      <c r="R2730" s="44"/>
      <c r="S2730" s="9" t="str">
        <f aca="false">IF(N2730&lt;&gt;"Y","",IF(R2730&lt;&gt;"",R2730,IF(Q2730="(tanpa lawan)","Transfer antar rekening",IFERROR(INDEX(I_COA!$F$6:$F$265,MATCH(Q2730,I_COA!$A$6:$A$265,0)),"?"))))</f>
        <v/>
      </c>
    </row>
    <row r="2731" customFormat="false" ht="15" hidden="false" customHeight="false" outlineLevel="0" collapsed="false">
      <c r="A2731" s="37"/>
      <c r="B2731" s="44"/>
      <c r="C2731" s="44"/>
      <c r="D2731" s="44"/>
      <c r="E2731" s="44"/>
      <c r="F2731" s="44"/>
      <c r="G2731" s="42"/>
      <c r="H2731" s="42"/>
      <c r="I2731" s="44"/>
      <c r="J2731" s="11" t="str">
        <f aca="false">IF(D2731="","",N(G2731)-N(H2731))</f>
        <v/>
      </c>
      <c r="K2731" s="34" t="str">
        <f aca="false">IF(D2731="","",IFERROR(INDEX(I_COA!$C$6:$C$265,MATCH(D2731,I_COA!$A$6:$A$265,0)),"AKUN BARU"))</f>
        <v/>
      </c>
      <c r="L2731" s="34" t="str">
        <f aca="false">IF(K2731="LabaRugi",INDEX(I_COA!$D$6:$D$265,MATCH(D2731,I_COA!$A$6:$A$265,0)),"")</f>
        <v/>
      </c>
      <c r="M2731" s="34" t="str">
        <f aca="false">IF(K2731="Neraca",INDEX(I_COA!$E$6:$E$265,MATCH(D2731,I_COA!$A$6:$A$265,0)),"")</f>
        <v/>
      </c>
      <c r="N2731" s="34" t="str">
        <f aca="false">IF(D2731="","",IFERROR(INDEX(I_COA!$G$6:$G$265,MATCH(D2731,I_COA!$A$6:$A$265,0)),"N"))</f>
        <v/>
      </c>
      <c r="O2731" s="11" t="str">
        <f aca="false">IF(N2731="N",ABS(J2731),"")</f>
        <v/>
      </c>
      <c r="P2731" s="18" t="str">
        <f aca="false">IF(N2731="N",B2731&amp;"|"&amp;ROUND(O2731,0),"")</f>
        <v/>
      </c>
      <c r="Q2731" s="18" t="str">
        <f aca="false">IF(N2731&lt;&gt;"Y","",IFERROR(INDEX($D$6:$D$4005,MATCH(B2731&amp;"|"&amp;ROUND(_xlfn.MAXIFS($O$6:$O$4005,$B$6:$B$4005,B2731,$N$6:$N$4005,"N"),0),$P$6:$P$4005,0)),"(tanpa lawan)"))</f>
        <v/>
      </c>
      <c r="R2731" s="44"/>
      <c r="S2731" s="9" t="str">
        <f aca="false">IF(N2731&lt;&gt;"Y","",IF(R2731&lt;&gt;"",R2731,IF(Q2731="(tanpa lawan)","Transfer antar rekening",IFERROR(INDEX(I_COA!$F$6:$F$265,MATCH(Q2731,I_COA!$A$6:$A$265,0)),"?"))))</f>
        <v/>
      </c>
    </row>
    <row r="2732" customFormat="false" ht="15" hidden="false" customHeight="false" outlineLevel="0" collapsed="false">
      <c r="A2732" s="37"/>
      <c r="B2732" s="44"/>
      <c r="C2732" s="44"/>
      <c r="D2732" s="44"/>
      <c r="E2732" s="44"/>
      <c r="F2732" s="44"/>
      <c r="G2732" s="42"/>
      <c r="H2732" s="42"/>
      <c r="I2732" s="44"/>
      <c r="J2732" s="11" t="str">
        <f aca="false">IF(D2732="","",N(G2732)-N(H2732))</f>
        <v/>
      </c>
      <c r="K2732" s="34" t="str">
        <f aca="false">IF(D2732="","",IFERROR(INDEX(I_COA!$C$6:$C$265,MATCH(D2732,I_COA!$A$6:$A$265,0)),"AKUN BARU"))</f>
        <v/>
      </c>
      <c r="L2732" s="34" t="str">
        <f aca="false">IF(K2732="LabaRugi",INDEX(I_COA!$D$6:$D$265,MATCH(D2732,I_COA!$A$6:$A$265,0)),"")</f>
        <v/>
      </c>
      <c r="M2732" s="34" t="str">
        <f aca="false">IF(K2732="Neraca",INDEX(I_COA!$E$6:$E$265,MATCH(D2732,I_COA!$A$6:$A$265,0)),"")</f>
        <v/>
      </c>
      <c r="N2732" s="34" t="str">
        <f aca="false">IF(D2732="","",IFERROR(INDEX(I_COA!$G$6:$G$265,MATCH(D2732,I_COA!$A$6:$A$265,0)),"N"))</f>
        <v/>
      </c>
      <c r="O2732" s="11" t="str">
        <f aca="false">IF(N2732="N",ABS(J2732),"")</f>
        <v/>
      </c>
      <c r="P2732" s="18" t="str">
        <f aca="false">IF(N2732="N",B2732&amp;"|"&amp;ROUND(O2732,0),"")</f>
        <v/>
      </c>
      <c r="Q2732" s="18" t="str">
        <f aca="false">IF(N2732&lt;&gt;"Y","",IFERROR(INDEX($D$6:$D$4005,MATCH(B2732&amp;"|"&amp;ROUND(_xlfn.MAXIFS($O$6:$O$4005,$B$6:$B$4005,B2732,$N$6:$N$4005,"N"),0),$P$6:$P$4005,0)),"(tanpa lawan)"))</f>
        <v/>
      </c>
      <c r="R2732" s="44"/>
      <c r="S2732" s="9" t="str">
        <f aca="false">IF(N2732&lt;&gt;"Y","",IF(R2732&lt;&gt;"",R2732,IF(Q2732="(tanpa lawan)","Transfer antar rekening",IFERROR(INDEX(I_COA!$F$6:$F$265,MATCH(Q2732,I_COA!$A$6:$A$265,0)),"?"))))</f>
        <v/>
      </c>
    </row>
    <row r="2733" customFormat="false" ht="15" hidden="false" customHeight="false" outlineLevel="0" collapsed="false">
      <c r="A2733" s="37"/>
      <c r="B2733" s="44"/>
      <c r="C2733" s="44"/>
      <c r="D2733" s="44"/>
      <c r="E2733" s="44"/>
      <c r="F2733" s="44"/>
      <c r="G2733" s="42"/>
      <c r="H2733" s="42"/>
      <c r="I2733" s="44"/>
      <c r="J2733" s="11" t="str">
        <f aca="false">IF(D2733="","",N(G2733)-N(H2733))</f>
        <v/>
      </c>
      <c r="K2733" s="34" t="str">
        <f aca="false">IF(D2733="","",IFERROR(INDEX(I_COA!$C$6:$C$265,MATCH(D2733,I_COA!$A$6:$A$265,0)),"AKUN BARU"))</f>
        <v/>
      </c>
      <c r="L2733" s="34" t="str">
        <f aca="false">IF(K2733="LabaRugi",INDEX(I_COA!$D$6:$D$265,MATCH(D2733,I_COA!$A$6:$A$265,0)),"")</f>
        <v/>
      </c>
      <c r="M2733" s="34" t="str">
        <f aca="false">IF(K2733="Neraca",INDEX(I_COA!$E$6:$E$265,MATCH(D2733,I_COA!$A$6:$A$265,0)),"")</f>
        <v/>
      </c>
      <c r="N2733" s="34" t="str">
        <f aca="false">IF(D2733="","",IFERROR(INDEX(I_COA!$G$6:$G$265,MATCH(D2733,I_COA!$A$6:$A$265,0)),"N"))</f>
        <v/>
      </c>
      <c r="O2733" s="11" t="str">
        <f aca="false">IF(N2733="N",ABS(J2733),"")</f>
        <v/>
      </c>
      <c r="P2733" s="18" t="str">
        <f aca="false">IF(N2733="N",B2733&amp;"|"&amp;ROUND(O2733,0),"")</f>
        <v/>
      </c>
      <c r="Q2733" s="18" t="str">
        <f aca="false">IF(N2733&lt;&gt;"Y","",IFERROR(INDEX($D$6:$D$4005,MATCH(B2733&amp;"|"&amp;ROUND(_xlfn.MAXIFS($O$6:$O$4005,$B$6:$B$4005,B2733,$N$6:$N$4005,"N"),0),$P$6:$P$4005,0)),"(tanpa lawan)"))</f>
        <v/>
      </c>
      <c r="R2733" s="44"/>
      <c r="S2733" s="9" t="str">
        <f aca="false">IF(N2733&lt;&gt;"Y","",IF(R2733&lt;&gt;"",R2733,IF(Q2733="(tanpa lawan)","Transfer antar rekening",IFERROR(INDEX(I_COA!$F$6:$F$265,MATCH(Q2733,I_COA!$A$6:$A$265,0)),"?"))))</f>
        <v/>
      </c>
    </row>
    <row r="2734" customFormat="false" ht="15" hidden="false" customHeight="false" outlineLevel="0" collapsed="false">
      <c r="A2734" s="37"/>
      <c r="B2734" s="44"/>
      <c r="C2734" s="44"/>
      <c r="D2734" s="44"/>
      <c r="E2734" s="44"/>
      <c r="F2734" s="44"/>
      <c r="G2734" s="42"/>
      <c r="H2734" s="42"/>
      <c r="I2734" s="44"/>
      <c r="J2734" s="11" t="str">
        <f aca="false">IF(D2734="","",N(G2734)-N(H2734))</f>
        <v/>
      </c>
      <c r="K2734" s="34" t="str">
        <f aca="false">IF(D2734="","",IFERROR(INDEX(I_COA!$C$6:$C$265,MATCH(D2734,I_COA!$A$6:$A$265,0)),"AKUN BARU"))</f>
        <v/>
      </c>
      <c r="L2734" s="34" t="str">
        <f aca="false">IF(K2734="LabaRugi",INDEX(I_COA!$D$6:$D$265,MATCH(D2734,I_COA!$A$6:$A$265,0)),"")</f>
        <v/>
      </c>
      <c r="M2734" s="34" t="str">
        <f aca="false">IF(K2734="Neraca",INDEX(I_COA!$E$6:$E$265,MATCH(D2734,I_COA!$A$6:$A$265,0)),"")</f>
        <v/>
      </c>
      <c r="N2734" s="34" t="str">
        <f aca="false">IF(D2734="","",IFERROR(INDEX(I_COA!$G$6:$G$265,MATCH(D2734,I_COA!$A$6:$A$265,0)),"N"))</f>
        <v/>
      </c>
      <c r="O2734" s="11" t="str">
        <f aca="false">IF(N2734="N",ABS(J2734),"")</f>
        <v/>
      </c>
      <c r="P2734" s="18" t="str">
        <f aca="false">IF(N2734="N",B2734&amp;"|"&amp;ROUND(O2734,0),"")</f>
        <v/>
      </c>
      <c r="Q2734" s="18" t="str">
        <f aca="false">IF(N2734&lt;&gt;"Y","",IFERROR(INDEX($D$6:$D$4005,MATCH(B2734&amp;"|"&amp;ROUND(_xlfn.MAXIFS($O$6:$O$4005,$B$6:$B$4005,B2734,$N$6:$N$4005,"N"),0),$P$6:$P$4005,0)),"(tanpa lawan)"))</f>
        <v/>
      </c>
      <c r="R2734" s="44"/>
      <c r="S2734" s="9" t="str">
        <f aca="false">IF(N2734&lt;&gt;"Y","",IF(R2734&lt;&gt;"",R2734,IF(Q2734="(tanpa lawan)","Transfer antar rekening",IFERROR(INDEX(I_COA!$F$6:$F$265,MATCH(Q2734,I_COA!$A$6:$A$265,0)),"?"))))</f>
        <v/>
      </c>
    </row>
    <row r="2735" customFormat="false" ht="15" hidden="false" customHeight="false" outlineLevel="0" collapsed="false">
      <c r="A2735" s="37"/>
      <c r="B2735" s="44"/>
      <c r="C2735" s="44"/>
      <c r="D2735" s="44"/>
      <c r="E2735" s="44"/>
      <c r="F2735" s="44"/>
      <c r="G2735" s="42"/>
      <c r="H2735" s="42"/>
      <c r="I2735" s="44"/>
      <c r="J2735" s="11" t="str">
        <f aca="false">IF(D2735="","",N(G2735)-N(H2735))</f>
        <v/>
      </c>
      <c r="K2735" s="34" t="str">
        <f aca="false">IF(D2735="","",IFERROR(INDEX(I_COA!$C$6:$C$265,MATCH(D2735,I_COA!$A$6:$A$265,0)),"AKUN BARU"))</f>
        <v/>
      </c>
      <c r="L2735" s="34" t="str">
        <f aca="false">IF(K2735="LabaRugi",INDEX(I_COA!$D$6:$D$265,MATCH(D2735,I_COA!$A$6:$A$265,0)),"")</f>
        <v/>
      </c>
      <c r="M2735" s="34" t="str">
        <f aca="false">IF(K2735="Neraca",INDEX(I_COA!$E$6:$E$265,MATCH(D2735,I_COA!$A$6:$A$265,0)),"")</f>
        <v/>
      </c>
      <c r="N2735" s="34" t="str">
        <f aca="false">IF(D2735="","",IFERROR(INDEX(I_COA!$G$6:$G$265,MATCH(D2735,I_COA!$A$6:$A$265,0)),"N"))</f>
        <v/>
      </c>
      <c r="O2735" s="11" t="str">
        <f aca="false">IF(N2735="N",ABS(J2735),"")</f>
        <v/>
      </c>
      <c r="P2735" s="18" t="str">
        <f aca="false">IF(N2735="N",B2735&amp;"|"&amp;ROUND(O2735,0),"")</f>
        <v/>
      </c>
      <c r="Q2735" s="18" t="str">
        <f aca="false">IF(N2735&lt;&gt;"Y","",IFERROR(INDEX($D$6:$D$4005,MATCH(B2735&amp;"|"&amp;ROUND(_xlfn.MAXIFS($O$6:$O$4005,$B$6:$B$4005,B2735,$N$6:$N$4005,"N"),0),$P$6:$P$4005,0)),"(tanpa lawan)"))</f>
        <v/>
      </c>
      <c r="R2735" s="44"/>
      <c r="S2735" s="9" t="str">
        <f aca="false">IF(N2735&lt;&gt;"Y","",IF(R2735&lt;&gt;"",R2735,IF(Q2735="(tanpa lawan)","Transfer antar rekening",IFERROR(INDEX(I_COA!$F$6:$F$265,MATCH(Q2735,I_COA!$A$6:$A$265,0)),"?"))))</f>
        <v/>
      </c>
    </row>
    <row r="2736" customFormat="false" ht="15" hidden="false" customHeight="false" outlineLevel="0" collapsed="false">
      <c r="A2736" s="37"/>
      <c r="B2736" s="44"/>
      <c r="C2736" s="44"/>
      <c r="D2736" s="44"/>
      <c r="E2736" s="44"/>
      <c r="F2736" s="44"/>
      <c r="G2736" s="42"/>
      <c r="H2736" s="42"/>
      <c r="I2736" s="44"/>
      <c r="J2736" s="11" t="str">
        <f aca="false">IF(D2736="","",N(G2736)-N(H2736))</f>
        <v/>
      </c>
      <c r="K2736" s="34" t="str">
        <f aca="false">IF(D2736="","",IFERROR(INDEX(I_COA!$C$6:$C$265,MATCH(D2736,I_COA!$A$6:$A$265,0)),"AKUN BARU"))</f>
        <v/>
      </c>
      <c r="L2736" s="34" t="str">
        <f aca="false">IF(K2736="LabaRugi",INDEX(I_COA!$D$6:$D$265,MATCH(D2736,I_COA!$A$6:$A$265,0)),"")</f>
        <v/>
      </c>
      <c r="M2736" s="34" t="str">
        <f aca="false">IF(K2736="Neraca",INDEX(I_COA!$E$6:$E$265,MATCH(D2736,I_COA!$A$6:$A$265,0)),"")</f>
        <v/>
      </c>
      <c r="N2736" s="34" t="str">
        <f aca="false">IF(D2736="","",IFERROR(INDEX(I_COA!$G$6:$G$265,MATCH(D2736,I_COA!$A$6:$A$265,0)),"N"))</f>
        <v/>
      </c>
      <c r="O2736" s="11" t="str">
        <f aca="false">IF(N2736="N",ABS(J2736),"")</f>
        <v/>
      </c>
      <c r="P2736" s="18" t="str">
        <f aca="false">IF(N2736="N",B2736&amp;"|"&amp;ROUND(O2736,0),"")</f>
        <v/>
      </c>
      <c r="Q2736" s="18" t="str">
        <f aca="false">IF(N2736&lt;&gt;"Y","",IFERROR(INDEX($D$6:$D$4005,MATCH(B2736&amp;"|"&amp;ROUND(_xlfn.MAXIFS($O$6:$O$4005,$B$6:$B$4005,B2736,$N$6:$N$4005,"N"),0),$P$6:$P$4005,0)),"(tanpa lawan)"))</f>
        <v/>
      </c>
      <c r="R2736" s="44"/>
      <c r="S2736" s="9" t="str">
        <f aca="false">IF(N2736&lt;&gt;"Y","",IF(R2736&lt;&gt;"",R2736,IF(Q2736="(tanpa lawan)","Transfer antar rekening",IFERROR(INDEX(I_COA!$F$6:$F$265,MATCH(Q2736,I_COA!$A$6:$A$265,0)),"?"))))</f>
        <v/>
      </c>
    </row>
    <row r="2737" customFormat="false" ht="15" hidden="false" customHeight="false" outlineLevel="0" collapsed="false">
      <c r="A2737" s="37"/>
      <c r="B2737" s="44"/>
      <c r="C2737" s="44"/>
      <c r="D2737" s="44"/>
      <c r="E2737" s="44"/>
      <c r="F2737" s="44"/>
      <c r="G2737" s="42"/>
      <c r="H2737" s="42"/>
      <c r="I2737" s="44"/>
      <c r="J2737" s="11" t="str">
        <f aca="false">IF(D2737="","",N(G2737)-N(H2737))</f>
        <v/>
      </c>
      <c r="K2737" s="34" t="str">
        <f aca="false">IF(D2737="","",IFERROR(INDEX(I_COA!$C$6:$C$265,MATCH(D2737,I_COA!$A$6:$A$265,0)),"AKUN BARU"))</f>
        <v/>
      </c>
      <c r="L2737" s="34" t="str">
        <f aca="false">IF(K2737="LabaRugi",INDEX(I_COA!$D$6:$D$265,MATCH(D2737,I_COA!$A$6:$A$265,0)),"")</f>
        <v/>
      </c>
      <c r="M2737" s="34" t="str">
        <f aca="false">IF(K2737="Neraca",INDEX(I_COA!$E$6:$E$265,MATCH(D2737,I_COA!$A$6:$A$265,0)),"")</f>
        <v/>
      </c>
      <c r="N2737" s="34" t="str">
        <f aca="false">IF(D2737="","",IFERROR(INDEX(I_COA!$G$6:$G$265,MATCH(D2737,I_COA!$A$6:$A$265,0)),"N"))</f>
        <v/>
      </c>
      <c r="O2737" s="11" t="str">
        <f aca="false">IF(N2737="N",ABS(J2737),"")</f>
        <v/>
      </c>
      <c r="P2737" s="18" t="str">
        <f aca="false">IF(N2737="N",B2737&amp;"|"&amp;ROUND(O2737,0),"")</f>
        <v/>
      </c>
      <c r="Q2737" s="18" t="str">
        <f aca="false">IF(N2737&lt;&gt;"Y","",IFERROR(INDEX($D$6:$D$4005,MATCH(B2737&amp;"|"&amp;ROUND(_xlfn.MAXIFS($O$6:$O$4005,$B$6:$B$4005,B2737,$N$6:$N$4005,"N"),0),$P$6:$P$4005,0)),"(tanpa lawan)"))</f>
        <v/>
      </c>
      <c r="R2737" s="44"/>
      <c r="S2737" s="9" t="str">
        <f aca="false">IF(N2737&lt;&gt;"Y","",IF(R2737&lt;&gt;"",R2737,IF(Q2737="(tanpa lawan)","Transfer antar rekening",IFERROR(INDEX(I_COA!$F$6:$F$265,MATCH(Q2737,I_COA!$A$6:$A$265,0)),"?"))))</f>
        <v/>
      </c>
    </row>
    <row r="2738" customFormat="false" ht="15" hidden="false" customHeight="false" outlineLevel="0" collapsed="false">
      <c r="A2738" s="37"/>
      <c r="B2738" s="44"/>
      <c r="C2738" s="44"/>
      <c r="D2738" s="44"/>
      <c r="E2738" s="44"/>
      <c r="F2738" s="44"/>
      <c r="G2738" s="42"/>
      <c r="H2738" s="42"/>
      <c r="I2738" s="44"/>
      <c r="J2738" s="11" t="str">
        <f aca="false">IF(D2738="","",N(G2738)-N(H2738))</f>
        <v/>
      </c>
      <c r="K2738" s="34" t="str">
        <f aca="false">IF(D2738="","",IFERROR(INDEX(I_COA!$C$6:$C$265,MATCH(D2738,I_COA!$A$6:$A$265,0)),"AKUN BARU"))</f>
        <v/>
      </c>
      <c r="L2738" s="34" t="str">
        <f aca="false">IF(K2738="LabaRugi",INDEX(I_COA!$D$6:$D$265,MATCH(D2738,I_COA!$A$6:$A$265,0)),"")</f>
        <v/>
      </c>
      <c r="M2738" s="34" t="str">
        <f aca="false">IF(K2738="Neraca",INDEX(I_COA!$E$6:$E$265,MATCH(D2738,I_COA!$A$6:$A$265,0)),"")</f>
        <v/>
      </c>
      <c r="N2738" s="34" t="str">
        <f aca="false">IF(D2738="","",IFERROR(INDEX(I_COA!$G$6:$G$265,MATCH(D2738,I_COA!$A$6:$A$265,0)),"N"))</f>
        <v/>
      </c>
      <c r="O2738" s="11" t="str">
        <f aca="false">IF(N2738="N",ABS(J2738),"")</f>
        <v/>
      </c>
      <c r="P2738" s="18" t="str">
        <f aca="false">IF(N2738="N",B2738&amp;"|"&amp;ROUND(O2738,0),"")</f>
        <v/>
      </c>
      <c r="Q2738" s="18" t="str">
        <f aca="false">IF(N2738&lt;&gt;"Y","",IFERROR(INDEX($D$6:$D$4005,MATCH(B2738&amp;"|"&amp;ROUND(_xlfn.MAXIFS($O$6:$O$4005,$B$6:$B$4005,B2738,$N$6:$N$4005,"N"),0),$P$6:$P$4005,0)),"(tanpa lawan)"))</f>
        <v/>
      </c>
      <c r="R2738" s="44"/>
      <c r="S2738" s="9" t="str">
        <f aca="false">IF(N2738&lt;&gt;"Y","",IF(R2738&lt;&gt;"",R2738,IF(Q2738="(tanpa lawan)","Transfer antar rekening",IFERROR(INDEX(I_COA!$F$6:$F$265,MATCH(Q2738,I_COA!$A$6:$A$265,0)),"?"))))</f>
        <v/>
      </c>
    </row>
    <row r="2739" customFormat="false" ht="15" hidden="false" customHeight="false" outlineLevel="0" collapsed="false">
      <c r="A2739" s="37"/>
      <c r="B2739" s="44"/>
      <c r="C2739" s="44"/>
      <c r="D2739" s="44"/>
      <c r="E2739" s="44"/>
      <c r="F2739" s="44"/>
      <c r="G2739" s="42"/>
      <c r="H2739" s="42"/>
      <c r="I2739" s="44"/>
      <c r="J2739" s="11" t="str">
        <f aca="false">IF(D2739="","",N(G2739)-N(H2739))</f>
        <v/>
      </c>
      <c r="K2739" s="34" t="str">
        <f aca="false">IF(D2739="","",IFERROR(INDEX(I_COA!$C$6:$C$265,MATCH(D2739,I_COA!$A$6:$A$265,0)),"AKUN BARU"))</f>
        <v/>
      </c>
      <c r="L2739" s="34" t="str">
        <f aca="false">IF(K2739="LabaRugi",INDEX(I_COA!$D$6:$D$265,MATCH(D2739,I_COA!$A$6:$A$265,0)),"")</f>
        <v/>
      </c>
      <c r="M2739" s="34" t="str">
        <f aca="false">IF(K2739="Neraca",INDEX(I_COA!$E$6:$E$265,MATCH(D2739,I_COA!$A$6:$A$265,0)),"")</f>
        <v/>
      </c>
      <c r="N2739" s="34" t="str">
        <f aca="false">IF(D2739="","",IFERROR(INDEX(I_COA!$G$6:$G$265,MATCH(D2739,I_COA!$A$6:$A$265,0)),"N"))</f>
        <v/>
      </c>
      <c r="O2739" s="11" t="str">
        <f aca="false">IF(N2739="N",ABS(J2739),"")</f>
        <v/>
      </c>
      <c r="P2739" s="18" t="str">
        <f aca="false">IF(N2739="N",B2739&amp;"|"&amp;ROUND(O2739,0),"")</f>
        <v/>
      </c>
      <c r="Q2739" s="18" t="str">
        <f aca="false">IF(N2739&lt;&gt;"Y","",IFERROR(INDEX($D$6:$D$4005,MATCH(B2739&amp;"|"&amp;ROUND(_xlfn.MAXIFS($O$6:$O$4005,$B$6:$B$4005,B2739,$N$6:$N$4005,"N"),0),$P$6:$P$4005,0)),"(tanpa lawan)"))</f>
        <v/>
      </c>
      <c r="R2739" s="44"/>
      <c r="S2739" s="9" t="str">
        <f aca="false">IF(N2739&lt;&gt;"Y","",IF(R2739&lt;&gt;"",R2739,IF(Q2739="(tanpa lawan)","Transfer antar rekening",IFERROR(INDEX(I_COA!$F$6:$F$265,MATCH(Q2739,I_COA!$A$6:$A$265,0)),"?"))))</f>
        <v/>
      </c>
    </row>
    <row r="2740" customFormat="false" ht="15" hidden="false" customHeight="false" outlineLevel="0" collapsed="false">
      <c r="A2740" s="37"/>
      <c r="B2740" s="44"/>
      <c r="C2740" s="44"/>
      <c r="D2740" s="44"/>
      <c r="E2740" s="44"/>
      <c r="F2740" s="44"/>
      <c r="G2740" s="42"/>
      <c r="H2740" s="42"/>
      <c r="I2740" s="44"/>
      <c r="J2740" s="11" t="str">
        <f aca="false">IF(D2740="","",N(G2740)-N(H2740))</f>
        <v/>
      </c>
      <c r="K2740" s="34" t="str">
        <f aca="false">IF(D2740="","",IFERROR(INDEX(I_COA!$C$6:$C$265,MATCH(D2740,I_COA!$A$6:$A$265,0)),"AKUN BARU"))</f>
        <v/>
      </c>
      <c r="L2740" s="34" t="str">
        <f aca="false">IF(K2740="LabaRugi",INDEX(I_COA!$D$6:$D$265,MATCH(D2740,I_COA!$A$6:$A$265,0)),"")</f>
        <v/>
      </c>
      <c r="M2740" s="34" t="str">
        <f aca="false">IF(K2740="Neraca",INDEX(I_COA!$E$6:$E$265,MATCH(D2740,I_COA!$A$6:$A$265,0)),"")</f>
        <v/>
      </c>
      <c r="N2740" s="34" t="str">
        <f aca="false">IF(D2740="","",IFERROR(INDEX(I_COA!$G$6:$G$265,MATCH(D2740,I_COA!$A$6:$A$265,0)),"N"))</f>
        <v/>
      </c>
      <c r="O2740" s="11" t="str">
        <f aca="false">IF(N2740="N",ABS(J2740),"")</f>
        <v/>
      </c>
      <c r="P2740" s="18" t="str">
        <f aca="false">IF(N2740="N",B2740&amp;"|"&amp;ROUND(O2740,0),"")</f>
        <v/>
      </c>
      <c r="Q2740" s="18" t="str">
        <f aca="false">IF(N2740&lt;&gt;"Y","",IFERROR(INDEX($D$6:$D$4005,MATCH(B2740&amp;"|"&amp;ROUND(_xlfn.MAXIFS($O$6:$O$4005,$B$6:$B$4005,B2740,$N$6:$N$4005,"N"),0),$P$6:$P$4005,0)),"(tanpa lawan)"))</f>
        <v/>
      </c>
      <c r="R2740" s="44"/>
      <c r="S2740" s="9" t="str">
        <f aca="false">IF(N2740&lt;&gt;"Y","",IF(R2740&lt;&gt;"",R2740,IF(Q2740="(tanpa lawan)","Transfer antar rekening",IFERROR(INDEX(I_COA!$F$6:$F$265,MATCH(Q2740,I_COA!$A$6:$A$265,0)),"?"))))</f>
        <v/>
      </c>
    </row>
    <row r="2741" customFormat="false" ht="15" hidden="false" customHeight="false" outlineLevel="0" collapsed="false">
      <c r="A2741" s="37"/>
      <c r="B2741" s="44"/>
      <c r="C2741" s="44"/>
      <c r="D2741" s="44"/>
      <c r="E2741" s="44"/>
      <c r="F2741" s="44"/>
      <c r="G2741" s="42"/>
      <c r="H2741" s="42"/>
      <c r="I2741" s="44"/>
      <c r="J2741" s="11" t="str">
        <f aca="false">IF(D2741="","",N(G2741)-N(H2741))</f>
        <v/>
      </c>
      <c r="K2741" s="34" t="str">
        <f aca="false">IF(D2741="","",IFERROR(INDEX(I_COA!$C$6:$C$265,MATCH(D2741,I_COA!$A$6:$A$265,0)),"AKUN BARU"))</f>
        <v/>
      </c>
      <c r="L2741" s="34" t="str">
        <f aca="false">IF(K2741="LabaRugi",INDEX(I_COA!$D$6:$D$265,MATCH(D2741,I_COA!$A$6:$A$265,0)),"")</f>
        <v/>
      </c>
      <c r="M2741" s="34" t="str">
        <f aca="false">IF(K2741="Neraca",INDEX(I_COA!$E$6:$E$265,MATCH(D2741,I_COA!$A$6:$A$265,0)),"")</f>
        <v/>
      </c>
      <c r="N2741" s="34" t="str">
        <f aca="false">IF(D2741="","",IFERROR(INDEX(I_COA!$G$6:$G$265,MATCH(D2741,I_COA!$A$6:$A$265,0)),"N"))</f>
        <v/>
      </c>
      <c r="O2741" s="11" t="str">
        <f aca="false">IF(N2741="N",ABS(J2741),"")</f>
        <v/>
      </c>
      <c r="P2741" s="18" t="str">
        <f aca="false">IF(N2741="N",B2741&amp;"|"&amp;ROUND(O2741,0),"")</f>
        <v/>
      </c>
      <c r="Q2741" s="18" t="str">
        <f aca="false">IF(N2741&lt;&gt;"Y","",IFERROR(INDEX($D$6:$D$4005,MATCH(B2741&amp;"|"&amp;ROUND(_xlfn.MAXIFS($O$6:$O$4005,$B$6:$B$4005,B2741,$N$6:$N$4005,"N"),0),$P$6:$P$4005,0)),"(tanpa lawan)"))</f>
        <v/>
      </c>
      <c r="R2741" s="44"/>
      <c r="S2741" s="9" t="str">
        <f aca="false">IF(N2741&lt;&gt;"Y","",IF(R2741&lt;&gt;"",R2741,IF(Q2741="(tanpa lawan)","Transfer antar rekening",IFERROR(INDEX(I_COA!$F$6:$F$265,MATCH(Q2741,I_COA!$A$6:$A$265,0)),"?"))))</f>
        <v/>
      </c>
    </row>
    <row r="2742" customFormat="false" ht="15" hidden="false" customHeight="false" outlineLevel="0" collapsed="false">
      <c r="A2742" s="37"/>
      <c r="B2742" s="44"/>
      <c r="C2742" s="44"/>
      <c r="D2742" s="44"/>
      <c r="E2742" s="44"/>
      <c r="F2742" s="44"/>
      <c r="G2742" s="42"/>
      <c r="H2742" s="42"/>
      <c r="I2742" s="44"/>
      <c r="J2742" s="11" t="str">
        <f aca="false">IF(D2742="","",N(G2742)-N(H2742))</f>
        <v/>
      </c>
      <c r="K2742" s="34" t="str">
        <f aca="false">IF(D2742="","",IFERROR(INDEX(I_COA!$C$6:$C$265,MATCH(D2742,I_COA!$A$6:$A$265,0)),"AKUN BARU"))</f>
        <v/>
      </c>
      <c r="L2742" s="34" t="str">
        <f aca="false">IF(K2742="LabaRugi",INDEX(I_COA!$D$6:$D$265,MATCH(D2742,I_COA!$A$6:$A$265,0)),"")</f>
        <v/>
      </c>
      <c r="M2742" s="34" t="str">
        <f aca="false">IF(K2742="Neraca",INDEX(I_COA!$E$6:$E$265,MATCH(D2742,I_COA!$A$6:$A$265,0)),"")</f>
        <v/>
      </c>
      <c r="N2742" s="34" t="str">
        <f aca="false">IF(D2742="","",IFERROR(INDEX(I_COA!$G$6:$G$265,MATCH(D2742,I_COA!$A$6:$A$265,0)),"N"))</f>
        <v/>
      </c>
      <c r="O2742" s="11" t="str">
        <f aca="false">IF(N2742="N",ABS(J2742),"")</f>
        <v/>
      </c>
      <c r="P2742" s="18" t="str">
        <f aca="false">IF(N2742="N",B2742&amp;"|"&amp;ROUND(O2742,0),"")</f>
        <v/>
      </c>
      <c r="Q2742" s="18" t="str">
        <f aca="false">IF(N2742&lt;&gt;"Y","",IFERROR(INDEX($D$6:$D$4005,MATCH(B2742&amp;"|"&amp;ROUND(_xlfn.MAXIFS($O$6:$O$4005,$B$6:$B$4005,B2742,$N$6:$N$4005,"N"),0),$P$6:$P$4005,0)),"(tanpa lawan)"))</f>
        <v/>
      </c>
      <c r="R2742" s="44"/>
      <c r="S2742" s="9" t="str">
        <f aca="false">IF(N2742&lt;&gt;"Y","",IF(R2742&lt;&gt;"",R2742,IF(Q2742="(tanpa lawan)","Transfer antar rekening",IFERROR(INDEX(I_COA!$F$6:$F$265,MATCH(Q2742,I_COA!$A$6:$A$265,0)),"?"))))</f>
        <v/>
      </c>
    </row>
    <row r="2743" customFormat="false" ht="15" hidden="false" customHeight="false" outlineLevel="0" collapsed="false">
      <c r="A2743" s="37"/>
      <c r="B2743" s="44"/>
      <c r="C2743" s="44"/>
      <c r="D2743" s="44"/>
      <c r="E2743" s="44"/>
      <c r="F2743" s="44"/>
      <c r="G2743" s="42"/>
      <c r="H2743" s="42"/>
      <c r="I2743" s="44"/>
      <c r="J2743" s="11" t="str">
        <f aca="false">IF(D2743="","",N(G2743)-N(H2743))</f>
        <v/>
      </c>
      <c r="K2743" s="34" t="str">
        <f aca="false">IF(D2743="","",IFERROR(INDEX(I_COA!$C$6:$C$265,MATCH(D2743,I_COA!$A$6:$A$265,0)),"AKUN BARU"))</f>
        <v/>
      </c>
      <c r="L2743" s="34" t="str">
        <f aca="false">IF(K2743="LabaRugi",INDEX(I_COA!$D$6:$D$265,MATCH(D2743,I_COA!$A$6:$A$265,0)),"")</f>
        <v/>
      </c>
      <c r="M2743" s="34" t="str">
        <f aca="false">IF(K2743="Neraca",INDEX(I_COA!$E$6:$E$265,MATCH(D2743,I_COA!$A$6:$A$265,0)),"")</f>
        <v/>
      </c>
      <c r="N2743" s="34" t="str">
        <f aca="false">IF(D2743="","",IFERROR(INDEX(I_COA!$G$6:$G$265,MATCH(D2743,I_COA!$A$6:$A$265,0)),"N"))</f>
        <v/>
      </c>
      <c r="O2743" s="11" t="str">
        <f aca="false">IF(N2743="N",ABS(J2743),"")</f>
        <v/>
      </c>
      <c r="P2743" s="18" t="str">
        <f aca="false">IF(N2743="N",B2743&amp;"|"&amp;ROUND(O2743,0),"")</f>
        <v/>
      </c>
      <c r="Q2743" s="18" t="str">
        <f aca="false">IF(N2743&lt;&gt;"Y","",IFERROR(INDEX($D$6:$D$4005,MATCH(B2743&amp;"|"&amp;ROUND(_xlfn.MAXIFS($O$6:$O$4005,$B$6:$B$4005,B2743,$N$6:$N$4005,"N"),0),$P$6:$P$4005,0)),"(tanpa lawan)"))</f>
        <v/>
      </c>
      <c r="R2743" s="44"/>
      <c r="S2743" s="9" t="str">
        <f aca="false">IF(N2743&lt;&gt;"Y","",IF(R2743&lt;&gt;"",R2743,IF(Q2743="(tanpa lawan)","Transfer antar rekening",IFERROR(INDEX(I_COA!$F$6:$F$265,MATCH(Q2743,I_COA!$A$6:$A$265,0)),"?"))))</f>
        <v/>
      </c>
    </row>
    <row r="2744" customFormat="false" ht="15" hidden="false" customHeight="false" outlineLevel="0" collapsed="false">
      <c r="A2744" s="37"/>
      <c r="B2744" s="44"/>
      <c r="C2744" s="44"/>
      <c r="D2744" s="44"/>
      <c r="E2744" s="44"/>
      <c r="F2744" s="44"/>
      <c r="G2744" s="42"/>
      <c r="H2744" s="42"/>
      <c r="I2744" s="44"/>
      <c r="J2744" s="11" t="str">
        <f aca="false">IF(D2744="","",N(G2744)-N(H2744))</f>
        <v/>
      </c>
      <c r="K2744" s="34" t="str">
        <f aca="false">IF(D2744="","",IFERROR(INDEX(I_COA!$C$6:$C$265,MATCH(D2744,I_COA!$A$6:$A$265,0)),"AKUN BARU"))</f>
        <v/>
      </c>
      <c r="L2744" s="34" t="str">
        <f aca="false">IF(K2744="LabaRugi",INDEX(I_COA!$D$6:$D$265,MATCH(D2744,I_COA!$A$6:$A$265,0)),"")</f>
        <v/>
      </c>
      <c r="M2744" s="34" t="str">
        <f aca="false">IF(K2744="Neraca",INDEX(I_COA!$E$6:$E$265,MATCH(D2744,I_COA!$A$6:$A$265,0)),"")</f>
        <v/>
      </c>
      <c r="N2744" s="34" t="str">
        <f aca="false">IF(D2744="","",IFERROR(INDEX(I_COA!$G$6:$G$265,MATCH(D2744,I_COA!$A$6:$A$265,0)),"N"))</f>
        <v/>
      </c>
      <c r="O2744" s="11" t="str">
        <f aca="false">IF(N2744="N",ABS(J2744),"")</f>
        <v/>
      </c>
      <c r="P2744" s="18" t="str">
        <f aca="false">IF(N2744="N",B2744&amp;"|"&amp;ROUND(O2744,0),"")</f>
        <v/>
      </c>
      <c r="Q2744" s="18" t="str">
        <f aca="false">IF(N2744&lt;&gt;"Y","",IFERROR(INDEX($D$6:$D$4005,MATCH(B2744&amp;"|"&amp;ROUND(_xlfn.MAXIFS($O$6:$O$4005,$B$6:$B$4005,B2744,$N$6:$N$4005,"N"),0),$P$6:$P$4005,0)),"(tanpa lawan)"))</f>
        <v/>
      </c>
      <c r="R2744" s="44"/>
      <c r="S2744" s="9" t="str">
        <f aca="false">IF(N2744&lt;&gt;"Y","",IF(R2744&lt;&gt;"",R2744,IF(Q2744="(tanpa lawan)","Transfer antar rekening",IFERROR(INDEX(I_COA!$F$6:$F$265,MATCH(Q2744,I_COA!$A$6:$A$265,0)),"?"))))</f>
        <v/>
      </c>
    </row>
    <row r="2745" customFormat="false" ht="15" hidden="false" customHeight="false" outlineLevel="0" collapsed="false">
      <c r="A2745" s="37"/>
      <c r="B2745" s="44"/>
      <c r="C2745" s="44"/>
      <c r="D2745" s="44"/>
      <c r="E2745" s="44"/>
      <c r="F2745" s="44"/>
      <c r="G2745" s="42"/>
      <c r="H2745" s="42"/>
      <c r="I2745" s="44"/>
      <c r="J2745" s="11" t="str">
        <f aca="false">IF(D2745="","",N(G2745)-N(H2745))</f>
        <v/>
      </c>
      <c r="K2745" s="34" t="str">
        <f aca="false">IF(D2745="","",IFERROR(INDEX(I_COA!$C$6:$C$265,MATCH(D2745,I_COA!$A$6:$A$265,0)),"AKUN BARU"))</f>
        <v/>
      </c>
      <c r="L2745" s="34" t="str">
        <f aca="false">IF(K2745="LabaRugi",INDEX(I_COA!$D$6:$D$265,MATCH(D2745,I_COA!$A$6:$A$265,0)),"")</f>
        <v/>
      </c>
      <c r="M2745" s="34" t="str">
        <f aca="false">IF(K2745="Neraca",INDEX(I_COA!$E$6:$E$265,MATCH(D2745,I_COA!$A$6:$A$265,0)),"")</f>
        <v/>
      </c>
      <c r="N2745" s="34" t="str">
        <f aca="false">IF(D2745="","",IFERROR(INDEX(I_COA!$G$6:$G$265,MATCH(D2745,I_COA!$A$6:$A$265,0)),"N"))</f>
        <v/>
      </c>
      <c r="O2745" s="11" t="str">
        <f aca="false">IF(N2745="N",ABS(J2745),"")</f>
        <v/>
      </c>
      <c r="P2745" s="18" t="str">
        <f aca="false">IF(N2745="N",B2745&amp;"|"&amp;ROUND(O2745,0),"")</f>
        <v/>
      </c>
      <c r="Q2745" s="18" t="str">
        <f aca="false">IF(N2745&lt;&gt;"Y","",IFERROR(INDEX($D$6:$D$4005,MATCH(B2745&amp;"|"&amp;ROUND(_xlfn.MAXIFS($O$6:$O$4005,$B$6:$B$4005,B2745,$N$6:$N$4005,"N"),0),$P$6:$P$4005,0)),"(tanpa lawan)"))</f>
        <v/>
      </c>
      <c r="R2745" s="44"/>
      <c r="S2745" s="9" t="str">
        <f aca="false">IF(N2745&lt;&gt;"Y","",IF(R2745&lt;&gt;"",R2745,IF(Q2745="(tanpa lawan)","Transfer antar rekening",IFERROR(INDEX(I_COA!$F$6:$F$265,MATCH(Q2745,I_COA!$A$6:$A$265,0)),"?"))))</f>
        <v/>
      </c>
    </row>
    <row r="2746" customFormat="false" ht="15" hidden="false" customHeight="false" outlineLevel="0" collapsed="false">
      <c r="A2746" s="37"/>
      <c r="B2746" s="44"/>
      <c r="C2746" s="44"/>
      <c r="D2746" s="44"/>
      <c r="E2746" s="44"/>
      <c r="F2746" s="44"/>
      <c r="G2746" s="42"/>
      <c r="H2746" s="42"/>
      <c r="I2746" s="44"/>
      <c r="J2746" s="11" t="str">
        <f aca="false">IF(D2746="","",N(G2746)-N(H2746))</f>
        <v/>
      </c>
      <c r="K2746" s="34" t="str">
        <f aca="false">IF(D2746="","",IFERROR(INDEX(I_COA!$C$6:$C$265,MATCH(D2746,I_COA!$A$6:$A$265,0)),"AKUN BARU"))</f>
        <v/>
      </c>
      <c r="L2746" s="34" t="str">
        <f aca="false">IF(K2746="LabaRugi",INDEX(I_COA!$D$6:$D$265,MATCH(D2746,I_COA!$A$6:$A$265,0)),"")</f>
        <v/>
      </c>
      <c r="M2746" s="34" t="str">
        <f aca="false">IF(K2746="Neraca",INDEX(I_COA!$E$6:$E$265,MATCH(D2746,I_COA!$A$6:$A$265,0)),"")</f>
        <v/>
      </c>
      <c r="N2746" s="34" t="str">
        <f aca="false">IF(D2746="","",IFERROR(INDEX(I_COA!$G$6:$G$265,MATCH(D2746,I_COA!$A$6:$A$265,0)),"N"))</f>
        <v/>
      </c>
      <c r="O2746" s="11" t="str">
        <f aca="false">IF(N2746="N",ABS(J2746),"")</f>
        <v/>
      </c>
      <c r="P2746" s="18" t="str">
        <f aca="false">IF(N2746="N",B2746&amp;"|"&amp;ROUND(O2746,0),"")</f>
        <v/>
      </c>
      <c r="Q2746" s="18" t="str">
        <f aca="false">IF(N2746&lt;&gt;"Y","",IFERROR(INDEX($D$6:$D$4005,MATCH(B2746&amp;"|"&amp;ROUND(_xlfn.MAXIFS($O$6:$O$4005,$B$6:$B$4005,B2746,$N$6:$N$4005,"N"),0),$P$6:$P$4005,0)),"(tanpa lawan)"))</f>
        <v/>
      </c>
      <c r="R2746" s="44"/>
      <c r="S2746" s="9" t="str">
        <f aca="false">IF(N2746&lt;&gt;"Y","",IF(R2746&lt;&gt;"",R2746,IF(Q2746="(tanpa lawan)","Transfer antar rekening",IFERROR(INDEX(I_COA!$F$6:$F$265,MATCH(Q2746,I_COA!$A$6:$A$265,0)),"?"))))</f>
        <v/>
      </c>
    </row>
    <row r="2747" customFormat="false" ht="15" hidden="false" customHeight="false" outlineLevel="0" collapsed="false">
      <c r="A2747" s="37"/>
      <c r="B2747" s="44"/>
      <c r="C2747" s="44"/>
      <c r="D2747" s="44"/>
      <c r="E2747" s="44"/>
      <c r="F2747" s="44"/>
      <c r="G2747" s="42"/>
      <c r="H2747" s="42"/>
      <c r="I2747" s="44"/>
      <c r="J2747" s="11" t="str">
        <f aca="false">IF(D2747="","",N(G2747)-N(H2747))</f>
        <v/>
      </c>
      <c r="K2747" s="34" t="str">
        <f aca="false">IF(D2747="","",IFERROR(INDEX(I_COA!$C$6:$C$265,MATCH(D2747,I_COA!$A$6:$A$265,0)),"AKUN BARU"))</f>
        <v/>
      </c>
      <c r="L2747" s="34" t="str">
        <f aca="false">IF(K2747="LabaRugi",INDEX(I_COA!$D$6:$D$265,MATCH(D2747,I_COA!$A$6:$A$265,0)),"")</f>
        <v/>
      </c>
      <c r="M2747" s="34" t="str">
        <f aca="false">IF(K2747="Neraca",INDEX(I_COA!$E$6:$E$265,MATCH(D2747,I_COA!$A$6:$A$265,0)),"")</f>
        <v/>
      </c>
      <c r="N2747" s="34" t="str">
        <f aca="false">IF(D2747="","",IFERROR(INDEX(I_COA!$G$6:$G$265,MATCH(D2747,I_COA!$A$6:$A$265,0)),"N"))</f>
        <v/>
      </c>
      <c r="O2747" s="11" t="str">
        <f aca="false">IF(N2747="N",ABS(J2747),"")</f>
        <v/>
      </c>
      <c r="P2747" s="18" t="str">
        <f aca="false">IF(N2747="N",B2747&amp;"|"&amp;ROUND(O2747,0),"")</f>
        <v/>
      </c>
      <c r="Q2747" s="18" t="str">
        <f aca="false">IF(N2747&lt;&gt;"Y","",IFERROR(INDEX($D$6:$D$4005,MATCH(B2747&amp;"|"&amp;ROUND(_xlfn.MAXIFS($O$6:$O$4005,$B$6:$B$4005,B2747,$N$6:$N$4005,"N"),0),$P$6:$P$4005,0)),"(tanpa lawan)"))</f>
        <v/>
      </c>
      <c r="R2747" s="44"/>
      <c r="S2747" s="9" t="str">
        <f aca="false">IF(N2747&lt;&gt;"Y","",IF(R2747&lt;&gt;"",R2747,IF(Q2747="(tanpa lawan)","Transfer antar rekening",IFERROR(INDEX(I_COA!$F$6:$F$265,MATCH(Q2747,I_COA!$A$6:$A$265,0)),"?"))))</f>
        <v/>
      </c>
    </row>
    <row r="2748" customFormat="false" ht="15" hidden="false" customHeight="false" outlineLevel="0" collapsed="false">
      <c r="A2748" s="37"/>
      <c r="B2748" s="44"/>
      <c r="C2748" s="44"/>
      <c r="D2748" s="44"/>
      <c r="E2748" s="44"/>
      <c r="F2748" s="44"/>
      <c r="G2748" s="42"/>
      <c r="H2748" s="42"/>
      <c r="I2748" s="44"/>
      <c r="J2748" s="11" t="str">
        <f aca="false">IF(D2748="","",N(G2748)-N(H2748))</f>
        <v/>
      </c>
      <c r="K2748" s="34" t="str">
        <f aca="false">IF(D2748="","",IFERROR(INDEX(I_COA!$C$6:$C$265,MATCH(D2748,I_COA!$A$6:$A$265,0)),"AKUN BARU"))</f>
        <v/>
      </c>
      <c r="L2748" s="34" t="str">
        <f aca="false">IF(K2748="LabaRugi",INDEX(I_COA!$D$6:$D$265,MATCH(D2748,I_COA!$A$6:$A$265,0)),"")</f>
        <v/>
      </c>
      <c r="M2748" s="34" t="str">
        <f aca="false">IF(K2748="Neraca",INDEX(I_COA!$E$6:$E$265,MATCH(D2748,I_COA!$A$6:$A$265,0)),"")</f>
        <v/>
      </c>
      <c r="N2748" s="34" t="str">
        <f aca="false">IF(D2748="","",IFERROR(INDEX(I_COA!$G$6:$G$265,MATCH(D2748,I_COA!$A$6:$A$265,0)),"N"))</f>
        <v/>
      </c>
      <c r="O2748" s="11" t="str">
        <f aca="false">IF(N2748="N",ABS(J2748),"")</f>
        <v/>
      </c>
      <c r="P2748" s="18" t="str">
        <f aca="false">IF(N2748="N",B2748&amp;"|"&amp;ROUND(O2748,0),"")</f>
        <v/>
      </c>
      <c r="Q2748" s="18" t="str">
        <f aca="false">IF(N2748&lt;&gt;"Y","",IFERROR(INDEX($D$6:$D$4005,MATCH(B2748&amp;"|"&amp;ROUND(_xlfn.MAXIFS($O$6:$O$4005,$B$6:$B$4005,B2748,$N$6:$N$4005,"N"),0),$P$6:$P$4005,0)),"(tanpa lawan)"))</f>
        <v/>
      </c>
      <c r="R2748" s="44"/>
      <c r="S2748" s="9" t="str">
        <f aca="false">IF(N2748&lt;&gt;"Y","",IF(R2748&lt;&gt;"",R2748,IF(Q2748="(tanpa lawan)","Transfer antar rekening",IFERROR(INDEX(I_COA!$F$6:$F$265,MATCH(Q2748,I_COA!$A$6:$A$265,0)),"?"))))</f>
        <v/>
      </c>
    </row>
    <row r="2749" customFormat="false" ht="15" hidden="false" customHeight="false" outlineLevel="0" collapsed="false">
      <c r="A2749" s="37"/>
      <c r="B2749" s="44"/>
      <c r="C2749" s="44"/>
      <c r="D2749" s="44"/>
      <c r="E2749" s="44"/>
      <c r="F2749" s="44"/>
      <c r="G2749" s="42"/>
      <c r="H2749" s="42"/>
      <c r="I2749" s="44"/>
      <c r="J2749" s="11" t="str">
        <f aca="false">IF(D2749="","",N(G2749)-N(H2749))</f>
        <v/>
      </c>
      <c r="K2749" s="34" t="str">
        <f aca="false">IF(D2749="","",IFERROR(INDEX(I_COA!$C$6:$C$265,MATCH(D2749,I_COA!$A$6:$A$265,0)),"AKUN BARU"))</f>
        <v/>
      </c>
      <c r="L2749" s="34" t="str">
        <f aca="false">IF(K2749="LabaRugi",INDEX(I_COA!$D$6:$D$265,MATCH(D2749,I_COA!$A$6:$A$265,0)),"")</f>
        <v/>
      </c>
      <c r="M2749" s="34" t="str">
        <f aca="false">IF(K2749="Neraca",INDEX(I_COA!$E$6:$E$265,MATCH(D2749,I_COA!$A$6:$A$265,0)),"")</f>
        <v/>
      </c>
      <c r="N2749" s="34" t="str">
        <f aca="false">IF(D2749="","",IFERROR(INDEX(I_COA!$G$6:$G$265,MATCH(D2749,I_COA!$A$6:$A$265,0)),"N"))</f>
        <v/>
      </c>
      <c r="O2749" s="11" t="str">
        <f aca="false">IF(N2749="N",ABS(J2749),"")</f>
        <v/>
      </c>
      <c r="P2749" s="18" t="str">
        <f aca="false">IF(N2749="N",B2749&amp;"|"&amp;ROUND(O2749,0),"")</f>
        <v/>
      </c>
      <c r="Q2749" s="18" t="str">
        <f aca="false">IF(N2749&lt;&gt;"Y","",IFERROR(INDEX($D$6:$D$4005,MATCH(B2749&amp;"|"&amp;ROUND(_xlfn.MAXIFS($O$6:$O$4005,$B$6:$B$4005,B2749,$N$6:$N$4005,"N"),0),$P$6:$P$4005,0)),"(tanpa lawan)"))</f>
        <v/>
      </c>
      <c r="R2749" s="44"/>
      <c r="S2749" s="9" t="str">
        <f aca="false">IF(N2749&lt;&gt;"Y","",IF(R2749&lt;&gt;"",R2749,IF(Q2749="(tanpa lawan)","Transfer antar rekening",IFERROR(INDEX(I_COA!$F$6:$F$265,MATCH(Q2749,I_COA!$A$6:$A$265,0)),"?"))))</f>
        <v/>
      </c>
    </row>
    <row r="2750" customFormat="false" ht="15" hidden="false" customHeight="false" outlineLevel="0" collapsed="false">
      <c r="A2750" s="37"/>
      <c r="B2750" s="44"/>
      <c r="C2750" s="44"/>
      <c r="D2750" s="44"/>
      <c r="E2750" s="44"/>
      <c r="F2750" s="44"/>
      <c r="G2750" s="42"/>
      <c r="H2750" s="42"/>
      <c r="I2750" s="44"/>
      <c r="J2750" s="11" t="str">
        <f aca="false">IF(D2750="","",N(G2750)-N(H2750))</f>
        <v/>
      </c>
      <c r="K2750" s="34" t="str">
        <f aca="false">IF(D2750="","",IFERROR(INDEX(I_COA!$C$6:$C$265,MATCH(D2750,I_COA!$A$6:$A$265,0)),"AKUN BARU"))</f>
        <v/>
      </c>
      <c r="L2750" s="34" t="str">
        <f aca="false">IF(K2750="LabaRugi",INDEX(I_COA!$D$6:$D$265,MATCH(D2750,I_COA!$A$6:$A$265,0)),"")</f>
        <v/>
      </c>
      <c r="M2750" s="34" t="str">
        <f aca="false">IF(K2750="Neraca",INDEX(I_COA!$E$6:$E$265,MATCH(D2750,I_COA!$A$6:$A$265,0)),"")</f>
        <v/>
      </c>
      <c r="N2750" s="34" t="str">
        <f aca="false">IF(D2750="","",IFERROR(INDEX(I_COA!$G$6:$G$265,MATCH(D2750,I_COA!$A$6:$A$265,0)),"N"))</f>
        <v/>
      </c>
      <c r="O2750" s="11" t="str">
        <f aca="false">IF(N2750="N",ABS(J2750),"")</f>
        <v/>
      </c>
      <c r="P2750" s="18" t="str">
        <f aca="false">IF(N2750="N",B2750&amp;"|"&amp;ROUND(O2750,0),"")</f>
        <v/>
      </c>
      <c r="Q2750" s="18" t="str">
        <f aca="false">IF(N2750&lt;&gt;"Y","",IFERROR(INDEX($D$6:$D$4005,MATCH(B2750&amp;"|"&amp;ROUND(_xlfn.MAXIFS($O$6:$O$4005,$B$6:$B$4005,B2750,$N$6:$N$4005,"N"),0),$P$6:$P$4005,0)),"(tanpa lawan)"))</f>
        <v/>
      </c>
      <c r="R2750" s="44"/>
      <c r="S2750" s="9" t="str">
        <f aca="false">IF(N2750&lt;&gt;"Y","",IF(R2750&lt;&gt;"",R2750,IF(Q2750="(tanpa lawan)","Transfer antar rekening",IFERROR(INDEX(I_COA!$F$6:$F$265,MATCH(Q2750,I_COA!$A$6:$A$265,0)),"?"))))</f>
        <v/>
      </c>
    </row>
    <row r="2751" customFormat="false" ht="15" hidden="false" customHeight="false" outlineLevel="0" collapsed="false">
      <c r="A2751" s="37"/>
      <c r="B2751" s="44"/>
      <c r="C2751" s="44"/>
      <c r="D2751" s="44"/>
      <c r="E2751" s="44"/>
      <c r="F2751" s="44"/>
      <c r="G2751" s="42"/>
      <c r="H2751" s="42"/>
      <c r="I2751" s="44"/>
      <c r="J2751" s="11" t="str">
        <f aca="false">IF(D2751="","",N(G2751)-N(H2751))</f>
        <v/>
      </c>
      <c r="K2751" s="34" t="str">
        <f aca="false">IF(D2751="","",IFERROR(INDEX(I_COA!$C$6:$C$265,MATCH(D2751,I_COA!$A$6:$A$265,0)),"AKUN BARU"))</f>
        <v/>
      </c>
      <c r="L2751" s="34" t="str">
        <f aca="false">IF(K2751="LabaRugi",INDEX(I_COA!$D$6:$D$265,MATCH(D2751,I_COA!$A$6:$A$265,0)),"")</f>
        <v/>
      </c>
      <c r="M2751" s="34" t="str">
        <f aca="false">IF(K2751="Neraca",INDEX(I_COA!$E$6:$E$265,MATCH(D2751,I_COA!$A$6:$A$265,0)),"")</f>
        <v/>
      </c>
      <c r="N2751" s="34" t="str">
        <f aca="false">IF(D2751="","",IFERROR(INDEX(I_COA!$G$6:$G$265,MATCH(D2751,I_COA!$A$6:$A$265,0)),"N"))</f>
        <v/>
      </c>
      <c r="O2751" s="11" t="str">
        <f aca="false">IF(N2751="N",ABS(J2751),"")</f>
        <v/>
      </c>
      <c r="P2751" s="18" t="str">
        <f aca="false">IF(N2751="N",B2751&amp;"|"&amp;ROUND(O2751,0),"")</f>
        <v/>
      </c>
      <c r="Q2751" s="18" t="str">
        <f aca="false">IF(N2751&lt;&gt;"Y","",IFERROR(INDEX($D$6:$D$4005,MATCH(B2751&amp;"|"&amp;ROUND(_xlfn.MAXIFS($O$6:$O$4005,$B$6:$B$4005,B2751,$N$6:$N$4005,"N"),0),$P$6:$P$4005,0)),"(tanpa lawan)"))</f>
        <v/>
      </c>
      <c r="R2751" s="44"/>
      <c r="S2751" s="9" t="str">
        <f aca="false">IF(N2751&lt;&gt;"Y","",IF(R2751&lt;&gt;"",R2751,IF(Q2751="(tanpa lawan)","Transfer antar rekening",IFERROR(INDEX(I_COA!$F$6:$F$265,MATCH(Q2751,I_COA!$A$6:$A$265,0)),"?"))))</f>
        <v/>
      </c>
    </row>
    <row r="2752" customFormat="false" ht="15" hidden="false" customHeight="false" outlineLevel="0" collapsed="false">
      <c r="A2752" s="37"/>
      <c r="B2752" s="44"/>
      <c r="C2752" s="44"/>
      <c r="D2752" s="44"/>
      <c r="E2752" s="44"/>
      <c r="F2752" s="44"/>
      <c r="G2752" s="42"/>
      <c r="H2752" s="42"/>
      <c r="I2752" s="44"/>
      <c r="J2752" s="11" t="str">
        <f aca="false">IF(D2752="","",N(G2752)-N(H2752))</f>
        <v/>
      </c>
      <c r="K2752" s="34" t="str">
        <f aca="false">IF(D2752="","",IFERROR(INDEX(I_COA!$C$6:$C$265,MATCH(D2752,I_COA!$A$6:$A$265,0)),"AKUN BARU"))</f>
        <v/>
      </c>
      <c r="L2752" s="34" t="str">
        <f aca="false">IF(K2752="LabaRugi",INDEX(I_COA!$D$6:$D$265,MATCH(D2752,I_COA!$A$6:$A$265,0)),"")</f>
        <v/>
      </c>
      <c r="M2752" s="34" t="str">
        <f aca="false">IF(K2752="Neraca",INDEX(I_COA!$E$6:$E$265,MATCH(D2752,I_COA!$A$6:$A$265,0)),"")</f>
        <v/>
      </c>
      <c r="N2752" s="34" t="str">
        <f aca="false">IF(D2752="","",IFERROR(INDEX(I_COA!$G$6:$G$265,MATCH(D2752,I_COA!$A$6:$A$265,0)),"N"))</f>
        <v/>
      </c>
      <c r="O2752" s="11" t="str">
        <f aca="false">IF(N2752="N",ABS(J2752),"")</f>
        <v/>
      </c>
      <c r="P2752" s="18" t="str">
        <f aca="false">IF(N2752="N",B2752&amp;"|"&amp;ROUND(O2752,0),"")</f>
        <v/>
      </c>
      <c r="Q2752" s="18" t="str">
        <f aca="false">IF(N2752&lt;&gt;"Y","",IFERROR(INDEX($D$6:$D$4005,MATCH(B2752&amp;"|"&amp;ROUND(_xlfn.MAXIFS($O$6:$O$4005,$B$6:$B$4005,B2752,$N$6:$N$4005,"N"),0),$P$6:$P$4005,0)),"(tanpa lawan)"))</f>
        <v/>
      </c>
      <c r="R2752" s="44"/>
      <c r="S2752" s="9" t="str">
        <f aca="false">IF(N2752&lt;&gt;"Y","",IF(R2752&lt;&gt;"",R2752,IF(Q2752="(tanpa lawan)","Transfer antar rekening",IFERROR(INDEX(I_COA!$F$6:$F$265,MATCH(Q2752,I_COA!$A$6:$A$265,0)),"?"))))</f>
        <v/>
      </c>
    </row>
    <row r="2753" customFormat="false" ht="15" hidden="false" customHeight="false" outlineLevel="0" collapsed="false">
      <c r="A2753" s="37"/>
      <c r="B2753" s="44"/>
      <c r="C2753" s="44"/>
      <c r="D2753" s="44"/>
      <c r="E2753" s="44"/>
      <c r="F2753" s="44"/>
      <c r="G2753" s="42"/>
      <c r="H2753" s="42"/>
      <c r="I2753" s="44"/>
      <c r="J2753" s="11" t="str">
        <f aca="false">IF(D2753="","",N(G2753)-N(H2753))</f>
        <v/>
      </c>
      <c r="K2753" s="34" t="str">
        <f aca="false">IF(D2753="","",IFERROR(INDEX(I_COA!$C$6:$C$265,MATCH(D2753,I_COA!$A$6:$A$265,0)),"AKUN BARU"))</f>
        <v/>
      </c>
      <c r="L2753" s="34" t="str">
        <f aca="false">IF(K2753="LabaRugi",INDEX(I_COA!$D$6:$D$265,MATCH(D2753,I_COA!$A$6:$A$265,0)),"")</f>
        <v/>
      </c>
      <c r="M2753" s="34" t="str">
        <f aca="false">IF(K2753="Neraca",INDEX(I_COA!$E$6:$E$265,MATCH(D2753,I_COA!$A$6:$A$265,0)),"")</f>
        <v/>
      </c>
      <c r="N2753" s="34" t="str">
        <f aca="false">IF(D2753="","",IFERROR(INDEX(I_COA!$G$6:$G$265,MATCH(D2753,I_COA!$A$6:$A$265,0)),"N"))</f>
        <v/>
      </c>
      <c r="O2753" s="11" t="str">
        <f aca="false">IF(N2753="N",ABS(J2753),"")</f>
        <v/>
      </c>
      <c r="P2753" s="18" t="str">
        <f aca="false">IF(N2753="N",B2753&amp;"|"&amp;ROUND(O2753,0),"")</f>
        <v/>
      </c>
      <c r="Q2753" s="18" t="str">
        <f aca="false">IF(N2753&lt;&gt;"Y","",IFERROR(INDEX($D$6:$D$4005,MATCH(B2753&amp;"|"&amp;ROUND(_xlfn.MAXIFS($O$6:$O$4005,$B$6:$B$4005,B2753,$N$6:$N$4005,"N"),0),$P$6:$P$4005,0)),"(tanpa lawan)"))</f>
        <v/>
      </c>
      <c r="R2753" s="44"/>
      <c r="S2753" s="9" t="str">
        <f aca="false">IF(N2753&lt;&gt;"Y","",IF(R2753&lt;&gt;"",R2753,IF(Q2753="(tanpa lawan)","Transfer antar rekening",IFERROR(INDEX(I_COA!$F$6:$F$265,MATCH(Q2753,I_COA!$A$6:$A$265,0)),"?"))))</f>
        <v/>
      </c>
    </row>
    <row r="2754" customFormat="false" ht="15" hidden="false" customHeight="false" outlineLevel="0" collapsed="false">
      <c r="A2754" s="37"/>
      <c r="B2754" s="44"/>
      <c r="C2754" s="44"/>
      <c r="D2754" s="44"/>
      <c r="E2754" s="44"/>
      <c r="F2754" s="44"/>
      <c r="G2754" s="42"/>
      <c r="H2754" s="42"/>
      <c r="I2754" s="44"/>
      <c r="J2754" s="11" t="str">
        <f aca="false">IF(D2754="","",N(G2754)-N(H2754))</f>
        <v/>
      </c>
      <c r="K2754" s="34" t="str">
        <f aca="false">IF(D2754="","",IFERROR(INDEX(I_COA!$C$6:$C$265,MATCH(D2754,I_COA!$A$6:$A$265,0)),"AKUN BARU"))</f>
        <v/>
      </c>
      <c r="L2754" s="34" t="str">
        <f aca="false">IF(K2754="LabaRugi",INDEX(I_COA!$D$6:$D$265,MATCH(D2754,I_COA!$A$6:$A$265,0)),"")</f>
        <v/>
      </c>
      <c r="M2754" s="34" t="str">
        <f aca="false">IF(K2754="Neraca",INDEX(I_COA!$E$6:$E$265,MATCH(D2754,I_COA!$A$6:$A$265,0)),"")</f>
        <v/>
      </c>
      <c r="N2754" s="34" t="str">
        <f aca="false">IF(D2754="","",IFERROR(INDEX(I_COA!$G$6:$G$265,MATCH(D2754,I_COA!$A$6:$A$265,0)),"N"))</f>
        <v/>
      </c>
      <c r="O2754" s="11" t="str">
        <f aca="false">IF(N2754="N",ABS(J2754),"")</f>
        <v/>
      </c>
      <c r="P2754" s="18" t="str">
        <f aca="false">IF(N2754="N",B2754&amp;"|"&amp;ROUND(O2754,0),"")</f>
        <v/>
      </c>
      <c r="Q2754" s="18" t="str">
        <f aca="false">IF(N2754&lt;&gt;"Y","",IFERROR(INDEX($D$6:$D$4005,MATCH(B2754&amp;"|"&amp;ROUND(_xlfn.MAXIFS($O$6:$O$4005,$B$6:$B$4005,B2754,$N$6:$N$4005,"N"),0),$P$6:$P$4005,0)),"(tanpa lawan)"))</f>
        <v/>
      </c>
      <c r="R2754" s="44"/>
      <c r="S2754" s="9" t="str">
        <f aca="false">IF(N2754&lt;&gt;"Y","",IF(R2754&lt;&gt;"",R2754,IF(Q2754="(tanpa lawan)","Transfer antar rekening",IFERROR(INDEX(I_COA!$F$6:$F$265,MATCH(Q2754,I_COA!$A$6:$A$265,0)),"?"))))</f>
        <v/>
      </c>
    </row>
    <row r="2755" customFormat="false" ht="15" hidden="false" customHeight="false" outlineLevel="0" collapsed="false">
      <c r="A2755" s="37"/>
      <c r="B2755" s="44"/>
      <c r="C2755" s="44"/>
      <c r="D2755" s="44"/>
      <c r="E2755" s="44"/>
      <c r="F2755" s="44"/>
      <c r="G2755" s="42"/>
      <c r="H2755" s="42"/>
      <c r="I2755" s="44"/>
      <c r="J2755" s="11" t="str">
        <f aca="false">IF(D2755="","",N(G2755)-N(H2755))</f>
        <v/>
      </c>
      <c r="K2755" s="34" t="str">
        <f aca="false">IF(D2755="","",IFERROR(INDEX(I_COA!$C$6:$C$265,MATCH(D2755,I_COA!$A$6:$A$265,0)),"AKUN BARU"))</f>
        <v/>
      </c>
      <c r="L2755" s="34" t="str">
        <f aca="false">IF(K2755="LabaRugi",INDEX(I_COA!$D$6:$D$265,MATCH(D2755,I_COA!$A$6:$A$265,0)),"")</f>
        <v/>
      </c>
      <c r="M2755" s="34" t="str">
        <f aca="false">IF(K2755="Neraca",INDEX(I_COA!$E$6:$E$265,MATCH(D2755,I_COA!$A$6:$A$265,0)),"")</f>
        <v/>
      </c>
      <c r="N2755" s="34" t="str">
        <f aca="false">IF(D2755="","",IFERROR(INDEX(I_COA!$G$6:$G$265,MATCH(D2755,I_COA!$A$6:$A$265,0)),"N"))</f>
        <v/>
      </c>
      <c r="O2755" s="11" t="str">
        <f aca="false">IF(N2755="N",ABS(J2755),"")</f>
        <v/>
      </c>
      <c r="P2755" s="18" t="str">
        <f aca="false">IF(N2755="N",B2755&amp;"|"&amp;ROUND(O2755,0),"")</f>
        <v/>
      </c>
      <c r="Q2755" s="18" t="str">
        <f aca="false">IF(N2755&lt;&gt;"Y","",IFERROR(INDEX($D$6:$D$4005,MATCH(B2755&amp;"|"&amp;ROUND(_xlfn.MAXIFS($O$6:$O$4005,$B$6:$B$4005,B2755,$N$6:$N$4005,"N"),0),$P$6:$P$4005,0)),"(tanpa lawan)"))</f>
        <v/>
      </c>
      <c r="R2755" s="44"/>
      <c r="S2755" s="9" t="str">
        <f aca="false">IF(N2755&lt;&gt;"Y","",IF(R2755&lt;&gt;"",R2755,IF(Q2755="(tanpa lawan)","Transfer antar rekening",IFERROR(INDEX(I_COA!$F$6:$F$265,MATCH(Q2755,I_COA!$A$6:$A$265,0)),"?"))))</f>
        <v/>
      </c>
    </row>
    <row r="2756" customFormat="false" ht="15" hidden="false" customHeight="false" outlineLevel="0" collapsed="false">
      <c r="A2756" s="37"/>
      <c r="B2756" s="44"/>
      <c r="C2756" s="44"/>
      <c r="D2756" s="44"/>
      <c r="E2756" s="44"/>
      <c r="F2756" s="44"/>
      <c r="G2756" s="42"/>
      <c r="H2756" s="42"/>
      <c r="I2756" s="44"/>
      <c r="J2756" s="11" t="str">
        <f aca="false">IF(D2756="","",N(G2756)-N(H2756))</f>
        <v/>
      </c>
      <c r="K2756" s="34" t="str">
        <f aca="false">IF(D2756="","",IFERROR(INDEX(I_COA!$C$6:$C$265,MATCH(D2756,I_COA!$A$6:$A$265,0)),"AKUN BARU"))</f>
        <v/>
      </c>
      <c r="L2756" s="34" t="str">
        <f aca="false">IF(K2756="LabaRugi",INDEX(I_COA!$D$6:$D$265,MATCH(D2756,I_COA!$A$6:$A$265,0)),"")</f>
        <v/>
      </c>
      <c r="M2756" s="34" t="str">
        <f aca="false">IF(K2756="Neraca",INDEX(I_COA!$E$6:$E$265,MATCH(D2756,I_COA!$A$6:$A$265,0)),"")</f>
        <v/>
      </c>
      <c r="N2756" s="34" t="str">
        <f aca="false">IF(D2756="","",IFERROR(INDEX(I_COA!$G$6:$G$265,MATCH(D2756,I_COA!$A$6:$A$265,0)),"N"))</f>
        <v/>
      </c>
      <c r="O2756" s="11" t="str">
        <f aca="false">IF(N2756="N",ABS(J2756),"")</f>
        <v/>
      </c>
      <c r="P2756" s="18" t="str">
        <f aca="false">IF(N2756="N",B2756&amp;"|"&amp;ROUND(O2756,0),"")</f>
        <v/>
      </c>
      <c r="Q2756" s="18" t="str">
        <f aca="false">IF(N2756&lt;&gt;"Y","",IFERROR(INDEX($D$6:$D$4005,MATCH(B2756&amp;"|"&amp;ROUND(_xlfn.MAXIFS($O$6:$O$4005,$B$6:$B$4005,B2756,$N$6:$N$4005,"N"),0),$P$6:$P$4005,0)),"(tanpa lawan)"))</f>
        <v/>
      </c>
      <c r="R2756" s="44"/>
      <c r="S2756" s="9" t="str">
        <f aca="false">IF(N2756&lt;&gt;"Y","",IF(R2756&lt;&gt;"",R2756,IF(Q2756="(tanpa lawan)","Transfer antar rekening",IFERROR(INDEX(I_COA!$F$6:$F$265,MATCH(Q2756,I_COA!$A$6:$A$265,0)),"?"))))</f>
        <v/>
      </c>
    </row>
    <row r="2757" customFormat="false" ht="15" hidden="false" customHeight="false" outlineLevel="0" collapsed="false">
      <c r="A2757" s="37"/>
      <c r="B2757" s="44"/>
      <c r="C2757" s="44"/>
      <c r="D2757" s="44"/>
      <c r="E2757" s="44"/>
      <c r="F2757" s="44"/>
      <c r="G2757" s="42"/>
      <c r="H2757" s="42"/>
      <c r="I2757" s="44"/>
      <c r="J2757" s="11" t="str">
        <f aca="false">IF(D2757="","",N(G2757)-N(H2757))</f>
        <v/>
      </c>
      <c r="K2757" s="34" t="str">
        <f aca="false">IF(D2757="","",IFERROR(INDEX(I_COA!$C$6:$C$265,MATCH(D2757,I_COA!$A$6:$A$265,0)),"AKUN BARU"))</f>
        <v/>
      </c>
      <c r="L2757" s="34" t="str">
        <f aca="false">IF(K2757="LabaRugi",INDEX(I_COA!$D$6:$D$265,MATCH(D2757,I_COA!$A$6:$A$265,0)),"")</f>
        <v/>
      </c>
      <c r="M2757" s="34" t="str">
        <f aca="false">IF(K2757="Neraca",INDEX(I_COA!$E$6:$E$265,MATCH(D2757,I_COA!$A$6:$A$265,0)),"")</f>
        <v/>
      </c>
      <c r="N2757" s="34" t="str">
        <f aca="false">IF(D2757="","",IFERROR(INDEX(I_COA!$G$6:$G$265,MATCH(D2757,I_COA!$A$6:$A$265,0)),"N"))</f>
        <v/>
      </c>
      <c r="O2757" s="11" t="str">
        <f aca="false">IF(N2757="N",ABS(J2757),"")</f>
        <v/>
      </c>
      <c r="P2757" s="18" t="str">
        <f aca="false">IF(N2757="N",B2757&amp;"|"&amp;ROUND(O2757,0),"")</f>
        <v/>
      </c>
      <c r="Q2757" s="18" t="str">
        <f aca="false">IF(N2757&lt;&gt;"Y","",IFERROR(INDEX($D$6:$D$4005,MATCH(B2757&amp;"|"&amp;ROUND(_xlfn.MAXIFS($O$6:$O$4005,$B$6:$B$4005,B2757,$N$6:$N$4005,"N"),0),$P$6:$P$4005,0)),"(tanpa lawan)"))</f>
        <v/>
      </c>
      <c r="R2757" s="44"/>
      <c r="S2757" s="9" t="str">
        <f aca="false">IF(N2757&lt;&gt;"Y","",IF(R2757&lt;&gt;"",R2757,IF(Q2757="(tanpa lawan)","Transfer antar rekening",IFERROR(INDEX(I_COA!$F$6:$F$265,MATCH(Q2757,I_COA!$A$6:$A$265,0)),"?"))))</f>
        <v/>
      </c>
    </row>
    <row r="2758" customFormat="false" ht="15" hidden="false" customHeight="false" outlineLevel="0" collapsed="false">
      <c r="A2758" s="37"/>
      <c r="B2758" s="44"/>
      <c r="C2758" s="44"/>
      <c r="D2758" s="44"/>
      <c r="E2758" s="44"/>
      <c r="F2758" s="44"/>
      <c r="G2758" s="42"/>
      <c r="H2758" s="42"/>
      <c r="I2758" s="44"/>
      <c r="J2758" s="11" t="str">
        <f aca="false">IF(D2758="","",N(G2758)-N(H2758))</f>
        <v/>
      </c>
      <c r="K2758" s="34" t="str">
        <f aca="false">IF(D2758="","",IFERROR(INDEX(I_COA!$C$6:$C$265,MATCH(D2758,I_COA!$A$6:$A$265,0)),"AKUN BARU"))</f>
        <v/>
      </c>
      <c r="L2758" s="34" t="str">
        <f aca="false">IF(K2758="LabaRugi",INDEX(I_COA!$D$6:$D$265,MATCH(D2758,I_COA!$A$6:$A$265,0)),"")</f>
        <v/>
      </c>
      <c r="M2758" s="34" t="str">
        <f aca="false">IF(K2758="Neraca",INDEX(I_COA!$E$6:$E$265,MATCH(D2758,I_COA!$A$6:$A$265,0)),"")</f>
        <v/>
      </c>
      <c r="N2758" s="34" t="str">
        <f aca="false">IF(D2758="","",IFERROR(INDEX(I_COA!$G$6:$G$265,MATCH(D2758,I_COA!$A$6:$A$265,0)),"N"))</f>
        <v/>
      </c>
      <c r="O2758" s="11" t="str">
        <f aca="false">IF(N2758="N",ABS(J2758),"")</f>
        <v/>
      </c>
      <c r="P2758" s="18" t="str">
        <f aca="false">IF(N2758="N",B2758&amp;"|"&amp;ROUND(O2758,0),"")</f>
        <v/>
      </c>
      <c r="Q2758" s="18" t="str">
        <f aca="false">IF(N2758&lt;&gt;"Y","",IFERROR(INDEX($D$6:$D$4005,MATCH(B2758&amp;"|"&amp;ROUND(_xlfn.MAXIFS($O$6:$O$4005,$B$6:$B$4005,B2758,$N$6:$N$4005,"N"),0),$P$6:$P$4005,0)),"(tanpa lawan)"))</f>
        <v/>
      </c>
      <c r="R2758" s="44"/>
      <c r="S2758" s="9" t="str">
        <f aca="false">IF(N2758&lt;&gt;"Y","",IF(R2758&lt;&gt;"",R2758,IF(Q2758="(tanpa lawan)","Transfer antar rekening",IFERROR(INDEX(I_COA!$F$6:$F$265,MATCH(Q2758,I_COA!$A$6:$A$265,0)),"?"))))</f>
        <v/>
      </c>
    </row>
    <row r="2759" customFormat="false" ht="15" hidden="false" customHeight="false" outlineLevel="0" collapsed="false">
      <c r="A2759" s="37"/>
      <c r="B2759" s="44"/>
      <c r="C2759" s="44"/>
      <c r="D2759" s="44"/>
      <c r="E2759" s="44"/>
      <c r="F2759" s="44"/>
      <c r="G2759" s="42"/>
      <c r="H2759" s="42"/>
      <c r="I2759" s="44"/>
      <c r="J2759" s="11" t="str">
        <f aca="false">IF(D2759="","",N(G2759)-N(H2759))</f>
        <v/>
      </c>
      <c r="K2759" s="34" t="str">
        <f aca="false">IF(D2759="","",IFERROR(INDEX(I_COA!$C$6:$C$265,MATCH(D2759,I_COA!$A$6:$A$265,0)),"AKUN BARU"))</f>
        <v/>
      </c>
      <c r="L2759" s="34" t="str">
        <f aca="false">IF(K2759="LabaRugi",INDEX(I_COA!$D$6:$D$265,MATCH(D2759,I_COA!$A$6:$A$265,0)),"")</f>
        <v/>
      </c>
      <c r="M2759" s="34" t="str">
        <f aca="false">IF(K2759="Neraca",INDEX(I_COA!$E$6:$E$265,MATCH(D2759,I_COA!$A$6:$A$265,0)),"")</f>
        <v/>
      </c>
      <c r="N2759" s="34" t="str">
        <f aca="false">IF(D2759="","",IFERROR(INDEX(I_COA!$G$6:$G$265,MATCH(D2759,I_COA!$A$6:$A$265,0)),"N"))</f>
        <v/>
      </c>
      <c r="O2759" s="11" t="str">
        <f aca="false">IF(N2759="N",ABS(J2759),"")</f>
        <v/>
      </c>
      <c r="P2759" s="18" t="str">
        <f aca="false">IF(N2759="N",B2759&amp;"|"&amp;ROUND(O2759,0),"")</f>
        <v/>
      </c>
      <c r="Q2759" s="18" t="str">
        <f aca="false">IF(N2759&lt;&gt;"Y","",IFERROR(INDEX($D$6:$D$4005,MATCH(B2759&amp;"|"&amp;ROUND(_xlfn.MAXIFS($O$6:$O$4005,$B$6:$B$4005,B2759,$N$6:$N$4005,"N"),0),$P$6:$P$4005,0)),"(tanpa lawan)"))</f>
        <v/>
      </c>
      <c r="R2759" s="44"/>
      <c r="S2759" s="9" t="str">
        <f aca="false">IF(N2759&lt;&gt;"Y","",IF(R2759&lt;&gt;"",R2759,IF(Q2759="(tanpa lawan)","Transfer antar rekening",IFERROR(INDEX(I_COA!$F$6:$F$265,MATCH(Q2759,I_COA!$A$6:$A$265,0)),"?"))))</f>
        <v/>
      </c>
    </row>
    <row r="2760" customFormat="false" ht="15" hidden="false" customHeight="false" outlineLevel="0" collapsed="false">
      <c r="A2760" s="37"/>
      <c r="B2760" s="44"/>
      <c r="C2760" s="44"/>
      <c r="D2760" s="44"/>
      <c r="E2760" s="44"/>
      <c r="F2760" s="44"/>
      <c r="G2760" s="42"/>
      <c r="H2760" s="42"/>
      <c r="I2760" s="44"/>
      <c r="J2760" s="11" t="str">
        <f aca="false">IF(D2760="","",N(G2760)-N(H2760))</f>
        <v/>
      </c>
      <c r="K2760" s="34" t="str">
        <f aca="false">IF(D2760="","",IFERROR(INDEX(I_COA!$C$6:$C$265,MATCH(D2760,I_COA!$A$6:$A$265,0)),"AKUN BARU"))</f>
        <v/>
      </c>
      <c r="L2760" s="34" t="str">
        <f aca="false">IF(K2760="LabaRugi",INDEX(I_COA!$D$6:$D$265,MATCH(D2760,I_COA!$A$6:$A$265,0)),"")</f>
        <v/>
      </c>
      <c r="M2760" s="34" t="str">
        <f aca="false">IF(K2760="Neraca",INDEX(I_COA!$E$6:$E$265,MATCH(D2760,I_COA!$A$6:$A$265,0)),"")</f>
        <v/>
      </c>
      <c r="N2760" s="34" t="str">
        <f aca="false">IF(D2760="","",IFERROR(INDEX(I_COA!$G$6:$G$265,MATCH(D2760,I_COA!$A$6:$A$265,0)),"N"))</f>
        <v/>
      </c>
      <c r="O2760" s="11" t="str">
        <f aca="false">IF(N2760="N",ABS(J2760),"")</f>
        <v/>
      </c>
      <c r="P2760" s="18" t="str">
        <f aca="false">IF(N2760="N",B2760&amp;"|"&amp;ROUND(O2760,0),"")</f>
        <v/>
      </c>
      <c r="Q2760" s="18" t="str">
        <f aca="false">IF(N2760&lt;&gt;"Y","",IFERROR(INDEX($D$6:$D$4005,MATCH(B2760&amp;"|"&amp;ROUND(_xlfn.MAXIFS($O$6:$O$4005,$B$6:$B$4005,B2760,$N$6:$N$4005,"N"),0),$P$6:$P$4005,0)),"(tanpa lawan)"))</f>
        <v/>
      </c>
      <c r="R2760" s="44"/>
      <c r="S2760" s="9" t="str">
        <f aca="false">IF(N2760&lt;&gt;"Y","",IF(R2760&lt;&gt;"",R2760,IF(Q2760="(tanpa lawan)","Transfer antar rekening",IFERROR(INDEX(I_COA!$F$6:$F$265,MATCH(Q2760,I_COA!$A$6:$A$265,0)),"?"))))</f>
        <v/>
      </c>
    </row>
    <row r="2761" customFormat="false" ht="15" hidden="false" customHeight="false" outlineLevel="0" collapsed="false">
      <c r="A2761" s="37"/>
      <c r="B2761" s="44"/>
      <c r="C2761" s="44"/>
      <c r="D2761" s="44"/>
      <c r="E2761" s="44"/>
      <c r="F2761" s="44"/>
      <c r="G2761" s="42"/>
      <c r="H2761" s="42"/>
      <c r="I2761" s="44"/>
      <c r="J2761" s="11" t="str">
        <f aca="false">IF(D2761="","",N(G2761)-N(H2761))</f>
        <v/>
      </c>
      <c r="K2761" s="34" t="str">
        <f aca="false">IF(D2761="","",IFERROR(INDEX(I_COA!$C$6:$C$265,MATCH(D2761,I_COA!$A$6:$A$265,0)),"AKUN BARU"))</f>
        <v/>
      </c>
      <c r="L2761" s="34" t="str">
        <f aca="false">IF(K2761="LabaRugi",INDEX(I_COA!$D$6:$D$265,MATCH(D2761,I_COA!$A$6:$A$265,0)),"")</f>
        <v/>
      </c>
      <c r="M2761" s="34" t="str">
        <f aca="false">IF(K2761="Neraca",INDEX(I_COA!$E$6:$E$265,MATCH(D2761,I_COA!$A$6:$A$265,0)),"")</f>
        <v/>
      </c>
      <c r="N2761" s="34" t="str">
        <f aca="false">IF(D2761="","",IFERROR(INDEX(I_COA!$G$6:$G$265,MATCH(D2761,I_COA!$A$6:$A$265,0)),"N"))</f>
        <v/>
      </c>
      <c r="O2761" s="11" t="str">
        <f aca="false">IF(N2761="N",ABS(J2761),"")</f>
        <v/>
      </c>
      <c r="P2761" s="18" t="str">
        <f aca="false">IF(N2761="N",B2761&amp;"|"&amp;ROUND(O2761,0),"")</f>
        <v/>
      </c>
      <c r="Q2761" s="18" t="str">
        <f aca="false">IF(N2761&lt;&gt;"Y","",IFERROR(INDEX($D$6:$D$4005,MATCH(B2761&amp;"|"&amp;ROUND(_xlfn.MAXIFS($O$6:$O$4005,$B$6:$B$4005,B2761,$N$6:$N$4005,"N"),0),$P$6:$P$4005,0)),"(tanpa lawan)"))</f>
        <v/>
      </c>
      <c r="R2761" s="44"/>
      <c r="S2761" s="9" t="str">
        <f aca="false">IF(N2761&lt;&gt;"Y","",IF(R2761&lt;&gt;"",R2761,IF(Q2761="(tanpa lawan)","Transfer antar rekening",IFERROR(INDEX(I_COA!$F$6:$F$265,MATCH(Q2761,I_COA!$A$6:$A$265,0)),"?"))))</f>
        <v/>
      </c>
    </row>
    <row r="2762" customFormat="false" ht="15" hidden="false" customHeight="false" outlineLevel="0" collapsed="false">
      <c r="A2762" s="37"/>
      <c r="B2762" s="44"/>
      <c r="C2762" s="44"/>
      <c r="D2762" s="44"/>
      <c r="E2762" s="44"/>
      <c r="F2762" s="44"/>
      <c r="G2762" s="42"/>
      <c r="H2762" s="42"/>
      <c r="I2762" s="44"/>
      <c r="J2762" s="11" t="str">
        <f aca="false">IF(D2762="","",N(G2762)-N(H2762))</f>
        <v/>
      </c>
      <c r="K2762" s="34" t="str">
        <f aca="false">IF(D2762="","",IFERROR(INDEX(I_COA!$C$6:$C$265,MATCH(D2762,I_COA!$A$6:$A$265,0)),"AKUN BARU"))</f>
        <v/>
      </c>
      <c r="L2762" s="34" t="str">
        <f aca="false">IF(K2762="LabaRugi",INDEX(I_COA!$D$6:$D$265,MATCH(D2762,I_COA!$A$6:$A$265,0)),"")</f>
        <v/>
      </c>
      <c r="M2762" s="34" t="str">
        <f aca="false">IF(K2762="Neraca",INDEX(I_COA!$E$6:$E$265,MATCH(D2762,I_COA!$A$6:$A$265,0)),"")</f>
        <v/>
      </c>
      <c r="N2762" s="34" t="str">
        <f aca="false">IF(D2762="","",IFERROR(INDEX(I_COA!$G$6:$G$265,MATCH(D2762,I_COA!$A$6:$A$265,0)),"N"))</f>
        <v/>
      </c>
      <c r="O2762" s="11" t="str">
        <f aca="false">IF(N2762="N",ABS(J2762),"")</f>
        <v/>
      </c>
      <c r="P2762" s="18" t="str">
        <f aca="false">IF(N2762="N",B2762&amp;"|"&amp;ROUND(O2762,0),"")</f>
        <v/>
      </c>
      <c r="Q2762" s="18" t="str">
        <f aca="false">IF(N2762&lt;&gt;"Y","",IFERROR(INDEX($D$6:$D$4005,MATCH(B2762&amp;"|"&amp;ROUND(_xlfn.MAXIFS($O$6:$O$4005,$B$6:$B$4005,B2762,$N$6:$N$4005,"N"),0),$P$6:$P$4005,0)),"(tanpa lawan)"))</f>
        <v/>
      </c>
      <c r="R2762" s="44"/>
      <c r="S2762" s="9" t="str">
        <f aca="false">IF(N2762&lt;&gt;"Y","",IF(R2762&lt;&gt;"",R2762,IF(Q2762="(tanpa lawan)","Transfer antar rekening",IFERROR(INDEX(I_COA!$F$6:$F$265,MATCH(Q2762,I_COA!$A$6:$A$265,0)),"?"))))</f>
        <v/>
      </c>
    </row>
    <row r="2763" customFormat="false" ht="15" hidden="false" customHeight="false" outlineLevel="0" collapsed="false">
      <c r="A2763" s="37"/>
      <c r="B2763" s="44"/>
      <c r="C2763" s="44"/>
      <c r="D2763" s="44"/>
      <c r="E2763" s="44"/>
      <c r="F2763" s="44"/>
      <c r="G2763" s="42"/>
      <c r="H2763" s="42"/>
      <c r="I2763" s="44"/>
      <c r="J2763" s="11" t="str">
        <f aca="false">IF(D2763="","",N(G2763)-N(H2763))</f>
        <v/>
      </c>
      <c r="K2763" s="34" t="str">
        <f aca="false">IF(D2763="","",IFERROR(INDEX(I_COA!$C$6:$C$265,MATCH(D2763,I_COA!$A$6:$A$265,0)),"AKUN BARU"))</f>
        <v/>
      </c>
      <c r="L2763" s="34" t="str">
        <f aca="false">IF(K2763="LabaRugi",INDEX(I_COA!$D$6:$D$265,MATCH(D2763,I_COA!$A$6:$A$265,0)),"")</f>
        <v/>
      </c>
      <c r="M2763" s="34" t="str">
        <f aca="false">IF(K2763="Neraca",INDEX(I_COA!$E$6:$E$265,MATCH(D2763,I_COA!$A$6:$A$265,0)),"")</f>
        <v/>
      </c>
      <c r="N2763" s="34" t="str">
        <f aca="false">IF(D2763="","",IFERROR(INDEX(I_COA!$G$6:$G$265,MATCH(D2763,I_COA!$A$6:$A$265,0)),"N"))</f>
        <v/>
      </c>
      <c r="O2763" s="11" t="str">
        <f aca="false">IF(N2763="N",ABS(J2763),"")</f>
        <v/>
      </c>
      <c r="P2763" s="18" t="str">
        <f aca="false">IF(N2763="N",B2763&amp;"|"&amp;ROUND(O2763,0),"")</f>
        <v/>
      </c>
      <c r="Q2763" s="18" t="str">
        <f aca="false">IF(N2763&lt;&gt;"Y","",IFERROR(INDEX($D$6:$D$4005,MATCH(B2763&amp;"|"&amp;ROUND(_xlfn.MAXIFS($O$6:$O$4005,$B$6:$B$4005,B2763,$N$6:$N$4005,"N"),0),$P$6:$P$4005,0)),"(tanpa lawan)"))</f>
        <v/>
      </c>
      <c r="R2763" s="44"/>
      <c r="S2763" s="9" t="str">
        <f aca="false">IF(N2763&lt;&gt;"Y","",IF(R2763&lt;&gt;"",R2763,IF(Q2763="(tanpa lawan)","Transfer antar rekening",IFERROR(INDEX(I_COA!$F$6:$F$265,MATCH(Q2763,I_COA!$A$6:$A$265,0)),"?"))))</f>
        <v/>
      </c>
    </row>
    <row r="2764" customFormat="false" ht="15" hidden="false" customHeight="false" outlineLevel="0" collapsed="false">
      <c r="A2764" s="37"/>
      <c r="B2764" s="44"/>
      <c r="C2764" s="44"/>
      <c r="D2764" s="44"/>
      <c r="E2764" s="44"/>
      <c r="F2764" s="44"/>
      <c r="G2764" s="42"/>
      <c r="H2764" s="42"/>
      <c r="I2764" s="44"/>
      <c r="J2764" s="11" t="str">
        <f aca="false">IF(D2764="","",N(G2764)-N(H2764))</f>
        <v/>
      </c>
      <c r="K2764" s="34" t="str">
        <f aca="false">IF(D2764="","",IFERROR(INDEX(I_COA!$C$6:$C$265,MATCH(D2764,I_COA!$A$6:$A$265,0)),"AKUN BARU"))</f>
        <v/>
      </c>
      <c r="L2764" s="34" t="str">
        <f aca="false">IF(K2764="LabaRugi",INDEX(I_COA!$D$6:$D$265,MATCH(D2764,I_COA!$A$6:$A$265,0)),"")</f>
        <v/>
      </c>
      <c r="M2764" s="34" t="str">
        <f aca="false">IF(K2764="Neraca",INDEX(I_COA!$E$6:$E$265,MATCH(D2764,I_COA!$A$6:$A$265,0)),"")</f>
        <v/>
      </c>
      <c r="N2764" s="34" t="str">
        <f aca="false">IF(D2764="","",IFERROR(INDEX(I_COA!$G$6:$G$265,MATCH(D2764,I_COA!$A$6:$A$265,0)),"N"))</f>
        <v/>
      </c>
      <c r="O2764" s="11" t="str">
        <f aca="false">IF(N2764="N",ABS(J2764),"")</f>
        <v/>
      </c>
      <c r="P2764" s="18" t="str">
        <f aca="false">IF(N2764="N",B2764&amp;"|"&amp;ROUND(O2764,0),"")</f>
        <v/>
      </c>
      <c r="Q2764" s="18" t="str">
        <f aca="false">IF(N2764&lt;&gt;"Y","",IFERROR(INDEX($D$6:$D$4005,MATCH(B2764&amp;"|"&amp;ROUND(_xlfn.MAXIFS($O$6:$O$4005,$B$6:$B$4005,B2764,$N$6:$N$4005,"N"),0),$P$6:$P$4005,0)),"(tanpa lawan)"))</f>
        <v/>
      </c>
      <c r="R2764" s="44"/>
      <c r="S2764" s="9" t="str">
        <f aca="false">IF(N2764&lt;&gt;"Y","",IF(R2764&lt;&gt;"",R2764,IF(Q2764="(tanpa lawan)","Transfer antar rekening",IFERROR(INDEX(I_COA!$F$6:$F$265,MATCH(Q2764,I_COA!$A$6:$A$265,0)),"?"))))</f>
        <v/>
      </c>
    </row>
    <row r="2765" customFormat="false" ht="15" hidden="false" customHeight="false" outlineLevel="0" collapsed="false">
      <c r="A2765" s="37"/>
      <c r="B2765" s="44"/>
      <c r="C2765" s="44"/>
      <c r="D2765" s="44"/>
      <c r="E2765" s="44"/>
      <c r="F2765" s="44"/>
      <c r="G2765" s="42"/>
      <c r="H2765" s="42"/>
      <c r="I2765" s="44"/>
      <c r="J2765" s="11" t="str">
        <f aca="false">IF(D2765="","",N(G2765)-N(H2765))</f>
        <v/>
      </c>
      <c r="K2765" s="34" t="str">
        <f aca="false">IF(D2765="","",IFERROR(INDEX(I_COA!$C$6:$C$265,MATCH(D2765,I_COA!$A$6:$A$265,0)),"AKUN BARU"))</f>
        <v/>
      </c>
      <c r="L2765" s="34" t="str">
        <f aca="false">IF(K2765="LabaRugi",INDEX(I_COA!$D$6:$D$265,MATCH(D2765,I_COA!$A$6:$A$265,0)),"")</f>
        <v/>
      </c>
      <c r="M2765" s="34" t="str">
        <f aca="false">IF(K2765="Neraca",INDEX(I_COA!$E$6:$E$265,MATCH(D2765,I_COA!$A$6:$A$265,0)),"")</f>
        <v/>
      </c>
      <c r="N2765" s="34" t="str">
        <f aca="false">IF(D2765="","",IFERROR(INDEX(I_COA!$G$6:$G$265,MATCH(D2765,I_COA!$A$6:$A$265,0)),"N"))</f>
        <v/>
      </c>
      <c r="O2765" s="11" t="str">
        <f aca="false">IF(N2765="N",ABS(J2765),"")</f>
        <v/>
      </c>
      <c r="P2765" s="18" t="str">
        <f aca="false">IF(N2765="N",B2765&amp;"|"&amp;ROUND(O2765,0),"")</f>
        <v/>
      </c>
      <c r="Q2765" s="18" t="str">
        <f aca="false">IF(N2765&lt;&gt;"Y","",IFERROR(INDEX($D$6:$D$4005,MATCH(B2765&amp;"|"&amp;ROUND(_xlfn.MAXIFS($O$6:$O$4005,$B$6:$B$4005,B2765,$N$6:$N$4005,"N"),0),$P$6:$P$4005,0)),"(tanpa lawan)"))</f>
        <v/>
      </c>
      <c r="R2765" s="44"/>
      <c r="S2765" s="9" t="str">
        <f aca="false">IF(N2765&lt;&gt;"Y","",IF(R2765&lt;&gt;"",R2765,IF(Q2765="(tanpa lawan)","Transfer antar rekening",IFERROR(INDEX(I_COA!$F$6:$F$265,MATCH(Q2765,I_COA!$A$6:$A$265,0)),"?"))))</f>
        <v/>
      </c>
    </row>
    <row r="2766" customFormat="false" ht="15" hidden="false" customHeight="false" outlineLevel="0" collapsed="false">
      <c r="A2766" s="37"/>
      <c r="B2766" s="44"/>
      <c r="C2766" s="44"/>
      <c r="D2766" s="44"/>
      <c r="E2766" s="44"/>
      <c r="F2766" s="44"/>
      <c r="G2766" s="42"/>
      <c r="H2766" s="42"/>
      <c r="I2766" s="44"/>
      <c r="J2766" s="11" t="str">
        <f aca="false">IF(D2766="","",N(G2766)-N(H2766))</f>
        <v/>
      </c>
      <c r="K2766" s="34" t="str">
        <f aca="false">IF(D2766="","",IFERROR(INDEX(I_COA!$C$6:$C$265,MATCH(D2766,I_COA!$A$6:$A$265,0)),"AKUN BARU"))</f>
        <v/>
      </c>
      <c r="L2766" s="34" t="str">
        <f aca="false">IF(K2766="LabaRugi",INDEX(I_COA!$D$6:$D$265,MATCH(D2766,I_COA!$A$6:$A$265,0)),"")</f>
        <v/>
      </c>
      <c r="M2766" s="34" t="str">
        <f aca="false">IF(K2766="Neraca",INDEX(I_COA!$E$6:$E$265,MATCH(D2766,I_COA!$A$6:$A$265,0)),"")</f>
        <v/>
      </c>
      <c r="N2766" s="34" t="str">
        <f aca="false">IF(D2766="","",IFERROR(INDEX(I_COA!$G$6:$G$265,MATCH(D2766,I_COA!$A$6:$A$265,0)),"N"))</f>
        <v/>
      </c>
      <c r="O2766" s="11" t="str">
        <f aca="false">IF(N2766="N",ABS(J2766),"")</f>
        <v/>
      </c>
      <c r="P2766" s="18" t="str">
        <f aca="false">IF(N2766="N",B2766&amp;"|"&amp;ROUND(O2766,0),"")</f>
        <v/>
      </c>
      <c r="Q2766" s="18" t="str">
        <f aca="false">IF(N2766&lt;&gt;"Y","",IFERROR(INDEX($D$6:$D$4005,MATCH(B2766&amp;"|"&amp;ROUND(_xlfn.MAXIFS($O$6:$O$4005,$B$6:$B$4005,B2766,$N$6:$N$4005,"N"),0),$P$6:$P$4005,0)),"(tanpa lawan)"))</f>
        <v/>
      </c>
      <c r="R2766" s="44"/>
      <c r="S2766" s="9" t="str">
        <f aca="false">IF(N2766&lt;&gt;"Y","",IF(R2766&lt;&gt;"",R2766,IF(Q2766="(tanpa lawan)","Transfer antar rekening",IFERROR(INDEX(I_COA!$F$6:$F$265,MATCH(Q2766,I_COA!$A$6:$A$265,0)),"?"))))</f>
        <v/>
      </c>
    </row>
    <row r="2767" customFormat="false" ht="15" hidden="false" customHeight="false" outlineLevel="0" collapsed="false">
      <c r="A2767" s="37"/>
      <c r="B2767" s="44"/>
      <c r="C2767" s="44"/>
      <c r="D2767" s="44"/>
      <c r="E2767" s="44"/>
      <c r="F2767" s="44"/>
      <c r="G2767" s="42"/>
      <c r="H2767" s="42"/>
      <c r="I2767" s="44"/>
      <c r="J2767" s="11" t="str">
        <f aca="false">IF(D2767="","",N(G2767)-N(H2767))</f>
        <v/>
      </c>
      <c r="K2767" s="34" t="str">
        <f aca="false">IF(D2767="","",IFERROR(INDEX(I_COA!$C$6:$C$265,MATCH(D2767,I_COA!$A$6:$A$265,0)),"AKUN BARU"))</f>
        <v/>
      </c>
      <c r="L2767" s="34" t="str">
        <f aca="false">IF(K2767="LabaRugi",INDEX(I_COA!$D$6:$D$265,MATCH(D2767,I_COA!$A$6:$A$265,0)),"")</f>
        <v/>
      </c>
      <c r="M2767" s="34" t="str">
        <f aca="false">IF(K2767="Neraca",INDEX(I_COA!$E$6:$E$265,MATCH(D2767,I_COA!$A$6:$A$265,0)),"")</f>
        <v/>
      </c>
      <c r="N2767" s="34" t="str">
        <f aca="false">IF(D2767="","",IFERROR(INDEX(I_COA!$G$6:$G$265,MATCH(D2767,I_COA!$A$6:$A$265,0)),"N"))</f>
        <v/>
      </c>
      <c r="O2767" s="11" t="str">
        <f aca="false">IF(N2767="N",ABS(J2767),"")</f>
        <v/>
      </c>
      <c r="P2767" s="18" t="str">
        <f aca="false">IF(N2767="N",B2767&amp;"|"&amp;ROUND(O2767,0),"")</f>
        <v/>
      </c>
      <c r="Q2767" s="18" t="str">
        <f aca="false">IF(N2767&lt;&gt;"Y","",IFERROR(INDEX($D$6:$D$4005,MATCH(B2767&amp;"|"&amp;ROUND(_xlfn.MAXIFS($O$6:$O$4005,$B$6:$B$4005,B2767,$N$6:$N$4005,"N"),0),$P$6:$P$4005,0)),"(tanpa lawan)"))</f>
        <v/>
      </c>
      <c r="R2767" s="44"/>
      <c r="S2767" s="9" t="str">
        <f aca="false">IF(N2767&lt;&gt;"Y","",IF(R2767&lt;&gt;"",R2767,IF(Q2767="(tanpa lawan)","Transfer antar rekening",IFERROR(INDEX(I_COA!$F$6:$F$265,MATCH(Q2767,I_COA!$A$6:$A$265,0)),"?"))))</f>
        <v/>
      </c>
    </row>
    <row r="2768" customFormat="false" ht="15" hidden="false" customHeight="false" outlineLevel="0" collapsed="false">
      <c r="A2768" s="37"/>
      <c r="B2768" s="44"/>
      <c r="C2768" s="44"/>
      <c r="D2768" s="44"/>
      <c r="E2768" s="44"/>
      <c r="F2768" s="44"/>
      <c r="G2768" s="42"/>
      <c r="H2768" s="42"/>
      <c r="I2768" s="44"/>
      <c r="J2768" s="11" t="str">
        <f aca="false">IF(D2768="","",N(G2768)-N(H2768))</f>
        <v/>
      </c>
      <c r="K2768" s="34" t="str">
        <f aca="false">IF(D2768="","",IFERROR(INDEX(I_COA!$C$6:$C$265,MATCH(D2768,I_COA!$A$6:$A$265,0)),"AKUN BARU"))</f>
        <v/>
      </c>
      <c r="L2768" s="34" t="str">
        <f aca="false">IF(K2768="LabaRugi",INDEX(I_COA!$D$6:$D$265,MATCH(D2768,I_COA!$A$6:$A$265,0)),"")</f>
        <v/>
      </c>
      <c r="M2768" s="34" t="str">
        <f aca="false">IF(K2768="Neraca",INDEX(I_COA!$E$6:$E$265,MATCH(D2768,I_COA!$A$6:$A$265,0)),"")</f>
        <v/>
      </c>
      <c r="N2768" s="34" t="str">
        <f aca="false">IF(D2768="","",IFERROR(INDEX(I_COA!$G$6:$G$265,MATCH(D2768,I_COA!$A$6:$A$265,0)),"N"))</f>
        <v/>
      </c>
      <c r="O2768" s="11" t="str">
        <f aca="false">IF(N2768="N",ABS(J2768),"")</f>
        <v/>
      </c>
      <c r="P2768" s="18" t="str">
        <f aca="false">IF(N2768="N",B2768&amp;"|"&amp;ROUND(O2768,0),"")</f>
        <v/>
      </c>
      <c r="Q2768" s="18" t="str">
        <f aca="false">IF(N2768&lt;&gt;"Y","",IFERROR(INDEX($D$6:$D$4005,MATCH(B2768&amp;"|"&amp;ROUND(_xlfn.MAXIFS($O$6:$O$4005,$B$6:$B$4005,B2768,$N$6:$N$4005,"N"),0),$P$6:$P$4005,0)),"(tanpa lawan)"))</f>
        <v/>
      </c>
      <c r="R2768" s="44"/>
      <c r="S2768" s="9" t="str">
        <f aca="false">IF(N2768&lt;&gt;"Y","",IF(R2768&lt;&gt;"",R2768,IF(Q2768="(tanpa lawan)","Transfer antar rekening",IFERROR(INDEX(I_COA!$F$6:$F$265,MATCH(Q2768,I_COA!$A$6:$A$265,0)),"?"))))</f>
        <v/>
      </c>
    </row>
    <row r="2769" customFormat="false" ht="15" hidden="false" customHeight="false" outlineLevel="0" collapsed="false">
      <c r="A2769" s="37"/>
      <c r="B2769" s="44"/>
      <c r="C2769" s="44"/>
      <c r="D2769" s="44"/>
      <c r="E2769" s="44"/>
      <c r="F2769" s="44"/>
      <c r="G2769" s="42"/>
      <c r="H2769" s="42"/>
      <c r="I2769" s="44"/>
      <c r="J2769" s="11" t="str">
        <f aca="false">IF(D2769="","",N(G2769)-N(H2769))</f>
        <v/>
      </c>
      <c r="K2769" s="34" t="str">
        <f aca="false">IF(D2769="","",IFERROR(INDEX(I_COA!$C$6:$C$265,MATCH(D2769,I_COA!$A$6:$A$265,0)),"AKUN BARU"))</f>
        <v/>
      </c>
      <c r="L2769" s="34" t="str">
        <f aca="false">IF(K2769="LabaRugi",INDEX(I_COA!$D$6:$D$265,MATCH(D2769,I_COA!$A$6:$A$265,0)),"")</f>
        <v/>
      </c>
      <c r="M2769" s="34" t="str">
        <f aca="false">IF(K2769="Neraca",INDEX(I_COA!$E$6:$E$265,MATCH(D2769,I_COA!$A$6:$A$265,0)),"")</f>
        <v/>
      </c>
      <c r="N2769" s="34" t="str">
        <f aca="false">IF(D2769="","",IFERROR(INDEX(I_COA!$G$6:$G$265,MATCH(D2769,I_COA!$A$6:$A$265,0)),"N"))</f>
        <v/>
      </c>
      <c r="O2769" s="11" t="str">
        <f aca="false">IF(N2769="N",ABS(J2769),"")</f>
        <v/>
      </c>
      <c r="P2769" s="18" t="str">
        <f aca="false">IF(N2769="N",B2769&amp;"|"&amp;ROUND(O2769,0),"")</f>
        <v/>
      </c>
      <c r="Q2769" s="18" t="str">
        <f aca="false">IF(N2769&lt;&gt;"Y","",IFERROR(INDEX($D$6:$D$4005,MATCH(B2769&amp;"|"&amp;ROUND(_xlfn.MAXIFS($O$6:$O$4005,$B$6:$B$4005,B2769,$N$6:$N$4005,"N"),0),$P$6:$P$4005,0)),"(tanpa lawan)"))</f>
        <v/>
      </c>
      <c r="R2769" s="44"/>
      <c r="S2769" s="9" t="str">
        <f aca="false">IF(N2769&lt;&gt;"Y","",IF(R2769&lt;&gt;"",R2769,IF(Q2769="(tanpa lawan)","Transfer antar rekening",IFERROR(INDEX(I_COA!$F$6:$F$265,MATCH(Q2769,I_COA!$A$6:$A$265,0)),"?"))))</f>
        <v/>
      </c>
    </row>
    <row r="2770" customFormat="false" ht="15" hidden="false" customHeight="false" outlineLevel="0" collapsed="false">
      <c r="A2770" s="37"/>
      <c r="B2770" s="44"/>
      <c r="C2770" s="44"/>
      <c r="D2770" s="44"/>
      <c r="E2770" s="44"/>
      <c r="F2770" s="44"/>
      <c r="G2770" s="42"/>
      <c r="H2770" s="42"/>
      <c r="I2770" s="44"/>
      <c r="J2770" s="11" t="str">
        <f aca="false">IF(D2770="","",N(G2770)-N(H2770))</f>
        <v/>
      </c>
      <c r="K2770" s="34" t="str">
        <f aca="false">IF(D2770="","",IFERROR(INDEX(I_COA!$C$6:$C$265,MATCH(D2770,I_COA!$A$6:$A$265,0)),"AKUN BARU"))</f>
        <v/>
      </c>
      <c r="L2770" s="34" t="str">
        <f aca="false">IF(K2770="LabaRugi",INDEX(I_COA!$D$6:$D$265,MATCH(D2770,I_COA!$A$6:$A$265,0)),"")</f>
        <v/>
      </c>
      <c r="M2770" s="34" t="str">
        <f aca="false">IF(K2770="Neraca",INDEX(I_COA!$E$6:$E$265,MATCH(D2770,I_COA!$A$6:$A$265,0)),"")</f>
        <v/>
      </c>
      <c r="N2770" s="34" t="str">
        <f aca="false">IF(D2770="","",IFERROR(INDEX(I_COA!$G$6:$G$265,MATCH(D2770,I_COA!$A$6:$A$265,0)),"N"))</f>
        <v/>
      </c>
      <c r="O2770" s="11" t="str">
        <f aca="false">IF(N2770="N",ABS(J2770),"")</f>
        <v/>
      </c>
      <c r="P2770" s="18" t="str">
        <f aca="false">IF(N2770="N",B2770&amp;"|"&amp;ROUND(O2770,0),"")</f>
        <v/>
      </c>
      <c r="Q2770" s="18" t="str">
        <f aca="false">IF(N2770&lt;&gt;"Y","",IFERROR(INDEX($D$6:$D$4005,MATCH(B2770&amp;"|"&amp;ROUND(_xlfn.MAXIFS($O$6:$O$4005,$B$6:$B$4005,B2770,$N$6:$N$4005,"N"),0),$P$6:$P$4005,0)),"(tanpa lawan)"))</f>
        <v/>
      </c>
      <c r="R2770" s="44"/>
      <c r="S2770" s="9" t="str">
        <f aca="false">IF(N2770&lt;&gt;"Y","",IF(R2770&lt;&gt;"",R2770,IF(Q2770="(tanpa lawan)","Transfer antar rekening",IFERROR(INDEX(I_COA!$F$6:$F$265,MATCH(Q2770,I_COA!$A$6:$A$265,0)),"?"))))</f>
        <v/>
      </c>
    </row>
    <row r="2771" customFormat="false" ht="15" hidden="false" customHeight="false" outlineLevel="0" collapsed="false">
      <c r="A2771" s="37"/>
      <c r="B2771" s="44"/>
      <c r="C2771" s="44"/>
      <c r="D2771" s="44"/>
      <c r="E2771" s="44"/>
      <c r="F2771" s="44"/>
      <c r="G2771" s="42"/>
      <c r="H2771" s="42"/>
      <c r="I2771" s="44"/>
      <c r="J2771" s="11" t="str">
        <f aca="false">IF(D2771="","",N(G2771)-N(H2771))</f>
        <v/>
      </c>
      <c r="K2771" s="34" t="str">
        <f aca="false">IF(D2771="","",IFERROR(INDEX(I_COA!$C$6:$C$265,MATCH(D2771,I_COA!$A$6:$A$265,0)),"AKUN BARU"))</f>
        <v/>
      </c>
      <c r="L2771" s="34" t="str">
        <f aca="false">IF(K2771="LabaRugi",INDEX(I_COA!$D$6:$D$265,MATCH(D2771,I_COA!$A$6:$A$265,0)),"")</f>
        <v/>
      </c>
      <c r="M2771" s="34" t="str">
        <f aca="false">IF(K2771="Neraca",INDEX(I_COA!$E$6:$E$265,MATCH(D2771,I_COA!$A$6:$A$265,0)),"")</f>
        <v/>
      </c>
      <c r="N2771" s="34" t="str">
        <f aca="false">IF(D2771="","",IFERROR(INDEX(I_COA!$G$6:$G$265,MATCH(D2771,I_COA!$A$6:$A$265,0)),"N"))</f>
        <v/>
      </c>
      <c r="O2771" s="11" t="str">
        <f aca="false">IF(N2771="N",ABS(J2771),"")</f>
        <v/>
      </c>
      <c r="P2771" s="18" t="str">
        <f aca="false">IF(N2771="N",B2771&amp;"|"&amp;ROUND(O2771,0),"")</f>
        <v/>
      </c>
      <c r="Q2771" s="18" t="str">
        <f aca="false">IF(N2771&lt;&gt;"Y","",IFERROR(INDEX($D$6:$D$4005,MATCH(B2771&amp;"|"&amp;ROUND(_xlfn.MAXIFS($O$6:$O$4005,$B$6:$B$4005,B2771,$N$6:$N$4005,"N"),0),$P$6:$P$4005,0)),"(tanpa lawan)"))</f>
        <v/>
      </c>
      <c r="R2771" s="44"/>
      <c r="S2771" s="9" t="str">
        <f aca="false">IF(N2771&lt;&gt;"Y","",IF(R2771&lt;&gt;"",R2771,IF(Q2771="(tanpa lawan)","Transfer antar rekening",IFERROR(INDEX(I_COA!$F$6:$F$265,MATCH(Q2771,I_COA!$A$6:$A$265,0)),"?"))))</f>
        <v/>
      </c>
    </row>
    <row r="2772" customFormat="false" ht="15" hidden="false" customHeight="false" outlineLevel="0" collapsed="false">
      <c r="A2772" s="37"/>
      <c r="B2772" s="44"/>
      <c r="C2772" s="44"/>
      <c r="D2772" s="44"/>
      <c r="E2772" s="44"/>
      <c r="F2772" s="44"/>
      <c r="G2772" s="42"/>
      <c r="H2772" s="42"/>
      <c r="I2772" s="44"/>
      <c r="J2772" s="11" t="str">
        <f aca="false">IF(D2772="","",N(G2772)-N(H2772))</f>
        <v/>
      </c>
      <c r="K2772" s="34" t="str">
        <f aca="false">IF(D2772="","",IFERROR(INDEX(I_COA!$C$6:$C$265,MATCH(D2772,I_COA!$A$6:$A$265,0)),"AKUN BARU"))</f>
        <v/>
      </c>
      <c r="L2772" s="34" t="str">
        <f aca="false">IF(K2772="LabaRugi",INDEX(I_COA!$D$6:$D$265,MATCH(D2772,I_COA!$A$6:$A$265,0)),"")</f>
        <v/>
      </c>
      <c r="M2772" s="34" t="str">
        <f aca="false">IF(K2772="Neraca",INDEX(I_COA!$E$6:$E$265,MATCH(D2772,I_COA!$A$6:$A$265,0)),"")</f>
        <v/>
      </c>
      <c r="N2772" s="34" t="str">
        <f aca="false">IF(D2772="","",IFERROR(INDEX(I_COA!$G$6:$G$265,MATCH(D2772,I_COA!$A$6:$A$265,0)),"N"))</f>
        <v/>
      </c>
      <c r="O2772" s="11" t="str">
        <f aca="false">IF(N2772="N",ABS(J2772),"")</f>
        <v/>
      </c>
      <c r="P2772" s="18" t="str">
        <f aca="false">IF(N2772="N",B2772&amp;"|"&amp;ROUND(O2772,0),"")</f>
        <v/>
      </c>
      <c r="Q2772" s="18" t="str">
        <f aca="false">IF(N2772&lt;&gt;"Y","",IFERROR(INDEX($D$6:$D$4005,MATCH(B2772&amp;"|"&amp;ROUND(_xlfn.MAXIFS($O$6:$O$4005,$B$6:$B$4005,B2772,$N$6:$N$4005,"N"),0),$P$6:$P$4005,0)),"(tanpa lawan)"))</f>
        <v/>
      </c>
      <c r="R2772" s="44"/>
      <c r="S2772" s="9" t="str">
        <f aca="false">IF(N2772&lt;&gt;"Y","",IF(R2772&lt;&gt;"",R2772,IF(Q2772="(tanpa lawan)","Transfer antar rekening",IFERROR(INDEX(I_COA!$F$6:$F$265,MATCH(Q2772,I_COA!$A$6:$A$265,0)),"?"))))</f>
        <v/>
      </c>
    </row>
    <row r="2773" customFormat="false" ht="15" hidden="false" customHeight="false" outlineLevel="0" collapsed="false">
      <c r="A2773" s="37"/>
      <c r="B2773" s="44"/>
      <c r="C2773" s="44"/>
      <c r="D2773" s="44"/>
      <c r="E2773" s="44"/>
      <c r="F2773" s="44"/>
      <c r="G2773" s="42"/>
      <c r="H2773" s="42"/>
      <c r="I2773" s="44"/>
      <c r="J2773" s="11" t="str">
        <f aca="false">IF(D2773="","",N(G2773)-N(H2773))</f>
        <v/>
      </c>
      <c r="K2773" s="34" t="str">
        <f aca="false">IF(D2773="","",IFERROR(INDEX(I_COA!$C$6:$C$265,MATCH(D2773,I_COA!$A$6:$A$265,0)),"AKUN BARU"))</f>
        <v/>
      </c>
      <c r="L2773" s="34" t="str">
        <f aca="false">IF(K2773="LabaRugi",INDEX(I_COA!$D$6:$D$265,MATCH(D2773,I_COA!$A$6:$A$265,0)),"")</f>
        <v/>
      </c>
      <c r="M2773" s="34" t="str">
        <f aca="false">IF(K2773="Neraca",INDEX(I_COA!$E$6:$E$265,MATCH(D2773,I_COA!$A$6:$A$265,0)),"")</f>
        <v/>
      </c>
      <c r="N2773" s="34" t="str">
        <f aca="false">IF(D2773="","",IFERROR(INDEX(I_COA!$G$6:$G$265,MATCH(D2773,I_COA!$A$6:$A$265,0)),"N"))</f>
        <v/>
      </c>
      <c r="O2773" s="11" t="str">
        <f aca="false">IF(N2773="N",ABS(J2773),"")</f>
        <v/>
      </c>
      <c r="P2773" s="18" t="str">
        <f aca="false">IF(N2773="N",B2773&amp;"|"&amp;ROUND(O2773,0),"")</f>
        <v/>
      </c>
      <c r="Q2773" s="18" t="str">
        <f aca="false">IF(N2773&lt;&gt;"Y","",IFERROR(INDEX($D$6:$D$4005,MATCH(B2773&amp;"|"&amp;ROUND(_xlfn.MAXIFS($O$6:$O$4005,$B$6:$B$4005,B2773,$N$6:$N$4005,"N"),0),$P$6:$P$4005,0)),"(tanpa lawan)"))</f>
        <v/>
      </c>
      <c r="R2773" s="44"/>
      <c r="S2773" s="9" t="str">
        <f aca="false">IF(N2773&lt;&gt;"Y","",IF(R2773&lt;&gt;"",R2773,IF(Q2773="(tanpa lawan)","Transfer antar rekening",IFERROR(INDEX(I_COA!$F$6:$F$265,MATCH(Q2773,I_COA!$A$6:$A$265,0)),"?"))))</f>
        <v/>
      </c>
    </row>
    <row r="2774" customFormat="false" ht="15" hidden="false" customHeight="false" outlineLevel="0" collapsed="false">
      <c r="A2774" s="37"/>
      <c r="B2774" s="44"/>
      <c r="C2774" s="44"/>
      <c r="D2774" s="44"/>
      <c r="E2774" s="44"/>
      <c r="F2774" s="44"/>
      <c r="G2774" s="42"/>
      <c r="H2774" s="42"/>
      <c r="I2774" s="44"/>
      <c r="J2774" s="11" t="str">
        <f aca="false">IF(D2774="","",N(G2774)-N(H2774))</f>
        <v/>
      </c>
      <c r="K2774" s="34" t="str">
        <f aca="false">IF(D2774="","",IFERROR(INDEX(I_COA!$C$6:$C$265,MATCH(D2774,I_COA!$A$6:$A$265,0)),"AKUN BARU"))</f>
        <v/>
      </c>
      <c r="L2774" s="34" t="str">
        <f aca="false">IF(K2774="LabaRugi",INDEX(I_COA!$D$6:$D$265,MATCH(D2774,I_COA!$A$6:$A$265,0)),"")</f>
        <v/>
      </c>
      <c r="M2774" s="34" t="str">
        <f aca="false">IF(K2774="Neraca",INDEX(I_COA!$E$6:$E$265,MATCH(D2774,I_COA!$A$6:$A$265,0)),"")</f>
        <v/>
      </c>
      <c r="N2774" s="34" t="str">
        <f aca="false">IF(D2774="","",IFERROR(INDEX(I_COA!$G$6:$G$265,MATCH(D2774,I_COA!$A$6:$A$265,0)),"N"))</f>
        <v/>
      </c>
      <c r="O2774" s="11" t="str">
        <f aca="false">IF(N2774="N",ABS(J2774),"")</f>
        <v/>
      </c>
      <c r="P2774" s="18" t="str">
        <f aca="false">IF(N2774="N",B2774&amp;"|"&amp;ROUND(O2774,0),"")</f>
        <v/>
      </c>
      <c r="Q2774" s="18" t="str">
        <f aca="false">IF(N2774&lt;&gt;"Y","",IFERROR(INDEX($D$6:$D$4005,MATCH(B2774&amp;"|"&amp;ROUND(_xlfn.MAXIFS($O$6:$O$4005,$B$6:$B$4005,B2774,$N$6:$N$4005,"N"),0),$P$6:$P$4005,0)),"(tanpa lawan)"))</f>
        <v/>
      </c>
      <c r="R2774" s="44"/>
      <c r="S2774" s="9" t="str">
        <f aca="false">IF(N2774&lt;&gt;"Y","",IF(R2774&lt;&gt;"",R2774,IF(Q2774="(tanpa lawan)","Transfer antar rekening",IFERROR(INDEX(I_COA!$F$6:$F$265,MATCH(Q2774,I_COA!$A$6:$A$265,0)),"?"))))</f>
        <v/>
      </c>
    </row>
    <row r="2775" customFormat="false" ht="15" hidden="false" customHeight="false" outlineLevel="0" collapsed="false">
      <c r="A2775" s="37"/>
      <c r="B2775" s="44"/>
      <c r="C2775" s="44"/>
      <c r="D2775" s="44"/>
      <c r="E2775" s="44"/>
      <c r="F2775" s="44"/>
      <c r="G2775" s="42"/>
      <c r="H2775" s="42"/>
      <c r="I2775" s="44"/>
      <c r="J2775" s="11" t="str">
        <f aca="false">IF(D2775="","",N(G2775)-N(H2775))</f>
        <v/>
      </c>
      <c r="K2775" s="34" t="str">
        <f aca="false">IF(D2775="","",IFERROR(INDEX(I_COA!$C$6:$C$265,MATCH(D2775,I_COA!$A$6:$A$265,0)),"AKUN BARU"))</f>
        <v/>
      </c>
      <c r="L2775" s="34" t="str">
        <f aca="false">IF(K2775="LabaRugi",INDEX(I_COA!$D$6:$D$265,MATCH(D2775,I_COA!$A$6:$A$265,0)),"")</f>
        <v/>
      </c>
      <c r="M2775" s="34" t="str">
        <f aca="false">IF(K2775="Neraca",INDEX(I_COA!$E$6:$E$265,MATCH(D2775,I_COA!$A$6:$A$265,0)),"")</f>
        <v/>
      </c>
      <c r="N2775" s="34" t="str">
        <f aca="false">IF(D2775="","",IFERROR(INDEX(I_COA!$G$6:$G$265,MATCH(D2775,I_COA!$A$6:$A$265,0)),"N"))</f>
        <v/>
      </c>
      <c r="O2775" s="11" t="str">
        <f aca="false">IF(N2775="N",ABS(J2775),"")</f>
        <v/>
      </c>
      <c r="P2775" s="18" t="str">
        <f aca="false">IF(N2775="N",B2775&amp;"|"&amp;ROUND(O2775,0),"")</f>
        <v/>
      </c>
      <c r="Q2775" s="18" t="str">
        <f aca="false">IF(N2775&lt;&gt;"Y","",IFERROR(INDEX($D$6:$D$4005,MATCH(B2775&amp;"|"&amp;ROUND(_xlfn.MAXIFS($O$6:$O$4005,$B$6:$B$4005,B2775,$N$6:$N$4005,"N"),0),$P$6:$P$4005,0)),"(tanpa lawan)"))</f>
        <v/>
      </c>
      <c r="R2775" s="44"/>
      <c r="S2775" s="9" t="str">
        <f aca="false">IF(N2775&lt;&gt;"Y","",IF(R2775&lt;&gt;"",R2775,IF(Q2775="(tanpa lawan)","Transfer antar rekening",IFERROR(INDEX(I_COA!$F$6:$F$265,MATCH(Q2775,I_COA!$A$6:$A$265,0)),"?"))))</f>
        <v/>
      </c>
    </row>
    <row r="2776" customFormat="false" ht="15" hidden="false" customHeight="false" outlineLevel="0" collapsed="false">
      <c r="A2776" s="37"/>
      <c r="B2776" s="44"/>
      <c r="C2776" s="44"/>
      <c r="D2776" s="44"/>
      <c r="E2776" s="44"/>
      <c r="F2776" s="44"/>
      <c r="G2776" s="42"/>
      <c r="H2776" s="42"/>
      <c r="I2776" s="44"/>
      <c r="J2776" s="11" t="str">
        <f aca="false">IF(D2776="","",N(G2776)-N(H2776))</f>
        <v/>
      </c>
      <c r="K2776" s="34" t="str">
        <f aca="false">IF(D2776="","",IFERROR(INDEX(I_COA!$C$6:$C$265,MATCH(D2776,I_COA!$A$6:$A$265,0)),"AKUN BARU"))</f>
        <v/>
      </c>
      <c r="L2776" s="34" t="str">
        <f aca="false">IF(K2776="LabaRugi",INDEX(I_COA!$D$6:$D$265,MATCH(D2776,I_COA!$A$6:$A$265,0)),"")</f>
        <v/>
      </c>
      <c r="M2776" s="34" t="str">
        <f aca="false">IF(K2776="Neraca",INDEX(I_COA!$E$6:$E$265,MATCH(D2776,I_COA!$A$6:$A$265,0)),"")</f>
        <v/>
      </c>
      <c r="N2776" s="34" t="str">
        <f aca="false">IF(D2776="","",IFERROR(INDEX(I_COA!$G$6:$G$265,MATCH(D2776,I_COA!$A$6:$A$265,0)),"N"))</f>
        <v/>
      </c>
      <c r="O2776" s="11" t="str">
        <f aca="false">IF(N2776="N",ABS(J2776),"")</f>
        <v/>
      </c>
      <c r="P2776" s="18" t="str">
        <f aca="false">IF(N2776="N",B2776&amp;"|"&amp;ROUND(O2776,0),"")</f>
        <v/>
      </c>
      <c r="Q2776" s="18" t="str">
        <f aca="false">IF(N2776&lt;&gt;"Y","",IFERROR(INDEX($D$6:$D$4005,MATCH(B2776&amp;"|"&amp;ROUND(_xlfn.MAXIFS($O$6:$O$4005,$B$6:$B$4005,B2776,$N$6:$N$4005,"N"),0),$P$6:$P$4005,0)),"(tanpa lawan)"))</f>
        <v/>
      </c>
      <c r="R2776" s="44"/>
      <c r="S2776" s="9" t="str">
        <f aca="false">IF(N2776&lt;&gt;"Y","",IF(R2776&lt;&gt;"",R2776,IF(Q2776="(tanpa lawan)","Transfer antar rekening",IFERROR(INDEX(I_COA!$F$6:$F$265,MATCH(Q2776,I_COA!$A$6:$A$265,0)),"?"))))</f>
        <v/>
      </c>
    </row>
    <row r="2777" customFormat="false" ht="15" hidden="false" customHeight="false" outlineLevel="0" collapsed="false">
      <c r="A2777" s="37"/>
      <c r="B2777" s="44"/>
      <c r="C2777" s="44"/>
      <c r="D2777" s="44"/>
      <c r="E2777" s="44"/>
      <c r="F2777" s="44"/>
      <c r="G2777" s="42"/>
      <c r="H2777" s="42"/>
      <c r="I2777" s="44"/>
      <c r="J2777" s="11" t="str">
        <f aca="false">IF(D2777="","",N(G2777)-N(H2777))</f>
        <v/>
      </c>
      <c r="K2777" s="34" t="str">
        <f aca="false">IF(D2777="","",IFERROR(INDEX(I_COA!$C$6:$C$265,MATCH(D2777,I_COA!$A$6:$A$265,0)),"AKUN BARU"))</f>
        <v/>
      </c>
      <c r="L2777" s="34" t="str">
        <f aca="false">IF(K2777="LabaRugi",INDEX(I_COA!$D$6:$D$265,MATCH(D2777,I_COA!$A$6:$A$265,0)),"")</f>
        <v/>
      </c>
      <c r="M2777" s="34" t="str">
        <f aca="false">IF(K2777="Neraca",INDEX(I_COA!$E$6:$E$265,MATCH(D2777,I_COA!$A$6:$A$265,0)),"")</f>
        <v/>
      </c>
      <c r="N2777" s="34" t="str">
        <f aca="false">IF(D2777="","",IFERROR(INDEX(I_COA!$G$6:$G$265,MATCH(D2777,I_COA!$A$6:$A$265,0)),"N"))</f>
        <v/>
      </c>
      <c r="O2777" s="11" t="str">
        <f aca="false">IF(N2777="N",ABS(J2777),"")</f>
        <v/>
      </c>
      <c r="P2777" s="18" t="str">
        <f aca="false">IF(N2777="N",B2777&amp;"|"&amp;ROUND(O2777,0),"")</f>
        <v/>
      </c>
      <c r="Q2777" s="18" t="str">
        <f aca="false">IF(N2777&lt;&gt;"Y","",IFERROR(INDEX($D$6:$D$4005,MATCH(B2777&amp;"|"&amp;ROUND(_xlfn.MAXIFS($O$6:$O$4005,$B$6:$B$4005,B2777,$N$6:$N$4005,"N"),0),$P$6:$P$4005,0)),"(tanpa lawan)"))</f>
        <v/>
      </c>
      <c r="R2777" s="44"/>
      <c r="S2777" s="9" t="str">
        <f aca="false">IF(N2777&lt;&gt;"Y","",IF(R2777&lt;&gt;"",R2777,IF(Q2777="(tanpa lawan)","Transfer antar rekening",IFERROR(INDEX(I_COA!$F$6:$F$265,MATCH(Q2777,I_COA!$A$6:$A$265,0)),"?"))))</f>
        <v/>
      </c>
    </row>
    <row r="2778" customFormat="false" ht="15" hidden="false" customHeight="false" outlineLevel="0" collapsed="false">
      <c r="A2778" s="37"/>
      <c r="B2778" s="44"/>
      <c r="C2778" s="44"/>
      <c r="D2778" s="44"/>
      <c r="E2778" s="44"/>
      <c r="F2778" s="44"/>
      <c r="G2778" s="42"/>
      <c r="H2778" s="42"/>
      <c r="I2778" s="44"/>
      <c r="J2778" s="11" t="str">
        <f aca="false">IF(D2778="","",N(G2778)-N(H2778))</f>
        <v/>
      </c>
      <c r="K2778" s="34" t="str">
        <f aca="false">IF(D2778="","",IFERROR(INDEX(I_COA!$C$6:$C$265,MATCH(D2778,I_COA!$A$6:$A$265,0)),"AKUN BARU"))</f>
        <v/>
      </c>
      <c r="L2778" s="34" t="str">
        <f aca="false">IF(K2778="LabaRugi",INDEX(I_COA!$D$6:$D$265,MATCH(D2778,I_COA!$A$6:$A$265,0)),"")</f>
        <v/>
      </c>
      <c r="M2778" s="34" t="str">
        <f aca="false">IF(K2778="Neraca",INDEX(I_COA!$E$6:$E$265,MATCH(D2778,I_COA!$A$6:$A$265,0)),"")</f>
        <v/>
      </c>
      <c r="N2778" s="34" t="str">
        <f aca="false">IF(D2778="","",IFERROR(INDEX(I_COA!$G$6:$G$265,MATCH(D2778,I_COA!$A$6:$A$265,0)),"N"))</f>
        <v/>
      </c>
      <c r="O2778" s="11" t="str">
        <f aca="false">IF(N2778="N",ABS(J2778),"")</f>
        <v/>
      </c>
      <c r="P2778" s="18" t="str">
        <f aca="false">IF(N2778="N",B2778&amp;"|"&amp;ROUND(O2778,0),"")</f>
        <v/>
      </c>
      <c r="Q2778" s="18" t="str">
        <f aca="false">IF(N2778&lt;&gt;"Y","",IFERROR(INDEX($D$6:$D$4005,MATCH(B2778&amp;"|"&amp;ROUND(_xlfn.MAXIFS($O$6:$O$4005,$B$6:$B$4005,B2778,$N$6:$N$4005,"N"),0),$P$6:$P$4005,0)),"(tanpa lawan)"))</f>
        <v/>
      </c>
      <c r="R2778" s="44"/>
      <c r="S2778" s="9" t="str">
        <f aca="false">IF(N2778&lt;&gt;"Y","",IF(R2778&lt;&gt;"",R2778,IF(Q2778="(tanpa lawan)","Transfer antar rekening",IFERROR(INDEX(I_COA!$F$6:$F$265,MATCH(Q2778,I_COA!$A$6:$A$265,0)),"?"))))</f>
        <v/>
      </c>
    </row>
    <row r="2779" customFormat="false" ht="15" hidden="false" customHeight="false" outlineLevel="0" collapsed="false">
      <c r="A2779" s="37"/>
      <c r="B2779" s="44"/>
      <c r="C2779" s="44"/>
      <c r="D2779" s="44"/>
      <c r="E2779" s="44"/>
      <c r="F2779" s="44"/>
      <c r="G2779" s="42"/>
      <c r="H2779" s="42"/>
      <c r="I2779" s="44"/>
      <c r="J2779" s="11" t="str">
        <f aca="false">IF(D2779="","",N(G2779)-N(H2779))</f>
        <v/>
      </c>
      <c r="K2779" s="34" t="str">
        <f aca="false">IF(D2779="","",IFERROR(INDEX(I_COA!$C$6:$C$265,MATCH(D2779,I_COA!$A$6:$A$265,0)),"AKUN BARU"))</f>
        <v/>
      </c>
      <c r="L2779" s="34" t="str">
        <f aca="false">IF(K2779="LabaRugi",INDEX(I_COA!$D$6:$D$265,MATCH(D2779,I_COA!$A$6:$A$265,0)),"")</f>
        <v/>
      </c>
      <c r="M2779" s="34" t="str">
        <f aca="false">IF(K2779="Neraca",INDEX(I_COA!$E$6:$E$265,MATCH(D2779,I_COA!$A$6:$A$265,0)),"")</f>
        <v/>
      </c>
      <c r="N2779" s="34" t="str">
        <f aca="false">IF(D2779="","",IFERROR(INDEX(I_COA!$G$6:$G$265,MATCH(D2779,I_COA!$A$6:$A$265,0)),"N"))</f>
        <v/>
      </c>
      <c r="O2779" s="11" t="str">
        <f aca="false">IF(N2779="N",ABS(J2779),"")</f>
        <v/>
      </c>
      <c r="P2779" s="18" t="str">
        <f aca="false">IF(N2779="N",B2779&amp;"|"&amp;ROUND(O2779,0),"")</f>
        <v/>
      </c>
      <c r="Q2779" s="18" t="str">
        <f aca="false">IF(N2779&lt;&gt;"Y","",IFERROR(INDEX($D$6:$D$4005,MATCH(B2779&amp;"|"&amp;ROUND(_xlfn.MAXIFS($O$6:$O$4005,$B$6:$B$4005,B2779,$N$6:$N$4005,"N"),0),$P$6:$P$4005,0)),"(tanpa lawan)"))</f>
        <v/>
      </c>
      <c r="R2779" s="44"/>
      <c r="S2779" s="9" t="str">
        <f aca="false">IF(N2779&lt;&gt;"Y","",IF(R2779&lt;&gt;"",R2779,IF(Q2779="(tanpa lawan)","Transfer antar rekening",IFERROR(INDEX(I_COA!$F$6:$F$265,MATCH(Q2779,I_COA!$A$6:$A$265,0)),"?"))))</f>
        <v/>
      </c>
    </row>
    <row r="2780" customFormat="false" ht="15" hidden="false" customHeight="false" outlineLevel="0" collapsed="false">
      <c r="A2780" s="37"/>
      <c r="B2780" s="44"/>
      <c r="C2780" s="44"/>
      <c r="D2780" s="44"/>
      <c r="E2780" s="44"/>
      <c r="F2780" s="44"/>
      <c r="G2780" s="42"/>
      <c r="H2780" s="42"/>
      <c r="I2780" s="44"/>
      <c r="J2780" s="11" t="str">
        <f aca="false">IF(D2780="","",N(G2780)-N(H2780))</f>
        <v/>
      </c>
      <c r="K2780" s="34" t="str">
        <f aca="false">IF(D2780="","",IFERROR(INDEX(I_COA!$C$6:$C$265,MATCH(D2780,I_COA!$A$6:$A$265,0)),"AKUN BARU"))</f>
        <v/>
      </c>
      <c r="L2780" s="34" t="str">
        <f aca="false">IF(K2780="LabaRugi",INDEX(I_COA!$D$6:$D$265,MATCH(D2780,I_COA!$A$6:$A$265,0)),"")</f>
        <v/>
      </c>
      <c r="M2780" s="34" t="str">
        <f aca="false">IF(K2780="Neraca",INDEX(I_COA!$E$6:$E$265,MATCH(D2780,I_COA!$A$6:$A$265,0)),"")</f>
        <v/>
      </c>
      <c r="N2780" s="34" t="str">
        <f aca="false">IF(D2780="","",IFERROR(INDEX(I_COA!$G$6:$G$265,MATCH(D2780,I_COA!$A$6:$A$265,0)),"N"))</f>
        <v/>
      </c>
      <c r="O2780" s="11" t="str">
        <f aca="false">IF(N2780="N",ABS(J2780),"")</f>
        <v/>
      </c>
      <c r="P2780" s="18" t="str">
        <f aca="false">IF(N2780="N",B2780&amp;"|"&amp;ROUND(O2780,0),"")</f>
        <v/>
      </c>
      <c r="Q2780" s="18" t="str">
        <f aca="false">IF(N2780&lt;&gt;"Y","",IFERROR(INDEX($D$6:$D$4005,MATCH(B2780&amp;"|"&amp;ROUND(_xlfn.MAXIFS($O$6:$O$4005,$B$6:$B$4005,B2780,$N$6:$N$4005,"N"),0),$P$6:$P$4005,0)),"(tanpa lawan)"))</f>
        <v/>
      </c>
      <c r="R2780" s="44"/>
      <c r="S2780" s="9" t="str">
        <f aca="false">IF(N2780&lt;&gt;"Y","",IF(R2780&lt;&gt;"",R2780,IF(Q2780="(tanpa lawan)","Transfer antar rekening",IFERROR(INDEX(I_COA!$F$6:$F$265,MATCH(Q2780,I_COA!$A$6:$A$265,0)),"?"))))</f>
        <v/>
      </c>
    </row>
    <row r="2781" customFormat="false" ht="15" hidden="false" customHeight="false" outlineLevel="0" collapsed="false">
      <c r="A2781" s="37"/>
      <c r="B2781" s="44"/>
      <c r="C2781" s="44"/>
      <c r="D2781" s="44"/>
      <c r="E2781" s="44"/>
      <c r="F2781" s="44"/>
      <c r="G2781" s="42"/>
      <c r="H2781" s="42"/>
      <c r="I2781" s="44"/>
      <c r="J2781" s="11" t="str">
        <f aca="false">IF(D2781="","",N(G2781)-N(H2781))</f>
        <v/>
      </c>
      <c r="K2781" s="34" t="str">
        <f aca="false">IF(D2781="","",IFERROR(INDEX(I_COA!$C$6:$C$265,MATCH(D2781,I_COA!$A$6:$A$265,0)),"AKUN BARU"))</f>
        <v/>
      </c>
      <c r="L2781" s="34" t="str">
        <f aca="false">IF(K2781="LabaRugi",INDEX(I_COA!$D$6:$D$265,MATCH(D2781,I_COA!$A$6:$A$265,0)),"")</f>
        <v/>
      </c>
      <c r="M2781" s="34" t="str">
        <f aca="false">IF(K2781="Neraca",INDEX(I_COA!$E$6:$E$265,MATCH(D2781,I_COA!$A$6:$A$265,0)),"")</f>
        <v/>
      </c>
      <c r="N2781" s="34" t="str">
        <f aca="false">IF(D2781="","",IFERROR(INDEX(I_COA!$G$6:$G$265,MATCH(D2781,I_COA!$A$6:$A$265,0)),"N"))</f>
        <v/>
      </c>
      <c r="O2781" s="11" t="str">
        <f aca="false">IF(N2781="N",ABS(J2781),"")</f>
        <v/>
      </c>
      <c r="P2781" s="18" t="str">
        <f aca="false">IF(N2781="N",B2781&amp;"|"&amp;ROUND(O2781,0),"")</f>
        <v/>
      </c>
      <c r="Q2781" s="18" t="str">
        <f aca="false">IF(N2781&lt;&gt;"Y","",IFERROR(INDEX($D$6:$D$4005,MATCH(B2781&amp;"|"&amp;ROUND(_xlfn.MAXIFS($O$6:$O$4005,$B$6:$B$4005,B2781,$N$6:$N$4005,"N"),0),$P$6:$P$4005,0)),"(tanpa lawan)"))</f>
        <v/>
      </c>
      <c r="R2781" s="44"/>
      <c r="S2781" s="9" t="str">
        <f aca="false">IF(N2781&lt;&gt;"Y","",IF(R2781&lt;&gt;"",R2781,IF(Q2781="(tanpa lawan)","Transfer antar rekening",IFERROR(INDEX(I_COA!$F$6:$F$265,MATCH(Q2781,I_COA!$A$6:$A$265,0)),"?"))))</f>
        <v/>
      </c>
    </row>
    <row r="2782" customFormat="false" ht="15" hidden="false" customHeight="false" outlineLevel="0" collapsed="false">
      <c r="A2782" s="37"/>
      <c r="B2782" s="44"/>
      <c r="C2782" s="44"/>
      <c r="D2782" s="44"/>
      <c r="E2782" s="44"/>
      <c r="F2782" s="44"/>
      <c r="G2782" s="42"/>
      <c r="H2782" s="42"/>
      <c r="I2782" s="44"/>
      <c r="J2782" s="11" t="str">
        <f aca="false">IF(D2782="","",N(G2782)-N(H2782))</f>
        <v/>
      </c>
      <c r="K2782" s="34" t="str">
        <f aca="false">IF(D2782="","",IFERROR(INDEX(I_COA!$C$6:$C$265,MATCH(D2782,I_COA!$A$6:$A$265,0)),"AKUN BARU"))</f>
        <v/>
      </c>
      <c r="L2782" s="34" t="str">
        <f aca="false">IF(K2782="LabaRugi",INDEX(I_COA!$D$6:$D$265,MATCH(D2782,I_COA!$A$6:$A$265,0)),"")</f>
        <v/>
      </c>
      <c r="M2782" s="34" t="str">
        <f aca="false">IF(K2782="Neraca",INDEX(I_COA!$E$6:$E$265,MATCH(D2782,I_COA!$A$6:$A$265,0)),"")</f>
        <v/>
      </c>
      <c r="N2782" s="34" t="str">
        <f aca="false">IF(D2782="","",IFERROR(INDEX(I_COA!$G$6:$G$265,MATCH(D2782,I_COA!$A$6:$A$265,0)),"N"))</f>
        <v/>
      </c>
      <c r="O2782" s="11" t="str">
        <f aca="false">IF(N2782="N",ABS(J2782),"")</f>
        <v/>
      </c>
      <c r="P2782" s="18" t="str">
        <f aca="false">IF(N2782="N",B2782&amp;"|"&amp;ROUND(O2782,0),"")</f>
        <v/>
      </c>
      <c r="Q2782" s="18" t="str">
        <f aca="false">IF(N2782&lt;&gt;"Y","",IFERROR(INDEX($D$6:$D$4005,MATCH(B2782&amp;"|"&amp;ROUND(_xlfn.MAXIFS($O$6:$O$4005,$B$6:$B$4005,B2782,$N$6:$N$4005,"N"),0),$P$6:$P$4005,0)),"(tanpa lawan)"))</f>
        <v/>
      </c>
      <c r="R2782" s="44"/>
      <c r="S2782" s="9" t="str">
        <f aca="false">IF(N2782&lt;&gt;"Y","",IF(R2782&lt;&gt;"",R2782,IF(Q2782="(tanpa lawan)","Transfer antar rekening",IFERROR(INDEX(I_COA!$F$6:$F$265,MATCH(Q2782,I_COA!$A$6:$A$265,0)),"?"))))</f>
        <v/>
      </c>
    </row>
    <row r="2783" customFormat="false" ht="15" hidden="false" customHeight="false" outlineLevel="0" collapsed="false">
      <c r="A2783" s="37"/>
      <c r="B2783" s="44"/>
      <c r="C2783" s="44"/>
      <c r="D2783" s="44"/>
      <c r="E2783" s="44"/>
      <c r="F2783" s="44"/>
      <c r="G2783" s="42"/>
      <c r="H2783" s="42"/>
      <c r="I2783" s="44"/>
      <c r="J2783" s="11" t="str">
        <f aca="false">IF(D2783="","",N(G2783)-N(H2783))</f>
        <v/>
      </c>
      <c r="K2783" s="34" t="str">
        <f aca="false">IF(D2783="","",IFERROR(INDEX(I_COA!$C$6:$C$265,MATCH(D2783,I_COA!$A$6:$A$265,0)),"AKUN BARU"))</f>
        <v/>
      </c>
      <c r="L2783" s="34" t="str">
        <f aca="false">IF(K2783="LabaRugi",INDEX(I_COA!$D$6:$D$265,MATCH(D2783,I_COA!$A$6:$A$265,0)),"")</f>
        <v/>
      </c>
      <c r="M2783" s="34" t="str">
        <f aca="false">IF(K2783="Neraca",INDEX(I_COA!$E$6:$E$265,MATCH(D2783,I_COA!$A$6:$A$265,0)),"")</f>
        <v/>
      </c>
      <c r="N2783" s="34" t="str">
        <f aca="false">IF(D2783="","",IFERROR(INDEX(I_COA!$G$6:$G$265,MATCH(D2783,I_COA!$A$6:$A$265,0)),"N"))</f>
        <v/>
      </c>
      <c r="O2783" s="11" t="str">
        <f aca="false">IF(N2783="N",ABS(J2783),"")</f>
        <v/>
      </c>
      <c r="P2783" s="18" t="str">
        <f aca="false">IF(N2783="N",B2783&amp;"|"&amp;ROUND(O2783,0),"")</f>
        <v/>
      </c>
      <c r="Q2783" s="18" t="str">
        <f aca="false">IF(N2783&lt;&gt;"Y","",IFERROR(INDEX($D$6:$D$4005,MATCH(B2783&amp;"|"&amp;ROUND(_xlfn.MAXIFS($O$6:$O$4005,$B$6:$B$4005,B2783,$N$6:$N$4005,"N"),0),$P$6:$P$4005,0)),"(tanpa lawan)"))</f>
        <v/>
      </c>
      <c r="R2783" s="44"/>
      <c r="S2783" s="9" t="str">
        <f aca="false">IF(N2783&lt;&gt;"Y","",IF(R2783&lt;&gt;"",R2783,IF(Q2783="(tanpa lawan)","Transfer antar rekening",IFERROR(INDEX(I_COA!$F$6:$F$265,MATCH(Q2783,I_COA!$A$6:$A$265,0)),"?"))))</f>
        <v/>
      </c>
    </row>
    <row r="2784" customFormat="false" ht="15" hidden="false" customHeight="false" outlineLevel="0" collapsed="false">
      <c r="A2784" s="37"/>
      <c r="B2784" s="44"/>
      <c r="C2784" s="44"/>
      <c r="D2784" s="44"/>
      <c r="E2784" s="44"/>
      <c r="F2784" s="44"/>
      <c r="G2784" s="42"/>
      <c r="H2784" s="42"/>
      <c r="I2784" s="44"/>
      <c r="J2784" s="11" t="str">
        <f aca="false">IF(D2784="","",N(G2784)-N(H2784))</f>
        <v/>
      </c>
      <c r="K2784" s="34" t="str">
        <f aca="false">IF(D2784="","",IFERROR(INDEX(I_COA!$C$6:$C$265,MATCH(D2784,I_COA!$A$6:$A$265,0)),"AKUN BARU"))</f>
        <v/>
      </c>
      <c r="L2784" s="34" t="str">
        <f aca="false">IF(K2784="LabaRugi",INDEX(I_COA!$D$6:$D$265,MATCH(D2784,I_COA!$A$6:$A$265,0)),"")</f>
        <v/>
      </c>
      <c r="M2784" s="34" t="str">
        <f aca="false">IF(K2784="Neraca",INDEX(I_COA!$E$6:$E$265,MATCH(D2784,I_COA!$A$6:$A$265,0)),"")</f>
        <v/>
      </c>
      <c r="N2784" s="34" t="str">
        <f aca="false">IF(D2784="","",IFERROR(INDEX(I_COA!$G$6:$G$265,MATCH(D2784,I_COA!$A$6:$A$265,0)),"N"))</f>
        <v/>
      </c>
      <c r="O2784" s="11" t="str">
        <f aca="false">IF(N2784="N",ABS(J2784),"")</f>
        <v/>
      </c>
      <c r="P2784" s="18" t="str">
        <f aca="false">IF(N2784="N",B2784&amp;"|"&amp;ROUND(O2784,0),"")</f>
        <v/>
      </c>
      <c r="Q2784" s="18" t="str">
        <f aca="false">IF(N2784&lt;&gt;"Y","",IFERROR(INDEX($D$6:$D$4005,MATCH(B2784&amp;"|"&amp;ROUND(_xlfn.MAXIFS($O$6:$O$4005,$B$6:$B$4005,B2784,$N$6:$N$4005,"N"),0),$P$6:$P$4005,0)),"(tanpa lawan)"))</f>
        <v/>
      </c>
      <c r="R2784" s="44"/>
      <c r="S2784" s="9" t="str">
        <f aca="false">IF(N2784&lt;&gt;"Y","",IF(R2784&lt;&gt;"",R2784,IF(Q2784="(tanpa lawan)","Transfer antar rekening",IFERROR(INDEX(I_COA!$F$6:$F$265,MATCH(Q2784,I_COA!$A$6:$A$265,0)),"?"))))</f>
        <v/>
      </c>
    </row>
    <row r="2785" customFormat="false" ht="15" hidden="false" customHeight="false" outlineLevel="0" collapsed="false">
      <c r="A2785" s="37"/>
      <c r="B2785" s="44"/>
      <c r="C2785" s="44"/>
      <c r="D2785" s="44"/>
      <c r="E2785" s="44"/>
      <c r="F2785" s="44"/>
      <c r="G2785" s="42"/>
      <c r="H2785" s="42"/>
      <c r="I2785" s="44"/>
      <c r="J2785" s="11" t="str">
        <f aca="false">IF(D2785="","",N(G2785)-N(H2785))</f>
        <v/>
      </c>
      <c r="K2785" s="34" t="str">
        <f aca="false">IF(D2785="","",IFERROR(INDEX(I_COA!$C$6:$C$265,MATCH(D2785,I_COA!$A$6:$A$265,0)),"AKUN BARU"))</f>
        <v/>
      </c>
      <c r="L2785" s="34" t="str">
        <f aca="false">IF(K2785="LabaRugi",INDEX(I_COA!$D$6:$D$265,MATCH(D2785,I_COA!$A$6:$A$265,0)),"")</f>
        <v/>
      </c>
      <c r="M2785" s="34" t="str">
        <f aca="false">IF(K2785="Neraca",INDEX(I_COA!$E$6:$E$265,MATCH(D2785,I_COA!$A$6:$A$265,0)),"")</f>
        <v/>
      </c>
      <c r="N2785" s="34" t="str">
        <f aca="false">IF(D2785="","",IFERROR(INDEX(I_COA!$G$6:$G$265,MATCH(D2785,I_COA!$A$6:$A$265,0)),"N"))</f>
        <v/>
      </c>
      <c r="O2785" s="11" t="str">
        <f aca="false">IF(N2785="N",ABS(J2785),"")</f>
        <v/>
      </c>
      <c r="P2785" s="18" t="str">
        <f aca="false">IF(N2785="N",B2785&amp;"|"&amp;ROUND(O2785,0),"")</f>
        <v/>
      </c>
      <c r="Q2785" s="18" t="str">
        <f aca="false">IF(N2785&lt;&gt;"Y","",IFERROR(INDEX($D$6:$D$4005,MATCH(B2785&amp;"|"&amp;ROUND(_xlfn.MAXIFS($O$6:$O$4005,$B$6:$B$4005,B2785,$N$6:$N$4005,"N"),0),$P$6:$P$4005,0)),"(tanpa lawan)"))</f>
        <v/>
      </c>
      <c r="R2785" s="44"/>
      <c r="S2785" s="9" t="str">
        <f aca="false">IF(N2785&lt;&gt;"Y","",IF(R2785&lt;&gt;"",R2785,IF(Q2785="(tanpa lawan)","Transfer antar rekening",IFERROR(INDEX(I_COA!$F$6:$F$265,MATCH(Q2785,I_COA!$A$6:$A$265,0)),"?"))))</f>
        <v/>
      </c>
    </row>
    <row r="2786" customFormat="false" ht="15" hidden="false" customHeight="false" outlineLevel="0" collapsed="false">
      <c r="A2786" s="37"/>
      <c r="B2786" s="44"/>
      <c r="C2786" s="44"/>
      <c r="D2786" s="44"/>
      <c r="E2786" s="44"/>
      <c r="F2786" s="44"/>
      <c r="G2786" s="42"/>
      <c r="H2786" s="42"/>
      <c r="I2786" s="44"/>
      <c r="J2786" s="11" t="str">
        <f aca="false">IF(D2786="","",N(G2786)-N(H2786))</f>
        <v/>
      </c>
      <c r="K2786" s="34" t="str">
        <f aca="false">IF(D2786="","",IFERROR(INDEX(I_COA!$C$6:$C$265,MATCH(D2786,I_COA!$A$6:$A$265,0)),"AKUN BARU"))</f>
        <v/>
      </c>
      <c r="L2786" s="34" t="str">
        <f aca="false">IF(K2786="LabaRugi",INDEX(I_COA!$D$6:$D$265,MATCH(D2786,I_COA!$A$6:$A$265,0)),"")</f>
        <v/>
      </c>
      <c r="M2786" s="34" t="str">
        <f aca="false">IF(K2786="Neraca",INDEX(I_COA!$E$6:$E$265,MATCH(D2786,I_COA!$A$6:$A$265,0)),"")</f>
        <v/>
      </c>
      <c r="N2786" s="34" t="str">
        <f aca="false">IF(D2786="","",IFERROR(INDEX(I_COA!$G$6:$G$265,MATCH(D2786,I_COA!$A$6:$A$265,0)),"N"))</f>
        <v/>
      </c>
      <c r="O2786" s="11" t="str">
        <f aca="false">IF(N2786="N",ABS(J2786),"")</f>
        <v/>
      </c>
      <c r="P2786" s="18" t="str">
        <f aca="false">IF(N2786="N",B2786&amp;"|"&amp;ROUND(O2786,0),"")</f>
        <v/>
      </c>
      <c r="Q2786" s="18" t="str">
        <f aca="false">IF(N2786&lt;&gt;"Y","",IFERROR(INDEX($D$6:$D$4005,MATCH(B2786&amp;"|"&amp;ROUND(_xlfn.MAXIFS($O$6:$O$4005,$B$6:$B$4005,B2786,$N$6:$N$4005,"N"),0),$P$6:$P$4005,0)),"(tanpa lawan)"))</f>
        <v/>
      </c>
      <c r="R2786" s="44"/>
      <c r="S2786" s="9" t="str">
        <f aca="false">IF(N2786&lt;&gt;"Y","",IF(R2786&lt;&gt;"",R2786,IF(Q2786="(tanpa lawan)","Transfer antar rekening",IFERROR(INDEX(I_COA!$F$6:$F$265,MATCH(Q2786,I_COA!$A$6:$A$265,0)),"?"))))</f>
        <v/>
      </c>
    </row>
    <row r="2787" customFormat="false" ht="15" hidden="false" customHeight="false" outlineLevel="0" collapsed="false">
      <c r="A2787" s="37"/>
      <c r="B2787" s="44"/>
      <c r="C2787" s="44"/>
      <c r="D2787" s="44"/>
      <c r="E2787" s="44"/>
      <c r="F2787" s="44"/>
      <c r="G2787" s="42"/>
      <c r="H2787" s="42"/>
      <c r="I2787" s="44"/>
      <c r="J2787" s="11" t="str">
        <f aca="false">IF(D2787="","",N(G2787)-N(H2787))</f>
        <v/>
      </c>
      <c r="K2787" s="34" t="str">
        <f aca="false">IF(D2787="","",IFERROR(INDEX(I_COA!$C$6:$C$265,MATCH(D2787,I_COA!$A$6:$A$265,0)),"AKUN BARU"))</f>
        <v/>
      </c>
      <c r="L2787" s="34" t="str">
        <f aca="false">IF(K2787="LabaRugi",INDEX(I_COA!$D$6:$D$265,MATCH(D2787,I_COA!$A$6:$A$265,0)),"")</f>
        <v/>
      </c>
      <c r="M2787" s="34" t="str">
        <f aca="false">IF(K2787="Neraca",INDEX(I_COA!$E$6:$E$265,MATCH(D2787,I_COA!$A$6:$A$265,0)),"")</f>
        <v/>
      </c>
      <c r="N2787" s="34" t="str">
        <f aca="false">IF(D2787="","",IFERROR(INDEX(I_COA!$G$6:$G$265,MATCH(D2787,I_COA!$A$6:$A$265,0)),"N"))</f>
        <v/>
      </c>
      <c r="O2787" s="11" t="str">
        <f aca="false">IF(N2787="N",ABS(J2787),"")</f>
        <v/>
      </c>
      <c r="P2787" s="18" t="str">
        <f aca="false">IF(N2787="N",B2787&amp;"|"&amp;ROUND(O2787,0),"")</f>
        <v/>
      </c>
      <c r="Q2787" s="18" t="str">
        <f aca="false">IF(N2787&lt;&gt;"Y","",IFERROR(INDEX($D$6:$D$4005,MATCH(B2787&amp;"|"&amp;ROUND(_xlfn.MAXIFS($O$6:$O$4005,$B$6:$B$4005,B2787,$N$6:$N$4005,"N"),0),$P$6:$P$4005,0)),"(tanpa lawan)"))</f>
        <v/>
      </c>
      <c r="R2787" s="44"/>
      <c r="S2787" s="9" t="str">
        <f aca="false">IF(N2787&lt;&gt;"Y","",IF(R2787&lt;&gt;"",R2787,IF(Q2787="(tanpa lawan)","Transfer antar rekening",IFERROR(INDEX(I_COA!$F$6:$F$265,MATCH(Q2787,I_COA!$A$6:$A$265,0)),"?"))))</f>
        <v/>
      </c>
    </row>
    <row r="2788" customFormat="false" ht="15" hidden="false" customHeight="false" outlineLevel="0" collapsed="false">
      <c r="A2788" s="37"/>
      <c r="B2788" s="44"/>
      <c r="C2788" s="44"/>
      <c r="D2788" s="44"/>
      <c r="E2788" s="44"/>
      <c r="F2788" s="44"/>
      <c r="G2788" s="42"/>
      <c r="H2788" s="42"/>
      <c r="I2788" s="44"/>
      <c r="J2788" s="11" t="str">
        <f aca="false">IF(D2788="","",N(G2788)-N(H2788))</f>
        <v/>
      </c>
      <c r="K2788" s="34" t="str">
        <f aca="false">IF(D2788="","",IFERROR(INDEX(I_COA!$C$6:$C$265,MATCH(D2788,I_COA!$A$6:$A$265,0)),"AKUN BARU"))</f>
        <v/>
      </c>
      <c r="L2788" s="34" t="str">
        <f aca="false">IF(K2788="LabaRugi",INDEX(I_COA!$D$6:$D$265,MATCH(D2788,I_COA!$A$6:$A$265,0)),"")</f>
        <v/>
      </c>
      <c r="M2788" s="34" t="str">
        <f aca="false">IF(K2788="Neraca",INDEX(I_COA!$E$6:$E$265,MATCH(D2788,I_COA!$A$6:$A$265,0)),"")</f>
        <v/>
      </c>
      <c r="N2788" s="34" t="str">
        <f aca="false">IF(D2788="","",IFERROR(INDEX(I_COA!$G$6:$G$265,MATCH(D2788,I_COA!$A$6:$A$265,0)),"N"))</f>
        <v/>
      </c>
      <c r="O2788" s="11" t="str">
        <f aca="false">IF(N2788="N",ABS(J2788),"")</f>
        <v/>
      </c>
      <c r="P2788" s="18" t="str">
        <f aca="false">IF(N2788="N",B2788&amp;"|"&amp;ROUND(O2788,0),"")</f>
        <v/>
      </c>
      <c r="Q2788" s="18" t="str">
        <f aca="false">IF(N2788&lt;&gt;"Y","",IFERROR(INDEX($D$6:$D$4005,MATCH(B2788&amp;"|"&amp;ROUND(_xlfn.MAXIFS($O$6:$O$4005,$B$6:$B$4005,B2788,$N$6:$N$4005,"N"),0),$P$6:$P$4005,0)),"(tanpa lawan)"))</f>
        <v/>
      </c>
      <c r="R2788" s="44"/>
      <c r="S2788" s="9" t="str">
        <f aca="false">IF(N2788&lt;&gt;"Y","",IF(R2788&lt;&gt;"",R2788,IF(Q2788="(tanpa lawan)","Transfer antar rekening",IFERROR(INDEX(I_COA!$F$6:$F$265,MATCH(Q2788,I_COA!$A$6:$A$265,0)),"?"))))</f>
        <v/>
      </c>
    </row>
    <row r="2789" customFormat="false" ht="15" hidden="false" customHeight="false" outlineLevel="0" collapsed="false">
      <c r="A2789" s="37"/>
      <c r="B2789" s="44"/>
      <c r="C2789" s="44"/>
      <c r="D2789" s="44"/>
      <c r="E2789" s="44"/>
      <c r="F2789" s="44"/>
      <c r="G2789" s="42"/>
      <c r="H2789" s="42"/>
      <c r="I2789" s="44"/>
      <c r="J2789" s="11" t="str">
        <f aca="false">IF(D2789="","",N(G2789)-N(H2789))</f>
        <v/>
      </c>
      <c r="K2789" s="34" t="str">
        <f aca="false">IF(D2789="","",IFERROR(INDEX(I_COA!$C$6:$C$265,MATCH(D2789,I_COA!$A$6:$A$265,0)),"AKUN BARU"))</f>
        <v/>
      </c>
      <c r="L2789" s="34" t="str">
        <f aca="false">IF(K2789="LabaRugi",INDEX(I_COA!$D$6:$D$265,MATCH(D2789,I_COA!$A$6:$A$265,0)),"")</f>
        <v/>
      </c>
      <c r="M2789" s="34" t="str">
        <f aca="false">IF(K2789="Neraca",INDEX(I_COA!$E$6:$E$265,MATCH(D2789,I_COA!$A$6:$A$265,0)),"")</f>
        <v/>
      </c>
      <c r="N2789" s="34" t="str">
        <f aca="false">IF(D2789="","",IFERROR(INDEX(I_COA!$G$6:$G$265,MATCH(D2789,I_COA!$A$6:$A$265,0)),"N"))</f>
        <v/>
      </c>
      <c r="O2789" s="11" t="str">
        <f aca="false">IF(N2789="N",ABS(J2789),"")</f>
        <v/>
      </c>
      <c r="P2789" s="18" t="str">
        <f aca="false">IF(N2789="N",B2789&amp;"|"&amp;ROUND(O2789,0),"")</f>
        <v/>
      </c>
      <c r="Q2789" s="18" t="str">
        <f aca="false">IF(N2789&lt;&gt;"Y","",IFERROR(INDEX($D$6:$D$4005,MATCH(B2789&amp;"|"&amp;ROUND(_xlfn.MAXIFS($O$6:$O$4005,$B$6:$B$4005,B2789,$N$6:$N$4005,"N"),0),$P$6:$P$4005,0)),"(tanpa lawan)"))</f>
        <v/>
      </c>
      <c r="R2789" s="44"/>
      <c r="S2789" s="9" t="str">
        <f aca="false">IF(N2789&lt;&gt;"Y","",IF(R2789&lt;&gt;"",R2789,IF(Q2789="(tanpa lawan)","Transfer antar rekening",IFERROR(INDEX(I_COA!$F$6:$F$265,MATCH(Q2789,I_COA!$A$6:$A$265,0)),"?"))))</f>
        <v/>
      </c>
    </row>
    <row r="2790" customFormat="false" ht="15" hidden="false" customHeight="false" outlineLevel="0" collapsed="false">
      <c r="A2790" s="37"/>
      <c r="B2790" s="44"/>
      <c r="C2790" s="44"/>
      <c r="D2790" s="44"/>
      <c r="E2790" s="44"/>
      <c r="F2790" s="44"/>
      <c r="G2790" s="42"/>
      <c r="H2790" s="42"/>
      <c r="I2790" s="44"/>
      <c r="J2790" s="11" t="str">
        <f aca="false">IF(D2790="","",N(G2790)-N(H2790))</f>
        <v/>
      </c>
      <c r="K2790" s="34" t="str">
        <f aca="false">IF(D2790="","",IFERROR(INDEX(I_COA!$C$6:$C$265,MATCH(D2790,I_COA!$A$6:$A$265,0)),"AKUN BARU"))</f>
        <v/>
      </c>
      <c r="L2790" s="34" t="str">
        <f aca="false">IF(K2790="LabaRugi",INDEX(I_COA!$D$6:$D$265,MATCH(D2790,I_COA!$A$6:$A$265,0)),"")</f>
        <v/>
      </c>
      <c r="M2790" s="34" t="str">
        <f aca="false">IF(K2790="Neraca",INDEX(I_COA!$E$6:$E$265,MATCH(D2790,I_COA!$A$6:$A$265,0)),"")</f>
        <v/>
      </c>
      <c r="N2790" s="34" t="str">
        <f aca="false">IF(D2790="","",IFERROR(INDEX(I_COA!$G$6:$G$265,MATCH(D2790,I_COA!$A$6:$A$265,0)),"N"))</f>
        <v/>
      </c>
      <c r="O2790" s="11" t="str">
        <f aca="false">IF(N2790="N",ABS(J2790),"")</f>
        <v/>
      </c>
      <c r="P2790" s="18" t="str">
        <f aca="false">IF(N2790="N",B2790&amp;"|"&amp;ROUND(O2790,0),"")</f>
        <v/>
      </c>
      <c r="Q2790" s="18" t="str">
        <f aca="false">IF(N2790&lt;&gt;"Y","",IFERROR(INDEX($D$6:$D$4005,MATCH(B2790&amp;"|"&amp;ROUND(_xlfn.MAXIFS($O$6:$O$4005,$B$6:$B$4005,B2790,$N$6:$N$4005,"N"),0),$P$6:$P$4005,0)),"(tanpa lawan)"))</f>
        <v/>
      </c>
      <c r="R2790" s="44"/>
      <c r="S2790" s="9" t="str">
        <f aca="false">IF(N2790&lt;&gt;"Y","",IF(R2790&lt;&gt;"",R2790,IF(Q2790="(tanpa lawan)","Transfer antar rekening",IFERROR(INDEX(I_COA!$F$6:$F$265,MATCH(Q2790,I_COA!$A$6:$A$265,0)),"?"))))</f>
        <v/>
      </c>
    </row>
    <row r="2791" customFormat="false" ht="15" hidden="false" customHeight="false" outlineLevel="0" collapsed="false">
      <c r="A2791" s="37"/>
      <c r="B2791" s="44"/>
      <c r="C2791" s="44"/>
      <c r="D2791" s="44"/>
      <c r="E2791" s="44"/>
      <c r="F2791" s="44"/>
      <c r="G2791" s="42"/>
      <c r="H2791" s="42"/>
      <c r="I2791" s="44"/>
      <c r="J2791" s="11" t="str">
        <f aca="false">IF(D2791="","",N(G2791)-N(H2791))</f>
        <v/>
      </c>
      <c r="K2791" s="34" t="str">
        <f aca="false">IF(D2791="","",IFERROR(INDEX(I_COA!$C$6:$C$265,MATCH(D2791,I_COA!$A$6:$A$265,0)),"AKUN BARU"))</f>
        <v/>
      </c>
      <c r="L2791" s="34" t="str">
        <f aca="false">IF(K2791="LabaRugi",INDEX(I_COA!$D$6:$D$265,MATCH(D2791,I_COA!$A$6:$A$265,0)),"")</f>
        <v/>
      </c>
      <c r="M2791" s="34" t="str">
        <f aca="false">IF(K2791="Neraca",INDEX(I_COA!$E$6:$E$265,MATCH(D2791,I_COA!$A$6:$A$265,0)),"")</f>
        <v/>
      </c>
      <c r="N2791" s="34" t="str">
        <f aca="false">IF(D2791="","",IFERROR(INDEX(I_COA!$G$6:$G$265,MATCH(D2791,I_COA!$A$6:$A$265,0)),"N"))</f>
        <v/>
      </c>
      <c r="O2791" s="11" t="str">
        <f aca="false">IF(N2791="N",ABS(J2791),"")</f>
        <v/>
      </c>
      <c r="P2791" s="18" t="str">
        <f aca="false">IF(N2791="N",B2791&amp;"|"&amp;ROUND(O2791,0),"")</f>
        <v/>
      </c>
      <c r="Q2791" s="18" t="str">
        <f aca="false">IF(N2791&lt;&gt;"Y","",IFERROR(INDEX($D$6:$D$4005,MATCH(B2791&amp;"|"&amp;ROUND(_xlfn.MAXIFS($O$6:$O$4005,$B$6:$B$4005,B2791,$N$6:$N$4005,"N"),0),$P$6:$P$4005,0)),"(tanpa lawan)"))</f>
        <v/>
      </c>
      <c r="R2791" s="44"/>
      <c r="S2791" s="9" t="str">
        <f aca="false">IF(N2791&lt;&gt;"Y","",IF(R2791&lt;&gt;"",R2791,IF(Q2791="(tanpa lawan)","Transfer antar rekening",IFERROR(INDEX(I_COA!$F$6:$F$265,MATCH(Q2791,I_COA!$A$6:$A$265,0)),"?"))))</f>
        <v/>
      </c>
    </row>
    <row r="2792" customFormat="false" ht="15" hidden="false" customHeight="false" outlineLevel="0" collapsed="false">
      <c r="A2792" s="37"/>
      <c r="B2792" s="44"/>
      <c r="C2792" s="44"/>
      <c r="D2792" s="44"/>
      <c r="E2792" s="44"/>
      <c r="F2792" s="44"/>
      <c r="G2792" s="42"/>
      <c r="H2792" s="42"/>
      <c r="I2792" s="44"/>
      <c r="J2792" s="11" t="str">
        <f aca="false">IF(D2792="","",N(G2792)-N(H2792))</f>
        <v/>
      </c>
      <c r="K2792" s="34" t="str">
        <f aca="false">IF(D2792="","",IFERROR(INDEX(I_COA!$C$6:$C$265,MATCH(D2792,I_COA!$A$6:$A$265,0)),"AKUN BARU"))</f>
        <v/>
      </c>
      <c r="L2792" s="34" t="str">
        <f aca="false">IF(K2792="LabaRugi",INDEX(I_COA!$D$6:$D$265,MATCH(D2792,I_COA!$A$6:$A$265,0)),"")</f>
        <v/>
      </c>
      <c r="M2792" s="34" t="str">
        <f aca="false">IF(K2792="Neraca",INDEX(I_COA!$E$6:$E$265,MATCH(D2792,I_COA!$A$6:$A$265,0)),"")</f>
        <v/>
      </c>
      <c r="N2792" s="34" t="str">
        <f aca="false">IF(D2792="","",IFERROR(INDEX(I_COA!$G$6:$G$265,MATCH(D2792,I_COA!$A$6:$A$265,0)),"N"))</f>
        <v/>
      </c>
      <c r="O2792" s="11" t="str">
        <f aca="false">IF(N2792="N",ABS(J2792),"")</f>
        <v/>
      </c>
      <c r="P2792" s="18" t="str">
        <f aca="false">IF(N2792="N",B2792&amp;"|"&amp;ROUND(O2792,0),"")</f>
        <v/>
      </c>
      <c r="Q2792" s="18" t="str">
        <f aca="false">IF(N2792&lt;&gt;"Y","",IFERROR(INDEX($D$6:$D$4005,MATCH(B2792&amp;"|"&amp;ROUND(_xlfn.MAXIFS($O$6:$O$4005,$B$6:$B$4005,B2792,$N$6:$N$4005,"N"),0),$P$6:$P$4005,0)),"(tanpa lawan)"))</f>
        <v/>
      </c>
      <c r="R2792" s="44"/>
      <c r="S2792" s="9" t="str">
        <f aca="false">IF(N2792&lt;&gt;"Y","",IF(R2792&lt;&gt;"",R2792,IF(Q2792="(tanpa lawan)","Transfer antar rekening",IFERROR(INDEX(I_COA!$F$6:$F$265,MATCH(Q2792,I_COA!$A$6:$A$265,0)),"?"))))</f>
        <v/>
      </c>
    </row>
    <row r="2793" customFormat="false" ht="15" hidden="false" customHeight="false" outlineLevel="0" collapsed="false">
      <c r="A2793" s="37"/>
      <c r="B2793" s="44"/>
      <c r="C2793" s="44"/>
      <c r="D2793" s="44"/>
      <c r="E2793" s="44"/>
      <c r="F2793" s="44"/>
      <c r="G2793" s="42"/>
      <c r="H2793" s="42"/>
      <c r="I2793" s="44"/>
      <c r="J2793" s="11" t="str">
        <f aca="false">IF(D2793="","",N(G2793)-N(H2793))</f>
        <v/>
      </c>
      <c r="K2793" s="34" t="str">
        <f aca="false">IF(D2793="","",IFERROR(INDEX(I_COA!$C$6:$C$265,MATCH(D2793,I_COA!$A$6:$A$265,0)),"AKUN BARU"))</f>
        <v/>
      </c>
      <c r="L2793" s="34" t="str">
        <f aca="false">IF(K2793="LabaRugi",INDEX(I_COA!$D$6:$D$265,MATCH(D2793,I_COA!$A$6:$A$265,0)),"")</f>
        <v/>
      </c>
      <c r="M2793" s="34" t="str">
        <f aca="false">IF(K2793="Neraca",INDEX(I_COA!$E$6:$E$265,MATCH(D2793,I_COA!$A$6:$A$265,0)),"")</f>
        <v/>
      </c>
      <c r="N2793" s="34" t="str">
        <f aca="false">IF(D2793="","",IFERROR(INDEX(I_COA!$G$6:$G$265,MATCH(D2793,I_COA!$A$6:$A$265,0)),"N"))</f>
        <v/>
      </c>
      <c r="O2793" s="11" t="str">
        <f aca="false">IF(N2793="N",ABS(J2793),"")</f>
        <v/>
      </c>
      <c r="P2793" s="18" t="str">
        <f aca="false">IF(N2793="N",B2793&amp;"|"&amp;ROUND(O2793,0),"")</f>
        <v/>
      </c>
      <c r="Q2793" s="18" t="str">
        <f aca="false">IF(N2793&lt;&gt;"Y","",IFERROR(INDEX($D$6:$D$4005,MATCH(B2793&amp;"|"&amp;ROUND(_xlfn.MAXIFS($O$6:$O$4005,$B$6:$B$4005,B2793,$N$6:$N$4005,"N"),0),$P$6:$P$4005,0)),"(tanpa lawan)"))</f>
        <v/>
      </c>
      <c r="R2793" s="44"/>
      <c r="S2793" s="9" t="str">
        <f aca="false">IF(N2793&lt;&gt;"Y","",IF(R2793&lt;&gt;"",R2793,IF(Q2793="(tanpa lawan)","Transfer antar rekening",IFERROR(INDEX(I_COA!$F$6:$F$265,MATCH(Q2793,I_COA!$A$6:$A$265,0)),"?"))))</f>
        <v/>
      </c>
    </row>
    <row r="2794" customFormat="false" ht="15" hidden="false" customHeight="false" outlineLevel="0" collapsed="false">
      <c r="A2794" s="37"/>
      <c r="B2794" s="44"/>
      <c r="C2794" s="44"/>
      <c r="D2794" s="44"/>
      <c r="E2794" s="44"/>
      <c r="F2794" s="44"/>
      <c r="G2794" s="42"/>
      <c r="H2794" s="42"/>
      <c r="I2794" s="44"/>
      <c r="J2794" s="11" t="str">
        <f aca="false">IF(D2794="","",N(G2794)-N(H2794))</f>
        <v/>
      </c>
      <c r="K2794" s="34" t="str">
        <f aca="false">IF(D2794="","",IFERROR(INDEX(I_COA!$C$6:$C$265,MATCH(D2794,I_COA!$A$6:$A$265,0)),"AKUN BARU"))</f>
        <v/>
      </c>
      <c r="L2794" s="34" t="str">
        <f aca="false">IF(K2794="LabaRugi",INDEX(I_COA!$D$6:$D$265,MATCH(D2794,I_COA!$A$6:$A$265,0)),"")</f>
        <v/>
      </c>
      <c r="M2794" s="34" t="str">
        <f aca="false">IF(K2794="Neraca",INDEX(I_COA!$E$6:$E$265,MATCH(D2794,I_COA!$A$6:$A$265,0)),"")</f>
        <v/>
      </c>
      <c r="N2794" s="34" t="str">
        <f aca="false">IF(D2794="","",IFERROR(INDEX(I_COA!$G$6:$G$265,MATCH(D2794,I_COA!$A$6:$A$265,0)),"N"))</f>
        <v/>
      </c>
      <c r="O2794" s="11" t="str">
        <f aca="false">IF(N2794="N",ABS(J2794),"")</f>
        <v/>
      </c>
      <c r="P2794" s="18" t="str">
        <f aca="false">IF(N2794="N",B2794&amp;"|"&amp;ROUND(O2794,0),"")</f>
        <v/>
      </c>
      <c r="Q2794" s="18" t="str">
        <f aca="false">IF(N2794&lt;&gt;"Y","",IFERROR(INDEX($D$6:$D$4005,MATCH(B2794&amp;"|"&amp;ROUND(_xlfn.MAXIFS($O$6:$O$4005,$B$6:$B$4005,B2794,$N$6:$N$4005,"N"),0),$P$6:$P$4005,0)),"(tanpa lawan)"))</f>
        <v/>
      </c>
      <c r="R2794" s="44"/>
      <c r="S2794" s="9" t="str">
        <f aca="false">IF(N2794&lt;&gt;"Y","",IF(R2794&lt;&gt;"",R2794,IF(Q2794="(tanpa lawan)","Transfer antar rekening",IFERROR(INDEX(I_COA!$F$6:$F$265,MATCH(Q2794,I_COA!$A$6:$A$265,0)),"?"))))</f>
        <v/>
      </c>
    </row>
    <row r="2795" customFormat="false" ht="15" hidden="false" customHeight="false" outlineLevel="0" collapsed="false">
      <c r="A2795" s="37"/>
      <c r="B2795" s="44"/>
      <c r="C2795" s="44"/>
      <c r="D2795" s="44"/>
      <c r="E2795" s="44"/>
      <c r="F2795" s="44"/>
      <c r="G2795" s="42"/>
      <c r="H2795" s="42"/>
      <c r="I2795" s="44"/>
      <c r="J2795" s="11" t="str">
        <f aca="false">IF(D2795="","",N(G2795)-N(H2795))</f>
        <v/>
      </c>
      <c r="K2795" s="34" t="str">
        <f aca="false">IF(D2795="","",IFERROR(INDEX(I_COA!$C$6:$C$265,MATCH(D2795,I_COA!$A$6:$A$265,0)),"AKUN BARU"))</f>
        <v/>
      </c>
      <c r="L2795" s="34" t="str">
        <f aca="false">IF(K2795="LabaRugi",INDEX(I_COA!$D$6:$D$265,MATCH(D2795,I_COA!$A$6:$A$265,0)),"")</f>
        <v/>
      </c>
      <c r="M2795" s="34" t="str">
        <f aca="false">IF(K2795="Neraca",INDEX(I_COA!$E$6:$E$265,MATCH(D2795,I_COA!$A$6:$A$265,0)),"")</f>
        <v/>
      </c>
      <c r="N2795" s="34" t="str">
        <f aca="false">IF(D2795="","",IFERROR(INDEX(I_COA!$G$6:$G$265,MATCH(D2795,I_COA!$A$6:$A$265,0)),"N"))</f>
        <v/>
      </c>
      <c r="O2795" s="11" t="str">
        <f aca="false">IF(N2795="N",ABS(J2795),"")</f>
        <v/>
      </c>
      <c r="P2795" s="18" t="str">
        <f aca="false">IF(N2795="N",B2795&amp;"|"&amp;ROUND(O2795,0),"")</f>
        <v/>
      </c>
      <c r="Q2795" s="18" t="str">
        <f aca="false">IF(N2795&lt;&gt;"Y","",IFERROR(INDEX($D$6:$D$4005,MATCH(B2795&amp;"|"&amp;ROUND(_xlfn.MAXIFS($O$6:$O$4005,$B$6:$B$4005,B2795,$N$6:$N$4005,"N"),0),$P$6:$P$4005,0)),"(tanpa lawan)"))</f>
        <v/>
      </c>
      <c r="R2795" s="44"/>
      <c r="S2795" s="9" t="str">
        <f aca="false">IF(N2795&lt;&gt;"Y","",IF(R2795&lt;&gt;"",R2795,IF(Q2795="(tanpa lawan)","Transfer antar rekening",IFERROR(INDEX(I_COA!$F$6:$F$265,MATCH(Q2795,I_COA!$A$6:$A$265,0)),"?"))))</f>
        <v/>
      </c>
    </row>
    <row r="2796" customFormat="false" ht="15" hidden="false" customHeight="false" outlineLevel="0" collapsed="false">
      <c r="A2796" s="37"/>
      <c r="B2796" s="44"/>
      <c r="C2796" s="44"/>
      <c r="D2796" s="44"/>
      <c r="E2796" s="44"/>
      <c r="F2796" s="44"/>
      <c r="G2796" s="42"/>
      <c r="H2796" s="42"/>
      <c r="I2796" s="44"/>
      <c r="J2796" s="11" t="str">
        <f aca="false">IF(D2796="","",N(G2796)-N(H2796))</f>
        <v/>
      </c>
      <c r="K2796" s="34" t="str">
        <f aca="false">IF(D2796="","",IFERROR(INDEX(I_COA!$C$6:$C$265,MATCH(D2796,I_COA!$A$6:$A$265,0)),"AKUN BARU"))</f>
        <v/>
      </c>
      <c r="L2796" s="34" t="str">
        <f aca="false">IF(K2796="LabaRugi",INDEX(I_COA!$D$6:$D$265,MATCH(D2796,I_COA!$A$6:$A$265,0)),"")</f>
        <v/>
      </c>
      <c r="M2796" s="34" t="str">
        <f aca="false">IF(K2796="Neraca",INDEX(I_COA!$E$6:$E$265,MATCH(D2796,I_COA!$A$6:$A$265,0)),"")</f>
        <v/>
      </c>
      <c r="N2796" s="34" t="str">
        <f aca="false">IF(D2796="","",IFERROR(INDEX(I_COA!$G$6:$G$265,MATCH(D2796,I_COA!$A$6:$A$265,0)),"N"))</f>
        <v/>
      </c>
      <c r="O2796" s="11" t="str">
        <f aca="false">IF(N2796="N",ABS(J2796),"")</f>
        <v/>
      </c>
      <c r="P2796" s="18" t="str">
        <f aca="false">IF(N2796="N",B2796&amp;"|"&amp;ROUND(O2796,0),"")</f>
        <v/>
      </c>
      <c r="Q2796" s="18" t="str">
        <f aca="false">IF(N2796&lt;&gt;"Y","",IFERROR(INDEX($D$6:$D$4005,MATCH(B2796&amp;"|"&amp;ROUND(_xlfn.MAXIFS($O$6:$O$4005,$B$6:$B$4005,B2796,$N$6:$N$4005,"N"),0),$P$6:$P$4005,0)),"(tanpa lawan)"))</f>
        <v/>
      </c>
      <c r="R2796" s="44"/>
      <c r="S2796" s="9" t="str">
        <f aca="false">IF(N2796&lt;&gt;"Y","",IF(R2796&lt;&gt;"",R2796,IF(Q2796="(tanpa lawan)","Transfer antar rekening",IFERROR(INDEX(I_COA!$F$6:$F$265,MATCH(Q2796,I_COA!$A$6:$A$265,0)),"?"))))</f>
        <v/>
      </c>
    </row>
    <row r="2797" customFormat="false" ht="15" hidden="false" customHeight="false" outlineLevel="0" collapsed="false">
      <c r="A2797" s="37"/>
      <c r="B2797" s="44"/>
      <c r="C2797" s="44"/>
      <c r="D2797" s="44"/>
      <c r="E2797" s="44"/>
      <c r="F2797" s="44"/>
      <c r="G2797" s="42"/>
      <c r="H2797" s="42"/>
      <c r="I2797" s="44"/>
      <c r="J2797" s="11" t="str">
        <f aca="false">IF(D2797="","",N(G2797)-N(H2797))</f>
        <v/>
      </c>
      <c r="K2797" s="34" t="str">
        <f aca="false">IF(D2797="","",IFERROR(INDEX(I_COA!$C$6:$C$265,MATCH(D2797,I_COA!$A$6:$A$265,0)),"AKUN BARU"))</f>
        <v/>
      </c>
      <c r="L2797" s="34" t="str">
        <f aca="false">IF(K2797="LabaRugi",INDEX(I_COA!$D$6:$D$265,MATCH(D2797,I_COA!$A$6:$A$265,0)),"")</f>
        <v/>
      </c>
      <c r="M2797" s="34" t="str">
        <f aca="false">IF(K2797="Neraca",INDEX(I_COA!$E$6:$E$265,MATCH(D2797,I_COA!$A$6:$A$265,0)),"")</f>
        <v/>
      </c>
      <c r="N2797" s="34" t="str">
        <f aca="false">IF(D2797="","",IFERROR(INDEX(I_COA!$G$6:$G$265,MATCH(D2797,I_COA!$A$6:$A$265,0)),"N"))</f>
        <v/>
      </c>
      <c r="O2797" s="11" t="str">
        <f aca="false">IF(N2797="N",ABS(J2797),"")</f>
        <v/>
      </c>
      <c r="P2797" s="18" t="str">
        <f aca="false">IF(N2797="N",B2797&amp;"|"&amp;ROUND(O2797,0),"")</f>
        <v/>
      </c>
      <c r="Q2797" s="18" t="str">
        <f aca="false">IF(N2797&lt;&gt;"Y","",IFERROR(INDEX($D$6:$D$4005,MATCH(B2797&amp;"|"&amp;ROUND(_xlfn.MAXIFS($O$6:$O$4005,$B$6:$B$4005,B2797,$N$6:$N$4005,"N"),0),$P$6:$P$4005,0)),"(tanpa lawan)"))</f>
        <v/>
      </c>
      <c r="R2797" s="44"/>
      <c r="S2797" s="9" t="str">
        <f aca="false">IF(N2797&lt;&gt;"Y","",IF(R2797&lt;&gt;"",R2797,IF(Q2797="(tanpa lawan)","Transfer antar rekening",IFERROR(INDEX(I_COA!$F$6:$F$265,MATCH(Q2797,I_COA!$A$6:$A$265,0)),"?"))))</f>
        <v/>
      </c>
    </row>
    <row r="2798" customFormat="false" ht="15" hidden="false" customHeight="false" outlineLevel="0" collapsed="false">
      <c r="A2798" s="37"/>
      <c r="B2798" s="44"/>
      <c r="C2798" s="44"/>
      <c r="D2798" s="44"/>
      <c r="E2798" s="44"/>
      <c r="F2798" s="44"/>
      <c r="G2798" s="42"/>
      <c r="H2798" s="42"/>
      <c r="I2798" s="44"/>
      <c r="J2798" s="11" t="str">
        <f aca="false">IF(D2798="","",N(G2798)-N(H2798))</f>
        <v/>
      </c>
      <c r="K2798" s="34" t="str">
        <f aca="false">IF(D2798="","",IFERROR(INDEX(I_COA!$C$6:$C$265,MATCH(D2798,I_COA!$A$6:$A$265,0)),"AKUN BARU"))</f>
        <v/>
      </c>
      <c r="L2798" s="34" t="str">
        <f aca="false">IF(K2798="LabaRugi",INDEX(I_COA!$D$6:$D$265,MATCH(D2798,I_COA!$A$6:$A$265,0)),"")</f>
        <v/>
      </c>
      <c r="M2798" s="34" t="str">
        <f aca="false">IF(K2798="Neraca",INDEX(I_COA!$E$6:$E$265,MATCH(D2798,I_COA!$A$6:$A$265,0)),"")</f>
        <v/>
      </c>
      <c r="N2798" s="34" t="str">
        <f aca="false">IF(D2798="","",IFERROR(INDEX(I_COA!$G$6:$G$265,MATCH(D2798,I_COA!$A$6:$A$265,0)),"N"))</f>
        <v/>
      </c>
      <c r="O2798" s="11" t="str">
        <f aca="false">IF(N2798="N",ABS(J2798),"")</f>
        <v/>
      </c>
      <c r="P2798" s="18" t="str">
        <f aca="false">IF(N2798="N",B2798&amp;"|"&amp;ROUND(O2798,0),"")</f>
        <v/>
      </c>
      <c r="Q2798" s="18" t="str">
        <f aca="false">IF(N2798&lt;&gt;"Y","",IFERROR(INDEX($D$6:$D$4005,MATCH(B2798&amp;"|"&amp;ROUND(_xlfn.MAXIFS($O$6:$O$4005,$B$6:$B$4005,B2798,$N$6:$N$4005,"N"),0),$P$6:$P$4005,0)),"(tanpa lawan)"))</f>
        <v/>
      </c>
      <c r="R2798" s="44"/>
      <c r="S2798" s="9" t="str">
        <f aca="false">IF(N2798&lt;&gt;"Y","",IF(R2798&lt;&gt;"",R2798,IF(Q2798="(tanpa lawan)","Transfer antar rekening",IFERROR(INDEX(I_COA!$F$6:$F$265,MATCH(Q2798,I_COA!$A$6:$A$265,0)),"?"))))</f>
        <v/>
      </c>
    </row>
    <row r="2799" customFormat="false" ht="15" hidden="false" customHeight="false" outlineLevel="0" collapsed="false">
      <c r="A2799" s="37"/>
      <c r="B2799" s="44"/>
      <c r="C2799" s="44"/>
      <c r="D2799" s="44"/>
      <c r="E2799" s="44"/>
      <c r="F2799" s="44"/>
      <c r="G2799" s="42"/>
      <c r="H2799" s="42"/>
      <c r="I2799" s="44"/>
      <c r="J2799" s="11" t="str">
        <f aca="false">IF(D2799="","",N(G2799)-N(H2799))</f>
        <v/>
      </c>
      <c r="K2799" s="34" t="str">
        <f aca="false">IF(D2799="","",IFERROR(INDEX(I_COA!$C$6:$C$265,MATCH(D2799,I_COA!$A$6:$A$265,0)),"AKUN BARU"))</f>
        <v/>
      </c>
      <c r="L2799" s="34" t="str">
        <f aca="false">IF(K2799="LabaRugi",INDEX(I_COA!$D$6:$D$265,MATCH(D2799,I_COA!$A$6:$A$265,0)),"")</f>
        <v/>
      </c>
      <c r="M2799" s="34" t="str">
        <f aca="false">IF(K2799="Neraca",INDEX(I_COA!$E$6:$E$265,MATCH(D2799,I_COA!$A$6:$A$265,0)),"")</f>
        <v/>
      </c>
      <c r="N2799" s="34" t="str">
        <f aca="false">IF(D2799="","",IFERROR(INDEX(I_COA!$G$6:$G$265,MATCH(D2799,I_COA!$A$6:$A$265,0)),"N"))</f>
        <v/>
      </c>
      <c r="O2799" s="11" t="str">
        <f aca="false">IF(N2799="N",ABS(J2799),"")</f>
        <v/>
      </c>
      <c r="P2799" s="18" t="str">
        <f aca="false">IF(N2799="N",B2799&amp;"|"&amp;ROUND(O2799,0),"")</f>
        <v/>
      </c>
      <c r="Q2799" s="18" t="str">
        <f aca="false">IF(N2799&lt;&gt;"Y","",IFERROR(INDEX($D$6:$D$4005,MATCH(B2799&amp;"|"&amp;ROUND(_xlfn.MAXIFS($O$6:$O$4005,$B$6:$B$4005,B2799,$N$6:$N$4005,"N"),0),$P$6:$P$4005,0)),"(tanpa lawan)"))</f>
        <v/>
      </c>
      <c r="R2799" s="44"/>
      <c r="S2799" s="9" t="str">
        <f aca="false">IF(N2799&lt;&gt;"Y","",IF(R2799&lt;&gt;"",R2799,IF(Q2799="(tanpa lawan)","Transfer antar rekening",IFERROR(INDEX(I_COA!$F$6:$F$265,MATCH(Q2799,I_COA!$A$6:$A$265,0)),"?"))))</f>
        <v/>
      </c>
    </row>
    <row r="2800" customFormat="false" ht="15" hidden="false" customHeight="false" outlineLevel="0" collapsed="false">
      <c r="A2800" s="37"/>
      <c r="B2800" s="44"/>
      <c r="C2800" s="44"/>
      <c r="D2800" s="44"/>
      <c r="E2800" s="44"/>
      <c r="F2800" s="44"/>
      <c r="G2800" s="42"/>
      <c r="H2800" s="42"/>
      <c r="I2800" s="44"/>
      <c r="J2800" s="11" t="str">
        <f aca="false">IF(D2800="","",N(G2800)-N(H2800))</f>
        <v/>
      </c>
      <c r="K2800" s="34" t="str">
        <f aca="false">IF(D2800="","",IFERROR(INDEX(I_COA!$C$6:$C$265,MATCH(D2800,I_COA!$A$6:$A$265,0)),"AKUN BARU"))</f>
        <v/>
      </c>
      <c r="L2800" s="34" t="str">
        <f aca="false">IF(K2800="LabaRugi",INDEX(I_COA!$D$6:$D$265,MATCH(D2800,I_COA!$A$6:$A$265,0)),"")</f>
        <v/>
      </c>
      <c r="M2800" s="34" t="str">
        <f aca="false">IF(K2800="Neraca",INDEX(I_COA!$E$6:$E$265,MATCH(D2800,I_COA!$A$6:$A$265,0)),"")</f>
        <v/>
      </c>
      <c r="N2800" s="34" t="str">
        <f aca="false">IF(D2800="","",IFERROR(INDEX(I_COA!$G$6:$G$265,MATCH(D2800,I_COA!$A$6:$A$265,0)),"N"))</f>
        <v/>
      </c>
      <c r="O2800" s="11" t="str">
        <f aca="false">IF(N2800="N",ABS(J2800),"")</f>
        <v/>
      </c>
      <c r="P2800" s="18" t="str">
        <f aca="false">IF(N2800="N",B2800&amp;"|"&amp;ROUND(O2800,0),"")</f>
        <v/>
      </c>
      <c r="Q2800" s="18" t="str">
        <f aca="false">IF(N2800&lt;&gt;"Y","",IFERROR(INDEX($D$6:$D$4005,MATCH(B2800&amp;"|"&amp;ROUND(_xlfn.MAXIFS($O$6:$O$4005,$B$6:$B$4005,B2800,$N$6:$N$4005,"N"),0),$P$6:$P$4005,0)),"(tanpa lawan)"))</f>
        <v/>
      </c>
      <c r="R2800" s="44"/>
      <c r="S2800" s="9" t="str">
        <f aca="false">IF(N2800&lt;&gt;"Y","",IF(R2800&lt;&gt;"",R2800,IF(Q2800="(tanpa lawan)","Transfer antar rekening",IFERROR(INDEX(I_COA!$F$6:$F$265,MATCH(Q2800,I_COA!$A$6:$A$265,0)),"?"))))</f>
        <v/>
      </c>
    </row>
    <row r="2801" customFormat="false" ht="15" hidden="false" customHeight="false" outlineLevel="0" collapsed="false">
      <c r="A2801" s="37"/>
      <c r="B2801" s="44"/>
      <c r="C2801" s="44"/>
      <c r="D2801" s="44"/>
      <c r="E2801" s="44"/>
      <c r="F2801" s="44"/>
      <c r="G2801" s="42"/>
      <c r="H2801" s="42"/>
      <c r="I2801" s="44"/>
      <c r="J2801" s="11" t="str">
        <f aca="false">IF(D2801="","",N(G2801)-N(H2801))</f>
        <v/>
      </c>
      <c r="K2801" s="34" t="str">
        <f aca="false">IF(D2801="","",IFERROR(INDEX(I_COA!$C$6:$C$265,MATCH(D2801,I_COA!$A$6:$A$265,0)),"AKUN BARU"))</f>
        <v/>
      </c>
      <c r="L2801" s="34" t="str">
        <f aca="false">IF(K2801="LabaRugi",INDEX(I_COA!$D$6:$D$265,MATCH(D2801,I_COA!$A$6:$A$265,0)),"")</f>
        <v/>
      </c>
      <c r="M2801" s="34" t="str">
        <f aca="false">IF(K2801="Neraca",INDEX(I_COA!$E$6:$E$265,MATCH(D2801,I_COA!$A$6:$A$265,0)),"")</f>
        <v/>
      </c>
      <c r="N2801" s="34" t="str">
        <f aca="false">IF(D2801="","",IFERROR(INDEX(I_COA!$G$6:$G$265,MATCH(D2801,I_COA!$A$6:$A$265,0)),"N"))</f>
        <v/>
      </c>
      <c r="O2801" s="11" t="str">
        <f aca="false">IF(N2801="N",ABS(J2801),"")</f>
        <v/>
      </c>
      <c r="P2801" s="18" t="str">
        <f aca="false">IF(N2801="N",B2801&amp;"|"&amp;ROUND(O2801,0),"")</f>
        <v/>
      </c>
      <c r="Q2801" s="18" t="str">
        <f aca="false">IF(N2801&lt;&gt;"Y","",IFERROR(INDEX($D$6:$D$4005,MATCH(B2801&amp;"|"&amp;ROUND(_xlfn.MAXIFS($O$6:$O$4005,$B$6:$B$4005,B2801,$N$6:$N$4005,"N"),0),$P$6:$P$4005,0)),"(tanpa lawan)"))</f>
        <v/>
      </c>
      <c r="R2801" s="44"/>
      <c r="S2801" s="9" t="str">
        <f aca="false">IF(N2801&lt;&gt;"Y","",IF(R2801&lt;&gt;"",R2801,IF(Q2801="(tanpa lawan)","Transfer antar rekening",IFERROR(INDEX(I_COA!$F$6:$F$265,MATCH(Q2801,I_COA!$A$6:$A$265,0)),"?"))))</f>
        <v/>
      </c>
    </row>
    <row r="2802" customFormat="false" ht="15" hidden="false" customHeight="false" outlineLevel="0" collapsed="false">
      <c r="A2802" s="37"/>
      <c r="B2802" s="44"/>
      <c r="C2802" s="44"/>
      <c r="D2802" s="44"/>
      <c r="E2802" s="44"/>
      <c r="F2802" s="44"/>
      <c r="G2802" s="42"/>
      <c r="H2802" s="42"/>
      <c r="I2802" s="44"/>
      <c r="J2802" s="11" t="str">
        <f aca="false">IF(D2802="","",N(G2802)-N(H2802))</f>
        <v/>
      </c>
      <c r="K2802" s="34" t="str">
        <f aca="false">IF(D2802="","",IFERROR(INDEX(I_COA!$C$6:$C$265,MATCH(D2802,I_COA!$A$6:$A$265,0)),"AKUN BARU"))</f>
        <v/>
      </c>
      <c r="L2802" s="34" t="str">
        <f aca="false">IF(K2802="LabaRugi",INDEX(I_COA!$D$6:$D$265,MATCH(D2802,I_COA!$A$6:$A$265,0)),"")</f>
        <v/>
      </c>
      <c r="M2802" s="34" t="str">
        <f aca="false">IF(K2802="Neraca",INDEX(I_COA!$E$6:$E$265,MATCH(D2802,I_COA!$A$6:$A$265,0)),"")</f>
        <v/>
      </c>
      <c r="N2802" s="34" t="str">
        <f aca="false">IF(D2802="","",IFERROR(INDEX(I_COA!$G$6:$G$265,MATCH(D2802,I_COA!$A$6:$A$265,0)),"N"))</f>
        <v/>
      </c>
      <c r="O2802" s="11" t="str">
        <f aca="false">IF(N2802="N",ABS(J2802),"")</f>
        <v/>
      </c>
      <c r="P2802" s="18" t="str">
        <f aca="false">IF(N2802="N",B2802&amp;"|"&amp;ROUND(O2802,0),"")</f>
        <v/>
      </c>
      <c r="Q2802" s="18" t="str">
        <f aca="false">IF(N2802&lt;&gt;"Y","",IFERROR(INDEX($D$6:$D$4005,MATCH(B2802&amp;"|"&amp;ROUND(_xlfn.MAXIFS($O$6:$O$4005,$B$6:$B$4005,B2802,$N$6:$N$4005,"N"),0),$P$6:$P$4005,0)),"(tanpa lawan)"))</f>
        <v/>
      </c>
      <c r="R2802" s="44"/>
      <c r="S2802" s="9" t="str">
        <f aca="false">IF(N2802&lt;&gt;"Y","",IF(R2802&lt;&gt;"",R2802,IF(Q2802="(tanpa lawan)","Transfer antar rekening",IFERROR(INDEX(I_COA!$F$6:$F$265,MATCH(Q2802,I_COA!$A$6:$A$265,0)),"?"))))</f>
        <v/>
      </c>
    </row>
    <row r="2803" customFormat="false" ht="15" hidden="false" customHeight="false" outlineLevel="0" collapsed="false">
      <c r="A2803" s="37"/>
      <c r="B2803" s="44"/>
      <c r="C2803" s="44"/>
      <c r="D2803" s="44"/>
      <c r="E2803" s="44"/>
      <c r="F2803" s="44"/>
      <c r="G2803" s="42"/>
      <c r="H2803" s="42"/>
      <c r="I2803" s="44"/>
      <c r="J2803" s="11" t="str">
        <f aca="false">IF(D2803="","",N(G2803)-N(H2803))</f>
        <v/>
      </c>
      <c r="K2803" s="34" t="str">
        <f aca="false">IF(D2803="","",IFERROR(INDEX(I_COA!$C$6:$C$265,MATCH(D2803,I_COA!$A$6:$A$265,0)),"AKUN BARU"))</f>
        <v/>
      </c>
      <c r="L2803" s="34" t="str">
        <f aca="false">IF(K2803="LabaRugi",INDEX(I_COA!$D$6:$D$265,MATCH(D2803,I_COA!$A$6:$A$265,0)),"")</f>
        <v/>
      </c>
      <c r="M2803" s="34" t="str">
        <f aca="false">IF(K2803="Neraca",INDEX(I_COA!$E$6:$E$265,MATCH(D2803,I_COA!$A$6:$A$265,0)),"")</f>
        <v/>
      </c>
      <c r="N2803" s="34" t="str">
        <f aca="false">IF(D2803="","",IFERROR(INDEX(I_COA!$G$6:$G$265,MATCH(D2803,I_COA!$A$6:$A$265,0)),"N"))</f>
        <v/>
      </c>
      <c r="O2803" s="11" t="str">
        <f aca="false">IF(N2803="N",ABS(J2803),"")</f>
        <v/>
      </c>
      <c r="P2803" s="18" t="str">
        <f aca="false">IF(N2803="N",B2803&amp;"|"&amp;ROUND(O2803,0),"")</f>
        <v/>
      </c>
      <c r="Q2803" s="18" t="str">
        <f aca="false">IF(N2803&lt;&gt;"Y","",IFERROR(INDEX($D$6:$D$4005,MATCH(B2803&amp;"|"&amp;ROUND(_xlfn.MAXIFS($O$6:$O$4005,$B$6:$B$4005,B2803,$N$6:$N$4005,"N"),0),$P$6:$P$4005,0)),"(tanpa lawan)"))</f>
        <v/>
      </c>
      <c r="R2803" s="44"/>
      <c r="S2803" s="9" t="str">
        <f aca="false">IF(N2803&lt;&gt;"Y","",IF(R2803&lt;&gt;"",R2803,IF(Q2803="(tanpa lawan)","Transfer antar rekening",IFERROR(INDEX(I_COA!$F$6:$F$265,MATCH(Q2803,I_COA!$A$6:$A$265,0)),"?"))))</f>
        <v/>
      </c>
    </row>
    <row r="2804" customFormat="false" ht="15" hidden="false" customHeight="false" outlineLevel="0" collapsed="false">
      <c r="A2804" s="37"/>
      <c r="B2804" s="44"/>
      <c r="C2804" s="44"/>
      <c r="D2804" s="44"/>
      <c r="E2804" s="44"/>
      <c r="F2804" s="44"/>
      <c r="G2804" s="42"/>
      <c r="H2804" s="42"/>
      <c r="I2804" s="44"/>
      <c r="J2804" s="11" t="str">
        <f aca="false">IF(D2804="","",N(G2804)-N(H2804))</f>
        <v/>
      </c>
      <c r="K2804" s="34" t="str">
        <f aca="false">IF(D2804="","",IFERROR(INDEX(I_COA!$C$6:$C$265,MATCH(D2804,I_COA!$A$6:$A$265,0)),"AKUN BARU"))</f>
        <v/>
      </c>
      <c r="L2804" s="34" t="str">
        <f aca="false">IF(K2804="LabaRugi",INDEX(I_COA!$D$6:$D$265,MATCH(D2804,I_COA!$A$6:$A$265,0)),"")</f>
        <v/>
      </c>
      <c r="M2804" s="34" t="str">
        <f aca="false">IF(K2804="Neraca",INDEX(I_COA!$E$6:$E$265,MATCH(D2804,I_COA!$A$6:$A$265,0)),"")</f>
        <v/>
      </c>
      <c r="N2804" s="34" t="str">
        <f aca="false">IF(D2804="","",IFERROR(INDEX(I_COA!$G$6:$G$265,MATCH(D2804,I_COA!$A$6:$A$265,0)),"N"))</f>
        <v/>
      </c>
      <c r="O2804" s="11" t="str">
        <f aca="false">IF(N2804="N",ABS(J2804),"")</f>
        <v/>
      </c>
      <c r="P2804" s="18" t="str">
        <f aca="false">IF(N2804="N",B2804&amp;"|"&amp;ROUND(O2804,0),"")</f>
        <v/>
      </c>
      <c r="Q2804" s="18" t="str">
        <f aca="false">IF(N2804&lt;&gt;"Y","",IFERROR(INDEX($D$6:$D$4005,MATCH(B2804&amp;"|"&amp;ROUND(_xlfn.MAXIFS($O$6:$O$4005,$B$6:$B$4005,B2804,$N$6:$N$4005,"N"),0),$P$6:$P$4005,0)),"(tanpa lawan)"))</f>
        <v/>
      </c>
      <c r="R2804" s="44"/>
      <c r="S2804" s="9" t="str">
        <f aca="false">IF(N2804&lt;&gt;"Y","",IF(R2804&lt;&gt;"",R2804,IF(Q2804="(tanpa lawan)","Transfer antar rekening",IFERROR(INDEX(I_COA!$F$6:$F$265,MATCH(Q2804,I_COA!$A$6:$A$265,0)),"?"))))</f>
        <v/>
      </c>
    </row>
    <row r="2805" customFormat="false" ht="15" hidden="false" customHeight="false" outlineLevel="0" collapsed="false">
      <c r="A2805" s="37"/>
      <c r="B2805" s="44"/>
      <c r="C2805" s="44"/>
      <c r="D2805" s="44"/>
      <c r="E2805" s="44"/>
      <c r="F2805" s="44"/>
      <c r="G2805" s="42"/>
      <c r="H2805" s="42"/>
      <c r="I2805" s="44"/>
      <c r="J2805" s="11" t="str">
        <f aca="false">IF(D2805="","",N(G2805)-N(H2805))</f>
        <v/>
      </c>
      <c r="K2805" s="34" t="str">
        <f aca="false">IF(D2805="","",IFERROR(INDEX(I_COA!$C$6:$C$265,MATCH(D2805,I_COA!$A$6:$A$265,0)),"AKUN BARU"))</f>
        <v/>
      </c>
      <c r="L2805" s="34" t="str">
        <f aca="false">IF(K2805="LabaRugi",INDEX(I_COA!$D$6:$D$265,MATCH(D2805,I_COA!$A$6:$A$265,0)),"")</f>
        <v/>
      </c>
      <c r="M2805" s="34" t="str">
        <f aca="false">IF(K2805="Neraca",INDEX(I_COA!$E$6:$E$265,MATCH(D2805,I_COA!$A$6:$A$265,0)),"")</f>
        <v/>
      </c>
      <c r="N2805" s="34" t="str">
        <f aca="false">IF(D2805="","",IFERROR(INDEX(I_COA!$G$6:$G$265,MATCH(D2805,I_COA!$A$6:$A$265,0)),"N"))</f>
        <v/>
      </c>
      <c r="O2805" s="11" t="str">
        <f aca="false">IF(N2805="N",ABS(J2805),"")</f>
        <v/>
      </c>
      <c r="P2805" s="18" t="str">
        <f aca="false">IF(N2805="N",B2805&amp;"|"&amp;ROUND(O2805,0),"")</f>
        <v/>
      </c>
      <c r="Q2805" s="18" t="str">
        <f aca="false">IF(N2805&lt;&gt;"Y","",IFERROR(INDEX($D$6:$D$4005,MATCH(B2805&amp;"|"&amp;ROUND(_xlfn.MAXIFS($O$6:$O$4005,$B$6:$B$4005,B2805,$N$6:$N$4005,"N"),0),$P$6:$P$4005,0)),"(tanpa lawan)"))</f>
        <v/>
      </c>
      <c r="R2805" s="44"/>
      <c r="S2805" s="9" t="str">
        <f aca="false">IF(N2805&lt;&gt;"Y","",IF(R2805&lt;&gt;"",R2805,IF(Q2805="(tanpa lawan)","Transfer antar rekening",IFERROR(INDEX(I_COA!$F$6:$F$265,MATCH(Q2805,I_COA!$A$6:$A$265,0)),"?"))))</f>
        <v/>
      </c>
    </row>
    <row r="2806" customFormat="false" ht="15" hidden="false" customHeight="false" outlineLevel="0" collapsed="false">
      <c r="A2806" s="37"/>
      <c r="B2806" s="44"/>
      <c r="C2806" s="44"/>
      <c r="D2806" s="44"/>
      <c r="E2806" s="44"/>
      <c r="F2806" s="44"/>
      <c r="G2806" s="42"/>
      <c r="H2806" s="42"/>
      <c r="I2806" s="44"/>
      <c r="J2806" s="11" t="str">
        <f aca="false">IF(D2806="","",N(G2806)-N(H2806))</f>
        <v/>
      </c>
      <c r="K2806" s="34" t="str">
        <f aca="false">IF(D2806="","",IFERROR(INDEX(I_COA!$C$6:$C$265,MATCH(D2806,I_COA!$A$6:$A$265,0)),"AKUN BARU"))</f>
        <v/>
      </c>
      <c r="L2806" s="34" t="str">
        <f aca="false">IF(K2806="LabaRugi",INDEX(I_COA!$D$6:$D$265,MATCH(D2806,I_COA!$A$6:$A$265,0)),"")</f>
        <v/>
      </c>
      <c r="M2806" s="34" t="str">
        <f aca="false">IF(K2806="Neraca",INDEX(I_COA!$E$6:$E$265,MATCH(D2806,I_COA!$A$6:$A$265,0)),"")</f>
        <v/>
      </c>
      <c r="N2806" s="34" t="str">
        <f aca="false">IF(D2806="","",IFERROR(INDEX(I_COA!$G$6:$G$265,MATCH(D2806,I_COA!$A$6:$A$265,0)),"N"))</f>
        <v/>
      </c>
      <c r="O2806" s="11" t="str">
        <f aca="false">IF(N2806="N",ABS(J2806),"")</f>
        <v/>
      </c>
      <c r="P2806" s="18" t="str">
        <f aca="false">IF(N2806="N",B2806&amp;"|"&amp;ROUND(O2806,0),"")</f>
        <v/>
      </c>
      <c r="Q2806" s="18" t="str">
        <f aca="false">IF(N2806&lt;&gt;"Y","",IFERROR(INDEX($D$6:$D$4005,MATCH(B2806&amp;"|"&amp;ROUND(_xlfn.MAXIFS($O$6:$O$4005,$B$6:$B$4005,B2806,$N$6:$N$4005,"N"),0),$P$6:$P$4005,0)),"(tanpa lawan)"))</f>
        <v/>
      </c>
      <c r="R2806" s="44"/>
      <c r="S2806" s="9" t="str">
        <f aca="false">IF(N2806&lt;&gt;"Y","",IF(R2806&lt;&gt;"",R2806,IF(Q2806="(tanpa lawan)","Transfer antar rekening",IFERROR(INDEX(I_COA!$F$6:$F$265,MATCH(Q2806,I_COA!$A$6:$A$265,0)),"?"))))</f>
        <v/>
      </c>
    </row>
    <row r="2807" customFormat="false" ht="15" hidden="false" customHeight="false" outlineLevel="0" collapsed="false">
      <c r="A2807" s="37"/>
      <c r="B2807" s="44"/>
      <c r="C2807" s="44"/>
      <c r="D2807" s="44"/>
      <c r="E2807" s="44"/>
      <c r="F2807" s="44"/>
      <c r="G2807" s="42"/>
      <c r="H2807" s="42"/>
      <c r="I2807" s="44"/>
      <c r="J2807" s="11" t="str">
        <f aca="false">IF(D2807="","",N(G2807)-N(H2807))</f>
        <v/>
      </c>
      <c r="K2807" s="34" t="str">
        <f aca="false">IF(D2807="","",IFERROR(INDEX(I_COA!$C$6:$C$265,MATCH(D2807,I_COA!$A$6:$A$265,0)),"AKUN BARU"))</f>
        <v/>
      </c>
      <c r="L2807" s="34" t="str">
        <f aca="false">IF(K2807="LabaRugi",INDEX(I_COA!$D$6:$D$265,MATCH(D2807,I_COA!$A$6:$A$265,0)),"")</f>
        <v/>
      </c>
      <c r="M2807" s="34" t="str">
        <f aca="false">IF(K2807="Neraca",INDEX(I_COA!$E$6:$E$265,MATCH(D2807,I_COA!$A$6:$A$265,0)),"")</f>
        <v/>
      </c>
      <c r="N2807" s="34" t="str">
        <f aca="false">IF(D2807="","",IFERROR(INDEX(I_COA!$G$6:$G$265,MATCH(D2807,I_COA!$A$6:$A$265,0)),"N"))</f>
        <v/>
      </c>
      <c r="O2807" s="11" t="str">
        <f aca="false">IF(N2807="N",ABS(J2807),"")</f>
        <v/>
      </c>
      <c r="P2807" s="18" t="str">
        <f aca="false">IF(N2807="N",B2807&amp;"|"&amp;ROUND(O2807,0),"")</f>
        <v/>
      </c>
      <c r="Q2807" s="18" t="str">
        <f aca="false">IF(N2807&lt;&gt;"Y","",IFERROR(INDEX($D$6:$D$4005,MATCH(B2807&amp;"|"&amp;ROUND(_xlfn.MAXIFS($O$6:$O$4005,$B$6:$B$4005,B2807,$N$6:$N$4005,"N"),0),$P$6:$P$4005,0)),"(tanpa lawan)"))</f>
        <v/>
      </c>
      <c r="R2807" s="44"/>
      <c r="S2807" s="9" t="str">
        <f aca="false">IF(N2807&lt;&gt;"Y","",IF(R2807&lt;&gt;"",R2807,IF(Q2807="(tanpa lawan)","Transfer antar rekening",IFERROR(INDEX(I_COA!$F$6:$F$265,MATCH(Q2807,I_COA!$A$6:$A$265,0)),"?"))))</f>
        <v/>
      </c>
    </row>
    <row r="2808" customFormat="false" ht="15" hidden="false" customHeight="false" outlineLevel="0" collapsed="false">
      <c r="A2808" s="37"/>
      <c r="B2808" s="44"/>
      <c r="C2808" s="44"/>
      <c r="D2808" s="44"/>
      <c r="E2808" s="44"/>
      <c r="F2808" s="44"/>
      <c r="G2808" s="42"/>
      <c r="H2808" s="42"/>
      <c r="I2808" s="44"/>
      <c r="J2808" s="11" t="str">
        <f aca="false">IF(D2808="","",N(G2808)-N(H2808))</f>
        <v/>
      </c>
      <c r="K2808" s="34" t="str">
        <f aca="false">IF(D2808="","",IFERROR(INDEX(I_COA!$C$6:$C$265,MATCH(D2808,I_COA!$A$6:$A$265,0)),"AKUN BARU"))</f>
        <v/>
      </c>
      <c r="L2808" s="34" t="str">
        <f aca="false">IF(K2808="LabaRugi",INDEX(I_COA!$D$6:$D$265,MATCH(D2808,I_COA!$A$6:$A$265,0)),"")</f>
        <v/>
      </c>
      <c r="M2808" s="34" t="str">
        <f aca="false">IF(K2808="Neraca",INDEX(I_COA!$E$6:$E$265,MATCH(D2808,I_COA!$A$6:$A$265,0)),"")</f>
        <v/>
      </c>
      <c r="N2808" s="34" t="str">
        <f aca="false">IF(D2808="","",IFERROR(INDEX(I_COA!$G$6:$G$265,MATCH(D2808,I_COA!$A$6:$A$265,0)),"N"))</f>
        <v/>
      </c>
      <c r="O2808" s="11" t="str">
        <f aca="false">IF(N2808="N",ABS(J2808),"")</f>
        <v/>
      </c>
      <c r="P2808" s="18" t="str">
        <f aca="false">IF(N2808="N",B2808&amp;"|"&amp;ROUND(O2808,0),"")</f>
        <v/>
      </c>
      <c r="Q2808" s="18" t="str">
        <f aca="false">IF(N2808&lt;&gt;"Y","",IFERROR(INDEX($D$6:$D$4005,MATCH(B2808&amp;"|"&amp;ROUND(_xlfn.MAXIFS($O$6:$O$4005,$B$6:$B$4005,B2808,$N$6:$N$4005,"N"),0),$P$6:$P$4005,0)),"(tanpa lawan)"))</f>
        <v/>
      </c>
      <c r="R2808" s="44"/>
      <c r="S2808" s="9" t="str">
        <f aca="false">IF(N2808&lt;&gt;"Y","",IF(R2808&lt;&gt;"",R2808,IF(Q2808="(tanpa lawan)","Transfer antar rekening",IFERROR(INDEX(I_COA!$F$6:$F$265,MATCH(Q2808,I_COA!$A$6:$A$265,0)),"?"))))</f>
        <v/>
      </c>
    </row>
    <row r="2809" customFormat="false" ht="15" hidden="false" customHeight="false" outlineLevel="0" collapsed="false">
      <c r="A2809" s="37"/>
      <c r="B2809" s="44"/>
      <c r="C2809" s="44"/>
      <c r="D2809" s="44"/>
      <c r="E2809" s="44"/>
      <c r="F2809" s="44"/>
      <c r="G2809" s="42"/>
      <c r="H2809" s="42"/>
      <c r="I2809" s="44"/>
      <c r="J2809" s="11" t="str">
        <f aca="false">IF(D2809="","",N(G2809)-N(H2809))</f>
        <v/>
      </c>
      <c r="K2809" s="34" t="str">
        <f aca="false">IF(D2809="","",IFERROR(INDEX(I_COA!$C$6:$C$265,MATCH(D2809,I_COA!$A$6:$A$265,0)),"AKUN BARU"))</f>
        <v/>
      </c>
      <c r="L2809" s="34" t="str">
        <f aca="false">IF(K2809="LabaRugi",INDEX(I_COA!$D$6:$D$265,MATCH(D2809,I_COA!$A$6:$A$265,0)),"")</f>
        <v/>
      </c>
      <c r="M2809" s="34" t="str">
        <f aca="false">IF(K2809="Neraca",INDEX(I_COA!$E$6:$E$265,MATCH(D2809,I_COA!$A$6:$A$265,0)),"")</f>
        <v/>
      </c>
      <c r="N2809" s="34" t="str">
        <f aca="false">IF(D2809="","",IFERROR(INDEX(I_COA!$G$6:$G$265,MATCH(D2809,I_COA!$A$6:$A$265,0)),"N"))</f>
        <v/>
      </c>
      <c r="O2809" s="11" t="str">
        <f aca="false">IF(N2809="N",ABS(J2809),"")</f>
        <v/>
      </c>
      <c r="P2809" s="18" t="str">
        <f aca="false">IF(N2809="N",B2809&amp;"|"&amp;ROUND(O2809,0),"")</f>
        <v/>
      </c>
      <c r="Q2809" s="18" t="str">
        <f aca="false">IF(N2809&lt;&gt;"Y","",IFERROR(INDEX($D$6:$D$4005,MATCH(B2809&amp;"|"&amp;ROUND(_xlfn.MAXIFS($O$6:$O$4005,$B$6:$B$4005,B2809,$N$6:$N$4005,"N"),0),$P$6:$P$4005,0)),"(tanpa lawan)"))</f>
        <v/>
      </c>
      <c r="R2809" s="44"/>
      <c r="S2809" s="9" t="str">
        <f aca="false">IF(N2809&lt;&gt;"Y","",IF(R2809&lt;&gt;"",R2809,IF(Q2809="(tanpa lawan)","Transfer antar rekening",IFERROR(INDEX(I_COA!$F$6:$F$265,MATCH(Q2809,I_COA!$A$6:$A$265,0)),"?"))))</f>
        <v/>
      </c>
    </row>
    <row r="2810" customFormat="false" ht="15" hidden="false" customHeight="false" outlineLevel="0" collapsed="false">
      <c r="A2810" s="37"/>
      <c r="B2810" s="44"/>
      <c r="C2810" s="44"/>
      <c r="D2810" s="44"/>
      <c r="E2810" s="44"/>
      <c r="F2810" s="44"/>
      <c r="G2810" s="42"/>
      <c r="H2810" s="42"/>
      <c r="I2810" s="44"/>
      <c r="J2810" s="11" t="str">
        <f aca="false">IF(D2810="","",N(G2810)-N(H2810))</f>
        <v/>
      </c>
      <c r="K2810" s="34" t="str">
        <f aca="false">IF(D2810="","",IFERROR(INDEX(I_COA!$C$6:$C$265,MATCH(D2810,I_COA!$A$6:$A$265,0)),"AKUN BARU"))</f>
        <v/>
      </c>
      <c r="L2810" s="34" t="str">
        <f aca="false">IF(K2810="LabaRugi",INDEX(I_COA!$D$6:$D$265,MATCH(D2810,I_COA!$A$6:$A$265,0)),"")</f>
        <v/>
      </c>
      <c r="M2810" s="34" t="str">
        <f aca="false">IF(K2810="Neraca",INDEX(I_COA!$E$6:$E$265,MATCH(D2810,I_COA!$A$6:$A$265,0)),"")</f>
        <v/>
      </c>
      <c r="N2810" s="34" t="str">
        <f aca="false">IF(D2810="","",IFERROR(INDEX(I_COA!$G$6:$G$265,MATCH(D2810,I_COA!$A$6:$A$265,0)),"N"))</f>
        <v/>
      </c>
      <c r="O2810" s="11" t="str">
        <f aca="false">IF(N2810="N",ABS(J2810),"")</f>
        <v/>
      </c>
      <c r="P2810" s="18" t="str">
        <f aca="false">IF(N2810="N",B2810&amp;"|"&amp;ROUND(O2810,0),"")</f>
        <v/>
      </c>
      <c r="Q2810" s="18" t="str">
        <f aca="false">IF(N2810&lt;&gt;"Y","",IFERROR(INDEX($D$6:$D$4005,MATCH(B2810&amp;"|"&amp;ROUND(_xlfn.MAXIFS($O$6:$O$4005,$B$6:$B$4005,B2810,$N$6:$N$4005,"N"),0),$P$6:$P$4005,0)),"(tanpa lawan)"))</f>
        <v/>
      </c>
      <c r="R2810" s="44"/>
      <c r="S2810" s="9" t="str">
        <f aca="false">IF(N2810&lt;&gt;"Y","",IF(R2810&lt;&gt;"",R2810,IF(Q2810="(tanpa lawan)","Transfer antar rekening",IFERROR(INDEX(I_COA!$F$6:$F$265,MATCH(Q2810,I_COA!$A$6:$A$265,0)),"?"))))</f>
        <v/>
      </c>
    </row>
    <row r="2811" customFormat="false" ht="15" hidden="false" customHeight="false" outlineLevel="0" collapsed="false">
      <c r="A2811" s="37"/>
      <c r="B2811" s="44"/>
      <c r="C2811" s="44"/>
      <c r="D2811" s="44"/>
      <c r="E2811" s="44"/>
      <c r="F2811" s="44"/>
      <c r="G2811" s="42"/>
      <c r="H2811" s="42"/>
      <c r="I2811" s="44"/>
      <c r="J2811" s="11" t="str">
        <f aca="false">IF(D2811="","",N(G2811)-N(H2811))</f>
        <v/>
      </c>
      <c r="K2811" s="34" t="str">
        <f aca="false">IF(D2811="","",IFERROR(INDEX(I_COA!$C$6:$C$265,MATCH(D2811,I_COA!$A$6:$A$265,0)),"AKUN BARU"))</f>
        <v/>
      </c>
      <c r="L2811" s="34" t="str">
        <f aca="false">IF(K2811="LabaRugi",INDEX(I_COA!$D$6:$D$265,MATCH(D2811,I_COA!$A$6:$A$265,0)),"")</f>
        <v/>
      </c>
      <c r="M2811" s="34" t="str">
        <f aca="false">IF(K2811="Neraca",INDEX(I_COA!$E$6:$E$265,MATCH(D2811,I_COA!$A$6:$A$265,0)),"")</f>
        <v/>
      </c>
      <c r="N2811" s="34" t="str">
        <f aca="false">IF(D2811="","",IFERROR(INDEX(I_COA!$G$6:$G$265,MATCH(D2811,I_COA!$A$6:$A$265,0)),"N"))</f>
        <v/>
      </c>
      <c r="O2811" s="11" t="str">
        <f aca="false">IF(N2811="N",ABS(J2811),"")</f>
        <v/>
      </c>
      <c r="P2811" s="18" t="str">
        <f aca="false">IF(N2811="N",B2811&amp;"|"&amp;ROUND(O2811,0),"")</f>
        <v/>
      </c>
      <c r="Q2811" s="18" t="str">
        <f aca="false">IF(N2811&lt;&gt;"Y","",IFERROR(INDEX($D$6:$D$4005,MATCH(B2811&amp;"|"&amp;ROUND(_xlfn.MAXIFS($O$6:$O$4005,$B$6:$B$4005,B2811,$N$6:$N$4005,"N"),0),$P$6:$P$4005,0)),"(tanpa lawan)"))</f>
        <v/>
      </c>
      <c r="R2811" s="44"/>
      <c r="S2811" s="9" t="str">
        <f aca="false">IF(N2811&lt;&gt;"Y","",IF(R2811&lt;&gt;"",R2811,IF(Q2811="(tanpa lawan)","Transfer antar rekening",IFERROR(INDEX(I_COA!$F$6:$F$265,MATCH(Q2811,I_COA!$A$6:$A$265,0)),"?"))))</f>
        <v/>
      </c>
    </row>
    <row r="2812" customFormat="false" ht="15" hidden="false" customHeight="false" outlineLevel="0" collapsed="false">
      <c r="A2812" s="37"/>
      <c r="B2812" s="44"/>
      <c r="C2812" s="44"/>
      <c r="D2812" s="44"/>
      <c r="E2812" s="44"/>
      <c r="F2812" s="44"/>
      <c r="G2812" s="42"/>
      <c r="H2812" s="42"/>
      <c r="I2812" s="44"/>
      <c r="J2812" s="11" t="str">
        <f aca="false">IF(D2812="","",N(G2812)-N(H2812))</f>
        <v/>
      </c>
      <c r="K2812" s="34" t="str">
        <f aca="false">IF(D2812="","",IFERROR(INDEX(I_COA!$C$6:$C$265,MATCH(D2812,I_COA!$A$6:$A$265,0)),"AKUN BARU"))</f>
        <v/>
      </c>
      <c r="L2812" s="34" t="str">
        <f aca="false">IF(K2812="LabaRugi",INDEX(I_COA!$D$6:$D$265,MATCH(D2812,I_COA!$A$6:$A$265,0)),"")</f>
        <v/>
      </c>
      <c r="M2812" s="34" t="str">
        <f aca="false">IF(K2812="Neraca",INDEX(I_COA!$E$6:$E$265,MATCH(D2812,I_COA!$A$6:$A$265,0)),"")</f>
        <v/>
      </c>
      <c r="N2812" s="34" t="str">
        <f aca="false">IF(D2812="","",IFERROR(INDEX(I_COA!$G$6:$G$265,MATCH(D2812,I_COA!$A$6:$A$265,0)),"N"))</f>
        <v/>
      </c>
      <c r="O2812" s="11" t="str">
        <f aca="false">IF(N2812="N",ABS(J2812),"")</f>
        <v/>
      </c>
      <c r="P2812" s="18" t="str">
        <f aca="false">IF(N2812="N",B2812&amp;"|"&amp;ROUND(O2812,0),"")</f>
        <v/>
      </c>
      <c r="Q2812" s="18" t="str">
        <f aca="false">IF(N2812&lt;&gt;"Y","",IFERROR(INDEX($D$6:$D$4005,MATCH(B2812&amp;"|"&amp;ROUND(_xlfn.MAXIFS($O$6:$O$4005,$B$6:$B$4005,B2812,$N$6:$N$4005,"N"),0),$P$6:$P$4005,0)),"(tanpa lawan)"))</f>
        <v/>
      </c>
      <c r="R2812" s="44"/>
      <c r="S2812" s="9" t="str">
        <f aca="false">IF(N2812&lt;&gt;"Y","",IF(R2812&lt;&gt;"",R2812,IF(Q2812="(tanpa lawan)","Transfer antar rekening",IFERROR(INDEX(I_COA!$F$6:$F$265,MATCH(Q2812,I_COA!$A$6:$A$265,0)),"?"))))</f>
        <v/>
      </c>
    </row>
    <row r="2813" customFormat="false" ht="15" hidden="false" customHeight="false" outlineLevel="0" collapsed="false">
      <c r="A2813" s="37"/>
      <c r="B2813" s="44"/>
      <c r="C2813" s="44"/>
      <c r="D2813" s="44"/>
      <c r="E2813" s="44"/>
      <c r="F2813" s="44"/>
      <c r="G2813" s="42"/>
      <c r="H2813" s="42"/>
      <c r="I2813" s="44"/>
      <c r="J2813" s="11" t="str">
        <f aca="false">IF(D2813="","",N(G2813)-N(H2813))</f>
        <v/>
      </c>
      <c r="K2813" s="34" t="str">
        <f aca="false">IF(D2813="","",IFERROR(INDEX(I_COA!$C$6:$C$265,MATCH(D2813,I_COA!$A$6:$A$265,0)),"AKUN BARU"))</f>
        <v/>
      </c>
      <c r="L2813" s="34" t="str">
        <f aca="false">IF(K2813="LabaRugi",INDEX(I_COA!$D$6:$D$265,MATCH(D2813,I_COA!$A$6:$A$265,0)),"")</f>
        <v/>
      </c>
      <c r="M2813" s="34" t="str">
        <f aca="false">IF(K2813="Neraca",INDEX(I_COA!$E$6:$E$265,MATCH(D2813,I_COA!$A$6:$A$265,0)),"")</f>
        <v/>
      </c>
      <c r="N2813" s="34" t="str">
        <f aca="false">IF(D2813="","",IFERROR(INDEX(I_COA!$G$6:$G$265,MATCH(D2813,I_COA!$A$6:$A$265,0)),"N"))</f>
        <v/>
      </c>
      <c r="O2813" s="11" t="str">
        <f aca="false">IF(N2813="N",ABS(J2813),"")</f>
        <v/>
      </c>
      <c r="P2813" s="18" t="str">
        <f aca="false">IF(N2813="N",B2813&amp;"|"&amp;ROUND(O2813,0),"")</f>
        <v/>
      </c>
      <c r="Q2813" s="18" t="str">
        <f aca="false">IF(N2813&lt;&gt;"Y","",IFERROR(INDEX($D$6:$D$4005,MATCH(B2813&amp;"|"&amp;ROUND(_xlfn.MAXIFS($O$6:$O$4005,$B$6:$B$4005,B2813,$N$6:$N$4005,"N"),0),$P$6:$P$4005,0)),"(tanpa lawan)"))</f>
        <v/>
      </c>
      <c r="R2813" s="44"/>
      <c r="S2813" s="9" t="str">
        <f aca="false">IF(N2813&lt;&gt;"Y","",IF(R2813&lt;&gt;"",R2813,IF(Q2813="(tanpa lawan)","Transfer antar rekening",IFERROR(INDEX(I_COA!$F$6:$F$265,MATCH(Q2813,I_COA!$A$6:$A$265,0)),"?"))))</f>
        <v/>
      </c>
    </row>
    <row r="2814" customFormat="false" ht="15" hidden="false" customHeight="false" outlineLevel="0" collapsed="false">
      <c r="A2814" s="37"/>
      <c r="B2814" s="44"/>
      <c r="C2814" s="44"/>
      <c r="D2814" s="44"/>
      <c r="E2814" s="44"/>
      <c r="F2814" s="44"/>
      <c r="G2814" s="42"/>
      <c r="H2814" s="42"/>
      <c r="I2814" s="44"/>
      <c r="J2814" s="11" t="str">
        <f aca="false">IF(D2814="","",N(G2814)-N(H2814))</f>
        <v/>
      </c>
      <c r="K2814" s="34" t="str">
        <f aca="false">IF(D2814="","",IFERROR(INDEX(I_COA!$C$6:$C$265,MATCH(D2814,I_COA!$A$6:$A$265,0)),"AKUN BARU"))</f>
        <v/>
      </c>
      <c r="L2814" s="34" t="str">
        <f aca="false">IF(K2814="LabaRugi",INDEX(I_COA!$D$6:$D$265,MATCH(D2814,I_COA!$A$6:$A$265,0)),"")</f>
        <v/>
      </c>
      <c r="M2814" s="34" t="str">
        <f aca="false">IF(K2814="Neraca",INDEX(I_COA!$E$6:$E$265,MATCH(D2814,I_COA!$A$6:$A$265,0)),"")</f>
        <v/>
      </c>
      <c r="N2814" s="34" t="str">
        <f aca="false">IF(D2814="","",IFERROR(INDEX(I_COA!$G$6:$G$265,MATCH(D2814,I_COA!$A$6:$A$265,0)),"N"))</f>
        <v/>
      </c>
      <c r="O2814" s="11" t="str">
        <f aca="false">IF(N2814="N",ABS(J2814),"")</f>
        <v/>
      </c>
      <c r="P2814" s="18" t="str">
        <f aca="false">IF(N2814="N",B2814&amp;"|"&amp;ROUND(O2814,0),"")</f>
        <v/>
      </c>
      <c r="Q2814" s="18" t="str">
        <f aca="false">IF(N2814&lt;&gt;"Y","",IFERROR(INDEX($D$6:$D$4005,MATCH(B2814&amp;"|"&amp;ROUND(_xlfn.MAXIFS($O$6:$O$4005,$B$6:$B$4005,B2814,$N$6:$N$4005,"N"),0),$P$6:$P$4005,0)),"(tanpa lawan)"))</f>
        <v/>
      </c>
      <c r="R2814" s="44"/>
      <c r="S2814" s="9" t="str">
        <f aca="false">IF(N2814&lt;&gt;"Y","",IF(R2814&lt;&gt;"",R2814,IF(Q2814="(tanpa lawan)","Transfer antar rekening",IFERROR(INDEX(I_COA!$F$6:$F$265,MATCH(Q2814,I_COA!$A$6:$A$265,0)),"?"))))</f>
        <v/>
      </c>
    </row>
    <row r="2815" customFormat="false" ht="15" hidden="false" customHeight="false" outlineLevel="0" collapsed="false">
      <c r="A2815" s="37"/>
      <c r="B2815" s="44"/>
      <c r="C2815" s="44"/>
      <c r="D2815" s="44"/>
      <c r="E2815" s="44"/>
      <c r="F2815" s="44"/>
      <c r="G2815" s="42"/>
      <c r="H2815" s="42"/>
      <c r="I2815" s="44"/>
      <c r="J2815" s="11" t="str">
        <f aca="false">IF(D2815="","",N(G2815)-N(H2815))</f>
        <v/>
      </c>
      <c r="K2815" s="34" t="str">
        <f aca="false">IF(D2815="","",IFERROR(INDEX(I_COA!$C$6:$C$265,MATCH(D2815,I_COA!$A$6:$A$265,0)),"AKUN BARU"))</f>
        <v/>
      </c>
      <c r="L2815" s="34" t="str">
        <f aca="false">IF(K2815="LabaRugi",INDEX(I_COA!$D$6:$D$265,MATCH(D2815,I_COA!$A$6:$A$265,0)),"")</f>
        <v/>
      </c>
      <c r="M2815" s="34" t="str">
        <f aca="false">IF(K2815="Neraca",INDEX(I_COA!$E$6:$E$265,MATCH(D2815,I_COA!$A$6:$A$265,0)),"")</f>
        <v/>
      </c>
      <c r="N2815" s="34" t="str">
        <f aca="false">IF(D2815="","",IFERROR(INDEX(I_COA!$G$6:$G$265,MATCH(D2815,I_COA!$A$6:$A$265,0)),"N"))</f>
        <v/>
      </c>
      <c r="O2815" s="11" t="str">
        <f aca="false">IF(N2815="N",ABS(J2815),"")</f>
        <v/>
      </c>
      <c r="P2815" s="18" t="str">
        <f aca="false">IF(N2815="N",B2815&amp;"|"&amp;ROUND(O2815,0),"")</f>
        <v/>
      </c>
      <c r="Q2815" s="18" t="str">
        <f aca="false">IF(N2815&lt;&gt;"Y","",IFERROR(INDEX($D$6:$D$4005,MATCH(B2815&amp;"|"&amp;ROUND(_xlfn.MAXIFS($O$6:$O$4005,$B$6:$B$4005,B2815,$N$6:$N$4005,"N"),0),$P$6:$P$4005,0)),"(tanpa lawan)"))</f>
        <v/>
      </c>
      <c r="R2815" s="44"/>
      <c r="S2815" s="9" t="str">
        <f aca="false">IF(N2815&lt;&gt;"Y","",IF(R2815&lt;&gt;"",R2815,IF(Q2815="(tanpa lawan)","Transfer antar rekening",IFERROR(INDEX(I_COA!$F$6:$F$265,MATCH(Q2815,I_COA!$A$6:$A$265,0)),"?"))))</f>
        <v/>
      </c>
    </row>
    <row r="2816" customFormat="false" ht="15" hidden="false" customHeight="false" outlineLevel="0" collapsed="false">
      <c r="A2816" s="37"/>
      <c r="B2816" s="44"/>
      <c r="C2816" s="44"/>
      <c r="D2816" s="44"/>
      <c r="E2816" s="44"/>
      <c r="F2816" s="44"/>
      <c r="G2816" s="42"/>
      <c r="H2816" s="42"/>
      <c r="I2816" s="44"/>
      <c r="J2816" s="11" t="str">
        <f aca="false">IF(D2816="","",N(G2816)-N(H2816))</f>
        <v/>
      </c>
      <c r="K2816" s="34" t="str">
        <f aca="false">IF(D2816="","",IFERROR(INDEX(I_COA!$C$6:$C$265,MATCH(D2816,I_COA!$A$6:$A$265,0)),"AKUN BARU"))</f>
        <v/>
      </c>
      <c r="L2816" s="34" t="str">
        <f aca="false">IF(K2816="LabaRugi",INDEX(I_COA!$D$6:$D$265,MATCH(D2816,I_COA!$A$6:$A$265,0)),"")</f>
        <v/>
      </c>
      <c r="M2816" s="34" t="str">
        <f aca="false">IF(K2816="Neraca",INDEX(I_COA!$E$6:$E$265,MATCH(D2816,I_COA!$A$6:$A$265,0)),"")</f>
        <v/>
      </c>
      <c r="N2816" s="34" t="str">
        <f aca="false">IF(D2816="","",IFERROR(INDEX(I_COA!$G$6:$G$265,MATCH(D2816,I_COA!$A$6:$A$265,0)),"N"))</f>
        <v/>
      </c>
      <c r="O2816" s="11" t="str">
        <f aca="false">IF(N2816="N",ABS(J2816),"")</f>
        <v/>
      </c>
      <c r="P2816" s="18" t="str">
        <f aca="false">IF(N2816="N",B2816&amp;"|"&amp;ROUND(O2816,0),"")</f>
        <v/>
      </c>
      <c r="Q2816" s="18" t="str">
        <f aca="false">IF(N2816&lt;&gt;"Y","",IFERROR(INDEX($D$6:$D$4005,MATCH(B2816&amp;"|"&amp;ROUND(_xlfn.MAXIFS($O$6:$O$4005,$B$6:$B$4005,B2816,$N$6:$N$4005,"N"),0),$P$6:$P$4005,0)),"(tanpa lawan)"))</f>
        <v/>
      </c>
      <c r="R2816" s="44"/>
      <c r="S2816" s="9" t="str">
        <f aca="false">IF(N2816&lt;&gt;"Y","",IF(R2816&lt;&gt;"",R2816,IF(Q2816="(tanpa lawan)","Transfer antar rekening",IFERROR(INDEX(I_COA!$F$6:$F$265,MATCH(Q2816,I_COA!$A$6:$A$265,0)),"?"))))</f>
        <v/>
      </c>
    </row>
    <row r="2817" customFormat="false" ht="15" hidden="false" customHeight="false" outlineLevel="0" collapsed="false">
      <c r="A2817" s="37"/>
      <c r="B2817" s="44"/>
      <c r="C2817" s="44"/>
      <c r="D2817" s="44"/>
      <c r="E2817" s="44"/>
      <c r="F2817" s="44"/>
      <c r="G2817" s="42"/>
      <c r="H2817" s="42"/>
      <c r="I2817" s="44"/>
      <c r="J2817" s="11" t="str">
        <f aca="false">IF(D2817="","",N(G2817)-N(H2817))</f>
        <v/>
      </c>
      <c r="K2817" s="34" t="str">
        <f aca="false">IF(D2817="","",IFERROR(INDEX(I_COA!$C$6:$C$265,MATCH(D2817,I_COA!$A$6:$A$265,0)),"AKUN BARU"))</f>
        <v/>
      </c>
      <c r="L2817" s="34" t="str">
        <f aca="false">IF(K2817="LabaRugi",INDEX(I_COA!$D$6:$D$265,MATCH(D2817,I_COA!$A$6:$A$265,0)),"")</f>
        <v/>
      </c>
      <c r="M2817" s="34" t="str">
        <f aca="false">IF(K2817="Neraca",INDEX(I_COA!$E$6:$E$265,MATCH(D2817,I_COA!$A$6:$A$265,0)),"")</f>
        <v/>
      </c>
      <c r="N2817" s="34" t="str">
        <f aca="false">IF(D2817="","",IFERROR(INDEX(I_COA!$G$6:$G$265,MATCH(D2817,I_COA!$A$6:$A$265,0)),"N"))</f>
        <v/>
      </c>
      <c r="O2817" s="11" t="str">
        <f aca="false">IF(N2817="N",ABS(J2817),"")</f>
        <v/>
      </c>
      <c r="P2817" s="18" t="str">
        <f aca="false">IF(N2817="N",B2817&amp;"|"&amp;ROUND(O2817,0),"")</f>
        <v/>
      </c>
      <c r="Q2817" s="18" t="str">
        <f aca="false">IF(N2817&lt;&gt;"Y","",IFERROR(INDEX($D$6:$D$4005,MATCH(B2817&amp;"|"&amp;ROUND(_xlfn.MAXIFS($O$6:$O$4005,$B$6:$B$4005,B2817,$N$6:$N$4005,"N"),0),$P$6:$P$4005,0)),"(tanpa lawan)"))</f>
        <v/>
      </c>
      <c r="R2817" s="44"/>
      <c r="S2817" s="9" t="str">
        <f aca="false">IF(N2817&lt;&gt;"Y","",IF(R2817&lt;&gt;"",R2817,IF(Q2817="(tanpa lawan)","Transfer antar rekening",IFERROR(INDEX(I_COA!$F$6:$F$265,MATCH(Q2817,I_COA!$A$6:$A$265,0)),"?"))))</f>
        <v/>
      </c>
    </row>
    <row r="2818" customFormat="false" ht="15" hidden="false" customHeight="false" outlineLevel="0" collapsed="false">
      <c r="A2818" s="37"/>
      <c r="B2818" s="44"/>
      <c r="C2818" s="44"/>
      <c r="D2818" s="44"/>
      <c r="E2818" s="44"/>
      <c r="F2818" s="44"/>
      <c r="G2818" s="42"/>
      <c r="H2818" s="42"/>
      <c r="I2818" s="44"/>
      <c r="J2818" s="11" t="str">
        <f aca="false">IF(D2818="","",N(G2818)-N(H2818))</f>
        <v/>
      </c>
      <c r="K2818" s="34" t="str">
        <f aca="false">IF(D2818="","",IFERROR(INDEX(I_COA!$C$6:$C$265,MATCH(D2818,I_COA!$A$6:$A$265,0)),"AKUN BARU"))</f>
        <v/>
      </c>
      <c r="L2818" s="34" t="str">
        <f aca="false">IF(K2818="LabaRugi",INDEX(I_COA!$D$6:$D$265,MATCH(D2818,I_COA!$A$6:$A$265,0)),"")</f>
        <v/>
      </c>
      <c r="M2818" s="34" t="str">
        <f aca="false">IF(K2818="Neraca",INDEX(I_COA!$E$6:$E$265,MATCH(D2818,I_COA!$A$6:$A$265,0)),"")</f>
        <v/>
      </c>
      <c r="N2818" s="34" t="str">
        <f aca="false">IF(D2818="","",IFERROR(INDEX(I_COA!$G$6:$G$265,MATCH(D2818,I_COA!$A$6:$A$265,0)),"N"))</f>
        <v/>
      </c>
      <c r="O2818" s="11" t="str">
        <f aca="false">IF(N2818="N",ABS(J2818),"")</f>
        <v/>
      </c>
      <c r="P2818" s="18" t="str">
        <f aca="false">IF(N2818="N",B2818&amp;"|"&amp;ROUND(O2818,0),"")</f>
        <v/>
      </c>
      <c r="Q2818" s="18" t="str">
        <f aca="false">IF(N2818&lt;&gt;"Y","",IFERROR(INDEX($D$6:$D$4005,MATCH(B2818&amp;"|"&amp;ROUND(_xlfn.MAXIFS($O$6:$O$4005,$B$6:$B$4005,B2818,$N$6:$N$4005,"N"),0),$P$6:$P$4005,0)),"(tanpa lawan)"))</f>
        <v/>
      </c>
      <c r="R2818" s="44"/>
      <c r="S2818" s="9" t="str">
        <f aca="false">IF(N2818&lt;&gt;"Y","",IF(R2818&lt;&gt;"",R2818,IF(Q2818="(tanpa lawan)","Transfer antar rekening",IFERROR(INDEX(I_COA!$F$6:$F$265,MATCH(Q2818,I_COA!$A$6:$A$265,0)),"?"))))</f>
        <v/>
      </c>
    </row>
    <row r="2819" customFormat="false" ht="15" hidden="false" customHeight="false" outlineLevel="0" collapsed="false">
      <c r="A2819" s="37"/>
      <c r="B2819" s="44"/>
      <c r="C2819" s="44"/>
      <c r="D2819" s="44"/>
      <c r="E2819" s="44"/>
      <c r="F2819" s="44"/>
      <c r="G2819" s="42"/>
      <c r="H2819" s="42"/>
      <c r="I2819" s="44"/>
      <c r="J2819" s="11" t="str">
        <f aca="false">IF(D2819="","",N(G2819)-N(H2819))</f>
        <v/>
      </c>
      <c r="K2819" s="34" t="str">
        <f aca="false">IF(D2819="","",IFERROR(INDEX(I_COA!$C$6:$C$265,MATCH(D2819,I_COA!$A$6:$A$265,0)),"AKUN BARU"))</f>
        <v/>
      </c>
      <c r="L2819" s="34" t="str">
        <f aca="false">IF(K2819="LabaRugi",INDEX(I_COA!$D$6:$D$265,MATCH(D2819,I_COA!$A$6:$A$265,0)),"")</f>
        <v/>
      </c>
      <c r="M2819" s="34" t="str">
        <f aca="false">IF(K2819="Neraca",INDEX(I_COA!$E$6:$E$265,MATCH(D2819,I_COA!$A$6:$A$265,0)),"")</f>
        <v/>
      </c>
      <c r="N2819" s="34" t="str">
        <f aca="false">IF(D2819="","",IFERROR(INDEX(I_COA!$G$6:$G$265,MATCH(D2819,I_COA!$A$6:$A$265,0)),"N"))</f>
        <v/>
      </c>
      <c r="O2819" s="11" t="str">
        <f aca="false">IF(N2819="N",ABS(J2819),"")</f>
        <v/>
      </c>
      <c r="P2819" s="18" t="str">
        <f aca="false">IF(N2819="N",B2819&amp;"|"&amp;ROUND(O2819,0),"")</f>
        <v/>
      </c>
      <c r="Q2819" s="18" t="str">
        <f aca="false">IF(N2819&lt;&gt;"Y","",IFERROR(INDEX($D$6:$D$4005,MATCH(B2819&amp;"|"&amp;ROUND(_xlfn.MAXIFS($O$6:$O$4005,$B$6:$B$4005,B2819,$N$6:$N$4005,"N"),0),$P$6:$P$4005,0)),"(tanpa lawan)"))</f>
        <v/>
      </c>
      <c r="R2819" s="44"/>
      <c r="S2819" s="9" t="str">
        <f aca="false">IF(N2819&lt;&gt;"Y","",IF(R2819&lt;&gt;"",R2819,IF(Q2819="(tanpa lawan)","Transfer antar rekening",IFERROR(INDEX(I_COA!$F$6:$F$265,MATCH(Q2819,I_COA!$A$6:$A$265,0)),"?"))))</f>
        <v/>
      </c>
    </row>
    <row r="2820" customFormat="false" ht="15" hidden="false" customHeight="false" outlineLevel="0" collapsed="false">
      <c r="A2820" s="37"/>
      <c r="B2820" s="44"/>
      <c r="C2820" s="44"/>
      <c r="D2820" s="44"/>
      <c r="E2820" s="44"/>
      <c r="F2820" s="44"/>
      <c r="G2820" s="42"/>
      <c r="H2820" s="42"/>
      <c r="I2820" s="44"/>
      <c r="J2820" s="11" t="str">
        <f aca="false">IF(D2820="","",N(G2820)-N(H2820))</f>
        <v/>
      </c>
      <c r="K2820" s="34" t="str">
        <f aca="false">IF(D2820="","",IFERROR(INDEX(I_COA!$C$6:$C$265,MATCH(D2820,I_COA!$A$6:$A$265,0)),"AKUN BARU"))</f>
        <v/>
      </c>
      <c r="L2820" s="34" t="str">
        <f aca="false">IF(K2820="LabaRugi",INDEX(I_COA!$D$6:$D$265,MATCH(D2820,I_COA!$A$6:$A$265,0)),"")</f>
        <v/>
      </c>
      <c r="M2820" s="34" t="str">
        <f aca="false">IF(K2820="Neraca",INDEX(I_COA!$E$6:$E$265,MATCH(D2820,I_COA!$A$6:$A$265,0)),"")</f>
        <v/>
      </c>
      <c r="N2820" s="34" t="str">
        <f aca="false">IF(D2820="","",IFERROR(INDEX(I_COA!$G$6:$G$265,MATCH(D2820,I_COA!$A$6:$A$265,0)),"N"))</f>
        <v/>
      </c>
      <c r="O2820" s="11" t="str">
        <f aca="false">IF(N2820="N",ABS(J2820),"")</f>
        <v/>
      </c>
      <c r="P2820" s="18" t="str">
        <f aca="false">IF(N2820="N",B2820&amp;"|"&amp;ROUND(O2820,0),"")</f>
        <v/>
      </c>
      <c r="Q2820" s="18" t="str">
        <f aca="false">IF(N2820&lt;&gt;"Y","",IFERROR(INDEX($D$6:$D$4005,MATCH(B2820&amp;"|"&amp;ROUND(_xlfn.MAXIFS($O$6:$O$4005,$B$6:$B$4005,B2820,$N$6:$N$4005,"N"),0),$P$6:$P$4005,0)),"(tanpa lawan)"))</f>
        <v/>
      </c>
      <c r="R2820" s="44"/>
      <c r="S2820" s="9" t="str">
        <f aca="false">IF(N2820&lt;&gt;"Y","",IF(R2820&lt;&gt;"",R2820,IF(Q2820="(tanpa lawan)","Transfer antar rekening",IFERROR(INDEX(I_COA!$F$6:$F$265,MATCH(Q2820,I_COA!$A$6:$A$265,0)),"?"))))</f>
        <v/>
      </c>
    </row>
    <row r="2821" customFormat="false" ht="15" hidden="false" customHeight="false" outlineLevel="0" collapsed="false">
      <c r="A2821" s="37"/>
      <c r="B2821" s="44"/>
      <c r="C2821" s="44"/>
      <c r="D2821" s="44"/>
      <c r="E2821" s="44"/>
      <c r="F2821" s="44"/>
      <c r="G2821" s="42"/>
      <c r="H2821" s="42"/>
      <c r="I2821" s="44"/>
      <c r="J2821" s="11" t="str">
        <f aca="false">IF(D2821="","",N(G2821)-N(H2821))</f>
        <v/>
      </c>
      <c r="K2821" s="34" t="str">
        <f aca="false">IF(D2821="","",IFERROR(INDEX(I_COA!$C$6:$C$265,MATCH(D2821,I_COA!$A$6:$A$265,0)),"AKUN BARU"))</f>
        <v/>
      </c>
      <c r="L2821" s="34" t="str">
        <f aca="false">IF(K2821="LabaRugi",INDEX(I_COA!$D$6:$D$265,MATCH(D2821,I_COA!$A$6:$A$265,0)),"")</f>
        <v/>
      </c>
      <c r="M2821" s="34" t="str">
        <f aca="false">IF(K2821="Neraca",INDEX(I_COA!$E$6:$E$265,MATCH(D2821,I_COA!$A$6:$A$265,0)),"")</f>
        <v/>
      </c>
      <c r="N2821" s="34" t="str">
        <f aca="false">IF(D2821="","",IFERROR(INDEX(I_COA!$G$6:$G$265,MATCH(D2821,I_COA!$A$6:$A$265,0)),"N"))</f>
        <v/>
      </c>
      <c r="O2821" s="11" t="str">
        <f aca="false">IF(N2821="N",ABS(J2821),"")</f>
        <v/>
      </c>
      <c r="P2821" s="18" t="str">
        <f aca="false">IF(N2821="N",B2821&amp;"|"&amp;ROUND(O2821,0),"")</f>
        <v/>
      </c>
      <c r="Q2821" s="18" t="str">
        <f aca="false">IF(N2821&lt;&gt;"Y","",IFERROR(INDEX($D$6:$D$4005,MATCH(B2821&amp;"|"&amp;ROUND(_xlfn.MAXIFS($O$6:$O$4005,$B$6:$B$4005,B2821,$N$6:$N$4005,"N"),0),$P$6:$P$4005,0)),"(tanpa lawan)"))</f>
        <v/>
      </c>
      <c r="R2821" s="44"/>
      <c r="S2821" s="9" t="str">
        <f aca="false">IF(N2821&lt;&gt;"Y","",IF(R2821&lt;&gt;"",R2821,IF(Q2821="(tanpa lawan)","Transfer antar rekening",IFERROR(INDEX(I_COA!$F$6:$F$265,MATCH(Q2821,I_COA!$A$6:$A$265,0)),"?"))))</f>
        <v/>
      </c>
    </row>
    <row r="2822" customFormat="false" ht="15" hidden="false" customHeight="false" outlineLevel="0" collapsed="false">
      <c r="A2822" s="37"/>
      <c r="B2822" s="44"/>
      <c r="C2822" s="44"/>
      <c r="D2822" s="44"/>
      <c r="E2822" s="44"/>
      <c r="F2822" s="44"/>
      <c r="G2822" s="42"/>
      <c r="H2822" s="42"/>
      <c r="I2822" s="44"/>
      <c r="J2822" s="11" t="str">
        <f aca="false">IF(D2822="","",N(G2822)-N(H2822))</f>
        <v/>
      </c>
      <c r="K2822" s="34" t="str">
        <f aca="false">IF(D2822="","",IFERROR(INDEX(I_COA!$C$6:$C$265,MATCH(D2822,I_COA!$A$6:$A$265,0)),"AKUN BARU"))</f>
        <v/>
      </c>
      <c r="L2822" s="34" t="str">
        <f aca="false">IF(K2822="LabaRugi",INDEX(I_COA!$D$6:$D$265,MATCH(D2822,I_COA!$A$6:$A$265,0)),"")</f>
        <v/>
      </c>
      <c r="M2822" s="34" t="str">
        <f aca="false">IF(K2822="Neraca",INDEX(I_COA!$E$6:$E$265,MATCH(D2822,I_COA!$A$6:$A$265,0)),"")</f>
        <v/>
      </c>
      <c r="N2822" s="34" t="str">
        <f aca="false">IF(D2822="","",IFERROR(INDEX(I_COA!$G$6:$G$265,MATCH(D2822,I_COA!$A$6:$A$265,0)),"N"))</f>
        <v/>
      </c>
      <c r="O2822" s="11" t="str">
        <f aca="false">IF(N2822="N",ABS(J2822),"")</f>
        <v/>
      </c>
      <c r="P2822" s="18" t="str">
        <f aca="false">IF(N2822="N",B2822&amp;"|"&amp;ROUND(O2822,0),"")</f>
        <v/>
      </c>
      <c r="Q2822" s="18" t="str">
        <f aca="false">IF(N2822&lt;&gt;"Y","",IFERROR(INDEX($D$6:$D$4005,MATCH(B2822&amp;"|"&amp;ROUND(_xlfn.MAXIFS($O$6:$O$4005,$B$6:$B$4005,B2822,$N$6:$N$4005,"N"),0),$P$6:$P$4005,0)),"(tanpa lawan)"))</f>
        <v/>
      </c>
      <c r="R2822" s="44"/>
      <c r="S2822" s="9" t="str">
        <f aca="false">IF(N2822&lt;&gt;"Y","",IF(R2822&lt;&gt;"",R2822,IF(Q2822="(tanpa lawan)","Transfer antar rekening",IFERROR(INDEX(I_COA!$F$6:$F$265,MATCH(Q2822,I_COA!$A$6:$A$265,0)),"?"))))</f>
        <v/>
      </c>
    </row>
    <row r="2823" customFormat="false" ht="15" hidden="false" customHeight="false" outlineLevel="0" collapsed="false">
      <c r="A2823" s="37"/>
      <c r="B2823" s="44"/>
      <c r="C2823" s="44"/>
      <c r="D2823" s="44"/>
      <c r="E2823" s="44"/>
      <c r="F2823" s="44"/>
      <c r="G2823" s="42"/>
      <c r="H2823" s="42"/>
      <c r="I2823" s="44"/>
      <c r="J2823" s="11" t="str">
        <f aca="false">IF(D2823="","",N(G2823)-N(H2823))</f>
        <v/>
      </c>
      <c r="K2823" s="34" t="str">
        <f aca="false">IF(D2823="","",IFERROR(INDEX(I_COA!$C$6:$C$265,MATCH(D2823,I_COA!$A$6:$A$265,0)),"AKUN BARU"))</f>
        <v/>
      </c>
      <c r="L2823" s="34" t="str">
        <f aca="false">IF(K2823="LabaRugi",INDEX(I_COA!$D$6:$D$265,MATCH(D2823,I_COA!$A$6:$A$265,0)),"")</f>
        <v/>
      </c>
      <c r="M2823" s="34" t="str">
        <f aca="false">IF(K2823="Neraca",INDEX(I_COA!$E$6:$E$265,MATCH(D2823,I_COA!$A$6:$A$265,0)),"")</f>
        <v/>
      </c>
      <c r="N2823" s="34" t="str">
        <f aca="false">IF(D2823="","",IFERROR(INDEX(I_COA!$G$6:$G$265,MATCH(D2823,I_COA!$A$6:$A$265,0)),"N"))</f>
        <v/>
      </c>
      <c r="O2823" s="11" t="str">
        <f aca="false">IF(N2823="N",ABS(J2823),"")</f>
        <v/>
      </c>
      <c r="P2823" s="18" t="str">
        <f aca="false">IF(N2823="N",B2823&amp;"|"&amp;ROUND(O2823,0),"")</f>
        <v/>
      </c>
      <c r="Q2823" s="18" t="str">
        <f aca="false">IF(N2823&lt;&gt;"Y","",IFERROR(INDEX($D$6:$D$4005,MATCH(B2823&amp;"|"&amp;ROUND(_xlfn.MAXIFS($O$6:$O$4005,$B$6:$B$4005,B2823,$N$6:$N$4005,"N"),0),$P$6:$P$4005,0)),"(tanpa lawan)"))</f>
        <v/>
      </c>
      <c r="R2823" s="44"/>
      <c r="S2823" s="9" t="str">
        <f aca="false">IF(N2823&lt;&gt;"Y","",IF(R2823&lt;&gt;"",R2823,IF(Q2823="(tanpa lawan)","Transfer antar rekening",IFERROR(INDEX(I_COA!$F$6:$F$265,MATCH(Q2823,I_COA!$A$6:$A$265,0)),"?"))))</f>
        <v/>
      </c>
    </row>
    <row r="2824" customFormat="false" ht="15" hidden="false" customHeight="false" outlineLevel="0" collapsed="false">
      <c r="A2824" s="37"/>
      <c r="B2824" s="44"/>
      <c r="C2824" s="44"/>
      <c r="D2824" s="44"/>
      <c r="E2824" s="44"/>
      <c r="F2824" s="44"/>
      <c r="G2824" s="42"/>
      <c r="H2824" s="42"/>
      <c r="I2824" s="44"/>
      <c r="J2824" s="11" t="str">
        <f aca="false">IF(D2824="","",N(G2824)-N(H2824))</f>
        <v/>
      </c>
      <c r="K2824" s="34" t="str">
        <f aca="false">IF(D2824="","",IFERROR(INDEX(I_COA!$C$6:$C$265,MATCH(D2824,I_COA!$A$6:$A$265,0)),"AKUN BARU"))</f>
        <v/>
      </c>
      <c r="L2824" s="34" t="str">
        <f aca="false">IF(K2824="LabaRugi",INDEX(I_COA!$D$6:$D$265,MATCH(D2824,I_COA!$A$6:$A$265,0)),"")</f>
        <v/>
      </c>
      <c r="M2824" s="34" t="str">
        <f aca="false">IF(K2824="Neraca",INDEX(I_COA!$E$6:$E$265,MATCH(D2824,I_COA!$A$6:$A$265,0)),"")</f>
        <v/>
      </c>
      <c r="N2824" s="34" t="str">
        <f aca="false">IF(D2824="","",IFERROR(INDEX(I_COA!$G$6:$G$265,MATCH(D2824,I_COA!$A$6:$A$265,0)),"N"))</f>
        <v/>
      </c>
      <c r="O2824" s="11" t="str">
        <f aca="false">IF(N2824="N",ABS(J2824),"")</f>
        <v/>
      </c>
      <c r="P2824" s="18" t="str">
        <f aca="false">IF(N2824="N",B2824&amp;"|"&amp;ROUND(O2824,0),"")</f>
        <v/>
      </c>
      <c r="Q2824" s="18" t="str">
        <f aca="false">IF(N2824&lt;&gt;"Y","",IFERROR(INDEX($D$6:$D$4005,MATCH(B2824&amp;"|"&amp;ROUND(_xlfn.MAXIFS($O$6:$O$4005,$B$6:$B$4005,B2824,$N$6:$N$4005,"N"),0),$P$6:$P$4005,0)),"(tanpa lawan)"))</f>
        <v/>
      </c>
      <c r="R2824" s="44"/>
      <c r="S2824" s="9" t="str">
        <f aca="false">IF(N2824&lt;&gt;"Y","",IF(R2824&lt;&gt;"",R2824,IF(Q2824="(tanpa lawan)","Transfer antar rekening",IFERROR(INDEX(I_COA!$F$6:$F$265,MATCH(Q2824,I_COA!$A$6:$A$265,0)),"?"))))</f>
        <v/>
      </c>
    </row>
    <row r="2825" customFormat="false" ht="15" hidden="false" customHeight="false" outlineLevel="0" collapsed="false">
      <c r="A2825" s="37"/>
      <c r="B2825" s="44"/>
      <c r="C2825" s="44"/>
      <c r="D2825" s="44"/>
      <c r="E2825" s="44"/>
      <c r="F2825" s="44"/>
      <c r="G2825" s="42"/>
      <c r="H2825" s="42"/>
      <c r="I2825" s="44"/>
      <c r="J2825" s="11" t="str">
        <f aca="false">IF(D2825="","",N(G2825)-N(H2825))</f>
        <v/>
      </c>
      <c r="K2825" s="34" t="str">
        <f aca="false">IF(D2825="","",IFERROR(INDEX(I_COA!$C$6:$C$265,MATCH(D2825,I_COA!$A$6:$A$265,0)),"AKUN BARU"))</f>
        <v/>
      </c>
      <c r="L2825" s="34" t="str">
        <f aca="false">IF(K2825="LabaRugi",INDEX(I_COA!$D$6:$D$265,MATCH(D2825,I_COA!$A$6:$A$265,0)),"")</f>
        <v/>
      </c>
      <c r="M2825" s="34" t="str">
        <f aca="false">IF(K2825="Neraca",INDEX(I_COA!$E$6:$E$265,MATCH(D2825,I_COA!$A$6:$A$265,0)),"")</f>
        <v/>
      </c>
      <c r="N2825" s="34" t="str">
        <f aca="false">IF(D2825="","",IFERROR(INDEX(I_COA!$G$6:$G$265,MATCH(D2825,I_COA!$A$6:$A$265,0)),"N"))</f>
        <v/>
      </c>
      <c r="O2825" s="11" t="str">
        <f aca="false">IF(N2825="N",ABS(J2825),"")</f>
        <v/>
      </c>
      <c r="P2825" s="18" t="str">
        <f aca="false">IF(N2825="N",B2825&amp;"|"&amp;ROUND(O2825,0),"")</f>
        <v/>
      </c>
      <c r="Q2825" s="18" t="str">
        <f aca="false">IF(N2825&lt;&gt;"Y","",IFERROR(INDEX($D$6:$D$4005,MATCH(B2825&amp;"|"&amp;ROUND(_xlfn.MAXIFS($O$6:$O$4005,$B$6:$B$4005,B2825,$N$6:$N$4005,"N"),0),$P$6:$P$4005,0)),"(tanpa lawan)"))</f>
        <v/>
      </c>
      <c r="R2825" s="44"/>
      <c r="S2825" s="9" t="str">
        <f aca="false">IF(N2825&lt;&gt;"Y","",IF(R2825&lt;&gt;"",R2825,IF(Q2825="(tanpa lawan)","Transfer antar rekening",IFERROR(INDEX(I_COA!$F$6:$F$265,MATCH(Q2825,I_COA!$A$6:$A$265,0)),"?"))))</f>
        <v/>
      </c>
    </row>
    <row r="2826" customFormat="false" ht="15" hidden="false" customHeight="false" outlineLevel="0" collapsed="false">
      <c r="A2826" s="37"/>
      <c r="B2826" s="44"/>
      <c r="C2826" s="44"/>
      <c r="D2826" s="44"/>
      <c r="E2826" s="44"/>
      <c r="F2826" s="44"/>
      <c r="G2826" s="42"/>
      <c r="H2826" s="42"/>
      <c r="I2826" s="44"/>
      <c r="J2826" s="11" t="str">
        <f aca="false">IF(D2826="","",N(G2826)-N(H2826))</f>
        <v/>
      </c>
      <c r="K2826" s="34" t="str">
        <f aca="false">IF(D2826="","",IFERROR(INDEX(I_COA!$C$6:$C$265,MATCH(D2826,I_COA!$A$6:$A$265,0)),"AKUN BARU"))</f>
        <v/>
      </c>
      <c r="L2826" s="34" t="str">
        <f aca="false">IF(K2826="LabaRugi",INDEX(I_COA!$D$6:$D$265,MATCH(D2826,I_COA!$A$6:$A$265,0)),"")</f>
        <v/>
      </c>
      <c r="M2826" s="34" t="str">
        <f aca="false">IF(K2826="Neraca",INDEX(I_COA!$E$6:$E$265,MATCH(D2826,I_COA!$A$6:$A$265,0)),"")</f>
        <v/>
      </c>
      <c r="N2826" s="34" t="str">
        <f aca="false">IF(D2826="","",IFERROR(INDEX(I_COA!$G$6:$G$265,MATCH(D2826,I_COA!$A$6:$A$265,0)),"N"))</f>
        <v/>
      </c>
      <c r="O2826" s="11" t="str">
        <f aca="false">IF(N2826="N",ABS(J2826),"")</f>
        <v/>
      </c>
      <c r="P2826" s="18" t="str">
        <f aca="false">IF(N2826="N",B2826&amp;"|"&amp;ROUND(O2826,0),"")</f>
        <v/>
      </c>
      <c r="Q2826" s="18" t="str">
        <f aca="false">IF(N2826&lt;&gt;"Y","",IFERROR(INDEX($D$6:$D$4005,MATCH(B2826&amp;"|"&amp;ROUND(_xlfn.MAXIFS($O$6:$O$4005,$B$6:$B$4005,B2826,$N$6:$N$4005,"N"),0),$P$6:$P$4005,0)),"(tanpa lawan)"))</f>
        <v/>
      </c>
      <c r="R2826" s="44"/>
      <c r="S2826" s="9" t="str">
        <f aca="false">IF(N2826&lt;&gt;"Y","",IF(R2826&lt;&gt;"",R2826,IF(Q2826="(tanpa lawan)","Transfer antar rekening",IFERROR(INDEX(I_COA!$F$6:$F$265,MATCH(Q2826,I_COA!$A$6:$A$265,0)),"?"))))</f>
        <v/>
      </c>
    </row>
    <row r="2827" customFormat="false" ht="15" hidden="false" customHeight="false" outlineLevel="0" collapsed="false">
      <c r="A2827" s="37"/>
      <c r="B2827" s="44"/>
      <c r="C2827" s="44"/>
      <c r="D2827" s="44"/>
      <c r="E2827" s="44"/>
      <c r="F2827" s="44"/>
      <c r="G2827" s="42"/>
      <c r="H2827" s="42"/>
      <c r="I2827" s="44"/>
      <c r="J2827" s="11" t="str">
        <f aca="false">IF(D2827="","",N(G2827)-N(H2827))</f>
        <v/>
      </c>
      <c r="K2827" s="34" t="str">
        <f aca="false">IF(D2827="","",IFERROR(INDEX(I_COA!$C$6:$C$265,MATCH(D2827,I_COA!$A$6:$A$265,0)),"AKUN BARU"))</f>
        <v/>
      </c>
      <c r="L2827" s="34" t="str">
        <f aca="false">IF(K2827="LabaRugi",INDEX(I_COA!$D$6:$D$265,MATCH(D2827,I_COA!$A$6:$A$265,0)),"")</f>
        <v/>
      </c>
      <c r="M2827" s="34" t="str">
        <f aca="false">IF(K2827="Neraca",INDEX(I_COA!$E$6:$E$265,MATCH(D2827,I_COA!$A$6:$A$265,0)),"")</f>
        <v/>
      </c>
      <c r="N2827" s="34" t="str">
        <f aca="false">IF(D2827="","",IFERROR(INDEX(I_COA!$G$6:$G$265,MATCH(D2827,I_COA!$A$6:$A$265,0)),"N"))</f>
        <v/>
      </c>
      <c r="O2827" s="11" t="str">
        <f aca="false">IF(N2827="N",ABS(J2827),"")</f>
        <v/>
      </c>
      <c r="P2827" s="18" t="str">
        <f aca="false">IF(N2827="N",B2827&amp;"|"&amp;ROUND(O2827,0),"")</f>
        <v/>
      </c>
      <c r="Q2827" s="18" t="str">
        <f aca="false">IF(N2827&lt;&gt;"Y","",IFERROR(INDEX($D$6:$D$4005,MATCH(B2827&amp;"|"&amp;ROUND(_xlfn.MAXIFS($O$6:$O$4005,$B$6:$B$4005,B2827,$N$6:$N$4005,"N"),0),$P$6:$P$4005,0)),"(tanpa lawan)"))</f>
        <v/>
      </c>
      <c r="R2827" s="44"/>
      <c r="S2827" s="9" t="str">
        <f aca="false">IF(N2827&lt;&gt;"Y","",IF(R2827&lt;&gt;"",R2827,IF(Q2827="(tanpa lawan)","Transfer antar rekening",IFERROR(INDEX(I_COA!$F$6:$F$265,MATCH(Q2827,I_COA!$A$6:$A$265,0)),"?"))))</f>
        <v/>
      </c>
    </row>
    <row r="2828" customFormat="false" ht="15" hidden="false" customHeight="false" outlineLevel="0" collapsed="false">
      <c r="A2828" s="37"/>
      <c r="B2828" s="44"/>
      <c r="C2828" s="44"/>
      <c r="D2828" s="44"/>
      <c r="E2828" s="44"/>
      <c r="F2828" s="44"/>
      <c r="G2828" s="42"/>
      <c r="H2828" s="42"/>
      <c r="I2828" s="44"/>
      <c r="J2828" s="11" t="str">
        <f aca="false">IF(D2828="","",N(G2828)-N(H2828))</f>
        <v/>
      </c>
      <c r="K2828" s="34" t="str">
        <f aca="false">IF(D2828="","",IFERROR(INDEX(I_COA!$C$6:$C$265,MATCH(D2828,I_COA!$A$6:$A$265,0)),"AKUN BARU"))</f>
        <v/>
      </c>
      <c r="L2828" s="34" t="str">
        <f aca="false">IF(K2828="LabaRugi",INDEX(I_COA!$D$6:$D$265,MATCH(D2828,I_COA!$A$6:$A$265,0)),"")</f>
        <v/>
      </c>
      <c r="M2828" s="34" t="str">
        <f aca="false">IF(K2828="Neraca",INDEX(I_COA!$E$6:$E$265,MATCH(D2828,I_COA!$A$6:$A$265,0)),"")</f>
        <v/>
      </c>
      <c r="N2828" s="34" t="str">
        <f aca="false">IF(D2828="","",IFERROR(INDEX(I_COA!$G$6:$G$265,MATCH(D2828,I_COA!$A$6:$A$265,0)),"N"))</f>
        <v/>
      </c>
      <c r="O2828" s="11" t="str">
        <f aca="false">IF(N2828="N",ABS(J2828),"")</f>
        <v/>
      </c>
      <c r="P2828" s="18" t="str">
        <f aca="false">IF(N2828="N",B2828&amp;"|"&amp;ROUND(O2828,0),"")</f>
        <v/>
      </c>
      <c r="Q2828" s="18" t="str">
        <f aca="false">IF(N2828&lt;&gt;"Y","",IFERROR(INDEX($D$6:$D$4005,MATCH(B2828&amp;"|"&amp;ROUND(_xlfn.MAXIFS($O$6:$O$4005,$B$6:$B$4005,B2828,$N$6:$N$4005,"N"),0),$P$6:$P$4005,0)),"(tanpa lawan)"))</f>
        <v/>
      </c>
      <c r="R2828" s="44"/>
      <c r="S2828" s="9" t="str">
        <f aca="false">IF(N2828&lt;&gt;"Y","",IF(R2828&lt;&gt;"",R2828,IF(Q2828="(tanpa lawan)","Transfer antar rekening",IFERROR(INDEX(I_COA!$F$6:$F$265,MATCH(Q2828,I_COA!$A$6:$A$265,0)),"?"))))</f>
        <v/>
      </c>
    </row>
    <row r="2829" customFormat="false" ht="15" hidden="false" customHeight="false" outlineLevel="0" collapsed="false">
      <c r="A2829" s="37"/>
      <c r="B2829" s="44"/>
      <c r="C2829" s="44"/>
      <c r="D2829" s="44"/>
      <c r="E2829" s="44"/>
      <c r="F2829" s="44"/>
      <c r="G2829" s="42"/>
      <c r="H2829" s="42"/>
      <c r="I2829" s="44"/>
      <c r="J2829" s="11" t="str">
        <f aca="false">IF(D2829="","",N(G2829)-N(H2829))</f>
        <v/>
      </c>
      <c r="K2829" s="34" t="str">
        <f aca="false">IF(D2829="","",IFERROR(INDEX(I_COA!$C$6:$C$265,MATCH(D2829,I_COA!$A$6:$A$265,0)),"AKUN BARU"))</f>
        <v/>
      </c>
      <c r="L2829" s="34" t="str">
        <f aca="false">IF(K2829="LabaRugi",INDEX(I_COA!$D$6:$D$265,MATCH(D2829,I_COA!$A$6:$A$265,0)),"")</f>
        <v/>
      </c>
      <c r="M2829" s="34" t="str">
        <f aca="false">IF(K2829="Neraca",INDEX(I_COA!$E$6:$E$265,MATCH(D2829,I_COA!$A$6:$A$265,0)),"")</f>
        <v/>
      </c>
      <c r="N2829" s="34" t="str">
        <f aca="false">IF(D2829="","",IFERROR(INDEX(I_COA!$G$6:$G$265,MATCH(D2829,I_COA!$A$6:$A$265,0)),"N"))</f>
        <v/>
      </c>
      <c r="O2829" s="11" t="str">
        <f aca="false">IF(N2829="N",ABS(J2829),"")</f>
        <v/>
      </c>
      <c r="P2829" s="18" t="str">
        <f aca="false">IF(N2829="N",B2829&amp;"|"&amp;ROUND(O2829,0),"")</f>
        <v/>
      </c>
      <c r="Q2829" s="18" t="str">
        <f aca="false">IF(N2829&lt;&gt;"Y","",IFERROR(INDEX($D$6:$D$4005,MATCH(B2829&amp;"|"&amp;ROUND(_xlfn.MAXIFS($O$6:$O$4005,$B$6:$B$4005,B2829,$N$6:$N$4005,"N"),0),$P$6:$P$4005,0)),"(tanpa lawan)"))</f>
        <v/>
      </c>
      <c r="R2829" s="44"/>
      <c r="S2829" s="9" t="str">
        <f aca="false">IF(N2829&lt;&gt;"Y","",IF(R2829&lt;&gt;"",R2829,IF(Q2829="(tanpa lawan)","Transfer antar rekening",IFERROR(INDEX(I_COA!$F$6:$F$265,MATCH(Q2829,I_COA!$A$6:$A$265,0)),"?"))))</f>
        <v/>
      </c>
    </row>
    <row r="2830" customFormat="false" ht="15" hidden="false" customHeight="false" outlineLevel="0" collapsed="false">
      <c r="A2830" s="37"/>
      <c r="B2830" s="44"/>
      <c r="C2830" s="44"/>
      <c r="D2830" s="44"/>
      <c r="E2830" s="44"/>
      <c r="F2830" s="44"/>
      <c r="G2830" s="42"/>
      <c r="H2830" s="42"/>
      <c r="I2830" s="44"/>
      <c r="J2830" s="11" t="str">
        <f aca="false">IF(D2830="","",N(G2830)-N(H2830))</f>
        <v/>
      </c>
      <c r="K2830" s="34" t="str">
        <f aca="false">IF(D2830="","",IFERROR(INDEX(I_COA!$C$6:$C$265,MATCH(D2830,I_COA!$A$6:$A$265,0)),"AKUN BARU"))</f>
        <v/>
      </c>
      <c r="L2830" s="34" t="str">
        <f aca="false">IF(K2830="LabaRugi",INDEX(I_COA!$D$6:$D$265,MATCH(D2830,I_COA!$A$6:$A$265,0)),"")</f>
        <v/>
      </c>
      <c r="M2830" s="34" t="str">
        <f aca="false">IF(K2830="Neraca",INDEX(I_COA!$E$6:$E$265,MATCH(D2830,I_COA!$A$6:$A$265,0)),"")</f>
        <v/>
      </c>
      <c r="N2830" s="34" t="str">
        <f aca="false">IF(D2830="","",IFERROR(INDEX(I_COA!$G$6:$G$265,MATCH(D2830,I_COA!$A$6:$A$265,0)),"N"))</f>
        <v/>
      </c>
      <c r="O2830" s="11" t="str">
        <f aca="false">IF(N2830="N",ABS(J2830),"")</f>
        <v/>
      </c>
      <c r="P2830" s="18" t="str">
        <f aca="false">IF(N2830="N",B2830&amp;"|"&amp;ROUND(O2830,0),"")</f>
        <v/>
      </c>
      <c r="Q2830" s="18" t="str">
        <f aca="false">IF(N2830&lt;&gt;"Y","",IFERROR(INDEX($D$6:$D$4005,MATCH(B2830&amp;"|"&amp;ROUND(_xlfn.MAXIFS($O$6:$O$4005,$B$6:$B$4005,B2830,$N$6:$N$4005,"N"),0),$P$6:$P$4005,0)),"(tanpa lawan)"))</f>
        <v/>
      </c>
      <c r="R2830" s="44"/>
      <c r="S2830" s="9" t="str">
        <f aca="false">IF(N2830&lt;&gt;"Y","",IF(R2830&lt;&gt;"",R2830,IF(Q2830="(tanpa lawan)","Transfer antar rekening",IFERROR(INDEX(I_COA!$F$6:$F$265,MATCH(Q2830,I_COA!$A$6:$A$265,0)),"?"))))</f>
        <v/>
      </c>
    </row>
    <row r="2831" customFormat="false" ht="15" hidden="false" customHeight="false" outlineLevel="0" collapsed="false">
      <c r="A2831" s="37"/>
      <c r="B2831" s="44"/>
      <c r="C2831" s="44"/>
      <c r="D2831" s="44"/>
      <c r="E2831" s="44"/>
      <c r="F2831" s="44"/>
      <c r="G2831" s="42"/>
      <c r="H2831" s="42"/>
      <c r="I2831" s="44"/>
      <c r="J2831" s="11" t="str">
        <f aca="false">IF(D2831="","",N(G2831)-N(H2831))</f>
        <v/>
      </c>
      <c r="K2831" s="34" t="str">
        <f aca="false">IF(D2831="","",IFERROR(INDEX(I_COA!$C$6:$C$265,MATCH(D2831,I_COA!$A$6:$A$265,0)),"AKUN BARU"))</f>
        <v/>
      </c>
      <c r="L2831" s="34" t="str">
        <f aca="false">IF(K2831="LabaRugi",INDEX(I_COA!$D$6:$D$265,MATCH(D2831,I_COA!$A$6:$A$265,0)),"")</f>
        <v/>
      </c>
      <c r="M2831" s="34" t="str">
        <f aca="false">IF(K2831="Neraca",INDEX(I_COA!$E$6:$E$265,MATCH(D2831,I_COA!$A$6:$A$265,0)),"")</f>
        <v/>
      </c>
      <c r="N2831" s="34" t="str">
        <f aca="false">IF(D2831="","",IFERROR(INDEX(I_COA!$G$6:$G$265,MATCH(D2831,I_COA!$A$6:$A$265,0)),"N"))</f>
        <v/>
      </c>
      <c r="O2831" s="11" t="str">
        <f aca="false">IF(N2831="N",ABS(J2831),"")</f>
        <v/>
      </c>
      <c r="P2831" s="18" t="str">
        <f aca="false">IF(N2831="N",B2831&amp;"|"&amp;ROUND(O2831,0),"")</f>
        <v/>
      </c>
      <c r="Q2831" s="18" t="str">
        <f aca="false">IF(N2831&lt;&gt;"Y","",IFERROR(INDEX($D$6:$D$4005,MATCH(B2831&amp;"|"&amp;ROUND(_xlfn.MAXIFS($O$6:$O$4005,$B$6:$B$4005,B2831,$N$6:$N$4005,"N"),0),$P$6:$P$4005,0)),"(tanpa lawan)"))</f>
        <v/>
      </c>
      <c r="R2831" s="44"/>
      <c r="S2831" s="9" t="str">
        <f aca="false">IF(N2831&lt;&gt;"Y","",IF(R2831&lt;&gt;"",R2831,IF(Q2831="(tanpa lawan)","Transfer antar rekening",IFERROR(INDEX(I_COA!$F$6:$F$265,MATCH(Q2831,I_COA!$A$6:$A$265,0)),"?"))))</f>
        <v/>
      </c>
    </row>
    <row r="2832" customFormat="false" ht="15" hidden="false" customHeight="false" outlineLevel="0" collapsed="false">
      <c r="A2832" s="37"/>
      <c r="B2832" s="44"/>
      <c r="C2832" s="44"/>
      <c r="D2832" s="44"/>
      <c r="E2832" s="44"/>
      <c r="F2832" s="44"/>
      <c r="G2832" s="42"/>
      <c r="H2832" s="42"/>
      <c r="I2832" s="44"/>
      <c r="J2832" s="11" t="str">
        <f aca="false">IF(D2832="","",N(G2832)-N(H2832))</f>
        <v/>
      </c>
      <c r="K2832" s="34" t="str">
        <f aca="false">IF(D2832="","",IFERROR(INDEX(I_COA!$C$6:$C$265,MATCH(D2832,I_COA!$A$6:$A$265,0)),"AKUN BARU"))</f>
        <v/>
      </c>
      <c r="L2832" s="34" t="str">
        <f aca="false">IF(K2832="LabaRugi",INDEX(I_COA!$D$6:$D$265,MATCH(D2832,I_COA!$A$6:$A$265,0)),"")</f>
        <v/>
      </c>
      <c r="M2832" s="34" t="str">
        <f aca="false">IF(K2832="Neraca",INDEX(I_COA!$E$6:$E$265,MATCH(D2832,I_COA!$A$6:$A$265,0)),"")</f>
        <v/>
      </c>
      <c r="N2832" s="34" t="str">
        <f aca="false">IF(D2832="","",IFERROR(INDEX(I_COA!$G$6:$G$265,MATCH(D2832,I_COA!$A$6:$A$265,0)),"N"))</f>
        <v/>
      </c>
      <c r="O2832" s="11" t="str">
        <f aca="false">IF(N2832="N",ABS(J2832),"")</f>
        <v/>
      </c>
      <c r="P2832" s="18" t="str">
        <f aca="false">IF(N2832="N",B2832&amp;"|"&amp;ROUND(O2832,0),"")</f>
        <v/>
      </c>
      <c r="Q2832" s="18" t="str">
        <f aca="false">IF(N2832&lt;&gt;"Y","",IFERROR(INDEX($D$6:$D$4005,MATCH(B2832&amp;"|"&amp;ROUND(_xlfn.MAXIFS($O$6:$O$4005,$B$6:$B$4005,B2832,$N$6:$N$4005,"N"),0),$P$6:$P$4005,0)),"(tanpa lawan)"))</f>
        <v/>
      </c>
      <c r="R2832" s="44"/>
      <c r="S2832" s="9" t="str">
        <f aca="false">IF(N2832&lt;&gt;"Y","",IF(R2832&lt;&gt;"",R2832,IF(Q2832="(tanpa lawan)","Transfer antar rekening",IFERROR(INDEX(I_COA!$F$6:$F$265,MATCH(Q2832,I_COA!$A$6:$A$265,0)),"?"))))</f>
        <v/>
      </c>
    </row>
    <row r="2833" customFormat="false" ht="15" hidden="false" customHeight="false" outlineLevel="0" collapsed="false">
      <c r="A2833" s="37"/>
      <c r="B2833" s="44"/>
      <c r="C2833" s="44"/>
      <c r="D2833" s="44"/>
      <c r="E2833" s="44"/>
      <c r="F2833" s="44"/>
      <c r="G2833" s="42"/>
      <c r="H2833" s="42"/>
      <c r="I2833" s="44"/>
      <c r="J2833" s="11" t="str">
        <f aca="false">IF(D2833="","",N(G2833)-N(H2833))</f>
        <v/>
      </c>
      <c r="K2833" s="34" t="str">
        <f aca="false">IF(D2833="","",IFERROR(INDEX(I_COA!$C$6:$C$265,MATCH(D2833,I_COA!$A$6:$A$265,0)),"AKUN BARU"))</f>
        <v/>
      </c>
      <c r="L2833" s="34" t="str">
        <f aca="false">IF(K2833="LabaRugi",INDEX(I_COA!$D$6:$D$265,MATCH(D2833,I_COA!$A$6:$A$265,0)),"")</f>
        <v/>
      </c>
      <c r="M2833" s="34" t="str">
        <f aca="false">IF(K2833="Neraca",INDEX(I_COA!$E$6:$E$265,MATCH(D2833,I_COA!$A$6:$A$265,0)),"")</f>
        <v/>
      </c>
      <c r="N2833" s="34" t="str">
        <f aca="false">IF(D2833="","",IFERROR(INDEX(I_COA!$G$6:$G$265,MATCH(D2833,I_COA!$A$6:$A$265,0)),"N"))</f>
        <v/>
      </c>
      <c r="O2833" s="11" t="str">
        <f aca="false">IF(N2833="N",ABS(J2833),"")</f>
        <v/>
      </c>
      <c r="P2833" s="18" t="str">
        <f aca="false">IF(N2833="N",B2833&amp;"|"&amp;ROUND(O2833,0),"")</f>
        <v/>
      </c>
      <c r="Q2833" s="18" t="str">
        <f aca="false">IF(N2833&lt;&gt;"Y","",IFERROR(INDEX($D$6:$D$4005,MATCH(B2833&amp;"|"&amp;ROUND(_xlfn.MAXIFS($O$6:$O$4005,$B$6:$B$4005,B2833,$N$6:$N$4005,"N"),0),$P$6:$P$4005,0)),"(tanpa lawan)"))</f>
        <v/>
      </c>
      <c r="R2833" s="44"/>
      <c r="S2833" s="9" t="str">
        <f aca="false">IF(N2833&lt;&gt;"Y","",IF(R2833&lt;&gt;"",R2833,IF(Q2833="(tanpa lawan)","Transfer antar rekening",IFERROR(INDEX(I_COA!$F$6:$F$265,MATCH(Q2833,I_COA!$A$6:$A$265,0)),"?"))))</f>
        <v/>
      </c>
    </row>
    <row r="2834" customFormat="false" ht="15" hidden="false" customHeight="false" outlineLevel="0" collapsed="false">
      <c r="A2834" s="37"/>
      <c r="B2834" s="44"/>
      <c r="C2834" s="44"/>
      <c r="D2834" s="44"/>
      <c r="E2834" s="44"/>
      <c r="F2834" s="44"/>
      <c r="G2834" s="42"/>
      <c r="H2834" s="42"/>
      <c r="I2834" s="44"/>
      <c r="J2834" s="11" t="str">
        <f aca="false">IF(D2834="","",N(G2834)-N(H2834))</f>
        <v/>
      </c>
      <c r="K2834" s="34" t="str">
        <f aca="false">IF(D2834="","",IFERROR(INDEX(I_COA!$C$6:$C$265,MATCH(D2834,I_COA!$A$6:$A$265,0)),"AKUN BARU"))</f>
        <v/>
      </c>
      <c r="L2834" s="34" t="str">
        <f aca="false">IF(K2834="LabaRugi",INDEX(I_COA!$D$6:$D$265,MATCH(D2834,I_COA!$A$6:$A$265,0)),"")</f>
        <v/>
      </c>
      <c r="M2834" s="34" t="str">
        <f aca="false">IF(K2834="Neraca",INDEX(I_COA!$E$6:$E$265,MATCH(D2834,I_COA!$A$6:$A$265,0)),"")</f>
        <v/>
      </c>
      <c r="N2834" s="34" t="str">
        <f aca="false">IF(D2834="","",IFERROR(INDEX(I_COA!$G$6:$G$265,MATCH(D2834,I_COA!$A$6:$A$265,0)),"N"))</f>
        <v/>
      </c>
      <c r="O2834" s="11" t="str">
        <f aca="false">IF(N2834="N",ABS(J2834),"")</f>
        <v/>
      </c>
      <c r="P2834" s="18" t="str">
        <f aca="false">IF(N2834="N",B2834&amp;"|"&amp;ROUND(O2834,0),"")</f>
        <v/>
      </c>
      <c r="Q2834" s="18" t="str">
        <f aca="false">IF(N2834&lt;&gt;"Y","",IFERROR(INDEX($D$6:$D$4005,MATCH(B2834&amp;"|"&amp;ROUND(_xlfn.MAXIFS($O$6:$O$4005,$B$6:$B$4005,B2834,$N$6:$N$4005,"N"),0),$P$6:$P$4005,0)),"(tanpa lawan)"))</f>
        <v/>
      </c>
      <c r="R2834" s="44"/>
      <c r="S2834" s="9" t="str">
        <f aca="false">IF(N2834&lt;&gt;"Y","",IF(R2834&lt;&gt;"",R2834,IF(Q2834="(tanpa lawan)","Transfer antar rekening",IFERROR(INDEX(I_COA!$F$6:$F$265,MATCH(Q2834,I_COA!$A$6:$A$265,0)),"?"))))</f>
        <v/>
      </c>
    </row>
    <row r="2835" customFormat="false" ht="15" hidden="false" customHeight="false" outlineLevel="0" collapsed="false">
      <c r="A2835" s="37"/>
      <c r="B2835" s="44"/>
      <c r="C2835" s="44"/>
      <c r="D2835" s="44"/>
      <c r="E2835" s="44"/>
      <c r="F2835" s="44"/>
      <c r="G2835" s="42"/>
      <c r="H2835" s="42"/>
      <c r="I2835" s="44"/>
      <c r="J2835" s="11" t="str">
        <f aca="false">IF(D2835="","",N(G2835)-N(H2835))</f>
        <v/>
      </c>
      <c r="K2835" s="34" t="str">
        <f aca="false">IF(D2835="","",IFERROR(INDEX(I_COA!$C$6:$C$265,MATCH(D2835,I_COA!$A$6:$A$265,0)),"AKUN BARU"))</f>
        <v/>
      </c>
      <c r="L2835" s="34" t="str">
        <f aca="false">IF(K2835="LabaRugi",INDEX(I_COA!$D$6:$D$265,MATCH(D2835,I_COA!$A$6:$A$265,0)),"")</f>
        <v/>
      </c>
      <c r="M2835" s="34" t="str">
        <f aca="false">IF(K2835="Neraca",INDEX(I_COA!$E$6:$E$265,MATCH(D2835,I_COA!$A$6:$A$265,0)),"")</f>
        <v/>
      </c>
      <c r="N2835" s="34" t="str">
        <f aca="false">IF(D2835="","",IFERROR(INDEX(I_COA!$G$6:$G$265,MATCH(D2835,I_COA!$A$6:$A$265,0)),"N"))</f>
        <v/>
      </c>
      <c r="O2835" s="11" t="str">
        <f aca="false">IF(N2835="N",ABS(J2835),"")</f>
        <v/>
      </c>
      <c r="P2835" s="18" t="str">
        <f aca="false">IF(N2835="N",B2835&amp;"|"&amp;ROUND(O2835,0),"")</f>
        <v/>
      </c>
      <c r="Q2835" s="18" t="str">
        <f aca="false">IF(N2835&lt;&gt;"Y","",IFERROR(INDEX($D$6:$D$4005,MATCH(B2835&amp;"|"&amp;ROUND(_xlfn.MAXIFS($O$6:$O$4005,$B$6:$B$4005,B2835,$N$6:$N$4005,"N"),0),$P$6:$P$4005,0)),"(tanpa lawan)"))</f>
        <v/>
      </c>
      <c r="R2835" s="44"/>
      <c r="S2835" s="9" t="str">
        <f aca="false">IF(N2835&lt;&gt;"Y","",IF(R2835&lt;&gt;"",R2835,IF(Q2835="(tanpa lawan)","Transfer antar rekening",IFERROR(INDEX(I_COA!$F$6:$F$265,MATCH(Q2835,I_COA!$A$6:$A$265,0)),"?"))))</f>
        <v/>
      </c>
    </row>
    <row r="2836" customFormat="false" ht="15" hidden="false" customHeight="false" outlineLevel="0" collapsed="false">
      <c r="A2836" s="37"/>
      <c r="B2836" s="44"/>
      <c r="C2836" s="44"/>
      <c r="D2836" s="44"/>
      <c r="E2836" s="44"/>
      <c r="F2836" s="44"/>
      <c r="G2836" s="42"/>
      <c r="H2836" s="42"/>
      <c r="I2836" s="44"/>
      <c r="J2836" s="11" t="str">
        <f aca="false">IF(D2836="","",N(G2836)-N(H2836))</f>
        <v/>
      </c>
      <c r="K2836" s="34" t="str">
        <f aca="false">IF(D2836="","",IFERROR(INDEX(I_COA!$C$6:$C$265,MATCH(D2836,I_COA!$A$6:$A$265,0)),"AKUN BARU"))</f>
        <v/>
      </c>
      <c r="L2836" s="34" t="str">
        <f aca="false">IF(K2836="LabaRugi",INDEX(I_COA!$D$6:$D$265,MATCH(D2836,I_COA!$A$6:$A$265,0)),"")</f>
        <v/>
      </c>
      <c r="M2836" s="34" t="str">
        <f aca="false">IF(K2836="Neraca",INDEX(I_COA!$E$6:$E$265,MATCH(D2836,I_COA!$A$6:$A$265,0)),"")</f>
        <v/>
      </c>
      <c r="N2836" s="34" t="str">
        <f aca="false">IF(D2836="","",IFERROR(INDEX(I_COA!$G$6:$G$265,MATCH(D2836,I_COA!$A$6:$A$265,0)),"N"))</f>
        <v/>
      </c>
      <c r="O2836" s="11" t="str">
        <f aca="false">IF(N2836="N",ABS(J2836),"")</f>
        <v/>
      </c>
      <c r="P2836" s="18" t="str">
        <f aca="false">IF(N2836="N",B2836&amp;"|"&amp;ROUND(O2836,0),"")</f>
        <v/>
      </c>
      <c r="Q2836" s="18" t="str">
        <f aca="false">IF(N2836&lt;&gt;"Y","",IFERROR(INDEX($D$6:$D$4005,MATCH(B2836&amp;"|"&amp;ROUND(_xlfn.MAXIFS($O$6:$O$4005,$B$6:$B$4005,B2836,$N$6:$N$4005,"N"),0),$P$6:$P$4005,0)),"(tanpa lawan)"))</f>
        <v/>
      </c>
      <c r="R2836" s="44"/>
      <c r="S2836" s="9" t="str">
        <f aca="false">IF(N2836&lt;&gt;"Y","",IF(R2836&lt;&gt;"",R2836,IF(Q2836="(tanpa lawan)","Transfer antar rekening",IFERROR(INDEX(I_COA!$F$6:$F$265,MATCH(Q2836,I_COA!$A$6:$A$265,0)),"?"))))</f>
        <v/>
      </c>
    </row>
    <row r="2837" customFormat="false" ht="15" hidden="false" customHeight="false" outlineLevel="0" collapsed="false">
      <c r="A2837" s="37"/>
      <c r="B2837" s="44"/>
      <c r="C2837" s="44"/>
      <c r="D2837" s="44"/>
      <c r="E2837" s="44"/>
      <c r="F2837" s="44"/>
      <c r="G2837" s="42"/>
      <c r="H2837" s="42"/>
      <c r="I2837" s="44"/>
      <c r="J2837" s="11" t="str">
        <f aca="false">IF(D2837="","",N(G2837)-N(H2837))</f>
        <v/>
      </c>
      <c r="K2837" s="34" t="str">
        <f aca="false">IF(D2837="","",IFERROR(INDEX(I_COA!$C$6:$C$265,MATCH(D2837,I_COA!$A$6:$A$265,0)),"AKUN BARU"))</f>
        <v/>
      </c>
      <c r="L2837" s="34" t="str">
        <f aca="false">IF(K2837="LabaRugi",INDEX(I_COA!$D$6:$D$265,MATCH(D2837,I_COA!$A$6:$A$265,0)),"")</f>
        <v/>
      </c>
      <c r="M2837" s="34" t="str">
        <f aca="false">IF(K2837="Neraca",INDEX(I_COA!$E$6:$E$265,MATCH(D2837,I_COA!$A$6:$A$265,0)),"")</f>
        <v/>
      </c>
      <c r="N2837" s="34" t="str">
        <f aca="false">IF(D2837="","",IFERROR(INDEX(I_COA!$G$6:$G$265,MATCH(D2837,I_COA!$A$6:$A$265,0)),"N"))</f>
        <v/>
      </c>
      <c r="O2837" s="11" t="str">
        <f aca="false">IF(N2837="N",ABS(J2837),"")</f>
        <v/>
      </c>
      <c r="P2837" s="18" t="str">
        <f aca="false">IF(N2837="N",B2837&amp;"|"&amp;ROUND(O2837,0),"")</f>
        <v/>
      </c>
      <c r="Q2837" s="18" t="str">
        <f aca="false">IF(N2837&lt;&gt;"Y","",IFERROR(INDEX($D$6:$D$4005,MATCH(B2837&amp;"|"&amp;ROUND(_xlfn.MAXIFS($O$6:$O$4005,$B$6:$B$4005,B2837,$N$6:$N$4005,"N"),0),$P$6:$P$4005,0)),"(tanpa lawan)"))</f>
        <v/>
      </c>
      <c r="R2837" s="44"/>
      <c r="S2837" s="9" t="str">
        <f aca="false">IF(N2837&lt;&gt;"Y","",IF(R2837&lt;&gt;"",R2837,IF(Q2837="(tanpa lawan)","Transfer antar rekening",IFERROR(INDEX(I_COA!$F$6:$F$265,MATCH(Q2837,I_COA!$A$6:$A$265,0)),"?"))))</f>
        <v/>
      </c>
    </row>
    <row r="2838" customFormat="false" ht="15" hidden="false" customHeight="false" outlineLevel="0" collapsed="false">
      <c r="A2838" s="37"/>
      <c r="B2838" s="44"/>
      <c r="C2838" s="44"/>
      <c r="D2838" s="44"/>
      <c r="E2838" s="44"/>
      <c r="F2838" s="44"/>
      <c r="G2838" s="42"/>
      <c r="H2838" s="42"/>
      <c r="I2838" s="44"/>
      <c r="J2838" s="11" t="str">
        <f aca="false">IF(D2838="","",N(G2838)-N(H2838))</f>
        <v/>
      </c>
      <c r="K2838" s="34" t="str">
        <f aca="false">IF(D2838="","",IFERROR(INDEX(I_COA!$C$6:$C$265,MATCH(D2838,I_COA!$A$6:$A$265,0)),"AKUN BARU"))</f>
        <v/>
      </c>
      <c r="L2838" s="34" t="str">
        <f aca="false">IF(K2838="LabaRugi",INDEX(I_COA!$D$6:$D$265,MATCH(D2838,I_COA!$A$6:$A$265,0)),"")</f>
        <v/>
      </c>
      <c r="M2838" s="34" t="str">
        <f aca="false">IF(K2838="Neraca",INDEX(I_COA!$E$6:$E$265,MATCH(D2838,I_COA!$A$6:$A$265,0)),"")</f>
        <v/>
      </c>
      <c r="N2838" s="34" t="str">
        <f aca="false">IF(D2838="","",IFERROR(INDEX(I_COA!$G$6:$G$265,MATCH(D2838,I_COA!$A$6:$A$265,0)),"N"))</f>
        <v/>
      </c>
      <c r="O2838" s="11" t="str">
        <f aca="false">IF(N2838="N",ABS(J2838),"")</f>
        <v/>
      </c>
      <c r="P2838" s="18" t="str">
        <f aca="false">IF(N2838="N",B2838&amp;"|"&amp;ROUND(O2838,0),"")</f>
        <v/>
      </c>
      <c r="Q2838" s="18" t="str">
        <f aca="false">IF(N2838&lt;&gt;"Y","",IFERROR(INDEX($D$6:$D$4005,MATCH(B2838&amp;"|"&amp;ROUND(_xlfn.MAXIFS($O$6:$O$4005,$B$6:$B$4005,B2838,$N$6:$N$4005,"N"),0),$P$6:$P$4005,0)),"(tanpa lawan)"))</f>
        <v/>
      </c>
      <c r="R2838" s="44"/>
      <c r="S2838" s="9" t="str">
        <f aca="false">IF(N2838&lt;&gt;"Y","",IF(R2838&lt;&gt;"",R2838,IF(Q2838="(tanpa lawan)","Transfer antar rekening",IFERROR(INDEX(I_COA!$F$6:$F$265,MATCH(Q2838,I_COA!$A$6:$A$265,0)),"?"))))</f>
        <v/>
      </c>
    </row>
    <row r="2839" customFormat="false" ht="15" hidden="false" customHeight="false" outlineLevel="0" collapsed="false">
      <c r="A2839" s="37"/>
      <c r="B2839" s="44"/>
      <c r="C2839" s="44"/>
      <c r="D2839" s="44"/>
      <c r="E2839" s="44"/>
      <c r="F2839" s="44"/>
      <c r="G2839" s="42"/>
      <c r="H2839" s="42"/>
      <c r="I2839" s="44"/>
      <c r="J2839" s="11" t="str">
        <f aca="false">IF(D2839="","",N(G2839)-N(H2839))</f>
        <v/>
      </c>
      <c r="K2839" s="34" t="str">
        <f aca="false">IF(D2839="","",IFERROR(INDEX(I_COA!$C$6:$C$265,MATCH(D2839,I_COA!$A$6:$A$265,0)),"AKUN BARU"))</f>
        <v/>
      </c>
      <c r="L2839" s="34" t="str">
        <f aca="false">IF(K2839="LabaRugi",INDEX(I_COA!$D$6:$D$265,MATCH(D2839,I_COA!$A$6:$A$265,0)),"")</f>
        <v/>
      </c>
      <c r="M2839" s="34" t="str">
        <f aca="false">IF(K2839="Neraca",INDEX(I_COA!$E$6:$E$265,MATCH(D2839,I_COA!$A$6:$A$265,0)),"")</f>
        <v/>
      </c>
      <c r="N2839" s="34" t="str">
        <f aca="false">IF(D2839="","",IFERROR(INDEX(I_COA!$G$6:$G$265,MATCH(D2839,I_COA!$A$6:$A$265,0)),"N"))</f>
        <v/>
      </c>
      <c r="O2839" s="11" t="str">
        <f aca="false">IF(N2839="N",ABS(J2839),"")</f>
        <v/>
      </c>
      <c r="P2839" s="18" t="str">
        <f aca="false">IF(N2839="N",B2839&amp;"|"&amp;ROUND(O2839,0),"")</f>
        <v/>
      </c>
      <c r="Q2839" s="18" t="str">
        <f aca="false">IF(N2839&lt;&gt;"Y","",IFERROR(INDEX($D$6:$D$4005,MATCH(B2839&amp;"|"&amp;ROUND(_xlfn.MAXIFS($O$6:$O$4005,$B$6:$B$4005,B2839,$N$6:$N$4005,"N"),0),$P$6:$P$4005,0)),"(tanpa lawan)"))</f>
        <v/>
      </c>
      <c r="R2839" s="44"/>
      <c r="S2839" s="9" t="str">
        <f aca="false">IF(N2839&lt;&gt;"Y","",IF(R2839&lt;&gt;"",R2839,IF(Q2839="(tanpa lawan)","Transfer antar rekening",IFERROR(INDEX(I_COA!$F$6:$F$265,MATCH(Q2839,I_COA!$A$6:$A$265,0)),"?"))))</f>
        <v/>
      </c>
    </row>
    <row r="2840" customFormat="false" ht="15" hidden="false" customHeight="false" outlineLevel="0" collapsed="false">
      <c r="A2840" s="37"/>
      <c r="B2840" s="44"/>
      <c r="C2840" s="44"/>
      <c r="D2840" s="44"/>
      <c r="E2840" s="44"/>
      <c r="F2840" s="44"/>
      <c r="G2840" s="42"/>
      <c r="H2840" s="42"/>
      <c r="I2840" s="44"/>
      <c r="J2840" s="11" t="str">
        <f aca="false">IF(D2840="","",N(G2840)-N(H2840))</f>
        <v/>
      </c>
      <c r="K2840" s="34" t="str">
        <f aca="false">IF(D2840="","",IFERROR(INDEX(I_COA!$C$6:$C$265,MATCH(D2840,I_COA!$A$6:$A$265,0)),"AKUN BARU"))</f>
        <v/>
      </c>
      <c r="L2840" s="34" t="str">
        <f aca="false">IF(K2840="LabaRugi",INDEX(I_COA!$D$6:$D$265,MATCH(D2840,I_COA!$A$6:$A$265,0)),"")</f>
        <v/>
      </c>
      <c r="M2840" s="34" t="str">
        <f aca="false">IF(K2840="Neraca",INDEX(I_COA!$E$6:$E$265,MATCH(D2840,I_COA!$A$6:$A$265,0)),"")</f>
        <v/>
      </c>
      <c r="N2840" s="34" t="str">
        <f aca="false">IF(D2840="","",IFERROR(INDEX(I_COA!$G$6:$G$265,MATCH(D2840,I_COA!$A$6:$A$265,0)),"N"))</f>
        <v/>
      </c>
      <c r="O2840" s="11" t="str">
        <f aca="false">IF(N2840="N",ABS(J2840),"")</f>
        <v/>
      </c>
      <c r="P2840" s="18" t="str">
        <f aca="false">IF(N2840="N",B2840&amp;"|"&amp;ROUND(O2840,0),"")</f>
        <v/>
      </c>
      <c r="Q2840" s="18" t="str">
        <f aca="false">IF(N2840&lt;&gt;"Y","",IFERROR(INDEX($D$6:$D$4005,MATCH(B2840&amp;"|"&amp;ROUND(_xlfn.MAXIFS($O$6:$O$4005,$B$6:$B$4005,B2840,$N$6:$N$4005,"N"),0),$P$6:$P$4005,0)),"(tanpa lawan)"))</f>
        <v/>
      </c>
      <c r="R2840" s="44"/>
      <c r="S2840" s="9" t="str">
        <f aca="false">IF(N2840&lt;&gt;"Y","",IF(R2840&lt;&gt;"",R2840,IF(Q2840="(tanpa lawan)","Transfer antar rekening",IFERROR(INDEX(I_COA!$F$6:$F$265,MATCH(Q2840,I_COA!$A$6:$A$265,0)),"?"))))</f>
        <v/>
      </c>
    </row>
    <row r="2841" customFormat="false" ht="15" hidden="false" customHeight="false" outlineLevel="0" collapsed="false">
      <c r="A2841" s="37"/>
      <c r="B2841" s="44"/>
      <c r="C2841" s="44"/>
      <c r="D2841" s="44"/>
      <c r="E2841" s="44"/>
      <c r="F2841" s="44"/>
      <c r="G2841" s="42"/>
      <c r="H2841" s="42"/>
      <c r="I2841" s="44"/>
      <c r="J2841" s="11" t="str">
        <f aca="false">IF(D2841="","",N(G2841)-N(H2841))</f>
        <v/>
      </c>
      <c r="K2841" s="34" t="str">
        <f aca="false">IF(D2841="","",IFERROR(INDEX(I_COA!$C$6:$C$265,MATCH(D2841,I_COA!$A$6:$A$265,0)),"AKUN BARU"))</f>
        <v/>
      </c>
      <c r="L2841" s="34" t="str">
        <f aca="false">IF(K2841="LabaRugi",INDEX(I_COA!$D$6:$D$265,MATCH(D2841,I_COA!$A$6:$A$265,0)),"")</f>
        <v/>
      </c>
      <c r="M2841" s="34" t="str">
        <f aca="false">IF(K2841="Neraca",INDEX(I_COA!$E$6:$E$265,MATCH(D2841,I_COA!$A$6:$A$265,0)),"")</f>
        <v/>
      </c>
      <c r="N2841" s="34" t="str">
        <f aca="false">IF(D2841="","",IFERROR(INDEX(I_COA!$G$6:$G$265,MATCH(D2841,I_COA!$A$6:$A$265,0)),"N"))</f>
        <v/>
      </c>
      <c r="O2841" s="11" t="str">
        <f aca="false">IF(N2841="N",ABS(J2841),"")</f>
        <v/>
      </c>
      <c r="P2841" s="18" t="str">
        <f aca="false">IF(N2841="N",B2841&amp;"|"&amp;ROUND(O2841,0),"")</f>
        <v/>
      </c>
      <c r="Q2841" s="18" t="str">
        <f aca="false">IF(N2841&lt;&gt;"Y","",IFERROR(INDEX($D$6:$D$4005,MATCH(B2841&amp;"|"&amp;ROUND(_xlfn.MAXIFS($O$6:$O$4005,$B$6:$B$4005,B2841,$N$6:$N$4005,"N"),0),$P$6:$P$4005,0)),"(tanpa lawan)"))</f>
        <v/>
      </c>
      <c r="R2841" s="44"/>
      <c r="S2841" s="9" t="str">
        <f aca="false">IF(N2841&lt;&gt;"Y","",IF(R2841&lt;&gt;"",R2841,IF(Q2841="(tanpa lawan)","Transfer antar rekening",IFERROR(INDEX(I_COA!$F$6:$F$265,MATCH(Q2841,I_COA!$A$6:$A$265,0)),"?"))))</f>
        <v/>
      </c>
    </row>
    <row r="2842" customFormat="false" ht="15" hidden="false" customHeight="false" outlineLevel="0" collapsed="false">
      <c r="A2842" s="37"/>
      <c r="B2842" s="44"/>
      <c r="C2842" s="44"/>
      <c r="D2842" s="44"/>
      <c r="E2842" s="44"/>
      <c r="F2842" s="44"/>
      <c r="G2842" s="42"/>
      <c r="H2842" s="42"/>
      <c r="I2842" s="44"/>
      <c r="J2842" s="11" t="str">
        <f aca="false">IF(D2842="","",N(G2842)-N(H2842))</f>
        <v/>
      </c>
      <c r="K2842" s="34" t="str">
        <f aca="false">IF(D2842="","",IFERROR(INDEX(I_COA!$C$6:$C$265,MATCH(D2842,I_COA!$A$6:$A$265,0)),"AKUN BARU"))</f>
        <v/>
      </c>
      <c r="L2842" s="34" t="str">
        <f aca="false">IF(K2842="LabaRugi",INDEX(I_COA!$D$6:$D$265,MATCH(D2842,I_COA!$A$6:$A$265,0)),"")</f>
        <v/>
      </c>
      <c r="M2842" s="34" t="str">
        <f aca="false">IF(K2842="Neraca",INDEX(I_COA!$E$6:$E$265,MATCH(D2842,I_COA!$A$6:$A$265,0)),"")</f>
        <v/>
      </c>
      <c r="N2842" s="34" t="str">
        <f aca="false">IF(D2842="","",IFERROR(INDEX(I_COA!$G$6:$G$265,MATCH(D2842,I_COA!$A$6:$A$265,0)),"N"))</f>
        <v/>
      </c>
      <c r="O2842" s="11" t="str">
        <f aca="false">IF(N2842="N",ABS(J2842),"")</f>
        <v/>
      </c>
      <c r="P2842" s="18" t="str">
        <f aca="false">IF(N2842="N",B2842&amp;"|"&amp;ROUND(O2842,0),"")</f>
        <v/>
      </c>
      <c r="Q2842" s="18" t="str">
        <f aca="false">IF(N2842&lt;&gt;"Y","",IFERROR(INDEX($D$6:$D$4005,MATCH(B2842&amp;"|"&amp;ROUND(_xlfn.MAXIFS($O$6:$O$4005,$B$6:$B$4005,B2842,$N$6:$N$4005,"N"),0),$P$6:$P$4005,0)),"(tanpa lawan)"))</f>
        <v/>
      </c>
      <c r="R2842" s="44"/>
      <c r="S2842" s="9" t="str">
        <f aca="false">IF(N2842&lt;&gt;"Y","",IF(R2842&lt;&gt;"",R2842,IF(Q2842="(tanpa lawan)","Transfer antar rekening",IFERROR(INDEX(I_COA!$F$6:$F$265,MATCH(Q2842,I_COA!$A$6:$A$265,0)),"?"))))</f>
        <v/>
      </c>
    </row>
    <row r="2843" customFormat="false" ht="15" hidden="false" customHeight="false" outlineLevel="0" collapsed="false">
      <c r="A2843" s="37"/>
      <c r="B2843" s="44"/>
      <c r="C2843" s="44"/>
      <c r="D2843" s="44"/>
      <c r="E2843" s="44"/>
      <c r="F2843" s="44"/>
      <c r="G2843" s="42"/>
      <c r="H2843" s="42"/>
      <c r="I2843" s="44"/>
      <c r="J2843" s="11" t="str">
        <f aca="false">IF(D2843="","",N(G2843)-N(H2843))</f>
        <v/>
      </c>
      <c r="K2843" s="34" t="str">
        <f aca="false">IF(D2843="","",IFERROR(INDEX(I_COA!$C$6:$C$265,MATCH(D2843,I_COA!$A$6:$A$265,0)),"AKUN BARU"))</f>
        <v/>
      </c>
      <c r="L2843" s="34" t="str">
        <f aca="false">IF(K2843="LabaRugi",INDEX(I_COA!$D$6:$D$265,MATCH(D2843,I_COA!$A$6:$A$265,0)),"")</f>
        <v/>
      </c>
      <c r="M2843" s="34" t="str">
        <f aca="false">IF(K2843="Neraca",INDEX(I_COA!$E$6:$E$265,MATCH(D2843,I_COA!$A$6:$A$265,0)),"")</f>
        <v/>
      </c>
      <c r="N2843" s="34" t="str">
        <f aca="false">IF(D2843="","",IFERROR(INDEX(I_COA!$G$6:$G$265,MATCH(D2843,I_COA!$A$6:$A$265,0)),"N"))</f>
        <v/>
      </c>
      <c r="O2843" s="11" t="str">
        <f aca="false">IF(N2843="N",ABS(J2843),"")</f>
        <v/>
      </c>
      <c r="P2843" s="18" t="str">
        <f aca="false">IF(N2843="N",B2843&amp;"|"&amp;ROUND(O2843,0),"")</f>
        <v/>
      </c>
      <c r="Q2843" s="18" t="str">
        <f aca="false">IF(N2843&lt;&gt;"Y","",IFERROR(INDEX($D$6:$D$4005,MATCH(B2843&amp;"|"&amp;ROUND(_xlfn.MAXIFS($O$6:$O$4005,$B$6:$B$4005,B2843,$N$6:$N$4005,"N"),0),$P$6:$P$4005,0)),"(tanpa lawan)"))</f>
        <v/>
      </c>
      <c r="R2843" s="44"/>
      <c r="S2843" s="9" t="str">
        <f aca="false">IF(N2843&lt;&gt;"Y","",IF(R2843&lt;&gt;"",R2843,IF(Q2843="(tanpa lawan)","Transfer antar rekening",IFERROR(INDEX(I_COA!$F$6:$F$265,MATCH(Q2843,I_COA!$A$6:$A$265,0)),"?"))))</f>
        <v/>
      </c>
    </row>
    <row r="2844" customFormat="false" ht="15" hidden="false" customHeight="false" outlineLevel="0" collapsed="false">
      <c r="A2844" s="37"/>
      <c r="B2844" s="44"/>
      <c r="C2844" s="44"/>
      <c r="D2844" s="44"/>
      <c r="E2844" s="44"/>
      <c r="F2844" s="44"/>
      <c r="G2844" s="42"/>
      <c r="H2844" s="42"/>
      <c r="I2844" s="44"/>
      <c r="J2844" s="11" t="str">
        <f aca="false">IF(D2844="","",N(G2844)-N(H2844))</f>
        <v/>
      </c>
      <c r="K2844" s="34" t="str">
        <f aca="false">IF(D2844="","",IFERROR(INDEX(I_COA!$C$6:$C$265,MATCH(D2844,I_COA!$A$6:$A$265,0)),"AKUN BARU"))</f>
        <v/>
      </c>
      <c r="L2844" s="34" t="str">
        <f aca="false">IF(K2844="LabaRugi",INDEX(I_COA!$D$6:$D$265,MATCH(D2844,I_COA!$A$6:$A$265,0)),"")</f>
        <v/>
      </c>
      <c r="M2844" s="34" t="str">
        <f aca="false">IF(K2844="Neraca",INDEX(I_COA!$E$6:$E$265,MATCH(D2844,I_COA!$A$6:$A$265,0)),"")</f>
        <v/>
      </c>
      <c r="N2844" s="34" t="str">
        <f aca="false">IF(D2844="","",IFERROR(INDEX(I_COA!$G$6:$G$265,MATCH(D2844,I_COA!$A$6:$A$265,0)),"N"))</f>
        <v/>
      </c>
      <c r="O2844" s="11" t="str">
        <f aca="false">IF(N2844="N",ABS(J2844),"")</f>
        <v/>
      </c>
      <c r="P2844" s="18" t="str">
        <f aca="false">IF(N2844="N",B2844&amp;"|"&amp;ROUND(O2844,0),"")</f>
        <v/>
      </c>
      <c r="Q2844" s="18" t="str">
        <f aca="false">IF(N2844&lt;&gt;"Y","",IFERROR(INDEX($D$6:$D$4005,MATCH(B2844&amp;"|"&amp;ROUND(_xlfn.MAXIFS($O$6:$O$4005,$B$6:$B$4005,B2844,$N$6:$N$4005,"N"),0),$P$6:$P$4005,0)),"(tanpa lawan)"))</f>
        <v/>
      </c>
      <c r="R2844" s="44"/>
      <c r="S2844" s="9" t="str">
        <f aca="false">IF(N2844&lt;&gt;"Y","",IF(R2844&lt;&gt;"",R2844,IF(Q2844="(tanpa lawan)","Transfer antar rekening",IFERROR(INDEX(I_COA!$F$6:$F$265,MATCH(Q2844,I_COA!$A$6:$A$265,0)),"?"))))</f>
        <v/>
      </c>
    </row>
    <row r="2845" customFormat="false" ht="15" hidden="false" customHeight="false" outlineLevel="0" collapsed="false">
      <c r="A2845" s="37"/>
      <c r="B2845" s="44"/>
      <c r="C2845" s="44"/>
      <c r="D2845" s="44"/>
      <c r="E2845" s="44"/>
      <c r="F2845" s="44"/>
      <c r="G2845" s="42"/>
      <c r="H2845" s="42"/>
      <c r="I2845" s="44"/>
      <c r="J2845" s="11" t="str">
        <f aca="false">IF(D2845="","",N(G2845)-N(H2845))</f>
        <v/>
      </c>
      <c r="K2845" s="34" t="str">
        <f aca="false">IF(D2845="","",IFERROR(INDEX(I_COA!$C$6:$C$265,MATCH(D2845,I_COA!$A$6:$A$265,0)),"AKUN BARU"))</f>
        <v/>
      </c>
      <c r="L2845" s="34" t="str">
        <f aca="false">IF(K2845="LabaRugi",INDEX(I_COA!$D$6:$D$265,MATCH(D2845,I_COA!$A$6:$A$265,0)),"")</f>
        <v/>
      </c>
      <c r="M2845" s="34" t="str">
        <f aca="false">IF(K2845="Neraca",INDEX(I_COA!$E$6:$E$265,MATCH(D2845,I_COA!$A$6:$A$265,0)),"")</f>
        <v/>
      </c>
      <c r="N2845" s="34" t="str">
        <f aca="false">IF(D2845="","",IFERROR(INDEX(I_COA!$G$6:$G$265,MATCH(D2845,I_COA!$A$6:$A$265,0)),"N"))</f>
        <v/>
      </c>
      <c r="O2845" s="11" t="str">
        <f aca="false">IF(N2845="N",ABS(J2845),"")</f>
        <v/>
      </c>
      <c r="P2845" s="18" t="str">
        <f aca="false">IF(N2845="N",B2845&amp;"|"&amp;ROUND(O2845,0),"")</f>
        <v/>
      </c>
      <c r="Q2845" s="18" t="str">
        <f aca="false">IF(N2845&lt;&gt;"Y","",IFERROR(INDEX($D$6:$D$4005,MATCH(B2845&amp;"|"&amp;ROUND(_xlfn.MAXIFS($O$6:$O$4005,$B$6:$B$4005,B2845,$N$6:$N$4005,"N"),0),$P$6:$P$4005,0)),"(tanpa lawan)"))</f>
        <v/>
      </c>
      <c r="R2845" s="44"/>
      <c r="S2845" s="9" t="str">
        <f aca="false">IF(N2845&lt;&gt;"Y","",IF(R2845&lt;&gt;"",R2845,IF(Q2845="(tanpa lawan)","Transfer antar rekening",IFERROR(INDEX(I_COA!$F$6:$F$265,MATCH(Q2845,I_COA!$A$6:$A$265,0)),"?"))))</f>
        <v/>
      </c>
    </row>
    <row r="2846" customFormat="false" ht="15" hidden="false" customHeight="false" outlineLevel="0" collapsed="false">
      <c r="A2846" s="37"/>
      <c r="B2846" s="44"/>
      <c r="C2846" s="44"/>
      <c r="D2846" s="44"/>
      <c r="E2846" s="44"/>
      <c r="F2846" s="44"/>
      <c r="G2846" s="42"/>
      <c r="H2846" s="42"/>
      <c r="I2846" s="44"/>
      <c r="J2846" s="11" t="str">
        <f aca="false">IF(D2846="","",N(G2846)-N(H2846))</f>
        <v/>
      </c>
      <c r="K2846" s="34" t="str">
        <f aca="false">IF(D2846="","",IFERROR(INDEX(I_COA!$C$6:$C$265,MATCH(D2846,I_COA!$A$6:$A$265,0)),"AKUN BARU"))</f>
        <v/>
      </c>
      <c r="L2846" s="34" t="str">
        <f aca="false">IF(K2846="LabaRugi",INDEX(I_COA!$D$6:$D$265,MATCH(D2846,I_COA!$A$6:$A$265,0)),"")</f>
        <v/>
      </c>
      <c r="M2846" s="34" t="str">
        <f aca="false">IF(K2846="Neraca",INDEX(I_COA!$E$6:$E$265,MATCH(D2846,I_COA!$A$6:$A$265,0)),"")</f>
        <v/>
      </c>
      <c r="N2846" s="34" t="str">
        <f aca="false">IF(D2846="","",IFERROR(INDEX(I_COA!$G$6:$G$265,MATCH(D2846,I_COA!$A$6:$A$265,0)),"N"))</f>
        <v/>
      </c>
      <c r="O2846" s="11" t="str">
        <f aca="false">IF(N2846="N",ABS(J2846),"")</f>
        <v/>
      </c>
      <c r="P2846" s="18" t="str">
        <f aca="false">IF(N2846="N",B2846&amp;"|"&amp;ROUND(O2846,0),"")</f>
        <v/>
      </c>
      <c r="Q2846" s="18" t="str">
        <f aca="false">IF(N2846&lt;&gt;"Y","",IFERROR(INDEX($D$6:$D$4005,MATCH(B2846&amp;"|"&amp;ROUND(_xlfn.MAXIFS($O$6:$O$4005,$B$6:$B$4005,B2846,$N$6:$N$4005,"N"),0),$P$6:$P$4005,0)),"(tanpa lawan)"))</f>
        <v/>
      </c>
      <c r="R2846" s="44"/>
      <c r="S2846" s="9" t="str">
        <f aca="false">IF(N2846&lt;&gt;"Y","",IF(R2846&lt;&gt;"",R2846,IF(Q2846="(tanpa lawan)","Transfer antar rekening",IFERROR(INDEX(I_COA!$F$6:$F$265,MATCH(Q2846,I_COA!$A$6:$A$265,0)),"?"))))</f>
        <v/>
      </c>
    </row>
    <row r="2847" customFormat="false" ht="15" hidden="false" customHeight="false" outlineLevel="0" collapsed="false">
      <c r="A2847" s="37"/>
      <c r="B2847" s="44"/>
      <c r="C2847" s="44"/>
      <c r="D2847" s="44"/>
      <c r="E2847" s="44"/>
      <c r="F2847" s="44"/>
      <c r="G2847" s="42"/>
      <c r="H2847" s="42"/>
      <c r="I2847" s="44"/>
      <c r="J2847" s="11" t="str">
        <f aca="false">IF(D2847="","",N(G2847)-N(H2847))</f>
        <v/>
      </c>
      <c r="K2847" s="34" t="str">
        <f aca="false">IF(D2847="","",IFERROR(INDEX(I_COA!$C$6:$C$265,MATCH(D2847,I_COA!$A$6:$A$265,0)),"AKUN BARU"))</f>
        <v/>
      </c>
      <c r="L2847" s="34" t="str">
        <f aca="false">IF(K2847="LabaRugi",INDEX(I_COA!$D$6:$D$265,MATCH(D2847,I_COA!$A$6:$A$265,0)),"")</f>
        <v/>
      </c>
      <c r="M2847" s="34" t="str">
        <f aca="false">IF(K2847="Neraca",INDEX(I_COA!$E$6:$E$265,MATCH(D2847,I_COA!$A$6:$A$265,0)),"")</f>
        <v/>
      </c>
      <c r="N2847" s="34" t="str">
        <f aca="false">IF(D2847="","",IFERROR(INDEX(I_COA!$G$6:$G$265,MATCH(D2847,I_COA!$A$6:$A$265,0)),"N"))</f>
        <v/>
      </c>
      <c r="O2847" s="11" t="str">
        <f aca="false">IF(N2847="N",ABS(J2847),"")</f>
        <v/>
      </c>
      <c r="P2847" s="18" t="str">
        <f aca="false">IF(N2847="N",B2847&amp;"|"&amp;ROUND(O2847,0),"")</f>
        <v/>
      </c>
      <c r="Q2847" s="18" t="str">
        <f aca="false">IF(N2847&lt;&gt;"Y","",IFERROR(INDEX($D$6:$D$4005,MATCH(B2847&amp;"|"&amp;ROUND(_xlfn.MAXIFS($O$6:$O$4005,$B$6:$B$4005,B2847,$N$6:$N$4005,"N"),0),$P$6:$P$4005,0)),"(tanpa lawan)"))</f>
        <v/>
      </c>
      <c r="R2847" s="44"/>
      <c r="S2847" s="9" t="str">
        <f aca="false">IF(N2847&lt;&gt;"Y","",IF(R2847&lt;&gt;"",R2847,IF(Q2847="(tanpa lawan)","Transfer antar rekening",IFERROR(INDEX(I_COA!$F$6:$F$265,MATCH(Q2847,I_COA!$A$6:$A$265,0)),"?"))))</f>
        <v/>
      </c>
    </row>
    <row r="2848" customFormat="false" ht="15" hidden="false" customHeight="false" outlineLevel="0" collapsed="false">
      <c r="A2848" s="37"/>
      <c r="B2848" s="44"/>
      <c r="C2848" s="44"/>
      <c r="D2848" s="44"/>
      <c r="E2848" s="44"/>
      <c r="F2848" s="44"/>
      <c r="G2848" s="42"/>
      <c r="H2848" s="42"/>
      <c r="I2848" s="44"/>
      <c r="J2848" s="11" t="str">
        <f aca="false">IF(D2848="","",N(G2848)-N(H2848))</f>
        <v/>
      </c>
      <c r="K2848" s="34" t="str">
        <f aca="false">IF(D2848="","",IFERROR(INDEX(I_COA!$C$6:$C$265,MATCH(D2848,I_COA!$A$6:$A$265,0)),"AKUN BARU"))</f>
        <v/>
      </c>
      <c r="L2848" s="34" t="str">
        <f aca="false">IF(K2848="LabaRugi",INDEX(I_COA!$D$6:$D$265,MATCH(D2848,I_COA!$A$6:$A$265,0)),"")</f>
        <v/>
      </c>
      <c r="M2848" s="34" t="str">
        <f aca="false">IF(K2848="Neraca",INDEX(I_COA!$E$6:$E$265,MATCH(D2848,I_COA!$A$6:$A$265,0)),"")</f>
        <v/>
      </c>
      <c r="N2848" s="34" t="str">
        <f aca="false">IF(D2848="","",IFERROR(INDEX(I_COA!$G$6:$G$265,MATCH(D2848,I_COA!$A$6:$A$265,0)),"N"))</f>
        <v/>
      </c>
      <c r="O2848" s="11" t="str">
        <f aca="false">IF(N2848="N",ABS(J2848),"")</f>
        <v/>
      </c>
      <c r="P2848" s="18" t="str">
        <f aca="false">IF(N2848="N",B2848&amp;"|"&amp;ROUND(O2848,0),"")</f>
        <v/>
      </c>
      <c r="Q2848" s="18" t="str">
        <f aca="false">IF(N2848&lt;&gt;"Y","",IFERROR(INDEX($D$6:$D$4005,MATCH(B2848&amp;"|"&amp;ROUND(_xlfn.MAXIFS($O$6:$O$4005,$B$6:$B$4005,B2848,$N$6:$N$4005,"N"),0),$P$6:$P$4005,0)),"(tanpa lawan)"))</f>
        <v/>
      </c>
      <c r="R2848" s="44"/>
      <c r="S2848" s="9" t="str">
        <f aca="false">IF(N2848&lt;&gt;"Y","",IF(R2848&lt;&gt;"",R2848,IF(Q2848="(tanpa lawan)","Transfer antar rekening",IFERROR(INDEX(I_COA!$F$6:$F$265,MATCH(Q2848,I_COA!$A$6:$A$265,0)),"?"))))</f>
        <v/>
      </c>
    </row>
    <row r="2849" customFormat="false" ht="15" hidden="false" customHeight="false" outlineLevel="0" collapsed="false">
      <c r="A2849" s="37"/>
      <c r="B2849" s="44"/>
      <c r="C2849" s="44"/>
      <c r="D2849" s="44"/>
      <c r="E2849" s="44"/>
      <c r="F2849" s="44"/>
      <c r="G2849" s="42"/>
      <c r="H2849" s="42"/>
      <c r="I2849" s="44"/>
      <c r="J2849" s="11" t="str">
        <f aca="false">IF(D2849="","",N(G2849)-N(H2849))</f>
        <v/>
      </c>
      <c r="K2849" s="34" t="str">
        <f aca="false">IF(D2849="","",IFERROR(INDEX(I_COA!$C$6:$C$265,MATCH(D2849,I_COA!$A$6:$A$265,0)),"AKUN BARU"))</f>
        <v/>
      </c>
      <c r="L2849" s="34" t="str">
        <f aca="false">IF(K2849="LabaRugi",INDEX(I_COA!$D$6:$D$265,MATCH(D2849,I_COA!$A$6:$A$265,0)),"")</f>
        <v/>
      </c>
      <c r="M2849" s="34" t="str">
        <f aca="false">IF(K2849="Neraca",INDEX(I_COA!$E$6:$E$265,MATCH(D2849,I_COA!$A$6:$A$265,0)),"")</f>
        <v/>
      </c>
      <c r="N2849" s="34" t="str">
        <f aca="false">IF(D2849="","",IFERROR(INDEX(I_COA!$G$6:$G$265,MATCH(D2849,I_COA!$A$6:$A$265,0)),"N"))</f>
        <v/>
      </c>
      <c r="O2849" s="11" t="str">
        <f aca="false">IF(N2849="N",ABS(J2849),"")</f>
        <v/>
      </c>
      <c r="P2849" s="18" t="str">
        <f aca="false">IF(N2849="N",B2849&amp;"|"&amp;ROUND(O2849,0),"")</f>
        <v/>
      </c>
      <c r="Q2849" s="18" t="str">
        <f aca="false">IF(N2849&lt;&gt;"Y","",IFERROR(INDEX($D$6:$D$4005,MATCH(B2849&amp;"|"&amp;ROUND(_xlfn.MAXIFS($O$6:$O$4005,$B$6:$B$4005,B2849,$N$6:$N$4005,"N"),0),$P$6:$P$4005,0)),"(tanpa lawan)"))</f>
        <v/>
      </c>
      <c r="R2849" s="44"/>
      <c r="S2849" s="9" t="str">
        <f aca="false">IF(N2849&lt;&gt;"Y","",IF(R2849&lt;&gt;"",R2849,IF(Q2849="(tanpa lawan)","Transfer antar rekening",IFERROR(INDEX(I_COA!$F$6:$F$265,MATCH(Q2849,I_COA!$A$6:$A$265,0)),"?"))))</f>
        <v/>
      </c>
    </row>
    <row r="2850" customFormat="false" ht="15" hidden="false" customHeight="false" outlineLevel="0" collapsed="false">
      <c r="A2850" s="37"/>
      <c r="B2850" s="44"/>
      <c r="C2850" s="44"/>
      <c r="D2850" s="44"/>
      <c r="E2850" s="44"/>
      <c r="F2850" s="44"/>
      <c r="G2850" s="42"/>
      <c r="H2850" s="42"/>
      <c r="I2850" s="44"/>
      <c r="J2850" s="11" t="str">
        <f aca="false">IF(D2850="","",N(G2850)-N(H2850))</f>
        <v/>
      </c>
      <c r="K2850" s="34" t="str">
        <f aca="false">IF(D2850="","",IFERROR(INDEX(I_COA!$C$6:$C$265,MATCH(D2850,I_COA!$A$6:$A$265,0)),"AKUN BARU"))</f>
        <v/>
      </c>
      <c r="L2850" s="34" t="str">
        <f aca="false">IF(K2850="LabaRugi",INDEX(I_COA!$D$6:$D$265,MATCH(D2850,I_COA!$A$6:$A$265,0)),"")</f>
        <v/>
      </c>
      <c r="M2850" s="34" t="str">
        <f aca="false">IF(K2850="Neraca",INDEX(I_COA!$E$6:$E$265,MATCH(D2850,I_COA!$A$6:$A$265,0)),"")</f>
        <v/>
      </c>
      <c r="N2850" s="34" t="str">
        <f aca="false">IF(D2850="","",IFERROR(INDEX(I_COA!$G$6:$G$265,MATCH(D2850,I_COA!$A$6:$A$265,0)),"N"))</f>
        <v/>
      </c>
      <c r="O2850" s="11" t="str">
        <f aca="false">IF(N2850="N",ABS(J2850),"")</f>
        <v/>
      </c>
      <c r="P2850" s="18" t="str">
        <f aca="false">IF(N2850="N",B2850&amp;"|"&amp;ROUND(O2850,0),"")</f>
        <v/>
      </c>
      <c r="Q2850" s="18" t="str">
        <f aca="false">IF(N2850&lt;&gt;"Y","",IFERROR(INDEX($D$6:$D$4005,MATCH(B2850&amp;"|"&amp;ROUND(_xlfn.MAXIFS($O$6:$O$4005,$B$6:$B$4005,B2850,$N$6:$N$4005,"N"),0),$P$6:$P$4005,0)),"(tanpa lawan)"))</f>
        <v/>
      </c>
      <c r="R2850" s="44"/>
      <c r="S2850" s="9" t="str">
        <f aca="false">IF(N2850&lt;&gt;"Y","",IF(R2850&lt;&gt;"",R2850,IF(Q2850="(tanpa lawan)","Transfer antar rekening",IFERROR(INDEX(I_COA!$F$6:$F$265,MATCH(Q2850,I_COA!$A$6:$A$265,0)),"?"))))</f>
        <v/>
      </c>
    </row>
    <row r="2851" customFormat="false" ht="15" hidden="false" customHeight="false" outlineLevel="0" collapsed="false">
      <c r="A2851" s="37"/>
      <c r="B2851" s="44"/>
      <c r="C2851" s="44"/>
      <c r="D2851" s="44"/>
      <c r="E2851" s="44"/>
      <c r="F2851" s="44"/>
      <c r="G2851" s="42"/>
      <c r="H2851" s="42"/>
      <c r="I2851" s="44"/>
      <c r="J2851" s="11" t="str">
        <f aca="false">IF(D2851="","",N(G2851)-N(H2851))</f>
        <v/>
      </c>
      <c r="K2851" s="34" t="str">
        <f aca="false">IF(D2851="","",IFERROR(INDEX(I_COA!$C$6:$C$265,MATCH(D2851,I_COA!$A$6:$A$265,0)),"AKUN BARU"))</f>
        <v/>
      </c>
      <c r="L2851" s="34" t="str">
        <f aca="false">IF(K2851="LabaRugi",INDEX(I_COA!$D$6:$D$265,MATCH(D2851,I_COA!$A$6:$A$265,0)),"")</f>
        <v/>
      </c>
      <c r="M2851" s="34" t="str">
        <f aca="false">IF(K2851="Neraca",INDEX(I_COA!$E$6:$E$265,MATCH(D2851,I_COA!$A$6:$A$265,0)),"")</f>
        <v/>
      </c>
      <c r="N2851" s="34" t="str">
        <f aca="false">IF(D2851="","",IFERROR(INDEX(I_COA!$G$6:$G$265,MATCH(D2851,I_COA!$A$6:$A$265,0)),"N"))</f>
        <v/>
      </c>
      <c r="O2851" s="11" t="str">
        <f aca="false">IF(N2851="N",ABS(J2851),"")</f>
        <v/>
      </c>
      <c r="P2851" s="18" t="str">
        <f aca="false">IF(N2851="N",B2851&amp;"|"&amp;ROUND(O2851,0),"")</f>
        <v/>
      </c>
      <c r="Q2851" s="18" t="str">
        <f aca="false">IF(N2851&lt;&gt;"Y","",IFERROR(INDEX($D$6:$D$4005,MATCH(B2851&amp;"|"&amp;ROUND(_xlfn.MAXIFS($O$6:$O$4005,$B$6:$B$4005,B2851,$N$6:$N$4005,"N"),0),$P$6:$P$4005,0)),"(tanpa lawan)"))</f>
        <v/>
      </c>
      <c r="R2851" s="44"/>
      <c r="S2851" s="9" t="str">
        <f aca="false">IF(N2851&lt;&gt;"Y","",IF(R2851&lt;&gt;"",R2851,IF(Q2851="(tanpa lawan)","Transfer antar rekening",IFERROR(INDEX(I_COA!$F$6:$F$265,MATCH(Q2851,I_COA!$A$6:$A$265,0)),"?"))))</f>
        <v/>
      </c>
    </row>
    <row r="2852" customFormat="false" ht="15" hidden="false" customHeight="false" outlineLevel="0" collapsed="false">
      <c r="A2852" s="37"/>
      <c r="B2852" s="44"/>
      <c r="C2852" s="44"/>
      <c r="D2852" s="44"/>
      <c r="E2852" s="44"/>
      <c r="F2852" s="44"/>
      <c r="G2852" s="42"/>
      <c r="H2852" s="42"/>
      <c r="I2852" s="44"/>
      <c r="J2852" s="11" t="str">
        <f aca="false">IF(D2852="","",N(G2852)-N(H2852))</f>
        <v/>
      </c>
      <c r="K2852" s="34" t="str">
        <f aca="false">IF(D2852="","",IFERROR(INDEX(I_COA!$C$6:$C$265,MATCH(D2852,I_COA!$A$6:$A$265,0)),"AKUN BARU"))</f>
        <v/>
      </c>
      <c r="L2852" s="34" t="str">
        <f aca="false">IF(K2852="LabaRugi",INDEX(I_COA!$D$6:$D$265,MATCH(D2852,I_COA!$A$6:$A$265,0)),"")</f>
        <v/>
      </c>
      <c r="M2852" s="34" t="str">
        <f aca="false">IF(K2852="Neraca",INDEX(I_COA!$E$6:$E$265,MATCH(D2852,I_COA!$A$6:$A$265,0)),"")</f>
        <v/>
      </c>
      <c r="N2852" s="34" t="str">
        <f aca="false">IF(D2852="","",IFERROR(INDEX(I_COA!$G$6:$G$265,MATCH(D2852,I_COA!$A$6:$A$265,0)),"N"))</f>
        <v/>
      </c>
      <c r="O2852" s="11" t="str">
        <f aca="false">IF(N2852="N",ABS(J2852),"")</f>
        <v/>
      </c>
      <c r="P2852" s="18" t="str">
        <f aca="false">IF(N2852="N",B2852&amp;"|"&amp;ROUND(O2852,0),"")</f>
        <v/>
      </c>
      <c r="Q2852" s="18" t="str">
        <f aca="false">IF(N2852&lt;&gt;"Y","",IFERROR(INDEX($D$6:$D$4005,MATCH(B2852&amp;"|"&amp;ROUND(_xlfn.MAXIFS($O$6:$O$4005,$B$6:$B$4005,B2852,$N$6:$N$4005,"N"),0),$P$6:$P$4005,0)),"(tanpa lawan)"))</f>
        <v/>
      </c>
      <c r="R2852" s="44"/>
      <c r="S2852" s="9" t="str">
        <f aca="false">IF(N2852&lt;&gt;"Y","",IF(R2852&lt;&gt;"",R2852,IF(Q2852="(tanpa lawan)","Transfer antar rekening",IFERROR(INDEX(I_COA!$F$6:$F$265,MATCH(Q2852,I_COA!$A$6:$A$265,0)),"?"))))</f>
        <v/>
      </c>
    </row>
    <row r="2853" customFormat="false" ht="15" hidden="false" customHeight="false" outlineLevel="0" collapsed="false">
      <c r="A2853" s="37"/>
      <c r="B2853" s="44"/>
      <c r="C2853" s="44"/>
      <c r="D2853" s="44"/>
      <c r="E2853" s="44"/>
      <c r="F2853" s="44"/>
      <c r="G2853" s="42"/>
      <c r="H2853" s="42"/>
      <c r="I2853" s="44"/>
      <c r="J2853" s="11" t="str">
        <f aca="false">IF(D2853="","",N(G2853)-N(H2853))</f>
        <v/>
      </c>
      <c r="K2853" s="34" t="str">
        <f aca="false">IF(D2853="","",IFERROR(INDEX(I_COA!$C$6:$C$265,MATCH(D2853,I_COA!$A$6:$A$265,0)),"AKUN BARU"))</f>
        <v/>
      </c>
      <c r="L2853" s="34" t="str">
        <f aca="false">IF(K2853="LabaRugi",INDEX(I_COA!$D$6:$D$265,MATCH(D2853,I_COA!$A$6:$A$265,0)),"")</f>
        <v/>
      </c>
      <c r="M2853" s="34" t="str">
        <f aca="false">IF(K2853="Neraca",INDEX(I_COA!$E$6:$E$265,MATCH(D2853,I_COA!$A$6:$A$265,0)),"")</f>
        <v/>
      </c>
      <c r="N2853" s="34" t="str">
        <f aca="false">IF(D2853="","",IFERROR(INDEX(I_COA!$G$6:$G$265,MATCH(D2853,I_COA!$A$6:$A$265,0)),"N"))</f>
        <v/>
      </c>
      <c r="O2853" s="11" t="str">
        <f aca="false">IF(N2853="N",ABS(J2853),"")</f>
        <v/>
      </c>
      <c r="P2853" s="18" t="str">
        <f aca="false">IF(N2853="N",B2853&amp;"|"&amp;ROUND(O2853,0),"")</f>
        <v/>
      </c>
      <c r="Q2853" s="18" t="str">
        <f aca="false">IF(N2853&lt;&gt;"Y","",IFERROR(INDEX($D$6:$D$4005,MATCH(B2853&amp;"|"&amp;ROUND(_xlfn.MAXIFS($O$6:$O$4005,$B$6:$B$4005,B2853,$N$6:$N$4005,"N"),0),$P$6:$P$4005,0)),"(tanpa lawan)"))</f>
        <v/>
      </c>
      <c r="R2853" s="44"/>
      <c r="S2853" s="9" t="str">
        <f aca="false">IF(N2853&lt;&gt;"Y","",IF(R2853&lt;&gt;"",R2853,IF(Q2853="(tanpa lawan)","Transfer antar rekening",IFERROR(INDEX(I_COA!$F$6:$F$265,MATCH(Q2853,I_COA!$A$6:$A$265,0)),"?"))))</f>
        <v/>
      </c>
    </row>
    <row r="2854" customFormat="false" ht="15" hidden="false" customHeight="false" outlineLevel="0" collapsed="false">
      <c r="A2854" s="37"/>
      <c r="B2854" s="44"/>
      <c r="C2854" s="44"/>
      <c r="D2854" s="44"/>
      <c r="E2854" s="44"/>
      <c r="F2854" s="44"/>
      <c r="G2854" s="42"/>
      <c r="H2854" s="42"/>
      <c r="I2854" s="44"/>
      <c r="J2854" s="11" t="str">
        <f aca="false">IF(D2854="","",N(G2854)-N(H2854))</f>
        <v/>
      </c>
      <c r="K2854" s="34" t="str">
        <f aca="false">IF(D2854="","",IFERROR(INDEX(I_COA!$C$6:$C$265,MATCH(D2854,I_COA!$A$6:$A$265,0)),"AKUN BARU"))</f>
        <v/>
      </c>
      <c r="L2854" s="34" t="str">
        <f aca="false">IF(K2854="LabaRugi",INDEX(I_COA!$D$6:$D$265,MATCH(D2854,I_COA!$A$6:$A$265,0)),"")</f>
        <v/>
      </c>
      <c r="M2854" s="34" t="str">
        <f aca="false">IF(K2854="Neraca",INDEX(I_COA!$E$6:$E$265,MATCH(D2854,I_COA!$A$6:$A$265,0)),"")</f>
        <v/>
      </c>
      <c r="N2854" s="34" t="str">
        <f aca="false">IF(D2854="","",IFERROR(INDEX(I_COA!$G$6:$G$265,MATCH(D2854,I_COA!$A$6:$A$265,0)),"N"))</f>
        <v/>
      </c>
      <c r="O2854" s="11" t="str">
        <f aca="false">IF(N2854="N",ABS(J2854),"")</f>
        <v/>
      </c>
      <c r="P2854" s="18" t="str">
        <f aca="false">IF(N2854="N",B2854&amp;"|"&amp;ROUND(O2854,0),"")</f>
        <v/>
      </c>
      <c r="Q2854" s="18" t="str">
        <f aca="false">IF(N2854&lt;&gt;"Y","",IFERROR(INDEX($D$6:$D$4005,MATCH(B2854&amp;"|"&amp;ROUND(_xlfn.MAXIFS($O$6:$O$4005,$B$6:$B$4005,B2854,$N$6:$N$4005,"N"),0),$P$6:$P$4005,0)),"(tanpa lawan)"))</f>
        <v/>
      </c>
      <c r="R2854" s="44"/>
      <c r="S2854" s="9" t="str">
        <f aca="false">IF(N2854&lt;&gt;"Y","",IF(R2854&lt;&gt;"",R2854,IF(Q2854="(tanpa lawan)","Transfer antar rekening",IFERROR(INDEX(I_COA!$F$6:$F$265,MATCH(Q2854,I_COA!$A$6:$A$265,0)),"?"))))</f>
        <v/>
      </c>
    </row>
    <row r="2855" customFormat="false" ht="15" hidden="false" customHeight="false" outlineLevel="0" collapsed="false">
      <c r="A2855" s="37"/>
      <c r="B2855" s="44"/>
      <c r="C2855" s="44"/>
      <c r="D2855" s="44"/>
      <c r="E2855" s="44"/>
      <c r="F2855" s="44"/>
      <c r="G2855" s="42"/>
      <c r="H2855" s="42"/>
      <c r="I2855" s="44"/>
      <c r="J2855" s="11" t="str">
        <f aca="false">IF(D2855="","",N(G2855)-N(H2855))</f>
        <v/>
      </c>
      <c r="K2855" s="34" t="str">
        <f aca="false">IF(D2855="","",IFERROR(INDEX(I_COA!$C$6:$C$265,MATCH(D2855,I_COA!$A$6:$A$265,0)),"AKUN BARU"))</f>
        <v/>
      </c>
      <c r="L2855" s="34" t="str">
        <f aca="false">IF(K2855="LabaRugi",INDEX(I_COA!$D$6:$D$265,MATCH(D2855,I_COA!$A$6:$A$265,0)),"")</f>
        <v/>
      </c>
      <c r="M2855" s="34" t="str">
        <f aca="false">IF(K2855="Neraca",INDEX(I_COA!$E$6:$E$265,MATCH(D2855,I_COA!$A$6:$A$265,0)),"")</f>
        <v/>
      </c>
      <c r="N2855" s="34" t="str">
        <f aca="false">IF(D2855="","",IFERROR(INDEX(I_COA!$G$6:$G$265,MATCH(D2855,I_COA!$A$6:$A$265,0)),"N"))</f>
        <v/>
      </c>
      <c r="O2855" s="11" t="str">
        <f aca="false">IF(N2855="N",ABS(J2855),"")</f>
        <v/>
      </c>
      <c r="P2855" s="18" t="str">
        <f aca="false">IF(N2855="N",B2855&amp;"|"&amp;ROUND(O2855,0),"")</f>
        <v/>
      </c>
      <c r="Q2855" s="18" t="str">
        <f aca="false">IF(N2855&lt;&gt;"Y","",IFERROR(INDEX($D$6:$D$4005,MATCH(B2855&amp;"|"&amp;ROUND(_xlfn.MAXIFS($O$6:$O$4005,$B$6:$B$4005,B2855,$N$6:$N$4005,"N"),0),$P$6:$P$4005,0)),"(tanpa lawan)"))</f>
        <v/>
      </c>
      <c r="R2855" s="44"/>
      <c r="S2855" s="9" t="str">
        <f aca="false">IF(N2855&lt;&gt;"Y","",IF(R2855&lt;&gt;"",R2855,IF(Q2855="(tanpa lawan)","Transfer antar rekening",IFERROR(INDEX(I_COA!$F$6:$F$265,MATCH(Q2855,I_COA!$A$6:$A$265,0)),"?"))))</f>
        <v/>
      </c>
    </row>
    <row r="2856" customFormat="false" ht="15" hidden="false" customHeight="false" outlineLevel="0" collapsed="false">
      <c r="A2856" s="37"/>
      <c r="B2856" s="44"/>
      <c r="C2856" s="44"/>
      <c r="D2856" s="44"/>
      <c r="E2856" s="44"/>
      <c r="F2856" s="44"/>
      <c r="G2856" s="42"/>
      <c r="H2856" s="42"/>
      <c r="I2856" s="44"/>
      <c r="J2856" s="11" t="str">
        <f aca="false">IF(D2856="","",N(G2856)-N(H2856))</f>
        <v/>
      </c>
      <c r="K2856" s="34" t="str">
        <f aca="false">IF(D2856="","",IFERROR(INDEX(I_COA!$C$6:$C$265,MATCH(D2856,I_COA!$A$6:$A$265,0)),"AKUN BARU"))</f>
        <v/>
      </c>
      <c r="L2856" s="34" t="str">
        <f aca="false">IF(K2856="LabaRugi",INDEX(I_COA!$D$6:$D$265,MATCH(D2856,I_COA!$A$6:$A$265,0)),"")</f>
        <v/>
      </c>
      <c r="M2856" s="34" t="str">
        <f aca="false">IF(K2856="Neraca",INDEX(I_COA!$E$6:$E$265,MATCH(D2856,I_COA!$A$6:$A$265,0)),"")</f>
        <v/>
      </c>
      <c r="N2856" s="34" t="str">
        <f aca="false">IF(D2856="","",IFERROR(INDEX(I_COA!$G$6:$G$265,MATCH(D2856,I_COA!$A$6:$A$265,0)),"N"))</f>
        <v/>
      </c>
      <c r="O2856" s="11" t="str">
        <f aca="false">IF(N2856="N",ABS(J2856),"")</f>
        <v/>
      </c>
      <c r="P2856" s="18" t="str">
        <f aca="false">IF(N2856="N",B2856&amp;"|"&amp;ROUND(O2856,0),"")</f>
        <v/>
      </c>
      <c r="Q2856" s="18" t="str">
        <f aca="false">IF(N2856&lt;&gt;"Y","",IFERROR(INDEX($D$6:$D$4005,MATCH(B2856&amp;"|"&amp;ROUND(_xlfn.MAXIFS($O$6:$O$4005,$B$6:$B$4005,B2856,$N$6:$N$4005,"N"),0),$P$6:$P$4005,0)),"(tanpa lawan)"))</f>
        <v/>
      </c>
      <c r="R2856" s="44"/>
      <c r="S2856" s="9" t="str">
        <f aca="false">IF(N2856&lt;&gt;"Y","",IF(R2856&lt;&gt;"",R2856,IF(Q2856="(tanpa lawan)","Transfer antar rekening",IFERROR(INDEX(I_COA!$F$6:$F$265,MATCH(Q2856,I_COA!$A$6:$A$265,0)),"?"))))</f>
        <v/>
      </c>
    </row>
    <row r="2857" customFormat="false" ht="15" hidden="false" customHeight="false" outlineLevel="0" collapsed="false">
      <c r="A2857" s="37"/>
      <c r="B2857" s="44"/>
      <c r="C2857" s="44"/>
      <c r="D2857" s="44"/>
      <c r="E2857" s="44"/>
      <c r="F2857" s="44"/>
      <c r="G2857" s="42"/>
      <c r="H2857" s="42"/>
      <c r="I2857" s="44"/>
      <c r="J2857" s="11" t="str">
        <f aca="false">IF(D2857="","",N(G2857)-N(H2857))</f>
        <v/>
      </c>
      <c r="K2857" s="34" t="str">
        <f aca="false">IF(D2857="","",IFERROR(INDEX(I_COA!$C$6:$C$265,MATCH(D2857,I_COA!$A$6:$A$265,0)),"AKUN BARU"))</f>
        <v/>
      </c>
      <c r="L2857" s="34" t="str">
        <f aca="false">IF(K2857="LabaRugi",INDEX(I_COA!$D$6:$D$265,MATCH(D2857,I_COA!$A$6:$A$265,0)),"")</f>
        <v/>
      </c>
      <c r="M2857" s="34" t="str">
        <f aca="false">IF(K2857="Neraca",INDEX(I_COA!$E$6:$E$265,MATCH(D2857,I_COA!$A$6:$A$265,0)),"")</f>
        <v/>
      </c>
      <c r="N2857" s="34" t="str">
        <f aca="false">IF(D2857="","",IFERROR(INDEX(I_COA!$G$6:$G$265,MATCH(D2857,I_COA!$A$6:$A$265,0)),"N"))</f>
        <v/>
      </c>
      <c r="O2857" s="11" t="str">
        <f aca="false">IF(N2857="N",ABS(J2857),"")</f>
        <v/>
      </c>
      <c r="P2857" s="18" t="str">
        <f aca="false">IF(N2857="N",B2857&amp;"|"&amp;ROUND(O2857,0),"")</f>
        <v/>
      </c>
      <c r="Q2857" s="18" t="str">
        <f aca="false">IF(N2857&lt;&gt;"Y","",IFERROR(INDEX($D$6:$D$4005,MATCH(B2857&amp;"|"&amp;ROUND(_xlfn.MAXIFS($O$6:$O$4005,$B$6:$B$4005,B2857,$N$6:$N$4005,"N"),0),$P$6:$P$4005,0)),"(tanpa lawan)"))</f>
        <v/>
      </c>
      <c r="R2857" s="44"/>
      <c r="S2857" s="9" t="str">
        <f aca="false">IF(N2857&lt;&gt;"Y","",IF(R2857&lt;&gt;"",R2857,IF(Q2857="(tanpa lawan)","Transfer antar rekening",IFERROR(INDEX(I_COA!$F$6:$F$265,MATCH(Q2857,I_COA!$A$6:$A$265,0)),"?"))))</f>
        <v/>
      </c>
    </row>
    <row r="2858" customFormat="false" ht="15" hidden="false" customHeight="false" outlineLevel="0" collapsed="false">
      <c r="A2858" s="37"/>
      <c r="B2858" s="44"/>
      <c r="C2858" s="44"/>
      <c r="D2858" s="44"/>
      <c r="E2858" s="44"/>
      <c r="F2858" s="44"/>
      <c r="G2858" s="42"/>
      <c r="H2858" s="42"/>
      <c r="I2858" s="44"/>
      <c r="J2858" s="11" t="str">
        <f aca="false">IF(D2858="","",N(G2858)-N(H2858))</f>
        <v/>
      </c>
      <c r="K2858" s="34" t="str">
        <f aca="false">IF(D2858="","",IFERROR(INDEX(I_COA!$C$6:$C$265,MATCH(D2858,I_COA!$A$6:$A$265,0)),"AKUN BARU"))</f>
        <v/>
      </c>
      <c r="L2858" s="34" t="str">
        <f aca="false">IF(K2858="LabaRugi",INDEX(I_COA!$D$6:$D$265,MATCH(D2858,I_COA!$A$6:$A$265,0)),"")</f>
        <v/>
      </c>
      <c r="M2858" s="34" t="str">
        <f aca="false">IF(K2858="Neraca",INDEX(I_COA!$E$6:$E$265,MATCH(D2858,I_COA!$A$6:$A$265,0)),"")</f>
        <v/>
      </c>
      <c r="N2858" s="34" t="str">
        <f aca="false">IF(D2858="","",IFERROR(INDEX(I_COA!$G$6:$G$265,MATCH(D2858,I_COA!$A$6:$A$265,0)),"N"))</f>
        <v/>
      </c>
      <c r="O2858" s="11" t="str">
        <f aca="false">IF(N2858="N",ABS(J2858),"")</f>
        <v/>
      </c>
      <c r="P2858" s="18" t="str">
        <f aca="false">IF(N2858="N",B2858&amp;"|"&amp;ROUND(O2858,0),"")</f>
        <v/>
      </c>
      <c r="Q2858" s="18" t="str">
        <f aca="false">IF(N2858&lt;&gt;"Y","",IFERROR(INDEX($D$6:$D$4005,MATCH(B2858&amp;"|"&amp;ROUND(_xlfn.MAXIFS($O$6:$O$4005,$B$6:$B$4005,B2858,$N$6:$N$4005,"N"),0),$P$6:$P$4005,0)),"(tanpa lawan)"))</f>
        <v/>
      </c>
      <c r="R2858" s="44"/>
      <c r="S2858" s="9" t="str">
        <f aca="false">IF(N2858&lt;&gt;"Y","",IF(R2858&lt;&gt;"",R2858,IF(Q2858="(tanpa lawan)","Transfer antar rekening",IFERROR(INDEX(I_COA!$F$6:$F$265,MATCH(Q2858,I_COA!$A$6:$A$265,0)),"?"))))</f>
        <v/>
      </c>
    </row>
    <row r="2859" customFormat="false" ht="15" hidden="false" customHeight="false" outlineLevel="0" collapsed="false">
      <c r="A2859" s="37"/>
      <c r="B2859" s="44"/>
      <c r="C2859" s="44"/>
      <c r="D2859" s="44"/>
      <c r="E2859" s="44"/>
      <c r="F2859" s="44"/>
      <c r="G2859" s="42"/>
      <c r="H2859" s="42"/>
      <c r="I2859" s="44"/>
      <c r="J2859" s="11" t="str">
        <f aca="false">IF(D2859="","",N(G2859)-N(H2859))</f>
        <v/>
      </c>
      <c r="K2859" s="34" t="str">
        <f aca="false">IF(D2859="","",IFERROR(INDEX(I_COA!$C$6:$C$265,MATCH(D2859,I_COA!$A$6:$A$265,0)),"AKUN BARU"))</f>
        <v/>
      </c>
      <c r="L2859" s="34" t="str">
        <f aca="false">IF(K2859="LabaRugi",INDEX(I_COA!$D$6:$D$265,MATCH(D2859,I_COA!$A$6:$A$265,0)),"")</f>
        <v/>
      </c>
      <c r="M2859" s="34" t="str">
        <f aca="false">IF(K2859="Neraca",INDEX(I_COA!$E$6:$E$265,MATCH(D2859,I_COA!$A$6:$A$265,0)),"")</f>
        <v/>
      </c>
      <c r="N2859" s="34" t="str">
        <f aca="false">IF(D2859="","",IFERROR(INDEX(I_COA!$G$6:$G$265,MATCH(D2859,I_COA!$A$6:$A$265,0)),"N"))</f>
        <v/>
      </c>
      <c r="O2859" s="11" t="str">
        <f aca="false">IF(N2859="N",ABS(J2859),"")</f>
        <v/>
      </c>
      <c r="P2859" s="18" t="str">
        <f aca="false">IF(N2859="N",B2859&amp;"|"&amp;ROUND(O2859,0),"")</f>
        <v/>
      </c>
      <c r="Q2859" s="18" t="str">
        <f aca="false">IF(N2859&lt;&gt;"Y","",IFERROR(INDEX($D$6:$D$4005,MATCH(B2859&amp;"|"&amp;ROUND(_xlfn.MAXIFS($O$6:$O$4005,$B$6:$B$4005,B2859,$N$6:$N$4005,"N"),0),$P$6:$P$4005,0)),"(tanpa lawan)"))</f>
        <v/>
      </c>
      <c r="R2859" s="44"/>
      <c r="S2859" s="9" t="str">
        <f aca="false">IF(N2859&lt;&gt;"Y","",IF(R2859&lt;&gt;"",R2859,IF(Q2859="(tanpa lawan)","Transfer antar rekening",IFERROR(INDEX(I_COA!$F$6:$F$265,MATCH(Q2859,I_COA!$A$6:$A$265,0)),"?"))))</f>
        <v/>
      </c>
    </row>
    <row r="2860" customFormat="false" ht="15" hidden="false" customHeight="false" outlineLevel="0" collapsed="false">
      <c r="A2860" s="37"/>
      <c r="B2860" s="44"/>
      <c r="C2860" s="44"/>
      <c r="D2860" s="44"/>
      <c r="E2860" s="44"/>
      <c r="F2860" s="44"/>
      <c r="G2860" s="42"/>
      <c r="H2860" s="42"/>
      <c r="I2860" s="44"/>
      <c r="J2860" s="11" t="str">
        <f aca="false">IF(D2860="","",N(G2860)-N(H2860))</f>
        <v/>
      </c>
      <c r="K2860" s="34" t="str">
        <f aca="false">IF(D2860="","",IFERROR(INDEX(I_COA!$C$6:$C$265,MATCH(D2860,I_COA!$A$6:$A$265,0)),"AKUN BARU"))</f>
        <v/>
      </c>
      <c r="L2860" s="34" t="str">
        <f aca="false">IF(K2860="LabaRugi",INDEX(I_COA!$D$6:$D$265,MATCH(D2860,I_COA!$A$6:$A$265,0)),"")</f>
        <v/>
      </c>
      <c r="M2860" s="34" t="str">
        <f aca="false">IF(K2860="Neraca",INDEX(I_COA!$E$6:$E$265,MATCH(D2860,I_COA!$A$6:$A$265,0)),"")</f>
        <v/>
      </c>
      <c r="N2860" s="34" t="str">
        <f aca="false">IF(D2860="","",IFERROR(INDEX(I_COA!$G$6:$G$265,MATCH(D2860,I_COA!$A$6:$A$265,0)),"N"))</f>
        <v/>
      </c>
      <c r="O2860" s="11" t="str">
        <f aca="false">IF(N2860="N",ABS(J2860),"")</f>
        <v/>
      </c>
      <c r="P2860" s="18" t="str">
        <f aca="false">IF(N2860="N",B2860&amp;"|"&amp;ROUND(O2860,0),"")</f>
        <v/>
      </c>
      <c r="Q2860" s="18" t="str">
        <f aca="false">IF(N2860&lt;&gt;"Y","",IFERROR(INDEX($D$6:$D$4005,MATCH(B2860&amp;"|"&amp;ROUND(_xlfn.MAXIFS($O$6:$O$4005,$B$6:$B$4005,B2860,$N$6:$N$4005,"N"),0),$P$6:$P$4005,0)),"(tanpa lawan)"))</f>
        <v/>
      </c>
      <c r="R2860" s="44"/>
      <c r="S2860" s="9" t="str">
        <f aca="false">IF(N2860&lt;&gt;"Y","",IF(R2860&lt;&gt;"",R2860,IF(Q2860="(tanpa lawan)","Transfer antar rekening",IFERROR(INDEX(I_COA!$F$6:$F$265,MATCH(Q2860,I_COA!$A$6:$A$265,0)),"?"))))</f>
        <v/>
      </c>
    </row>
    <row r="2861" customFormat="false" ht="15" hidden="false" customHeight="false" outlineLevel="0" collapsed="false">
      <c r="A2861" s="37"/>
      <c r="B2861" s="44"/>
      <c r="C2861" s="44"/>
      <c r="D2861" s="44"/>
      <c r="E2861" s="44"/>
      <c r="F2861" s="44"/>
      <c r="G2861" s="42"/>
      <c r="H2861" s="42"/>
      <c r="I2861" s="44"/>
      <c r="J2861" s="11" t="str">
        <f aca="false">IF(D2861="","",N(G2861)-N(H2861))</f>
        <v/>
      </c>
      <c r="K2861" s="34" t="str">
        <f aca="false">IF(D2861="","",IFERROR(INDEX(I_COA!$C$6:$C$265,MATCH(D2861,I_COA!$A$6:$A$265,0)),"AKUN BARU"))</f>
        <v/>
      </c>
      <c r="L2861" s="34" t="str">
        <f aca="false">IF(K2861="LabaRugi",INDEX(I_COA!$D$6:$D$265,MATCH(D2861,I_COA!$A$6:$A$265,0)),"")</f>
        <v/>
      </c>
      <c r="M2861" s="34" t="str">
        <f aca="false">IF(K2861="Neraca",INDEX(I_COA!$E$6:$E$265,MATCH(D2861,I_COA!$A$6:$A$265,0)),"")</f>
        <v/>
      </c>
      <c r="N2861" s="34" t="str">
        <f aca="false">IF(D2861="","",IFERROR(INDEX(I_COA!$G$6:$G$265,MATCH(D2861,I_COA!$A$6:$A$265,0)),"N"))</f>
        <v/>
      </c>
      <c r="O2861" s="11" t="str">
        <f aca="false">IF(N2861="N",ABS(J2861),"")</f>
        <v/>
      </c>
      <c r="P2861" s="18" t="str">
        <f aca="false">IF(N2861="N",B2861&amp;"|"&amp;ROUND(O2861,0),"")</f>
        <v/>
      </c>
      <c r="Q2861" s="18" t="str">
        <f aca="false">IF(N2861&lt;&gt;"Y","",IFERROR(INDEX($D$6:$D$4005,MATCH(B2861&amp;"|"&amp;ROUND(_xlfn.MAXIFS($O$6:$O$4005,$B$6:$B$4005,B2861,$N$6:$N$4005,"N"),0),$P$6:$P$4005,0)),"(tanpa lawan)"))</f>
        <v/>
      </c>
      <c r="R2861" s="44"/>
      <c r="S2861" s="9" t="str">
        <f aca="false">IF(N2861&lt;&gt;"Y","",IF(R2861&lt;&gt;"",R2861,IF(Q2861="(tanpa lawan)","Transfer antar rekening",IFERROR(INDEX(I_COA!$F$6:$F$265,MATCH(Q2861,I_COA!$A$6:$A$265,0)),"?"))))</f>
        <v/>
      </c>
    </row>
    <row r="2862" customFormat="false" ht="15" hidden="false" customHeight="false" outlineLevel="0" collapsed="false">
      <c r="A2862" s="37"/>
      <c r="B2862" s="44"/>
      <c r="C2862" s="44"/>
      <c r="D2862" s="44"/>
      <c r="E2862" s="44"/>
      <c r="F2862" s="44"/>
      <c r="G2862" s="42"/>
      <c r="H2862" s="42"/>
      <c r="I2862" s="44"/>
      <c r="J2862" s="11" t="str">
        <f aca="false">IF(D2862="","",N(G2862)-N(H2862))</f>
        <v/>
      </c>
      <c r="K2862" s="34" t="str">
        <f aca="false">IF(D2862="","",IFERROR(INDEX(I_COA!$C$6:$C$265,MATCH(D2862,I_COA!$A$6:$A$265,0)),"AKUN BARU"))</f>
        <v/>
      </c>
      <c r="L2862" s="34" t="str">
        <f aca="false">IF(K2862="LabaRugi",INDEX(I_COA!$D$6:$D$265,MATCH(D2862,I_COA!$A$6:$A$265,0)),"")</f>
        <v/>
      </c>
      <c r="M2862" s="34" t="str">
        <f aca="false">IF(K2862="Neraca",INDEX(I_COA!$E$6:$E$265,MATCH(D2862,I_COA!$A$6:$A$265,0)),"")</f>
        <v/>
      </c>
      <c r="N2862" s="34" t="str">
        <f aca="false">IF(D2862="","",IFERROR(INDEX(I_COA!$G$6:$G$265,MATCH(D2862,I_COA!$A$6:$A$265,0)),"N"))</f>
        <v/>
      </c>
      <c r="O2862" s="11" t="str">
        <f aca="false">IF(N2862="N",ABS(J2862),"")</f>
        <v/>
      </c>
      <c r="P2862" s="18" t="str">
        <f aca="false">IF(N2862="N",B2862&amp;"|"&amp;ROUND(O2862,0),"")</f>
        <v/>
      </c>
      <c r="Q2862" s="18" t="str">
        <f aca="false">IF(N2862&lt;&gt;"Y","",IFERROR(INDEX($D$6:$D$4005,MATCH(B2862&amp;"|"&amp;ROUND(_xlfn.MAXIFS($O$6:$O$4005,$B$6:$B$4005,B2862,$N$6:$N$4005,"N"),0),$P$6:$P$4005,0)),"(tanpa lawan)"))</f>
        <v/>
      </c>
      <c r="R2862" s="44"/>
      <c r="S2862" s="9" t="str">
        <f aca="false">IF(N2862&lt;&gt;"Y","",IF(R2862&lt;&gt;"",R2862,IF(Q2862="(tanpa lawan)","Transfer antar rekening",IFERROR(INDEX(I_COA!$F$6:$F$265,MATCH(Q2862,I_COA!$A$6:$A$265,0)),"?"))))</f>
        <v/>
      </c>
    </row>
    <row r="2863" customFormat="false" ht="15" hidden="false" customHeight="false" outlineLevel="0" collapsed="false">
      <c r="A2863" s="37"/>
      <c r="B2863" s="44"/>
      <c r="C2863" s="44"/>
      <c r="D2863" s="44"/>
      <c r="E2863" s="44"/>
      <c r="F2863" s="44"/>
      <c r="G2863" s="42"/>
      <c r="H2863" s="42"/>
      <c r="I2863" s="44"/>
      <c r="J2863" s="11" t="str">
        <f aca="false">IF(D2863="","",N(G2863)-N(H2863))</f>
        <v/>
      </c>
      <c r="K2863" s="34" t="str">
        <f aca="false">IF(D2863="","",IFERROR(INDEX(I_COA!$C$6:$C$265,MATCH(D2863,I_COA!$A$6:$A$265,0)),"AKUN BARU"))</f>
        <v/>
      </c>
      <c r="L2863" s="34" t="str">
        <f aca="false">IF(K2863="LabaRugi",INDEX(I_COA!$D$6:$D$265,MATCH(D2863,I_COA!$A$6:$A$265,0)),"")</f>
        <v/>
      </c>
      <c r="M2863" s="34" t="str">
        <f aca="false">IF(K2863="Neraca",INDEX(I_COA!$E$6:$E$265,MATCH(D2863,I_COA!$A$6:$A$265,0)),"")</f>
        <v/>
      </c>
      <c r="N2863" s="34" t="str">
        <f aca="false">IF(D2863="","",IFERROR(INDEX(I_COA!$G$6:$G$265,MATCH(D2863,I_COA!$A$6:$A$265,0)),"N"))</f>
        <v/>
      </c>
      <c r="O2863" s="11" t="str">
        <f aca="false">IF(N2863="N",ABS(J2863),"")</f>
        <v/>
      </c>
      <c r="P2863" s="18" t="str">
        <f aca="false">IF(N2863="N",B2863&amp;"|"&amp;ROUND(O2863,0),"")</f>
        <v/>
      </c>
      <c r="Q2863" s="18" t="str">
        <f aca="false">IF(N2863&lt;&gt;"Y","",IFERROR(INDEX($D$6:$D$4005,MATCH(B2863&amp;"|"&amp;ROUND(_xlfn.MAXIFS($O$6:$O$4005,$B$6:$B$4005,B2863,$N$6:$N$4005,"N"),0),$P$6:$P$4005,0)),"(tanpa lawan)"))</f>
        <v/>
      </c>
      <c r="R2863" s="44"/>
      <c r="S2863" s="9" t="str">
        <f aca="false">IF(N2863&lt;&gt;"Y","",IF(R2863&lt;&gt;"",R2863,IF(Q2863="(tanpa lawan)","Transfer antar rekening",IFERROR(INDEX(I_COA!$F$6:$F$265,MATCH(Q2863,I_COA!$A$6:$A$265,0)),"?"))))</f>
        <v/>
      </c>
    </row>
    <row r="2864" customFormat="false" ht="15" hidden="false" customHeight="false" outlineLevel="0" collapsed="false">
      <c r="A2864" s="37"/>
      <c r="B2864" s="44"/>
      <c r="C2864" s="44"/>
      <c r="D2864" s="44"/>
      <c r="E2864" s="44"/>
      <c r="F2864" s="44"/>
      <c r="G2864" s="42"/>
      <c r="H2864" s="42"/>
      <c r="I2864" s="44"/>
      <c r="J2864" s="11" t="str">
        <f aca="false">IF(D2864="","",N(G2864)-N(H2864))</f>
        <v/>
      </c>
      <c r="K2864" s="34" t="str">
        <f aca="false">IF(D2864="","",IFERROR(INDEX(I_COA!$C$6:$C$265,MATCH(D2864,I_COA!$A$6:$A$265,0)),"AKUN BARU"))</f>
        <v/>
      </c>
      <c r="L2864" s="34" t="str">
        <f aca="false">IF(K2864="LabaRugi",INDEX(I_COA!$D$6:$D$265,MATCH(D2864,I_COA!$A$6:$A$265,0)),"")</f>
        <v/>
      </c>
      <c r="M2864" s="34" t="str">
        <f aca="false">IF(K2864="Neraca",INDEX(I_COA!$E$6:$E$265,MATCH(D2864,I_COA!$A$6:$A$265,0)),"")</f>
        <v/>
      </c>
      <c r="N2864" s="34" t="str">
        <f aca="false">IF(D2864="","",IFERROR(INDEX(I_COA!$G$6:$G$265,MATCH(D2864,I_COA!$A$6:$A$265,0)),"N"))</f>
        <v/>
      </c>
      <c r="O2864" s="11" t="str">
        <f aca="false">IF(N2864="N",ABS(J2864),"")</f>
        <v/>
      </c>
      <c r="P2864" s="18" t="str">
        <f aca="false">IF(N2864="N",B2864&amp;"|"&amp;ROUND(O2864,0),"")</f>
        <v/>
      </c>
      <c r="Q2864" s="18" t="str">
        <f aca="false">IF(N2864&lt;&gt;"Y","",IFERROR(INDEX($D$6:$D$4005,MATCH(B2864&amp;"|"&amp;ROUND(_xlfn.MAXIFS($O$6:$O$4005,$B$6:$B$4005,B2864,$N$6:$N$4005,"N"),0),$P$6:$P$4005,0)),"(tanpa lawan)"))</f>
        <v/>
      </c>
      <c r="R2864" s="44"/>
      <c r="S2864" s="9" t="str">
        <f aca="false">IF(N2864&lt;&gt;"Y","",IF(R2864&lt;&gt;"",R2864,IF(Q2864="(tanpa lawan)","Transfer antar rekening",IFERROR(INDEX(I_COA!$F$6:$F$265,MATCH(Q2864,I_COA!$A$6:$A$265,0)),"?"))))</f>
        <v/>
      </c>
    </row>
    <row r="2865" customFormat="false" ht="15" hidden="false" customHeight="false" outlineLevel="0" collapsed="false">
      <c r="A2865" s="37"/>
      <c r="B2865" s="44"/>
      <c r="C2865" s="44"/>
      <c r="D2865" s="44"/>
      <c r="E2865" s="44"/>
      <c r="F2865" s="44"/>
      <c r="G2865" s="42"/>
      <c r="H2865" s="42"/>
      <c r="I2865" s="44"/>
      <c r="J2865" s="11" t="str">
        <f aca="false">IF(D2865="","",N(G2865)-N(H2865))</f>
        <v/>
      </c>
      <c r="K2865" s="34" t="str">
        <f aca="false">IF(D2865="","",IFERROR(INDEX(I_COA!$C$6:$C$265,MATCH(D2865,I_COA!$A$6:$A$265,0)),"AKUN BARU"))</f>
        <v/>
      </c>
      <c r="L2865" s="34" t="str">
        <f aca="false">IF(K2865="LabaRugi",INDEX(I_COA!$D$6:$D$265,MATCH(D2865,I_COA!$A$6:$A$265,0)),"")</f>
        <v/>
      </c>
      <c r="M2865" s="34" t="str">
        <f aca="false">IF(K2865="Neraca",INDEX(I_COA!$E$6:$E$265,MATCH(D2865,I_COA!$A$6:$A$265,0)),"")</f>
        <v/>
      </c>
      <c r="N2865" s="34" t="str">
        <f aca="false">IF(D2865="","",IFERROR(INDEX(I_COA!$G$6:$G$265,MATCH(D2865,I_COA!$A$6:$A$265,0)),"N"))</f>
        <v/>
      </c>
      <c r="O2865" s="11" t="str">
        <f aca="false">IF(N2865="N",ABS(J2865),"")</f>
        <v/>
      </c>
      <c r="P2865" s="18" t="str">
        <f aca="false">IF(N2865="N",B2865&amp;"|"&amp;ROUND(O2865,0),"")</f>
        <v/>
      </c>
      <c r="Q2865" s="18" t="str">
        <f aca="false">IF(N2865&lt;&gt;"Y","",IFERROR(INDEX($D$6:$D$4005,MATCH(B2865&amp;"|"&amp;ROUND(_xlfn.MAXIFS($O$6:$O$4005,$B$6:$B$4005,B2865,$N$6:$N$4005,"N"),0),$P$6:$P$4005,0)),"(tanpa lawan)"))</f>
        <v/>
      </c>
      <c r="R2865" s="44"/>
      <c r="S2865" s="9" t="str">
        <f aca="false">IF(N2865&lt;&gt;"Y","",IF(R2865&lt;&gt;"",R2865,IF(Q2865="(tanpa lawan)","Transfer antar rekening",IFERROR(INDEX(I_COA!$F$6:$F$265,MATCH(Q2865,I_COA!$A$6:$A$265,0)),"?"))))</f>
        <v/>
      </c>
    </row>
    <row r="2866" customFormat="false" ht="15" hidden="false" customHeight="false" outlineLevel="0" collapsed="false">
      <c r="A2866" s="37"/>
      <c r="B2866" s="44"/>
      <c r="C2866" s="44"/>
      <c r="D2866" s="44"/>
      <c r="E2866" s="44"/>
      <c r="F2866" s="44"/>
      <c r="G2866" s="42"/>
      <c r="H2866" s="42"/>
      <c r="I2866" s="44"/>
      <c r="J2866" s="11" t="str">
        <f aca="false">IF(D2866="","",N(G2866)-N(H2866))</f>
        <v/>
      </c>
      <c r="K2866" s="34" t="str">
        <f aca="false">IF(D2866="","",IFERROR(INDEX(I_COA!$C$6:$C$265,MATCH(D2866,I_COA!$A$6:$A$265,0)),"AKUN BARU"))</f>
        <v/>
      </c>
      <c r="L2866" s="34" t="str">
        <f aca="false">IF(K2866="LabaRugi",INDEX(I_COA!$D$6:$D$265,MATCH(D2866,I_COA!$A$6:$A$265,0)),"")</f>
        <v/>
      </c>
      <c r="M2866" s="34" t="str">
        <f aca="false">IF(K2866="Neraca",INDEX(I_COA!$E$6:$E$265,MATCH(D2866,I_COA!$A$6:$A$265,0)),"")</f>
        <v/>
      </c>
      <c r="N2866" s="34" t="str">
        <f aca="false">IF(D2866="","",IFERROR(INDEX(I_COA!$G$6:$G$265,MATCH(D2866,I_COA!$A$6:$A$265,0)),"N"))</f>
        <v/>
      </c>
      <c r="O2866" s="11" t="str">
        <f aca="false">IF(N2866="N",ABS(J2866),"")</f>
        <v/>
      </c>
      <c r="P2866" s="18" t="str">
        <f aca="false">IF(N2866="N",B2866&amp;"|"&amp;ROUND(O2866,0),"")</f>
        <v/>
      </c>
      <c r="Q2866" s="18" t="str">
        <f aca="false">IF(N2866&lt;&gt;"Y","",IFERROR(INDEX($D$6:$D$4005,MATCH(B2866&amp;"|"&amp;ROUND(_xlfn.MAXIFS($O$6:$O$4005,$B$6:$B$4005,B2866,$N$6:$N$4005,"N"),0),$P$6:$P$4005,0)),"(tanpa lawan)"))</f>
        <v/>
      </c>
      <c r="R2866" s="44"/>
      <c r="S2866" s="9" t="str">
        <f aca="false">IF(N2866&lt;&gt;"Y","",IF(R2866&lt;&gt;"",R2866,IF(Q2866="(tanpa lawan)","Transfer antar rekening",IFERROR(INDEX(I_COA!$F$6:$F$265,MATCH(Q2866,I_COA!$A$6:$A$265,0)),"?"))))</f>
        <v/>
      </c>
    </row>
    <row r="2867" customFormat="false" ht="15" hidden="false" customHeight="false" outlineLevel="0" collapsed="false">
      <c r="A2867" s="37"/>
      <c r="B2867" s="44"/>
      <c r="C2867" s="44"/>
      <c r="D2867" s="44"/>
      <c r="E2867" s="44"/>
      <c r="F2867" s="44"/>
      <c r="G2867" s="42"/>
      <c r="H2867" s="42"/>
      <c r="I2867" s="44"/>
      <c r="J2867" s="11" t="str">
        <f aca="false">IF(D2867="","",N(G2867)-N(H2867))</f>
        <v/>
      </c>
      <c r="K2867" s="34" t="str">
        <f aca="false">IF(D2867="","",IFERROR(INDEX(I_COA!$C$6:$C$265,MATCH(D2867,I_COA!$A$6:$A$265,0)),"AKUN BARU"))</f>
        <v/>
      </c>
      <c r="L2867" s="34" t="str">
        <f aca="false">IF(K2867="LabaRugi",INDEX(I_COA!$D$6:$D$265,MATCH(D2867,I_COA!$A$6:$A$265,0)),"")</f>
        <v/>
      </c>
      <c r="M2867" s="34" t="str">
        <f aca="false">IF(K2867="Neraca",INDEX(I_COA!$E$6:$E$265,MATCH(D2867,I_COA!$A$6:$A$265,0)),"")</f>
        <v/>
      </c>
      <c r="N2867" s="34" t="str">
        <f aca="false">IF(D2867="","",IFERROR(INDEX(I_COA!$G$6:$G$265,MATCH(D2867,I_COA!$A$6:$A$265,0)),"N"))</f>
        <v/>
      </c>
      <c r="O2867" s="11" t="str">
        <f aca="false">IF(N2867="N",ABS(J2867),"")</f>
        <v/>
      </c>
      <c r="P2867" s="18" t="str">
        <f aca="false">IF(N2867="N",B2867&amp;"|"&amp;ROUND(O2867,0),"")</f>
        <v/>
      </c>
      <c r="Q2867" s="18" t="str">
        <f aca="false">IF(N2867&lt;&gt;"Y","",IFERROR(INDEX($D$6:$D$4005,MATCH(B2867&amp;"|"&amp;ROUND(_xlfn.MAXIFS($O$6:$O$4005,$B$6:$B$4005,B2867,$N$6:$N$4005,"N"),0),$P$6:$P$4005,0)),"(tanpa lawan)"))</f>
        <v/>
      </c>
      <c r="R2867" s="44"/>
      <c r="S2867" s="9" t="str">
        <f aca="false">IF(N2867&lt;&gt;"Y","",IF(R2867&lt;&gt;"",R2867,IF(Q2867="(tanpa lawan)","Transfer antar rekening",IFERROR(INDEX(I_COA!$F$6:$F$265,MATCH(Q2867,I_COA!$A$6:$A$265,0)),"?"))))</f>
        <v/>
      </c>
    </row>
    <row r="2868" customFormat="false" ht="15" hidden="false" customHeight="false" outlineLevel="0" collapsed="false">
      <c r="A2868" s="37"/>
      <c r="B2868" s="44"/>
      <c r="C2868" s="44"/>
      <c r="D2868" s="44"/>
      <c r="E2868" s="44"/>
      <c r="F2868" s="44"/>
      <c r="G2868" s="42"/>
      <c r="H2868" s="42"/>
      <c r="I2868" s="44"/>
      <c r="J2868" s="11" t="str">
        <f aca="false">IF(D2868="","",N(G2868)-N(H2868))</f>
        <v/>
      </c>
      <c r="K2868" s="34" t="str">
        <f aca="false">IF(D2868="","",IFERROR(INDEX(I_COA!$C$6:$C$265,MATCH(D2868,I_COA!$A$6:$A$265,0)),"AKUN BARU"))</f>
        <v/>
      </c>
      <c r="L2868" s="34" t="str">
        <f aca="false">IF(K2868="LabaRugi",INDEX(I_COA!$D$6:$D$265,MATCH(D2868,I_COA!$A$6:$A$265,0)),"")</f>
        <v/>
      </c>
      <c r="M2868" s="34" t="str">
        <f aca="false">IF(K2868="Neraca",INDEX(I_COA!$E$6:$E$265,MATCH(D2868,I_COA!$A$6:$A$265,0)),"")</f>
        <v/>
      </c>
      <c r="N2868" s="34" t="str">
        <f aca="false">IF(D2868="","",IFERROR(INDEX(I_COA!$G$6:$G$265,MATCH(D2868,I_COA!$A$6:$A$265,0)),"N"))</f>
        <v/>
      </c>
      <c r="O2868" s="11" t="str">
        <f aca="false">IF(N2868="N",ABS(J2868),"")</f>
        <v/>
      </c>
      <c r="P2868" s="18" t="str">
        <f aca="false">IF(N2868="N",B2868&amp;"|"&amp;ROUND(O2868,0),"")</f>
        <v/>
      </c>
      <c r="Q2868" s="18" t="str">
        <f aca="false">IF(N2868&lt;&gt;"Y","",IFERROR(INDEX($D$6:$D$4005,MATCH(B2868&amp;"|"&amp;ROUND(_xlfn.MAXIFS($O$6:$O$4005,$B$6:$B$4005,B2868,$N$6:$N$4005,"N"),0),$P$6:$P$4005,0)),"(tanpa lawan)"))</f>
        <v/>
      </c>
      <c r="R2868" s="44"/>
      <c r="S2868" s="9" t="str">
        <f aca="false">IF(N2868&lt;&gt;"Y","",IF(R2868&lt;&gt;"",R2868,IF(Q2868="(tanpa lawan)","Transfer antar rekening",IFERROR(INDEX(I_COA!$F$6:$F$265,MATCH(Q2868,I_COA!$A$6:$A$265,0)),"?"))))</f>
        <v/>
      </c>
    </row>
    <row r="2869" customFormat="false" ht="15" hidden="false" customHeight="false" outlineLevel="0" collapsed="false">
      <c r="A2869" s="37"/>
      <c r="B2869" s="44"/>
      <c r="C2869" s="44"/>
      <c r="D2869" s="44"/>
      <c r="E2869" s="44"/>
      <c r="F2869" s="44"/>
      <c r="G2869" s="42"/>
      <c r="H2869" s="42"/>
      <c r="I2869" s="44"/>
      <c r="J2869" s="11" t="str">
        <f aca="false">IF(D2869="","",N(G2869)-N(H2869))</f>
        <v/>
      </c>
      <c r="K2869" s="34" t="str">
        <f aca="false">IF(D2869="","",IFERROR(INDEX(I_COA!$C$6:$C$265,MATCH(D2869,I_COA!$A$6:$A$265,0)),"AKUN BARU"))</f>
        <v/>
      </c>
      <c r="L2869" s="34" t="str">
        <f aca="false">IF(K2869="LabaRugi",INDEX(I_COA!$D$6:$D$265,MATCH(D2869,I_COA!$A$6:$A$265,0)),"")</f>
        <v/>
      </c>
      <c r="M2869" s="34" t="str">
        <f aca="false">IF(K2869="Neraca",INDEX(I_COA!$E$6:$E$265,MATCH(D2869,I_COA!$A$6:$A$265,0)),"")</f>
        <v/>
      </c>
      <c r="N2869" s="34" t="str">
        <f aca="false">IF(D2869="","",IFERROR(INDEX(I_COA!$G$6:$G$265,MATCH(D2869,I_COA!$A$6:$A$265,0)),"N"))</f>
        <v/>
      </c>
      <c r="O2869" s="11" t="str">
        <f aca="false">IF(N2869="N",ABS(J2869),"")</f>
        <v/>
      </c>
      <c r="P2869" s="18" t="str">
        <f aca="false">IF(N2869="N",B2869&amp;"|"&amp;ROUND(O2869,0),"")</f>
        <v/>
      </c>
      <c r="Q2869" s="18" t="str">
        <f aca="false">IF(N2869&lt;&gt;"Y","",IFERROR(INDEX($D$6:$D$4005,MATCH(B2869&amp;"|"&amp;ROUND(_xlfn.MAXIFS($O$6:$O$4005,$B$6:$B$4005,B2869,$N$6:$N$4005,"N"),0),$P$6:$P$4005,0)),"(tanpa lawan)"))</f>
        <v/>
      </c>
      <c r="R2869" s="44"/>
      <c r="S2869" s="9" t="str">
        <f aca="false">IF(N2869&lt;&gt;"Y","",IF(R2869&lt;&gt;"",R2869,IF(Q2869="(tanpa lawan)","Transfer antar rekening",IFERROR(INDEX(I_COA!$F$6:$F$265,MATCH(Q2869,I_COA!$A$6:$A$265,0)),"?"))))</f>
        <v/>
      </c>
    </row>
    <row r="2870" customFormat="false" ht="15" hidden="false" customHeight="false" outlineLevel="0" collapsed="false">
      <c r="A2870" s="37"/>
      <c r="B2870" s="44"/>
      <c r="C2870" s="44"/>
      <c r="D2870" s="44"/>
      <c r="E2870" s="44"/>
      <c r="F2870" s="44"/>
      <c r="G2870" s="42"/>
      <c r="H2870" s="42"/>
      <c r="I2870" s="44"/>
      <c r="J2870" s="11" t="str">
        <f aca="false">IF(D2870="","",N(G2870)-N(H2870))</f>
        <v/>
      </c>
      <c r="K2870" s="34" t="str">
        <f aca="false">IF(D2870="","",IFERROR(INDEX(I_COA!$C$6:$C$265,MATCH(D2870,I_COA!$A$6:$A$265,0)),"AKUN BARU"))</f>
        <v/>
      </c>
      <c r="L2870" s="34" t="str">
        <f aca="false">IF(K2870="LabaRugi",INDEX(I_COA!$D$6:$D$265,MATCH(D2870,I_COA!$A$6:$A$265,0)),"")</f>
        <v/>
      </c>
      <c r="M2870" s="34" t="str">
        <f aca="false">IF(K2870="Neraca",INDEX(I_COA!$E$6:$E$265,MATCH(D2870,I_COA!$A$6:$A$265,0)),"")</f>
        <v/>
      </c>
      <c r="N2870" s="34" t="str">
        <f aca="false">IF(D2870="","",IFERROR(INDEX(I_COA!$G$6:$G$265,MATCH(D2870,I_COA!$A$6:$A$265,0)),"N"))</f>
        <v/>
      </c>
      <c r="O2870" s="11" t="str">
        <f aca="false">IF(N2870="N",ABS(J2870),"")</f>
        <v/>
      </c>
      <c r="P2870" s="18" t="str">
        <f aca="false">IF(N2870="N",B2870&amp;"|"&amp;ROUND(O2870,0),"")</f>
        <v/>
      </c>
      <c r="Q2870" s="18" t="str">
        <f aca="false">IF(N2870&lt;&gt;"Y","",IFERROR(INDEX($D$6:$D$4005,MATCH(B2870&amp;"|"&amp;ROUND(_xlfn.MAXIFS($O$6:$O$4005,$B$6:$B$4005,B2870,$N$6:$N$4005,"N"),0),$P$6:$P$4005,0)),"(tanpa lawan)"))</f>
        <v/>
      </c>
      <c r="R2870" s="44"/>
      <c r="S2870" s="9" t="str">
        <f aca="false">IF(N2870&lt;&gt;"Y","",IF(R2870&lt;&gt;"",R2870,IF(Q2870="(tanpa lawan)","Transfer antar rekening",IFERROR(INDEX(I_COA!$F$6:$F$265,MATCH(Q2870,I_COA!$A$6:$A$265,0)),"?"))))</f>
        <v/>
      </c>
    </row>
    <row r="2871" customFormat="false" ht="15" hidden="false" customHeight="false" outlineLevel="0" collapsed="false">
      <c r="A2871" s="37"/>
      <c r="B2871" s="44"/>
      <c r="C2871" s="44"/>
      <c r="D2871" s="44"/>
      <c r="E2871" s="44"/>
      <c r="F2871" s="44"/>
      <c r="G2871" s="42"/>
      <c r="H2871" s="42"/>
      <c r="I2871" s="44"/>
      <c r="J2871" s="11" t="str">
        <f aca="false">IF(D2871="","",N(G2871)-N(H2871))</f>
        <v/>
      </c>
      <c r="K2871" s="34" t="str">
        <f aca="false">IF(D2871="","",IFERROR(INDEX(I_COA!$C$6:$C$265,MATCH(D2871,I_COA!$A$6:$A$265,0)),"AKUN BARU"))</f>
        <v/>
      </c>
      <c r="L2871" s="34" t="str">
        <f aca="false">IF(K2871="LabaRugi",INDEX(I_COA!$D$6:$D$265,MATCH(D2871,I_COA!$A$6:$A$265,0)),"")</f>
        <v/>
      </c>
      <c r="M2871" s="34" t="str">
        <f aca="false">IF(K2871="Neraca",INDEX(I_COA!$E$6:$E$265,MATCH(D2871,I_COA!$A$6:$A$265,0)),"")</f>
        <v/>
      </c>
      <c r="N2871" s="34" t="str">
        <f aca="false">IF(D2871="","",IFERROR(INDEX(I_COA!$G$6:$G$265,MATCH(D2871,I_COA!$A$6:$A$265,0)),"N"))</f>
        <v/>
      </c>
      <c r="O2871" s="11" t="str">
        <f aca="false">IF(N2871="N",ABS(J2871),"")</f>
        <v/>
      </c>
      <c r="P2871" s="18" t="str">
        <f aca="false">IF(N2871="N",B2871&amp;"|"&amp;ROUND(O2871,0),"")</f>
        <v/>
      </c>
      <c r="Q2871" s="18" t="str">
        <f aca="false">IF(N2871&lt;&gt;"Y","",IFERROR(INDEX($D$6:$D$4005,MATCH(B2871&amp;"|"&amp;ROUND(_xlfn.MAXIFS($O$6:$O$4005,$B$6:$B$4005,B2871,$N$6:$N$4005,"N"),0),$P$6:$P$4005,0)),"(tanpa lawan)"))</f>
        <v/>
      </c>
      <c r="R2871" s="44"/>
      <c r="S2871" s="9" t="str">
        <f aca="false">IF(N2871&lt;&gt;"Y","",IF(R2871&lt;&gt;"",R2871,IF(Q2871="(tanpa lawan)","Transfer antar rekening",IFERROR(INDEX(I_COA!$F$6:$F$265,MATCH(Q2871,I_COA!$A$6:$A$265,0)),"?"))))</f>
        <v/>
      </c>
    </row>
    <row r="2872" customFormat="false" ht="15" hidden="false" customHeight="false" outlineLevel="0" collapsed="false">
      <c r="A2872" s="37"/>
      <c r="B2872" s="44"/>
      <c r="C2872" s="44"/>
      <c r="D2872" s="44"/>
      <c r="E2872" s="44"/>
      <c r="F2872" s="44"/>
      <c r="G2872" s="42"/>
      <c r="H2872" s="42"/>
      <c r="I2872" s="44"/>
      <c r="J2872" s="11" t="str">
        <f aca="false">IF(D2872="","",N(G2872)-N(H2872))</f>
        <v/>
      </c>
      <c r="K2872" s="34" t="str">
        <f aca="false">IF(D2872="","",IFERROR(INDEX(I_COA!$C$6:$C$265,MATCH(D2872,I_COA!$A$6:$A$265,0)),"AKUN BARU"))</f>
        <v/>
      </c>
      <c r="L2872" s="34" t="str">
        <f aca="false">IF(K2872="LabaRugi",INDEX(I_COA!$D$6:$D$265,MATCH(D2872,I_COA!$A$6:$A$265,0)),"")</f>
        <v/>
      </c>
      <c r="M2872" s="34" t="str">
        <f aca="false">IF(K2872="Neraca",INDEX(I_COA!$E$6:$E$265,MATCH(D2872,I_COA!$A$6:$A$265,0)),"")</f>
        <v/>
      </c>
      <c r="N2872" s="34" t="str">
        <f aca="false">IF(D2872="","",IFERROR(INDEX(I_COA!$G$6:$G$265,MATCH(D2872,I_COA!$A$6:$A$265,0)),"N"))</f>
        <v/>
      </c>
      <c r="O2872" s="11" t="str">
        <f aca="false">IF(N2872="N",ABS(J2872),"")</f>
        <v/>
      </c>
      <c r="P2872" s="18" t="str">
        <f aca="false">IF(N2872="N",B2872&amp;"|"&amp;ROUND(O2872,0),"")</f>
        <v/>
      </c>
      <c r="Q2872" s="18" t="str">
        <f aca="false">IF(N2872&lt;&gt;"Y","",IFERROR(INDEX($D$6:$D$4005,MATCH(B2872&amp;"|"&amp;ROUND(_xlfn.MAXIFS($O$6:$O$4005,$B$6:$B$4005,B2872,$N$6:$N$4005,"N"),0),$P$6:$P$4005,0)),"(tanpa lawan)"))</f>
        <v/>
      </c>
      <c r="R2872" s="44"/>
      <c r="S2872" s="9" t="str">
        <f aca="false">IF(N2872&lt;&gt;"Y","",IF(R2872&lt;&gt;"",R2872,IF(Q2872="(tanpa lawan)","Transfer antar rekening",IFERROR(INDEX(I_COA!$F$6:$F$265,MATCH(Q2872,I_COA!$A$6:$A$265,0)),"?"))))</f>
        <v/>
      </c>
    </row>
    <row r="2873" customFormat="false" ht="15" hidden="false" customHeight="false" outlineLevel="0" collapsed="false">
      <c r="A2873" s="37"/>
      <c r="B2873" s="44"/>
      <c r="C2873" s="44"/>
      <c r="D2873" s="44"/>
      <c r="E2873" s="44"/>
      <c r="F2873" s="44"/>
      <c r="G2873" s="42"/>
      <c r="H2873" s="42"/>
      <c r="I2873" s="44"/>
      <c r="J2873" s="11" t="str">
        <f aca="false">IF(D2873="","",N(G2873)-N(H2873))</f>
        <v/>
      </c>
      <c r="K2873" s="34" t="str">
        <f aca="false">IF(D2873="","",IFERROR(INDEX(I_COA!$C$6:$C$265,MATCH(D2873,I_COA!$A$6:$A$265,0)),"AKUN BARU"))</f>
        <v/>
      </c>
      <c r="L2873" s="34" t="str">
        <f aca="false">IF(K2873="LabaRugi",INDEX(I_COA!$D$6:$D$265,MATCH(D2873,I_COA!$A$6:$A$265,0)),"")</f>
        <v/>
      </c>
      <c r="M2873" s="34" t="str">
        <f aca="false">IF(K2873="Neraca",INDEX(I_COA!$E$6:$E$265,MATCH(D2873,I_COA!$A$6:$A$265,0)),"")</f>
        <v/>
      </c>
      <c r="N2873" s="34" t="str">
        <f aca="false">IF(D2873="","",IFERROR(INDEX(I_COA!$G$6:$G$265,MATCH(D2873,I_COA!$A$6:$A$265,0)),"N"))</f>
        <v/>
      </c>
      <c r="O2873" s="11" t="str">
        <f aca="false">IF(N2873="N",ABS(J2873),"")</f>
        <v/>
      </c>
      <c r="P2873" s="18" t="str">
        <f aca="false">IF(N2873="N",B2873&amp;"|"&amp;ROUND(O2873,0),"")</f>
        <v/>
      </c>
      <c r="Q2873" s="18" t="str">
        <f aca="false">IF(N2873&lt;&gt;"Y","",IFERROR(INDEX($D$6:$D$4005,MATCH(B2873&amp;"|"&amp;ROUND(_xlfn.MAXIFS($O$6:$O$4005,$B$6:$B$4005,B2873,$N$6:$N$4005,"N"),0),$P$6:$P$4005,0)),"(tanpa lawan)"))</f>
        <v/>
      </c>
      <c r="R2873" s="44"/>
      <c r="S2873" s="9" t="str">
        <f aca="false">IF(N2873&lt;&gt;"Y","",IF(R2873&lt;&gt;"",R2873,IF(Q2873="(tanpa lawan)","Transfer antar rekening",IFERROR(INDEX(I_COA!$F$6:$F$265,MATCH(Q2873,I_COA!$A$6:$A$265,0)),"?"))))</f>
        <v/>
      </c>
    </row>
    <row r="2874" customFormat="false" ht="15" hidden="false" customHeight="false" outlineLevel="0" collapsed="false">
      <c r="A2874" s="37"/>
      <c r="B2874" s="44"/>
      <c r="C2874" s="44"/>
      <c r="D2874" s="44"/>
      <c r="E2874" s="44"/>
      <c r="F2874" s="44"/>
      <c r="G2874" s="42"/>
      <c r="H2874" s="42"/>
      <c r="I2874" s="44"/>
      <c r="J2874" s="11" t="str">
        <f aca="false">IF(D2874="","",N(G2874)-N(H2874))</f>
        <v/>
      </c>
      <c r="K2874" s="34" t="str">
        <f aca="false">IF(D2874="","",IFERROR(INDEX(I_COA!$C$6:$C$265,MATCH(D2874,I_COA!$A$6:$A$265,0)),"AKUN BARU"))</f>
        <v/>
      </c>
      <c r="L2874" s="34" t="str">
        <f aca="false">IF(K2874="LabaRugi",INDEX(I_COA!$D$6:$D$265,MATCH(D2874,I_COA!$A$6:$A$265,0)),"")</f>
        <v/>
      </c>
      <c r="M2874" s="34" t="str">
        <f aca="false">IF(K2874="Neraca",INDEX(I_COA!$E$6:$E$265,MATCH(D2874,I_COA!$A$6:$A$265,0)),"")</f>
        <v/>
      </c>
      <c r="N2874" s="34" t="str">
        <f aca="false">IF(D2874="","",IFERROR(INDEX(I_COA!$G$6:$G$265,MATCH(D2874,I_COA!$A$6:$A$265,0)),"N"))</f>
        <v/>
      </c>
      <c r="O2874" s="11" t="str">
        <f aca="false">IF(N2874="N",ABS(J2874),"")</f>
        <v/>
      </c>
      <c r="P2874" s="18" t="str">
        <f aca="false">IF(N2874="N",B2874&amp;"|"&amp;ROUND(O2874,0),"")</f>
        <v/>
      </c>
      <c r="Q2874" s="18" t="str">
        <f aca="false">IF(N2874&lt;&gt;"Y","",IFERROR(INDEX($D$6:$D$4005,MATCH(B2874&amp;"|"&amp;ROUND(_xlfn.MAXIFS($O$6:$O$4005,$B$6:$B$4005,B2874,$N$6:$N$4005,"N"),0),$P$6:$P$4005,0)),"(tanpa lawan)"))</f>
        <v/>
      </c>
      <c r="R2874" s="44"/>
      <c r="S2874" s="9" t="str">
        <f aca="false">IF(N2874&lt;&gt;"Y","",IF(R2874&lt;&gt;"",R2874,IF(Q2874="(tanpa lawan)","Transfer antar rekening",IFERROR(INDEX(I_COA!$F$6:$F$265,MATCH(Q2874,I_COA!$A$6:$A$265,0)),"?"))))</f>
        <v/>
      </c>
    </row>
    <row r="2875" customFormat="false" ht="15" hidden="false" customHeight="false" outlineLevel="0" collapsed="false">
      <c r="A2875" s="37"/>
      <c r="B2875" s="44"/>
      <c r="C2875" s="44"/>
      <c r="D2875" s="44"/>
      <c r="E2875" s="44"/>
      <c r="F2875" s="44"/>
      <c r="G2875" s="42"/>
      <c r="H2875" s="42"/>
      <c r="I2875" s="44"/>
      <c r="J2875" s="11" t="str">
        <f aca="false">IF(D2875="","",N(G2875)-N(H2875))</f>
        <v/>
      </c>
      <c r="K2875" s="34" t="str">
        <f aca="false">IF(D2875="","",IFERROR(INDEX(I_COA!$C$6:$C$265,MATCH(D2875,I_COA!$A$6:$A$265,0)),"AKUN BARU"))</f>
        <v/>
      </c>
      <c r="L2875" s="34" t="str">
        <f aca="false">IF(K2875="LabaRugi",INDEX(I_COA!$D$6:$D$265,MATCH(D2875,I_COA!$A$6:$A$265,0)),"")</f>
        <v/>
      </c>
      <c r="M2875" s="34" t="str">
        <f aca="false">IF(K2875="Neraca",INDEX(I_COA!$E$6:$E$265,MATCH(D2875,I_COA!$A$6:$A$265,0)),"")</f>
        <v/>
      </c>
      <c r="N2875" s="34" t="str">
        <f aca="false">IF(D2875="","",IFERROR(INDEX(I_COA!$G$6:$G$265,MATCH(D2875,I_COA!$A$6:$A$265,0)),"N"))</f>
        <v/>
      </c>
      <c r="O2875" s="11" t="str">
        <f aca="false">IF(N2875="N",ABS(J2875),"")</f>
        <v/>
      </c>
      <c r="P2875" s="18" t="str">
        <f aca="false">IF(N2875="N",B2875&amp;"|"&amp;ROUND(O2875,0),"")</f>
        <v/>
      </c>
      <c r="Q2875" s="18" t="str">
        <f aca="false">IF(N2875&lt;&gt;"Y","",IFERROR(INDEX($D$6:$D$4005,MATCH(B2875&amp;"|"&amp;ROUND(_xlfn.MAXIFS($O$6:$O$4005,$B$6:$B$4005,B2875,$N$6:$N$4005,"N"),0),$P$6:$P$4005,0)),"(tanpa lawan)"))</f>
        <v/>
      </c>
      <c r="R2875" s="44"/>
      <c r="S2875" s="9" t="str">
        <f aca="false">IF(N2875&lt;&gt;"Y","",IF(R2875&lt;&gt;"",R2875,IF(Q2875="(tanpa lawan)","Transfer antar rekening",IFERROR(INDEX(I_COA!$F$6:$F$265,MATCH(Q2875,I_COA!$A$6:$A$265,0)),"?"))))</f>
        <v/>
      </c>
    </row>
    <row r="2876" customFormat="false" ht="15" hidden="false" customHeight="false" outlineLevel="0" collapsed="false">
      <c r="A2876" s="37"/>
      <c r="B2876" s="44"/>
      <c r="C2876" s="44"/>
      <c r="D2876" s="44"/>
      <c r="E2876" s="44"/>
      <c r="F2876" s="44"/>
      <c r="G2876" s="42"/>
      <c r="H2876" s="42"/>
      <c r="I2876" s="44"/>
      <c r="J2876" s="11" t="str">
        <f aca="false">IF(D2876="","",N(G2876)-N(H2876))</f>
        <v/>
      </c>
      <c r="K2876" s="34" t="str">
        <f aca="false">IF(D2876="","",IFERROR(INDEX(I_COA!$C$6:$C$265,MATCH(D2876,I_COA!$A$6:$A$265,0)),"AKUN BARU"))</f>
        <v/>
      </c>
      <c r="L2876" s="34" t="str">
        <f aca="false">IF(K2876="LabaRugi",INDEX(I_COA!$D$6:$D$265,MATCH(D2876,I_COA!$A$6:$A$265,0)),"")</f>
        <v/>
      </c>
      <c r="M2876" s="34" t="str">
        <f aca="false">IF(K2876="Neraca",INDEX(I_COA!$E$6:$E$265,MATCH(D2876,I_COA!$A$6:$A$265,0)),"")</f>
        <v/>
      </c>
      <c r="N2876" s="34" t="str">
        <f aca="false">IF(D2876="","",IFERROR(INDEX(I_COA!$G$6:$G$265,MATCH(D2876,I_COA!$A$6:$A$265,0)),"N"))</f>
        <v/>
      </c>
      <c r="O2876" s="11" t="str">
        <f aca="false">IF(N2876="N",ABS(J2876),"")</f>
        <v/>
      </c>
      <c r="P2876" s="18" t="str">
        <f aca="false">IF(N2876="N",B2876&amp;"|"&amp;ROUND(O2876,0),"")</f>
        <v/>
      </c>
      <c r="Q2876" s="18" t="str">
        <f aca="false">IF(N2876&lt;&gt;"Y","",IFERROR(INDEX($D$6:$D$4005,MATCH(B2876&amp;"|"&amp;ROUND(_xlfn.MAXIFS($O$6:$O$4005,$B$6:$B$4005,B2876,$N$6:$N$4005,"N"),0),$P$6:$P$4005,0)),"(tanpa lawan)"))</f>
        <v/>
      </c>
      <c r="R2876" s="44"/>
      <c r="S2876" s="9" t="str">
        <f aca="false">IF(N2876&lt;&gt;"Y","",IF(R2876&lt;&gt;"",R2876,IF(Q2876="(tanpa lawan)","Transfer antar rekening",IFERROR(INDEX(I_COA!$F$6:$F$265,MATCH(Q2876,I_COA!$A$6:$A$265,0)),"?"))))</f>
        <v/>
      </c>
    </row>
    <row r="2877" customFormat="false" ht="15" hidden="false" customHeight="false" outlineLevel="0" collapsed="false">
      <c r="A2877" s="37"/>
      <c r="B2877" s="44"/>
      <c r="C2877" s="44"/>
      <c r="D2877" s="44"/>
      <c r="E2877" s="44"/>
      <c r="F2877" s="44"/>
      <c r="G2877" s="42"/>
      <c r="H2877" s="42"/>
      <c r="I2877" s="44"/>
      <c r="J2877" s="11" t="str">
        <f aca="false">IF(D2877="","",N(G2877)-N(H2877))</f>
        <v/>
      </c>
      <c r="K2877" s="34" t="str">
        <f aca="false">IF(D2877="","",IFERROR(INDEX(I_COA!$C$6:$C$265,MATCH(D2877,I_COA!$A$6:$A$265,0)),"AKUN BARU"))</f>
        <v/>
      </c>
      <c r="L2877" s="34" t="str">
        <f aca="false">IF(K2877="LabaRugi",INDEX(I_COA!$D$6:$D$265,MATCH(D2877,I_COA!$A$6:$A$265,0)),"")</f>
        <v/>
      </c>
      <c r="M2877" s="34" t="str">
        <f aca="false">IF(K2877="Neraca",INDEX(I_COA!$E$6:$E$265,MATCH(D2877,I_COA!$A$6:$A$265,0)),"")</f>
        <v/>
      </c>
      <c r="N2877" s="34" t="str">
        <f aca="false">IF(D2877="","",IFERROR(INDEX(I_COA!$G$6:$G$265,MATCH(D2877,I_COA!$A$6:$A$265,0)),"N"))</f>
        <v/>
      </c>
      <c r="O2877" s="11" t="str">
        <f aca="false">IF(N2877="N",ABS(J2877),"")</f>
        <v/>
      </c>
      <c r="P2877" s="18" t="str">
        <f aca="false">IF(N2877="N",B2877&amp;"|"&amp;ROUND(O2877,0),"")</f>
        <v/>
      </c>
      <c r="Q2877" s="18" t="str">
        <f aca="false">IF(N2877&lt;&gt;"Y","",IFERROR(INDEX($D$6:$D$4005,MATCH(B2877&amp;"|"&amp;ROUND(_xlfn.MAXIFS($O$6:$O$4005,$B$6:$B$4005,B2877,$N$6:$N$4005,"N"),0),$P$6:$P$4005,0)),"(tanpa lawan)"))</f>
        <v/>
      </c>
      <c r="R2877" s="44"/>
      <c r="S2877" s="9" t="str">
        <f aca="false">IF(N2877&lt;&gt;"Y","",IF(R2877&lt;&gt;"",R2877,IF(Q2877="(tanpa lawan)","Transfer antar rekening",IFERROR(INDEX(I_COA!$F$6:$F$265,MATCH(Q2877,I_COA!$A$6:$A$265,0)),"?"))))</f>
        <v/>
      </c>
    </row>
    <row r="2878" customFormat="false" ht="15" hidden="false" customHeight="false" outlineLevel="0" collapsed="false">
      <c r="A2878" s="37"/>
      <c r="B2878" s="44"/>
      <c r="C2878" s="44"/>
      <c r="D2878" s="44"/>
      <c r="E2878" s="44"/>
      <c r="F2878" s="44"/>
      <c r="G2878" s="42"/>
      <c r="H2878" s="42"/>
      <c r="I2878" s="44"/>
      <c r="J2878" s="11" t="str">
        <f aca="false">IF(D2878="","",N(G2878)-N(H2878))</f>
        <v/>
      </c>
      <c r="K2878" s="34" t="str">
        <f aca="false">IF(D2878="","",IFERROR(INDEX(I_COA!$C$6:$C$265,MATCH(D2878,I_COA!$A$6:$A$265,0)),"AKUN BARU"))</f>
        <v/>
      </c>
      <c r="L2878" s="34" t="str">
        <f aca="false">IF(K2878="LabaRugi",INDEX(I_COA!$D$6:$D$265,MATCH(D2878,I_COA!$A$6:$A$265,0)),"")</f>
        <v/>
      </c>
      <c r="M2878" s="34" t="str">
        <f aca="false">IF(K2878="Neraca",INDEX(I_COA!$E$6:$E$265,MATCH(D2878,I_COA!$A$6:$A$265,0)),"")</f>
        <v/>
      </c>
      <c r="N2878" s="34" t="str">
        <f aca="false">IF(D2878="","",IFERROR(INDEX(I_COA!$G$6:$G$265,MATCH(D2878,I_COA!$A$6:$A$265,0)),"N"))</f>
        <v/>
      </c>
      <c r="O2878" s="11" t="str">
        <f aca="false">IF(N2878="N",ABS(J2878),"")</f>
        <v/>
      </c>
      <c r="P2878" s="18" t="str">
        <f aca="false">IF(N2878="N",B2878&amp;"|"&amp;ROUND(O2878,0),"")</f>
        <v/>
      </c>
      <c r="Q2878" s="18" t="str">
        <f aca="false">IF(N2878&lt;&gt;"Y","",IFERROR(INDEX($D$6:$D$4005,MATCH(B2878&amp;"|"&amp;ROUND(_xlfn.MAXIFS($O$6:$O$4005,$B$6:$B$4005,B2878,$N$6:$N$4005,"N"),0),$P$6:$P$4005,0)),"(tanpa lawan)"))</f>
        <v/>
      </c>
      <c r="R2878" s="44"/>
      <c r="S2878" s="9" t="str">
        <f aca="false">IF(N2878&lt;&gt;"Y","",IF(R2878&lt;&gt;"",R2878,IF(Q2878="(tanpa lawan)","Transfer antar rekening",IFERROR(INDEX(I_COA!$F$6:$F$265,MATCH(Q2878,I_COA!$A$6:$A$265,0)),"?"))))</f>
        <v/>
      </c>
    </row>
    <row r="2879" customFormat="false" ht="15" hidden="false" customHeight="false" outlineLevel="0" collapsed="false">
      <c r="A2879" s="37"/>
      <c r="B2879" s="44"/>
      <c r="C2879" s="44"/>
      <c r="D2879" s="44"/>
      <c r="E2879" s="44"/>
      <c r="F2879" s="44"/>
      <c r="G2879" s="42"/>
      <c r="H2879" s="42"/>
      <c r="I2879" s="44"/>
      <c r="J2879" s="11" t="str">
        <f aca="false">IF(D2879="","",N(G2879)-N(H2879))</f>
        <v/>
      </c>
      <c r="K2879" s="34" t="str">
        <f aca="false">IF(D2879="","",IFERROR(INDEX(I_COA!$C$6:$C$265,MATCH(D2879,I_COA!$A$6:$A$265,0)),"AKUN BARU"))</f>
        <v/>
      </c>
      <c r="L2879" s="34" t="str">
        <f aca="false">IF(K2879="LabaRugi",INDEX(I_COA!$D$6:$D$265,MATCH(D2879,I_COA!$A$6:$A$265,0)),"")</f>
        <v/>
      </c>
      <c r="M2879" s="34" t="str">
        <f aca="false">IF(K2879="Neraca",INDEX(I_COA!$E$6:$E$265,MATCH(D2879,I_COA!$A$6:$A$265,0)),"")</f>
        <v/>
      </c>
      <c r="N2879" s="34" t="str">
        <f aca="false">IF(D2879="","",IFERROR(INDEX(I_COA!$G$6:$G$265,MATCH(D2879,I_COA!$A$6:$A$265,0)),"N"))</f>
        <v/>
      </c>
      <c r="O2879" s="11" t="str">
        <f aca="false">IF(N2879="N",ABS(J2879),"")</f>
        <v/>
      </c>
      <c r="P2879" s="18" t="str">
        <f aca="false">IF(N2879="N",B2879&amp;"|"&amp;ROUND(O2879,0),"")</f>
        <v/>
      </c>
      <c r="Q2879" s="18" t="str">
        <f aca="false">IF(N2879&lt;&gt;"Y","",IFERROR(INDEX($D$6:$D$4005,MATCH(B2879&amp;"|"&amp;ROUND(_xlfn.MAXIFS($O$6:$O$4005,$B$6:$B$4005,B2879,$N$6:$N$4005,"N"),0),$P$6:$P$4005,0)),"(tanpa lawan)"))</f>
        <v/>
      </c>
      <c r="R2879" s="44"/>
      <c r="S2879" s="9" t="str">
        <f aca="false">IF(N2879&lt;&gt;"Y","",IF(R2879&lt;&gt;"",R2879,IF(Q2879="(tanpa lawan)","Transfer antar rekening",IFERROR(INDEX(I_COA!$F$6:$F$265,MATCH(Q2879,I_COA!$A$6:$A$265,0)),"?"))))</f>
        <v/>
      </c>
    </row>
    <row r="2880" customFormat="false" ht="15" hidden="false" customHeight="false" outlineLevel="0" collapsed="false">
      <c r="A2880" s="37"/>
      <c r="B2880" s="44"/>
      <c r="C2880" s="44"/>
      <c r="D2880" s="44"/>
      <c r="E2880" s="44"/>
      <c r="F2880" s="44"/>
      <c r="G2880" s="42"/>
      <c r="H2880" s="42"/>
      <c r="I2880" s="44"/>
      <c r="J2880" s="11" t="str">
        <f aca="false">IF(D2880="","",N(G2880)-N(H2880))</f>
        <v/>
      </c>
      <c r="K2880" s="34" t="str">
        <f aca="false">IF(D2880="","",IFERROR(INDEX(I_COA!$C$6:$C$265,MATCH(D2880,I_COA!$A$6:$A$265,0)),"AKUN BARU"))</f>
        <v/>
      </c>
      <c r="L2880" s="34" t="str">
        <f aca="false">IF(K2880="LabaRugi",INDEX(I_COA!$D$6:$D$265,MATCH(D2880,I_COA!$A$6:$A$265,0)),"")</f>
        <v/>
      </c>
      <c r="M2880" s="34" t="str">
        <f aca="false">IF(K2880="Neraca",INDEX(I_COA!$E$6:$E$265,MATCH(D2880,I_COA!$A$6:$A$265,0)),"")</f>
        <v/>
      </c>
      <c r="N2880" s="34" t="str">
        <f aca="false">IF(D2880="","",IFERROR(INDEX(I_COA!$G$6:$G$265,MATCH(D2880,I_COA!$A$6:$A$265,0)),"N"))</f>
        <v/>
      </c>
      <c r="O2880" s="11" t="str">
        <f aca="false">IF(N2880="N",ABS(J2880),"")</f>
        <v/>
      </c>
      <c r="P2880" s="18" t="str">
        <f aca="false">IF(N2880="N",B2880&amp;"|"&amp;ROUND(O2880,0),"")</f>
        <v/>
      </c>
      <c r="Q2880" s="18" t="str">
        <f aca="false">IF(N2880&lt;&gt;"Y","",IFERROR(INDEX($D$6:$D$4005,MATCH(B2880&amp;"|"&amp;ROUND(_xlfn.MAXIFS($O$6:$O$4005,$B$6:$B$4005,B2880,$N$6:$N$4005,"N"),0),$P$6:$P$4005,0)),"(tanpa lawan)"))</f>
        <v/>
      </c>
      <c r="R2880" s="44"/>
      <c r="S2880" s="9" t="str">
        <f aca="false">IF(N2880&lt;&gt;"Y","",IF(R2880&lt;&gt;"",R2880,IF(Q2880="(tanpa lawan)","Transfer antar rekening",IFERROR(INDEX(I_COA!$F$6:$F$265,MATCH(Q2880,I_COA!$A$6:$A$265,0)),"?"))))</f>
        <v/>
      </c>
    </row>
    <row r="2881" customFormat="false" ht="15" hidden="false" customHeight="false" outlineLevel="0" collapsed="false">
      <c r="A2881" s="37"/>
      <c r="B2881" s="44"/>
      <c r="C2881" s="44"/>
      <c r="D2881" s="44"/>
      <c r="E2881" s="44"/>
      <c r="F2881" s="44"/>
      <c r="G2881" s="42"/>
      <c r="H2881" s="42"/>
      <c r="I2881" s="44"/>
      <c r="J2881" s="11" t="str">
        <f aca="false">IF(D2881="","",N(G2881)-N(H2881))</f>
        <v/>
      </c>
      <c r="K2881" s="34" t="str">
        <f aca="false">IF(D2881="","",IFERROR(INDEX(I_COA!$C$6:$C$265,MATCH(D2881,I_COA!$A$6:$A$265,0)),"AKUN BARU"))</f>
        <v/>
      </c>
      <c r="L2881" s="34" t="str">
        <f aca="false">IF(K2881="LabaRugi",INDEX(I_COA!$D$6:$D$265,MATCH(D2881,I_COA!$A$6:$A$265,0)),"")</f>
        <v/>
      </c>
      <c r="M2881" s="34" t="str">
        <f aca="false">IF(K2881="Neraca",INDEX(I_COA!$E$6:$E$265,MATCH(D2881,I_COA!$A$6:$A$265,0)),"")</f>
        <v/>
      </c>
      <c r="N2881" s="34" t="str">
        <f aca="false">IF(D2881="","",IFERROR(INDEX(I_COA!$G$6:$G$265,MATCH(D2881,I_COA!$A$6:$A$265,0)),"N"))</f>
        <v/>
      </c>
      <c r="O2881" s="11" t="str">
        <f aca="false">IF(N2881="N",ABS(J2881),"")</f>
        <v/>
      </c>
      <c r="P2881" s="18" t="str">
        <f aca="false">IF(N2881="N",B2881&amp;"|"&amp;ROUND(O2881,0),"")</f>
        <v/>
      </c>
      <c r="Q2881" s="18" t="str">
        <f aca="false">IF(N2881&lt;&gt;"Y","",IFERROR(INDEX($D$6:$D$4005,MATCH(B2881&amp;"|"&amp;ROUND(_xlfn.MAXIFS($O$6:$O$4005,$B$6:$B$4005,B2881,$N$6:$N$4005,"N"),0),$P$6:$P$4005,0)),"(tanpa lawan)"))</f>
        <v/>
      </c>
      <c r="R2881" s="44"/>
      <c r="S2881" s="9" t="str">
        <f aca="false">IF(N2881&lt;&gt;"Y","",IF(R2881&lt;&gt;"",R2881,IF(Q2881="(tanpa lawan)","Transfer antar rekening",IFERROR(INDEX(I_COA!$F$6:$F$265,MATCH(Q2881,I_COA!$A$6:$A$265,0)),"?"))))</f>
        <v/>
      </c>
    </row>
    <row r="2882" customFormat="false" ht="15" hidden="false" customHeight="false" outlineLevel="0" collapsed="false">
      <c r="A2882" s="37"/>
      <c r="B2882" s="44"/>
      <c r="C2882" s="44"/>
      <c r="D2882" s="44"/>
      <c r="E2882" s="44"/>
      <c r="F2882" s="44"/>
      <c r="G2882" s="42"/>
      <c r="H2882" s="42"/>
      <c r="I2882" s="44"/>
      <c r="J2882" s="11" t="str">
        <f aca="false">IF(D2882="","",N(G2882)-N(H2882))</f>
        <v/>
      </c>
      <c r="K2882" s="34" t="str">
        <f aca="false">IF(D2882="","",IFERROR(INDEX(I_COA!$C$6:$C$265,MATCH(D2882,I_COA!$A$6:$A$265,0)),"AKUN BARU"))</f>
        <v/>
      </c>
      <c r="L2882" s="34" t="str">
        <f aca="false">IF(K2882="LabaRugi",INDEX(I_COA!$D$6:$D$265,MATCH(D2882,I_COA!$A$6:$A$265,0)),"")</f>
        <v/>
      </c>
      <c r="M2882" s="34" t="str">
        <f aca="false">IF(K2882="Neraca",INDEX(I_COA!$E$6:$E$265,MATCH(D2882,I_COA!$A$6:$A$265,0)),"")</f>
        <v/>
      </c>
      <c r="N2882" s="34" t="str">
        <f aca="false">IF(D2882="","",IFERROR(INDEX(I_COA!$G$6:$G$265,MATCH(D2882,I_COA!$A$6:$A$265,0)),"N"))</f>
        <v/>
      </c>
      <c r="O2882" s="11" t="str">
        <f aca="false">IF(N2882="N",ABS(J2882),"")</f>
        <v/>
      </c>
      <c r="P2882" s="18" t="str">
        <f aca="false">IF(N2882="N",B2882&amp;"|"&amp;ROUND(O2882,0),"")</f>
        <v/>
      </c>
      <c r="Q2882" s="18" t="str">
        <f aca="false">IF(N2882&lt;&gt;"Y","",IFERROR(INDEX($D$6:$D$4005,MATCH(B2882&amp;"|"&amp;ROUND(_xlfn.MAXIFS($O$6:$O$4005,$B$6:$B$4005,B2882,$N$6:$N$4005,"N"),0),$P$6:$P$4005,0)),"(tanpa lawan)"))</f>
        <v/>
      </c>
      <c r="R2882" s="44"/>
      <c r="S2882" s="9" t="str">
        <f aca="false">IF(N2882&lt;&gt;"Y","",IF(R2882&lt;&gt;"",R2882,IF(Q2882="(tanpa lawan)","Transfer antar rekening",IFERROR(INDEX(I_COA!$F$6:$F$265,MATCH(Q2882,I_COA!$A$6:$A$265,0)),"?"))))</f>
        <v/>
      </c>
    </row>
    <row r="2883" customFormat="false" ht="15" hidden="false" customHeight="false" outlineLevel="0" collapsed="false">
      <c r="A2883" s="37"/>
      <c r="B2883" s="44"/>
      <c r="C2883" s="44"/>
      <c r="D2883" s="44"/>
      <c r="E2883" s="44"/>
      <c r="F2883" s="44"/>
      <c r="G2883" s="42"/>
      <c r="H2883" s="42"/>
      <c r="I2883" s="44"/>
      <c r="J2883" s="11" t="str">
        <f aca="false">IF(D2883="","",N(G2883)-N(H2883))</f>
        <v/>
      </c>
      <c r="K2883" s="34" t="str">
        <f aca="false">IF(D2883="","",IFERROR(INDEX(I_COA!$C$6:$C$265,MATCH(D2883,I_COA!$A$6:$A$265,0)),"AKUN BARU"))</f>
        <v/>
      </c>
      <c r="L2883" s="34" t="str">
        <f aca="false">IF(K2883="LabaRugi",INDEX(I_COA!$D$6:$D$265,MATCH(D2883,I_COA!$A$6:$A$265,0)),"")</f>
        <v/>
      </c>
      <c r="M2883" s="34" t="str">
        <f aca="false">IF(K2883="Neraca",INDEX(I_COA!$E$6:$E$265,MATCH(D2883,I_COA!$A$6:$A$265,0)),"")</f>
        <v/>
      </c>
      <c r="N2883" s="34" t="str">
        <f aca="false">IF(D2883="","",IFERROR(INDEX(I_COA!$G$6:$G$265,MATCH(D2883,I_COA!$A$6:$A$265,0)),"N"))</f>
        <v/>
      </c>
      <c r="O2883" s="11" t="str">
        <f aca="false">IF(N2883="N",ABS(J2883),"")</f>
        <v/>
      </c>
      <c r="P2883" s="18" t="str">
        <f aca="false">IF(N2883="N",B2883&amp;"|"&amp;ROUND(O2883,0),"")</f>
        <v/>
      </c>
      <c r="Q2883" s="18" t="str">
        <f aca="false">IF(N2883&lt;&gt;"Y","",IFERROR(INDEX($D$6:$D$4005,MATCH(B2883&amp;"|"&amp;ROUND(_xlfn.MAXIFS($O$6:$O$4005,$B$6:$B$4005,B2883,$N$6:$N$4005,"N"),0),$P$6:$P$4005,0)),"(tanpa lawan)"))</f>
        <v/>
      </c>
      <c r="R2883" s="44"/>
      <c r="S2883" s="9" t="str">
        <f aca="false">IF(N2883&lt;&gt;"Y","",IF(R2883&lt;&gt;"",R2883,IF(Q2883="(tanpa lawan)","Transfer antar rekening",IFERROR(INDEX(I_COA!$F$6:$F$265,MATCH(Q2883,I_COA!$A$6:$A$265,0)),"?"))))</f>
        <v/>
      </c>
    </row>
    <row r="2884" customFormat="false" ht="15" hidden="false" customHeight="false" outlineLevel="0" collapsed="false">
      <c r="A2884" s="37"/>
      <c r="B2884" s="44"/>
      <c r="C2884" s="44"/>
      <c r="D2884" s="44"/>
      <c r="E2884" s="44"/>
      <c r="F2884" s="44"/>
      <c r="G2884" s="42"/>
      <c r="H2884" s="42"/>
      <c r="I2884" s="44"/>
      <c r="J2884" s="11" t="str">
        <f aca="false">IF(D2884="","",N(G2884)-N(H2884))</f>
        <v/>
      </c>
      <c r="K2884" s="34" t="str">
        <f aca="false">IF(D2884="","",IFERROR(INDEX(I_COA!$C$6:$C$265,MATCH(D2884,I_COA!$A$6:$A$265,0)),"AKUN BARU"))</f>
        <v/>
      </c>
      <c r="L2884" s="34" t="str">
        <f aca="false">IF(K2884="LabaRugi",INDEX(I_COA!$D$6:$D$265,MATCH(D2884,I_COA!$A$6:$A$265,0)),"")</f>
        <v/>
      </c>
      <c r="M2884" s="34" t="str">
        <f aca="false">IF(K2884="Neraca",INDEX(I_COA!$E$6:$E$265,MATCH(D2884,I_COA!$A$6:$A$265,0)),"")</f>
        <v/>
      </c>
      <c r="N2884" s="34" t="str">
        <f aca="false">IF(D2884="","",IFERROR(INDEX(I_COA!$G$6:$G$265,MATCH(D2884,I_COA!$A$6:$A$265,0)),"N"))</f>
        <v/>
      </c>
      <c r="O2884" s="11" t="str">
        <f aca="false">IF(N2884="N",ABS(J2884),"")</f>
        <v/>
      </c>
      <c r="P2884" s="18" t="str">
        <f aca="false">IF(N2884="N",B2884&amp;"|"&amp;ROUND(O2884,0),"")</f>
        <v/>
      </c>
      <c r="Q2884" s="18" t="str">
        <f aca="false">IF(N2884&lt;&gt;"Y","",IFERROR(INDEX($D$6:$D$4005,MATCH(B2884&amp;"|"&amp;ROUND(_xlfn.MAXIFS($O$6:$O$4005,$B$6:$B$4005,B2884,$N$6:$N$4005,"N"),0),$P$6:$P$4005,0)),"(tanpa lawan)"))</f>
        <v/>
      </c>
      <c r="R2884" s="44"/>
      <c r="S2884" s="9" t="str">
        <f aca="false">IF(N2884&lt;&gt;"Y","",IF(R2884&lt;&gt;"",R2884,IF(Q2884="(tanpa lawan)","Transfer antar rekening",IFERROR(INDEX(I_COA!$F$6:$F$265,MATCH(Q2884,I_COA!$A$6:$A$265,0)),"?"))))</f>
        <v/>
      </c>
    </row>
    <row r="2885" customFormat="false" ht="15" hidden="false" customHeight="false" outlineLevel="0" collapsed="false">
      <c r="A2885" s="37"/>
      <c r="B2885" s="44"/>
      <c r="C2885" s="44"/>
      <c r="D2885" s="44"/>
      <c r="E2885" s="44"/>
      <c r="F2885" s="44"/>
      <c r="G2885" s="42"/>
      <c r="H2885" s="42"/>
      <c r="I2885" s="44"/>
      <c r="J2885" s="11" t="str">
        <f aca="false">IF(D2885="","",N(G2885)-N(H2885))</f>
        <v/>
      </c>
      <c r="K2885" s="34" t="str">
        <f aca="false">IF(D2885="","",IFERROR(INDEX(I_COA!$C$6:$C$265,MATCH(D2885,I_COA!$A$6:$A$265,0)),"AKUN BARU"))</f>
        <v/>
      </c>
      <c r="L2885" s="34" t="str">
        <f aca="false">IF(K2885="LabaRugi",INDEX(I_COA!$D$6:$D$265,MATCH(D2885,I_COA!$A$6:$A$265,0)),"")</f>
        <v/>
      </c>
      <c r="M2885" s="34" t="str">
        <f aca="false">IF(K2885="Neraca",INDEX(I_COA!$E$6:$E$265,MATCH(D2885,I_COA!$A$6:$A$265,0)),"")</f>
        <v/>
      </c>
      <c r="N2885" s="34" t="str">
        <f aca="false">IF(D2885="","",IFERROR(INDEX(I_COA!$G$6:$G$265,MATCH(D2885,I_COA!$A$6:$A$265,0)),"N"))</f>
        <v/>
      </c>
      <c r="O2885" s="11" t="str">
        <f aca="false">IF(N2885="N",ABS(J2885),"")</f>
        <v/>
      </c>
      <c r="P2885" s="18" t="str">
        <f aca="false">IF(N2885="N",B2885&amp;"|"&amp;ROUND(O2885,0),"")</f>
        <v/>
      </c>
      <c r="Q2885" s="18" t="str">
        <f aca="false">IF(N2885&lt;&gt;"Y","",IFERROR(INDEX($D$6:$D$4005,MATCH(B2885&amp;"|"&amp;ROUND(_xlfn.MAXIFS($O$6:$O$4005,$B$6:$B$4005,B2885,$N$6:$N$4005,"N"),0),$P$6:$P$4005,0)),"(tanpa lawan)"))</f>
        <v/>
      </c>
      <c r="R2885" s="44"/>
      <c r="S2885" s="9" t="str">
        <f aca="false">IF(N2885&lt;&gt;"Y","",IF(R2885&lt;&gt;"",R2885,IF(Q2885="(tanpa lawan)","Transfer antar rekening",IFERROR(INDEX(I_COA!$F$6:$F$265,MATCH(Q2885,I_COA!$A$6:$A$265,0)),"?"))))</f>
        <v/>
      </c>
    </row>
    <row r="2886" customFormat="false" ht="15" hidden="false" customHeight="false" outlineLevel="0" collapsed="false">
      <c r="A2886" s="37"/>
      <c r="B2886" s="44"/>
      <c r="C2886" s="44"/>
      <c r="D2886" s="44"/>
      <c r="E2886" s="44"/>
      <c r="F2886" s="44"/>
      <c r="G2886" s="42"/>
      <c r="H2886" s="42"/>
      <c r="I2886" s="44"/>
      <c r="J2886" s="11" t="str">
        <f aca="false">IF(D2886="","",N(G2886)-N(H2886))</f>
        <v/>
      </c>
      <c r="K2886" s="34" t="str">
        <f aca="false">IF(D2886="","",IFERROR(INDEX(I_COA!$C$6:$C$265,MATCH(D2886,I_COA!$A$6:$A$265,0)),"AKUN BARU"))</f>
        <v/>
      </c>
      <c r="L2886" s="34" t="str">
        <f aca="false">IF(K2886="LabaRugi",INDEX(I_COA!$D$6:$D$265,MATCH(D2886,I_COA!$A$6:$A$265,0)),"")</f>
        <v/>
      </c>
      <c r="M2886" s="34" t="str">
        <f aca="false">IF(K2886="Neraca",INDEX(I_COA!$E$6:$E$265,MATCH(D2886,I_COA!$A$6:$A$265,0)),"")</f>
        <v/>
      </c>
      <c r="N2886" s="34" t="str">
        <f aca="false">IF(D2886="","",IFERROR(INDEX(I_COA!$G$6:$G$265,MATCH(D2886,I_COA!$A$6:$A$265,0)),"N"))</f>
        <v/>
      </c>
      <c r="O2886" s="11" t="str">
        <f aca="false">IF(N2886="N",ABS(J2886),"")</f>
        <v/>
      </c>
      <c r="P2886" s="18" t="str">
        <f aca="false">IF(N2886="N",B2886&amp;"|"&amp;ROUND(O2886,0),"")</f>
        <v/>
      </c>
      <c r="Q2886" s="18" t="str">
        <f aca="false">IF(N2886&lt;&gt;"Y","",IFERROR(INDEX($D$6:$D$4005,MATCH(B2886&amp;"|"&amp;ROUND(_xlfn.MAXIFS($O$6:$O$4005,$B$6:$B$4005,B2886,$N$6:$N$4005,"N"),0),$P$6:$P$4005,0)),"(tanpa lawan)"))</f>
        <v/>
      </c>
      <c r="R2886" s="44"/>
      <c r="S2886" s="9" t="str">
        <f aca="false">IF(N2886&lt;&gt;"Y","",IF(R2886&lt;&gt;"",R2886,IF(Q2886="(tanpa lawan)","Transfer antar rekening",IFERROR(INDEX(I_COA!$F$6:$F$265,MATCH(Q2886,I_COA!$A$6:$A$265,0)),"?"))))</f>
        <v/>
      </c>
    </row>
    <row r="2887" customFormat="false" ht="15" hidden="false" customHeight="false" outlineLevel="0" collapsed="false">
      <c r="A2887" s="37"/>
      <c r="B2887" s="44"/>
      <c r="C2887" s="44"/>
      <c r="D2887" s="44"/>
      <c r="E2887" s="44"/>
      <c r="F2887" s="44"/>
      <c r="G2887" s="42"/>
      <c r="H2887" s="42"/>
      <c r="I2887" s="44"/>
      <c r="J2887" s="11" t="str">
        <f aca="false">IF(D2887="","",N(G2887)-N(H2887))</f>
        <v/>
      </c>
      <c r="K2887" s="34" t="str">
        <f aca="false">IF(D2887="","",IFERROR(INDEX(I_COA!$C$6:$C$265,MATCH(D2887,I_COA!$A$6:$A$265,0)),"AKUN BARU"))</f>
        <v/>
      </c>
      <c r="L2887" s="34" t="str">
        <f aca="false">IF(K2887="LabaRugi",INDEX(I_COA!$D$6:$D$265,MATCH(D2887,I_COA!$A$6:$A$265,0)),"")</f>
        <v/>
      </c>
      <c r="M2887" s="34" t="str">
        <f aca="false">IF(K2887="Neraca",INDEX(I_COA!$E$6:$E$265,MATCH(D2887,I_COA!$A$6:$A$265,0)),"")</f>
        <v/>
      </c>
      <c r="N2887" s="34" t="str">
        <f aca="false">IF(D2887="","",IFERROR(INDEX(I_COA!$G$6:$G$265,MATCH(D2887,I_COA!$A$6:$A$265,0)),"N"))</f>
        <v/>
      </c>
      <c r="O2887" s="11" t="str">
        <f aca="false">IF(N2887="N",ABS(J2887),"")</f>
        <v/>
      </c>
      <c r="P2887" s="18" t="str">
        <f aca="false">IF(N2887="N",B2887&amp;"|"&amp;ROUND(O2887,0),"")</f>
        <v/>
      </c>
      <c r="Q2887" s="18" t="str">
        <f aca="false">IF(N2887&lt;&gt;"Y","",IFERROR(INDEX($D$6:$D$4005,MATCH(B2887&amp;"|"&amp;ROUND(_xlfn.MAXIFS($O$6:$O$4005,$B$6:$B$4005,B2887,$N$6:$N$4005,"N"),0),$P$6:$P$4005,0)),"(tanpa lawan)"))</f>
        <v/>
      </c>
      <c r="R2887" s="44"/>
      <c r="S2887" s="9" t="str">
        <f aca="false">IF(N2887&lt;&gt;"Y","",IF(R2887&lt;&gt;"",R2887,IF(Q2887="(tanpa lawan)","Transfer antar rekening",IFERROR(INDEX(I_COA!$F$6:$F$265,MATCH(Q2887,I_COA!$A$6:$A$265,0)),"?"))))</f>
        <v/>
      </c>
    </row>
    <row r="2888" customFormat="false" ht="15" hidden="false" customHeight="false" outlineLevel="0" collapsed="false">
      <c r="A2888" s="37"/>
      <c r="B2888" s="44"/>
      <c r="C2888" s="44"/>
      <c r="D2888" s="44"/>
      <c r="E2888" s="44"/>
      <c r="F2888" s="44"/>
      <c r="G2888" s="42"/>
      <c r="H2888" s="42"/>
      <c r="I2888" s="44"/>
      <c r="J2888" s="11" t="str">
        <f aca="false">IF(D2888="","",N(G2888)-N(H2888))</f>
        <v/>
      </c>
      <c r="K2888" s="34" t="str">
        <f aca="false">IF(D2888="","",IFERROR(INDEX(I_COA!$C$6:$C$265,MATCH(D2888,I_COA!$A$6:$A$265,0)),"AKUN BARU"))</f>
        <v/>
      </c>
      <c r="L2888" s="34" t="str">
        <f aca="false">IF(K2888="LabaRugi",INDEX(I_COA!$D$6:$D$265,MATCH(D2888,I_COA!$A$6:$A$265,0)),"")</f>
        <v/>
      </c>
      <c r="M2888" s="34" t="str">
        <f aca="false">IF(K2888="Neraca",INDEX(I_COA!$E$6:$E$265,MATCH(D2888,I_COA!$A$6:$A$265,0)),"")</f>
        <v/>
      </c>
      <c r="N2888" s="34" t="str">
        <f aca="false">IF(D2888="","",IFERROR(INDEX(I_COA!$G$6:$G$265,MATCH(D2888,I_COA!$A$6:$A$265,0)),"N"))</f>
        <v/>
      </c>
      <c r="O2888" s="11" t="str">
        <f aca="false">IF(N2888="N",ABS(J2888),"")</f>
        <v/>
      </c>
      <c r="P2888" s="18" t="str">
        <f aca="false">IF(N2888="N",B2888&amp;"|"&amp;ROUND(O2888,0),"")</f>
        <v/>
      </c>
      <c r="Q2888" s="18" t="str">
        <f aca="false">IF(N2888&lt;&gt;"Y","",IFERROR(INDEX($D$6:$D$4005,MATCH(B2888&amp;"|"&amp;ROUND(_xlfn.MAXIFS($O$6:$O$4005,$B$6:$B$4005,B2888,$N$6:$N$4005,"N"),0),$P$6:$P$4005,0)),"(tanpa lawan)"))</f>
        <v/>
      </c>
      <c r="R2888" s="44"/>
      <c r="S2888" s="9" t="str">
        <f aca="false">IF(N2888&lt;&gt;"Y","",IF(R2888&lt;&gt;"",R2888,IF(Q2888="(tanpa lawan)","Transfer antar rekening",IFERROR(INDEX(I_COA!$F$6:$F$265,MATCH(Q2888,I_COA!$A$6:$A$265,0)),"?"))))</f>
        <v/>
      </c>
    </row>
    <row r="2889" customFormat="false" ht="15" hidden="false" customHeight="false" outlineLevel="0" collapsed="false">
      <c r="A2889" s="37"/>
      <c r="B2889" s="44"/>
      <c r="C2889" s="44"/>
      <c r="D2889" s="44"/>
      <c r="E2889" s="44"/>
      <c r="F2889" s="44"/>
      <c r="G2889" s="42"/>
      <c r="H2889" s="42"/>
      <c r="I2889" s="44"/>
      <c r="J2889" s="11" t="str">
        <f aca="false">IF(D2889="","",N(G2889)-N(H2889))</f>
        <v/>
      </c>
      <c r="K2889" s="34" t="str">
        <f aca="false">IF(D2889="","",IFERROR(INDEX(I_COA!$C$6:$C$265,MATCH(D2889,I_COA!$A$6:$A$265,0)),"AKUN BARU"))</f>
        <v/>
      </c>
      <c r="L2889" s="34" t="str">
        <f aca="false">IF(K2889="LabaRugi",INDEX(I_COA!$D$6:$D$265,MATCH(D2889,I_COA!$A$6:$A$265,0)),"")</f>
        <v/>
      </c>
      <c r="M2889" s="34" t="str">
        <f aca="false">IF(K2889="Neraca",INDEX(I_COA!$E$6:$E$265,MATCH(D2889,I_COA!$A$6:$A$265,0)),"")</f>
        <v/>
      </c>
      <c r="N2889" s="34" t="str">
        <f aca="false">IF(D2889="","",IFERROR(INDEX(I_COA!$G$6:$G$265,MATCH(D2889,I_COA!$A$6:$A$265,0)),"N"))</f>
        <v/>
      </c>
      <c r="O2889" s="11" t="str">
        <f aca="false">IF(N2889="N",ABS(J2889),"")</f>
        <v/>
      </c>
      <c r="P2889" s="18" t="str">
        <f aca="false">IF(N2889="N",B2889&amp;"|"&amp;ROUND(O2889,0),"")</f>
        <v/>
      </c>
      <c r="Q2889" s="18" t="str">
        <f aca="false">IF(N2889&lt;&gt;"Y","",IFERROR(INDEX($D$6:$D$4005,MATCH(B2889&amp;"|"&amp;ROUND(_xlfn.MAXIFS($O$6:$O$4005,$B$6:$B$4005,B2889,$N$6:$N$4005,"N"),0),$P$6:$P$4005,0)),"(tanpa lawan)"))</f>
        <v/>
      </c>
      <c r="R2889" s="44"/>
      <c r="S2889" s="9" t="str">
        <f aca="false">IF(N2889&lt;&gt;"Y","",IF(R2889&lt;&gt;"",R2889,IF(Q2889="(tanpa lawan)","Transfer antar rekening",IFERROR(INDEX(I_COA!$F$6:$F$265,MATCH(Q2889,I_COA!$A$6:$A$265,0)),"?"))))</f>
        <v/>
      </c>
    </row>
    <row r="2890" customFormat="false" ht="15" hidden="false" customHeight="false" outlineLevel="0" collapsed="false">
      <c r="A2890" s="37"/>
      <c r="B2890" s="44"/>
      <c r="C2890" s="44"/>
      <c r="D2890" s="44"/>
      <c r="E2890" s="44"/>
      <c r="F2890" s="44"/>
      <c r="G2890" s="42"/>
      <c r="H2890" s="42"/>
      <c r="I2890" s="44"/>
      <c r="J2890" s="11" t="str">
        <f aca="false">IF(D2890="","",N(G2890)-N(H2890))</f>
        <v/>
      </c>
      <c r="K2890" s="34" t="str">
        <f aca="false">IF(D2890="","",IFERROR(INDEX(I_COA!$C$6:$C$265,MATCH(D2890,I_COA!$A$6:$A$265,0)),"AKUN BARU"))</f>
        <v/>
      </c>
      <c r="L2890" s="34" t="str">
        <f aca="false">IF(K2890="LabaRugi",INDEX(I_COA!$D$6:$D$265,MATCH(D2890,I_COA!$A$6:$A$265,0)),"")</f>
        <v/>
      </c>
      <c r="M2890" s="34" t="str">
        <f aca="false">IF(K2890="Neraca",INDEX(I_COA!$E$6:$E$265,MATCH(D2890,I_COA!$A$6:$A$265,0)),"")</f>
        <v/>
      </c>
      <c r="N2890" s="34" t="str">
        <f aca="false">IF(D2890="","",IFERROR(INDEX(I_COA!$G$6:$G$265,MATCH(D2890,I_COA!$A$6:$A$265,0)),"N"))</f>
        <v/>
      </c>
      <c r="O2890" s="11" t="str">
        <f aca="false">IF(N2890="N",ABS(J2890),"")</f>
        <v/>
      </c>
      <c r="P2890" s="18" t="str">
        <f aca="false">IF(N2890="N",B2890&amp;"|"&amp;ROUND(O2890,0),"")</f>
        <v/>
      </c>
      <c r="Q2890" s="18" t="str">
        <f aca="false">IF(N2890&lt;&gt;"Y","",IFERROR(INDEX($D$6:$D$4005,MATCH(B2890&amp;"|"&amp;ROUND(_xlfn.MAXIFS($O$6:$O$4005,$B$6:$B$4005,B2890,$N$6:$N$4005,"N"),0),$P$6:$P$4005,0)),"(tanpa lawan)"))</f>
        <v/>
      </c>
      <c r="R2890" s="44"/>
      <c r="S2890" s="9" t="str">
        <f aca="false">IF(N2890&lt;&gt;"Y","",IF(R2890&lt;&gt;"",R2890,IF(Q2890="(tanpa lawan)","Transfer antar rekening",IFERROR(INDEX(I_COA!$F$6:$F$265,MATCH(Q2890,I_COA!$A$6:$A$265,0)),"?"))))</f>
        <v/>
      </c>
    </row>
    <row r="2891" customFormat="false" ht="15" hidden="false" customHeight="false" outlineLevel="0" collapsed="false">
      <c r="A2891" s="37"/>
      <c r="B2891" s="44"/>
      <c r="C2891" s="44"/>
      <c r="D2891" s="44"/>
      <c r="E2891" s="44"/>
      <c r="F2891" s="44"/>
      <c r="G2891" s="42"/>
      <c r="H2891" s="42"/>
      <c r="I2891" s="44"/>
      <c r="J2891" s="11" t="str">
        <f aca="false">IF(D2891="","",N(G2891)-N(H2891))</f>
        <v/>
      </c>
      <c r="K2891" s="34" t="str">
        <f aca="false">IF(D2891="","",IFERROR(INDEX(I_COA!$C$6:$C$265,MATCH(D2891,I_COA!$A$6:$A$265,0)),"AKUN BARU"))</f>
        <v/>
      </c>
      <c r="L2891" s="34" t="str">
        <f aca="false">IF(K2891="LabaRugi",INDEX(I_COA!$D$6:$D$265,MATCH(D2891,I_COA!$A$6:$A$265,0)),"")</f>
        <v/>
      </c>
      <c r="M2891" s="34" t="str">
        <f aca="false">IF(K2891="Neraca",INDEX(I_COA!$E$6:$E$265,MATCH(D2891,I_COA!$A$6:$A$265,0)),"")</f>
        <v/>
      </c>
      <c r="N2891" s="34" t="str">
        <f aca="false">IF(D2891="","",IFERROR(INDEX(I_COA!$G$6:$G$265,MATCH(D2891,I_COA!$A$6:$A$265,0)),"N"))</f>
        <v/>
      </c>
      <c r="O2891" s="11" t="str">
        <f aca="false">IF(N2891="N",ABS(J2891),"")</f>
        <v/>
      </c>
      <c r="P2891" s="18" t="str">
        <f aca="false">IF(N2891="N",B2891&amp;"|"&amp;ROUND(O2891,0),"")</f>
        <v/>
      </c>
      <c r="Q2891" s="18" t="str">
        <f aca="false">IF(N2891&lt;&gt;"Y","",IFERROR(INDEX($D$6:$D$4005,MATCH(B2891&amp;"|"&amp;ROUND(_xlfn.MAXIFS($O$6:$O$4005,$B$6:$B$4005,B2891,$N$6:$N$4005,"N"),0),$P$6:$P$4005,0)),"(tanpa lawan)"))</f>
        <v/>
      </c>
      <c r="R2891" s="44"/>
      <c r="S2891" s="9" t="str">
        <f aca="false">IF(N2891&lt;&gt;"Y","",IF(R2891&lt;&gt;"",R2891,IF(Q2891="(tanpa lawan)","Transfer antar rekening",IFERROR(INDEX(I_COA!$F$6:$F$265,MATCH(Q2891,I_COA!$A$6:$A$265,0)),"?"))))</f>
        <v/>
      </c>
    </row>
    <row r="2892" customFormat="false" ht="15" hidden="false" customHeight="false" outlineLevel="0" collapsed="false">
      <c r="A2892" s="37"/>
      <c r="B2892" s="44"/>
      <c r="C2892" s="44"/>
      <c r="D2892" s="44"/>
      <c r="E2892" s="44"/>
      <c r="F2892" s="44"/>
      <c r="G2892" s="42"/>
      <c r="H2892" s="42"/>
      <c r="I2892" s="44"/>
      <c r="J2892" s="11" t="str">
        <f aca="false">IF(D2892="","",N(G2892)-N(H2892))</f>
        <v/>
      </c>
      <c r="K2892" s="34" t="str">
        <f aca="false">IF(D2892="","",IFERROR(INDEX(I_COA!$C$6:$C$265,MATCH(D2892,I_COA!$A$6:$A$265,0)),"AKUN BARU"))</f>
        <v/>
      </c>
      <c r="L2892" s="34" t="str">
        <f aca="false">IF(K2892="LabaRugi",INDEX(I_COA!$D$6:$D$265,MATCH(D2892,I_COA!$A$6:$A$265,0)),"")</f>
        <v/>
      </c>
      <c r="M2892" s="34" t="str">
        <f aca="false">IF(K2892="Neraca",INDEX(I_COA!$E$6:$E$265,MATCH(D2892,I_COA!$A$6:$A$265,0)),"")</f>
        <v/>
      </c>
      <c r="N2892" s="34" t="str">
        <f aca="false">IF(D2892="","",IFERROR(INDEX(I_COA!$G$6:$G$265,MATCH(D2892,I_COA!$A$6:$A$265,0)),"N"))</f>
        <v/>
      </c>
      <c r="O2892" s="11" t="str">
        <f aca="false">IF(N2892="N",ABS(J2892),"")</f>
        <v/>
      </c>
      <c r="P2892" s="18" t="str">
        <f aca="false">IF(N2892="N",B2892&amp;"|"&amp;ROUND(O2892,0),"")</f>
        <v/>
      </c>
      <c r="Q2892" s="18" t="str">
        <f aca="false">IF(N2892&lt;&gt;"Y","",IFERROR(INDEX($D$6:$D$4005,MATCH(B2892&amp;"|"&amp;ROUND(_xlfn.MAXIFS($O$6:$O$4005,$B$6:$B$4005,B2892,$N$6:$N$4005,"N"),0),$P$6:$P$4005,0)),"(tanpa lawan)"))</f>
        <v/>
      </c>
      <c r="R2892" s="44"/>
      <c r="S2892" s="9" t="str">
        <f aca="false">IF(N2892&lt;&gt;"Y","",IF(R2892&lt;&gt;"",R2892,IF(Q2892="(tanpa lawan)","Transfer antar rekening",IFERROR(INDEX(I_COA!$F$6:$F$265,MATCH(Q2892,I_COA!$A$6:$A$265,0)),"?"))))</f>
        <v/>
      </c>
    </row>
    <row r="2893" customFormat="false" ht="15" hidden="false" customHeight="false" outlineLevel="0" collapsed="false">
      <c r="A2893" s="37"/>
      <c r="B2893" s="44"/>
      <c r="C2893" s="44"/>
      <c r="D2893" s="44"/>
      <c r="E2893" s="44"/>
      <c r="F2893" s="44"/>
      <c r="G2893" s="42"/>
      <c r="H2893" s="42"/>
      <c r="I2893" s="44"/>
      <c r="J2893" s="11" t="str">
        <f aca="false">IF(D2893="","",N(G2893)-N(H2893))</f>
        <v/>
      </c>
      <c r="K2893" s="34" t="str">
        <f aca="false">IF(D2893="","",IFERROR(INDEX(I_COA!$C$6:$C$265,MATCH(D2893,I_COA!$A$6:$A$265,0)),"AKUN BARU"))</f>
        <v/>
      </c>
      <c r="L2893" s="34" t="str">
        <f aca="false">IF(K2893="LabaRugi",INDEX(I_COA!$D$6:$D$265,MATCH(D2893,I_COA!$A$6:$A$265,0)),"")</f>
        <v/>
      </c>
      <c r="M2893" s="34" t="str">
        <f aca="false">IF(K2893="Neraca",INDEX(I_COA!$E$6:$E$265,MATCH(D2893,I_COA!$A$6:$A$265,0)),"")</f>
        <v/>
      </c>
      <c r="N2893" s="34" t="str">
        <f aca="false">IF(D2893="","",IFERROR(INDEX(I_COA!$G$6:$G$265,MATCH(D2893,I_COA!$A$6:$A$265,0)),"N"))</f>
        <v/>
      </c>
      <c r="O2893" s="11" t="str">
        <f aca="false">IF(N2893="N",ABS(J2893),"")</f>
        <v/>
      </c>
      <c r="P2893" s="18" t="str">
        <f aca="false">IF(N2893="N",B2893&amp;"|"&amp;ROUND(O2893,0),"")</f>
        <v/>
      </c>
      <c r="Q2893" s="18" t="str">
        <f aca="false">IF(N2893&lt;&gt;"Y","",IFERROR(INDEX($D$6:$D$4005,MATCH(B2893&amp;"|"&amp;ROUND(_xlfn.MAXIFS($O$6:$O$4005,$B$6:$B$4005,B2893,$N$6:$N$4005,"N"),0),$P$6:$P$4005,0)),"(tanpa lawan)"))</f>
        <v/>
      </c>
      <c r="R2893" s="44"/>
      <c r="S2893" s="9" t="str">
        <f aca="false">IF(N2893&lt;&gt;"Y","",IF(R2893&lt;&gt;"",R2893,IF(Q2893="(tanpa lawan)","Transfer antar rekening",IFERROR(INDEX(I_COA!$F$6:$F$265,MATCH(Q2893,I_COA!$A$6:$A$265,0)),"?"))))</f>
        <v/>
      </c>
    </row>
    <row r="2894" customFormat="false" ht="15" hidden="false" customHeight="false" outlineLevel="0" collapsed="false">
      <c r="A2894" s="37"/>
      <c r="B2894" s="44"/>
      <c r="C2894" s="44"/>
      <c r="D2894" s="44"/>
      <c r="E2894" s="44"/>
      <c r="F2894" s="44"/>
      <c r="G2894" s="42"/>
      <c r="H2894" s="42"/>
      <c r="I2894" s="44"/>
      <c r="J2894" s="11" t="str">
        <f aca="false">IF(D2894="","",N(G2894)-N(H2894))</f>
        <v/>
      </c>
      <c r="K2894" s="34" t="str">
        <f aca="false">IF(D2894="","",IFERROR(INDEX(I_COA!$C$6:$C$265,MATCH(D2894,I_COA!$A$6:$A$265,0)),"AKUN BARU"))</f>
        <v/>
      </c>
      <c r="L2894" s="34" t="str">
        <f aca="false">IF(K2894="LabaRugi",INDEX(I_COA!$D$6:$D$265,MATCH(D2894,I_COA!$A$6:$A$265,0)),"")</f>
        <v/>
      </c>
      <c r="M2894" s="34" t="str">
        <f aca="false">IF(K2894="Neraca",INDEX(I_COA!$E$6:$E$265,MATCH(D2894,I_COA!$A$6:$A$265,0)),"")</f>
        <v/>
      </c>
      <c r="N2894" s="34" t="str">
        <f aca="false">IF(D2894="","",IFERROR(INDEX(I_COA!$G$6:$G$265,MATCH(D2894,I_COA!$A$6:$A$265,0)),"N"))</f>
        <v/>
      </c>
      <c r="O2894" s="11" t="str">
        <f aca="false">IF(N2894="N",ABS(J2894),"")</f>
        <v/>
      </c>
      <c r="P2894" s="18" t="str">
        <f aca="false">IF(N2894="N",B2894&amp;"|"&amp;ROUND(O2894,0),"")</f>
        <v/>
      </c>
      <c r="Q2894" s="18" t="str">
        <f aca="false">IF(N2894&lt;&gt;"Y","",IFERROR(INDEX($D$6:$D$4005,MATCH(B2894&amp;"|"&amp;ROUND(_xlfn.MAXIFS($O$6:$O$4005,$B$6:$B$4005,B2894,$N$6:$N$4005,"N"),0),$P$6:$P$4005,0)),"(tanpa lawan)"))</f>
        <v/>
      </c>
      <c r="R2894" s="44"/>
      <c r="S2894" s="9" t="str">
        <f aca="false">IF(N2894&lt;&gt;"Y","",IF(R2894&lt;&gt;"",R2894,IF(Q2894="(tanpa lawan)","Transfer antar rekening",IFERROR(INDEX(I_COA!$F$6:$F$265,MATCH(Q2894,I_COA!$A$6:$A$265,0)),"?"))))</f>
        <v/>
      </c>
    </row>
    <row r="2895" customFormat="false" ht="15" hidden="false" customHeight="false" outlineLevel="0" collapsed="false">
      <c r="A2895" s="37"/>
      <c r="B2895" s="44"/>
      <c r="C2895" s="44"/>
      <c r="D2895" s="44"/>
      <c r="E2895" s="44"/>
      <c r="F2895" s="44"/>
      <c r="G2895" s="42"/>
      <c r="H2895" s="42"/>
      <c r="I2895" s="44"/>
      <c r="J2895" s="11" t="str">
        <f aca="false">IF(D2895="","",N(G2895)-N(H2895))</f>
        <v/>
      </c>
      <c r="K2895" s="34" t="str">
        <f aca="false">IF(D2895="","",IFERROR(INDEX(I_COA!$C$6:$C$265,MATCH(D2895,I_COA!$A$6:$A$265,0)),"AKUN BARU"))</f>
        <v/>
      </c>
      <c r="L2895" s="34" t="str">
        <f aca="false">IF(K2895="LabaRugi",INDEX(I_COA!$D$6:$D$265,MATCH(D2895,I_COA!$A$6:$A$265,0)),"")</f>
        <v/>
      </c>
      <c r="M2895" s="34" t="str">
        <f aca="false">IF(K2895="Neraca",INDEX(I_COA!$E$6:$E$265,MATCH(D2895,I_COA!$A$6:$A$265,0)),"")</f>
        <v/>
      </c>
      <c r="N2895" s="34" t="str">
        <f aca="false">IF(D2895="","",IFERROR(INDEX(I_COA!$G$6:$G$265,MATCH(D2895,I_COA!$A$6:$A$265,0)),"N"))</f>
        <v/>
      </c>
      <c r="O2895" s="11" t="str">
        <f aca="false">IF(N2895="N",ABS(J2895),"")</f>
        <v/>
      </c>
      <c r="P2895" s="18" t="str">
        <f aca="false">IF(N2895="N",B2895&amp;"|"&amp;ROUND(O2895,0),"")</f>
        <v/>
      </c>
      <c r="Q2895" s="18" t="str">
        <f aca="false">IF(N2895&lt;&gt;"Y","",IFERROR(INDEX($D$6:$D$4005,MATCH(B2895&amp;"|"&amp;ROUND(_xlfn.MAXIFS($O$6:$O$4005,$B$6:$B$4005,B2895,$N$6:$N$4005,"N"),0),$P$6:$P$4005,0)),"(tanpa lawan)"))</f>
        <v/>
      </c>
      <c r="R2895" s="44"/>
      <c r="S2895" s="9" t="str">
        <f aca="false">IF(N2895&lt;&gt;"Y","",IF(R2895&lt;&gt;"",R2895,IF(Q2895="(tanpa lawan)","Transfer antar rekening",IFERROR(INDEX(I_COA!$F$6:$F$265,MATCH(Q2895,I_COA!$A$6:$A$265,0)),"?"))))</f>
        <v/>
      </c>
    </row>
    <row r="2896" customFormat="false" ht="15" hidden="false" customHeight="false" outlineLevel="0" collapsed="false">
      <c r="A2896" s="37"/>
      <c r="B2896" s="44"/>
      <c r="C2896" s="44"/>
      <c r="D2896" s="44"/>
      <c r="E2896" s="44"/>
      <c r="F2896" s="44"/>
      <c r="G2896" s="42"/>
      <c r="H2896" s="42"/>
      <c r="I2896" s="44"/>
      <c r="J2896" s="11" t="str">
        <f aca="false">IF(D2896="","",N(G2896)-N(H2896))</f>
        <v/>
      </c>
      <c r="K2896" s="34" t="str">
        <f aca="false">IF(D2896="","",IFERROR(INDEX(I_COA!$C$6:$C$265,MATCH(D2896,I_COA!$A$6:$A$265,0)),"AKUN BARU"))</f>
        <v/>
      </c>
      <c r="L2896" s="34" t="str">
        <f aca="false">IF(K2896="LabaRugi",INDEX(I_COA!$D$6:$D$265,MATCH(D2896,I_COA!$A$6:$A$265,0)),"")</f>
        <v/>
      </c>
      <c r="M2896" s="34" t="str">
        <f aca="false">IF(K2896="Neraca",INDEX(I_COA!$E$6:$E$265,MATCH(D2896,I_COA!$A$6:$A$265,0)),"")</f>
        <v/>
      </c>
      <c r="N2896" s="34" t="str">
        <f aca="false">IF(D2896="","",IFERROR(INDEX(I_COA!$G$6:$G$265,MATCH(D2896,I_COA!$A$6:$A$265,0)),"N"))</f>
        <v/>
      </c>
      <c r="O2896" s="11" t="str">
        <f aca="false">IF(N2896="N",ABS(J2896),"")</f>
        <v/>
      </c>
      <c r="P2896" s="18" t="str">
        <f aca="false">IF(N2896="N",B2896&amp;"|"&amp;ROUND(O2896,0),"")</f>
        <v/>
      </c>
      <c r="Q2896" s="18" t="str">
        <f aca="false">IF(N2896&lt;&gt;"Y","",IFERROR(INDEX($D$6:$D$4005,MATCH(B2896&amp;"|"&amp;ROUND(_xlfn.MAXIFS($O$6:$O$4005,$B$6:$B$4005,B2896,$N$6:$N$4005,"N"),0),$P$6:$P$4005,0)),"(tanpa lawan)"))</f>
        <v/>
      </c>
      <c r="R2896" s="44"/>
      <c r="S2896" s="9" t="str">
        <f aca="false">IF(N2896&lt;&gt;"Y","",IF(R2896&lt;&gt;"",R2896,IF(Q2896="(tanpa lawan)","Transfer antar rekening",IFERROR(INDEX(I_COA!$F$6:$F$265,MATCH(Q2896,I_COA!$A$6:$A$265,0)),"?"))))</f>
        <v/>
      </c>
    </row>
    <row r="2897" customFormat="false" ht="15" hidden="false" customHeight="false" outlineLevel="0" collapsed="false">
      <c r="A2897" s="37"/>
      <c r="B2897" s="44"/>
      <c r="C2897" s="44"/>
      <c r="D2897" s="44"/>
      <c r="E2897" s="44"/>
      <c r="F2897" s="44"/>
      <c r="G2897" s="42"/>
      <c r="H2897" s="42"/>
      <c r="I2897" s="44"/>
      <c r="J2897" s="11" t="str">
        <f aca="false">IF(D2897="","",N(G2897)-N(H2897))</f>
        <v/>
      </c>
      <c r="K2897" s="34" t="str">
        <f aca="false">IF(D2897="","",IFERROR(INDEX(I_COA!$C$6:$C$265,MATCH(D2897,I_COA!$A$6:$A$265,0)),"AKUN BARU"))</f>
        <v/>
      </c>
      <c r="L2897" s="34" t="str">
        <f aca="false">IF(K2897="LabaRugi",INDEX(I_COA!$D$6:$D$265,MATCH(D2897,I_COA!$A$6:$A$265,0)),"")</f>
        <v/>
      </c>
      <c r="M2897" s="34" t="str">
        <f aca="false">IF(K2897="Neraca",INDEX(I_COA!$E$6:$E$265,MATCH(D2897,I_COA!$A$6:$A$265,0)),"")</f>
        <v/>
      </c>
      <c r="N2897" s="34" t="str">
        <f aca="false">IF(D2897="","",IFERROR(INDEX(I_COA!$G$6:$G$265,MATCH(D2897,I_COA!$A$6:$A$265,0)),"N"))</f>
        <v/>
      </c>
      <c r="O2897" s="11" t="str">
        <f aca="false">IF(N2897="N",ABS(J2897),"")</f>
        <v/>
      </c>
      <c r="P2897" s="18" t="str">
        <f aca="false">IF(N2897="N",B2897&amp;"|"&amp;ROUND(O2897,0),"")</f>
        <v/>
      </c>
      <c r="Q2897" s="18" t="str">
        <f aca="false">IF(N2897&lt;&gt;"Y","",IFERROR(INDEX($D$6:$D$4005,MATCH(B2897&amp;"|"&amp;ROUND(_xlfn.MAXIFS($O$6:$O$4005,$B$6:$B$4005,B2897,$N$6:$N$4005,"N"),0),$P$6:$P$4005,0)),"(tanpa lawan)"))</f>
        <v/>
      </c>
      <c r="R2897" s="44"/>
      <c r="S2897" s="9" t="str">
        <f aca="false">IF(N2897&lt;&gt;"Y","",IF(R2897&lt;&gt;"",R2897,IF(Q2897="(tanpa lawan)","Transfer antar rekening",IFERROR(INDEX(I_COA!$F$6:$F$265,MATCH(Q2897,I_COA!$A$6:$A$265,0)),"?"))))</f>
        <v/>
      </c>
    </row>
    <row r="2898" customFormat="false" ht="15" hidden="false" customHeight="false" outlineLevel="0" collapsed="false">
      <c r="A2898" s="37"/>
      <c r="B2898" s="44"/>
      <c r="C2898" s="44"/>
      <c r="D2898" s="44"/>
      <c r="E2898" s="44"/>
      <c r="F2898" s="44"/>
      <c r="G2898" s="42"/>
      <c r="H2898" s="42"/>
      <c r="I2898" s="44"/>
      <c r="J2898" s="11" t="str">
        <f aca="false">IF(D2898="","",N(G2898)-N(H2898))</f>
        <v/>
      </c>
      <c r="K2898" s="34" t="str">
        <f aca="false">IF(D2898="","",IFERROR(INDEX(I_COA!$C$6:$C$265,MATCH(D2898,I_COA!$A$6:$A$265,0)),"AKUN BARU"))</f>
        <v/>
      </c>
      <c r="L2898" s="34" t="str">
        <f aca="false">IF(K2898="LabaRugi",INDEX(I_COA!$D$6:$D$265,MATCH(D2898,I_COA!$A$6:$A$265,0)),"")</f>
        <v/>
      </c>
      <c r="M2898" s="34" t="str">
        <f aca="false">IF(K2898="Neraca",INDEX(I_COA!$E$6:$E$265,MATCH(D2898,I_COA!$A$6:$A$265,0)),"")</f>
        <v/>
      </c>
      <c r="N2898" s="34" t="str">
        <f aca="false">IF(D2898="","",IFERROR(INDEX(I_COA!$G$6:$G$265,MATCH(D2898,I_COA!$A$6:$A$265,0)),"N"))</f>
        <v/>
      </c>
      <c r="O2898" s="11" t="str">
        <f aca="false">IF(N2898="N",ABS(J2898),"")</f>
        <v/>
      </c>
      <c r="P2898" s="18" t="str">
        <f aca="false">IF(N2898="N",B2898&amp;"|"&amp;ROUND(O2898,0),"")</f>
        <v/>
      </c>
      <c r="Q2898" s="18" t="str">
        <f aca="false">IF(N2898&lt;&gt;"Y","",IFERROR(INDEX($D$6:$D$4005,MATCH(B2898&amp;"|"&amp;ROUND(_xlfn.MAXIFS($O$6:$O$4005,$B$6:$B$4005,B2898,$N$6:$N$4005,"N"),0),$P$6:$P$4005,0)),"(tanpa lawan)"))</f>
        <v/>
      </c>
      <c r="R2898" s="44"/>
      <c r="S2898" s="9" t="str">
        <f aca="false">IF(N2898&lt;&gt;"Y","",IF(R2898&lt;&gt;"",R2898,IF(Q2898="(tanpa lawan)","Transfer antar rekening",IFERROR(INDEX(I_COA!$F$6:$F$265,MATCH(Q2898,I_COA!$A$6:$A$265,0)),"?"))))</f>
        <v/>
      </c>
    </row>
    <row r="2899" customFormat="false" ht="15" hidden="false" customHeight="false" outlineLevel="0" collapsed="false">
      <c r="A2899" s="37"/>
      <c r="B2899" s="44"/>
      <c r="C2899" s="44"/>
      <c r="D2899" s="44"/>
      <c r="E2899" s="44"/>
      <c r="F2899" s="44"/>
      <c r="G2899" s="42"/>
      <c r="H2899" s="42"/>
      <c r="I2899" s="44"/>
      <c r="J2899" s="11" t="str">
        <f aca="false">IF(D2899="","",N(G2899)-N(H2899))</f>
        <v/>
      </c>
      <c r="K2899" s="34" t="str">
        <f aca="false">IF(D2899="","",IFERROR(INDEX(I_COA!$C$6:$C$265,MATCH(D2899,I_COA!$A$6:$A$265,0)),"AKUN BARU"))</f>
        <v/>
      </c>
      <c r="L2899" s="34" t="str">
        <f aca="false">IF(K2899="LabaRugi",INDEX(I_COA!$D$6:$D$265,MATCH(D2899,I_COA!$A$6:$A$265,0)),"")</f>
        <v/>
      </c>
      <c r="M2899" s="34" t="str">
        <f aca="false">IF(K2899="Neraca",INDEX(I_COA!$E$6:$E$265,MATCH(D2899,I_COA!$A$6:$A$265,0)),"")</f>
        <v/>
      </c>
      <c r="N2899" s="34" t="str">
        <f aca="false">IF(D2899="","",IFERROR(INDEX(I_COA!$G$6:$G$265,MATCH(D2899,I_COA!$A$6:$A$265,0)),"N"))</f>
        <v/>
      </c>
      <c r="O2899" s="11" t="str">
        <f aca="false">IF(N2899="N",ABS(J2899),"")</f>
        <v/>
      </c>
      <c r="P2899" s="18" t="str">
        <f aca="false">IF(N2899="N",B2899&amp;"|"&amp;ROUND(O2899,0),"")</f>
        <v/>
      </c>
      <c r="Q2899" s="18" t="str">
        <f aca="false">IF(N2899&lt;&gt;"Y","",IFERROR(INDEX($D$6:$D$4005,MATCH(B2899&amp;"|"&amp;ROUND(_xlfn.MAXIFS($O$6:$O$4005,$B$6:$B$4005,B2899,$N$6:$N$4005,"N"),0),$P$6:$P$4005,0)),"(tanpa lawan)"))</f>
        <v/>
      </c>
      <c r="R2899" s="44"/>
      <c r="S2899" s="9" t="str">
        <f aca="false">IF(N2899&lt;&gt;"Y","",IF(R2899&lt;&gt;"",R2899,IF(Q2899="(tanpa lawan)","Transfer antar rekening",IFERROR(INDEX(I_COA!$F$6:$F$265,MATCH(Q2899,I_COA!$A$6:$A$265,0)),"?"))))</f>
        <v/>
      </c>
    </row>
    <row r="2900" customFormat="false" ht="15" hidden="false" customHeight="false" outlineLevel="0" collapsed="false">
      <c r="A2900" s="37"/>
      <c r="B2900" s="44"/>
      <c r="C2900" s="44"/>
      <c r="D2900" s="44"/>
      <c r="E2900" s="44"/>
      <c r="F2900" s="44"/>
      <c r="G2900" s="42"/>
      <c r="H2900" s="42"/>
      <c r="I2900" s="44"/>
      <c r="J2900" s="11" t="str">
        <f aca="false">IF(D2900="","",N(G2900)-N(H2900))</f>
        <v/>
      </c>
      <c r="K2900" s="34" t="str">
        <f aca="false">IF(D2900="","",IFERROR(INDEX(I_COA!$C$6:$C$265,MATCH(D2900,I_COA!$A$6:$A$265,0)),"AKUN BARU"))</f>
        <v/>
      </c>
      <c r="L2900" s="34" t="str">
        <f aca="false">IF(K2900="LabaRugi",INDEX(I_COA!$D$6:$D$265,MATCH(D2900,I_COA!$A$6:$A$265,0)),"")</f>
        <v/>
      </c>
      <c r="M2900" s="34" t="str">
        <f aca="false">IF(K2900="Neraca",INDEX(I_COA!$E$6:$E$265,MATCH(D2900,I_COA!$A$6:$A$265,0)),"")</f>
        <v/>
      </c>
      <c r="N2900" s="34" t="str">
        <f aca="false">IF(D2900="","",IFERROR(INDEX(I_COA!$G$6:$G$265,MATCH(D2900,I_COA!$A$6:$A$265,0)),"N"))</f>
        <v/>
      </c>
      <c r="O2900" s="11" t="str">
        <f aca="false">IF(N2900="N",ABS(J2900),"")</f>
        <v/>
      </c>
      <c r="P2900" s="18" t="str">
        <f aca="false">IF(N2900="N",B2900&amp;"|"&amp;ROUND(O2900,0),"")</f>
        <v/>
      </c>
      <c r="Q2900" s="18" t="str">
        <f aca="false">IF(N2900&lt;&gt;"Y","",IFERROR(INDEX($D$6:$D$4005,MATCH(B2900&amp;"|"&amp;ROUND(_xlfn.MAXIFS($O$6:$O$4005,$B$6:$B$4005,B2900,$N$6:$N$4005,"N"),0),$P$6:$P$4005,0)),"(tanpa lawan)"))</f>
        <v/>
      </c>
      <c r="R2900" s="44"/>
      <c r="S2900" s="9" t="str">
        <f aca="false">IF(N2900&lt;&gt;"Y","",IF(R2900&lt;&gt;"",R2900,IF(Q2900="(tanpa lawan)","Transfer antar rekening",IFERROR(INDEX(I_COA!$F$6:$F$265,MATCH(Q2900,I_COA!$A$6:$A$265,0)),"?"))))</f>
        <v/>
      </c>
    </row>
    <row r="2901" customFormat="false" ht="15" hidden="false" customHeight="false" outlineLevel="0" collapsed="false">
      <c r="A2901" s="37"/>
      <c r="B2901" s="44"/>
      <c r="C2901" s="44"/>
      <c r="D2901" s="44"/>
      <c r="E2901" s="44"/>
      <c r="F2901" s="44"/>
      <c r="G2901" s="42"/>
      <c r="H2901" s="42"/>
      <c r="I2901" s="44"/>
      <c r="J2901" s="11" t="str">
        <f aca="false">IF(D2901="","",N(G2901)-N(H2901))</f>
        <v/>
      </c>
      <c r="K2901" s="34" t="str">
        <f aca="false">IF(D2901="","",IFERROR(INDEX(I_COA!$C$6:$C$265,MATCH(D2901,I_COA!$A$6:$A$265,0)),"AKUN BARU"))</f>
        <v/>
      </c>
      <c r="L2901" s="34" t="str">
        <f aca="false">IF(K2901="LabaRugi",INDEX(I_COA!$D$6:$D$265,MATCH(D2901,I_COA!$A$6:$A$265,0)),"")</f>
        <v/>
      </c>
      <c r="M2901" s="34" t="str">
        <f aca="false">IF(K2901="Neraca",INDEX(I_COA!$E$6:$E$265,MATCH(D2901,I_COA!$A$6:$A$265,0)),"")</f>
        <v/>
      </c>
      <c r="N2901" s="34" t="str">
        <f aca="false">IF(D2901="","",IFERROR(INDEX(I_COA!$G$6:$G$265,MATCH(D2901,I_COA!$A$6:$A$265,0)),"N"))</f>
        <v/>
      </c>
      <c r="O2901" s="11" t="str">
        <f aca="false">IF(N2901="N",ABS(J2901),"")</f>
        <v/>
      </c>
      <c r="P2901" s="18" t="str">
        <f aca="false">IF(N2901="N",B2901&amp;"|"&amp;ROUND(O2901,0),"")</f>
        <v/>
      </c>
      <c r="Q2901" s="18" t="str">
        <f aca="false">IF(N2901&lt;&gt;"Y","",IFERROR(INDEX($D$6:$D$4005,MATCH(B2901&amp;"|"&amp;ROUND(_xlfn.MAXIFS($O$6:$O$4005,$B$6:$B$4005,B2901,$N$6:$N$4005,"N"),0),$P$6:$P$4005,0)),"(tanpa lawan)"))</f>
        <v/>
      </c>
      <c r="R2901" s="44"/>
      <c r="S2901" s="9" t="str">
        <f aca="false">IF(N2901&lt;&gt;"Y","",IF(R2901&lt;&gt;"",R2901,IF(Q2901="(tanpa lawan)","Transfer antar rekening",IFERROR(INDEX(I_COA!$F$6:$F$265,MATCH(Q2901,I_COA!$A$6:$A$265,0)),"?"))))</f>
        <v/>
      </c>
    </row>
    <row r="2902" customFormat="false" ht="15" hidden="false" customHeight="false" outlineLevel="0" collapsed="false">
      <c r="A2902" s="37"/>
      <c r="B2902" s="44"/>
      <c r="C2902" s="44"/>
      <c r="D2902" s="44"/>
      <c r="E2902" s="44"/>
      <c r="F2902" s="44"/>
      <c r="G2902" s="42"/>
      <c r="H2902" s="42"/>
      <c r="I2902" s="44"/>
      <c r="J2902" s="11" t="str">
        <f aca="false">IF(D2902="","",N(G2902)-N(H2902))</f>
        <v/>
      </c>
      <c r="K2902" s="34" t="str">
        <f aca="false">IF(D2902="","",IFERROR(INDEX(I_COA!$C$6:$C$265,MATCH(D2902,I_COA!$A$6:$A$265,0)),"AKUN BARU"))</f>
        <v/>
      </c>
      <c r="L2902" s="34" t="str">
        <f aca="false">IF(K2902="LabaRugi",INDEX(I_COA!$D$6:$D$265,MATCH(D2902,I_COA!$A$6:$A$265,0)),"")</f>
        <v/>
      </c>
      <c r="M2902" s="34" t="str">
        <f aca="false">IF(K2902="Neraca",INDEX(I_COA!$E$6:$E$265,MATCH(D2902,I_COA!$A$6:$A$265,0)),"")</f>
        <v/>
      </c>
      <c r="N2902" s="34" t="str">
        <f aca="false">IF(D2902="","",IFERROR(INDEX(I_COA!$G$6:$G$265,MATCH(D2902,I_COA!$A$6:$A$265,0)),"N"))</f>
        <v/>
      </c>
      <c r="O2902" s="11" t="str">
        <f aca="false">IF(N2902="N",ABS(J2902),"")</f>
        <v/>
      </c>
      <c r="P2902" s="18" t="str">
        <f aca="false">IF(N2902="N",B2902&amp;"|"&amp;ROUND(O2902,0),"")</f>
        <v/>
      </c>
      <c r="Q2902" s="18" t="str">
        <f aca="false">IF(N2902&lt;&gt;"Y","",IFERROR(INDEX($D$6:$D$4005,MATCH(B2902&amp;"|"&amp;ROUND(_xlfn.MAXIFS($O$6:$O$4005,$B$6:$B$4005,B2902,$N$6:$N$4005,"N"),0),$P$6:$P$4005,0)),"(tanpa lawan)"))</f>
        <v/>
      </c>
      <c r="R2902" s="44"/>
      <c r="S2902" s="9" t="str">
        <f aca="false">IF(N2902&lt;&gt;"Y","",IF(R2902&lt;&gt;"",R2902,IF(Q2902="(tanpa lawan)","Transfer antar rekening",IFERROR(INDEX(I_COA!$F$6:$F$265,MATCH(Q2902,I_COA!$A$6:$A$265,0)),"?"))))</f>
        <v/>
      </c>
    </row>
    <row r="2903" customFormat="false" ht="15" hidden="false" customHeight="false" outlineLevel="0" collapsed="false">
      <c r="A2903" s="37"/>
      <c r="B2903" s="44"/>
      <c r="C2903" s="44"/>
      <c r="D2903" s="44"/>
      <c r="E2903" s="44"/>
      <c r="F2903" s="44"/>
      <c r="G2903" s="42"/>
      <c r="H2903" s="42"/>
      <c r="I2903" s="44"/>
      <c r="J2903" s="11" t="str">
        <f aca="false">IF(D2903="","",N(G2903)-N(H2903))</f>
        <v/>
      </c>
      <c r="K2903" s="34" t="str">
        <f aca="false">IF(D2903="","",IFERROR(INDEX(I_COA!$C$6:$C$265,MATCH(D2903,I_COA!$A$6:$A$265,0)),"AKUN BARU"))</f>
        <v/>
      </c>
      <c r="L2903" s="34" t="str">
        <f aca="false">IF(K2903="LabaRugi",INDEX(I_COA!$D$6:$D$265,MATCH(D2903,I_COA!$A$6:$A$265,0)),"")</f>
        <v/>
      </c>
      <c r="M2903" s="34" t="str">
        <f aca="false">IF(K2903="Neraca",INDEX(I_COA!$E$6:$E$265,MATCH(D2903,I_COA!$A$6:$A$265,0)),"")</f>
        <v/>
      </c>
      <c r="N2903" s="34" t="str">
        <f aca="false">IF(D2903="","",IFERROR(INDEX(I_COA!$G$6:$G$265,MATCH(D2903,I_COA!$A$6:$A$265,0)),"N"))</f>
        <v/>
      </c>
      <c r="O2903" s="11" t="str">
        <f aca="false">IF(N2903="N",ABS(J2903),"")</f>
        <v/>
      </c>
      <c r="P2903" s="18" t="str">
        <f aca="false">IF(N2903="N",B2903&amp;"|"&amp;ROUND(O2903,0),"")</f>
        <v/>
      </c>
      <c r="Q2903" s="18" t="str">
        <f aca="false">IF(N2903&lt;&gt;"Y","",IFERROR(INDEX($D$6:$D$4005,MATCH(B2903&amp;"|"&amp;ROUND(_xlfn.MAXIFS($O$6:$O$4005,$B$6:$B$4005,B2903,$N$6:$N$4005,"N"),0),$P$6:$P$4005,0)),"(tanpa lawan)"))</f>
        <v/>
      </c>
      <c r="R2903" s="44"/>
      <c r="S2903" s="9" t="str">
        <f aca="false">IF(N2903&lt;&gt;"Y","",IF(R2903&lt;&gt;"",R2903,IF(Q2903="(tanpa lawan)","Transfer antar rekening",IFERROR(INDEX(I_COA!$F$6:$F$265,MATCH(Q2903,I_COA!$A$6:$A$265,0)),"?"))))</f>
        <v/>
      </c>
    </row>
    <row r="2904" customFormat="false" ht="15" hidden="false" customHeight="false" outlineLevel="0" collapsed="false">
      <c r="A2904" s="37"/>
      <c r="B2904" s="44"/>
      <c r="C2904" s="44"/>
      <c r="D2904" s="44"/>
      <c r="E2904" s="44"/>
      <c r="F2904" s="44"/>
      <c r="G2904" s="42"/>
      <c r="H2904" s="42"/>
      <c r="I2904" s="44"/>
      <c r="J2904" s="11" t="str">
        <f aca="false">IF(D2904="","",N(G2904)-N(H2904))</f>
        <v/>
      </c>
      <c r="K2904" s="34" t="str">
        <f aca="false">IF(D2904="","",IFERROR(INDEX(I_COA!$C$6:$C$265,MATCH(D2904,I_COA!$A$6:$A$265,0)),"AKUN BARU"))</f>
        <v/>
      </c>
      <c r="L2904" s="34" t="str">
        <f aca="false">IF(K2904="LabaRugi",INDEX(I_COA!$D$6:$D$265,MATCH(D2904,I_COA!$A$6:$A$265,0)),"")</f>
        <v/>
      </c>
      <c r="M2904" s="34" t="str">
        <f aca="false">IF(K2904="Neraca",INDEX(I_COA!$E$6:$E$265,MATCH(D2904,I_COA!$A$6:$A$265,0)),"")</f>
        <v/>
      </c>
      <c r="N2904" s="34" t="str">
        <f aca="false">IF(D2904="","",IFERROR(INDEX(I_COA!$G$6:$G$265,MATCH(D2904,I_COA!$A$6:$A$265,0)),"N"))</f>
        <v/>
      </c>
      <c r="O2904" s="11" t="str">
        <f aca="false">IF(N2904="N",ABS(J2904),"")</f>
        <v/>
      </c>
      <c r="P2904" s="18" t="str">
        <f aca="false">IF(N2904="N",B2904&amp;"|"&amp;ROUND(O2904,0),"")</f>
        <v/>
      </c>
      <c r="Q2904" s="18" t="str">
        <f aca="false">IF(N2904&lt;&gt;"Y","",IFERROR(INDEX($D$6:$D$4005,MATCH(B2904&amp;"|"&amp;ROUND(_xlfn.MAXIFS($O$6:$O$4005,$B$6:$B$4005,B2904,$N$6:$N$4005,"N"),0),$P$6:$P$4005,0)),"(tanpa lawan)"))</f>
        <v/>
      </c>
      <c r="R2904" s="44"/>
      <c r="S2904" s="9" t="str">
        <f aca="false">IF(N2904&lt;&gt;"Y","",IF(R2904&lt;&gt;"",R2904,IF(Q2904="(tanpa lawan)","Transfer antar rekening",IFERROR(INDEX(I_COA!$F$6:$F$265,MATCH(Q2904,I_COA!$A$6:$A$265,0)),"?"))))</f>
        <v/>
      </c>
    </row>
    <row r="2905" customFormat="false" ht="15" hidden="false" customHeight="false" outlineLevel="0" collapsed="false">
      <c r="A2905" s="37"/>
      <c r="B2905" s="44"/>
      <c r="C2905" s="44"/>
      <c r="D2905" s="44"/>
      <c r="E2905" s="44"/>
      <c r="F2905" s="44"/>
      <c r="G2905" s="42"/>
      <c r="H2905" s="42"/>
      <c r="I2905" s="44"/>
      <c r="J2905" s="11" t="str">
        <f aca="false">IF(D2905="","",N(G2905)-N(H2905))</f>
        <v/>
      </c>
      <c r="K2905" s="34" t="str">
        <f aca="false">IF(D2905="","",IFERROR(INDEX(I_COA!$C$6:$C$265,MATCH(D2905,I_COA!$A$6:$A$265,0)),"AKUN BARU"))</f>
        <v/>
      </c>
      <c r="L2905" s="34" t="str">
        <f aca="false">IF(K2905="LabaRugi",INDEX(I_COA!$D$6:$D$265,MATCH(D2905,I_COA!$A$6:$A$265,0)),"")</f>
        <v/>
      </c>
      <c r="M2905" s="34" t="str">
        <f aca="false">IF(K2905="Neraca",INDEX(I_COA!$E$6:$E$265,MATCH(D2905,I_COA!$A$6:$A$265,0)),"")</f>
        <v/>
      </c>
      <c r="N2905" s="34" t="str">
        <f aca="false">IF(D2905="","",IFERROR(INDEX(I_COA!$G$6:$G$265,MATCH(D2905,I_COA!$A$6:$A$265,0)),"N"))</f>
        <v/>
      </c>
      <c r="O2905" s="11" t="str">
        <f aca="false">IF(N2905="N",ABS(J2905),"")</f>
        <v/>
      </c>
      <c r="P2905" s="18" t="str">
        <f aca="false">IF(N2905="N",B2905&amp;"|"&amp;ROUND(O2905,0),"")</f>
        <v/>
      </c>
      <c r="Q2905" s="18" t="str">
        <f aca="false">IF(N2905&lt;&gt;"Y","",IFERROR(INDEX($D$6:$D$4005,MATCH(B2905&amp;"|"&amp;ROUND(_xlfn.MAXIFS($O$6:$O$4005,$B$6:$B$4005,B2905,$N$6:$N$4005,"N"),0),$P$6:$P$4005,0)),"(tanpa lawan)"))</f>
        <v/>
      </c>
      <c r="R2905" s="44"/>
      <c r="S2905" s="9" t="str">
        <f aca="false">IF(N2905&lt;&gt;"Y","",IF(R2905&lt;&gt;"",R2905,IF(Q2905="(tanpa lawan)","Transfer antar rekening",IFERROR(INDEX(I_COA!$F$6:$F$265,MATCH(Q2905,I_COA!$A$6:$A$265,0)),"?"))))</f>
        <v/>
      </c>
    </row>
    <row r="2906" customFormat="false" ht="15" hidden="false" customHeight="false" outlineLevel="0" collapsed="false">
      <c r="A2906" s="37"/>
      <c r="B2906" s="44"/>
      <c r="C2906" s="44"/>
      <c r="D2906" s="44"/>
      <c r="E2906" s="44"/>
      <c r="F2906" s="44"/>
      <c r="G2906" s="42"/>
      <c r="H2906" s="42"/>
      <c r="I2906" s="44"/>
      <c r="J2906" s="11" t="str">
        <f aca="false">IF(D2906="","",N(G2906)-N(H2906))</f>
        <v/>
      </c>
      <c r="K2906" s="34" t="str">
        <f aca="false">IF(D2906="","",IFERROR(INDEX(I_COA!$C$6:$C$265,MATCH(D2906,I_COA!$A$6:$A$265,0)),"AKUN BARU"))</f>
        <v/>
      </c>
      <c r="L2906" s="34" t="str">
        <f aca="false">IF(K2906="LabaRugi",INDEX(I_COA!$D$6:$D$265,MATCH(D2906,I_COA!$A$6:$A$265,0)),"")</f>
        <v/>
      </c>
      <c r="M2906" s="34" t="str">
        <f aca="false">IF(K2906="Neraca",INDEX(I_COA!$E$6:$E$265,MATCH(D2906,I_COA!$A$6:$A$265,0)),"")</f>
        <v/>
      </c>
      <c r="N2906" s="34" t="str">
        <f aca="false">IF(D2906="","",IFERROR(INDEX(I_COA!$G$6:$G$265,MATCH(D2906,I_COA!$A$6:$A$265,0)),"N"))</f>
        <v/>
      </c>
      <c r="O2906" s="11" t="str">
        <f aca="false">IF(N2906="N",ABS(J2906),"")</f>
        <v/>
      </c>
      <c r="P2906" s="18" t="str">
        <f aca="false">IF(N2906="N",B2906&amp;"|"&amp;ROUND(O2906,0),"")</f>
        <v/>
      </c>
      <c r="Q2906" s="18" t="str">
        <f aca="false">IF(N2906&lt;&gt;"Y","",IFERROR(INDEX($D$6:$D$4005,MATCH(B2906&amp;"|"&amp;ROUND(_xlfn.MAXIFS($O$6:$O$4005,$B$6:$B$4005,B2906,$N$6:$N$4005,"N"),0),$P$6:$P$4005,0)),"(tanpa lawan)"))</f>
        <v/>
      </c>
      <c r="R2906" s="44"/>
      <c r="S2906" s="9" t="str">
        <f aca="false">IF(N2906&lt;&gt;"Y","",IF(R2906&lt;&gt;"",R2906,IF(Q2906="(tanpa lawan)","Transfer antar rekening",IFERROR(INDEX(I_COA!$F$6:$F$265,MATCH(Q2906,I_COA!$A$6:$A$265,0)),"?"))))</f>
        <v/>
      </c>
    </row>
    <row r="2907" customFormat="false" ht="15" hidden="false" customHeight="false" outlineLevel="0" collapsed="false">
      <c r="A2907" s="37"/>
      <c r="B2907" s="44"/>
      <c r="C2907" s="44"/>
      <c r="D2907" s="44"/>
      <c r="E2907" s="44"/>
      <c r="F2907" s="44"/>
      <c r="G2907" s="42"/>
      <c r="H2907" s="42"/>
      <c r="I2907" s="44"/>
      <c r="J2907" s="11" t="str">
        <f aca="false">IF(D2907="","",N(G2907)-N(H2907))</f>
        <v/>
      </c>
      <c r="K2907" s="34" t="str">
        <f aca="false">IF(D2907="","",IFERROR(INDEX(I_COA!$C$6:$C$265,MATCH(D2907,I_COA!$A$6:$A$265,0)),"AKUN BARU"))</f>
        <v/>
      </c>
      <c r="L2907" s="34" t="str">
        <f aca="false">IF(K2907="LabaRugi",INDEX(I_COA!$D$6:$D$265,MATCH(D2907,I_COA!$A$6:$A$265,0)),"")</f>
        <v/>
      </c>
      <c r="M2907" s="34" t="str">
        <f aca="false">IF(K2907="Neraca",INDEX(I_COA!$E$6:$E$265,MATCH(D2907,I_COA!$A$6:$A$265,0)),"")</f>
        <v/>
      </c>
      <c r="N2907" s="34" t="str">
        <f aca="false">IF(D2907="","",IFERROR(INDEX(I_COA!$G$6:$G$265,MATCH(D2907,I_COA!$A$6:$A$265,0)),"N"))</f>
        <v/>
      </c>
      <c r="O2907" s="11" t="str">
        <f aca="false">IF(N2907="N",ABS(J2907),"")</f>
        <v/>
      </c>
      <c r="P2907" s="18" t="str">
        <f aca="false">IF(N2907="N",B2907&amp;"|"&amp;ROUND(O2907,0),"")</f>
        <v/>
      </c>
      <c r="Q2907" s="18" t="str">
        <f aca="false">IF(N2907&lt;&gt;"Y","",IFERROR(INDEX($D$6:$D$4005,MATCH(B2907&amp;"|"&amp;ROUND(_xlfn.MAXIFS($O$6:$O$4005,$B$6:$B$4005,B2907,$N$6:$N$4005,"N"),0),$P$6:$P$4005,0)),"(tanpa lawan)"))</f>
        <v/>
      </c>
      <c r="R2907" s="44"/>
      <c r="S2907" s="9" t="str">
        <f aca="false">IF(N2907&lt;&gt;"Y","",IF(R2907&lt;&gt;"",R2907,IF(Q2907="(tanpa lawan)","Transfer antar rekening",IFERROR(INDEX(I_COA!$F$6:$F$265,MATCH(Q2907,I_COA!$A$6:$A$265,0)),"?"))))</f>
        <v/>
      </c>
    </row>
    <row r="2908" customFormat="false" ht="15" hidden="false" customHeight="false" outlineLevel="0" collapsed="false">
      <c r="A2908" s="37"/>
      <c r="B2908" s="44"/>
      <c r="C2908" s="44"/>
      <c r="D2908" s="44"/>
      <c r="E2908" s="44"/>
      <c r="F2908" s="44"/>
      <c r="G2908" s="42"/>
      <c r="H2908" s="42"/>
      <c r="I2908" s="44"/>
      <c r="J2908" s="11" t="str">
        <f aca="false">IF(D2908="","",N(G2908)-N(H2908))</f>
        <v/>
      </c>
      <c r="K2908" s="34" t="str">
        <f aca="false">IF(D2908="","",IFERROR(INDEX(I_COA!$C$6:$C$265,MATCH(D2908,I_COA!$A$6:$A$265,0)),"AKUN BARU"))</f>
        <v/>
      </c>
      <c r="L2908" s="34" t="str">
        <f aca="false">IF(K2908="LabaRugi",INDEX(I_COA!$D$6:$D$265,MATCH(D2908,I_COA!$A$6:$A$265,0)),"")</f>
        <v/>
      </c>
      <c r="M2908" s="34" t="str">
        <f aca="false">IF(K2908="Neraca",INDEX(I_COA!$E$6:$E$265,MATCH(D2908,I_COA!$A$6:$A$265,0)),"")</f>
        <v/>
      </c>
      <c r="N2908" s="34" t="str">
        <f aca="false">IF(D2908="","",IFERROR(INDEX(I_COA!$G$6:$G$265,MATCH(D2908,I_COA!$A$6:$A$265,0)),"N"))</f>
        <v/>
      </c>
      <c r="O2908" s="11" t="str">
        <f aca="false">IF(N2908="N",ABS(J2908),"")</f>
        <v/>
      </c>
      <c r="P2908" s="18" t="str">
        <f aca="false">IF(N2908="N",B2908&amp;"|"&amp;ROUND(O2908,0),"")</f>
        <v/>
      </c>
      <c r="Q2908" s="18" t="str">
        <f aca="false">IF(N2908&lt;&gt;"Y","",IFERROR(INDEX($D$6:$D$4005,MATCH(B2908&amp;"|"&amp;ROUND(_xlfn.MAXIFS($O$6:$O$4005,$B$6:$B$4005,B2908,$N$6:$N$4005,"N"),0),$P$6:$P$4005,0)),"(tanpa lawan)"))</f>
        <v/>
      </c>
      <c r="R2908" s="44"/>
      <c r="S2908" s="9" t="str">
        <f aca="false">IF(N2908&lt;&gt;"Y","",IF(R2908&lt;&gt;"",R2908,IF(Q2908="(tanpa lawan)","Transfer antar rekening",IFERROR(INDEX(I_COA!$F$6:$F$265,MATCH(Q2908,I_COA!$A$6:$A$265,0)),"?"))))</f>
        <v/>
      </c>
    </row>
    <row r="2909" customFormat="false" ht="15" hidden="false" customHeight="false" outlineLevel="0" collapsed="false">
      <c r="A2909" s="37"/>
      <c r="B2909" s="44"/>
      <c r="C2909" s="44"/>
      <c r="D2909" s="44"/>
      <c r="E2909" s="44"/>
      <c r="F2909" s="44"/>
      <c r="G2909" s="42"/>
      <c r="H2909" s="42"/>
      <c r="I2909" s="44"/>
      <c r="J2909" s="11" t="str">
        <f aca="false">IF(D2909="","",N(G2909)-N(H2909))</f>
        <v/>
      </c>
      <c r="K2909" s="34" t="str">
        <f aca="false">IF(D2909="","",IFERROR(INDEX(I_COA!$C$6:$C$265,MATCH(D2909,I_COA!$A$6:$A$265,0)),"AKUN BARU"))</f>
        <v/>
      </c>
      <c r="L2909" s="34" t="str">
        <f aca="false">IF(K2909="LabaRugi",INDEX(I_COA!$D$6:$D$265,MATCH(D2909,I_COA!$A$6:$A$265,0)),"")</f>
        <v/>
      </c>
      <c r="M2909" s="34" t="str">
        <f aca="false">IF(K2909="Neraca",INDEX(I_COA!$E$6:$E$265,MATCH(D2909,I_COA!$A$6:$A$265,0)),"")</f>
        <v/>
      </c>
      <c r="N2909" s="34" t="str">
        <f aca="false">IF(D2909="","",IFERROR(INDEX(I_COA!$G$6:$G$265,MATCH(D2909,I_COA!$A$6:$A$265,0)),"N"))</f>
        <v/>
      </c>
      <c r="O2909" s="11" t="str">
        <f aca="false">IF(N2909="N",ABS(J2909),"")</f>
        <v/>
      </c>
      <c r="P2909" s="18" t="str">
        <f aca="false">IF(N2909="N",B2909&amp;"|"&amp;ROUND(O2909,0),"")</f>
        <v/>
      </c>
      <c r="Q2909" s="18" t="str">
        <f aca="false">IF(N2909&lt;&gt;"Y","",IFERROR(INDEX($D$6:$D$4005,MATCH(B2909&amp;"|"&amp;ROUND(_xlfn.MAXIFS($O$6:$O$4005,$B$6:$B$4005,B2909,$N$6:$N$4005,"N"),0),$P$6:$P$4005,0)),"(tanpa lawan)"))</f>
        <v/>
      </c>
      <c r="R2909" s="44"/>
      <c r="S2909" s="9" t="str">
        <f aca="false">IF(N2909&lt;&gt;"Y","",IF(R2909&lt;&gt;"",R2909,IF(Q2909="(tanpa lawan)","Transfer antar rekening",IFERROR(INDEX(I_COA!$F$6:$F$265,MATCH(Q2909,I_COA!$A$6:$A$265,0)),"?"))))</f>
        <v/>
      </c>
    </row>
    <row r="2910" customFormat="false" ht="15" hidden="false" customHeight="false" outlineLevel="0" collapsed="false">
      <c r="A2910" s="37"/>
      <c r="B2910" s="44"/>
      <c r="C2910" s="44"/>
      <c r="D2910" s="44"/>
      <c r="E2910" s="44"/>
      <c r="F2910" s="44"/>
      <c r="G2910" s="42"/>
      <c r="H2910" s="42"/>
      <c r="I2910" s="44"/>
      <c r="J2910" s="11" t="str">
        <f aca="false">IF(D2910="","",N(G2910)-N(H2910))</f>
        <v/>
      </c>
      <c r="K2910" s="34" t="str">
        <f aca="false">IF(D2910="","",IFERROR(INDEX(I_COA!$C$6:$C$265,MATCH(D2910,I_COA!$A$6:$A$265,0)),"AKUN BARU"))</f>
        <v/>
      </c>
      <c r="L2910" s="34" t="str">
        <f aca="false">IF(K2910="LabaRugi",INDEX(I_COA!$D$6:$D$265,MATCH(D2910,I_COA!$A$6:$A$265,0)),"")</f>
        <v/>
      </c>
      <c r="M2910" s="34" t="str">
        <f aca="false">IF(K2910="Neraca",INDEX(I_COA!$E$6:$E$265,MATCH(D2910,I_COA!$A$6:$A$265,0)),"")</f>
        <v/>
      </c>
      <c r="N2910" s="34" t="str">
        <f aca="false">IF(D2910="","",IFERROR(INDEX(I_COA!$G$6:$G$265,MATCH(D2910,I_COA!$A$6:$A$265,0)),"N"))</f>
        <v/>
      </c>
      <c r="O2910" s="11" t="str">
        <f aca="false">IF(N2910="N",ABS(J2910),"")</f>
        <v/>
      </c>
      <c r="P2910" s="18" t="str">
        <f aca="false">IF(N2910="N",B2910&amp;"|"&amp;ROUND(O2910,0),"")</f>
        <v/>
      </c>
      <c r="Q2910" s="18" t="str">
        <f aca="false">IF(N2910&lt;&gt;"Y","",IFERROR(INDEX($D$6:$D$4005,MATCH(B2910&amp;"|"&amp;ROUND(_xlfn.MAXIFS($O$6:$O$4005,$B$6:$B$4005,B2910,$N$6:$N$4005,"N"),0),$P$6:$P$4005,0)),"(tanpa lawan)"))</f>
        <v/>
      </c>
      <c r="R2910" s="44"/>
      <c r="S2910" s="9" t="str">
        <f aca="false">IF(N2910&lt;&gt;"Y","",IF(R2910&lt;&gt;"",R2910,IF(Q2910="(tanpa lawan)","Transfer antar rekening",IFERROR(INDEX(I_COA!$F$6:$F$265,MATCH(Q2910,I_COA!$A$6:$A$265,0)),"?"))))</f>
        <v/>
      </c>
    </row>
    <row r="2911" customFormat="false" ht="15" hidden="false" customHeight="false" outlineLevel="0" collapsed="false">
      <c r="A2911" s="37"/>
      <c r="B2911" s="44"/>
      <c r="C2911" s="44"/>
      <c r="D2911" s="44"/>
      <c r="E2911" s="44"/>
      <c r="F2911" s="44"/>
      <c r="G2911" s="42"/>
      <c r="H2911" s="42"/>
      <c r="I2911" s="44"/>
      <c r="J2911" s="11" t="str">
        <f aca="false">IF(D2911="","",N(G2911)-N(H2911))</f>
        <v/>
      </c>
      <c r="K2911" s="34" t="str">
        <f aca="false">IF(D2911="","",IFERROR(INDEX(I_COA!$C$6:$C$265,MATCH(D2911,I_COA!$A$6:$A$265,0)),"AKUN BARU"))</f>
        <v/>
      </c>
      <c r="L2911" s="34" t="str">
        <f aca="false">IF(K2911="LabaRugi",INDEX(I_COA!$D$6:$D$265,MATCH(D2911,I_COA!$A$6:$A$265,0)),"")</f>
        <v/>
      </c>
      <c r="M2911" s="34" t="str">
        <f aca="false">IF(K2911="Neraca",INDEX(I_COA!$E$6:$E$265,MATCH(D2911,I_COA!$A$6:$A$265,0)),"")</f>
        <v/>
      </c>
      <c r="N2911" s="34" t="str">
        <f aca="false">IF(D2911="","",IFERROR(INDEX(I_COA!$G$6:$G$265,MATCH(D2911,I_COA!$A$6:$A$265,0)),"N"))</f>
        <v/>
      </c>
      <c r="O2911" s="11" t="str">
        <f aca="false">IF(N2911="N",ABS(J2911),"")</f>
        <v/>
      </c>
      <c r="P2911" s="18" t="str">
        <f aca="false">IF(N2911="N",B2911&amp;"|"&amp;ROUND(O2911,0),"")</f>
        <v/>
      </c>
      <c r="Q2911" s="18" t="str">
        <f aca="false">IF(N2911&lt;&gt;"Y","",IFERROR(INDEX($D$6:$D$4005,MATCH(B2911&amp;"|"&amp;ROUND(_xlfn.MAXIFS($O$6:$O$4005,$B$6:$B$4005,B2911,$N$6:$N$4005,"N"),0),$P$6:$P$4005,0)),"(tanpa lawan)"))</f>
        <v/>
      </c>
      <c r="R2911" s="44"/>
      <c r="S2911" s="9" t="str">
        <f aca="false">IF(N2911&lt;&gt;"Y","",IF(R2911&lt;&gt;"",R2911,IF(Q2911="(tanpa lawan)","Transfer antar rekening",IFERROR(INDEX(I_COA!$F$6:$F$265,MATCH(Q2911,I_COA!$A$6:$A$265,0)),"?"))))</f>
        <v/>
      </c>
    </row>
    <row r="2912" customFormat="false" ht="15" hidden="false" customHeight="false" outlineLevel="0" collapsed="false">
      <c r="A2912" s="37"/>
      <c r="B2912" s="44"/>
      <c r="C2912" s="44"/>
      <c r="D2912" s="44"/>
      <c r="E2912" s="44"/>
      <c r="F2912" s="44"/>
      <c r="G2912" s="42"/>
      <c r="H2912" s="42"/>
      <c r="I2912" s="44"/>
      <c r="J2912" s="11" t="str">
        <f aca="false">IF(D2912="","",N(G2912)-N(H2912))</f>
        <v/>
      </c>
      <c r="K2912" s="34" t="str">
        <f aca="false">IF(D2912="","",IFERROR(INDEX(I_COA!$C$6:$C$265,MATCH(D2912,I_COA!$A$6:$A$265,0)),"AKUN BARU"))</f>
        <v/>
      </c>
      <c r="L2912" s="34" t="str">
        <f aca="false">IF(K2912="LabaRugi",INDEX(I_COA!$D$6:$D$265,MATCH(D2912,I_COA!$A$6:$A$265,0)),"")</f>
        <v/>
      </c>
      <c r="M2912" s="34" t="str">
        <f aca="false">IF(K2912="Neraca",INDEX(I_COA!$E$6:$E$265,MATCH(D2912,I_COA!$A$6:$A$265,0)),"")</f>
        <v/>
      </c>
      <c r="N2912" s="34" t="str">
        <f aca="false">IF(D2912="","",IFERROR(INDEX(I_COA!$G$6:$G$265,MATCH(D2912,I_COA!$A$6:$A$265,0)),"N"))</f>
        <v/>
      </c>
      <c r="O2912" s="11" t="str">
        <f aca="false">IF(N2912="N",ABS(J2912),"")</f>
        <v/>
      </c>
      <c r="P2912" s="18" t="str">
        <f aca="false">IF(N2912="N",B2912&amp;"|"&amp;ROUND(O2912,0),"")</f>
        <v/>
      </c>
      <c r="Q2912" s="18" t="str">
        <f aca="false">IF(N2912&lt;&gt;"Y","",IFERROR(INDEX($D$6:$D$4005,MATCH(B2912&amp;"|"&amp;ROUND(_xlfn.MAXIFS($O$6:$O$4005,$B$6:$B$4005,B2912,$N$6:$N$4005,"N"),0),$P$6:$P$4005,0)),"(tanpa lawan)"))</f>
        <v/>
      </c>
      <c r="R2912" s="44"/>
      <c r="S2912" s="9" t="str">
        <f aca="false">IF(N2912&lt;&gt;"Y","",IF(R2912&lt;&gt;"",R2912,IF(Q2912="(tanpa lawan)","Transfer antar rekening",IFERROR(INDEX(I_COA!$F$6:$F$265,MATCH(Q2912,I_COA!$A$6:$A$265,0)),"?"))))</f>
        <v/>
      </c>
    </row>
    <row r="2913" customFormat="false" ht="15" hidden="false" customHeight="false" outlineLevel="0" collapsed="false">
      <c r="A2913" s="37"/>
      <c r="B2913" s="44"/>
      <c r="C2913" s="44"/>
      <c r="D2913" s="44"/>
      <c r="E2913" s="44"/>
      <c r="F2913" s="44"/>
      <c r="G2913" s="42"/>
      <c r="H2913" s="42"/>
      <c r="I2913" s="44"/>
      <c r="J2913" s="11" t="str">
        <f aca="false">IF(D2913="","",N(G2913)-N(H2913))</f>
        <v/>
      </c>
      <c r="K2913" s="34" t="str">
        <f aca="false">IF(D2913="","",IFERROR(INDEX(I_COA!$C$6:$C$265,MATCH(D2913,I_COA!$A$6:$A$265,0)),"AKUN BARU"))</f>
        <v/>
      </c>
      <c r="L2913" s="34" t="str">
        <f aca="false">IF(K2913="LabaRugi",INDEX(I_COA!$D$6:$D$265,MATCH(D2913,I_COA!$A$6:$A$265,0)),"")</f>
        <v/>
      </c>
      <c r="M2913" s="34" t="str">
        <f aca="false">IF(K2913="Neraca",INDEX(I_COA!$E$6:$E$265,MATCH(D2913,I_COA!$A$6:$A$265,0)),"")</f>
        <v/>
      </c>
      <c r="N2913" s="34" t="str">
        <f aca="false">IF(D2913="","",IFERROR(INDEX(I_COA!$G$6:$G$265,MATCH(D2913,I_COA!$A$6:$A$265,0)),"N"))</f>
        <v/>
      </c>
      <c r="O2913" s="11" t="str">
        <f aca="false">IF(N2913="N",ABS(J2913),"")</f>
        <v/>
      </c>
      <c r="P2913" s="18" t="str">
        <f aca="false">IF(N2913="N",B2913&amp;"|"&amp;ROUND(O2913,0),"")</f>
        <v/>
      </c>
      <c r="Q2913" s="18" t="str">
        <f aca="false">IF(N2913&lt;&gt;"Y","",IFERROR(INDEX($D$6:$D$4005,MATCH(B2913&amp;"|"&amp;ROUND(_xlfn.MAXIFS($O$6:$O$4005,$B$6:$B$4005,B2913,$N$6:$N$4005,"N"),0),$P$6:$P$4005,0)),"(tanpa lawan)"))</f>
        <v/>
      </c>
      <c r="R2913" s="44"/>
      <c r="S2913" s="9" t="str">
        <f aca="false">IF(N2913&lt;&gt;"Y","",IF(R2913&lt;&gt;"",R2913,IF(Q2913="(tanpa lawan)","Transfer antar rekening",IFERROR(INDEX(I_COA!$F$6:$F$265,MATCH(Q2913,I_COA!$A$6:$A$265,0)),"?"))))</f>
        <v/>
      </c>
    </row>
    <row r="2914" customFormat="false" ht="15" hidden="false" customHeight="false" outlineLevel="0" collapsed="false">
      <c r="A2914" s="37"/>
      <c r="B2914" s="44"/>
      <c r="C2914" s="44"/>
      <c r="D2914" s="44"/>
      <c r="E2914" s="44"/>
      <c r="F2914" s="44"/>
      <c r="G2914" s="42"/>
      <c r="H2914" s="42"/>
      <c r="I2914" s="44"/>
      <c r="J2914" s="11" t="str">
        <f aca="false">IF(D2914="","",N(G2914)-N(H2914))</f>
        <v/>
      </c>
      <c r="K2914" s="34" t="str">
        <f aca="false">IF(D2914="","",IFERROR(INDEX(I_COA!$C$6:$C$265,MATCH(D2914,I_COA!$A$6:$A$265,0)),"AKUN BARU"))</f>
        <v/>
      </c>
      <c r="L2914" s="34" t="str">
        <f aca="false">IF(K2914="LabaRugi",INDEX(I_COA!$D$6:$D$265,MATCH(D2914,I_COA!$A$6:$A$265,0)),"")</f>
        <v/>
      </c>
      <c r="M2914" s="34" t="str">
        <f aca="false">IF(K2914="Neraca",INDEX(I_COA!$E$6:$E$265,MATCH(D2914,I_COA!$A$6:$A$265,0)),"")</f>
        <v/>
      </c>
      <c r="N2914" s="34" t="str">
        <f aca="false">IF(D2914="","",IFERROR(INDEX(I_COA!$G$6:$G$265,MATCH(D2914,I_COA!$A$6:$A$265,0)),"N"))</f>
        <v/>
      </c>
      <c r="O2914" s="11" t="str">
        <f aca="false">IF(N2914="N",ABS(J2914),"")</f>
        <v/>
      </c>
      <c r="P2914" s="18" t="str">
        <f aca="false">IF(N2914="N",B2914&amp;"|"&amp;ROUND(O2914,0),"")</f>
        <v/>
      </c>
      <c r="Q2914" s="18" t="str">
        <f aca="false">IF(N2914&lt;&gt;"Y","",IFERROR(INDEX($D$6:$D$4005,MATCH(B2914&amp;"|"&amp;ROUND(_xlfn.MAXIFS($O$6:$O$4005,$B$6:$B$4005,B2914,$N$6:$N$4005,"N"),0),$P$6:$P$4005,0)),"(tanpa lawan)"))</f>
        <v/>
      </c>
      <c r="R2914" s="44"/>
      <c r="S2914" s="9" t="str">
        <f aca="false">IF(N2914&lt;&gt;"Y","",IF(R2914&lt;&gt;"",R2914,IF(Q2914="(tanpa lawan)","Transfer antar rekening",IFERROR(INDEX(I_COA!$F$6:$F$265,MATCH(Q2914,I_COA!$A$6:$A$265,0)),"?"))))</f>
        <v/>
      </c>
    </row>
    <row r="2915" customFormat="false" ht="15" hidden="false" customHeight="false" outlineLevel="0" collapsed="false">
      <c r="A2915" s="37"/>
      <c r="B2915" s="44"/>
      <c r="C2915" s="44"/>
      <c r="D2915" s="44"/>
      <c r="E2915" s="44"/>
      <c r="F2915" s="44"/>
      <c r="G2915" s="42"/>
      <c r="H2915" s="42"/>
      <c r="I2915" s="44"/>
      <c r="J2915" s="11" t="str">
        <f aca="false">IF(D2915="","",N(G2915)-N(H2915))</f>
        <v/>
      </c>
      <c r="K2915" s="34" t="str">
        <f aca="false">IF(D2915="","",IFERROR(INDEX(I_COA!$C$6:$C$265,MATCH(D2915,I_COA!$A$6:$A$265,0)),"AKUN BARU"))</f>
        <v/>
      </c>
      <c r="L2915" s="34" t="str">
        <f aca="false">IF(K2915="LabaRugi",INDEX(I_COA!$D$6:$D$265,MATCH(D2915,I_COA!$A$6:$A$265,0)),"")</f>
        <v/>
      </c>
      <c r="M2915" s="34" t="str">
        <f aca="false">IF(K2915="Neraca",INDEX(I_COA!$E$6:$E$265,MATCH(D2915,I_COA!$A$6:$A$265,0)),"")</f>
        <v/>
      </c>
      <c r="N2915" s="34" t="str">
        <f aca="false">IF(D2915="","",IFERROR(INDEX(I_COA!$G$6:$G$265,MATCH(D2915,I_COA!$A$6:$A$265,0)),"N"))</f>
        <v/>
      </c>
      <c r="O2915" s="11" t="str">
        <f aca="false">IF(N2915="N",ABS(J2915),"")</f>
        <v/>
      </c>
      <c r="P2915" s="18" t="str">
        <f aca="false">IF(N2915="N",B2915&amp;"|"&amp;ROUND(O2915,0),"")</f>
        <v/>
      </c>
      <c r="Q2915" s="18" t="str">
        <f aca="false">IF(N2915&lt;&gt;"Y","",IFERROR(INDEX($D$6:$D$4005,MATCH(B2915&amp;"|"&amp;ROUND(_xlfn.MAXIFS($O$6:$O$4005,$B$6:$B$4005,B2915,$N$6:$N$4005,"N"),0),$P$6:$P$4005,0)),"(tanpa lawan)"))</f>
        <v/>
      </c>
      <c r="R2915" s="44"/>
      <c r="S2915" s="9" t="str">
        <f aca="false">IF(N2915&lt;&gt;"Y","",IF(R2915&lt;&gt;"",R2915,IF(Q2915="(tanpa lawan)","Transfer antar rekening",IFERROR(INDEX(I_COA!$F$6:$F$265,MATCH(Q2915,I_COA!$A$6:$A$265,0)),"?"))))</f>
        <v/>
      </c>
    </row>
    <row r="2916" customFormat="false" ht="15" hidden="false" customHeight="false" outlineLevel="0" collapsed="false">
      <c r="A2916" s="37"/>
      <c r="B2916" s="44"/>
      <c r="C2916" s="44"/>
      <c r="D2916" s="44"/>
      <c r="E2916" s="44"/>
      <c r="F2916" s="44"/>
      <c r="G2916" s="42"/>
      <c r="H2916" s="42"/>
      <c r="I2916" s="44"/>
      <c r="J2916" s="11" t="str">
        <f aca="false">IF(D2916="","",N(G2916)-N(H2916))</f>
        <v/>
      </c>
      <c r="K2916" s="34" t="str">
        <f aca="false">IF(D2916="","",IFERROR(INDEX(I_COA!$C$6:$C$265,MATCH(D2916,I_COA!$A$6:$A$265,0)),"AKUN BARU"))</f>
        <v/>
      </c>
      <c r="L2916" s="34" t="str">
        <f aca="false">IF(K2916="LabaRugi",INDEX(I_COA!$D$6:$D$265,MATCH(D2916,I_COA!$A$6:$A$265,0)),"")</f>
        <v/>
      </c>
      <c r="M2916" s="34" t="str">
        <f aca="false">IF(K2916="Neraca",INDEX(I_COA!$E$6:$E$265,MATCH(D2916,I_COA!$A$6:$A$265,0)),"")</f>
        <v/>
      </c>
      <c r="N2916" s="34" t="str">
        <f aca="false">IF(D2916="","",IFERROR(INDEX(I_COA!$G$6:$G$265,MATCH(D2916,I_COA!$A$6:$A$265,0)),"N"))</f>
        <v/>
      </c>
      <c r="O2916" s="11" t="str">
        <f aca="false">IF(N2916="N",ABS(J2916),"")</f>
        <v/>
      </c>
      <c r="P2916" s="18" t="str">
        <f aca="false">IF(N2916="N",B2916&amp;"|"&amp;ROUND(O2916,0),"")</f>
        <v/>
      </c>
      <c r="Q2916" s="18" t="str">
        <f aca="false">IF(N2916&lt;&gt;"Y","",IFERROR(INDEX($D$6:$D$4005,MATCH(B2916&amp;"|"&amp;ROUND(_xlfn.MAXIFS($O$6:$O$4005,$B$6:$B$4005,B2916,$N$6:$N$4005,"N"),0),$P$6:$P$4005,0)),"(tanpa lawan)"))</f>
        <v/>
      </c>
      <c r="R2916" s="44"/>
      <c r="S2916" s="9" t="str">
        <f aca="false">IF(N2916&lt;&gt;"Y","",IF(R2916&lt;&gt;"",R2916,IF(Q2916="(tanpa lawan)","Transfer antar rekening",IFERROR(INDEX(I_COA!$F$6:$F$265,MATCH(Q2916,I_COA!$A$6:$A$265,0)),"?"))))</f>
        <v/>
      </c>
    </row>
    <row r="2917" customFormat="false" ht="15" hidden="false" customHeight="false" outlineLevel="0" collapsed="false">
      <c r="A2917" s="37"/>
      <c r="B2917" s="44"/>
      <c r="C2917" s="44"/>
      <c r="D2917" s="44"/>
      <c r="E2917" s="44"/>
      <c r="F2917" s="44"/>
      <c r="G2917" s="42"/>
      <c r="H2917" s="42"/>
      <c r="I2917" s="44"/>
      <c r="J2917" s="11" t="str">
        <f aca="false">IF(D2917="","",N(G2917)-N(H2917))</f>
        <v/>
      </c>
      <c r="K2917" s="34" t="str">
        <f aca="false">IF(D2917="","",IFERROR(INDEX(I_COA!$C$6:$C$265,MATCH(D2917,I_COA!$A$6:$A$265,0)),"AKUN BARU"))</f>
        <v/>
      </c>
      <c r="L2917" s="34" t="str">
        <f aca="false">IF(K2917="LabaRugi",INDEX(I_COA!$D$6:$D$265,MATCH(D2917,I_COA!$A$6:$A$265,0)),"")</f>
        <v/>
      </c>
      <c r="M2917" s="34" t="str">
        <f aca="false">IF(K2917="Neraca",INDEX(I_COA!$E$6:$E$265,MATCH(D2917,I_COA!$A$6:$A$265,0)),"")</f>
        <v/>
      </c>
      <c r="N2917" s="34" t="str">
        <f aca="false">IF(D2917="","",IFERROR(INDEX(I_COA!$G$6:$G$265,MATCH(D2917,I_COA!$A$6:$A$265,0)),"N"))</f>
        <v/>
      </c>
      <c r="O2917" s="11" t="str">
        <f aca="false">IF(N2917="N",ABS(J2917),"")</f>
        <v/>
      </c>
      <c r="P2917" s="18" t="str">
        <f aca="false">IF(N2917="N",B2917&amp;"|"&amp;ROUND(O2917,0),"")</f>
        <v/>
      </c>
      <c r="Q2917" s="18" t="str">
        <f aca="false">IF(N2917&lt;&gt;"Y","",IFERROR(INDEX($D$6:$D$4005,MATCH(B2917&amp;"|"&amp;ROUND(_xlfn.MAXIFS($O$6:$O$4005,$B$6:$B$4005,B2917,$N$6:$N$4005,"N"),0),$P$6:$P$4005,0)),"(tanpa lawan)"))</f>
        <v/>
      </c>
      <c r="R2917" s="44"/>
      <c r="S2917" s="9" t="str">
        <f aca="false">IF(N2917&lt;&gt;"Y","",IF(R2917&lt;&gt;"",R2917,IF(Q2917="(tanpa lawan)","Transfer antar rekening",IFERROR(INDEX(I_COA!$F$6:$F$265,MATCH(Q2917,I_COA!$A$6:$A$265,0)),"?"))))</f>
        <v/>
      </c>
    </row>
    <row r="2918" customFormat="false" ht="15" hidden="false" customHeight="false" outlineLevel="0" collapsed="false">
      <c r="A2918" s="37"/>
      <c r="B2918" s="44"/>
      <c r="C2918" s="44"/>
      <c r="D2918" s="44"/>
      <c r="E2918" s="44"/>
      <c r="F2918" s="44"/>
      <c r="G2918" s="42"/>
      <c r="H2918" s="42"/>
      <c r="I2918" s="44"/>
      <c r="J2918" s="11" t="str">
        <f aca="false">IF(D2918="","",N(G2918)-N(H2918))</f>
        <v/>
      </c>
      <c r="K2918" s="34" t="str">
        <f aca="false">IF(D2918="","",IFERROR(INDEX(I_COA!$C$6:$C$265,MATCH(D2918,I_COA!$A$6:$A$265,0)),"AKUN BARU"))</f>
        <v/>
      </c>
      <c r="L2918" s="34" t="str">
        <f aca="false">IF(K2918="LabaRugi",INDEX(I_COA!$D$6:$D$265,MATCH(D2918,I_COA!$A$6:$A$265,0)),"")</f>
        <v/>
      </c>
      <c r="M2918" s="34" t="str">
        <f aca="false">IF(K2918="Neraca",INDEX(I_COA!$E$6:$E$265,MATCH(D2918,I_COA!$A$6:$A$265,0)),"")</f>
        <v/>
      </c>
      <c r="N2918" s="34" t="str">
        <f aca="false">IF(D2918="","",IFERROR(INDEX(I_COA!$G$6:$G$265,MATCH(D2918,I_COA!$A$6:$A$265,0)),"N"))</f>
        <v/>
      </c>
      <c r="O2918" s="11" t="str">
        <f aca="false">IF(N2918="N",ABS(J2918),"")</f>
        <v/>
      </c>
      <c r="P2918" s="18" t="str">
        <f aca="false">IF(N2918="N",B2918&amp;"|"&amp;ROUND(O2918,0),"")</f>
        <v/>
      </c>
      <c r="Q2918" s="18" t="str">
        <f aca="false">IF(N2918&lt;&gt;"Y","",IFERROR(INDEX($D$6:$D$4005,MATCH(B2918&amp;"|"&amp;ROUND(_xlfn.MAXIFS($O$6:$O$4005,$B$6:$B$4005,B2918,$N$6:$N$4005,"N"),0),$P$6:$P$4005,0)),"(tanpa lawan)"))</f>
        <v/>
      </c>
      <c r="R2918" s="44"/>
      <c r="S2918" s="9" t="str">
        <f aca="false">IF(N2918&lt;&gt;"Y","",IF(R2918&lt;&gt;"",R2918,IF(Q2918="(tanpa lawan)","Transfer antar rekening",IFERROR(INDEX(I_COA!$F$6:$F$265,MATCH(Q2918,I_COA!$A$6:$A$265,0)),"?"))))</f>
        <v/>
      </c>
    </row>
    <row r="2919" customFormat="false" ht="15" hidden="false" customHeight="false" outlineLevel="0" collapsed="false">
      <c r="A2919" s="37"/>
      <c r="B2919" s="44"/>
      <c r="C2919" s="44"/>
      <c r="D2919" s="44"/>
      <c r="E2919" s="44"/>
      <c r="F2919" s="44"/>
      <c r="G2919" s="42"/>
      <c r="H2919" s="42"/>
      <c r="I2919" s="44"/>
      <c r="J2919" s="11" t="str">
        <f aca="false">IF(D2919="","",N(G2919)-N(H2919))</f>
        <v/>
      </c>
      <c r="K2919" s="34" t="str">
        <f aca="false">IF(D2919="","",IFERROR(INDEX(I_COA!$C$6:$C$265,MATCH(D2919,I_COA!$A$6:$A$265,0)),"AKUN BARU"))</f>
        <v/>
      </c>
      <c r="L2919" s="34" t="str">
        <f aca="false">IF(K2919="LabaRugi",INDEX(I_COA!$D$6:$D$265,MATCH(D2919,I_COA!$A$6:$A$265,0)),"")</f>
        <v/>
      </c>
      <c r="M2919" s="34" t="str">
        <f aca="false">IF(K2919="Neraca",INDEX(I_COA!$E$6:$E$265,MATCH(D2919,I_COA!$A$6:$A$265,0)),"")</f>
        <v/>
      </c>
      <c r="N2919" s="34" t="str">
        <f aca="false">IF(D2919="","",IFERROR(INDEX(I_COA!$G$6:$G$265,MATCH(D2919,I_COA!$A$6:$A$265,0)),"N"))</f>
        <v/>
      </c>
      <c r="O2919" s="11" t="str">
        <f aca="false">IF(N2919="N",ABS(J2919),"")</f>
        <v/>
      </c>
      <c r="P2919" s="18" t="str">
        <f aca="false">IF(N2919="N",B2919&amp;"|"&amp;ROUND(O2919,0),"")</f>
        <v/>
      </c>
      <c r="Q2919" s="18" t="str">
        <f aca="false">IF(N2919&lt;&gt;"Y","",IFERROR(INDEX($D$6:$D$4005,MATCH(B2919&amp;"|"&amp;ROUND(_xlfn.MAXIFS($O$6:$O$4005,$B$6:$B$4005,B2919,$N$6:$N$4005,"N"),0),$P$6:$P$4005,0)),"(tanpa lawan)"))</f>
        <v/>
      </c>
      <c r="R2919" s="44"/>
      <c r="S2919" s="9" t="str">
        <f aca="false">IF(N2919&lt;&gt;"Y","",IF(R2919&lt;&gt;"",R2919,IF(Q2919="(tanpa lawan)","Transfer antar rekening",IFERROR(INDEX(I_COA!$F$6:$F$265,MATCH(Q2919,I_COA!$A$6:$A$265,0)),"?"))))</f>
        <v/>
      </c>
    </row>
    <row r="2920" customFormat="false" ht="15" hidden="false" customHeight="false" outlineLevel="0" collapsed="false">
      <c r="A2920" s="37"/>
      <c r="B2920" s="44"/>
      <c r="C2920" s="44"/>
      <c r="D2920" s="44"/>
      <c r="E2920" s="44"/>
      <c r="F2920" s="44"/>
      <c r="G2920" s="42"/>
      <c r="H2920" s="42"/>
      <c r="I2920" s="44"/>
      <c r="J2920" s="11" t="str">
        <f aca="false">IF(D2920="","",N(G2920)-N(H2920))</f>
        <v/>
      </c>
      <c r="K2920" s="34" t="str">
        <f aca="false">IF(D2920="","",IFERROR(INDEX(I_COA!$C$6:$C$265,MATCH(D2920,I_COA!$A$6:$A$265,0)),"AKUN BARU"))</f>
        <v/>
      </c>
      <c r="L2920" s="34" t="str">
        <f aca="false">IF(K2920="LabaRugi",INDEX(I_COA!$D$6:$D$265,MATCH(D2920,I_COA!$A$6:$A$265,0)),"")</f>
        <v/>
      </c>
      <c r="M2920" s="34" t="str">
        <f aca="false">IF(K2920="Neraca",INDEX(I_COA!$E$6:$E$265,MATCH(D2920,I_COA!$A$6:$A$265,0)),"")</f>
        <v/>
      </c>
      <c r="N2920" s="34" t="str">
        <f aca="false">IF(D2920="","",IFERROR(INDEX(I_COA!$G$6:$G$265,MATCH(D2920,I_COA!$A$6:$A$265,0)),"N"))</f>
        <v/>
      </c>
      <c r="O2920" s="11" t="str">
        <f aca="false">IF(N2920="N",ABS(J2920),"")</f>
        <v/>
      </c>
      <c r="P2920" s="18" t="str">
        <f aca="false">IF(N2920="N",B2920&amp;"|"&amp;ROUND(O2920,0),"")</f>
        <v/>
      </c>
      <c r="Q2920" s="18" t="str">
        <f aca="false">IF(N2920&lt;&gt;"Y","",IFERROR(INDEX($D$6:$D$4005,MATCH(B2920&amp;"|"&amp;ROUND(_xlfn.MAXIFS($O$6:$O$4005,$B$6:$B$4005,B2920,$N$6:$N$4005,"N"),0),$P$6:$P$4005,0)),"(tanpa lawan)"))</f>
        <v/>
      </c>
      <c r="R2920" s="44"/>
      <c r="S2920" s="9" t="str">
        <f aca="false">IF(N2920&lt;&gt;"Y","",IF(R2920&lt;&gt;"",R2920,IF(Q2920="(tanpa lawan)","Transfer antar rekening",IFERROR(INDEX(I_COA!$F$6:$F$265,MATCH(Q2920,I_COA!$A$6:$A$265,0)),"?"))))</f>
        <v/>
      </c>
    </row>
    <row r="2921" customFormat="false" ht="15" hidden="false" customHeight="false" outlineLevel="0" collapsed="false">
      <c r="A2921" s="37"/>
      <c r="B2921" s="44"/>
      <c r="C2921" s="44"/>
      <c r="D2921" s="44"/>
      <c r="E2921" s="44"/>
      <c r="F2921" s="44"/>
      <c r="G2921" s="42"/>
      <c r="H2921" s="42"/>
      <c r="I2921" s="44"/>
      <c r="J2921" s="11" t="str">
        <f aca="false">IF(D2921="","",N(G2921)-N(H2921))</f>
        <v/>
      </c>
      <c r="K2921" s="34" t="str">
        <f aca="false">IF(D2921="","",IFERROR(INDEX(I_COA!$C$6:$C$265,MATCH(D2921,I_COA!$A$6:$A$265,0)),"AKUN BARU"))</f>
        <v/>
      </c>
      <c r="L2921" s="34" t="str">
        <f aca="false">IF(K2921="LabaRugi",INDEX(I_COA!$D$6:$D$265,MATCH(D2921,I_COA!$A$6:$A$265,0)),"")</f>
        <v/>
      </c>
      <c r="M2921" s="34" t="str">
        <f aca="false">IF(K2921="Neraca",INDEX(I_COA!$E$6:$E$265,MATCH(D2921,I_COA!$A$6:$A$265,0)),"")</f>
        <v/>
      </c>
      <c r="N2921" s="34" t="str">
        <f aca="false">IF(D2921="","",IFERROR(INDEX(I_COA!$G$6:$G$265,MATCH(D2921,I_COA!$A$6:$A$265,0)),"N"))</f>
        <v/>
      </c>
      <c r="O2921" s="11" t="str">
        <f aca="false">IF(N2921="N",ABS(J2921),"")</f>
        <v/>
      </c>
      <c r="P2921" s="18" t="str">
        <f aca="false">IF(N2921="N",B2921&amp;"|"&amp;ROUND(O2921,0),"")</f>
        <v/>
      </c>
      <c r="Q2921" s="18" t="str">
        <f aca="false">IF(N2921&lt;&gt;"Y","",IFERROR(INDEX($D$6:$D$4005,MATCH(B2921&amp;"|"&amp;ROUND(_xlfn.MAXIFS($O$6:$O$4005,$B$6:$B$4005,B2921,$N$6:$N$4005,"N"),0),$P$6:$P$4005,0)),"(tanpa lawan)"))</f>
        <v/>
      </c>
      <c r="R2921" s="44"/>
      <c r="S2921" s="9" t="str">
        <f aca="false">IF(N2921&lt;&gt;"Y","",IF(R2921&lt;&gt;"",R2921,IF(Q2921="(tanpa lawan)","Transfer antar rekening",IFERROR(INDEX(I_COA!$F$6:$F$265,MATCH(Q2921,I_COA!$A$6:$A$265,0)),"?"))))</f>
        <v/>
      </c>
    </row>
    <row r="2922" customFormat="false" ht="15" hidden="false" customHeight="false" outlineLevel="0" collapsed="false">
      <c r="A2922" s="37"/>
      <c r="B2922" s="44"/>
      <c r="C2922" s="44"/>
      <c r="D2922" s="44"/>
      <c r="E2922" s="44"/>
      <c r="F2922" s="44"/>
      <c r="G2922" s="42"/>
      <c r="H2922" s="42"/>
      <c r="I2922" s="44"/>
      <c r="J2922" s="11" t="str">
        <f aca="false">IF(D2922="","",N(G2922)-N(H2922))</f>
        <v/>
      </c>
      <c r="K2922" s="34" t="str">
        <f aca="false">IF(D2922="","",IFERROR(INDEX(I_COA!$C$6:$C$265,MATCH(D2922,I_COA!$A$6:$A$265,0)),"AKUN BARU"))</f>
        <v/>
      </c>
      <c r="L2922" s="34" t="str">
        <f aca="false">IF(K2922="LabaRugi",INDEX(I_COA!$D$6:$D$265,MATCH(D2922,I_COA!$A$6:$A$265,0)),"")</f>
        <v/>
      </c>
      <c r="M2922" s="34" t="str">
        <f aca="false">IF(K2922="Neraca",INDEX(I_COA!$E$6:$E$265,MATCH(D2922,I_COA!$A$6:$A$265,0)),"")</f>
        <v/>
      </c>
      <c r="N2922" s="34" t="str">
        <f aca="false">IF(D2922="","",IFERROR(INDEX(I_COA!$G$6:$G$265,MATCH(D2922,I_COA!$A$6:$A$265,0)),"N"))</f>
        <v/>
      </c>
      <c r="O2922" s="11" t="str">
        <f aca="false">IF(N2922="N",ABS(J2922),"")</f>
        <v/>
      </c>
      <c r="P2922" s="18" t="str">
        <f aca="false">IF(N2922="N",B2922&amp;"|"&amp;ROUND(O2922,0),"")</f>
        <v/>
      </c>
      <c r="Q2922" s="18" t="str">
        <f aca="false">IF(N2922&lt;&gt;"Y","",IFERROR(INDEX($D$6:$D$4005,MATCH(B2922&amp;"|"&amp;ROUND(_xlfn.MAXIFS($O$6:$O$4005,$B$6:$B$4005,B2922,$N$6:$N$4005,"N"),0),$P$6:$P$4005,0)),"(tanpa lawan)"))</f>
        <v/>
      </c>
      <c r="R2922" s="44"/>
      <c r="S2922" s="9" t="str">
        <f aca="false">IF(N2922&lt;&gt;"Y","",IF(R2922&lt;&gt;"",R2922,IF(Q2922="(tanpa lawan)","Transfer antar rekening",IFERROR(INDEX(I_COA!$F$6:$F$265,MATCH(Q2922,I_COA!$A$6:$A$265,0)),"?"))))</f>
        <v/>
      </c>
    </row>
    <row r="2923" customFormat="false" ht="15" hidden="false" customHeight="false" outlineLevel="0" collapsed="false">
      <c r="A2923" s="37"/>
      <c r="B2923" s="44"/>
      <c r="C2923" s="44"/>
      <c r="D2923" s="44"/>
      <c r="E2923" s="44"/>
      <c r="F2923" s="44"/>
      <c r="G2923" s="42"/>
      <c r="H2923" s="42"/>
      <c r="I2923" s="44"/>
      <c r="J2923" s="11" t="str">
        <f aca="false">IF(D2923="","",N(G2923)-N(H2923))</f>
        <v/>
      </c>
      <c r="K2923" s="34" t="str">
        <f aca="false">IF(D2923="","",IFERROR(INDEX(I_COA!$C$6:$C$265,MATCH(D2923,I_COA!$A$6:$A$265,0)),"AKUN BARU"))</f>
        <v/>
      </c>
      <c r="L2923" s="34" t="str">
        <f aca="false">IF(K2923="LabaRugi",INDEX(I_COA!$D$6:$D$265,MATCH(D2923,I_COA!$A$6:$A$265,0)),"")</f>
        <v/>
      </c>
      <c r="M2923" s="34" t="str">
        <f aca="false">IF(K2923="Neraca",INDEX(I_COA!$E$6:$E$265,MATCH(D2923,I_COA!$A$6:$A$265,0)),"")</f>
        <v/>
      </c>
      <c r="N2923" s="34" t="str">
        <f aca="false">IF(D2923="","",IFERROR(INDEX(I_COA!$G$6:$G$265,MATCH(D2923,I_COA!$A$6:$A$265,0)),"N"))</f>
        <v/>
      </c>
      <c r="O2923" s="11" t="str">
        <f aca="false">IF(N2923="N",ABS(J2923),"")</f>
        <v/>
      </c>
      <c r="P2923" s="18" t="str">
        <f aca="false">IF(N2923="N",B2923&amp;"|"&amp;ROUND(O2923,0),"")</f>
        <v/>
      </c>
      <c r="Q2923" s="18" t="str">
        <f aca="false">IF(N2923&lt;&gt;"Y","",IFERROR(INDEX($D$6:$D$4005,MATCH(B2923&amp;"|"&amp;ROUND(_xlfn.MAXIFS($O$6:$O$4005,$B$6:$B$4005,B2923,$N$6:$N$4005,"N"),0),$P$6:$P$4005,0)),"(tanpa lawan)"))</f>
        <v/>
      </c>
      <c r="R2923" s="44"/>
      <c r="S2923" s="9" t="str">
        <f aca="false">IF(N2923&lt;&gt;"Y","",IF(R2923&lt;&gt;"",R2923,IF(Q2923="(tanpa lawan)","Transfer antar rekening",IFERROR(INDEX(I_COA!$F$6:$F$265,MATCH(Q2923,I_COA!$A$6:$A$265,0)),"?"))))</f>
        <v/>
      </c>
    </row>
    <row r="2924" customFormat="false" ht="15" hidden="false" customHeight="false" outlineLevel="0" collapsed="false">
      <c r="A2924" s="37"/>
      <c r="B2924" s="44"/>
      <c r="C2924" s="44"/>
      <c r="D2924" s="44"/>
      <c r="E2924" s="44"/>
      <c r="F2924" s="44"/>
      <c r="G2924" s="42"/>
      <c r="H2924" s="42"/>
      <c r="I2924" s="44"/>
      <c r="J2924" s="11" t="str">
        <f aca="false">IF(D2924="","",N(G2924)-N(H2924))</f>
        <v/>
      </c>
      <c r="K2924" s="34" t="str">
        <f aca="false">IF(D2924="","",IFERROR(INDEX(I_COA!$C$6:$C$265,MATCH(D2924,I_COA!$A$6:$A$265,0)),"AKUN BARU"))</f>
        <v/>
      </c>
      <c r="L2924" s="34" t="str">
        <f aca="false">IF(K2924="LabaRugi",INDEX(I_COA!$D$6:$D$265,MATCH(D2924,I_COA!$A$6:$A$265,0)),"")</f>
        <v/>
      </c>
      <c r="M2924" s="34" t="str">
        <f aca="false">IF(K2924="Neraca",INDEX(I_COA!$E$6:$E$265,MATCH(D2924,I_COA!$A$6:$A$265,0)),"")</f>
        <v/>
      </c>
      <c r="N2924" s="34" t="str">
        <f aca="false">IF(D2924="","",IFERROR(INDEX(I_COA!$G$6:$G$265,MATCH(D2924,I_COA!$A$6:$A$265,0)),"N"))</f>
        <v/>
      </c>
      <c r="O2924" s="11" t="str">
        <f aca="false">IF(N2924="N",ABS(J2924),"")</f>
        <v/>
      </c>
      <c r="P2924" s="18" t="str">
        <f aca="false">IF(N2924="N",B2924&amp;"|"&amp;ROUND(O2924,0),"")</f>
        <v/>
      </c>
      <c r="Q2924" s="18" t="str">
        <f aca="false">IF(N2924&lt;&gt;"Y","",IFERROR(INDEX($D$6:$D$4005,MATCH(B2924&amp;"|"&amp;ROUND(_xlfn.MAXIFS($O$6:$O$4005,$B$6:$B$4005,B2924,$N$6:$N$4005,"N"),0),$P$6:$P$4005,0)),"(tanpa lawan)"))</f>
        <v/>
      </c>
      <c r="R2924" s="44"/>
      <c r="S2924" s="9" t="str">
        <f aca="false">IF(N2924&lt;&gt;"Y","",IF(R2924&lt;&gt;"",R2924,IF(Q2924="(tanpa lawan)","Transfer antar rekening",IFERROR(INDEX(I_COA!$F$6:$F$265,MATCH(Q2924,I_COA!$A$6:$A$265,0)),"?"))))</f>
        <v/>
      </c>
    </row>
    <row r="2925" customFormat="false" ht="15" hidden="false" customHeight="false" outlineLevel="0" collapsed="false">
      <c r="A2925" s="37"/>
      <c r="B2925" s="44"/>
      <c r="C2925" s="44"/>
      <c r="D2925" s="44"/>
      <c r="E2925" s="44"/>
      <c r="F2925" s="44"/>
      <c r="G2925" s="42"/>
      <c r="H2925" s="42"/>
      <c r="I2925" s="44"/>
      <c r="J2925" s="11" t="str">
        <f aca="false">IF(D2925="","",N(G2925)-N(H2925))</f>
        <v/>
      </c>
      <c r="K2925" s="34" t="str">
        <f aca="false">IF(D2925="","",IFERROR(INDEX(I_COA!$C$6:$C$265,MATCH(D2925,I_COA!$A$6:$A$265,0)),"AKUN BARU"))</f>
        <v/>
      </c>
      <c r="L2925" s="34" t="str">
        <f aca="false">IF(K2925="LabaRugi",INDEX(I_COA!$D$6:$D$265,MATCH(D2925,I_COA!$A$6:$A$265,0)),"")</f>
        <v/>
      </c>
      <c r="M2925" s="34" t="str">
        <f aca="false">IF(K2925="Neraca",INDEX(I_COA!$E$6:$E$265,MATCH(D2925,I_COA!$A$6:$A$265,0)),"")</f>
        <v/>
      </c>
      <c r="N2925" s="34" t="str">
        <f aca="false">IF(D2925="","",IFERROR(INDEX(I_COA!$G$6:$G$265,MATCH(D2925,I_COA!$A$6:$A$265,0)),"N"))</f>
        <v/>
      </c>
      <c r="O2925" s="11" t="str">
        <f aca="false">IF(N2925="N",ABS(J2925),"")</f>
        <v/>
      </c>
      <c r="P2925" s="18" t="str">
        <f aca="false">IF(N2925="N",B2925&amp;"|"&amp;ROUND(O2925,0),"")</f>
        <v/>
      </c>
      <c r="Q2925" s="18" t="str">
        <f aca="false">IF(N2925&lt;&gt;"Y","",IFERROR(INDEX($D$6:$D$4005,MATCH(B2925&amp;"|"&amp;ROUND(_xlfn.MAXIFS($O$6:$O$4005,$B$6:$B$4005,B2925,$N$6:$N$4005,"N"),0),$P$6:$P$4005,0)),"(tanpa lawan)"))</f>
        <v/>
      </c>
      <c r="R2925" s="44"/>
      <c r="S2925" s="9" t="str">
        <f aca="false">IF(N2925&lt;&gt;"Y","",IF(R2925&lt;&gt;"",R2925,IF(Q2925="(tanpa lawan)","Transfer antar rekening",IFERROR(INDEX(I_COA!$F$6:$F$265,MATCH(Q2925,I_COA!$A$6:$A$265,0)),"?"))))</f>
        <v/>
      </c>
    </row>
    <row r="2926" customFormat="false" ht="15" hidden="false" customHeight="false" outlineLevel="0" collapsed="false">
      <c r="A2926" s="37"/>
      <c r="B2926" s="44"/>
      <c r="C2926" s="44"/>
      <c r="D2926" s="44"/>
      <c r="E2926" s="44"/>
      <c r="F2926" s="44"/>
      <c r="G2926" s="42"/>
      <c r="H2926" s="42"/>
      <c r="I2926" s="44"/>
      <c r="J2926" s="11" t="str">
        <f aca="false">IF(D2926="","",N(G2926)-N(H2926))</f>
        <v/>
      </c>
      <c r="K2926" s="34" t="str">
        <f aca="false">IF(D2926="","",IFERROR(INDEX(I_COA!$C$6:$C$265,MATCH(D2926,I_COA!$A$6:$A$265,0)),"AKUN BARU"))</f>
        <v/>
      </c>
      <c r="L2926" s="34" t="str">
        <f aca="false">IF(K2926="LabaRugi",INDEX(I_COA!$D$6:$D$265,MATCH(D2926,I_COA!$A$6:$A$265,0)),"")</f>
        <v/>
      </c>
      <c r="M2926" s="34" t="str">
        <f aca="false">IF(K2926="Neraca",INDEX(I_COA!$E$6:$E$265,MATCH(D2926,I_COA!$A$6:$A$265,0)),"")</f>
        <v/>
      </c>
      <c r="N2926" s="34" t="str">
        <f aca="false">IF(D2926="","",IFERROR(INDEX(I_COA!$G$6:$G$265,MATCH(D2926,I_COA!$A$6:$A$265,0)),"N"))</f>
        <v/>
      </c>
      <c r="O2926" s="11" t="str">
        <f aca="false">IF(N2926="N",ABS(J2926),"")</f>
        <v/>
      </c>
      <c r="P2926" s="18" t="str">
        <f aca="false">IF(N2926="N",B2926&amp;"|"&amp;ROUND(O2926,0),"")</f>
        <v/>
      </c>
      <c r="Q2926" s="18" t="str">
        <f aca="false">IF(N2926&lt;&gt;"Y","",IFERROR(INDEX($D$6:$D$4005,MATCH(B2926&amp;"|"&amp;ROUND(_xlfn.MAXIFS($O$6:$O$4005,$B$6:$B$4005,B2926,$N$6:$N$4005,"N"),0),$P$6:$P$4005,0)),"(tanpa lawan)"))</f>
        <v/>
      </c>
      <c r="R2926" s="44"/>
      <c r="S2926" s="9" t="str">
        <f aca="false">IF(N2926&lt;&gt;"Y","",IF(R2926&lt;&gt;"",R2926,IF(Q2926="(tanpa lawan)","Transfer antar rekening",IFERROR(INDEX(I_COA!$F$6:$F$265,MATCH(Q2926,I_COA!$A$6:$A$265,0)),"?"))))</f>
        <v/>
      </c>
    </row>
    <row r="2927" customFormat="false" ht="15" hidden="false" customHeight="false" outlineLevel="0" collapsed="false">
      <c r="A2927" s="37"/>
      <c r="B2927" s="44"/>
      <c r="C2927" s="44"/>
      <c r="D2927" s="44"/>
      <c r="E2927" s="44"/>
      <c r="F2927" s="44"/>
      <c r="G2927" s="42"/>
      <c r="H2927" s="42"/>
      <c r="I2927" s="44"/>
      <c r="J2927" s="11" t="str">
        <f aca="false">IF(D2927="","",N(G2927)-N(H2927))</f>
        <v/>
      </c>
      <c r="K2927" s="34" t="str">
        <f aca="false">IF(D2927="","",IFERROR(INDEX(I_COA!$C$6:$C$265,MATCH(D2927,I_COA!$A$6:$A$265,0)),"AKUN BARU"))</f>
        <v/>
      </c>
      <c r="L2927" s="34" t="str">
        <f aca="false">IF(K2927="LabaRugi",INDEX(I_COA!$D$6:$D$265,MATCH(D2927,I_COA!$A$6:$A$265,0)),"")</f>
        <v/>
      </c>
      <c r="M2927" s="34" t="str">
        <f aca="false">IF(K2927="Neraca",INDEX(I_COA!$E$6:$E$265,MATCH(D2927,I_COA!$A$6:$A$265,0)),"")</f>
        <v/>
      </c>
      <c r="N2927" s="34" t="str">
        <f aca="false">IF(D2927="","",IFERROR(INDEX(I_COA!$G$6:$G$265,MATCH(D2927,I_COA!$A$6:$A$265,0)),"N"))</f>
        <v/>
      </c>
      <c r="O2927" s="11" t="str">
        <f aca="false">IF(N2927="N",ABS(J2927),"")</f>
        <v/>
      </c>
      <c r="P2927" s="18" t="str">
        <f aca="false">IF(N2927="N",B2927&amp;"|"&amp;ROUND(O2927,0),"")</f>
        <v/>
      </c>
      <c r="Q2927" s="18" t="str">
        <f aca="false">IF(N2927&lt;&gt;"Y","",IFERROR(INDEX($D$6:$D$4005,MATCH(B2927&amp;"|"&amp;ROUND(_xlfn.MAXIFS($O$6:$O$4005,$B$6:$B$4005,B2927,$N$6:$N$4005,"N"),0),$P$6:$P$4005,0)),"(tanpa lawan)"))</f>
        <v/>
      </c>
      <c r="R2927" s="44"/>
      <c r="S2927" s="9" t="str">
        <f aca="false">IF(N2927&lt;&gt;"Y","",IF(R2927&lt;&gt;"",R2927,IF(Q2927="(tanpa lawan)","Transfer antar rekening",IFERROR(INDEX(I_COA!$F$6:$F$265,MATCH(Q2927,I_COA!$A$6:$A$265,0)),"?"))))</f>
        <v/>
      </c>
    </row>
    <row r="2928" customFormat="false" ht="15" hidden="false" customHeight="false" outlineLevel="0" collapsed="false">
      <c r="A2928" s="37"/>
      <c r="B2928" s="44"/>
      <c r="C2928" s="44"/>
      <c r="D2928" s="44"/>
      <c r="E2928" s="44"/>
      <c r="F2928" s="44"/>
      <c r="G2928" s="42"/>
      <c r="H2928" s="42"/>
      <c r="I2928" s="44"/>
      <c r="J2928" s="11" t="str">
        <f aca="false">IF(D2928="","",N(G2928)-N(H2928))</f>
        <v/>
      </c>
      <c r="K2928" s="34" t="str">
        <f aca="false">IF(D2928="","",IFERROR(INDEX(I_COA!$C$6:$C$265,MATCH(D2928,I_COA!$A$6:$A$265,0)),"AKUN BARU"))</f>
        <v/>
      </c>
      <c r="L2928" s="34" t="str">
        <f aca="false">IF(K2928="LabaRugi",INDEX(I_COA!$D$6:$D$265,MATCH(D2928,I_COA!$A$6:$A$265,0)),"")</f>
        <v/>
      </c>
      <c r="M2928" s="34" t="str">
        <f aca="false">IF(K2928="Neraca",INDEX(I_COA!$E$6:$E$265,MATCH(D2928,I_COA!$A$6:$A$265,0)),"")</f>
        <v/>
      </c>
      <c r="N2928" s="34" t="str">
        <f aca="false">IF(D2928="","",IFERROR(INDEX(I_COA!$G$6:$G$265,MATCH(D2928,I_COA!$A$6:$A$265,0)),"N"))</f>
        <v/>
      </c>
      <c r="O2928" s="11" t="str">
        <f aca="false">IF(N2928="N",ABS(J2928),"")</f>
        <v/>
      </c>
      <c r="P2928" s="18" t="str">
        <f aca="false">IF(N2928="N",B2928&amp;"|"&amp;ROUND(O2928,0),"")</f>
        <v/>
      </c>
      <c r="Q2928" s="18" t="str">
        <f aca="false">IF(N2928&lt;&gt;"Y","",IFERROR(INDEX($D$6:$D$4005,MATCH(B2928&amp;"|"&amp;ROUND(_xlfn.MAXIFS($O$6:$O$4005,$B$6:$B$4005,B2928,$N$6:$N$4005,"N"),0),$P$6:$P$4005,0)),"(tanpa lawan)"))</f>
        <v/>
      </c>
      <c r="R2928" s="44"/>
      <c r="S2928" s="9" t="str">
        <f aca="false">IF(N2928&lt;&gt;"Y","",IF(R2928&lt;&gt;"",R2928,IF(Q2928="(tanpa lawan)","Transfer antar rekening",IFERROR(INDEX(I_COA!$F$6:$F$265,MATCH(Q2928,I_COA!$A$6:$A$265,0)),"?"))))</f>
        <v/>
      </c>
    </row>
    <row r="2929" customFormat="false" ht="15" hidden="false" customHeight="false" outlineLevel="0" collapsed="false">
      <c r="A2929" s="37"/>
      <c r="B2929" s="44"/>
      <c r="C2929" s="44"/>
      <c r="D2929" s="44"/>
      <c r="E2929" s="44"/>
      <c r="F2929" s="44"/>
      <c r="G2929" s="42"/>
      <c r="H2929" s="42"/>
      <c r="I2929" s="44"/>
      <c r="J2929" s="11" t="str">
        <f aca="false">IF(D2929="","",N(G2929)-N(H2929))</f>
        <v/>
      </c>
      <c r="K2929" s="34" t="str">
        <f aca="false">IF(D2929="","",IFERROR(INDEX(I_COA!$C$6:$C$265,MATCH(D2929,I_COA!$A$6:$A$265,0)),"AKUN BARU"))</f>
        <v/>
      </c>
      <c r="L2929" s="34" t="str">
        <f aca="false">IF(K2929="LabaRugi",INDEX(I_COA!$D$6:$D$265,MATCH(D2929,I_COA!$A$6:$A$265,0)),"")</f>
        <v/>
      </c>
      <c r="M2929" s="34" t="str">
        <f aca="false">IF(K2929="Neraca",INDEX(I_COA!$E$6:$E$265,MATCH(D2929,I_COA!$A$6:$A$265,0)),"")</f>
        <v/>
      </c>
      <c r="N2929" s="34" t="str">
        <f aca="false">IF(D2929="","",IFERROR(INDEX(I_COA!$G$6:$G$265,MATCH(D2929,I_COA!$A$6:$A$265,0)),"N"))</f>
        <v/>
      </c>
      <c r="O2929" s="11" t="str">
        <f aca="false">IF(N2929="N",ABS(J2929),"")</f>
        <v/>
      </c>
      <c r="P2929" s="18" t="str">
        <f aca="false">IF(N2929="N",B2929&amp;"|"&amp;ROUND(O2929,0),"")</f>
        <v/>
      </c>
      <c r="Q2929" s="18" t="str">
        <f aca="false">IF(N2929&lt;&gt;"Y","",IFERROR(INDEX($D$6:$D$4005,MATCH(B2929&amp;"|"&amp;ROUND(_xlfn.MAXIFS($O$6:$O$4005,$B$6:$B$4005,B2929,$N$6:$N$4005,"N"),0),$P$6:$P$4005,0)),"(tanpa lawan)"))</f>
        <v/>
      </c>
      <c r="R2929" s="44"/>
      <c r="S2929" s="9" t="str">
        <f aca="false">IF(N2929&lt;&gt;"Y","",IF(R2929&lt;&gt;"",R2929,IF(Q2929="(tanpa lawan)","Transfer antar rekening",IFERROR(INDEX(I_COA!$F$6:$F$265,MATCH(Q2929,I_COA!$A$6:$A$265,0)),"?"))))</f>
        <v/>
      </c>
    </row>
    <row r="2930" customFormat="false" ht="15" hidden="false" customHeight="false" outlineLevel="0" collapsed="false">
      <c r="A2930" s="37"/>
      <c r="B2930" s="44"/>
      <c r="C2930" s="44"/>
      <c r="D2930" s="44"/>
      <c r="E2930" s="44"/>
      <c r="F2930" s="44"/>
      <c r="G2930" s="42"/>
      <c r="H2930" s="42"/>
      <c r="I2930" s="44"/>
      <c r="J2930" s="11" t="str">
        <f aca="false">IF(D2930="","",N(G2930)-N(H2930))</f>
        <v/>
      </c>
      <c r="K2930" s="34" t="str">
        <f aca="false">IF(D2930="","",IFERROR(INDEX(I_COA!$C$6:$C$265,MATCH(D2930,I_COA!$A$6:$A$265,0)),"AKUN BARU"))</f>
        <v/>
      </c>
      <c r="L2930" s="34" t="str">
        <f aca="false">IF(K2930="LabaRugi",INDEX(I_COA!$D$6:$D$265,MATCH(D2930,I_COA!$A$6:$A$265,0)),"")</f>
        <v/>
      </c>
      <c r="M2930" s="34" t="str">
        <f aca="false">IF(K2930="Neraca",INDEX(I_COA!$E$6:$E$265,MATCH(D2930,I_COA!$A$6:$A$265,0)),"")</f>
        <v/>
      </c>
      <c r="N2930" s="34" t="str">
        <f aca="false">IF(D2930="","",IFERROR(INDEX(I_COA!$G$6:$G$265,MATCH(D2930,I_COA!$A$6:$A$265,0)),"N"))</f>
        <v/>
      </c>
      <c r="O2930" s="11" t="str">
        <f aca="false">IF(N2930="N",ABS(J2930),"")</f>
        <v/>
      </c>
      <c r="P2930" s="18" t="str">
        <f aca="false">IF(N2930="N",B2930&amp;"|"&amp;ROUND(O2930,0),"")</f>
        <v/>
      </c>
      <c r="Q2930" s="18" t="str">
        <f aca="false">IF(N2930&lt;&gt;"Y","",IFERROR(INDEX($D$6:$D$4005,MATCH(B2930&amp;"|"&amp;ROUND(_xlfn.MAXIFS($O$6:$O$4005,$B$6:$B$4005,B2930,$N$6:$N$4005,"N"),0),$P$6:$P$4005,0)),"(tanpa lawan)"))</f>
        <v/>
      </c>
      <c r="R2930" s="44"/>
      <c r="S2930" s="9" t="str">
        <f aca="false">IF(N2930&lt;&gt;"Y","",IF(R2930&lt;&gt;"",R2930,IF(Q2930="(tanpa lawan)","Transfer antar rekening",IFERROR(INDEX(I_COA!$F$6:$F$265,MATCH(Q2930,I_COA!$A$6:$A$265,0)),"?"))))</f>
        <v/>
      </c>
    </row>
    <row r="2931" customFormat="false" ht="15" hidden="false" customHeight="false" outlineLevel="0" collapsed="false">
      <c r="A2931" s="37"/>
      <c r="B2931" s="44"/>
      <c r="C2931" s="44"/>
      <c r="D2931" s="44"/>
      <c r="E2931" s="44"/>
      <c r="F2931" s="44"/>
      <c r="G2931" s="42"/>
      <c r="H2931" s="42"/>
      <c r="I2931" s="44"/>
      <c r="J2931" s="11" t="str">
        <f aca="false">IF(D2931="","",N(G2931)-N(H2931))</f>
        <v/>
      </c>
      <c r="K2931" s="34" t="str">
        <f aca="false">IF(D2931="","",IFERROR(INDEX(I_COA!$C$6:$C$265,MATCH(D2931,I_COA!$A$6:$A$265,0)),"AKUN BARU"))</f>
        <v/>
      </c>
      <c r="L2931" s="34" t="str">
        <f aca="false">IF(K2931="LabaRugi",INDEX(I_COA!$D$6:$D$265,MATCH(D2931,I_COA!$A$6:$A$265,0)),"")</f>
        <v/>
      </c>
      <c r="M2931" s="34" t="str">
        <f aca="false">IF(K2931="Neraca",INDEX(I_COA!$E$6:$E$265,MATCH(D2931,I_COA!$A$6:$A$265,0)),"")</f>
        <v/>
      </c>
      <c r="N2931" s="34" t="str">
        <f aca="false">IF(D2931="","",IFERROR(INDEX(I_COA!$G$6:$G$265,MATCH(D2931,I_COA!$A$6:$A$265,0)),"N"))</f>
        <v/>
      </c>
      <c r="O2931" s="11" t="str">
        <f aca="false">IF(N2931="N",ABS(J2931),"")</f>
        <v/>
      </c>
      <c r="P2931" s="18" t="str">
        <f aca="false">IF(N2931="N",B2931&amp;"|"&amp;ROUND(O2931,0),"")</f>
        <v/>
      </c>
      <c r="Q2931" s="18" t="str">
        <f aca="false">IF(N2931&lt;&gt;"Y","",IFERROR(INDEX($D$6:$D$4005,MATCH(B2931&amp;"|"&amp;ROUND(_xlfn.MAXIFS($O$6:$O$4005,$B$6:$B$4005,B2931,$N$6:$N$4005,"N"),0),$P$6:$P$4005,0)),"(tanpa lawan)"))</f>
        <v/>
      </c>
      <c r="R2931" s="44"/>
      <c r="S2931" s="9" t="str">
        <f aca="false">IF(N2931&lt;&gt;"Y","",IF(R2931&lt;&gt;"",R2931,IF(Q2931="(tanpa lawan)","Transfer antar rekening",IFERROR(INDEX(I_COA!$F$6:$F$265,MATCH(Q2931,I_COA!$A$6:$A$265,0)),"?"))))</f>
        <v/>
      </c>
    </row>
    <row r="2932" customFormat="false" ht="15" hidden="false" customHeight="false" outlineLevel="0" collapsed="false">
      <c r="A2932" s="37"/>
      <c r="B2932" s="44"/>
      <c r="C2932" s="44"/>
      <c r="D2932" s="44"/>
      <c r="E2932" s="44"/>
      <c r="F2932" s="44"/>
      <c r="G2932" s="42"/>
      <c r="H2932" s="42"/>
      <c r="I2932" s="44"/>
      <c r="J2932" s="11" t="str">
        <f aca="false">IF(D2932="","",N(G2932)-N(H2932))</f>
        <v/>
      </c>
      <c r="K2932" s="34" t="str">
        <f aca="false">IF(D2932="","",IFERROR(INDEX(I_COA!$C$6:$C$265,MATCH(D2932,I_COA!$A$6:$A$265,0)),"AKUN BARU"))</f>
        <v/>
      </c>
      <c r="L2932" s="34" t="str">
        <f aca="false">IF(K2932="LabaRugi",INDEX(I_COA!$D$6:$D$265,MATCH(D2932,I_COA!$A$6:$A$265,0)),"")</f>
        <v/>
      </c>
      <c r="M2932" s="34" t="str">
        <f aca="false">IF(K2932="Neraca",INDEX(I_COA!$E$6:$E$265,MATCH(D2932,I_COA!$A$6:$A$265,0)),"")</f>
        <v/>
      </c>
      <c r="N2932" s="34" t="str">
        <f aca="false">IF(D2932="","",IFERROR(INDEX(I_COA!$G$6:$G$265,MATCH(D2932,I_COA!$A$6:$A$265,0)),"N"))</f>
        <v/>
      </c>
      <c r="O2932" s="11" t="str">
        <f aca="false">IF(N2932="N",ABS(J2932),"")</f>
        <v/>
      </c>
      <c r="P2932" s="18" t="str">
        <f aca="false">IF(N2932="N",B2932&amp;"|"&amp;ROUND(O2932,0),"")</f>
        <v/>
      </c>
      <c r="Q2932" s="18" t="str">
        <f aca="false">IF(N2932&lt;&gt;"Y","",IFERROR(INDEX($D$6:$D$4005,MATCH(B2932&amp;"|"&amp;ROUND(_xlfn.MAXIFS($O$6:$O$4005,$B$6:$B$4005,B2932,$N$6:$N$4005,"N"),0),$P$6:$P$4005,0)),"(tanpa lawan)"))</f>
        <v/>
      </c>
      <c r="R2932" s="44"/>
      <c r="S2932" s="9" t="str">
        <f aca="false">IF(N2932&lt;&gt;"Y","",IF(R2932&lt;&gt;"",R2932,IF(Q2932="(tanpa lawan)","Transfer antar rekening",IFERROR(INDEX(I_COA!$F$6:$F$265,MATCH(Q2932,I_COA!$A$6:$A$265,0)),"?"))))</f>
        <v/>
      </c>
    </row>
    <row r="2933" customFormat="false" ht="15" hidden="false" customHeight="false" outlineLevel="0" collapsed="false">
      <c r="A2933" s="37"/>
      <c r="B2933" s="44"/>
      <c r="C2933" s="44"/>
      <c r="D2933" s="44"/>
      <c r="E2933" s="44"/>
      <c r="F2933" s="44"/>
      <c r="G2933" s="42"/>
      <c r="H2933" s="42"/>
      <c r="I2933" s="44"/>
      <c r="J2933" s="11" t="str">
        <f aca="false">IF(D2933="","",N(G2933)-N(H2933))</f>
        <v/>
      </c>
      <c r="K2933" s="34" t="str">
        <f aca="false">IF(D2933="","",IFERROR(INDEX(I_COA!$C$6:$C$265,MATCH(D2933,I_COA!$A$6:$A$265,0)),"AKUN BARU"))</f>
        <v/>
      </c>
      <c r="L2933" s="34" t="str">
        <f aca="false">IF(K2933="LabaRugi",INDEX(I_COA!$D$6:$D$265,MATCH(D2933,I_COA!$A$6:$A$265,0)),"")</f>
        <v/>
      </c>
      <c r="M2933" s="34" t="str">
        <f aca="false">IF(K2933="Neraca",INDEX(I_COA!$E$6:$E$265,MATCH(D2933,I_COA!$A$6:$A$265,0)),"")</f>
        <v/>
      </c>
      <c r="N2933" s="34" t="str">
        <f aca="false">IF(D2933="","",IFERROR(INDEX(I_COA!$G$6:$G$265,MATCH(D2933,I_COA!$A$6:$A$265,0)),"N"))</f>
        <v/>
      </c>
      <c r="O2933" s="11" t="str">
        <f aca="false">IF(N2933="N",ABS(J2933),"")</f>
        <v/>
      </c>
      <c r="P2933" s="18" t="str">
        <f aca="false">IF(N2933="N",B2933&amp;"|"&amp;ROUND(O2933,0),"")</f>
        <v/>
      </c>
      <c r="Q2933" s="18" t="str">
        <f aca="false">IF(N2933&lt;&gt;"Y","",IFERROR(INDEX($D$6:$D$4005,MATCH(B2933&amp;"|"&amp;ROUND(_xlfn.MAXIFS($O$6:$O$4005,$B$6:$B$4005,B2933,$N$6:$N$4005,"N"),0),$P$6:$P$4005,0)),"(tanpa lawan)"))</f>
        <v/>
      </c>
      <c r="R2933" s="44"/>
      <c r="S2933" s="9" t="str">
        <f aca="false">IF(N2933&lt;&gt;"Y","",IF(R2933&lt;&gt;"",R2933,IF(Q2933="(tanpa lawan)","Transfer antar rekening",IFERROR(INDEX(I_COA!$F$6:$F$265,MATCH(Q2933,I_COA!$A$6:$A$265,0)),"?"))))</f>
        <v/>
      </c>
    </row>
    <row r="2934" customFormat="false" ht="15" hidden="false" customHeight="false" outlineLevel="0" collapsed="false">
      <c r="A2934" s="37"/>
      <c r="B2934" s="44"/>
      <c r="C2934" s="44"/>
      <c r="D2934" s="44"/>
      <c r="E2934" s="44"/>
      <c r="F2934" s="44"/>
      <c r="G2934" s="42"/>
      <c r="H2934" s="42"/>
      <c r="I2934" s="44"/>
      <c r="J2934" s="11" t="str">
        <f aca="false">IF(D2934="","",N(G2934)-N(H2934))</f>
        <v/>
      </c>
      <c r="K2934" s="34" t="str">
        <f aca="false">IF(D2934="","",IFERROR(INDEX(I_COA!$C$6:$C$265,MATCH(D2934,I_COA!$A$6:$A$265,0)),"AKUN BARU"))</f>
        <v/>
      </c>
      <c r="L2934" s="34" t="str">
        <f aca="false">IF(K2934="LabaRugi",INDEX(I_COA!$D$6:$D$265,MATCH(D2934,I_COA!$A$6:$A$265,0)),"")</f>
        <v/>
      </c>
      <c r="M2934" s="34" t="str">
        <f aca="false">IF(K2934="Neraca",INDEX(I_COA!$E$6:$E$265,MATCH(D2934,I_COA!$A$6:$A$265,0)),"")</f>
        <v/>
      </c>
      <c r="N2934" s="34" t="str">
        <f aca="false">IF(D2934="","",IFERROR(INDEX(I_COA!$G$6:$G$265,MATCH(D2934,I_COA!$A$6:$A$265,0)),"N"))</f>
        <v/>
      </c>
      <c r="O2934" s="11" t="str">
        <f aca="false">IF(N2934="N",ABS(J2934),"")</f>
        <v/>
      </c>
      <c r="P2934" s="18" t="str">
        <f aca="false">IF(N2934="N",B2934&amp;"|"&amp;ROUND(O2934,0),"")</f>
        <v/>
      </c>
      <c r="Q2934" s="18" t="str">
        <f aca="false">IF(N2934&lt;&gt;"Y","",IFERROR(INDEX($D$6:$D$4005,MATCH(B2934&amp;"|"&amp;ROUND(_xlfn.MAXIFS($O$6:$O$4005,$B$6:$B$4005,B2934,$N$6:$N$4005,"N"),0),$P$6:$P$4005,0)),"(tanpa lawan)"))</f>
        <v/>
      </c>
      <c r="R2934" s="44"/>
      <c r="S2934" s="9" t="str">
        <f aca="false">IF(N2934&lt;&gt;"Y","",IF(R2934&lt;&gt;"",R2934,IF(Q2934="(tanpa lawan)","Transfer antar rekening",IFERROR(INDEX(I_COA!$F$6:$F$265,MATCH(Q2934,I_COA!$A$6:$A$265,0)),"?"))))</f>
        <v/>
      </c>
    </row>
    <row r="2935" customFormat="false" ht="15" hidden="false" customHeight="false" outlineLevel="0" collapsed="false">
      <c r="A2935" s="37"/>
      <c r="B2935" s="44"/>
      <c r="C2935" s="44"/>
      <c r="D2935" s="44"/>
      <c r="E2935" s="44"/>
      <c r="F2935" s="44"/>
      <c r="G2935" s="42"/>
      <c r="H2935" s="42"/>
      <c r="I2935" s="44"/>
      <c r="J2935" s="11" t="str">
        <f aca="false">IF(D2935="","",N(G2935)-N(H2935))</f>
        <v/>
      </c>
      <c r="K2935" s="34" t="str">
        <f aca="false">IF(D2935="","",IFERROR(INDEX(I_COA!$C$6:$C$265,MATCH(D2935,I_COA!$A$6:$A$265,0)),"AKUN BARU"))</f>
        <v/>
      </c>
      <c r="L2935" s="34" t="str">
        <f aca="false">IF(K2935="LabaRugi",INDEX(I_COA!$D$6:$D$265,MATCH(D2935,I_COA!$A$6:$A$265,0)),"")</f>
        <v/>
      </c>
      <c r="M2935" s="34" t="str">
        <f aca="false">IF(K2935="Neraca",INDEX(I_COA!$E$6:$E$265,MATCH(D2935,I_COA!$A$6:$A$265,0)),"")</f>
        <v/>
      </c>
      <c r="N2935" s="34" t="str">
        <f aca="false">IF(D2935="","",IFERROR(INDEX(I_COA!$G$6:$G$265,MATCH(D2935,I_COA!$A$6:$A$265,0)),"N"))</f>
        <v/>
      </c>
      <c r="O2935" s="11" t="str">
        <f aca="false">IF(N2935="N",ABS(J2935),"")</f>
        <v/>
      </c>
      <c r="P2935" s="18" t="str">
        <f aca="false">IF(N2935="N",B2935&amp;"|"&amp;ROUND(O2935,0),"")</f>
        <v/>
      </c>
      <c r="Q2935" s="18" t="str">
        <f aca="false">IF(N2935&lt;&gt;"Y","",IFERROR(INDEX($D$6:$D$4005,MATCH(B2935&amp;"|"&amp;ROUND(_xlfn.MAXIFS($O$6:$O$4005,$B$6:$B$4005,B2935,$N$6:$N$4005,"N"),0),$P$6:$P$4005,0)),"(tanpa lawan)"))</f>
        <v/>
      </c>
      <c r="R2935" s="44"/>
      <c r="S2935" s="9" t="str">
        <f aca="false">IF(N2935&lt;&gt;"Y","",IF(R2935&lt;&gt;"",R2935,IF(Q2935="(tanpa lawan)","Transfer antar rekening",IFERROR(INDEX(I_COA!$F$6:$F$265,MATCH(Q2935,I_COA!$A$6:$A$265,0)),"?"))))</f>
        <v/>
      </c>
    </row>
    <row r="2936" customFormat="false" ht="15" hidden="false" customHeight="false" outlineLevel="0" collapsed="false">
      <c r="A2936" s="37"/>
      <c r="B2936" s="44"/>
      <c r="C2936" s="44"/>
      <c r="D2936" s="44"/>
      <c r="E2936" s="44"/>
      <c r="F2936" s="44"/>
      <c r="G2936" s="42"/>
      <c r="H2936" s="42"/>
      <c r="I2936" s="44"/>
      <c r="J2936" s="11" t="str">
        <f aca="false">IF(D2936="","",N(G2936)-N(H2936))</f>
        <v/>
      </c>
      <c r="K2936" s="34" t="str">
        <f aca="false">IF(D2936="","",IFERROR(INDEX(I_COA!$C$6:$C$265,MATCH(D2936,I_COA!$A$6:$A$265,0)),"AKUN BARU"))</f>
        <v/>
      </c>
      <c r="L2936" s="34" t="str">
        <f aca="false">IF(K2936="LabaRugi",INDEX(I_COA!$D$6:$D$265,MATCH(D2936,I_COA!$A$6:$A$265,0)),"")</f>
        <v/>
      </c>
      <c r="M2936" s="34" t="str">
        <f aca="false">IF(K2936="Neraca",INDEX(I_COA!$E$6:$E$265,MATCH(D2936,I_COA!$A$6:$A$265,0)),"")</f>
        <v/>
      </c>
      <c r="N2936" s="34" t="str">
        <f aca="false">IF(D2936="","",IFERROR(INDEX(I_COA!$G$6:$G$265,MATCH(D2936,I_COA!$A$6:$A$265,0)),"N"))</f>
        <v/>
      </c>
      <c r="O2936" s="11" t="str">
        <f aca="false">IF(N2936="N",ABS(J2936),"")</f>
        <v/>
      </c>
      <c r="P2936" s="18" t="str">
        <f aca="false">IF(N2936="N",B2936&amp;"|"&amp;ROUND(O2936,0),"")</f>
        <v/>
      </c>
      <c r="Q2936" s="18" t="str">
        <f aca="false">IF(N2936&lt;&gt;"Y","",IFERROR(INDEX($D$6:$D$4005,MATCH(B2936&amp;"|"&amp;ROUND(_xlfn.MAXIFS($O$6:$O$4005,$B$6:$B$4005,B2936,$N$6:$N$4005,"N"),0),$P$6:$P$4005,0)),"(tanpa lawan)"))</f>
        <v/>
      </c>
      <c r="R2936" s="44"/>
      <c r="S2936" s="9" t="str">
        <f aca="false">IF(N2936&lt;&gt;"Y","",IF(R2936&lt;&gt;"",R2936,IF(Q2936="(tanpa lawan)","Transfer antar rekening",IFERROR(INDEX(I_COA!$F$6:$F$265,MATCH(Q2936,I_COA!$A$6:$A$265,0)),"?"))))</f>
        <v/>
      </c>
    </row>
    <row r="2937" customFormat="false" ht="15" hidden="false" customHeight="false" outlineLevel="0" collapsed="false">
      <c r="A2937" s="37"/>
      <c r="B2937" s="44"/>
      <c r="C2937" s="44"/>
      <c r="D2937" s="44"/>
      <c r="E2937" s="44"/>
      <c r="F2937" s="44"/>
      <c r="G2937" s="42"/>
      <c r="H2937" s="42"/>
      <c r="I2937" s="44"/>
      <c r="J2937" s="11" t="str">
        <f aca="false">IF(D2937="","",N(G2937)-N(H2937))</f>
        <v/>
      </c>
      <c r="K2937" s="34" t="str">
        <f aca="false">IF(D2937="","",IFERROR(INDEX(I_COA!$C$6:$C$265,MATCH(D2937,I_COA!$A$6:$A$265,0)),"AKUN BARU"))</f>
        <v/>
      </c>
      <c r="L2937" s="34" t="str">
        <f aca="false">IF(K2937="LabaRugi",INDEX(I_COA!$D$6:$D$265,MATCH(D2937,I_COA!$A$6:$A$265,0)),"")</f>
        <v/>
      </c>
      <c r="M2937" s="34" t="str">
        <f aca="false">IF(K2937="Neraca",INDEX(I_COA!$E$6:$E$265,MATCH(D2937,I_COA!$A$6:$A$265,0)),"")</f>
        <v/>
      </c>
      <c r="N2937" s="34" t="str">
        <f aca="false">IF(D2937="","",IFERROR(INDEX(I_COA!$G$6:$G$265,MATCH(D2937,I_COA!$A$6:$A$265,0)),"N"))</f>
        <v/>
      </c>
      <c r="O2937" s="11" t="str">
        <f aca="false">IF(N2937="N",ABS(J2937),"")</f>
        <v/>
      </c>
      <c r="P2937" s="18" t="str">
        <f aca="false">IF(N2937="N",B2937&amp;"|"&amp;ROUND(O2937,0),"")</f>
        <v/>
      </c>
      <c r="Q2937" s="18" t="str">
        <f aca="false">IF(N2937&lt;&gt;"Y","",IFERROR(INDEX($D$6:$D$4005,MATCH(B2937&amp;"|"&amp;ROUND(_xlfn.MAXIFS($O$6:$O$4005,$B$6:$B$4005,B2937,$N$6:$N$4005,"N"),0),$P$6:$P$4005,0)),"(tanpa lawan)"))</f>
        <v/>
      </c>
      <c r="R2937" s="44"/>
      <c r="S2937" s="9" t="str">
        <f aca="false">IF(N2937&lt;&gt;"Y","",IF(R2937&lt;&gt;"",R2937,IF(Q2937="(tanpa lawan)","Transfer antar rekening",IFERROR(INDEX(I_COA!$F$6:$F$265,MATCH(Q2937,I_COA!$A$6:$A$265,0)),"?"))))</f>
        <v/>
      </c>
    </row>
    <row r="2938" customFormat="false" ht="15" hidden="false" customHeight="false" outlineLevel="0" collapsed="false">
      <c r="A2938" s="37"/>
      <c r="B2938" s="44"/>
      <c r="C2938" s="44"/>
      <c r="D2938" s="44"/>
      <c r="E2938" s="44"/>
      <c r="F2938" s="44"/>
      <c r="G2938" s="42"/>
      <c r="H2938" s="42"/>
      <c r="I2938" s="44"/>
      <c r="J2938" s="11" t="str">
        <f aca="false">IF(D2938="","",N(G2938)-N(H2938))</f>
        <v/>
      </c>
      <c r="K2938" s="34" t="str">
        <f aca="false">IF(D2938="","",IFERROR(INDEX(I_COA!$C$6:$C$265,MATCH(D2938,I_COA!$A$6:$A$265,0)),"AKUN BARU"))</f>
        <v/>
      </c>
      <c r="L2938" s="34" t="str">
        <f aca="false">IF(K2938="LabaRugi",INDEX(I_COA!$D$6:$D$265,MATCH(D2938,I_COA!$A$6:$A$265,0)),"")</f>
        <v/>
      </c>
      <c r="M2938" s="34" t="str">
        <f aca="false">IF(K2938="Neraca",INDEX(I_COA!$E$6:$E$265,MATCH(D2938,I_COA!$A$6:$A$265,0)),"")</f>
        <v/>
      </c>
      <c r="N2938" s="34" t="str">
        <f aca="false">IF(D2938="","",IFERROR(INDEX(I_COA!$G$6:$G$265,MATCH(D2938,I_COA!$A$6:$A$265,0)),"N"))</f>
        <v/>
      </c>
      <c r="O2938" s="11" t="str">
        <f aca="false">IF(N2938="N",ABS(J2938),"")</f>
        <v/>
      </c>
      <c r="P2938" s="18" t="str">
        <f aca="false">IF(N2938="N",B2938&amp;"|"&amp;ROUND(O2938,0),"")</f>
        <v/>
      </c>
      <c r="Q2938" s="18" t="str">
        <f aca="false">IF(N2938&lt;&gt;"Y","",IFERROR(INDEX($D$6:$D$4005,MATCH(B2938&amp;"|"&amp;ROUND(_xlfn.MAXIFS($O$6:$O$4005,$B$6:$B$4005,B2938,$N$6:$N$4005,"N"),0),$P$6:$P$4005,0)),"(tanpa lawan)"))</f>
        <v/>
      </c>
      <c r="R2938" s="44"/>
      <c r="S2938" s="9" t="str">
        <f aca="false">IF(N2938&lt;&gt;"Y","",IF(R2938&lt;&gt;"",R2938,IF(Q2938="(tanpa lawan)","Transfer antar rekening",IFERROR(INDEX(I_COA!$F$6:$F$265,MATCH(Q2938,I_COA!$A$6:$A$265,0)),"?"))))</f>
        <v/>
      </c>
    </row>
    <row r="2939" customFormat="false" ht="15" hidden="false" customHeight="false" outlineLevel="0" collapsed="false">
      <c r="A2939" s="37"/>
      <c r="B2939" s="44"/>
      <c r="C2939" s="44"/>
      <c r="D2939" s="44"/>
      <c r="E2939" s="44"/>
      <c r="F2939" s="44"/>
      <c r="G2939" s="42"/>
      <c r="H2939" s="42"/>
      <c r="I2939" s="44"/>
      <c r="J2939" s="11" t="str">
        <f aca="false">IF(D2939="","",N(G2939)-N(H2939))</f>
        <v/>
      </c>
      <c r="K2939" s="34" t="str">
        <f aca="false">IF(D2939="","",IFERROR(INDEX(I_COA!$C$6:$C$265,MATCH(D2939,I_COA!$A$6:$A$265,0)),"AKUN BARU"))</f>
        <v/>
      </c>
      <c r="L2939" s="34" t="str">
        <f aca="false">IF(K2939="LabaRugi",INDEX(I_COA!$D$6:$D$265,MATCH(D2939,I_COA!$A$6:$A$265,0)),"")</f>
        <v/>
      </c>
      <c r="M2939" s="34" t="str">
        <f aca="false">IF(K2939="Neraca",INDEX(I_COA!$E$6:$E$265,MATCH(D2939,I_COA!$A$6:$A$265,0)),"")</f>
        <v/>
      </c>
      <c r="N2939" s="34" t="str">
        <f aca="false">IF(D2939="","",IFERROR(INDEX(I_COA!$G$6:$G$265,MATCH(D2939,I_COA!$A$6:$A$265,0)),"N"))</f>
        <v/>
      </c>
      <c r="O2939" s="11" t="str">
        <f aca="false">IF(N2939="N",ABS(J2939),"")</f>
        <v/>
      </c>
      <c r="P2939" s="18" t="str">
        <f aca="false">IF(N2939="N",B2939&amp;"|"&amp;ROUND(O2939,0),"")</f>
        <v/>
      </c>
      <c r="Q2939" s="18" t="str">
        <f aca="false">IF(N2939&lt;&gt;"Y","",IFERROR(INDEX($D$6:$D$4005,MATCH(B2939&amp;"|"&amp;ROUND(_xlfn.MAXIFS($O$6:$O$4005,$B$6:$B$4005,B2939,$N$6:$N$4005,"N"),0),$P$6:$P$4005,0)),"(tanpa lawan)"))</f>
        <v/>
      </c>
      <c r="R2939" s="44"/>
      <c r="S2939" s="9" t="str">
        <f aca="false">IF(N2939&lt;&gt;"Y","",IF(R2939&lt;&gt;"",R2939,IF(Q2939="(tanpa lawan)","Transfer antar rekening",IFERROR(INDEX(I_COA!$F$6:$F$265,MATCH(Q2939,I_COA!$A$6:$A$265,0)),"?"))))</f>
        <v/>
      </c>
    </row>
    <row r="2940" customFormat="false" ht="15" hidden="false" customHeight="false" outlineLevel="0" collapsed="false">
      <c r="A2940" s="37"/>
      <c r="B2940" s="44"/>
      <c r="C2940" s="44"/>
      <c r="D2940" s="44"/>
      <c r="E2940" s="44"/>
      <c r="F2940" s="44"/>
      <c r="G2940" s="42"/>
      <c r="H2940" s="42"/>
      <c r="I2940" s="44"/>
      <c r="J2940" s="11" t="str">
        <f aca="false">IF(D2940="","",N(G2940)-N(H2940))</f>
        <v/>
      </c>
      <c r="K2940" s="34" t="str">
        <f aca="false">IF(D2940="","",IFERROR(INDEX(I_COA!$C$6:$C$265,MATCH(D2940,I_COA!$A$6:$A$265,0)),"AKUN BARU"))</f>
        <v/>
      </c>
      <c r="L2940" s="34" t="str">
        <f aca="false">IF(K2940="LabaRugi",INDEX(I_COA!$D$6:$D$265,MATCH(D2940,I_COA!$A$6:$A$265,0)),"")</f>
        <v/>
      </c>
      <c r="M2940" s="34" t="str">
        <f aca="false">IF(K2940="Neraca",INDEX(I_COA!$E$6:$E$265,MATCH(D2940,I_COA!$A$6:$A$265,0)),"")</f>
        <v/>
      </c>
      <c r="N2940" s="34" t="str">
        <f aca="false">IF(D2940="","",IFERROR(INDEX(I_COA!$G$6:$G$265,MATCH(D2940,I_COA!$A$6:$A$265,0)),"N"))</f>
        <v/>
      </c>
      <c r="O2940" s="11" t="str">
        <f aca="false">IF(N2940="N",ABS(J2940),"")</f>
        <v/>
      </c>
      <c r="P2940" s="18" t="str">
        <f aca="false">IF(N2940="N",B2940&amp;"|"&amp;ROUND(O2940,0),"")</f>
        <v/>
      </c>
      <c r="Q2940" s="18" t="str">
        <f aca="false">IF(N2940&lt;&gt;"Y","",IFERROR(INDEX($D$6:$D$4005,MATCH(B2940&amp;"|"&amp;ROUND(_xlfn.MAXIFS($O$6:$O$4005,$B$6:$B$4005,B2940,$N$6:$N$4005,"N"),0),$P$6:$P$4005,0)),"(tanpa lawan)"))</f>
        <v/>
      </c>
      <c r="R2940" s="44"/>
      <c r="S2940" s="9" t="str">
        <f aca="false">IF(N2940&lt;&gt;"Y","",IF(R2940&lt;&gt;"",R2940,IF(Q2940="(tanpa lawan)","Transfer antar rekening",IFERROR(INDEX(I_COA!$F$6:$F$265,MATCH(Q2940,I_COA!$A$6:$A$265,0)),"?"))))</f>
        <v/>
      </c>
    </row>
    <row r="2941" customFormat="false" ht="15" hidden="false" customHeight="false" outlineLevel="0" collapsed="false">
      <c r="A2941" s="37"/>
      <c r="B2941" s="44"/>
      <c r="C2941" s="44"/>
      <c r="D2941" s="44"/>
      <c r="E2941" s="44"/>
      <c r="F2941" s="44"/>
      <c r="G2941" s="42"/>
      <c r="H2941" s="42"/>
      <c r="I2941" s="44"/>
      <c r="J2941" s="11" t="str">
        <f aca="false">IF(D2941="","",N(G2941)-N(H2941))</f>
        <v/>
      </c>
      <c r="K2941" s="34" t="str">
        <f aca="false">IF(D2941="","",IFERROR(INDEX(I_COA!$C$6:$C$265,MATCH(D2941,I_COA!$A$6:$A$265,0)),"AKUN BARU"))</f>
        <v/>
      </c>
      <c r="L2941" s="34" t="str">
        <f aca="false">IF(K2941="LabaRugi",INDEX(I_COA!$D$6:$D$265,MATCH(D2941,I_COA!$A$6:$A$265,0)),"")</f>
        <v/>
      </c>
      <c r="M2941" s="34" t="str">
        <f aca="false">IF(K2941="Neraca",INDEX(I_COA!$E$6:$E$265,MATCH(D2941,I_COA!$A$6:$A$265,0)),"")</f>
        <v/>
      </c>
      <c r="N2941" s="34" t="str">
        <f aca="false">IF(D2941="","",IFERROR(INDEX(I_COA!$G$6:$G$265,MATCH(D2941,I_COA!$A$6:$A$265,0)),"N"))</f>
        <v/>
      </c>
      <c r="O2941" s="11" t="str">
        <f aca="false">IF(N2941="N",ABS(J2941),"")</f>
        <v/>
      </c>
      <c r="P2941" s="18" t="str">
        <f aca="false">IF(N2941="N",B2941&amp;"|"&amp;ROUND(O2941,0),"")</f>
        <v/>
      </c>
      <c r="Q2941" s="18" t="str">
        <f aca="false">IF(N2941&lt;&gt;"Y","",IFERROR(INDEX($D$6:$D$4005,MATCH(B2941&amp;"|"&amp;ROUND(_xlfn.MAXIFS($O$6:$O$4005,$B$6:$B$4005,B2941,$N$6:$N$4005,"N"),0),$P$6:$P$4005,0)),"(tanpa lawan)"))</f>
        <v/>
      </c>
      <c r="R2941" s="44"/>
      <c r="S2941" s="9" t="str">
        <f aca="false">IF(N2941&lt;&gt;"Y","",IF(R2941&lt;&gt;"",R2941,IF(Q2941="(tanpa lawan)","Transfer antar rekening",IFERROR(INDEX(I_COA!$F$6:$F$265,MATCH(Q2941,I_COA!$A$6:$A$265,0)),"?"))))</f>
        <v/>
      </c>
    </row>
    <row r="2942" customFormat="false" ht="15" hidden="false" customHeight="false" outlineLevel="0" collapsed="false">
      <c r="A2942" s="37"/>
      <c r="B2942" s="44"/>
      <c r="C2942" s="44"/>
      <c r="D2942" s="44"/>
      <c r="E2942" s="44"/>
      <c r="F2942" s="44"/>
      <c r="G2942" s="42"/>
      <c r="H2942" s="42"/>
      <c r="I2942" s="44"/>
      <c r="J2942" s="11" t="str">
        <f aca="false">IF(D2942="","",N(G2942)-N(H2942))</f>
        <v/>
      </c>
      <c r="K2942" s="34" t="str">
        <f aca="false">IF(D2942="","",IFERROR(INDEX(I_COA!$C$6:$C$265,MATCH(D2942,I_COA!$A$6:$A$265,0)),"AKUN BARU"))</f>
        <v/>
      </c>
      <c r="L2942" s="34" t="str">
        <f aca="false">IF(K2942="LabaRugi",INDEX(I_COA!$D$6:$D$265,MATCH(D2942,I_COA!$A$6:$A$265,0)),"")</f>
        <v/>
      </c>
      <c r="M2942" s="34" t="str">
        <f aca="false">IF(K2942="Neraca",INDEX(I_COA!$E$6:$E$265,MATCH(D2942,I_COA!$A$6:$A$265,0)),"")</f>
        <v/>
      </c>
      <c r="N2942" s="34" t="str">
        <f aca="false">IF(D2942="","",IFERROR(INDEX(I_COA!$G$6:$G$265,MATCH(D2942,I_COA!$A$6:$A$265,0)),"N"))</f>
        <v/>
      </c>
      <c r="O2942" s="11" t="str">
        <f aca="false">IF(N2942="N",ABS(J2942),"")</f>
        <v/>
      </c>
      <c r="P2942" s="18" t="str">
        <f aca="false">IF(N2942="N",B2942&amp;"|"&amp;ROUND(O2942,0),"")</f>
        <v/>
      </c>
      <c r="Q2942" s="18" t="str">
        <f aca="false">IF(N2942&lt;&gt;"Y","",IFERROR(INDEX($D$6:$D$4005,MATCH(B2942&amp;"|"&amp;ROUND(_xlfn.MAXIFS($O$6:$O$4005,$B$6:$B$4005,B2942,$N$6:$N$4005,"N"),0),$P$6:$P$4005,0)),"(tanpa lawan)"))</f>
        <v/>
      </c>
      <c r="R2942" s="44"/>
      <c r="S2942" s="9" t="str">
        <f aca="false">IF(N2942&lt;&gt;"Y","",IF(R2942&lt;&gt;"",R2942,IF(Q2942="(tanpa lawan)","Transfer antar rekening",IFERROR(INDEX(I_COA!$F$6:$F$265,MATCH(Q2942,I_COA!$A$6:$A$265,0)),"?"))))</f>
        <v/>
      </c>
    </row>
    <row r="2943" customFormat="false" ht="15" hidden="false" customHeight="false" outlineLevel="0" collapsed="false">
      <c r="A2943" s="37"/>
      <c r="B2943" s="44"/>
      <c r="C2943" s="44"/>
      <c r="D2943" s="44"/>
      <c r="E2943" s="44"/>
      <c r="F2943" s="44"/>
      <c r="G2943" s="42"/>
      <c r="H2943" s="42"/>
      <c r="I2943" s="44"/>
      <c r="J2943" s="11" t="str">
        <f aca="false">IF(D2943="","",N(G2943)-N(H2943))</f>
        <v/>
      </c>
      <c r="K2943" s="34" t="str">
        <f aca="false">IF(D2943="","",IFERROR(INDEX(I_COA!$C$6:$C$265,MATCH(D2943,I_COA!$A$6:$A$265,0)),"AKUN BARU"))</f>
        <v/>
      </c>
      <c r="L2943" s="34" t="str">
        <f aca="false">IF(K2943="LabaRugi",INDEX(I_COA!$D$6:$D$265,MATCH(D2943,I_COA!$A$6:$A$265,0)),"")</f>
        <v/>
      </c>
      <c r="M2943" s="34" t="str">
        <f aca="false">IF(K2943="Neraca",INDEX(I_COA!$E$6:$E$265,MATCH(D2943,I_COA!$A$6:$A$265,0)),"")</f>
        <v/>
      </c>
      <c r="N2943" s="34" t="str">
        <f aca="false">IF(D2943="","",IFERROR(INDEX(I_COA!$G$6:$G$265,MATCH(D2943,I_COA!$A$6:$A$265,0)),"N"))</f>
        <v/>
      </c>
      <c r="O2943" s="11" t="str">
        <f aca="false">IF(N2943="N",ABS(J2943),"")</f>
        <v/>
      </c>
      <c r="P2943" s="18" t="str">
        <f aca="false">IF(N2943="N",B2943&amp;"|"&amp;ROUND(O2943,0),"")</f>
        <v/>
      </c>
      <c r="Q2943" s="18" t="str">
        <f aca="false">IF(N2943&lt;&gt;"Y","",IFERROR(INDEX($D$6:$D$4005,MATCH(B2943&amp;"|"&amp;ROUND(_xlfn.MAXIFS($O$6:$O$4005,$B$6:$B$4005,B2943,$N$6:$N$4005,"N"),0),$P$6:$P$4005,0)),"(tanpa lawan)"))</f>
        <v/>
      </c>
      <c r="R2943" s="44"/>
      <c r="S2943" s="9" t="str">
        <f aca="false">IF(N2943&lt;&gt;"Y","",IF(R2943&lt;&gt;"",R2943,IF(Q2943="(tanpa lawan)","Transfer antar rekening",IFERROR(INDEX(I_COA!$F$6:$F$265,MATCH(Q2943,I_COA!$A$6:$A$265,0)),"?"))))</f>
        <v/>
      </c>
    </row>
    <row r="2944" customFormat="false" ht="15" hidden="false" customHeight="false" outlineLevel="0" collapsed="false">
      <c r="A2944" s="37"/>
      <c r="B2944" s="44"/>
      <c r="C2944" s="44"/>
      <c r="D2944" s="44"/>
      <c r="E2944" s="44"/>
      <c r="F2944" s="44"/>
      <c r="G2944" s="42"/>
      <c r="H2944" s="42"/>
      <c r="I2944" s="44"/>
      <c r="J2944" s="11" t="str">
        <f aca="false">IF(D2944="","",N(G2944)-N(H2944))</f>
        <v/>
      </c>
      <c r="K2944" s="34" t="str">
        <f aca="false">IF(D2944="","",IFERROR(INDEX(I_COA!$C$6:$C$265,MATCH(D2944,I_COA!$A$6:$A$265,0)),"AKUN BARU"))</f>
        <v/>
      </c>
      <c r="L2944" s="34" t="str">
        <f aca="false">IF(K2944="LabaRugi",INDEX(I_COA!$D$6:$D$265,MATCH(D2944,I_COA!$A$6:$A$265,0)),"")</f>
        <v/>
      </c>
      <c r="M2944" s="34" t="str">
        <f aca="false">IF(K2944="Neraca",INDEX(I_COA!$E$6:$E$265,MATCH(D2944,I_COA!$A$6:$A$265,0)),"")</f>
        <v/>
      </c>
      <c r="N2944" s="34" t="str">
        <f aca="false">IF(D2944="","",IFERROR(INDEX(I_COA!$G$6:$G$265,MATCH(D2944,I_COA!$A$6:$A$265,0)),"N"))</f>
        <v/>
      </c>
      <c r="O2944" s="11" t="str">
        <f aca="false">IF(N2944="N",ABS(J2944),"")</f>
        <v/>
      </c>
      <c r="P2944" s="18" t="str">
        <f aca="false">IF(N2944="N",B2944&amp;"|"&amp;ROUND(O2944,0),"")</f>
        <v/>
      </c>
      <c r="Q2944" s="18" t="str">
        <f aca="false">IF(N2944&lt;&gt;"Y","",IFERROR(INDEX($D$6:$D$4005,MATCH(B2944&amp;"|"&amp;ROUND(_xlfn.MAXIFS($O$6:$O$4005,$B$6:$B$4005,B2944,$N$6:$N$4005,"N"),0),$P$6:$P$4005,0)),"(tanpa lawan)"))</f>
        <v/>
      </c>
      <c r="R2944" s="44"/>
      <c r="S2944" s="9" t="str">
        <f aca="false">IF(N2944&lt;&gt;"Y","",IF(R2944&lt;&gt;"",R2944,IF(Q2944="(tanpa lawan)","Transfer antar rekening",IFERROR(INDEX(I_COA!$F$6:$F$265,MATCH(Q2944,I_COA!$A$6:$A$265,0)),"?"))))</f>
        <v/>
      </c>
    </row>
    <row r="2945" customFormat="false" ht="15" hidden="false" customHeight="false" outlineLevel="0" collapsed="false">
      <c r="A2945" s="37"/>
      <c r="B2945" s="44"/>
      <c r="C2945" s="44"/>
      <c r="D2945" s="44"/>
      <c r="E2945" s="44"/>
      <c r="F2945" s="44"/>
      <c r="G2945" s="42"/>
      <c r="H2945" s="42"/>
      <c r="I2945" s="44"/>
      <c r="J2945" s="11" t="str">
        <f aca="false">IF(D2945="","",N(G2945)-N(H2945))</f>
        <v/>
      </c>
      <c r="K2945" s="34" t="str">
        <f aca="false">IF(D2945="","",IFERROR(INDEX(I_COA!$C$6:$C$265,MATCH(D2945,I_COA!$A$6:$A$265,0)),"AKUN BARU"))</f>
        <v/>
      </c>
      <c r="L2945" s="34" t="str">
        <f aca="false">IF(K2945="LabaRugi",INDEX(I_COA!$D$6:$D$265,MATCH(D2945,I_COA!$A$6:$A$265,0)),"")</f>
        <v/>
      </c>
      <c r="M2945" s="34" t="str">
        <f aca="false">IF(K2945="Neraca",INDEX(I_COA!$E$6:$E$265,MATCH(D2945,I_COA!$A$6:$A$265,0)),"")</f>
        <v/>
      </c>
      <c r="N2945" s="34" t="str">
        <f aca="false">IF(D2945="","",IFERROR(INDEX(I_COA!$G$6:$G$265,MATCH(D2945,I_COA!$A$6:$A$265,0)),"N"))</f>
        <v/>
      </c>
      <c r="O2945" s="11" t="str">
        <f aca="false">IF(N2945="N",ABS(J2945),"")</f>
        <v/>
      </c>
      <c r="P2945" s="18" t="str">
        <f aca="false">IF(N2945="N",B2945&amp;"|"&amp;ROUND(O2945,0),"")</f>
        <v/>
      </c>
      <c r="Q2945" s="18" t="str">
        <f aca="false">IF(N2945&lt;&gt;"Y","",IFERROR(INDEX($D$6:$D$4005,MATCH(B2945&amp;"|"&amp;ROUND(_xlfn.MAXIFS($O$6:$O$4005,$B$6:$B$4005,B2945,$N$6:$N$4005,"N"),0),$P$6:$P$4005,0)),"(tanpa lawan)"))</f>
        <v/>
      </c>
      <c r="R2945" s="44"/>
      <c r="S2945" s="9" t="str">
        <f aca="false">IF(N2945&lt;&gt;"Y","",IF(R2945&lt;&gt;"",R2945,IF(Q2945="(tanpa lawan)","Transfer antar rekening",IFERROR(INDEX(I_COA!$F$6:$F$265,MATCH(Q2945,I_COA!$A$6:$A$265,0)),"?"))))</f>
        <v/>
      </c>
    </row>
    <row r="2946" customFormat="false" ht="15" hidden="false" customHeight="false" outlineLevel="0" collapsed="false">
      <c r="A2946" s="37"/>
      <c r="B2946" s="44"/>
      <c r="C2946" s="44"/>
      <c r="D2946" s="44"/>
      <c r="E2946" s="44"/>
      <c r="F2946" s="44"/>
      <c r="G2946" s="42"/>
      <c r="H2946" s="42"/>
      <c r="I2946" s="44"/>
      <c r="J2946" s="11" t="str">
        <f aca="false">IF(D2946="","",N(G2946)-N(H2946))</f>
        <v/>
      </c>
      <c r="K2946" s="34" t="str">
        <f aca="false">IF(D2946="","",IFERROR(INDEX(I_COA!$C$6:$C$265,MATCH(D2946,I_COA!$A$6:$A$265,0)),"AKUN BARU"))</f>
        <v/>
      </c>
      <c r="L2946" s="34" t="str">
        <f aca="false">IF(K2946="LabaRugi",INDEX(I_COA!$D$6:$D$265,MATCH(D2946,I_COA!$A$6:$A$265,0)),"")</f>
        <v/>
      </c>
      <c r="M2946" s="34" t="str">
        <f aca="false">IF(K2946="Neraca",INDEX(I_COA!$E$6:$E$265,MATCH(D2946,I_COA!$A$6:$A$265,0)),"")</f>
        <v/>
      </c>
      <c r="N2946" s="34" t="str">
        <f aca="false">IF(D2946="","",IFERROR(INDEX(I_COA!$G$6:$G$265,MATCH(D2946,I_COA!$A$6:$A$265,0)),"N"))</f>
        <v/>
      </c>
      <c r="O2946" s="11" t="str">
        <f aca="false">IF(N2946="N",ABS(J2946),"")</f>
        <v/>
      </c>
      <c r="P2946" s="18" t="str">
        <f aca="false">IF(N2946="N",B2946&amp;"|"&amp;ROUND(O2946,0),"")</f>
        <v/>
      </c>
      <c r="Q2946" s="18" t="str">
        <f aca="false">IF(N2946&lt;&gt;"Y","",IFERROR(INDEX($D$6:$D$4005,MATCH(B2946&amp;"|"&amp;ROUND(_xlfn.MAXIFS($O$6:$O$4005,$B$6:$B$4005,B2946,$N$6:$N$4005,"N"),0),$P$6:$P$4005,0)),"(tanpa lawan)"))</f>
        <v/>
      </c>
      <c r="R2946" s="44"/>
      <c r="S2946" s="9" t="str">
        <f aca="false">IF(N2946&lt;&gt;"Y","",IF(R2946&lt;&gt;"",R2946,IF(Q2946="(tanpa lawan)","Transfer antar rekening",IFERROR(INDEX(I_COA!$F$6:$F$265,MATCH(Q2946,I_COA!$A$6:$A$265,0)),"?"))))</f>
        <v/>
      </c>
    </row>
    <row r="2947" customFormat="false" ht="15" hidden="false" customHeight="false" outlineLevel="0" collapsed="false">
      <c r="A2947" s="37"/>
      <c r="B2947" s="44"/>
      <c r="C2947" s="44"/>
      <c r="D2947" s="44"/>
      <c r="E2947" s="44"/>
      <c r="F2947" s="44"/>
      <c r="G2947" s="42"/>
      <c r="H2947" s="42"/>
      <c r="I2947" s="44"/>
      <c r="J2947" s="11" t="str">
        <f aca="false">IF(D2947="","",N(G2947)-N(H2947))</f>
        <v/>
      </c>
      <c r="K2947" s="34" t="str">
        <f aca="false">IF(D2947="","",IFERROR(INDEX(I_COA!$C$6:$C$265,MATCH(D2947,I_COA!$A$6:$A$265,0)),"AKUN BARU"))</f>
        <v/>
      </c>
      <c r="L2947" s="34" t="str">
        <f aca="false">IF(K2947="LabaRugi",INDEX(I_COA!$D$6:$D$265,MATCH(D2947,I_COA!$A$6:$A$265,0)),"")</f>
        <v/>
      </c>
      <c r="M2947" s="34" t="str">
        <f aca="false">IF(K2947="Neraca",INDEX(I_COA!$E$6:$E$265,MATCH(D2947,I_COA!$A$6:$A$265,0)),"")</f>
        <v/>
      </c>
      <c r="N2947" s="34" t="str">
        <f aca="false">IF(D2947="","",IFERROR(INDEX(I_COA!$G$6:$G$265,MATCH(D2947,I_COA!$A$6:$A$265,0)),"N"))</f>
        <v/>
      </c>
      <c r="O2947" s="11" t="str">
        <f aca="false">IF(N2947="N",ABS(J2947),"")</f>
        <v/>
      </c>
      <c r="P2947" s="18" t="str">
        <f aca="false">IF(N2947="N",B2947&amp;"|"&amp;ROUND(O2947,0),"")</f>
        <v/>
      </c>
      <c r="Q2947" s="18" t="str">
        <f aca="false">IF(N2947&lt;&gt;"Y","",IFERROR(INDEX($D$6:$D$4005,MATCH(B2947&amp;"|"&amp;ROUND(_xlfn.MAXIFS($O$6:$O$4005,$B$6:$B$4005,B2947,$N$6:$N$4005,"N"),0),$P$6:$P$4005,0)),"(tanpa lawan)"))</f>
        <v/>
      </c>
      <c r="R2947" s="44"/>
      <c r="S2947" s="9" t="str">
        <f aca="false">IF(N2947&lt;&gt;"Y","",IF(R2947&lt;&gt;"",R2947,IF(Q2947="(tanpa lawan)","Transfer antar rekening",IFERROR(INDEX(I_COA!$F$6:$F$265,MATCH(Q2947,I_COA!$A$6:$A$265,0)),"?"))))</f>
        <v/>
      </c>
    </row>
    <row r="2948" customFormat="false" ht="15" hidden="false" customHeight="false" outlineLevel="0" collapsed="false">
      <c r="A2948" s="37"/>
      <c r="B2948" s="44"/>
      <c r="C2948" s="44"/>
      <c r="D2948" s="44"/>
      <c r="E2948" s="44"/>
      <c r="F2948" s="44"/>
      <c r="G2948" s="42"/>
      <c r="H2948" s="42"/>
      <c r="I2948" s="44"/>
      <c r="J2948" s="11" t="str">
        <f aca="false">IF(D2948="","",N(G2948)-N(H2948))</f>
        <v/>
      </c>
      <c r="K2948" s="34" t="str">
        <f aca="false">IF(D2948="","",IFERROR(INDEX(I_COA!$C$6:$C$265,MATCH(D2948,I_COA!$A$6:$A$265,0)),"AKUN BARU"))</f>
        <v/>
      </c>
      <c r="L2948" s="34" t="str">
        <f aca="false">IF(K2948="LabaRugi",INDEX(I_COA!$D$6:$D$265,MATCH(D2948,I_COA!$A$6:$A$265,0)),"")</f>
        <v/>
      </c>
      <c r="M2948" s="34" t="str">
        <f aca="false">IF(K2948="Neraca",INDEX(I_COA!$E$6:$E$265,MATCH(D2948,I_COA!$A$6:$A$265,0)),"")</f>
        <v/>
      </c>
      <c r="N2948" s="34" t="str">
        <f aca="false">IF(D2948="","",IFERROR(INDEX(I_COA!$G$6:$G$265,MATCH(D2948,I_COA!$A$6:$A$265,0)),"N"))</f>
        <v/>
      </c>
      <c r="O2948" s="11" t="str">
        <f aca="false">IF(N2948="N",ABS(J2948),"")</f>
        <v/>
      </c>
      <c r="P2948" s="18" t="str">
        <f aca="false">IF(N2948="N",B2948&amp;"|"&amp;ROUND(O2948,0),"")</f>
        <v/>
      </c>
      <c r="Q2948" s="18" t="str">
        <f aca="false">IF(N2948&lt;&gt;"Y","",IFERROR(INDEX($D$6:$D$4005,MATCH(B2948&amp;"|"&amp;ROUND(_xlfn.MAXIFS($O$6:$O$4005,$B$6:$B$4005,B2948,$N$6:$N$4005,"N"),0),$P$6:$P$4005,0)),"(tanpa lawan)"))</f>
        <v/>
      </c>
      <c r="R2948" s="44"/>
      <c r="S2948" s="9" t="str">
        <f aca="false">IF(N2948&lt;&gt;"Y","",IF(R2948&lt;&gt;"",R2948,IF(Q2948="(tanpa lawan)","Transfer antar rekening",IFERROR(INDEX(I_COA!$F$6:$F$265,MATCH(Q2948,I_COA!$A$6:$A$265,0)),"?"))))</f>
        <v/>
      </c>
    </row>
    <row r="2949" customFormat="false" ht="15" hidden="false" customHeight="false" outlineLevel="0" collapsed="false">
      <c r="A2949" s="37"/>
      <c r="B2949" s="44"/>
      <c r="C2949" s="44"/>
      <c r="D2949" s="44"/>
      <c r="E2949" s="44"/>
      <c r="F2949" s="44"/>
      <c r="G2949" s="42"/>
      <c r="H2949" s="42"/>
      <c r="I2949" s="44"/>
      <c r="J2949" s="11" t="str">
        <f aca="false">IF(D2949="","",N(G2949)-N(H2949))</f>
        <v/>
      </c>
      <c r="K2949" s="34" t="str">
        <f aca="false">IF(D2949="","",IFERROR(INDEX(I_COA!$C$6:$C$265,MATCH(D2949,I_COA!$A$6:$A$265,0)),"AKUN BARU"))</f>
        <v/>
      </c>
      <c r="L2949" s="34" t="str">
        <f aca="false">IF(K2949="LabaRugi",INDEX(I_COA!$D$6:$D$265,MATCH(D2949,I_COA!$A$6:$A$265,0)),"")</f>
        <v/>
      </c>
      <c r="M2949" s="34" t="str">
        <f aca="false">IF(K2949="Neraca",INDEX(I_COA!$E$6:$E$265,MATCH(D2949,I_COA!$A$6:$A$265,0)),"")</f>
        <v/>
      </c>
      <c r="N2949" s="34" t="str">
        <f aca="false">IF(D2949="","",IFERROR(INDEX(I_COA!$G$6:$G$265,MATCH(D2949,I_COA!$A$6:$A$265,0)),"N"))</f>
        <v/>
      </c>
      <c r="O2949" s="11" t="str">
        <f aca="false">IF(N2949="N",ABS(J2949),"")</f>
        <v/>
      </c>
      <c r="P2949" s="18" t="str">
        <f aca="false">IF(N2949="N",B2949&amp;"|"&amp;ROUND(O2949,0),"")</f>
        <v/>
      </c>
      <c r="Q2949" s="18" t="str">
        <f aca="false">IF(N2949&lt;&gt;"Y","",IFERROR(INDEX($D$6:$D$4005,MATCH(B2949&amp;"|"&amp;ROUND(_xlfn.MAXIFS($O$6:$O$4005,$B$6:$B$4005,B2949,$N$6:$N$4005,"N"),0),$P$6:$P$4005,0)),"(tanpa lawan)"))</f>
        <v/>
      </c>
      <c r="R2949" s="44"/>
      <c r="S2949" s="9" t="str">
        <f aca="false">IF(N2949&lt;&gt;"Y","",IF(R2949&lt;&gt;"",R2949,IF(Q2949="(tanpa lawan)","Transfer antar rekening",IFERROR(INDEX(I_COA!$F$6:$F$265,MATCH(Q2949,I_COA!$A$6:$A$265,0)),"?"))))</f>
        <v/>
      </c>
    </row>
    <row r="2950" customFormat="false" ht="15" hidden="false" customHeight="false" outlineLevel="0" collapsed="false">
      <c r="A2950" s="37"/>
      <c r="B2950" s="44"/>
      <c r="C2950" s="44"/>
      <c r="D2950" s="44"/>
      <c r="E2950" s="44"/>
      <c r="F2950" s="44"/>
      <c r="G2950" s="42"/>
      <c r="H2950" s="42"/>
      <c r="I2950" s="44"/>
      <c r="J2950" s="11" t="str">
        <f aca="false">IF(D2950="","",N(G2950)-N(H2950))</f>
        <v/>
      </c>
      <c r="K2950" s="34" t="str">
        <f aca="false">IF(D2950="","",IFERROR(INDEX(I_COA!$C$6:$C$265,MATCH(D2950,I_COA!$A$6:$A$265,0)),"AKUN BARU"))</f>
        <v/>
      </c>
      <c r="L2950" s="34" t="str">
        <f aca="false">IF(K2950="LabaRugi",INDEX(I_COA!$D$6:$D$265,MATCH(D2950,I_COA!$A$6:$A$265,0)),"")</f>
        <v/>
      </c>
      <c r="M2950" s="34" t="str">
        <f aca="false">IF(K2950="Neraca",INDEX(I_COA!$E$6:$E$265,MATCH(D2950,I_COA!$A$6:$A$265,0)),"")</f>
        <v/>
      </c>
      <c r="N2950" s="34" t="str">
        <f aca="false">IF(D2950="","",IFERROR(INDEX(I_COA!$G$6:$G$265,MATCH(D2950,I_COA!$A$6:$A$265,0)),"N"))</f>
        <v/>
      </c>
      <c r="O2950" s="11" t="str">
        <f aca="false">IF(N2950="N",ABS(J2950),"")</f>
        <v/>
      </c>
      <c r="P2950" s="18" t="str">
        <f aca="false">IF(N2950="N",B2950&amp;"|"&amp;ROUND(O2950,0),"")</f>
        <v/>
      </c>
      <c r="Q2950" s="18" t="str">
        <f aca="false">IF(N2950&lt;&gt;"Y","",IFERROR(INDEX($D$6:$D$4005,MATCH(B2950&amp;"|"&amp;ROUND(_xlfn.MAXIFS($O$6:$O$4005,$B$6:$B$4005,B2950,$N$6:$N$4005,"N"),0),$P$6:$P$4005,0)),"(tanpa lawan)"))</f>
        <v/>
      </c>
      <c r="R2950" s="44"/>
      <c r="S2950" s="9" t="str">
        <f aca="false">IF(N2950&lt;&gt;"Y","",IF(R2950&lt;&gt;"",R2950,IF(Q2950="(tanpa lawan)","Transfer antar rekening",IFERROR(INDEX(I_COA!$F$6:$F$265,MATCH(Q2950,I_COA!$A$6:$A$265,0)),"?"))))</f>
        <v/>
      </c>
    </row>
    <row r="2951" customFormat="false" ht="15" hidden="false" customHeight="false" outlineLevel="0" collapsed="false">
      <c r="A2951" s="37"/>
      <c r="B2951" s="44"/>
      <c r="C2951" s="44"/>
      <c r="D2951" s="44"/>
      <c r="E2951" s="44"/>
      <c r="F2951" s="44"/>
      <c r="G2951" s="42"/>
      <c r="H2951" s="42"/>
      <c r="I2951" s="44"/>
      <c r="J2951" s="11" t="str">
        <f aca="false">IF(D2951="","",N(G2951)-N(H2951))</f>
        <v/>
      </c>
      <c r="K2951" s="34" t="str">
        <f aca="false">IF(D2951="","",IFERROR(INDEX(I_COA!$C$6:$C$265,MATCH(D2951,I_COA!$A$6:$A$265,0)),"AKUN BARU"))</f>
        <v/>
      </c>
      <c r="L2951" s="34" t="str">
        <f aca="false">IF(K2951="LabaRugi",INDEX(I_COA!$D$6:$D$265,MATCH(D2951,I_COA!$A$6:$A$265,0)),"")</f>
        <v/>
      </c>
      <c r="M2951" s="34" t="str">
        <f aca="false">IF(K2951="Neraca",INDEX(I_COA!$E$6:$E$265,MATCH(D2951,I_COA!$A$6:$A$265,0)),"")</f>
        <v/>
      </c>
      <c r="N2951" s="34" t="str">
        <f aca="false">IF(D2951="","",IFERROR(INDEX(I_COA!$G$6:$G$265,MATCH(D2951,I_COA!$A$6:$A$265,0)),"N"))</f>
        <v/>
      </c>
      <c r="O2951" s="11" t="str">
        <f aca="false">IF(N2951="N",ABS(J2951),"")</f>
        <v/>
      </c>
      <c r="P2951" s="18" t="str">
        <f aca="false">IF(N2951="N",B2951&amp;"|"&amp;ROUND(O2951,0),"")</f>
        <v/>
      </c>
      <c r="Q2951" s="18" t="str">
        <f aca="false">IF(N2951&lt;&gt;"Y","",IFERROR(INDEX($D$6:$D$4005,MATCH(B2951&amp;"|"&amp;ROUND(_xlfn.MAXIFS($O$6:$O$4005,$B$6:$B$4005,B2951,$N$6:$N$4005,"N"),0),$P$6:$P$4005,0)),"(tanpa lawan)"))</f>
        <v/>
      </c>
      <c r="R2951" s="44"/>
      <c r="S2951" s="9" t="str">
        <f aca="false">IF(N2951&lt;&gt;"Y","",IF(R2951&lt;&gt;"",R2951,IF(Q2951="(tanpa lawan)","Transfer antar rekening",IFERROR(INDEX(I_COA!$F$6:$F$265,MATCH(Q2951,I_COA!$A$6:$A$265,0)),"?"))))</f>
        <v/>
      </c>
    </row>
    <row r="2952" customFormat="false" ht="15" hidden="false" customHeight="false" outlineLevel="0" collapsed="false">
      <c r="A2952" s="37"/>
      <c r="B2952" s="44"/>
      <c r="C2952" s="44"/>
      <c r="D2952" s="44"/>
      <c r="E2952" s="44"/>
      <c r="F2952" s="44"/>
      <c r="G2952" s="42"/>
      <c r="H2952" s="42"/>
      <c r="I2952" s="44"/>
      <c r="J2952" s="11" t="str">
        <f aca="false">IF(D2952="","",N(G2952)-N(H2952))</f>
        <v/>
      </c>
      <c r="K2952" s="34" t="str">
        <f aca="false">IF(D2952="","",IFERROR(INDEX(I_COA!$C$6:$C$265,MATCH(D2952,I_COA!$A$6:$A$265,0)),"AKUN BARU"))</f>
        <v/>
      </c>
      <c r="L2952" s="34" t="str">
        <f aca="false">IF(K2952="LabaRugi",INDEX(I_COA!$D$6:$D$265,MATCH(D2952,I_COA!$A$6:$A$265,0)),"")</f>
        <v/>
      </c>
      <c r="M2952" s="34" t="str">
        <f aca="false">IF(K2952="Neraca",INDEX(I_COA!$E$6:$E$265,MATCH(D2952,I_COA!$A$6:$A$265,0)),"")</f>
        <v/>
      </c>
      <c r="N2952" s="34" t="str">
        <f aca="false">IF(D2952="","",IFERROR(INDEX(I_COA!$G$6:$G$265,MATCH(D2952,I_COA!$A$6:$A$265,0)),"N"))</f>
        <v/>
      </c>
      <c r="O2952" s="11" t="str">
        <f aca="false">IF(N2952="N",ABS(J2952),"")</f>
        <v/>
      </c>
      <c r="P2952" s="18" t="str">
        <f aca="false">IF(N2952="N",B2952&amp;"|"&amp;ROUND(O2952,0),"")</f>
        <v/>
      </c>
      <c r="Q2952" s="18" t="str">
        <f aca="false">IF(N2952&lt;&gt;"Y","",IFERROR(INDEX($D$6:$D$4005,MATCH(B2952&amp;"|"&amp;ROUND(_xlfn.MAXIFS($O$6:$O$4005,$B$6:$B$4005,B2952,$N$6:$N$4005,"N"),0),$P$6:$P$4005,0)),"(tanpa lawan)"))</f>
        <v/>
      </c>
      <c r="R2952" s="44"/>
      <c r="S2952" s="9" t="str">
        <f aca="false">IF(N2952&lt;&gt;"Y","",IF(R2952&lt;&gt;"",R2952,IF(Q2952="(tanpa lawan)","Transfer antar rekening",IFERROR(INDEX(I_COA!$F$6:$F$265,MATCH(Q2952,I_COA!$A$6:$A$265,0)),"?"))))</f>
        <v/>
      </c>
    </row>
    <row r="2953" customFormat="false" ht="15" hidden="false" customHeight="false" outlineLevel="0" collapsed="false">
      <c r="A2953" s="37"/>
      <c r="B2953" s="44"/>
      <c r="C2953" s="44"/>
      <c r="D2953" s="44"/>
      <c r="E2953" s="44"/>
      <c r="F2953" s="44"/>
      <c r="G2953" s="42"/>
      <c r="H2953" s="42"/>
      <c r="I2953" s="44"/>
      <c r="J2953" s="11" t="str">
        <f aca="false">IF(D2953="","",N(G2953)-N(H2953))</f>
        <v/>
      </c>
      <c r="K2953" s="34" t="str">
        <f aca="false">IF(D2953="","",IFERROR(INDEX(I_COA!$C$6:$C$265,MATCH(D2953,I_COA!$A$6:$A$265,0)),"AKUN BARU"))</f>
        <v/>
      </c>
      <c r="L2953" s="34" t="str">
        <f aca="false">IF(K2953="LabaRugi",INDEX(I_COA!$D$6:$D$265,MATCH(D2953,I_COA!$A$6:$A$265,0)),"")</f>
        <v/>
      </c>
      <c r="M2953" s="34" t="str">
        <f aca="false">IF(K2953="Neraca",INDEX(I_COA!$E$6:$E$265,MATCH(D2953,I_COA!$A$6:$A$265,0)),"")</f>
        <v/>
      </c>
      <c r="N2953" s="34" t="str">
        <f aca="false">IF(D2953="","",IFERROR(INDEX(I_COA!$G$6:$G$265,MATCH(D2953,I_COA!$A$6:$A$265,0)),"N"))</f>
        <v/>
      </c>
      <c r="O2953" s="11" t="str">
        <f aca="false">IF(N2953="N",ABS(J2953),"")</f>
        <v/>
      </c>
      <c r="P2953" s="18" t="str">
        <f aca="false">IF(N2953="N",B2953&amp;"|"&amp;ROUND(O2953,0),"")</f>
        <v/>
      </c>
      <c r="Q2953" s="18" t="str">
        <f aca="false">IF(N2953&lt;&gt;"Y","",IFERROR(INDEX($D$6:$D$4005,MATCH(B2953&amp;"|"&amp;ROUND(_xlfn.MAXIFS($O$6:$O$4005,$B$6:$B$4005,B2953,$N$6:$N$4005,"N"),0),$P$6:$P$4005,0)),"(tanpa lawan)"))</f>
        <v/>
      </c>
      <c r="R2953" s="44"/>
      <c r="S2953" s="9" t="str">
        <f aca="false">IF(N2953&lt;&gt;"Y","",IF(R2953&lt;&gt;"",R2953,IF(Q2953="(tanpa lawan)","Transfer antar rekening",IFERROR(INDEX(I_COA!$F$6:$F$265,MATCH(Q2953,I_COA!$A$6:$A$265,0)),"?"))))</f>
        <v/>
      </c>
    </row>
    <row r="2954" customFormat="false" ht="15" hidden="false" customHeight="false" outlineLevel="0" collapsed="false">
      <c r="A2954" s="37"/>
      <c r="B2954" s="44"/>
      <c r="C2954" s="44"/>
      <c r="D2954" s="44"/>
      <c r="E2954" s="44"/>
      <c r="F2954" s="44"/>
      <c r="G2954" s="42"/>
      <c r="H2954" s="42"/>
      <c r="I2954" s="44"/>
      <c r="J2954" s="11" t="str">
        <f aca="false">IF(D2954="","",N(G2954)-N(H2954))</f>
        <v/>
      </c>
      <c r="K2954" s="34" t="str">
        <f aca="false">IF(D2954="","",IFERROR(INDEX(I_COA!$C$6:$C$265,MATCH(D2954,I_COA!$A$6:$A$265,0)),"AKUN BARU"))</f>
        <v/>
      </c>
      <c r="L2954" s="34" t="str">
        <f aca="false">IF(K2954="LabaRugi",INDEX(I_COA!$D$6:$D$265,MATCH(D2954,I_COA!$A$6:$A$265,0)),"")</f>
        <v/>
      </c>
      <c r="M2954" s="34" t="str">
        <f aca="false">IF(K2954="Neraca",INDEX(I_COA!$E$6:$E$265,MATCH(D2954,I_COA!$A$6:$A$265,0)),"")</f>
        <v/>
      </c>
      <c r="N2954" s="34" t="str">
        <f aca="false">IF(D2954="","",IFERROR(INDEX(I_COA!$G$6:$G$265,MATCH(D2954,I_COA!$A$6:$A$265,0)),"N"))</f>
        <v/>
      </c>
      <c r="O2954" s="11" t="str">
        <f aca="false">IF(N2954="N",ABS(J2954),"")</f>
        <v/>
      </c>
      <c r="P2954" s="18" t="str">
        <f aca="false">IF(N2954="N",B2954&amp;"|"&amp;ROUND(O2954,0),"")</f>
        <v/>
      </c>
      <c r="Q2954" s="18" t="str">
        <f aca="false">IF(N2954&lt;&gt;"Y","",IFERROR(INDEX($D$6:$D$4005,MATCH(B2954&amp;"|"&amp;ROUND(_xlfn.MAXIFS($O$6:$O$4005,$B$6:$B$4005,B2954,$N$6:$N$4005,"N"),0),$P$6:$P$4005,0)),"(tanpa lawan)"))</f>
        <v/>
      </c>
      <c r="R2954" s="44"/>
      <c r="S2954" s="9" t="str">
        <f aca="false">IF(N2954&lt;&gt;"Y","",IF(R2954&lt;&gt;"",R2954,IF(Q2954="(tanpa lawan)","Transfer antar rekening",IFERROR(INDEX(I_COA!$F$6:$F$265,MATCH(Q2954,I_COA!$A$6:$A$265,0)),"?"))))</f>
        <v/>
      </c>
    </row>
    <row r="2955" customFormat="false" ht="15" hidden="false" customHeight="false" outlineLevel="0" collapsed="false">
      <c r="A2955" s="37"/>
      <c r="B2955" s="44"/>
      <c r="C2955" s="44"/>
      <c r="D2955" s="44"/>
      <c r="E2955" s="44"/>
      <c r="F2955" s="44"/>
      <c r="G2955" s="42"/>
      <c r="H2955" s="42"/>
      <c r="I2955" s="44"/>
      <c r="J2955" s="11" t="str">
        <f aca="false">IF(D2955="","",N(G2955)-N(H2955))</f>
        <v/>
      </c>
      <c r="K2955" s="34" t="str">
        <f aca="false">IF(D2955="","",IFERROR(INDEX(I_COA!$C$6:$C$265,MATCH(D2955,I_COA!$A$6:$A$265,0)),"AKUN BARU"))</f>
        <v/>
      </c>
      <c r="L2955" s="34" t="str">
        <f aca="false">IF(K2955="LabaRugi",INDEX(I_COA!$D$6:$D$265,MATCH(D2955,I_COA!$A$6:$A$265,0)),"")</f>
        <v/>
      </c>
      <c r="M2955" s="34" t="str">
        <f aca="false">IF(K2955="Neraca",INDEX(I_COA!$E$6:$E$265,MATCH(D2955,I_COA!$A$6:$A$265,0)),"")</f>
        <v/>
      </c>
      <c r="N2955" s="34" t="str">
        <f aca="false">IF(D2955="","",IFERROR(INDEX(I_COA!$G$6:$G$265,MATCH(D2955,I_COA!$A$6:$A$265,0)),"N"))</f>
        <v/>
      </c>
      <c r="O2955" s="11" t="str">
        <f aca="false">IF(N2955="N",ABS(J2955),"")</f>
        <v/>
      </c>
      <c r="P2955" s="18" t="str">
        <f aca="false">IF(N2955="N",B2955&amp;"|"&amp;ROUND(O2955,0),"")</f>
        <v/>
      </c>
      <c r="Q2955" s="18" t="str">
        <f aca="false">IF(N2955&lt;&gt;"Y","",IFERROR(INDEX($D$6:$D$4005,MATCH(B2955&amp;"|"&amp;ROUND(_xlfn.MAXIFS($O$6:$O$4005,$B$6:$B$4005,B2955,$N$6:$N$4005,"N"),0),$P$6:$P$4005,0)),"(tanpa lawan)"))</f>
        <v/>
      </c>
      <c r="R2955" s="44"/>
      <c r="S2955" s="9" t="str">
        <f aca="false">IF(N2955&lt;&gt;"Y","",IF(R2955&lt;&gt;"",R2955,IF(Q2955="(tanpa lawan)","Transfer antar rekening",IFERROR(INDEX(I_COA!$F$6:$F$265,MATCH(Q2955,I_COA!$A$6:$A$265,0)),"?"))))</f>
        <v/>
      </c>
    </row>
    <row r="2956" customFormat="false" ht="15" hidden="false" customHeight="false" outlineLevel="0" collapsed="false">
      <c r="A2956" s="37"/>
      <c r="B2956" s="44"/>
      <c r="C2956" s="44"/>
      <c r="D2956" s="44"/>
      <c r="E2956" s="44"/>
      <c r="F2956" s="44"/>
      <c r="G2956" s="42"/>
      <c r="H2956" s="42"/>
      <c r="I2956" s="44"/>
      <c r="J2956" s="11" t="str">
        <f aca="false">IF(D2956="","",N(G2956)-N(H2956))</f>
        <v/>
      </c>
      <c r="K2956" s="34" t="str">
        <f aca="false">IF(D2956="","",IFERROR(INDEX(I_COA!$C$6:$C$265,MATCH(D2956,I_COA!$A$6:$A$265,0)),"AKUN BARU"))</f>
        <v/>
      </c>
      <c r="L2956" s="34" t="str">
        <f aca="false">IF(K2956="LabaRugi",INDEX(I_COA!$D$6:$D$265,MATCH(D2956,I_COA!$A$6:$A$265,0)),"")</f>
        <v/>
      </c>
      <c r="M2956" s="34" t="str">
        <f aca="false">IF(K2956="Neraca",INDEX(I_COA!$E$6:$E$265,MATCH(D2956,I_COA!$A$6:$A$265,0)),"")</f>
        <v/>
      </c>
      <c r="N2956" s="34" t="str">
        <f aca="false">IF(D2956="","",IFERROR(INDEX(I_COA!$G$6:$G$265,MATCH(D2956,I_COA!$A$6:$A$265,0)),"N"))</f>
        <v/>
      </c>
      <c r="O2956" s="11" t="str">
        <f aca="false">IF(N2956="N",ABS(J2956),"")</f>
        <v/>
      </c>
      <c r="P2956" s="18" t="str">
        <f aca="false">IF(N2956="N",B2956&amp;"|"&amp;ROUND(O2956,0),"")</f>
        <v/>
      </c>
      <c r="Q2956" s="18" t="str">
        <f aca="false">IF(N2956&lt;&gt;"Y","",IFERROR(INDEX($D$6:$D$4005,MATCH(B2956&amp;"|"&amp;ROUND(_xlfn.MAXIFS($O$6:$O$4005,$B$6:$B$4005,B2956,$N$6:$N$4005,"N"),0),$P$6:$P$4005,0)),"(tanpa lawan)"))</f>
        <v/>
      </c>
      <c r="R2956" s="44"/>
      <c r="S2956" s="9" t="str">
        <f aca="false">IF(N2956&lt;&gt;"Y","",IF(R2956&lt;&gt;"",R2956,IF(Q2956="(tanpa lawan)","Transfer antar rekening",IFERROR(INDEX(I_COA!$F$6:$F$265,MATCH(Q2956,I_COA!$A$6:$A$265,0)),"?"))))</f>
        <v/>
      </c>
    </row>
    <row r="2957" customFormat="false" ht="15" hidden="false" customHeight="false" outlineLevel="0" collapsed="false">
      <c r="A2957" s="37"/>
      <c r="B2957" s="44"/>
      <c r="C2957" s="44"/>
      <c r="D2957" s="44"/>
      <c r="E2957" s="44"/>
      <c r="F2957" s="44"/>
      <c r="G2957" s="42"/>
      <c r="H2957" s="42"/>
      <c r="I2957" s="44"/>
      <c r="J2957" s="11" t="str">
        <f aca="false">IF(D2957="","",N(G2957)-N(H2957))</f>
        <v/>
      </c>
      <c r="K2957" s="34" t="str">
        <f aca="false">IF(D2957="","",IFERROR(INDEX(I_COA!$C$6:$C$265,MATCH(D2957,I_COA!$A$6:$A$265,0)),"AKUN BARU"))</f>
        <v/>
      </c>
      <c r="L2957" s="34" t="str">
        <f aca="false">IF(K2957="LabaRugi",INDEX(I_COA!$D$6:$D$265,MATCH(D2957,I_COA!$A$6:$A$265,0)),"")</f>
        <v/>
      </c>
      <c r="M2957" s="34" t="str">
        <f aca="false">IF(K2957="Neraca",INDEX(I_COA!$E$6:$E$265,MATCH(D2957,I_COA!$A$6:$A$265,0)),"")</f>
        <v/>
      </c>
      <c r="N2957" s="34" t="str">
        <f aca="false">IF(D2957="","",IFERROR(INDEX(I_COA!$G$6:$G$265,MATCH(D2957,I_COA!$A$6:$A$265,0)),"N"))</f>
        <v/>
      </c>
      <c r="O2957" s="11" t="str">
        <f aca="false">IF(N2957="N",ABS(J2957),"")</f>
        <v/>
      </c>
      <c r="P2957" s="18" t="str">
        <f aca="false">IF(N2957="N",B2957&amp;"|"&amp;ROUND(O2957,0),"")</f>
        <v/>
      </c>
      <c r="Q2957" s="18" t="str">
        <f aca="false">IF(N2957&lt;&gt;"Y","",IFERROR(INDEX($D$6:$D$4005,MATCH(B2957&amp;"|"&amp;ROUND(_xlfn.MAXIFS($O$6:$O$4005,$B$6:$B$4005,B2957,$N$6:$N$4005,"N"),0),$P$6:$P$4005,0)),"(tanpa lawan)"))</f>
        <v/>
      </c>
      <c r="R2957" s="44"/>
      <c r="S2957" s="9" t="str">
        <f aca="false">IF(N2957&lt;&gt;"Y","",IF(R2957&lt;&gt;"",R2957,IF(Q2957="(tanpa lawan)","Transfer antar rekening",IFERROR(INDEX(I_COA!$F$6:$F$265,MATCH(Q2957,I_COA!$A$6:$A$265,0)),"?"))))</f>
        <v/>
      </c>
    </row>
    <row r="2958" customFormat="false" ht="15" hidden="false" customHeight="false" outlineLevel="0" collapsed="false">
      <c r="A2958" s="37"/>
      <c r="B2958" s="44"/>
      <c r="C2958" s="44"/>
      <c r="D2958" s="44"/>
      <c r="E2958" s="44"/>
      <c r="F2958" s="44"/>
      <c r="G2958" s="42"/>
      <c r="H2958" s="42"/>
      <c r="I2958" s="44"/>
      <c r="J2958" s="11" t="str">
        <f aca="false">IF(D2958="","",N(G2958)-N(H2958))</f>
        <v/>
      </c>
      <c r="K2958" s="34" t="str">
        <f aca="false">IF(D2958="","",IFERROR(INDEX(I_COA!$C$6:$C$265,MATCH(D2958,I_COA!$A$6:$A$265,0)),"AKUN BARU"))</f>
        <v/>
      </c>
      <c r="L2958" s="34" t="str">
        <f aca="false">IF(K2958="LabaRugi",INDEX(I_COA!$D$6:$D$265,MATCH(D2958,I_COA!$A$6:$A$265,0)),"")</f>
        <v/>
      </c>
      <c r="M2958" s="34" t="str">
        <f aca="false">IF(K2958="Neraca",INDEX(I_COA!$E$6:$E$265,MATCH(D2958,I_COA!$A$6:$A$265,0)),"")</f>
        <v/>
      </c>
      <c r="N2958" s="34" t="str">
        <f aca="false">IF(D2958="","",IFERROR(INDEX(I_COA!$G$6:$G$265,MATCH(D2958,I_COA!$A$6:$A$265,0)),"N"))</f>
        <v/>
      </c>
      <c r="O2958" s="11" t="str">
        <f aca="false">IF(N2958="N",ABS(J2958),"")</f>
        <v/>
      </c>
      <c r="P2958" s="18" t="str">
        <f aca="false">IF(N2958="N",B2958&amp;"|"&amp;ROUND(O2958,0),"")</f>
        <v/>
      </c>
      <c r="Q2958" s="18" t="str">
        <f aca="false">IF(N2958&lt;&gt;"Y","",IFERROR(INDEX($D$6:$D$4005,MATCH(B2958&amp;"|"&amp;ROUND(_xlfn.MAXIFS($O$6:$O$4005,$B$6:$B$4005,B2958,$N$6:$N$4005,"N"),0),$P$6:$P$4005,0)),"(tanpa lawan)"))</f>
        <v/>
      </c>
      <c r="R2958" s="44"/>
      <c r="S2958" s="9" t="str">
        <f aca="false">IF(N2958&lt;&gt;"Y","",IF(R2958&lt;&gt;"",R2958,IF(Q2958="(tanpa lawan)","Transfer antar rekening",IFERROR(INDEX(I_COA!$F$6:$F$265,MATCH(Q2958,I_COA!$A$6:$A$265,0)),"?"))))</f>
        <v/>
      </c>
    </row>
    <row r="2959" customFormat="false" ht="15" hidden="false" customHeight="false" outlineLevel="0" collapsed="false">
      <c r="A2959" s="37"/>
      <c r="B2959" s="44"/>
      <c r="C2959" s="44"/>
      <c r="D2959" s="44"/>
      <c r="E2959" s="44"/>
      <c r="F2959" s="44"/>
      <c r="G2959" s="42"/>
      <c r="H2959" s="42"/>
      <c r="I2959" s="44"/>
      <c r="J2959" s="11" t="str">
        <f aca="false">IF(D2959="","",N(G2959)-N(H2959))</f>
        <v/>
      </c>
      <c r="K2959" s="34" t="str">
        <f aca="false">IF(D2959="","",IFERROR(INDEX(I_COA!$C$6:$C$265,MATCH(D2959,I_COA!$A$6:$A$265,0)),"AKUN BARU"))</f>
        <v/>
      </c>
      <c r="L2959" s="34" t="str">
        <f aca="false">IF(K2959="LabaRugi",INDEX(I_COA!$D$6:$D$265,MATCH(D2959,I_COA!$A$6:$A$265,0)),"")</f>
        <v/>
      </c>
      <c r="M2959" s="34" t="str">
        <f aca="false">IF(K2959="Neraca",INDEX(I_COA!$E$6:$E$265,MATCH(D2959,I_COA!$A$6:$A$265,0)),"")</f>
        <v/>
      </c>
      <c r="N2959" s="34" t="str">
        <f aca="false">IF(D2959="","",IFERROR(INDEX(I_COA!$G$6:$G$265,MATCH(D2959,I_COA!$A$6:$A$265,0)),"N"))</f>
        <v/>
      </c>
      <c r="O2959" s="11" t="str">
        <f aca="false">IF(N2959="N",ABS(J2959),"")</f>
        <v/>
      </c>
      <c r="P2959" s="18" t="str">
        <f aca="false">IF(N2959="N",B2959&amp;"|"&amp;ROUND(O2959,0),"")</f>
        <v/>
      </c>
      <c r="Q2959" s="18" t="str">
        <f aca="false">IF(N2959&lt;&gt;"Y","",IFERROR(INDEX($D$6:$D$4005,MATCH(B2959&amp;"|"&amp;ROUND(_xlfn.MAXIFS($O$6:$O$4005,$B$6:$B$4005,B2959,$N$6:$N$4005,"N"),0),$P$6:$P$4005,0)),"(tanpa lawan)"))</f>
        <v/>
      </c>
      <c r="R2959" s="44"/>
      <c r="S2959" s="9" t="str">
        <f aca="false">IF(N2959&lt;&gt;"Y","",IF(R2959&lt;&gt;"",R2959,IF(Q2959="(tanpa lawan)","Transfer antar rekening",IFERROR(INDEX(I_COA!$F$6:$F$265,MATCH(Q2959,I_COA!$A$6:$A$265,0)),"?"))))</f>
        <v/>
      </c>
    </row>
    <row r="2960" customFormat="false" ht="15" hidden="false" customHeight="false" outlineLevel="0" collapsed="false">
      <c r="A2960" s="37"/>
      <c r="B2960" s="44"/>
      <c r="C2960" s="44"/>
      <c r="D2960" s="44"/>
      <c r="E2960" s="44"/>
      <c r="F2960" s="44"/>
      <c r="G2960" s="42"/>
      <c r="H2960" s="42"/>
      <c r="I2960" s="44"/>
      <c r="J2960" s="11" t="str">
        <f aca="false">IF(D2960="","",N(G2960)-N(H2960))</f>
        <v/>
      </c>
      <c r="K2960" s="34" t="str">
        <f aca="false">IF(D2960="","",IFERROR(INDEX(I_COA!$C$6:$C$265,MATCH(D2960,I_COA!$A$6:$A$265,0)),"AKUN BARU"))</f>
        <v/>
      </c>
      <c r="L2960" s="34" t="str">
        <f aca="false">IF(K2960="LabaRugi",INDEX(I_COA!$D$6:$D$265,MATCH(D2960,I_COA!$A$6:$A$265,0)),"")</f>
        <v/>
      </c>
      <c r="M2960" s="34" t="str">
        <f aca="false">IF(K2960="Neraca",INDEX(I_COA!$E$6:$E$265,MATCH(D2960,I_COA!$A$6:$A$265,0)),"")</f>
        <v/>
      </c>
      <c r="N2960" s="34" t="str">
        <f aca="false">IF(D2960="","",IFERROR(INDEX(I_COA!$G$6:$G$265,MATCH(D2960,I_COA!$A$6:$A$265,0)),"N"))</f>
        <v/>
      </c>
      <c r="O2960" s="11" t="str">
        <f aca="false">IF(N2960="N",ABS(J2960),"")</f>
        <v/>
      </c>
      <c r="P2960" s="18" t="str">
        <f aca="false">IF(N2960="N",B2960&amp;"|"&amp;ROUND(O2960,0),"")</f>
        <v/>
      </c>
      <c r="Q2960" s="18" t="str">
        <f aca="false">IF(N2960&lt;&gt;"Y","",IFERROR(INDEX($D$6:$D$4005,MATCH(B2960&amp;"|"&amp;ROUND(_xlfn.MAXIFS($O$6:$O$4005,$B$6:$B$4005,B2960,$N$6:$N$4005,"N"),0),$P$6:$P$4005,0)),"(tanpa lawan)"))</f>
        <v/>
      </c>
      <c r="R2960" s="44"/>
      <c r="S2960" s="9" t="str">
        <f aca="false">IF(N2960&lt;&gt;"Y","",IF(R2960&lt;&gt;"",R2960,IF(Q2960="(tanpa lawan)","Transfer antar rekening",IFERROR(INDEX(I_COA!$F$6:$F$265,MATCH(Q2960,I_COA!$A$6:$A$265,0)),"?"))))</f>
        <v/>
      </c>
    </row>
    <row r="2961" customFormat="false" ht="15" hidden="false" customHeight="false" outlineLevel="0" collapsed="false">
      <c r="A2961" s="37"/>
      <c r="B2961" s="44"/>
      <c r="C2961" s="44"/>
      <c r="D2961" s="44"/>
      <c r="E2961" s="44"/>
      <c r="F2961" s="44"/>
      <c r="G2961" s="42"/>
      <c r="H2961" s="42"/>
      <c r="I2961" s="44"/>
      <c r="J2961" s="11" t="str">
        <f aca="false">IF(D2961="","",N(G2961)-N(H2961))</f>
        <v/>
      </c>
      <c r="K2961" s="34" t="str">
        <f aca="false">IF(D2961="","",IFERROR(INDEX(I_COA!$C$6:$C$265,MATCH(D2961,I_COA!$A$6:$A$265,0)),"AKUN BARU"))</f>
        <v/>
      </c>
      <c r="L2961" s="34" t="str">
        <f aca="false">IF(K2961="LabaRugi",INDEX(I_COA!$D$6:$D$265,MATCH(D2961,I_COA!$A$6:$A$265,0)),"")</f>
        <v/>
      </c>
      <c r="M2961" s="34" t="str">
        <f aca="false">IF(K2961="Neraca",INDEX(I_COA!$E$6:$E$265,MATCH(D2961,I_COA!$A$6:$A$265,0)),"")</f>
        <v/>
      </c>
      <c r="N2961" s="34" t="str">
        <f aca="false">IF(D2961="","",IFERROR(INDEX(I_COA!$G$6:$G$265,MATCH(D2961,I_COA!$A$6:$A$265,0)),"N"))</f>
        <v/>
      </c>
      <c r="O2961" s="11" t="str">
        <f aca="false">IF(N2961="N",ABS(J2961),"")</f>
        <v/>
      </c>
      <c r="P2961" s="18" t="str">
        <f aca="false">IF(N2961="N",B2961&amp;"|"&amp;ROUND(O2961,0),"")</f>
        <v/>
      </c>
      <c r="Q2961" s="18" t="str">
        <f aca="false">IF(N2961&lt;&gt;"Y","",IFERROR(INDEX($D$6:$D$4005,MATCH(B2961&amp;"|"&amp;ROUND(_xlfn.MAXIFS($O$6:$O$4005,$B$6:$B$4005,B2961,$N$6:$N$4005,"N"),0),$P$6:$P$4005,0)),"(tanpa lawan)"))</f>
        <v/>
      </c>
      <c r="R2961" s="44"/>
      <c r="S2961" s="9" t="str">
        <f aca="false">IF(N2961&lt;&gt;"Y","",IF(R2961&lt;&gt;"",R2961,IF(Q2961="(tanpa lawan)","Transfer antar rekening",IFERROR(INDEX(I_COA!$F$6:$F$265,MATCH(Q2961,I_COA!$A$6:$A$265,0)),"?"))))</f>
        <v/>
      </c>
    </row>
    <row r="2962" customFormat="false" ht="15" hidden="false" customHeight="false" outlineLevel="0" collapsed="false">
      <c r="A2962" s="37"/>
      <c r="B2962" s="44"/>
      <c r="C2962" s="44"/>
      <c r="D2962" s="44"/>
      <c r="E2962" s="44"/>
      <c r="F2962" s="44"/>
      <c r="G2962" s="42"/>
      <c r="H2962" s="42"/>
      <c r="I2962" s="44"/>
      <c r="J2962" s="11" t="str">
        <f aca="false">IF(D2962="","",N(G2962)-N(H2962))</f>
        <v/>
      </c>
      <c r="K2962" s="34" t="str">
        <f aca="false">IF(D2962="","",IFERROR(INDEX(I_COA!$C$6:$C$265,MATCH(D2962,I_COA!$A$6:$A$265,0)),"AKUN BARU"))</f>
        <v/>
      </c>
      <c r="L2962" s="34" t="str">
        <f aca="false">IF(K2962="LabaRugi",INDEX(I_COA!$D$6:$D$265,MATCH(D2962,I_COA!$A$6:$A$265,0)),"")</f>
        <v/>
      </c>
      <c r="M2962" s="34" t="str">
        <f aca="false">IF(K2962="Neraca",INDEX(I_COA!$E$6:$E$265,MATCH(D2962,I_COA!$A$6:$A$265,0)),"")</f>
        <v/>
      </c>
      <c r="N2962" s="34" t="str">
        <f aca="false">IF(D2962="","",IFERROR(INDEX(I_COA!$G$6:$G$265,MATCH(D2962,I_COA!$A$6:$A$265,0)),"N"))</f>
        <v/>
      </c>
      <c r="O2962" s="11" t="str">
        <f aca="false">IF(N2962="N",ABS(J2962),"")</f>
        <v/>
      </c>
      <c r="P2962" s="18" t="str">
        <f aca="false">IF(N2962="N",B2962&amp;"|"&amp;ROUND(O2962,0),"")</f>
        <v/>
      </c>
      <c r="Q2962" s="18" t="str">
        <f aca="false">IF(N2962&lt;&gt;"Y","",IFERROR(INDEX($D$6:$D$4005,MATCH(B2962&amp;"|"&amp;ROUND(_xlfn.MAXIFS($O$6:$O$4005,$B$6:$B$4005,B2962,$N$6:$N$4005,"N"),0),$P$6:$P$4005,0)),"(tanpa lawan)"))</f>
        <v/>
      </c>
      <c r="R2962" s="44"/>
      <c r="S2962" s="9" t="str">
        <f aca="false">IF(N2962&lt;&gt;"Y","",IF(R2962&lt;&gt;"",R2962,IF(Q2962="(tanpa lawan)","Transfer antar rekening",IFERROR(INDEX(I_COA!$F$6:$F$265,MATCH(Q2962,I_COA!$A$6:$A$265,0)),"?"))))</f>
        <v/>
      </c>
    </row>
    <row r="2963" customFormat="false" ht="15" hidden="false" customHeight="false" outlineLevel="0" collapsed="false">
      <c r="A2963" s="37"/>
      <c r="B2963" s="44"/>
      <c r="C2963" s="44"/>
      <c r="D2963" s="44"/>
      <c r="E2963" s="44"/>
      <c r="F2963" s="44"/>
      <c r="G2963" s="42"/>
      <c r="H2963" s="42"/>
      <c r="I2963" s="44"/>
      <c r="J2963" s="11" t="str">
        <f aca="false">IF(D2963="","",N(G2963)-N(H2963))</f>
        <v/>
      </c>
      <c r="K2963" s="34" t="str">
        <f aca="false">IF(D2963="","",IFERROR(INDEX(I_COA!$C$6:$C$265,MATCH(D2963,I_COA!$A$6:$A$265,0)),"AKUN BARU"))</f>
        <v/>
      </c>
      <c r="L2963" s="34" t="str">
        <f aca="false">IF(K2963="LabaRugi",INDEX(I_COA!$D$6:$D$265,MATCH(D2963,I_COA!$A$6:$A$265,0)),"")</f>
        <v/>
      </c>
      <c r="M2963" s="34" t="str">
        <f aca="false">IF(K2963="Neraca",INDEX(I_COA!$E$6:$E$265,MATCH(D2963,I_COA!$A$6:$A$265,0)),"")</f>
        <v/>
      </c>
      <c r="N2963" s="34" t="str">
        <f aca="false">IF(D2963="","",IFERROR(INDEX(I_COA!$G$6:$G$265,MATCH(D2963,I_COA!$A$6:$A$265,0)),"N"))</f>
        <v/>
      </c>
      <c r="O2963" s="11" t="str">
        <f aca="false">IF(N2963="N",ABS(J2963),"")</f>
        <v/>
      </c>
      <c r="P2963" s="18" t="str">
        <f aca="false">IF(N2963="N",B2963&amp;"|"&amp;ROUND(O2963,0),"")</f>
        <v/>
      </c>
      <c r="Q2963" s="18" t="str">
        <f aca="false">IF(N2963&lt;&gt;"Y","",IFERROR(INDEX($D$6:$D$4005,MATCH(B2963&amp;"|"&amp;ROUND(_xlfn.MAXIFS($O$6:$O$4005,$B$6:$B$4005,B2963,$N$6:$N$4005,"N"),0),$P$6:$P$4005,0)),"(tanpa lawan)"))</f>
        <v/>
      </c>
      <c r="R2963" s="44"/>
      <c r="S2963" s="9" t="str">
        <f aca="false">IF(N2963&lt;&gt;"Y","",IF(R2963&lt;&gt;"",R2963,IF(Q2963="(tanpa lawan)","Transfer antar rekening",IFERROR(INDEX(I_COA!$F$6:$F$265,MATCH(Q2963,I_COA!$A$6:$A$265,0)),"?"))))</f>
        <v/>
      </c>
    </row>
    <row r="2964" customFormat="false" ht="15" hidden="false" customHeight="false" outlineLevel="0" collapsed="false">
      <c r="A2964" s="37"/>
      <c r="B2964" s="44"/>
      <c r="C2964" s="44"/>
      <c r="D2964" s="44"/>
      <c r="E2964" s="44"/>
      <c r="F2964" s="44"/>
      <c r="G2964" s="42"/>
      <c r="H2964" s="42"/>
      <c r="I2964" s="44"/>
      <c r="J2964" s="11" t="str">
        <f aca="false">IF(D2964="","",N(G2964)-N(H2964))</f>
        <v/>
      </c>
      <c r="K2964" s="34" t="str">
        <f aca="false">IF(D2964="","",IFERROR(INDEX(I_COA!$C$6:$C$265,MATCH(D2964,I_COA!$A$6:$A$265,0)),"AKUN BARU"))</f>
        <v/>
      </c>
      <c r="L2964" s="34" t="str">
        <f aca="false">IF(K2964="LabaRugi",INDEX(I_COA!$D$6:$D$265,MATCH(D2964,I_COA!$A$6:$A$265,0)),"")</f>
        <v/>
      </c>
      <c r="M2964" s="34" t="str">
        <f aca="false">IF(K2964="Neraca",INDEX(I_COA!$E$6:$E$265,MATCH(D2964,I_COA!$A$6:$A$265,0)),"")</f>
        <v/>
      </c>
      <c r="N2964" s="34" t="str">
        <f aca="false">IF(D2964="","",IFERROR(INDEX(I_COA!$G$6:$G$265,MATCH(D2964,I_COA!$A$6:$A$265,0)),"N"))</f>
        <v/>
      </c>
      <c r="O2964" s="11" t="str">
        <f aca="false">IF(N2964="N",ABS(J2964),"")</f>
        <v/>
      </c>
      <c r="P2964" s="18" t="str">
        <f aca="false">IF(N2964="N",B2964&amp;"|"&amp;ROUND(O2964,0),"")</f>
        <v/>
      </c>
      <c r="Q2964" s="18" t="str">
        <f aca="false">IF(N2964&lt;&gt;"Y","",IFERROR(INDEX($D$6:$D$4005,MATCH(B2964&amp;"|"&amp;ROUND(_xlfn.MAXIFS($O$6:$O$4005,$B$6:$B$4005,B2964,$N$6:$N$4005,"N"),0),$P$6:$P$4005,0)),"(tanpa lawan)"))</f>
        <v/>
      </c>
      <c r="R2964" s="44"/>
      <c r="S2964" s="9" t="str">
        <f aca="false">IF(N2964&lt;&gt;"Y","",IF(R2964&lt;&gt;"",R2964,IF(Q2964="(tanpa lawan)","Transfer antar rekening",IFERROR(INDEX(I_COA!$F$6:$F$265,MATCH(Q2964,I_COA!$A$6:$A$265,0)),"?"))))</f>
        <v/>
      </c>
    </row>
    <row r="2965" customFormat="false" ht="15" hidden="false" customHeight="false" outlineLevel="0" collapsed="false">
      <c r="A2965" s="37"/>
      <c r="B2965" s="44"/>
      <c r="C2965" s="44"/>
      <c r="D2965" s="44"/>
      <c r="E2965" s="44"/>
      <c r="F2965" s="44"/>
      <c r="G2965" s="42"/>
      <c r="H2965" s="42"/>
      <c r="I2965" s="44"/>
      <c r="J2965" s="11" t="str">
        <f aca="false">IF(D2965="","",N(G2965)-N(H2965))</f>
        <v/>
      </c>
      <c r="K2965" s="34" t="str">
        <f aca="false">IF(D2965="","",IFERROR(INDEX(I_COA!$C$6:$C$265,MATCH(D2965,I_COA!$A$6:$A$265,0)),"AKUN BARU"))</f>
        <v/>
      </c>
      <c r="L2965" s="34" t="str">
        <f aca="false">IF(K2965="LabaRugi",INDEX(I_COA!$D$6:$D$265,MATCH(D2965,I_COA!$A$6:$A$265,0)),"")</f>
        <v/>
      </c>
      <c r="M2965" s="34" t="str">
        <f aca="false">IF(K2965="Neraca",INDEX(I_COA!$E$6:$E$265,MATCH(D2965,I_COA!$A$6:$A$265,0)),"")</f>
        <v/>
      </c>
      <c r="N2965" s="34" t="str">
        <f aca="false">IF(D2965="","",IFERROR(INDEX(I_COA!$G$6:$G$265,MATCH(D2965,I_COA!$A$6:$A$265,0)),"N"))</f>
        <v/>
      </c>
      <c r="O2965" s="11" t="str">
        <f aca="false">IF(N2965="N",ABS(J2965),"")</f>
        <v/>
      </c>
      <c r="P2965" s="18" t="str">
        <f aca="false">IF(N2965="N",B2965&amp;"|"&amp;ROUND(O2965,0),"")</f>
        <v/>
      </c>
      <c r="Q2965" s="18" t="str">
        <f aca="false">IF(N2965&lt;&gt;"Y","",IFERROR(INDEX($D$6:$D$4005,MATCH(B2965&amp;"|"&amp;ROUND(_xlfn.MAXIFS($O$6:$O$4005,$B$6:$B$4005,B2965,$N$6:$N$4005,"N"),0),$P$6:$P$4005,0)),"(tanpa lawan)"))</f>
        <v/>
      </c>
      <c r="R2965" s="44"/>
      <c r="S2965" s="9" t="str">
        <f aca="false">IF(N2965&lt;&gt;"Y","",IF(R2965&lt;&gt;"",R2965,IF(Q2965="(tanpa lawan)","Transfer antar rekening",IFERROR(INDEX(I_COA!$F$6:$F$265,MATCH(Q2965,I_COA!$A$6:$A$265,0)),"?"))))</f>
        <v/>
      </c>
    </row>
    <row r="2966" customFormat="false" ht="15" hidden="false" customHeight="false" outlineLevel="0" collapsed="false">
      <c r="A2966" s="37"/>
      <c r="B2966" s="44"/>
      <c r="C2966" s="44"/>
      <c r="D2966" s="44"/>
      <c r="E2966" s="44"/>
      <c r="F2966" s="44"/>
      <c r="G2966" s="42"/>
      <c r="H2966" s="42"/>
      <c r="I2966" s="44"/>
      <c r="J2966" s="11" t="str">
        <f aca="false">IF(D2966="","",N(G2966)-N(H2966))</f>
        <v/>
      </c>
      <c r="K2966" s="34" t="str">
        <f aca="false">IF(D2966="","",IFERROR(INDEX(I_COA!$C$6:$C$265,MATCH(D2966,I_COA!$A$6:$A$265,0)),"AKUN BARU"))</f>
        <v/>
      </c>
      <c r="L2966" s="34" t="str">
        <f aca="false">IF(K2966="LabaRugi",INDEX(I_COA!$D$6:$D$265,MATCH(D2966,I_COA!$A$6:$A$265,0)),"")</f>
        <v/>
      </c>
      <c r="M2966" s="34" t="str">
        <f aca="false">IF(K2966="Neraca",INDEX(I_COA!$E$6:$E$265,MATCH(D2966,I_COA!$A$6:$A$265,0)),"")</f>
        <v/>
      </c>
      <c r="N2966" s="34" t="str">
        <f aca="false">IF(D2966="","",IFERROR(INDEX(I_COA!$G$6:$G$265,MATCH(D2966,I_COA!$A$6:$A$265,0)),"N"))</f>
        <v/>
      </c>
      <c r="O2966" s="11" t="str">
        <f aca="false">IF(N2966="N",ABS(J2966),"")</f>
        <v/>
      </c>
      <c r="P2966" s="18" t="str">
        <f aca="false">IF(N2966="N",B2966&amp;"|"&amp;ROUND(O2966,0),"")</f>
        <v/>
      </c>
      <c r="Q2966" s="18" t="str">
        <f aca="false">IF(N2966&lt;&gt;"Y","",IFERROR(INDEX($D$6:$D$4005,MATCH(B2966&amp;"|"&amp;ROUND(_xlfn.MAXIFS($O$6:$O$4005,$B$6:$B$4005,B2966,$N$6:$N$4005,"N"),0),$P$6:$P$4005,0)),"(tanpa lawan)"))</f>
        <v/>
      </c>
      <c r="R2966" s="44"/>
      <c r="S2966" s="9" t="str">
        <f aca="false">IF(N2966&lt;&gt;"Y","",IF(R2966&lt;&gt;"",R2966,IF(Q2966="(tanpa lawan)","Transfer antar rekening",IFERROR(INDEX(I_COA!$F$6:$F$265,MATCH(Q2966,I_COA!$A$6:$A$265,0)),"?"))))</f>
        <v/>
      </c>
    </row>
    <row r="2967" customFormat="false" ht="15" hidden="false" customHeight="false" outlineLevel="0" collapsed="false">
      <c r="A2967" s="37"/>
      <c r="B2967" s="44"/>
      <c r="C2967" s="44"/>
      <c r="D2967" s="44"/>
      <c r="E2967" s="44"/>
      <c r="F2967" s="44"/>
      <c r="G2967" s="42"/>
      <c r="H2967" s="42"/>
      <c r="I2967" s="44"/>
      <c r="J2967" s="11" t="str">
        <f aca="false">IF(D2967="","",N(G2967)-N(H2967))</f>
        <v/>
      </c>
      <c r="K2967" s="34" t="str">
        <f aca="false">IF(D2967="","",IFERROR(INDEX(I_COA!$C$6:$C$265,MATCH(D2967,I_COA!$A$6:$A$265,0)),"AKUN BARU"))</f>
        <v/>
      </c>
      <c r="L2967" s="34" t="str">
        <f aca="false">IF(K2967="LabaRugi",INDEX(I_COA!$D$6:$D$265,MATCH(D2967,I_COA!$A$6:$A$265,0)),"")</f>
        <v/>
      </c>
      <c r="M2967" s="34" t="str">
        <f aca="false">IF(K2967="Neraca",INDEX(I_COA!$E$6:$E$265,MATCH(D2967,I_COA!$A$6:$A$265,0)),"")</f>
        <v/>
      </c>
      <c r="N2967" s="34" t="str">
        <f aca="false">IF(D2967="","",IFERROR(INDEX(I_COA!$G$6:$G$265,MATCH(D2967,I_COA!$A$6:$A$265,0)),"N"))</f>
        <v/>
      </c>
      <c r="O2967" s="11" t="str">
        <f aca="false">IF(N2967="N",ABS(J2967),"")</f>
        <v/>
      </c>
      <c r="P2967" s="18" t="str">
        <f aca="false">IF(N2967="N",B2967&amp;"|"&amp;ROUND(O2967,0),"")</f>
        <v/>
      </c>
      <c r="Q2967" s="18" t="str">
        <f aca="false">IF(N2967&lt;&gt;"Y","",IFERROR(INDEX($D$6:$D$4005,MATCH(B2967&amp;"|"&amp;ROUND(_xlfn.MAXIFS($O$6:$O$4005,$B$6:$B$4005,B2967,$N$6:$N$4005,"N"),0),$P$6:$P$4005,0)),"(tanpa lawan)"))</f>
        <v/>
      </c>
      <c r="R2967" s="44"/>
      <c r="S2967" s="9" t="str">
        <f aca="false">IF(N2967&lt;&gt;"Y","",IF(R2967&lt;&gt;"",R2967,IF(Q2967="(tanpa lawan)","Transfer antar rekening",IFERROR(INDEX(I_COA!$F$6:$F$265,MATCH(Q2967,I_COA!$A$6:$A$265,0)),"?"))))</f>
        <v/>
      </c>
    </row>
    <row r="2968" customFormat="false" ht="15" hidden="false" customHeight="false" outlineLevel="0" collapsed="false">
      <c r="A2968" s="37"/>
      <c r="B2968" s="44"/>
      <c r="C2968" s="44"/>
      <c r="D2968" s="44"/>
      <c r="E2968" s="44"/>
      <c r="F2968" s="44"/>
      <c r="G2968" s="42"/>
      <c r="H2968" s="42"/>
      <c r="I2968" s="44"/>
      <c r="J2968" s="11" t="str">
        <f aca="false">IF(D2968="","",N(G2968)-N(H2968))</f>
        <v/>
      </c>
      <c r="K2968" s="34" t="str">
        <f aca="false">IF(D2968="","",IFERROR(INDEX(I_COA!$C$6:$C$265,MATCH(D2968,I_COA!$A$6:$A$265,0)),"AKUN BARU"))</f>
        <v/>
      </c>
      <c r="L2968" s="34" t="str">
        <f aca="false">IF(K2968="LabaRugi",INDEX(I_COA!$D$6:$D$265,MATCH(D2968,I_COA!$A$6:$A$265,0)),"")</f>
        <v/>
      </c>
      <c r="M2968" s="34" t="str">
        <f aca="false">IF(K2968="Neraca",INDEX(I_COA!$E$6:$E$265,MATCH(D2968,I_COA!$A$6:$A$265,0)),"")</f>
        <v/>
      </c>
      <c r="N2968" s="34" t="str">
        <f aca="false">IF(D2968="","",IFERROR(INDEX(I_COA!$G$6:$G$265,MATCH(D2968,I_COA!$A$6:$A$265,0)),"N"))</f>
        <v/>
      </c>
      <c r="O2968" s="11" t="str">
        <f aca="false">IF(N2968="N",ABS(J2968),"")</f>
        <v/>
      </c>
      <c r="P2968" s="18" t="str">
        <f aca="false">IF(N2968="N",B2968&amp;"|"&amp;ROUND(O2968,0),"")</f>
        <v/>
      </c>
      <c r="Q2968" s="18" t="str">
        <f aca="false">IF(N2968&lt;&gt;"Y","",IFERROR(INDEX($D$6:$D$4005,MATCH(B2968&amp;"|"&amp;ROUND(_xlfn.MAXIFS($O$6:$O$4005,$B$6:$B$4005,B2968,$N$6:$N$4005,"N"),0),$P$6:$P$4005,0)),"(tanpa lawan)"))</f>
        <v/>
      </c>
      <c r="R2968" s="44"/>
      <c r="S2968" s="9" t="str">
        <f aca="false">IF(N2968&lt;&gt;"Y","",IF(R2968&lt;&gt;"",R2968,IF(Q2968="(tanpa lawan)","Transfer antar rekening",IFERROR(INDEX(I_COA!$F$6:$F$265,MATCH(Q2968,I_COA!$A$6:$A$265,0)),"?"))))</f>
        <v/>
      </c>
    </row>
    <row r="2969" customFormat="false" ht="15" hidden="false" customHeight="false" outlineLevel="0" collapsed="false">
      <c r="A2969" s="37"/>
      <c r="B2969" s="44"/>
      <c r="C2969" s="44"/>
      <c r="D2969" s="44"/>
      <c r="E2969" s="44"/>
      <c r="F2969" s="44"/>
      <c r="G2969" s="42"/>
      <c r="H2969" s="42"/>
      <c r="I2969" s="44"/>
      <c r="J2969" s="11" t="str">
        <f aca="false">IF(D2969="","",N(G2969)-N(H2969))</f>
        <v/>
      </c>
      <c r="K2969" s="34" t="str">
        <f aca="false">IF(D2969="","",IFERROR(INDEX(I_COA!$C$6:$C$265,MATCH(D2969,I_COA!$A$6:$A$265,0)),"AKUN BARU"))</f>
        <v/>
      </c>
      <c r="L2969" s="34" t="str">
        <f aca="false">IF(K2969="LabaRugi",INDEX(I_COA!$D$6:$D$265,MATCH(D2969,I_COA!$A$6:$A$265,0)),"")</f>
        <v/>
      </c>
      <c r="M2969" s="34" t="str">
        <f aca="false">IF(K2969="Neraca",INDEX(I_COA!$E$6:$E$265,MATCH(D2969,I_COA!$A$6:$A$265,0)),"")</f>
        <v/>
      </c>
      <c r="N2969" s="34" t="str">
        <f aca="false">IF(D2969="","",IFERROR(INDEX(I_COA!$G$6:$G$265,MATCH(D2969,I_COA!$A$6:$A$265,0)),"N"))</f>
        <v/>
      </c>
      <c r="O2969" s="11" t="str">
        <f aca="false">IF(N2969="N",ABS(J2969),"")</f>
        <v/>
      </c>
      <c r="P2969" s="18" t="str">
        <f aca="false">IF(N2969="N",B2969&amp;"|"&amp;ROUND(O2969,0),"")</f>
        <v/>
      </c>
      <c r="Q2969" s="18" t="str">
        <f aca="false">IF(N2969&lt;&gt;"Y","",IFERROR(INDEX($D$6:$D$4005,MATCH(B2969&amp;"|"&amp;ROUND(_xlfn.MAXIFS($O$6:$O$4005,$B$6:$B$4005,B2969,$N$6:$N$4005,"N"),0),$P$6:$P$4005,0)),"(tanpa lawan)"))</f>
        <v/>
      </c>
      <c r="R2969" s="44"/>
      <c r="S2969" s="9" t="str">
        <f aca="false">IF(N2969&lt;&gt;"Y","",IF(R2969&lt;&gt;"",R2969,IF(Q2969="(tanpa lawan)","Transfer antar rekening",IFERROR(INDEX(I_COA!$F$6:$F$265,MATCH(Q2969,I_COA!$A$6:$A$265,0)),"?"))))</f>
        <v/>
      </c>
    </row>
    <row r="2970" customFormat="false" ht="15" hidden="false" customHeight="false" outlineLevel="0" collapsed="false">
      <c r="A2970" s="37"/>
      <c r="B2970" s="44"/>
      <c r="C2970" s="44"/>
      <c r="D2970" s="44"/>
      <c r="E2970" s="44"/>
      <c r="F2970" s="44"/>
      <c r="G2970" s="42"/>
      <c r="H2970" s="42"/>
      <c r="I2970" s="44"/>
      <c r="J2970" s="11" t="str">
        <f aca="false">IF(D2970="","",N(G2970)-N(H2970))</f>
        <v/>
      </c>
      <c r="K2970" s="34" t="str">
        <f aca="false">IF(D2970="","",IFERROR(INDEX(I_COA!$C$6:$C$265,MATCH(D2970,I_COA!$A$6:$A$265,0)),"AKUN BARU"))</f>
        <v/>
      </c>
      <c r="L2970" s="34" t="str">
        <f aca="false">IF(K2970="LabaRugi",INDEX(I_COA!$D$6:$D$265,MATCH(D2970,I_COA!$A$6:$A$265,0)),"")</f>
        <v/>
      </c>
      <c r="M2970" s="34" t="str">
        <f aca="false">IF(K2970="Neraca",INDEX(I_COA!$E$6:$E$265,MATCH(D2970,I_COA!$A$6:$A$265,0)),"")</f>
        <v/>
      </c>
      <c r="N2970" s="34" t="str">
        <f aca="false">IF(D2970="","",IFERROR(INDEX(I_COA!$G$6:$G$265,MATCH(D2970,I_COA!$A$6:$A$265,0)),"N"))</f>
        <v/>
      </c>
      <c r="O2970" s="11" t="str">
        <f aca="false">IF(N2970="N",ABS(J2970),"")</f>
        <v/>
      </c>
      <c r="P2970" s="18" t="str">
        <f aca="false">IF(N2970="N",B2970&amp;"|"&amp;ROUND(O2970,0),"")</f>
        <v/>
      </c>
      <c r="Q2970" s="18" t="str">
        <f aca="false">IF(N2970&lt;&gt;"Y","",IFERROR(INDEX($D$6:$D$4005,MATCH(B2970&amp;"|"&amp;ROUND(_xlfn.MAXIFS($O$6:$O$4005,$B$6:$B$4005,B2970,$N$6:$N$4005,"N"),0),$P$6:$P$4005,0)),"(tanpa lawan)"))</f>
        <v/>
      </c>
      <c r="R2970" s="44"/>
      <c r="S2970" s="9" t="str">
        <f aca="false">IF(N2970&lt;&gt;"Y","",IF(R2970&lt;&gt;"",R2970,IF(Q2970="(tanpa lawan)","Transfer antar rekening",IFERROR(INDEX(I_COA!$F$6:$F$265,MATCH(Q2970,I_COA!$A$6:$A$265,0)),"?"))))</f>
        <v/>
      </c>
    </row>
    <row r="2971" customFormat="false" ht="15" hidden="false" customHeight="false" outlineLevel="0" collapsed="false">
      <c r="A2971" s="37"/>
      <c r="B2971" s="44"/>
      <c r="C2971" s="44"/>
      <c r="D2971" s="44"/>
      <c r="E2971" s="44"/>
      <c r="F2971" s="44"/>
      <c r="G2971" s="42"/>
      <c r="H2971" s="42"/>
      <c r="I2971" s="44"/>
      <c r="J2971" s="11" t="str">
        <f aca="false">IF(D2971="","",N(G2971)-N(H2971))</f>
        <v/>
      </c>
      <c r="K2971" s="34" t="str">
        <f aca="false">IF(D2971="","",IFERROR(INDEX(I_COA!$C$6:$C$265,MATCH(D2971,I_COA!$A$6:$A$265,0)),"AKUN BARU"))</f>
        <v/>
      </c>
      <c r="L2971" s="34" t="str">
        <f aca="false">IF(K2971="LabaRugi",INDEX(I_COA!$D$6:$D$265,MATCH(D2971,I_COA!$A$6:$A$265,0)),"")</f>
        <v/>
      </c>
      <c r="M2971" s="34" t="str">
        <f aca="false">IF(K2971="Neraca",INDEX(I_COA!$E$6:$E$265,MATCH(D2971,I_COA!$A$6:$A$265,0)),"")</f>
        <v/>
      </c>
      <c r="N2971" s="34" t="str">
        <f aca="false">IF(D2971="","",IFERROR(INDEX(I_COA!$G$6:$G$265,MATCH(D2971,I_COA!$A$6:$A$265,0)),"N"))</f>
        <v/>
      </c>
      <c r="O2971" s="11" t="str">
        <f aca="false">IF(N2971="N",ABS(J2971),"")</f>
        <v/>
      </c>
      <c r="P2971" s="18" t="str">
        <f aca="false">IF(N2971="N",B2971&amp;"|"&amp;ROUND(O2971,0),"")</f>
        <v/>
      </c>
      <c r="Q2971" s="18" t="str">
        <f aca="false">IF(N2971&lt;&gt;"Y","",IFERROR(INDEX($D$6:$D$4005,MATCH(B2971&amp;"|"&amp;ROUND(_xlfn.MAXIFS($O$6:$O$4005,$B$6:$B$4005,B2971,$N$6:$N$4005,"N"),0),$P$6:$P$4005,0)),"(tanpa lawan)"))</f>
        <v/>
      </c>
      <c r="R2971" s="44"/>
      <c r="S2971" s="9" t="str">
        <f aca="false">IF(N2971&lt;&gt;"Y","",IF(R2971&lt;&gt;"",R2971,IF(Q2971="(tanpa lawan)","Transfer antar rekening",IFERROR(INDEX(I_COA!$F$6:$F$265,MATCH(Q2971,I_COA!$A$6:$A$265,0)),"?"))))</f>
        <v/>
      </c>
    </row>
    <row r="2972" customFormat="false" ht="15" hidden="false" customHeight="false" outlineLevel="0" collapsed="false">
      <c r="A2972" s="37"/>
      <c r="B2972" s="44"/>
      <c r="C2972" s="44"/>
      <c r="D2972" s="44"/>
      <c r="E2972" s="44"/>
      <c r="F2972" s="44"/>
      <c r="G2972" s="42"/>
      <c r="H2972" s="42"/>
      <c r="I2972" s="44"/>
      <c r="J2972" s="11" t="str">
        <f aca="false">IF(D2972="","",N(G2972)-N(H2972))</f>
        <v/>
      </c>
      <c r="K2972" s="34" t="str">
        <f aca="false">IF(D2972="","",IFERROR(INDEX(I_COA!$C$6:$C$265,MATCH(D2972,I_COA!$A$6:$A$265,0)),"AKUN BARU"))</f>
        <v/>
      </c>
      <c r="L2972" s="34" t="str">
        <f aca="false">IF(K2972="LabaRugi",INDEX(I_COA!$D$6:$D$265,MATCH(D2972,I_COA!$A$6:$A$265,0)),"")</f>
        <v/>
      </c>
      <c r="M2972" s="34" t="str">
        <f aca="false">IF(K2972="Neraca",INDEX(I_COA!$E$6:$E$265,MATCH(D2972,I_COA!$A$6:$A$265,0)),"")</f>
        <v/>
      </c>
      <c r="N2972" s="34" t="str">
        <f aca="false">IF(D2972="","",IFERROR(INDEX(I_COA!$G$6:$G$265,MATCH(D2972,I_COA!$A$6:$A$265,0)),"N"))</f>
        <v/>
      </c>
      <c r="O2972" s="11" t="str">
        <f aca="false">IF(N2972="N",ABS(J2972),"")</f>
        <v/>
      </c>
      <c r="P2972" s="18" t="str">
        <f aca="false">IF(N2972="N",B2972&amp;"|"&amp;ROUND(O2972,0),"")</f>
        <v/>
      </c>
      <c r="Q2972" s="18" t="str">
        <f aca="false">IF(N2972&lt;&gt;"Y","",IFERROR(INDEX($D$6:$D$4005,MATCH(B2972&amp;"|"&amp;ROUND(_xlfn.MAXIFS($O$6:$O$4005,$B$6:$B$4005,B2972,$N$6:$N$4005,"N"),0),$P$6:$P$4005,0)),"(tanpa lawan)"))</f>
        <v/>
      </c>
      <c r="R2972" s="44"/>
      <c r="S2972" s="9" t="str">
        <f aca="false">IF(N2972&lt;&gt;"Y","",IF(R2972&lt;&gt;"",R2972,IF(Q2972="(tanpa lawan)","Transfer antar rekening",IFERROR(INDEX(I_COA!$F$6:$F$265,MATCH(Q2972,I_COA!$A$6:$A$265,0)),"?"))))</f>
        <v/>
      </c>
    </row>
    <row r="2973" customFormat="false" ht="15" hidden="false" customHeight="false" outlineLevel="0" collapsed="false">
      <c r="A2973" s="37"/>
      <c r="B2973" s="44"/>
      <c r="C2973" s="44"/>
      <c r="D2973" s="44"/>
      <c r="E2973" s="44"/>
      <c r="F2973" s="44"/>
      <c r="G2973" s="42"/>
      <c r="H2973" s="42"/>
      <c r="I2973" s="44"/>
      <c r="J2973" s="11" t="str">
        <f aca="false">IF(D2973="","",N(G2973)-N(H2973))</f>
        <v/>
      </c>
      <c r="K2973" s="34" t="str">
        <f aca="false">IF(D2973="","",IFERROR(INDEX(I_COA!$C$6:$C$265,MATCH(D2973,I_COA!$A$6:$A$265,0)),"AKUN BARU"))</f>
        <v/>
      </c>
      <c r="L2973" s="34" t="str">
        <f aca="false">IF(K2973="LabaRugi",INDEX(I_COA!$D$6:$D$265,MATCH(D2973,I_COA!$A$6:$A$265,0)),"")</f>
        <v/>
      </c>
      <c r="M2973" s="34" t="str">
        <f aca="false">IF(K2973="Neraca",INDEX(I_COA!$E$6:$E$265,MATCH(D2973,I_COA!$A$6:$A$265,0)),"")</f>
        <v/>
      </c>
      <c r="N2973" s="34" t="str">
        <f aca="false">IF(D2973="","",IFERROR(INDEX(I_COA!$G$6:$G$265,MATCH(D2973,I_COA!$A$6:$A$265,0)),"N"))</f>
        <v/>
      </c>
      <c r="O2973" s="11" t="str">
        <f aca="false">IF(N2973="N",ABS(J2973),"")</f>
        <v/>
      </c>
      <c r="P2973" s="18" t="str">
        <f aca="false">IF(N2973="N",B2973&amp;"|"&amp;ROUND(O2973,0),"")</f>
        <v/>
      </c>
      <c r="Q2973" s="18" t="str">
        <f aca="false">IF(N2973&lt;&gt;"Y","",IFERROR(INDEX($D$6:$D$4005,MATCH(B2973&amp;"|"&amp;ROUND(_xlfn.MAXIFS($O$6:$O$4005,$B$6:$B$4005,B2973,$N$6:$N$4005,"N"),0),$P$6:$P$4005,0)),"(tanpa lawan)"))</f>
        <v/>
      </c>
      <c r="R2973" s="44"/>
      <c r="S2973" s="9" t="str">
        <f aca="false">IF(N2973&lt;&gt;"Y","",IF(R2973&lt;&gt;"",R2973,IF(Q2973="(tanpa lawan)","Transfer antar rekening",IFERROR(INDEX(I_COA!$F$6:$F$265,MATCH(Q2973,I_COA!$A$6:$A$265,0)),"?"))))</f>
        <v/>
      </c>
    </row>
    <row r="2974" customFormat="false" ht="15" hidden="false" customHeight="false" outlineLevel="0" collapsed="false">
      <c r="A2974" s="37"/>
      <c r="B2974" s="44"/>
      <c r="C2974" s="44"/>
      <c r="D2974" s="44"/>
      <c r="E2974" s="44"/>
      <c r="F2974" s="44"/>
      <c r="G2974" s="42"/>
      <c r="H2974" s="42"/>
      <c r="I2974" s="44"/>
      <c r="J2974" s="11" t="str">
        <f aca="false">IF(D2974="","",N(G2974)-N(H2974))</f>
        <v/>
      </c>
      <c r="K2974" s="34" t="str">
        <f aca="false">IF(D2974="","",IFERROR(INDEX(I_COA!$C$6:$C$265,MATCH(D2974,I_COA!$A$6:$A$265,0)),"AKUN BARU"))</f>
        <v/>
      </c>
      <c r="L2974" s="34" t="str">
        <f aca="false">IF(K2974="LabaRugi",INDEX(I_COA!$D$6:$D$265,MATCH(D2974,I_COA!$A$6:$A$265,0)),"")</f>
        <v/>
      </c>
      <c r="M2974" s="34" t="str">
        <f aca="false">IF(K2974="Neraca",INDEX(I_COA!$E$6:$E$265,MATCH(D2974,I_COA!$A$6:$A$265,0)),"")</f>
        <v/>
      </c>
      <c r="N2974" s="34" t="str">
        <f aca="false">IF(D2974="","",IFERROR(INDEX(I_COA!$G$6:$G$265,MATCH(D2974,I_COA!$A$6:$A$265,0)),"N"))</f>
        <v/>
      </c>
      <c r="O2974" s="11" t="str">
        <f aca="false">IF(N2974="N",ABS(J2974),"")</f>
        <v/>
      </c>
      <c r="P2974" s="18" t="str">
        <f aca="false">IF(N2974="N",B2974&amp;"|"&amp;ROUND(O2974,0),"")</f>
        <v/>
      </c>
      <c r="Q2974" s="18" t="str">
        <f aca="false">IF(N2974&lt;&gt;"Y","",IFERROR(INDEX($D$6:$D$4005,MATCH(B2974&amp;"|"&amp;ROUND(_xlfn.MAXIFS($O$6:$O$4005,$B$6:$B$4005,B2974,$N$6:$N$4005,"N"),0),$P$6:$P$4005,0)),"(tanpa lawan)"))</f>
        <v/>
      </c>
      <c r="R2974" s="44"/>
      <c r="S2974" s="9" t="str">
        <f aca="false">IF(N2974&lt;&gt;"Y","",IF(R2974&lt;&gt;"",R2974,IF(Q2974="(tanpa lawan)","Transfer antar rekening",IFERROR(INDEX(I_COA!$F$6:$F$265,MATCH(Q2974,I_COA!$A$6:$A$265,0)),"?"))))</f>
        <v/>
      </c>
    </row>
    <row r="2975" customFormat="false" ht="15" hidden="false" customHeight="false" outlineLevel="0" collapsed="false">
      <c r="A2975" s="37"/>
      <c r="B2975" s="44"/>
      <c r="C2975" s="44"/>
      <c r="D2975" s="44"/>
      <c r="E2975" s="44"/>
      <c r="F2975" s="44"/>
      <c r="G2975" s="42"/>
      <c r="H2975" s="42"/>
      <c r="I2975" s="44"/>
      <c r="J2975" s="11" t="str">
        <f aca="false">IF(D2975="","",N(G2975)-N(H2975))</f>
        <v/>
      </c>
      <c r="K2975" s="34" t="str">
        <f aca="false">IF(D2975="","",IFERROR(INDEX(I_COA!$C$6:$C$265,MATCH(D2975,I_COA!$A$6:$A$265,0)),"AKUN BARU"))</f>
        <v/>
      </c>
      <c r="L2975" s="34" t="str">
        <f aca="false">IF(K2975="LabaRugi",INDEX(I_COA!$D$6:$D$265,MATCH(D2975,I_COA!$A$6:$A$265,0)),"")</f>
        <v/>
      </c>
      <c r="M2975" s="34" t="str">
        <f aca="false">IF(K2975="Neraca",INDEX(I_COA!$E$6:$E$265,MATCH(D2975,I_COA!$A$6:$A$265,0)),"")</f>
        <v/>
      </c>
      <c r="N2975" s="34" t="str">
        <f aca="false">IF(D2975="","",IFERROR(INDEX(I_COA!$G$6:$G$265,MATCH(D2975,I_COA!$A$6:$A$265,0)),"N"))</f>
        <v/>
      </c>
      <c r="O2975" s="11" t="str">
        <f aca="false">IF(N2975="N",ABS(J2975),"")</f>
        <v/>
      </c>
      <c r="P2975" s="18" t="str">
        <f aca="false">IF(N2975="N",B2975&amp;"|"&amp;ROUND(O2975,0),"")</f>
        <v/>
      </c>
      <c r="Q2975" s="18" t="str">
        <f aca="false">IF(N2975&lt;&gt;"Y","",IFERROR(INDEX($D$6:$D$4005,MATCH(B2975&amp;"|"&amp;ROUND(_xlfn.MAXIFS($O$6:$O$4005,$B$6:$B$4005,B2975,$N$6:$N$4005,"N"),0),$P$6:$P$4005,0)),"(tanpa lawan)"))</f>
        <v/>
      </c>
      <c r="R2975" s="44"/>
      <c r="S2975" s="9" t="str">
        <f aca="false">IF(N2975&lt;&gt;"Y","",IF(R2975&lt;&gt;"",R2975,IF(Q2975="(tanpa lawan)","Transfer antar rekening",IFERROR(INDEX(I_COA!$F$6:$F$265,MATCH(Q2975,I_COA!$A$6:$A$265,0)),"?"))))</f>
        <v/>
      </c>
    </row>
    <row r="2976" customFormat="false" ht="15" hidden="false" customHeight="false" outlineLevel="0" collapsed="false">
      <c r="A2976" s="37"/>
      <c r="B2976" s="44"/>
      <c r="C2976" s="44"/>
      <c r="D2976" s="44"/>
      <c r="E2976" s="44"/>
      <c r="F2976" s="44"/>
      <c r="G2976" s="42"/>
      <c r="H2976" s="42"/>
      <c r="I2976" s="44"/>
      <c r="J2976" s="11" t="str">
        <f aca="false">IF(D2976="","",N(G2976)-N(H2976))</f>
        <v/>
      </c>
      <c r="K2976" s="34" t="str">
        <f aca="false">IF(D2976="","",IFERROR(INDEX(I_COA!$C$6:$C$265,MATCH(D2976,I_COA!$A$6:$A$265,0)),"AKUN BARU"))</f>
        <v/>
      </c>
      <c r="L2976" s="34" t="str">
        <f aca="false">IF(K2976="LabaRugi",INDEX(I_COA!$D$6:$D$265,MATCH(D2976,I_COA!$A$6:$A$265,0)),"")</f>
        <v/>
      </c>
      <c r="M2976" s="34" t="str">
        <f aca="false">IF(K2976="Neraca",INDEX(I_COA!$E$6:$E$265,MATCH(D2976,I_COA!$A$6:$A$265,0)),"")</f>
        <v/>
      </c>
      <c r="N2976" s="34" t="str">
        <f aca="false">IF(D2976="","",IFERROR(INDEX(I_COA!$G$6:$G$265,MATCH(D2976,I_COA!$A$6:$A$265,0)),"N"))</f>
        <v/>
      </c>
      <c r="O2976" s="11" t="str">
        <f aca="false">IF(N2976="N",ABS(J2976),"")</f>
        <v/>
      </c>
      <c r="P2976" s="18" t="str">
        <f aca="false">IF(N2976="N",B2976&amp;"|"&amp;ROUND(O2976,0),"")</f>
        <v/>
      </c>
      <c r="Q2976" s="18" t="str">
        <f aca="false">IF(N2976&lt;&gt;"Y","",IFERROR(INDEX($D$6:$D$4005,MATCH(B2976&amp;"|"&amp;ROUND(_xlfn.MAXIFS($O$6:$O$4005,$B$6:$B$4005,B2976,$N$6:$N$4005,"N"),0),$P$6:$P$4005,0)),"(tanpa lawan)"))</f>
        <v/>
      </c>
      <c r="R2976" s="44"/>
      <c r="S2976" s="9" t="str">
        <f aca="false">IF(N2976&lt;&gt;"Y","",IF(R2976&lt;&gt;"",R2976,IF(Q2976="(tanpa lawan)","Transfer antar rekening",IFERROR(INDEX(I_COA!$F$6:$F$265,MATCH(Q2976,I_COA!$A$6:$A$265,0)),"?"))))</f>
        <v/>
      </c>
    </row>
    <row r="2977" customFormat="false" ht="15" hidden="false" customHeight="false" outlineLevel="0" collapsed="false">
      <c r="A2977" s="37"/>
      <c r="B2977" s="44"/>
      <c r="C2977" s="44"/>
      <c r="D2977" s="44"/>
      <c r="E2977" s="44"/>
      <c r="F2977" s="44"/>
      <c r="G2977" s="42"/>
      <c r="H2977" s="42"/>
      <c r="I2977" s="44"/>
      <c r="J2977" s="11" t="str">
        <f aca="false">IF(D2977="","",N(G2977)-N(H2977))</f>
        <v/>
      </c>
      <c r="K2977" s="34" t="str">
        <f aca="false">IF(D2977="","",IFERROR(INDEX(I_COA!$C$6:$C$265,MATCH(D2977,I_COA!$A$6:$A$265,0)),"AKUN BARU"))</f>
        <v/>
      </c>
      <c r="L2977" s="34" t="str">
        <f aca="false">IF(K2977="LabaRugi",INDEX(I_COA!$D$6:$D$265,MATCH(D2977,I_COA!$A$6:$A$265,0)),"")</f>
        <v/>
      </c>
      <c r="M2977" s="34" t="str">
        <f aca="false">IF(K2977="Neraca",INDEX(I_COA!$E$6:$E$265,MATCH(D2977,I_COA!$A$6:$A$265,0)),"")</f>
        <v/>
      </c>
      <c r="N2977" s="34" t="str">
        <f aca="false">IF(D2977="","",IFERROR(INDEX(I_COA!$G$6:$G$265,MATCH(D2977,I_COA!$A$6:$A$265,0)),"N"))</f>
        <v/>
      </c>
      <c r="O2977" s="11" t="str">
        <f aca="false">IF(N2977="N",ABS(J2977),"")</f>
        <v/>
      </c>
      <c r="P2977" s="18" t="str">
        <f aca="false">IF(N2977="N",B2977&amp;"|"&amp;ROUND(O2977,0),"")</f>
        <v/>
      </c>
      <c r="Q2977" s="18" t="str">
        <f aca="false">IF(N2977&lt;&gt;"Y","",IFERROR(INDEX($D$6:$D$4005,MATCH(B2977&amp;"|"&amp;ROUND(_xlfn.MAXIFS($O$6:$O$4005,$B$6:$B$4005,B2977,$N$6:$N$4005,"N"),0),$P$6:$P$4005,0)),"(tanpa lawan)"))</f>
        <v/>
      </c>
      <c r="R2977" s="44"/>
      <c r="S2977" s="9" t="str">
        <f aca="false">IF(N2977&lt;&gt;"Y","",IF(R2977&lt;&gt;"",R2977,IF(Q2977="(tanpa lawan)","Transfer antar rekening",IFERROR(INDEX(I_COA!$F$6:$F$265,MATCH(Q2977,I_COA!$A$6:$A$265,0)),"?"))))</f>
        <v/>
      </c>
    </row>
    <row r="2978" customFormat="false" ht="15" hidden="false" customHeight="false" outlineLevel="0" collapsed="false">
      <c r="A2978" s="37"/>
      <c r="B2978" s="44"/>
      <c r="C2978" s="44"/>
      <c r="D2978" s="44"/>
      <c r="E2978" s="44"/>
      <c r="F2978" s="44"/>
      <c r="G2978" s="42"/>
      <c r="H2978" s="42"/>
      <c r="I2978" s="44"/>
      <c r="J2978" s="11" t="str">
        <f aca="false">IF(D2978="","",N(G2978)-N(H2978))</f>
        <v/>
      </c>
      <c r="K2978" s="34" t="str">
        <f aca="false">IF(D2978="","",IFERROR(INDEX(I_COA!$C$6:$C$265,MATCH(D2978,I_COA!$A$6:$A$265,0)),"AKUN BARU"))</f>
        <v/>
      </c>
      <c r="L2978" s="34" t="str">
        <f aca="false">IF(K2978="LabaRugi",INDEX(I_COA!$D$6:$D$265,MATCH(D2978,I_COA!$A$6:$A$265,0)),"")</f>
        <v/>
      </c>
      <c r="M2978" s="34" t="str">
        <f aca="false">IF(K2978="Neraca",INDEX(I_COA!$E$6:$E$265,MATCH(D2978,I_COA!$A$6:$A$265,0)),"")</f>
        <v/>
      </c>
      <c r="N2978" s="34" t="str">
        <f aca="false">IF(D2978="","",IFERROR(INDEX(I_COA!$G$6:$G$265,MATCH(D2978,I_COA!$A$6:$A$265,0)),"N"))</f>
        <v/>
      </c>
      <c r="O2978" s="11" t="str">
        <f aca="false">IF(N2978="N",ABS(J2978),"")</f>
        <v/>
      </c>
      <c r="P2978" s="18" t="str">
        <f aca="false">IF(N2978="N",B2978&amp;"|"&amp;ROUND(O2978,0),"")</f>
        <v/>
      </c>
      <c r="Q2978" s="18" t="str">
        <f aca="false">IF(N2978&lt;&gt;"Y","",IFERROR(INDEX($D$6:$D$4005,MATCH(B2978&amp;"|"&amp;ROUND(_xlfn.MAXIFS($O$6:$O$4005,$B$6:$B$4005,B2978,$N$6:$N$4005,"N"),0),$P$6:$P$4005,0)),"(tanpa lawan)"))</f>
        <v/>
      </c>
      <c r="R2978" s="44"/>
      <c r="S2978" s="9" t="str">
        <f aca="false">IF(N2978&lt;&gt;"Y","",IF(R2978&lt;&gt;"",R2978,IF(Q2978="(tanpa lawan)","Transfer antar rekening",IFERROR(INDEX(I_COA!$F$6:$F$265,MATCH(Q2978,I_COA!$A$6:$A$265,0)),"?"))))</f>
        <v/>
      </c>
    </row>
    <row r="2979" customFormat="false" ht="15" hidden="false" customHeight="false" outlineLevel="0" collapsed="false">
      <c r="A2979" s="37"/>
      <c r="B2979" s="44"/>
      <c r="C2979" s="44"/>
      <c r="D2979" s="44"/>
      <c r="E2979" s="44"/>
      <c r="F2979" s="44"/>
      <c r="G2979" s="42"/>
      <c r="H2979" s="42"/>
      <c r="I2979" s="44"/>
      <c r="J2979" s="11" t="str">
        <f aca="false">IF(D2979="","",N(G2979)-N(H2979))</f>
        <v/>
      </c>
      <c r="K2979" s="34" t="str">
        <f aca="false">IF(D2979="","",IFERROR(INDEX(I_COA!$C$6:$C$265,MATCH(D2979,I_COA!$A$6:$A$265,0)),"AKUN BARU"))</f>
        <v/>
      </c>
      <c r="L2979" s="34" t="str">
        <f aca="false">IF(K2979="LabaRugi",INDEX(I_COA!$D$6:$D$265,MATCH(D2979,I_COA!$A$6:$A$265,0)),"")</f>
        <v/>
      </c>
      <c r="M2979" s="34" t="str">
        <f aca="false">IF(K2979="Neraca",INDEX(I_COA!$E$6:$E$265,MATCH(D2979,I_COA!$A$6:$A$265,0)),"")</f>
        <v/>
      </c>
      <c r="N2979" s="34" t="str">
        <f aca="false">IF(D2979="","",IFERROR(INDEX(I_COA!$G$6:$G$265,MATCH(D2979,I_COA!$A$6:$A$265,0)),"N"))</f>
        <v/>
      </c>
      <c r="O2979" s="11" t="str">
        <f aca="false">IF(N2979="N",ABS(J2979),"")</f>
        <v/>
      </c>
      <c r="P2979" s="18" t="str">
        <f aca="false">IF(N2979="N",B2979&amp;"|"&amp;ROUND(O2979,0),"")</f>
        <v/>
      </c>
      <c r="Q2979" s="18" t="str">
        <f aca="false">IF(N2979&lt;&gt;"Y","",IFERROR(INDEX($D$6:$D$4005,MATCH(B2979&amp;"|"&amp;ROUND(_xlfn.MAXIFS($O$6:$O$4005,$B$6:$B$4005,B2979,$N$6:$N$4005,"N"),0),$P$6:$P$4005,0)),"(tanpa lawan)"))</f>
        <v/>
      </c>
      <c r="R2979" s="44"/>
      <c r="S2979" s="9" t="str">
        <f aca="false">IF(N2979&lt;&gt;"Y","",IF(R2979&lt;&gt;"",R2979,IF(Q2979="(tanpa lawan)","Transfer antar rekening",IFERROR(INDEX(I_COA!$F$6:$F$265,MATCH(Q2979,I_COA!$A$6:$A$265,0)),"?"))))</f>
        <v/>
      </c>
    </row>
    <row r="2980" customFormat="false" ht="15" hidden="false" customHeight="false" outlineLevel="0" collapsed="false">
      <c r="A2980" s="37"/>
      <c r="B2980" s="44"/>
      <c r="C2980" s="44"/>
      <c r="D2980" s="44"/>
      <c r="E2980" s="44"/>
      <c r="F2980" s="44"/>
      <c r="G2980" s="42"/>
      <c r="H2980" s="42"/>
      <c r="I2980" s="44"/>
      <c r="J2980" s="11" t="str">
        <f aca="false">IF(D2980="","",N(G2980)-N(H2980))</f>
        <v/>
      </c>
      <c r="K2980" s="34" t="str">
        <f aca="false">IF(D2980="","",IFERROR(INDEX(I_COA!$C$6:$C$265,MATCH(D2980,I_COA!$A$6:$A$265,0)),"AKUN BARU"))</f>
        <v/>
      </c>
      <c r="L2980" s="34" t="str">
        <f aca="false">IF(K2980="LabaRugi",INDEX(I_COA!$D$6:$D$265,MATCH(D2980,I_COA!$A$6:$A$265,0)),"")</f>
        <v/>
      </c>
      <c r="M2980" s="34" t="str">
        <f aca="false">IF(K2980="Neraca",INDEX(I_COA!$E$6:$E$265,MATCH(D2980,I_COA!$A$6:$A$265,0)),"")</f>
        <v/>
      </c>
      <c r="N2980" s="34" t="str">
        <f aca="false">IF(D2980="","",IFERROR(INDEX(I_COA!$G$6:$G$265,MATCH(D2980,I_COA!$A$6:$A$265,0)),"N"))</f>
        <v/>
      </c>
      <c r="O2980" s="11" t="str">
        <f aca="false">IF(N2980="N",ABS(J2980),"")</f>
        <v/>
      </c>
      <c r="P2980" s="18" t="str">
        <f aca="false">IF(N2980="N",B2980&amp;"|"&amp;ROUND(O2980,0),"")</f>
        <v/>
      </c>
      <c r="Q2980" s="18" t="str">
        <f aca="false">IF(N2980&lt;&gt;"Y","",IFERROR(INDEX($D$6:$D$4005,MATCH(B2980&amp;"|"&amp;ROUND(_xlfn.MAXIFS($O$6:$O$4005,$B$6:$B$4005,B2980,$N$6:$N$4005,"N"),0),$P$6:$P$4005,0)),"(tanpa lawan)"))</f>
        <v/>
      </c>
      <c r="R2980" s="44"/>
      <c r="S2980" s="9" t="str">
        <f aca="false">IF(N2980&lt;&gt;"Y","",IF(R2980&lt;&gt;"",R2980,IF(Q2980="(tanpa lawan)","Transfer antar rekening",IFERROR(INDEX(I_COA!$F$6:$F$265,MATCH(Q2980,I_COA!$A$6:$A$265,0)),"?"))))</f>
        <v/>
      </c>
    </row>
    <row r="2981" customFormat="false" ht="15" hidden="false" customHeight="false" outlineLevel="0" collapsed="false">
      <c r="A2981" s="37"/>
      <c r="B2981" s="44"/>
      <c r="C2981" s="44"/>
      <c r="D2981" s="44"/>
      <c r="E2981" s="44"/>
      <c r="F2981" s="44"/>
      <c r="G2981" s="42"/>
      <c r="H2981" s="42"/>
      <c r="I2981" s="44"/>
      <c r="J2981" s="11" t="str">
        <f aca="false">IF(D2981="","",N(G2981)-N(H2981))</f>
        <v/>
      </c>
      <c r="K2981" s="34" t="str">
        <f aca="false">IF(D2981="","",IFERROR(INDEX(I_COA!$C$6:$C$265,MATCH(D2981,I_COA!$A$6:$A$265,0)),"AKUN BARU"))</f>
        <v/>
      </c>
      <c r="L2981" s="34" t="str">
        <f aca="false">IF(K2981="LabaRugi",INDEX(I_COA!$D$6:$D$265,MATCH(D2981,I_COA!$A$6:$A$265,0)),"")</f>
        <v/>
      </c>
      <c r="M2981" s="34" t="str">
        <f aca="false">IF(K2981="Neraca",INDEX(I_COA!$E$6:$E$265,MATCH(D2981,I_COA!$A$6:$A$265,0)),"")</f>
        <v/>
      </c>
      <c r="N2981" s="34" t="str">
        <f aca="false">IF(D2981="","",IFERROR(INDEX(I_COA!$G$6:$G$265,MATCH(D2981,I_COA!$A$6:$A$265,0)),"N"))</f>
        <v/>
      </c>
      <c r="O2981" s="11" t="str">
        <f aca="false">IF(N2981="N",ABS(J2981),"")</f>
        <v/>
      </c>
      <c r="P2981" s="18" t="str">
        <f aca="false">IF(N2981="N",B2981&amp;"|"&amp;ROUND(O2981,0),"")</f>
        <v/>
      </c>
      <c r="Q2981" s="18" t="str">
        <f aca="false">IF(N2981&lt;&gt;"Y","",IFERROR(INDEX($D$6:$D$4005,MATCH(B2981&amp;"|"&amp;ROUND(_xlfn.MAXIFS($O$6:$O$4005,$B$6:$B$4005,B2981,$N$6:$N$4005,"N"),0),$P$6:$P$4005,0)),"(tanpa lawan)"))</f>
        <v/>
      </c>
      <c r="R2981" s="44"/>
      <c r="S2981" s="9" t="str">
        <f aca="false">IF(N2981&lt;&gt;"Y","",IF(R2981&lt;&gt;"",R2981,IF(Q2981="(tanpa lawan)","Transfer antar rekening",IFERROR(INDEX(I_COA!$F$6:$F$265,MATCH(Q2981,I_COA!$A$6:$A$265,0)),"?"))))</f>
        <v/>
      </c>
    </row>
    <row r="2982" customFormat="false" ht="15" hidden="false" customHeight="false" outlineLevel="0" collapsed="false">
      <c r="A2982" s="37"/>
      <c r="B2982" s="44"/>
      <c r="C2982" s="44"/>
      <c r="D2982" s="44"/>
      <c r="E2982" s="44"/>
      <c r="F2982" s="44"/>
      <c r="G2982" s="42"/>
      <c r="H2982" s="42"/>
      <c r="I2982" s="44"/>
      <c r="J2982" s="11" t="str">
        <f aca="false">IF(D2982="","",N(G2982)-N(H2982))</f>
        <v/>
      </c>
      <c r="K2982" s="34" t="str">
        <f aca="false">IF(D2982="","",IFERROR(INDEX(I_COA!$C$6:$C$265,MATCH(D2982,I_COA!$A$6:$A$265,0)),"AKUN BARU"))</f>
        <v/>
      </c>
      <c r="L2982" s="34" t="str">
        <f aca="false">IF(K2982="LabaRugi",INDEX(I_COA!$D$6:$D$265,MATCH(D2982,I_COA!$A$6:$A$265,0)),"")</f>
        <v/>
      </c>
      <c r="M2982" s="34" t="str">
        <f aca="false">IF(K2982="Neraca",INDEX(I_COA!$E$6:$E$265,MATCH(D2982,I_COA!$A$6:$A$265,0)),"")</f>
        <v/>
      </c>
      <c r="N2982" s="34" t="str">
        <f aca="false">IF(D2982="","",IFERROR(INDEX(I_COA!$G$6:$G$265,MATCH(D2982,I_COA!$A$6:$A$265,0)),"N"))</f>
        <v/>
      </c>
      <c r="O2982" s="11" t="str">
        <f aca="false">IF(N2982="N",ABS(J2982),"")</f>
        <v/>
      </c>
      <c r="P2982" s="18" t="str">
        <f aca="false">IF(N2982="N",B2982&amp;"|"&amp;ROUND(O2982,0),"")</f>
        <v/>
      </c>
      <c r="Q2982" s="18" t="str">
        <f aca="false">IF(N2982&lt;&gt;"Y","",IFERROR(INDEX($D$6:$D$4005,MATCH(B2982&amp;"|"&amp;ROUND(_xlfn.MAXIFS($O$6:$O$4005,$B$6:$B$4005,B2982,$N$6:$N$4005,"N"),0),$P$6:$P$4005,0)),"(tanpa lawan)"))</f>
        <v/>
      </c>
      <c r="R2982" s="44"/>
      <c r="S2982" s="9" t="str">
        <f aca="false">IF(N2982&lt;&gt;"Y","",IF(R2982&lt;&gt;"",R2982,IF(Q2982="(tanpa lawan)","Transfer antar rekening",IFERROR(INDEX(I_COA!$F$6:$F$265,MATCH(Q2982,I_COA!$A$6:$A$265,0)),"?"))))</f>
        <v/>
      </c>
    </row>
    <row r="2983" customFormat="false" ht="15" hidden="false" customHeight="false" outlineLevel="0" collapsed="false">
      <c r="A2983" s="37"/>
      <c r="B2983" s="44"/>
      <c r="C2983" s="44"/>
      <c r="D2983" s="44"/>
      <c r="E2983" s="44"/>
      <c r="F2983" s="44"/>
      <c r="G2983" s="42"/>
      <c r="H2983" s="42"/>
      <c r="I2983" s="44"/>
      <c r="J2983" s="11" t="str">
        <f aca="false">IF(D2983="","",N(G2983)-N(H2983))</f>
        <v/>
      </c>
      <c r="K2983" s="34" t="str">
        <f aca="false">IF(D2983="","",IFERROR(INDEX(I_COA!$C$6:$C$265,MATCH(D2983,I_COA!$A$6:$A$265,0)),"AKUN BARU"))</f>
        <v/>
      </c>
      <c r="L2983" s="34" t="str">
        <f aca="false">IF(K2983="LabaRugi",INDEX(I_COA!$D$6:$D$265,MATCH(D2983,I_COA!$A$6:$A$265,0)),"")</f>
        <v/>
      </c>
      <c r="M2983" s="34" t="str">
        <f aca="false">IF(K2983="Neraca",INDEX(I_COA!$E$6:$E$265,MATCH(D2983,I_COA!$A$6:$A$265,0)),"")</f>
        <v/>
      </c>
      <c r="N2983" s="34" t="str">
        <f aca="false">IF(D2983="","",IFERROR(INDEX(I_COA!$G$6:$G$265,MATCH(D2983,I_COA!$A$6:$A$265,0)),"N"))</f>
        <v/>
      </c>
      <c r="O2983" s="11" t="str">
        <f aca="false">IF(N2983="N",ABS(J2983),"")</f>
        <v/>
      </c>
      <c r="P2983" s="18" t="str">
        <f aca="false">IF(N2983="N",B2983&amp;"|"&amp;ROUND(O2983,0),"")</f>
        <v/>
      </c>
      <c r="Q2983" s="18" t="str">
        <f aca="false">IF(N2983&lt;&gt;"Y","",IFERROR(INDEX($D$6:$D$4005,MATCH(B2983&amp;"|"&amp;ROUND(_xlfn.MAXIFS($O$6:$O$4005,$B$6:$B$4005,B2983,$N$6:$N$4005,"N"),0),$P$6:$P$4005,0)),"(tanpa lawan)"))</f>
        <v/>
      </c>
      <c r="R2983" s="44"/>
      <c r="S2983" s="9" t="str">
        <f aca="false">IF(N2983&lt;&gt;"Y","",IF(R2983&lt;&gt;"",R2983,IF(Q2983="(tanpa lawan)","Transfer antar rekening",IFERROR(INDEX(I_COA!$F$6:$F$265,MATCH(Q2983,I_COA!$A$6:$A$265,0)),"?"))))</f>
        <v/>
      </c>
    </row>
    <row r="2984" customFormat="false" ht="15" hidden="false" customHeight="false" outlineLevel="0" collapsed="false">
      <c r="A2984" s="37"/>
      <c r="B2984" s="44"/>
      <c r="C2984" s="44"/>
      <c r="D2984" s="44"/>
      <c r="E2984" s="44"/>
      <c r="F2984" s="44"/>
      <c r="G2984" s="42"/>
      <c r="H2984" s="42"/>
      <c r="I2984" s="44"/>
      <c r="J2984" s="11" t="str">
        <f aca="false">IF(D2984="","",N(G2984)-N(H2984))</f>
        <v/>
      </c>
      <c r="K2984" s="34" t="str">
        <f aca="false">IF(D2984="","",IFERROR(INDEX(I_COA!$C$6:$C$265,MATCH(D2984,I_COA!$A$6:$A$265,0)),"AKUN BARU"))</f>
        <v/>
      </c>
      <c r="L2984" s="34" t="str">
        <f aca="false">IF(K2984="LabaRugi",INDEX(I_COA!$D$6:$D$265,MATCH(D2984,I_COA!$A$6:$A$265,0)),"")</f>
        <v/>
      </c>
      <c r="M2984" s="34" t="str">
        <f aca="false">IF(K2984="Neraca",INDEX(I_COA!$E$6:$E$265,MATCH(D2984,I_COA!$A$6:$A$265,0)),"")</f>
        <v/>
      </c>
      <c r="N2984" s="34" t="str">
        <f aca="false">IF(D2984="","",IFERROR(INDEX(I_COA!$G$6:$G$265,MATCH(D2984,I_COA!$A$6:$A$265,0)),"N"))</f>
        <v/>
      </c>
      <c r="O2984" s="11" t="str">
        <f aca="false">IF(N2984="N",ABS(J2984),"")</f>
        <v/>
      </c>
      <c r="P2984" s="18" t="str">
        <f aca="false">IF(N2984="N",B2984&amp;"|"&amp;ROUND(O2984,0),"")</f>
        <v/>
      </c>
      <c r="Q2984" s="18" t="str">
        <f aca="false">IF(N2984&lt;&gt;"Y","",IFERROR(INDEX($D$6:$D$4005,MATCH(B2984&amp;"|"&amp;ROUND(_xlfn.MAXIFS($O$6:$O$4005,$B$6:$B$4005,B2984,$N$6:$N$4005,"N"),0),$P$6:$P$4005,0)),"(tanpa lawan)"))</f>
        <v/>
      </c>
      <c r="R2984" s="44"/>
      <c r="S2984" s="9" t="str">
        <f aca="false">IF(N2984&lt;&gt;"Y","",IF(R2984&lt;&gt;"",R2984,IF(Q2984="(tanpa lawan)","Transfer antar rekening",IFERROR(INDEX(I_COA!$F$6:$F$265,MATCH(Q2984,I_COA!$A$6:$A$265,0)),"?"))))</f>
        <v/>
      </c>
    </row>
    <row r="2985" customFormat="false" ht="15" hidden="false" customHeight="false" outlineLevel="0" collapsed="false">
      <c r="A2985" s="37"/>
      <c r="B2985" s="44"/>
      <c r="C2985" s="44"/>
      <c r="D2985" s="44"/>
      <c r="E2985" s="44"/>
      <c r="F2985" s="44"/>
      <c r="G2985" s="42"/>
      <c r="H2985" s="42"/>
      <c r="I2985" s="44"/>
      <c r="J2985" s="11" t="str">
        <f aca="false">IF(D2985="","",N(G2985)-N(H2985))</f>
        <v/>
      </c>
      <c r="K2985" s="34" t="str">
        <f aca="false">IF(D2985="","",IFERROR(INDEX(I_COA!$C$6:$C$265,MATCH(D2985,I_COA!$A$6:$A$265,0)),"AKUN BARU"))</f>
        <v/>
      </c>
      <c r="L2985" s="34" t="str">
        <f aca="false">IF(K2985="LabaRugi",INDEX(I_COA!$D$6:$D$265,MATCH(D2985,I_COA!$A$6:$A$265,0)),"")</f>
        <v/>
      </c>
      <c r="M2985" s="34" t="str">
        <f aca="false">IF(K2985="Neraca",INDEX(I_COA!$E$6:$E$265,MATCH(D2985,I_COA!$A$6:$A$265,0)),"")</f>
        <v/>
      </c>
      <c r="N2985" s="34" t="str">
        <f aca="false">IF(D2985="","",IFERROR(INDEX(I_COA!$G$6:$G$265,MATCH(D2985,I_COA!$A$6:$A$265,0)),"N"))</f>
        <v/>
      </c>
      <c r="O2985" s="11" t="str">
        <f aca="false">IF(N2985="N",ABS(J2985),"")</f>
        <v/>
      </c>
      <c r="P2985" s="18" t="str">
        <f aca="false">IF(N2985="N",B2985&amp;"|"&amp;ROUND(O2985,0),"")</f>
        <v/>
      </c>
      <c r="Q2985" s="18" t="str">
        <f aca="false">IF(N2985&lt;&gt;"Y","",IFERROR(INDEX($D$6:$D$4005,MATCH(B2985&amp;"|"&amp;ROUND(_xlfn.MAXIFS($O$6:$O$4005,$B$6:$B$4005,B2985,$N$6:$N$4005,"N"),0),$P$6:$P$4005,0)),"(tanpa lawan)"))</f>
        <v/>
      </c>
      <c r="R2985" s="44"/>
      <c r="S2985" s="9" t="str">
        <f aca="false">IF(N2985&lt;&gt;"Y","",IF(R2985&lt;&gt;"",R2985,IF(Q2985="(tanpa lawan)","Transfer antar rekening",IFERROR(INDEX(I_COA!$F$6:$F$265,MATCH(Q2985,I_COA!$A$6:$A$265,0)),"?"))))</f>
        <v/>
      </c>
    </row>
    <row r="2986" customFormat="false" ht="15" hidden="false" customHeight="false" outlineLevel="0" collapsed="false">
      <c r="A2986" s="37"/>
      <c r="B2986" s="44"/>
      <c r="C2986" s="44"/>
      <c r="D2986" s="44"/>
      <c r="E2986" s="44"/>
      <c r="F2986" s="44"/>
      <c r="G2986" s="42"/>
      <c r="H2986" s="42"/>
      <c r="I2986" s="44"/>
      <c r="J2986" s="11" t="str">
        <f aca="false">IF(D2986="","",N(G2986)-N(H2986))</f>
        <v/>
      </c>
      <c r="K2986" s="34" t="str">
        <f aca="false">IF(D2986="","",IFERROR(INDEX(I_COA!$C$6:$C$265,MATCH(D2986,I_COA!$A$6:$A$265,0)),"AKUN BARU"))</f>
        <v/>
      </c>
      <c r="L2986" s="34" t="str">
        <f aca="false">IF(K2986="LabaRugi",INDEX(I_COA!$D$6:$D$265,MATCH(D2986,I_COA!$A$6:$A$265,0)),"")</f>
        <v/>
      </c>
      <c r="M2986" s="34" t="str">
        <f aca="false">IF(K2986="Neraca",INDEX(I_COA!$E$6:$E$265,MATCH(D2986,I_COA!$A$6:$A$265,0)),"")</f>
        <v/>
      </c>
      <c r="N2986" s="34" t="str">
        <f aca="false">IF(D2986="","",IFERROR(INDEX(I_COA!$G$6:$G$265,MATCH(D2986,I_COA!$A$6:$A$265,0)),"N"))</f>
        <v/>
      </c>
      <c r="O2986" s="11" t="str">
        <f aca="false">IF(N2986="N",ABS(J2986),"")</f>
        <v/>
      </c>
      <c r="P2986" s="18" t="str">
        <f aca="false">IF(N2986="N",B2986&amp;"|"&amp;ROUND(O2986,0),"")</f>
        <v/>
      </c>
      <c r="Q2986" s="18" t="str">
        <f aca="false">IF(N2986&lt;&gt;"Y","",IFERROR(INDEX($D$6:$D$4005,MATCH(B2986&amp;"|"&amp;ROUND(_xlfn.MAXIFS($O$6:$O$4005,$B$6:$B$4005,B2986,$N$6:$N$4005,"N"),0),$P$6:$P$4005,0)),"(tanpa lawan)"))</f>
        <v/>
      </c>
      <c r="R2986" s="44"/>
      <c r="S2986" s="9" t="str">
        <f aca="false">IF(N2986&lt;&gt;"Y","",IF(R2986&lt;&gt;"",R2986,IF(Q2986="(tanpa lawan)","Transfer antar rekening",IFERROR(INDEX(I_COA!$F$6:$F$265,MATCH(Q2986,I_COA!$A$6:$A$265,0)),"?"))))</f>
        <v/>
      </c>
    </row>
    <row r="2987" customFormat="false" ht="15" hidden="false" customHeight="false" outlineLevel="0" collapsed="false">
      <c r="A2987" s="37"/>
      <c r="B2987" s="44"/>
      <c r="C2987" s="44"/>
      <c r="D2987" s="44"/>
      <c r="E2987" s="44"/>
      <c r="F2987" s="44"/>
      <c r="G2987" s="42"/>
      <c r="H2987" s="42"/>
      <c r="I2987" s="44"/>
      <c r="J2987" s="11" t="str">
        <f aca="false">IF(D2987="","",N(G2987)-N(H2987))</f>
        <v/>
      </c>
      <c r="K2987" s="34" t="str">
        <f aca="false">IF(D2987="","",IFERROR(INDEX(I_COA!$C$6:$C$265,MATCH(D2987,I_COA!$A$6:$A$265,0)),"AKUN BARU"))</f>
        <v/>
      </c>
      <c r="L2987" s="34" t="str">
        <f aca="false">IF(K2987="LabaRugi",INDEX(I_COA!$D$6:$D$265,MATCH(D2987,I_COA!$A$6:$A$265,0)),"")</f>
        <v/>
      </c>
      <c r="M2987" s="34" t="str">
        <f aca="false">IF(K2987="Neraca",INDEX(I_COA!$E$6:$E$265,MATCH(D2987,I_COA!$A$6:$A$265,0)),"")</f>
        <v/>
      </c>
      <c r="N2987" s="34" t="str">
        <f aca="false">IF(D2987="","",IFERROR(INDEX(I_COA!$G$6:$G$265,MATCH(D2987,I_COA!$A$6:$A$265,0)),"N"))</f>
        <v/>
      </c>
      <c r="O2987" s="11" t="str">
        <f aca="false">IF(N2987="N",ABS(J2987),"")</f>
        <v/>
      </c>
      <c r="P2987" s="18" t="str">
        <f aca="false">IF(N2987="N",B2987&amp;"|"&amp;ROUND(O2987,0),"")</f>
        <v/>
      </c>
      <c r="Q2987" s="18" t="str">
        <f aca="false">IF(N2987&lt;&gt;"Y","",IFERROR(INDEX($D$6:$D$4005,MATCH(B2987&amp;"|"&amp;ROUND(_xlfn.MAXIFS($O$6:$O$4005,$B$6:$B$4005,B2987,$N$6:$N$4005,"N"),0),$P$6:$P$4005,0)),"(tanpa lawan)"))</f>
        <v/>
      </c>
      <c r="R2987" s="44"/>
      <c r="S2987" s="9" t="str">
        <f aca="false">IF(N2987&lt;&gt;"Y","",IF(R2987&lt;&gt;"",R2987,IF(Q2987="(tanpa lawan)","Transfer antar rekening",IFERROR(INDEX(I_COA!$F$6:$F$265,MATCH(Q2987,I_COA!$A$6:$A$265,0)),"?"))))</f>
        <v/>
      </c>
    </row>
    <row r="2988" customFormat="false" ht="15" hidden="false" customHeight="false" outlineLevel="0" collapsed="false">
      <c r="A2988" s="37"/>
      <c r="B2988" s="44"/>
      <c r="C2988" s="44"/>
      <c r="D2988" s="44"/>
      <c r="E2988" s="44"/>
      <c r="F2988" s="44"/>
      <c r="G2988" s="42"/>
      <c r="H2988" s="42"/>
      <c r="I2988" s="44"/>
      <c r="J2988" s="11" t="str">
        <f aca="false">IF(D2988="","",N(G2988)-N(H2988))</f>
        <v/>
      </c>
      <c r="K2988" s="34" t="str">
        <f aca="false">IF(D2988="","",IFERROR(INDEX(I_COA!$C$6:$C$265,MATCH(D2988,I_COA!$A$6:$A$265,0)),"AKUN BARU"))</f>
        <v/>
      </c>
      <c r="L2988" s="34" t="str">
        <f aca="false">IF(K2988="LabaRugi",INDEX(I_COA!$D$6:$D$265,MATCH(D2988,I_COA!$A$6:$A$265,0)),"")</f>
        <v/>
      </c>
      <c r="M2988" s="34" t="str">
        <f aca="false">IF(K2988="Neraca",INDEX(I_COA!$E$6:$E$265,MATCH(D2988,I_COA!$A$6:$A$265,0)),"")</f>
        <v/>
      </c>
      <c r="N2988" s="34" t="str">
        <f aca="false">IF(D2988="","",IFERROR(INDEX(I_COA!$G$6:$G$265,MATCH(D2988,I_COA!$A$6:$A$265,0)),"N"))</f>
        <v/>
      </c>
      <c r="O2988" s="11" t="str">
        <f aca="false">IF(N2988="N",ABS(J2988),"")</f>
        <v/>
      </c>
      <c r="P2988" s="18" t="str">
        <f aca="false">IF(N2988="N",B2988&amp;"|"&amp;ROUND(O2988,0),"")</f>
        <v/>
      </c>
      <c r="Q2988" s="18" t="str">
        <f aca="false">IF(N2988&lt;&gt;"Y","",IFERROR(INDEX($D$6:$D$4005,MATCH(B2988&amp;"|"&amp;ROUND(_xlfn.MAXIFS($O$6:$O$4005,$B$6:$B$4005,B2988,$N$6:$N$4005,"N"),0),$P$6:$P$4005,0)),"(tanpa lawan)"))</f>
        <v/>
      </c>
      <c r="R2988" s="44"/>
      <c r="S2988" s="9" t="str">
        <f aca="false">IF(N2988&lt;&gt;"Y","",IF(R2988&lt;&gt;"",R2988,IF(Q2988="(tanpa lawan)","Transfer antar rekening",IFERROR(INDEX(I_COA!$F$6:$F$265,MATCH(Q2988,I_COA!$A$6:$A$265,0)),"?"))))</f>
        <v/>
      </c>
    </row>
    <row r="2989" customFormat="false" ht="15" hidden="false" customHeight="false" outlineLevel="0" collapsed="false">
      <c r="A2989" s="37"/>
      <c r="B2989" s="44"/>
      <c r="C2989" s="44"/>
      <c r="D2989" s="44"/>
      <c r="E2989" s="44"/>
      <c r="F2989" s="44"/>
      <c r="G2989" s="42"/>
      <c r="H2989" s="42"/>
      <c r="I2989" s="44"/>
      <c r="J2989" s="11" t="str">
        <f aca="false">IF(D2989="","",N(G2989)-N(H2989))</f>
        <v/>
      </c>
      <c r="K2989" s="34" t="str">
        <f aca="false">IF(D2989="","",IFERROR(INDEX(I_COA!$C$6:$C$265,MATCH(D2989,I_COA!$A$6:$A$265,0)),"AKUN BARU"))</f>
        <v/>
      </c>
      <c r="L2989" s="34" t="str">
        <f aca="false">IF(K2989="LabaRugi",INDEX(I_COA!$D$6:$D$265,MATCH(D2989,I_COA!$A$6:$A$265,0)),"")</f>
        <v/>
      </c>
      <c r="M2989" s="34" t="str">
        <f aca="false">IF(K2989="Neraca",INDEX(I_COA!$E$6:$E$265,MATCH(D2989,I_COA!$A$6:$A$265,0)),"")</f>
        <v/>
      </c>
      <c r="N2989" s="34" t="str">
        <f aca="false">IF(D2989="","",IFERROR(INDEX(I_COA!$G$6:$G$265,MATCH(D2989,I_COA!$A$6:$A$265,0)),"N"))</f>
        <v/>
      </c>
      <c r="O2989" s="11" t="str">
        <f aca="false">IF(N2989="N",ABS(J2989),"")</f>
        <v/>
      </c>
      <c r="P2989" s="18" t="str">
        <f aca="false">IF(N2989="N",B2989&amp;"|"&amp;ROUND(O2989,0),"")</f>
        <v/>
      </c>
      <c r="Q2989" s="18" t="str">
        <f aca="false">IF(N2989&lt;&gt;"Y","",IFERROR(INDEX($D$6:$D$4005,MATCH(B2989&amp;"|"&amp;ROUND(_xlfn.MAXIFS($O$6:$O$4005,$B$6:$B$4005,B2989,$N$6:$N$4005,"N"),0),$P$6:$P$4005,0)),"(tanpa lawan)"))</f>
        <v/>
      </c>
      <c r="R2989" s="44"/>
      <c r="S2989" s="9" t="str">
        <f aca="false">IF(N2989&lt;&gt;"Y","",IF(R2989&lt;&gt;"",R2989,IF(Q2989="(tanpa lawan)","Transfer antar rekening",IFERROR(INDEX(I_COA!$F$6:$F$265,MATCH(Q2989,I_COA!$A$6:$A$265,0)),"?"))))</f>
        <v/>
      </c>
    </row>
    <row r="2990" customFormat="false" ht="15" hidden="false" customHeight="false" outlineLevel="0" collapsed="false">
      <c r="A2990" s="37"/>
      <c r="B2990" s="44"/>
      <c r="C2990" s="44"/>
      <c r="D2990" s="44"/>
      <c r="E2990" s="44"/>
      <c r="F2990" s="44"/>
      <c r="G2990" s="42"/>
      <c r="H2990" s="42"/>
      <c r="I2990" s="44"/>
      <c r="J2990" s="11" t="str">
        <f aca="false">IF(D2990="","",N(G2990)-N(H2990))</f>
        <v/>
      </c>
      <c r="K2990" s="34" t="str">
        <f aca="false">IF(D2990="","",IFERROR(INDEX(I_COA!$C$6:$C$265,MATCH(D2990,I_COA!$A$6:$A$265,0)),"AKUN BARU"))</f>
        <v/>
      </c>
      <c r="L2990" s="34" t="str">
        <f aca="false">IF(K2990="LabaRugi",INDEX(I_COA!$D$6:$D$265,MATCH(D2990,I_COA!$A$6:$A$265,0)),"")</f>
        <v/>
      </c>
      <c r="M2990" s="34" t="str">
        <f aca="false">IF(K2990="Neraca",INDEX(I_COA!$E$6:$E$265,MATCH(D2990,I_COA!$A$6:$A$265,0)),"")</f>
        <v/>
      </c>
      <c r="N2990" s="34" t="str">
        <f aca="false">IF(D2990="","",IFERROR(INDEX(I_COA!$G$6:$G$265,MATCH(D2990,I_COA!$A$6:$A$265,0)),"N"))</f>
        <v/>
      </c>
      <c r="O2990" s="11" t="str">
        <f aca="false">IF(N2990="N",ABS(J2990),"")</f>
        <v/>
      </c>
      <c r="P2990" s="18" t="str">
        <f aca="false">IF(N2990="N",B2990&amp;"|"&amp;ROUND(O2990,0),"")</f>
        <v/>
      </c>
      <c r="Q2990" s="18" t="str">
        <f aca="false">IF(N2990&lt;&gt;"Y","",IFERROR(INDEX($D$6:$D$4005,MATCH(B2990&amp;"|"&amp;ROUND(_xlfn.MAXIFS($O$6:$O$4005,$B$6:$B$4005,B2990,$N$6:$N$4005,"N"),0),$P$6:$P$4005,0)),"(tanpa lawan)"))</f>
        <v/>
      </c>
      <c r="R2990" s="44"/>
      <c r="S2990" s="9" t="str">
        <f aca="false">IF(N2990&lt;&gt;"Y","",IF(R2990&lt;&gt;"",R2990,IF(Q2990="(tanpa lawan)","Transfer antar rekening",IFERROR(INDEX(I_COA!$F$6:$F$265,MATCH(Q2990,I_COA!$A$6:$A$265,0)),"?"))))</f>
        <v/>
      </c>
    </row>
    <row r="2991" customFormat="false" ht="15" hidden="false" customHeight="false" outlineLevel="0" collapsed="false">
      <c r="A2991" s="37"/>
      <c r="B2991" s="44"/>
      <c r="C2991" s="44"/>
      <c r="D2991" s="44"/>
      <c r="E2991" s="44"/>
      <c r="F2991" s="44"/>
      <c r="G2991" s="42"/>
      <c r="H2991" s="42"/>
      <c r="I2991" s="44"/>
      <c r="J2991" s="11" t="str">
        <f aca="false">IF(D2991="","",N(G2991)-N(H2991))</f>
        <v/>
      </c>
      <c r="K2991" s="34" t="str">
        <f aca="false">IF(D2991="","",IFERROR(INDEX(I_COA!$C$6:$C$265,MATCH(D2991,I_COA!$A$6:$A$265,0)),"AKUN BARU"))</f>
        <v/>
      </c>
      <c r="L2991" s="34" t="str">
        <f aca="false">IF(K2991="LabaRugi",INDEX(I_COA!$D$6:$D$265,MATCH(D2991,I_COA!$A$6:$A$265,0)),"")</f>
        <v/>
      </c>
      <c r="M2991" s="34" t="str">
        <f aca="false">IF(K2991="Neraca",INDEX(I_COA!$E$6:$E$265,MATCH(D2991,I_COA!$A$6:$A$265,0)),"")</f>
        <v/>
      </c>
      <c r="N2991" s="34" t="str">
        <f aca="false">IF(D2991="","",IFERROR(INDEX(I_COA!$G$6:$G$265,MATCH(D2991,I_COA!$A$6:$A$265,0)),"N"))</f>
        <v/>
      </c>
      <c r="O2991" s="11" t="str">
        <f aca="false">IF(N2991="N",ABS(J2991),"")</f>
        <v/>
      </c>
      <c r="P2991" s="18" t="str">
        <f aca="false">IF(N2991="N",B2991&amp;"|"&amp;ROUND(O2991,0),"")</f>
        <v/>
      </c>
      <c r="Q2991" s="18" t="str">
        <f aca="false">IF(N2991&lt;&gt;"Y","",IFERROR(INDEX($D$6:$D$4005,MATCH(B2991&amp;"|"&amp;ROUND(_xlfn.MAXIFS($O$6:$O$4005,$B$6:$B$4005,B2991,$N$6:$N$4005,"N"),0),$P$6:$P$4005,0)),"(tanpa lawan)"))</f>
        <v/>
      </c>
      <c r="R2991" s="44"/>
      <c r="S2991" s="9" t="str">
        <f aca="false">IF(N2991&lt;&gt;"Y","",IF(R2991&lt;&gt;"",R2991,IF(Q2991="(tanpa lawan)","Transfer antar rekening",IFERROR(INDEX(I_COA!$F$6:$F$265,MATCH(Q2991,I_COA!$A$6:$A$265,0)),"?"))))</f>
        <v/>
      </c>
    </row>
    <row r="2992" customFormat="false" ht="15" hidden="false" customHeight="false" outlineLevel="0" collapsed="false">
      <c r="A2992" s="37"/>
      <c r="B2992" s="44"/>
      <c r="C2992" s="44"/>
      <c r="D2992" s="44"/>
      <c r="E2992" s="44"/>
      <c r="F2992" s="44"/>
      <c r="G2992" s="42"/>
      <c r="H2992" s="42"/>
      <c r="I2992" s="44"/>
      <c r="J2992" s="11" t="str">
        <f aca="false">IF(D2992="","",N(G2992)-N(H2992))</f>
        <v/>
      </c>
      <c r="K2992" s="34" t="str">
        <f aca="false">IF(D2992="","",IFERROR(INDEX(I_COA!$C$6:$C$265,MATCH(D2992,I_COA!$A$6:$A$265,0)),"AKUN BARU"))</f>
        <v/>
      </c>
      <c r="L2992" s="34" t="str">
        <f aca="false">IF(K2992="LabaRugi",INDEX(I_COA!$D$6:$D$265,MATCH(D2992,I_COA!$A$6:$A$265,0)),"")</f>
        <v/>
      </c>
      <c r="M2992" s="34" t="str">
        <f aca="false">IF(K2992="Neraca",INDEX(I_COA!$E$6:$E$265,MATCH(D2992,I_COA!$A$6:$A$265,0)),"")</f>
        <v/>
      </c>
      <c r="N2992" s="34" t="str">
        <f aca="false">IF(D2992="","",IFERROR(INDEX(I_COA!$G$6:$G$265,MATCH(D2992,I_COA!$A$6:$A$265,0)),"N"))</f>
        <v/>
      </c>
      <c r="O2992" s="11" t="str">
        <f aca="false">IF(N2992="N",ABS(J2992),"")</f>
        <v/>
      </c>
      <c r="P2992" s="18" t="str">
        <f aca="false">IF(N2992="N",B2992&amp;"|"&amp;ROUND(O2992,0),"")</f>
        <v/>
      </c>
      <c r="Q2992" s="18" t="str">
        <f aca="false">IF(N2992&lt;&gt;"Y","",IFERROR(INDEX($D$6:$D$4005,MATCH(B2992&amp;"|"&amp;ROUND(_xlfn.MAXIFS($O$6:$O$4005,$B$6:$B$4005,B2992,$N$6:$N$4005,"N"),0),$P$6:$P$4005,0)),"(tanpa lawan)"))</f>
        <v/>
      </c>
      <c r="R2992" s="44"/>
      <c r="S2992" s="9" t="str">
        <f aca="false">IF(N2992&lt;&gt;"Y","",IF(R2992&lt;&gt;"",R2992,IF(Q2992="(tanpa lawan)","Transfer antar rekening",IFERROR(INDEX(I_COA!$F$6:$F$265,MATCH(Q2992,I_COA!$A$6:$A$265,0)),"?"))))</f>
        <v/>
      </c>
    </row>
    <row r="2993" customFormat="false" ht="15" hidden="false" customHeight="false" outlineLevel="0" collapsed="false">
      <c r="A2993" s="37"/>
      <c r="B2993" s="44"/>
      <c r="C2993" s="44"/>
      <c r="D2993" s="44"/>
      <c r="E2993" s="44"/>
      <c r="F2993" s="44"/>
      <c r="G2993" s="42"/>
      <c r="H2993" s="42"/>
      <c r="I2993" s="44"/>
      <c r="J2993" s="11" t="str">
        <f aca="false">IF(D2993="","",N(G2993)-N(H2993))</f>
        <v/>
      </c>
      <c r="K2993" s="34" t="str">
        <f aca="false">IF(D2993="","",IFERROR(INDEX(I_COA!$C$6:$C$265,MATCH(D2993,I_COA!$A$6:$A$265,0)),"AKUN BARU"))</f>
        <v/>
      </c>
      <c r="L2993" s="34" t="str">
        <f aca="false">IF(K2993="LabaRugi",INDEX(I_COA!$D$6:$D$265,MATCH(D2993,I_COA!$A$6:$A$265,0)),"")</f>
        <v/>
      </c>
      <c r="M2993" s="34" t="str">
        <f aca="false">IF(K2993="Neraca",INDEX(I_COA!$E$6:$E$265,MATCH(D2993,I_COA!$A$6:$A$265,0)),"")</f>
        <v/>
      </c>
      <c r="N2993" s="34" t="str">
        <f aca="false">IF(D2993="","",IFERROR(INDEX(I_COA!$G$6:$G$265,MATCH(D2993,I_COA!$A$6:$A$265,0)),"N"))</f>
        <v/>
      </c>
      <c r="O2993" s="11" t="str">
        <f aca="false">IF(N2993="N",ABS(J2993),"")</f>
        <v/>
      </c>
      <c r="P2993" s="18" t="str">
        <f aca="false">IF(N2993="N",B2993&amp;"|"&amp;ROUND(O2993,0),"")</f>
        <v/>
      </c>
      <c r="Q2993" s="18" t="str">
        <f aca="false">IF(N2993&lt;&gt;"Y","",IFERROR(INDEX($D$6:$D$4005,MATCH(B2993&amp;"|"&amp;ROUND(_xlfn.MAXIFS($O$6:$O$4005,$B$6:$B$4005,B2993,$N$6:$N$4005,"N"),0),$P$6:$P$4005,0)),"(tanpa lawan)"))</f>
        <v/>
      </c>
      <c r="R2993" s="44"/>
      <c r="S2993" s="9" t="str">
        <f aca="false">IF(N2993&lt;&gt;"Y","",IF(R2993&lt;&gt;"",R2993,IF(Q2993="(tanpa lawan)","Transfer antar rekening",IFERROR(INDEX(I_COA!$F$6:$F$265,MATCH(Q2993,I_COA!$A$6:$A$265,0)),"?"))))</f>
        <v/>
      </c>
    </row>
    <row r="2994" customFormat="false" ht="15" hidden="false" customHeight="false" outlineLevel="0" collapsed="false">
      <c r="A2994" s="37"/>
      <c r="B2994" s="44"/>
      <c r="C2994" s="44"/>
      <c r="D2994" s="44"/>
      <c r="E2994" s="44"/>
      <c r="F2994" s="44"/>
      <c r="G2994" s="42"/>
      <c r="H2994" s="42"/>
      <c r="I2994" s="44"/>
      <c r="J2994" s="11" t="str">
        <f aca="false">IF(D2994="","",N(G2994)-N(H2994))</f>
        <v/>
      </c>
      <c r="K2994" s="34" t="str">
        <f aca="false">IF(D2994="","",IFERROR(INDEX(I_COA!$C$6:$C$265,MATCH(D2994,I_COA!$A$6:$A$265,0)),"AKUN BARU"))</f>
        <v/>
      </c>
      <c r="L2994" s="34" t="str">
        <f aca="false">IF(K2994="LabaRugi",INDEX(I_COA!$D$6:$D$265,MATCH(D2994,I_COA!$A$6:$A$265,0)),"")</f>
        <v/>
      </c>
      <c r="M2994" s="34" t="str">
        <f aca="false">IF(K2994="Neraca",INDEX(I_COA!$E$6:$E$265,MATCH(D2994,I_COA!$A$6:$A$265,0)),"")</f>
        <v/>
      </c>
      <c r="N2994" s="34" t="str">
        <f aca="false">IF(D2994="","",IFERROR(INDEX(I_COA!$G$6:$G$265,MATCH(D2994,I_COA!$A$6:$A$265,0)),"N"))</f>
        <v/>
      </c>
      <c r="O2994" s="11" t="str">
        <f aca="false">IF(N2994="N",ABS(J2994),"")</f>
        <v/>
      </c>
      <c r="P2994" s="18" t="str">
        <f aca="false">IF(N2994="N",B2994&amp;"|"&amp;ROUND(O2994,0),"")</f>
        <v/>
      </c>
      <c r="Q2994" s="18" t="str">
        <f aca="false">IF(N2994&lt;&gt;"Y","",IFERROR(INDEX($D$6:$D$4005,MATCH(B2994&amp;"|"&amp;ROUND(_xlfn.MAXIFS($O$6:$O$4005,$B$6:$B$4005,B2994,$N$6:$N$4005,"N"),0),$P$6:$P$4005,0)),"(tanpa lawan)"))</f>
        <v/>
      </c>
      <c r="R2994" s="44"/>
      <c r="S2994" s="9" t="str">
        <f aca="false">IF(N2994&lt;&gt;"Y","",IF(R2994&lt;&gt;"",R2994,IF(Q2994="(tanpa lawan)","Transfer antar rekening",IFERROR(INDEX(I_COA!$F$6:$F$265,MATCH(Q2994,I_COA!$A$6:$A$265,0)),"?"))))</f>
        <v/>
      </c>
    </row>
    <row r="2995" customFormat="false" ht="15" hidden="false" customHeight="false" outlineLevel="0" collapsed="false">
      <c r="A2995" s="37"/>
      <c r="B2995" s="44"/>
      <c r="C2995" s="44"/>
      <c r="D2995" s="44"/>
      <c r="E2995" s="44"/>
      <c r="F2995" s="44"/>
      <c r="G2995" s="42"/>
      <c r="H2995" s="42"/>
      <c r="I2995" s="44"/>
      <c r="J2995" s="11" t="str">
        <f aca="false">IF(D2995="","",N(G2995)-N(H2995))</f>
        <v/>
      </c>
      <c r="K2995" s="34" t="str">
        <f aca="false">IF(D2995="","",IFERROR(INDEX(I_COA!$C$6:$C$265,MATCH(D2995,I_COA!$A$6:$A$265,0)),"AKUN BARU"))</f>
        <v/>
      </c>
      <c r="L2995" s="34" t="str">
        <f aca="false">IF(K2995="LabaRugi",INDEX(I_COA!$D$6:$D$265,MATCH(D2995,I_COA!$A$6:$A$265,0)),"")</f>
        <v/>
      </c>
      <c r="M2995" s="34" t="str">
        <f aca="false">IF(K2995="Neraca",INDEX(I_COA!$E$6:$E$265,MATCH(D2995,I_COA!$A$6:$A$265,0)),"")</f>
        <v/>
      </c>
      <c r="N2995" s="34" t="str">
        <f aca="false">IF(D2995="","",IFERROR(INDEX(I_COA!$G$6:$G$265,MATCH(D2995,I_COA!$A$6:$A$265,0)),"N"))</f>
        <v/>
      </c>
      <c r="O2995" s="11" t="str">
        <f aca="false">IF(N2995="N",ABS(J2995),"")</f>
        <v/>
      </c>
      <c r="P2995" s="18" t="str">
        <f aca="false">IF(N2995="N",B2995&amp;"|"&amp;ROUND(O2995,0),"")</f>
        <v/>
      </c>
      <c r="Q2995" s="18" t="str">
        <f aca="false">IF(N2995&lt;&gt;"Y","",IFERROR(INDEX($D$6:$D$4005,MATCH(B2995&amp;"|"&amp;ROUND(_xlfn.MAXIFS($O$6:$O$4005,$B$6:$B$4005,B2995,$N$6:$N$4005,"N"),0),$P$6:$P$4005,0)),"(tanpa lawan)"))</f>
        <v/>
      </c>
      <c r="R2995" s="44"/>
      <c r="S2995" s="9" t="str">
        <f aca="false">IF(N2995&lt;&gt;"Y","",IF(R2995&lt;&gt;"",R2995,IF(Q2995="(tanpa lawan)","Transfer antar rekening",IFERROR(INDEX(I_COA!$F$6:$F$265,MATCH(Q2995,I_COA!$A$6:$A$265,0)),"?"))))</f>
        <v/>
      </c>
    </row>
    <row r="2996" customFormat="false" ht="15" hidden="false" customHeight="false" outlineLevel="0" collapsed="false">
      <c r="A2996" s="37"/>
      <c r="B2996" s="44"/>
      <c r="C2996" s="44"/>
      <c r="D2996" s="44"/>
      <c r="E2996" s="44"/>
      <c r="F2996" s="44"/>
      <c r="G2996" s="42"/>
      <c r="H2996" s="42"/>
      <c r="I2996" s="44"/>
      <c r="J2996" s="11" t="str">
        <f aca="false">IF(D2996="","",N(G2996)-N(H2996))</f>
        <v/>
      </c>
      <c r="K2996" s="34" t="str">
        <f aca="false">IF(D2996="","",IFERROR(INDEX(I_COA!$C$6:$C$265,MATCH(D2996,I_COA!$A$6:$A$265,0)),"AKUN BARU"))</f>
        <v/>
      </c>
      <c r="L2996" s="34" t="str">
        <f aca="false">IF(K2996="LabaRugi",INDEX(I_COA!$D$6:$D$265,MATCH(D2996,I_COA!$A$6:$A$265,0)),"")</f>
        <v/>
      </c>
      <c r="M2996" s="34" t="str">
        <f aca="false">IF(K2996="Neraca",INDEX(I_COA!$E$6:$E$265,MATCH(D2996,I_COA!$A$6:$A$265,0)),"")</f>
        <v/>
      </c>
      <c r="N2996" s="34" t="str">
        <f aca="false">IF(D2996="","",IFERROR(INDEX(I_COA!$G$6:$G$265,MATCH(D2996,I_COA!$A$6:$A$265,0)),"N"))</f>
        <v/>
      </c>
      <c r="O2996" s="11" t="str">
        <f aca="false">IF(N2996="N",ABS(J2996),"")</f>
        <v/>
      </c>
      <c r="P2996" s="18" t="str">
        <f aca="false">IF(N2996="N",B2996&amp;"|"&amp;ROUND(O2996,0),"")</f>
        <v/>
      </c>
      <c r="Q2996" s="18" t="str">
        <f aca="false">IF(N2996&lt;&gt;"Y","",IFERROR(INDEX($D$6:$D$4005,MATCH(B2996&amp;"|"&amp;ROUND(_xlfn.MAXIFS($O$6:$O$4005,$B$6:$B$4005,B2996,$N$6:$N$4005,"N"),0),$P$6:$P$4005,0)),"(tanpa lawan)"))</f>
        <v/>
      </c>
      <c r="R2996" s="44"/>
      <c r="S2996" s="9" t="str">
        <f aca="false">IF(N2996&lt;&gt;"Y","",IF(R2996&lt;&gt;"",R2996,IF(Q2996="(tanpa lawan)","Transfer antar rekening",IFERROR(INDEX(I_COA!$F$6:$F$265,MATCH(Q2996,I_COA!$A$6:$A$265,0)),"?"))))</f>
        <v/>
      </c>
    </row>
    <row r="2997" customFormat="false" ht="15" hidden="false" customHeight="false" outlineLevel="0" collapsed="false">
      <c r="A2997" s="37"/>
      <c r="B2997" s="44"/>
      <c r="C2997" s="44"/>
      <c r="D2997" s="44"/>
      <c r="E2997" s="44"/>
      <c r="F2997" s="44"/>
      <c r="G2997" s="42"/>
      <c r="H2997" s="42"/>
      <c r="I2997" s="44"/>
      <c r="J2997" s="11" t="str">
        <f aca="false">IF(D2997="","",N(G2997)-N(H2997))</f>
        <v/>
      </c>
      <c r="K2997" s="34" t="str">
        <f aca="false">IF(D2997="","",IFERROR(INDEX(I_COA!$C$6:$C$265,MATCH(D2997,I_COA!$A$6:$A$265,0)),"AKUN BARU"))</f>
        <v/>
      </c>
      <c r="L2997" s="34" t="str">
        <f aca="false">IF(K2997="LabaRugi",INDEX(I_COA!$D$6:$D$265,MATCH(D2997,I_COA!$A$6:$A$265,0)),"")</f>
        <v/>
      </c>
      <c r="M2997" s="34" t="str">
        <f aca="false">IF(K2997="Neraca",INDEX(I_COA!$E$6:$E$265,MATCH(D2997,I_COA!$A$6:$A$265,0)),"")</f>
        <v/>
      </c>
      <c r="N2997" s="34" t="str">
        <f aca="false">IF(D2997="","",IFERROR(INDEX(I_COA!$G$6:$G$265,MATCH(D2997,I_COA!$A$6:$A$265,0)),"N"))</f>
        <v/>
      </c>
      <c r="O2997" s="11" t="str">
        <f aca="false">IF(N2997="N",ABS(J2997),"")</f>
        <v/>
      </c>
      <c r="P2997" s="18" t="str">
        <f aca="false">IF(N2997="N",B2997&amp;"|"&amp;ROUND(O2997,0),"")</f>
        <v/>
      </c>
      <c r="Q2997" s="18" t="str">
        <f aca="false">IF(N2997&lt;&gt;"Y","",IFERROR(INDEX($D$6:$D$4005,MATCH(B2997&amp;"|"&amp;ROUND(_xlfn.MAXIFS($O$6:$O$4005,$B$6:$B$4005,B2997,$N$6:$N$4005,"N"),0),$P$6:$P$4005,0)),"(tanpa lawan)"))</f>
        <v/>
      </c>
      <c r="R2997" s="44"/>
      <c r="S2997" s="9" t="str">
        <f aca="false">IF(N2997&lt;&gt;"Y","",IF(R2997&lt;&gt;"",R2997,IF(Q2997="(tanpa lawan)","Transfer antar rekening",IFERROR(INDEX(I_COA!$F$6:$F$265,MATCH(Q2997,I_COA!$A$6:$A$265,0)),"?"))))</f>
        <v/>
      </c>
    </row>
    <row r="2998" customFormat="false" ht="15" hidden="false" customHeight="false" outlineLevel="0" collapsed="false">
      <c r="A2998" s="37"/>
      <c r="B2998" s="44"/>
      <c r="C2998" s="44"/>
      <c r="D2998" s="44"/>
      <c r="E2998" s="44"/>
      <c r="F2998" s="44"/>
      <c r="G2998" s="42"/>
      <c r="H2998" s="42"/>
      <c r="I2998" s="44"/>
      <c r="J2998" s="11" t="str">
        <f aca="false">IF(D2998="","",N(G2998)-N(H2998))</f>
        <v/>
      </c>
      <c r="K2998" s="34" t="str">
        <f aca="false">IF(D2998="","",IFERROR(INDEX(I_COA!$C$6:$C$265,MATCH(D2998,I_COA!$A$6:$A$265,0)),"AKUN BARU"))</f>
        <v/>
      </c>
      <c r="L2998" s="34" t="str">
        <f aca="false">IF(K2998="LabaRugi",INDEX(I_COA!$D$6:$D$265,MATCH(D2998,I_COA!$A$6:$A$265,0)),"")</f>
        <v/>
      </c>
      <c r="M2998" s="34" t="str">
        <f aca="false">IF(K2998="Neraca",INDEX(I_COA!$E$6:$E$265,MATCH(D2998,I_COA!$A$6:$A$265,0)),"")</f>
        <v/>
      </c>
      <c r="N2998" s="34" t="str">
        <f aca="false">IF(D2998="","",IFERROR(INDEX(I_COA!$G$6:$G$265,MATCH(D2998,I_COA!$A$6:$A$265,0)),"N"))</f>
        <v/>
      </c>
      <c r="O2998" s="11" t="str">
        <f aca="false">IF(N2998="N",ABS(J2998),"")</f>
        <v/>
      </c>
      <c r="P2998" s="18" t="str">
        <f aca="false">IF(N2998="N",B2998&amp;"|"&amp;ROUND(O2998,0),"")</f>
        <v/>
      </c>
      <c r="Q2998" s="18" t="str">
        <f aca="false">IF(N2998&lt;&gt;"Y","",IFERROR(INDEX($D$6:$D$4005,MATCH(B2998&amp;"|"&amp;ROUND(_xlfn.MAXIFS($O$6:$O$4005,$B$6:$B$4005,B2998,$N$6:$N$4005,"N"),0),$P$6:$P$4005,0)),"(tanpa lawan)"))</f>
        <v/>
      </c>
      <c r="R2998" s="44"/>
      <c r="S2998" s="9" t="str">
        <f aca="false">IF(N2998&lt;&gt;"Y","",IF(R2998&lt;&gt;"",R2998,IF(Q2998="(tanpa lawan)","Transfer antar rekening",IFERROR(INDEX(I_COA!$F$6:$F$265,MATCH(Q2998,I_COA!$A$6:$A$265,0)),"?"))))</f>
        <v/>
      </c>
    </row>
    <row r="2999" customFormat="false" ht="15" hidden="false" customHeight="false" outlineLevel="0" collapsed="false">
      <c r="A2999" s="37"/>
      <c r="B2999" s="44"/>
      <c r="C2999" s="44"/>
      <c r="D2999" s="44"/>
      <c r="E2999" s="44"/>
      <c r="F2999" s="44"/>
      <c r="G2999" s="42"/>
      <c r="H2999" s="42"/>
      <c r="I2999" s="44"/>
      <c r="J2999" s="11" t="str">
        <f aca="false">IF(D2999="","",N(G2999)-N(H2999))</f>
        <v/>
      </c>
      <c r="K2999" s="34" t="str">
        <f aca="false">IF(D2999="","",IFERROR(INDEX(I_COA!$C$6:$C$265,MATCH(D2999,I_COA!$A$6:$A$265,0)),"AKUN BARU"))</f>
        <v/>
      </c>
      <c r="L2999" s="34" t="str">
        <f aca="false">IF(K2999="LabaRugi",INDEX(I_COA!$D$6:$D$265,MATCH(D2999,I_COA!$A$6:$A$265,0)),"")</f>
        <v/>
      </c>
      <c r="M2999" s="34" t="str">
        <f aca="false">IF(K2999="Neraca",INDEX(I_COA!$E$6:$E$265,MATCH(D2999,I_COA!$A$6:$A$265,0)),"")</f>
        <v/>
      </c>
      <c r="N2999" s="34" t="str">
        <f aca="false">IF(D2999="","",IFERROR(INDEX(I_COA!$G$6:$G$265,MATCH(D2999,I_COA!$A$6:$A$265,0)),"N"))</f>
        <v/>
      </c>
      <c r="O2999" s="11" t="str">
        <f aca="false">IF(N2999="N",ABS(J2999),"")</f>
        <v/>
      </c>
      <c r="P2999" s="18" t="str">
        <f aca="false">IF(N2999="N",B2999&amp;"|"&amp;ROUND(O2999,0),"")</f>
        <v/>
      </c>
      <c r="Q2999" s="18" t="str">
        <f aca="false">IF(N2999&lt;&gt;"Y","",IFERROR(INDEX($D$6:$D$4005,MATCH(B2999&amp;"|"&amp;ROUND(_xlfn.MAXIFS($O$6:$O$4005,$B$6:$B$4005,B2999,$N$6:$N$4005,"N"),0),$P$6:$P$4005,0)),"(tanpa lawan)"))</f>
        <v/>
      </c>
      <c r="R2999" s="44"/>
      <c r="S2999" s="9" t="str">
        <f aca="false">IF(N2999&lt;&gt;"Y","",IF(R2999&lt;&gt;"",R2999,IF(Q2999="(tanpa lawan)","Transfer antar rekening",IFERROR(INDEX(I_COA!$F$6:$F$265,MATCH(Q2999,I_COA!$A$6:$A$265,0)),"?"))))</f>
        <v/>
      </c>
    </row>
    <row r="3000" customFormat="false" ht="15" hidden="false" customHeight="false" outlineLevel="0" collapsed="false">
      <c r="A3000" s="37"/>
      <c r="B3000" s="44"/>
      <c r="C3000" s="44"/>
      <c r="D3000" s="44"/>
      <c r="E3000" s="44"/>
      <c r="F3000" s="44"/>
      <c r="G3000" s="42"/>
      <c r="H3000" s="42"/>
      <c r="I3000" s="44"/>
      <c r="J3000" s="11" t="str">
        <f aca="false">IF(D3000="","",N(G3000)-N(H3000))</f>
        <v/>
      </c>
      <c r="K3000" s="34" t="str">
        <f aca="false">IF(D3000="","",IFERROR(INDEX(I_COA!$C$6:$C$265,MATCH(D3000,I_COA!$A$6:$A$265,0)),"AKUN BARU"))</f>
        <v/>
      </c>
      <c r="L3000" s="34" t="str">
        <f aca="false">IF(K3000="LabaRugi",INDEX(I_COA!$D$6:$D$265,MATCH(D3000,I_COA!$A$6:$A$265,0)),"")</f>
        <v/>
      </c>
      <c r="M3000" s="34" t="str">
        <f aca="false">IF(K3000="Neraca",INDEX(I_COA!$E$6:$E$265,MATCH(D3000,I_COA!$A$6:$A$265,0)),"")</f>
        <v/>
      </c>
      <c r="N3000" s="34" t="str">
        <f aca="false">IF(D3000="","",IFERROR(INDEX(I_COA!$G$6:$G$265,MATCH(D3000,I_COA!$A$6:$A$265,0)),"N"))</f>
        <v/>
      </c>
      <c r="O3000" s="11" t="str">
        <f aca="false">IF(N3000="N",ABS(J3000),"")</f>
        <v/>
      </c>
      <c r="P3000" s="18" t="str">
        <f aca="false">IF(N3000="N",B3000&amp;"|"&amp;ROUND(O3000,0),"")</f>
        <v/>
      </c>
      <c r="Q3000" s="18" t="str">
        <f aca="false">IF(N3000&lt;&gt;"Y","",IFERROR(INDEX($D$6:$D$4005,MATCH(B3000&amp;"|"&amp;ROUND(_xlfn.MAXIFS($O$6:$O$4005,$B$6:$B$4005,B3000,$N$6:$N$4005,"N"),0),$P$6:$P$4005,0)),"(tanpa lawan)"))</f>
        <v/>
      </c>
      <c r="R3000" s="44"/>
      <c r="S3000" s="9" t="str">
        <f aca="false">IF(N3000&lt;&gt;"Y","",IF(R3000&lt;&gt;"",R3000,IF(Q3000="(tanpa lawan)","Transfer antar rekening",IFERROR(INDEX(I_COA!$F$6:$F$265,MATCH(Q3000,I_COA!$A$6:$A$265,0)),"?"))))</f>
        <v/>
      </c>
    </row>
    <row r="3001" customFormat="false" ht="15" hidden="false" customHeight="false" outlineLevel="0" collapsed="false">
      <c r="A3001" s="37"/>
      <c r="B3001" s="44"/>
      <c r="C3001" s="44"/>
      <c r="D3001" s="44"/>
      <c r="E3001" s="44"/>
      <c r="F3001" s="44"/>
      <c r="G3001" s="42"/>
      <c r="H3001" s="42"/>
      <c r="I3001" s="44"/>
      <c r="J3001" s="11" t="str">
        <f aca="false">IF(D3001="","",N(G3001)-N(H3001))</f>
        <v/>
      </c>
      <c r="K3001" s="34" t="str">
        <f aca="false">IF(D3001="","",IFERROR(INDEX(I_COA!$C$6:$C$265,MATCH(D3001,I_COA!$A$6:$A$265,0)),"AKUN BARU"))</f>
        <v/>
      </c>
      <c r="L3001" s="34" t="str">
        <f aca="false">IF(K3001="LabaRugi",INDEX(I_COA!$D$6:$D$265,MATCH(D3001,I_COA!$A$6:$A$265,0)),"")</f>
        <v/>
      </c>
      <c r="M3001" s="34" t="str">
        <f aca="false">IF(K3001="Neraca",INDEX(I_COA!$E$6:$E$265,MATCH(D3001,I_COA!$A$6:$A$265,0)),"")</f>
        <v/>
      </c>
      <c r="N3001" s="34" t="str">
        <f aca="false">IF(D3001="","",IFERROR(INDEX(I_COA!$G$6:$G$265,MATCH(D3001,I_COA!$A$6:$A$265,0)),"N"))</f>
        <v/>
      </c>
      <c r="O3001" s="11" t="str">
        <f aca="false">IF(N3001="N",ABS(J3001),"")</f>
        <v/>
      </c>
      <c r="P3001" s="18" t="str">
        <f aca="false">IF(N3001="N",B3001&amp;"|"&amp;ROUND(O3001,0),"")</f>
        <v/>
      </c>
      <c r="Q3001" s="18" t="str">
        <f aca="false">IF(N3001&lt;&gt;"Y","",IFERROR(INDEX($D$6:$D$4005,MATCH(B3001&amp;"|"&amp;ROUND(_xlfn.MAXIFS($O$6:$O$4005,$B$6:$B$4005,B3001,$N$6:$N$4005,"N"),0),$P$6:$P$4005,0)),"(tanpa lawan)"))</f>
        <v/>
      </c>
      <c r="R3001" s="44"/>
      <c r="S3001" s="9" t="str">
        <f aca="false">IF(N3001&lt;&gt;"Y","",IF(R3001&lt;&gt;"",R3001,IF(Q3001="(tanpa lawan)","Transfer antar rekening",IFERROR(INDEX(I_COA!$F$6:$F$265,MATCH(Q3001,I_COA!$A$6:$A$265,0)),"?"))))</f>
        <v/>
      </c>
    </row>
    <row r="3002" customFormat="false" ht="15" hidden="false" customHeight="false" outlineLevel="0" collapsed="false">
      <c r="A3002" s="37"/>
      <c r="B3002" s="44"/>
      <c r="C3002" s="44"/>
      <c r="D3002" s="44"/>
      <c r="E3002" s="44"/>
      <c r="F3002" s="44"/>
      <c r="G3002" s="42"/>
      <c r="H3002" s="42"/>
      <c r="I3002" s="44"/>
      <c r="J3002" s="11" t="str">
        <f aca="false">IF(D3002="","",N(G3002)-N(H3002))</f>
        <v/>
      </c>
      <c r="K3002" s="34" t="str">
        <f aca="false">IF(D3002="","",IFERROR(INDEX(I_COA!$C$6:$C$265,MATCH(D3002,I_COA!$A$6:$A$265,0)),"AKUN BARU"))</f>
        <v/>
      </c>
      <c r="L3002" s="34" t="str">
        <f aca="false">IF(K3002="LabaRugi",INDEX(I_COA!$D$6:$D$265,MATCH(D3002,I_COA!$A$6:$A$265,0)),"")</f>
        <v/>
      </c>
      <c r="M3002" s="34" t="str">
        <f aca="false">IF(K3002="Neraca",INDEX(I_COA!$E$6:$E$265,MATCH(D3002,I_COA!$A$6:$A$265,0)),"")</f>
        <v/>
      </c>
      <c r="N3002" s="34" t="str">
        <f aca="false">IF(D3002="","",IFERROR(INDEX(I_COA!$G$6:$G$265,MATCH(D3002,I_COA!$A$6:$A$265,0)),"N"))</f>
        <v/>
      </c>
      <c r="O3002" s="11" t="str">
        <f aca="false">IF(N3002="N",ABS(J3002),"")</f>
        <v/>
      </c>
      <c r="P3002" s="18" t="str">
        <f aca="false">IF(N3002="N",B3002&amp;"|"&amp;ROUND(O3002,0),"")</f>
        <v/>
      </c>
      <c r="Q3002" s="18" t="str">
        <f aca="false">IF(N3002&lt;&gt;"Y","",IFERROR(INDEX($D$6:$D$4005,MATCH(B3002&amp;"|"&amp;ROUND(_xlfn.MAXIFS($O$6:$O$4005,$B$6:$B$4005,B3002,$N$6:$N$4005,"N"),0),$P$6:$P$4005,0)),"(tanpa lawan)"))</f>
        <v/>
      </c>
      <c r="R3002" s="44"/>
      <c r="S3002" s="9" t="str">
        <f aca="false">IF(N3002&lt;&gt;"Y","",IF(R3002&lt;&gt;"",R3002,IF(Q3002="(tanpa lawan)","Transfer antar rekening",IFERROR(INDEX(I_COA!$F$6:$F$265,MATCH(Q3002,I_COA!$A$6:$A$265,0)),"?"))))</f>
        <v/>
      </c>
    </row>
    <row r="3003" customFormat="false" ht="15" hidden="false" customHeight="false" outlineLevel="0" collapsed="false">
      <c r="A3003" s="37"/>
      <c r="B3003" s="44"/>
      <c r="C3003" s="44"/>
      <c r="D3003" s="44"/>
      <c r="E3003" s="44"/>
      <c r="F3003" s="44"/>
      <c r="G3003" s="42"/>
      <c r="H3003" s="42"/>
      <c r="I3003" s="44"/>
      <c r="J3003" s="11" t="str">
        <f aca="false">IF(D3003="","",N(G3003)-N(H3003))</f>
        <v/>
      </c>
      <c r="K3003" s="34" t="str">
        <f aca="false">IF(D3003="","",IFERROR(INDEX(I_COA!$C$6:$C$265,MATCH(D3003,I_COA!$A$6:$A$265,0)),"AKUN BARU"))</f>
        <v/>
      </c>
      <c r="L3003" s="34" t="str">
        <f aca="false">IF(K3003="LabaRugi",INDEX(I_COA!$D$6:$D$265,MATCH(D3003,I_COA!$A$6:$A$265,0)),"")</f>
        <v/>
      </c>
      <c r="M3003" s="34" t="str">
        <f aca="false">IF(K3003="Neraca",INDEX(I_COA!$E$6:$E$265,MATCH(D3003,I_COA!$A$6:$A$265,0)),"")</f>
        <v/>
      </c>
      <c r="N3003" s="34" t="str">
        <f aca="false">IF(D3003="","",IFERROR(INDEX(I_COA!$G$6:$G$265,MATCH(D3003,I_COA!$A$6:$A$265,0)),"N"))</f>
        <v/>
      </c>
      <c r="O3003" s="11" t="str">
        <f aca="false">IF(N3003="N",ABS(J3003),"")</f>
        <v/>
      </c>
      <c r="P3003" s="18" t="str">
        <f aca="false">IF(N3003="N",B3003&amp;"|"&amp;ROUND(O3003,0),"")</f>
        <v/>
      </c>
      <c r="Q3003" s="18" t="str">
        <f aca="false">IF(N3003&lt;&gt;"Y","",IFERROR(INDEX($D$6:$D$4005,MATCH(B3003&amp;"|"&amp;ROUND(_xlfn.MAXIFS($O$6:$O$4005,$B$6:$B$4005,B3003,$N$6:$N$4005,"N"),0),$P$6:$P$4005,0)),"(tanpa lawan)"))</f>
        <v/>
      </c>
      <c r="R3003" s="44"/>
      <c r="S3003" s="9" t="str">
        <f aca="false">IF(N3003&lt;&gt;"Y","",IF(R3003&lt;&gt;"",R3003,IF(Q3003="(tanpa lawan)","Transfer antar rekening",IFERROR(INDEX(I_COA!$F$6:$F$265,MATCH(Q3003,I_COA!$A$6:$A$265,0)),"?"))))</f>
        <v/>
      </c>
    </row>
    <row r="3004" customFormat="false" ht="15" hidden="false" customHeight="false" outlineLevel="0" collapsed="false">
      <c r="A3004" s="37"/>
      <c r="B3004" s="44"/>
      <c r="C3004" s="44"/>
      <c r="D3004" s="44"/>
      <c r="E3004" s="44"/>
      <c r="F3004" s="44"/>
      <c r="G3004" s="42"/>
      <c r="H3004" s="42"/>
      <c r="I3004" s="44"/>
      <c r="J3004" s="11" t="str">
        <f aca="false">IF(D3004="","",N(G3004)-N(H3004))</f>
        <v/>
      </c>
      <c r="K3004" s="34" t="str">
        <f aca="false">IF(D3004="","",IFERROR(INDEX(I_COA!$C$6:$C$265,MATCH(D3004,I_COA!$A$6:$A$265,0)),"AKUN BARU"))</f>
        <v/>
      </c>
      <c r="L3004" s="34" t="str">
        <f aca="false">IF(K3004="LabaRugi",INDEX(I_COA!$D$6:$D$265,MATCH(D3004,I_COA!$A$6:$A$265,0)),"")</f>
        <v/>
      </c>
      <c r="M3004" s="34" t="str">
        <f aca="false">IF(K3004="Neraca",INDEX(I_COA!$E$6:$E$265,MATCH(D3004,I_COA!$A$6:$A$265,0)),"")</f>
        <v/>
      </c>
      <c r="N3004" s="34" t="str">
        <f aca="false">IF(D3004="","",IFERROR(INDEX(I_COA!$G$6:$G$265,MATCH(D3004,I_COA!$A$6:$A$265,0)),"N"))</f>
        <v/>
      </c>
      <c r="O3004" s="11" t="str">
        <f aca="false">IF(N3004="N",ABS(J3004),"")</f>
        <v/>
      </c>
      <c r="P3004" s="18" t="str">
        <f aca="false">IF(N3004="N",B3004&amp;"|"&amp;ROUND(O3004,0),"")</f>
        <v/>
      </c>
      <c r="Q3004" s="18" t="str">
        <f aca="false">IF(N3004&lt;&gt;"Y","",IFERROR(INDEX($D$6:$D$4005,MATCH(B3004&amp;"|"&amp;ROUND(_xlfn.MAXIFS($O$6:$O$4005,$B$6:$B$4005,B3004,$N$6:$N$4005,"N"),0),$P$6:$P$4005,0)),"(tanpa lawan)"))</f>
        <v/>
      </c>
      <c r="R3004" s="44"/>
      <c r="S3004" s="9" t="str">
        <f aca="false">IF(N3004&lt;&gt;"Y","",IF(R3004&lt;&gt;"",R3004,IF(Q3004="(tanpa lawan)","Transfer antar rekening",IFERROR(INDEX(I_COA!$F$6:$F$265,MATCH(Q3004,I_COA!$A$6:$A$265,0)),"?"))))</f>
        <v/>
      </c>
    </row>
    <row r="3005" customFormat="false" ht="15" hidden="false" customHeight="false" outlineLevel="0" collapsed="false">
      <c r="A3005" s="37"/>
      <c r="B3005" s="44"/>
      <c r="C3005" s="44"/>
      <c r="D3005" s="44"/>
      <c r="E3005" s="44"/>
      <c r="F3005" s="44"/>
      <c r="G3005" s="42"/>
      <c r="H3005" s="42"/>
      <c r="I3005" s="44"/>
      <c r="J3005" s="11" t="str">
        <f aca="false">IF(D3005="","",N(G3005)-N(H3005))</f>
        <v/>
      </c>
      <c r="K3005" s="34" t="str">
        <f aca="false">IF(D3005="","",IFERROR(INDEX(I_COA!$C$6:$C$265,MATCH(D3005,I_COA!$A$6:$A$265,0)),"AKUN BARU"))</f>
        <v/>
      </c>
      <c r="L3005" s="34" t="str">
        <f aca="false">IF(K3005="LabaRugi",INDEX(I_COA!$D$6:$D$265,MATCH(D3005,I_COA!$A$6:$A$265,0)),"")</f>
        <v/>
      </c>
      <c r="M3005" s="34" t="str">
        <f aca="false">IF(K3005="Neraca",INDEX(I_COA!$E$6:$E$265,MATCH(D3005,I_COA!$A$6:$A$265,0)),"")</f>
        <v/>
      </c>
      <c r="N3005" s="34" t="str">
        <f aca="false">IF(D3005="","",IFERROR(INDEX(I_COA!$G$6:$G$265,MATCH(D3005,I_COA!$A$6:$A$265,0)),"N"))</f>
        <v/>
      </c>
      <c r="O3005" s="11" t="str">
        <f aca="false">IF(N3005="N",ABS(J3005),"")</f>
        <v/>
      </c>
      <c r="P3005" s="18" t="str">
        <f aca="false">IF(N3005="N",B3005&amp;"|"&amp;ROUND(O3005,0),"")</f>
        <v/>
      </c>
      <c r="Q3005" s="18" t="str">
        <f aca="false">IF(N3005&lt;&gt;"Y","",IFERROR(INDEX($D$6:$D$4005,MATCH(B3005&amp;"|"&amp;ROUND(_xlfn.MAXIFS($O$6:$O$4005,$B$6:$B$4005,B3005,$N$6:$N$4005,"N"),0),$P$6:$P$4005,0)),"(tanpa lawan)"))</f>
        <v/>
      </c>
      <c r="R3005" s="44"/>
      <c r="S3005" s="9" t="str">
        <f aca="false">IF(N3005&lt;&gt;"Y","",IF(R3005&lt;&gt;"",R3005,IF(Q3005="(tanpa lawan)","Transfer antar rekening",IFERROR(INDEX(I_COA!$F$6:$F$265,MATCH(Q3005,I_COA!$A$6:$A$265,0)),"?"))))</f>
        <v/>
      </c>
    </row>
    <row r="3006" customFormat="false" ht="15" hidden="false" customHeight="false" outlineLevel="0" collapsed="false">
      <c r="A3006" s="37"/>
      <c r="B3006" s="44"/>
      <c r="C3006" s="44"/>
      <c r="D3006" s="44"/>
      <c r="E3006" s="44"/>
      <c r="F3006" s="44"/>
      <c r="G3006" s="42"/>
      <c r="H3006" s="42"/>
      <c r="I3006" s="44"/>
      <c r="J3006" s="11" t="str">
        <f aca="false">IF(D3006="","",N(G3006)-N(H3006))</f>
        <v/>
      </c>
      <c r="K3006" s="34" t="str">
        <f aca="false">IF(D3006="","",IFERROR(INDEX(I_COA!$C$6:$C$265,MATCH(D3006,I_COA!$A$6:$A$265,0)),"AKUN BARU"))</f>
        <v/>
      </c>
      <c r="L3006" s="34" t="str">
        <f aca="false">IF(K3006="LabaRugi",INDEX(I_COA!$D$6:$D$265,MATCH(D3006,I_COA!$A$6:$A$265,0)),"")</f>
        <v/>
      </c>
      <c r="M3006" s="34" t="str">
        <f aca="false">IF(K3006="Neraca",INDEX(I_COA!$E$6:$E$265,MATCH(D3006,I_COA!$A$6:$A$265,0)),"")</f>
        <v/>
      </c>
      <c r="N3006" s="34" t="str">
        <f aca="false">IF(D3006="","",IFERROR(INDEX(I_COA!$G$6:$G$265,MATCH(D3006,I_COA!$A$6:$A$265,0)),"N"))</f>
        <v/>
      </c>
      <c r="O3006" s="11" t="str">
        <f aca="false">IF(N3006="N",ABS(J3006),"")</f>
        <v/>
      </c>
      <c r="P3006" s="18" t="str">
        <f aca="false">IF(N3006="N",B3006&amp;"|"&amp;ROUND(O3006,0),"")</f>
        <v/>
      </c>
      <c r="Q3006" s="18" t="str">
        <f aca="false">IF(N3006&lt;&gt;"Y","",IFERROR(INDEX($D$6:$D$4005,MATCH(B3006&amp;"|"&amp;ROUND(_xlfn.MAXIFS($O$6:$O$4005,$B$6:$B$4005,B3006,$N$6:$N$4005,"N"),0),$P$6:$P$4005,0)),"(tanpa lawan)"))</f>
        <v/>
      </c>
      <c r="R3006" s="44"/>
      <c r="S3006" s="9" t="str">
        <f aca="false">IF(N3006&lt;&gt;"Y","",IF(R3006&lt;&gt;"",R3006,IF(Q3006="(tanpa lawan)","Transfer antar rekening",IFERROR(INDEX(I_COA!$F$6:$F$265,MATCH(Q3006,I_COA!$A$6:$A$265,0)),"?"))))</f>
        <v/>
      </c>
    </row>
    <row r="3007" customFormat="false" ht="15" hidden="false" customHeight="false" outlineLevel="0" collapsed="false">
      <c r="A3007" s="37"/>
      <c r="B3007" s="44"/>
      <c r="C3007" s="44"/>
      <c r="D3007" s="44"/>
      <c r="E3007" s="44"/>
      <c r="F3007" s="44"/>
      <c r="G3007" s="42"/>
      <c r="H3007" s="42"/>
      <c r="I3007" s="44"/>
      <c r="J3007" s="11" t="str">
        <f aca="false">IF(D3007="","",N(G3007)-N(H3007))</f>
        <v/>
      </c>
      <c r="K3007" s="34" t="str">
        <f aca="false">IF(D3007="","",IFERROR(INDEX(I_COA!$C$6:$C$265,MATCH(D3007,I_COA!$A$6:$A$265,0)),"AKUN BARU"))</f>
        <v/>
      </c>
      <c r="L3007" s="34" t="str">
        <f aca="false">IF(K3007="LabaRugi",INDEX(I_COA!$D$6:$D$265,MATCH(D3007,I_COA!$A$6:$A$265,0)),"")</f>
        <v/>
      </c>
      <c r="M3007" s="34" t="str">
        <f aca="false">IF(K3007="Neraca",INDEX(I_COA!$E$6:$E$265,MATCH(D3007,I_COA!$A$6:$A$265,0)),"")</f>
        <v/>
      </c>
      <c r="N3007" s="34" t="str">
        <f aca="false">IF(D3007="","",IFERROR(INDEX(I_COA!$G$6:$G$265,MATCH(D3007,I_COA!$A$6:$A$265,0)),"N"))</f>
        <v/>
      </c>
      <c r="O3007" s="11" t="str">
        <f aca="false">IF(N3007="N",ABS(J3007),"")</f>
        <v/>
      </c>
      <c r="P3007" s="18" t="str">
        <f aca="false">IF(N3007="N",B3007&amp;"|"&amp;ROUND(O3007,0),"")</f>
        <v/>
      </c>
      <c r="Q3007" s="18" t="str">
        <f aca="false">IF(N3007&lt;&gt;"Y","",IFERROR(INDEX($D$6:$D$4005,MATCH(B3007&amp;"|"&amp;ROUND(_xlfn.MAXIFS($O$6:$O$4005,$B$6:$B$4005,B3007,$N$6:$N$4005,"N"),0),$P$6:$P$4005,0)),"(tanpa lawan)"))</f>
        <v/>
      </c>
      <c r="R3007" s="44"/>
      <c r="S3007" s="9" t="str">
        <f aca="false">IF(N3007&lt;&gt;"Y","",IF(R3007&lt;&gt;"",R3007,IF(Q3007="(tanpa lawan)","Transfer antar rekening",IFERROR(INDEX(I_COA!$F$6:$F$265,MATCH(Q3007,I_COA!$A$6:$A$265,0)),"?"))))</f>
        <v/>
      </c>
    </row>
    <row r="3008" customFormat="false" ht="15" hidden="false" customHeight="false" outlineLevel="0" collapsed="false">
      <c r="A3008" s="37"/>
      <c r="B3008" s="44"/>
      <c r="C3008" s="44"/>
      <c r="D3008" s="44"/>
      <c r="E3008" s="44"/>
      <c r="F3008" s="44"/>
      <c r="G3008" s="42"/>
      <c r="H3008" s="42"/>
      <c r="I3008" s="44"/>
      <c r="J3008" s="11" t="str">
        <f aca="false">IF(D3008="","",N(G3008)-N(H3008))</f>
        <v/>
      </c>
      <c r="K3008" s="34" t="str">
        <f aca="false">IF(D3008="","",IFERROR(INDEX(I_COA!$C$6:$C$265,MATCH(D3008,I_COA!$A$6:$A$265,0)),"AKUN BARU"))</f>
        <v/>
      </c>
      <c r="L3008" s="34" t="str">
        <f aca="false">IF(K3008="LabaRugi",INDEX(I_COA!$D$6:$D$265,MATCH(D3008,I_COA!$A$6:$A$265,0)),"")</f>
        <v/>
      </c>
      <c r="M3008" s="34" t="str">
        <f aca="false">IF(K3008="Neraca",INDEX(I_COA!$E$6:$E$265,MATCH(D3008,I_COA!$A$6:$A$265,0)),"")</f>
        <v/>
      </c>
      <c r="N3008" s="34" t="str">
        <f aca="false">IF(D3008="","",IFERROR(INDEX(I_COA!$G$6:$G$265,MATCH(D3008,I_COA!$A$6:$A$265,0)),"N"))</f>
        <v/>
      </c>
      <c r="O3008" s="11" t="str">
        <f aca="false">IF(N3008="N",ABS(J3008),"")</f>
        <v/>
      </c>
      <c r="P3008" s="18" t="str">
        <f aca="false">IF(N3008="N",B3008&amp;"|"&amp;ROUND(O3008,0),"")</f>
        <v/>
      </c>
      <c r="Q3008" s="18" t="str">
        <f aca="false">IF(N3008&lt;&gt;"Y","",IFERROR(INDEX($D$6:$D$4005,MATCH(B3008&amp;"|"&amp;ROUND(_xlfn.MAXIFS($O$6:$O$4005,$B$6:$B$4005,B3008,$N$6:$N$4005,"N"),0),$P$6:$P$4005,0)),"(tanpa lawan)"))</f>
        <v/>
      </c>
      <c r="R3008" s="44"/>
      <c r="S3008" s="9" t="str">
        <f aca="false">IF(N3008&lt;&gt;"Y","",IF(R3008&lt;&gt;"",R3008,IF(Q3008="(tanpa lawan)","Transfer antar rekening",IFERROR(INDEX(I_COA!$F$6:$F$265,MATCH(Q3008,I_COA!$A$6:$A$265,0)),"?"))))</f>
        <v/>
      </c>
    </row>
    <row r="3009" customFormat="false" ht="15" hidden="false" customHeight="false" outlineLevel="0" collapsed="false">
      <c r="A3009" s="37"/>
      <c r="B3009" s="44"/>
      <c r="C3009" s="44"/>
      <c r="D3009" s="44"/>
      <c r="E3009" s="44"/>
      <c r="F3009" s="44"/>
      <c r="G3009" s="42"/>
      <c r="H3009" s="42"/>
      <c r="I3009" s="44"/>
      <c r="J3009" s="11" t="str">
        <f aca="false">IF(D3009="","",N(G3009)-N(H3009))</f>
        <v/>
      </c>
      <c r="K3009" s="34" t="str">
        <f aca="false">IF(D3009="","",IFERROR(INDEX(I_COA!$C$6:$C$265,MATCH(D3009,I_COA!$A$6:$A$265,0)),"AKUN BARU"))</f>
        <v/>
      </c>
      <c r="L3009" s="34" t="str">
        <f aca="false">IF(K3009="LabaRugi",INDEX(I_COA!$D$6:$D$265,MATCH(D3009,I_COA!$A$6:$A$265,0)),"")</f>
        <v/>
      </c>
      <c r="M3009" s="34" t="str">
        <f aca="false">IF(K3009="Neraca",INDEX(I_COA!$E$6:$E$265,MATCH(D3009,I_COA!$A$6:$A$265,0)),"")</f>
        <v/>
      </c>
      <c r="N3009" s="34" t="str">
        <f aca="false">IF(D3009="","",IFERROR(INDEX(I_COA!$G$6:$G$265,MATCH(D3009,I_COA!$A$6:$A$265,0)),"N"))</f>
        <v/>
      </c>
      <c r="O3009" s="11" t="str">
        <f aca="false">IF(N3009="N",ABS(J3009),"")</f>
        <v/>
      </c>
      <c r="P3009" s="18" t="str">
        <f aca="false">IF(N3009="N",B3009&amp;"|"&amp;ROUND(O3009,0),"")</f>
        <v/>
      </c>
      <c r="Q3009" s="18" t="str">
        <f aca="false">IF(N3009&lt;&gt;"Y","",IFERROR(INDEX($D$6:$D$4005,MATCH(B3009&amp;"|"&amp;ROUND(_xlfn.MAXIFS($O$6:$O$4005,$B$6:$B$4005,B3009,$N$6:$N$4005,"N"),0),$P$6:$P$4005,0)),"(tanpa lawan)"))</f>
        <v/>
      </c>
      <c r="R3009" s="44"/>
      <c r="S3009" s="9" t="str">
        <f aca="false">IF(N3009&lt;&gt;"Y","",IF(R3009&lt;&gt;"",R3009,IF(Q3009="(tanpa lawan)","Transfer antar rekening",IFERROR(INDEX(I_COA!$F$6:$F$265,MATCH(Q3009,I_COA!$A$6:$A$265,0)),"?"))))</f>
        <v/>
      </c>
    </row>
    <row r="3010" customFormat="false" ht="15" hidden="false" customHeight="false" outlineLevel="0" collapsed="false">
      <c r="A3010" s="37"/>
      <c r="B3010" s="44"/>
      <c r="C3010" s="44"/>
      <c r="D3010" s="44"/>
      <c r="E3010" s="44"/>
      <c r="F3010" s="44"/>
      <c r="G3010" s="42"/>
      <c r="H3010" s="42"/>
      <c r="I3010" s="44"/>
      <c r="J3010" s="11" t="str">
        <f aca="false">IF(D3010="","",N(G3010)-N(H3010))</f>
        <v/>
      </c>
      <c r="K3010" s="34" t="str">
        <f aca="false">IF(D3010="","",IFERROR(INDEX(I_COA!$C$6:$C$265,MATCH(D3010,I_COA!$A$6:$A$265,0)),"AKUN BARU"))</f>
        <v/>
      </c>
      <c r="L3010" s="34" t="str">
        <f aca="false">IF(K3010="LabaRugi",INDEX(I_COA!$D$6:$D$265,MATCH(D3010,I_COA!$A$6:$A$265,0)),"")</f>
        <v/>
      </c>
      <c r="M3010" s="34" t="str">
        <f aca="false">IF(K3010="Neraca",INDEX(I_COA!$E$6:$E$265,MATCH(D3010,I_COA!$A$6:$A$265,0)),"")</f>
        <v/>
      </c>
      <c r="N3010" s="34" t="str">
        <f aca="false">IF(D3010="","",IFERROR(INDEX(I_COA!$G$6:$G$265,MATCH(D3010,I_COA!$A$6:$A$265,0)),"N"))</f>
        <v/>
      </c>
      <c r="O3010" s="11" t="str">
        <f aca="false">IF(N3010="N",ABS(J3010),"")</f>
        <v/>
      </c>
      <c r="P3010" s="18" t="str">
        <f aca="false">IF(N3010="N",B3010&amp;"|"&amp;ROUND(O3010,0),"")</f>
        <v/>
      </c>
      <c r="Q3010" s="18" t="str">
        <f aca="false">IF(N3010&lt;&gt;"Y","",IFERROR(INDEX($D$6:$D$4005,MATCH(B3010&amp;"|"&amp;ROUND(_xlfn.MAXIFS($O$6:$O$4005,$B$6:$B$4005,B3010,$N$6:$N$4005,"N"),0),$P$6:$P$4005,0)),"(tanpa lawan)"))</f>
        <v/>
      </c>
      <c r="R3010" s="44"/>
      <c r="S3010" s="9" t="str">
        <f aca="false">IF(N3010&lt;&gt;"Y","",IF(R3010&lt;&gt;"",R3010,IF(Q3010="(tanpa lawan)","Transfer antar rekening",IFERROR(INDEX(I_COA!$F$6:$F$265,MATCH(Q3010,I_COA!$A$6:$A$265,0)),"?"))))</f>
        <v/>
      </c>
    </row>
    <row r="3011" customFormat="false" ht="15" hidden="false" customHeight="false" outlineLevel="0" collapsed="false">
      <c r="A3011" s="37"/>
      <c r="B3011" s="44"/>
      <c r="C3011" s="44"/>
      <c r="D3011" s="44"/>
      <c r="E3011" s="44"/>
      <c r="F3011" s="44"/>
      <c r="G3011" s="42"/>
      <c r="H3011" s="42"/>
      <c r="I3011" s="44"/>
      <c r="J3011" s="11" t="str">
        <f aca="false">IF(D3011="","",N(G3011)-N(H3011))</f>
        <v/>
      </c>
      <c r="K3011" s="34" t="str">
        <f aca="false">IF(D3011="","",IFERROR(INDEX(I_COA!$C$6:$C$265,MATCH(D3011,I_COA!$A$6:$A$265,0)),"AKUN BARU"))</f>
        <v/>
      </c>
      <c r="L3011" s="34" t="str">
        <f aca="false">IF(K3011="LabaRugi",INDEX(I_COA!$D$6:$D$265,MATCH(D3011,I_COA!$A$6:$A$265,0)),"")</f>
        <v/>
      </c>
      <c r="M3011" s="34" t="str">
        <f aca="false">IF(K3011="Neraca",INDEX(I_COA!$E$6:$E$265,MATCH(D3011,I_COA!$A$6:$A$265,0)),"")</f>
        <v/>
      </c>
      <c r="N3011" s="34" t="str">
        <f aca="false">IF(D3011="","",IFERROR(INDEX(I_COA!$G$6:$G$265,MATCH(D3011,I_COA!$A$6:$A$265,0)),"N"))</f>
        <v/>
      </c>
      <c r="O3011" s="11" t="str">
        <f aca="false">IF(N3011="N",ABS(J3011),"")</f>
        <v/>
      </c>
      <c r="P3011" s="18" t="str">
        <f aca="false">IF(N3011="N",B3011&amp;"|"&amp;ROUND(O3011,0),"")</f>
        <v/>
      </c>
      <c r="Q3011" s="18" t="str">
        <f aca="false">IF(N3011&lt;&gt;"Y","",IFERROR(INDEX($D$6:$D$4005,MATCH(B3011&amp;"|"&amp;ROUND(_xlfn.MAXIFS($O$6:$O$4005,$B$6:$B$4005,B3011,$N$6:$N$4005,"N"),0),$P$6:$P$4005,0)),"(tanpa lawan)"))</f>
        <v/>
      </c>
      <c r="R3011" s="44"/>
      <c r="S3011" s="9" t="str">
        <f aca="false">IF(N3011&lt;&gt;"Y","",IF(R3011&lt;&gt;"",R3011,IF(Q3011="(tanpa lawan)","Transfer antar rekening",IFERROR(INDEX(I_COA!$F$6:$F$265,MATCH(Q3011,I_COA!$A$6:$A$265,0)),"?"))))</f>
        <v/>
      </c>
    </row>
    <row r="3012" customFormat="false" ht="15" hidden="false" customHeight="false" outlineLevel="0" collapsed="false">
      <c r="A3012" s="37"/>
      <c r="B3012" s="44"/>
      <c r="C3012" s="44"/>
      <c r="D3012" s="44"/>
      <c r="E3012" s="44"/>
      <c r="F3012" s="44"/>
      <c r="G3012" s="42"/>
      <c r="H3012" s="42"/>
      <c r="I3012" s="44"/>
      <c r="J3012" s="11" t="str">
        <f aca="false">IF(D3012="","",N(G3012)-N(H3012))</f>
        <v/>
      </c>
      <c r="K3012" s="34" t="str">
        <f aca="false">IF(D3012="","",IFERROR(INDEX(I_COA!$C$6:$C$265,MATCH(D3012,I_COA!$A$6:$A$265,0)),"AKUN BARU"))</f>
        <v/>
      </c>
      <c r="L3012" s="34" t="str">
        <f aca="false">IF(K3012="LabaRugi",INDEX(I_COA!$D$6:$D$265,MATCH(D3012,I_COA!$A$6:$A$265,0)),"")</f>
        <v/>
      </c>
      <c r="M3012" s="34" t="str">
        <f aca="false">IF(K3012="Neraca",INDEX(I_COA!$E$6:$E$265,MATCH(D3012,I_COA!$A$6:$A$265,0)),"")</f>
        <v/>
      </c>
      <c r="N3012" s="34" t="str">
        <f aca="false">IF(D3012="","",IFERROR(INDEX(I_COA!$G$6:$G$265,MATCH(D3012,I_COA!$A$6:$A$265,0)),"N"))</f>
        <v/>
      </c>
      <c r="O3012" s="11" t="str">
        <f aca="false">IF(N3012="N",ABS(J3012),"")</f>
        <v/>
      </c>
      <c r="P3012" s="18" t="str">
        <f aca="false">IF(N3012="N",B3012&amp;"|"&amp;ROUND(O3012,0),"")</f>
        <v/>
      </c>
      <c r="Q3012" s="18" t="str">
        <f aca="false">IF(N3012&lt;&gt;"Y","",IFERROR(INDEX($D$6:$D$4005,MATCH(B3012&amp;"|"&amp;ROUND(_xlfn.MAXIFS($O$6:$O$4005,$B$6:$B$4005,B3012,$N$6:$N$4005,"N"),0),$P$6:$P$4005,0)),"(tanpa lawan)"))</f>
        <v/>
      </c>
      <c r="R3012" s="44"/>
      <c r="S3012" s="9" t="str">
        <f aca="false">IF(N3012&lt;&gt;"Y","",IF(R3012&lt;&gt;"",R3012,IF(Q3012="(tanpa lawan)","Transfer antar rekening",IFERROR(INDEX(I_COA!$F$6:$F$265,MATCH(Q3012,I_COA!$A$6:$A$265,0)),"?"))))</f>
        <v/>
      </c>
    </row>
    <row r="3013" customFormat="false" ht="15" hidden="false" customHeight="false" outlineLevel="0" collapsed="false">
      <c r="A3013" s="37"/>
      <c r="B3013" s="44"/>
      <c r="C3013" s="44"/>
      <c r="D3013" s="44"/>
      <c r="E3013" s="44"/>
      <c r="F3013" s="44"/>
      <c r="G3013" s="42"/>
      <c r="H3013" s="42"/>
      <c r="I3013" s="44"/>
      <c r="J3013" s="11" t="str">
        <f aca="false">IF(D3013="","",N(G3013)-N(H3013))</f>
        <v/>
      </c>
      <c r="K3013" s="34" t="str">
        <f aca="false">IF(D3013="","",IFERROR(INDEX(I_COA!$C$6:$C$265,MATCH(D3013,I_COA!$A$6:$A$265,0)),"AKUN BARU"))</f>
        <v/>
      </c>
      <c r="L3013" s="34" t="str">
        <f aca="false">IF(K3013="LabaRugi",INDEX(I_COA!$D$6:$D$265,MATCH(D3013,I_COA!$A$6:$A$265,0)),"")</f>
        <v/>
      </c>
      <c r="M3013" s="34" t="str">
        <f aca="false">IF(K3013="Neraca",INDEX(I_COA!$E$6:$E$265,MATCH(D3013,I_COA!$A$6:$A$265,0)),"")</f>
        <v/>
      </c>
      <c r="N3013" s="34" t="str">
        <f aca="false">IF(D3013="","",IFERROR(INDEX(I_COA!$G$6:$G$265,MATCH(D3013,I_COA!$A$6:$A$265,0)),"N"))</f>
        <v/>
      </c>
      <c r="O3013" s="11" t="str">
        <f aca="false">IF(N3013="N",ABS(J3013),"")</f>
        <v/>
      </c>
      <c r="P3013" s="18" t="str">
        <f aca="false">IF(N3013="N",B3013&amp;"|"&amp;ROUND(O3013,0),"")</f>
        <v/>
      </c>
      <c r="Q3013" s="18" t="str">
        <f aca="false">IF(N3013&lt;&gt;"Y","",IFERROR(INDEX($D$6:$D$4005,MATCH(B3013&amp;"|"&amp;ROUND(_xlfn.MAXIFS($O$6:$O$4005,$B$6:$B$4005,B3013,$N$6:$N$4005,"N"),0),$P$6:$P$4005,0)),"(tanpa lawan)"))</f>
        <v/>
      </c>
      <c r="R3013" s="44"/>
      <c r="S3013" s="9" t="str">
        <f aca="false">IF(N3013&lt;&gt;"Y","",IF(R3013&lt;&gt;"",R3013,IF(Q3013="(tanpa lawan)","Transfer antar rekening",IFERROR(INDEX(I_COA!$F$6:$F$265,MATCH(Q3013,I_COA!$A$6:$A$265,0)),"?"))))</f>
        <v/>
      </c>
    </row>
    <row r="3014" customFormat="false" ht="15" hidden="false" customHeight="false" outlineLevel="0" collapsed="false">
      <c r="A3014" s="37"/>
      <c r="B3014" s="44"/>
      <c r="C3014" s="44"/>
      <c r="D3014" s="44"/>
      <c r="E3014" s="44"/>
      <c r="F3014" s="44"/>
      <c r="G3014" s="42"/>
      <c r="H3014" s="42"/>
      <c r="I3014" s="44"/>
      <c r="J3014" s="11" t="str">
        <f aca="false">IF(D3014="","",N(G3014)-N(H3014))</f>
        <v/>
      </c>
      <c r="K3014" s="34" t="str">
        <f aca="false">IF(D3014="","",IFERROR(INDEX(I_COA!$C$6:$C$265,MATCH(D3014,I_COA!$A$6:$A$265,0)),"AKUN BARU"))</f>
        <v/>
      </c>
      <c r="L3014" s="34" t="str">
        <f aca="false">IF(K3014="LabaRugi",INDEX(I_COA!$D$6:$D$265,MATCH(D3014,I_COA!$A$6:$A$265,0)),"")</f>
        <v/>
      </c>
      <c r="M3014" s="34" t="str">
        <f aca="false">IF(K3014="Neraca",INDEX(I_COA!$E$6:$E$265,MATCH(D3014,I_COA!$A$6:$A$265,0)),"")</f>
        <v/>
      </c>
      <c r="N3014" s="34" t="str">
        <f aca="false">IF(D3014="","",IFERROR(INDEX(I_COA!$G$6:$G$265,MATCH(D3014,I_COA!$A$6:$A$265,0)),"N"))</f>
        <v/>
      </c>
      <c r="O3014" s="11" t="str">
        <f aca="false">IF(N3014="N",ABS(J3014),"")</f>
        <v/>
      </c>
      <c r="P3014" s="18" t="str">
        <f aca="false">IF(N3014="N",B3014&amp;"|"&amp;ROUND(O3014,0),"")</f>
        <v/>
      </c>
      <c r="Q3014" s="18" t="str">
        <f aca="false">IF(N3014&lt;&gt;"Y","",IFERROR(INDEX($D$6:$D$4005,MATCH(B3014&amp;"|"&amp;ROUND(_xlfn.MAXIFS($O$6:$O$4005,$B$6:$B$4005,B3014,$N$6:$N$4005,"N"),0),$P$6:$P$4005,0)),"(tanpa lawan)"))</f>
        <v/>
      </c>
      <c r="R3014" s="44"/>
      <c r="S3014" s="9" t="str">
        <f aca="false">IF(N3014&lt;&gt;"Y","",IF(R3014&lt;&gt;"",R3014,IF(Q3014="(tanpa lawan)","Transfer antar rekening",IFERROR(INDEX(I_COA!$F$6:$F$265,MATCH(Q3014,I_COA!$A$6:$A$265,0)),"?"))))</f>
        <v/>
      </c>
    </row>
    <row r="3015" customFormat="false" ht="15" hidden="false" customHeight="false" outlineLevel="0" collapsed="false">
      <c r="A3015" s="37"/>
      <c r="B3015" s="44"/>
      <c r="C3015" s="44"/>
      <c r="D3015" s="44"/>
      <c r="E3015" s="44"/>
      <c r="F3015" s="44"/>
      <c r="G3015" s="42"/>
      <c r="H3015" s="42"/>
      <c r="I3015" s="44"/>
      <c r="J3015" s="11" t="str">
        <f aca="false">IF(D3015="","",N(G3015)-N(H3015))</f>
        <v/>
      </c>
      <c r="K3015" s="34" t="str">
        <f aca="false">IF(D3015="","",IFERROR(INDEX(I_COA!$C$6:$C$265,MATCH(D3015,I_COA!$A$6:$A$265,0)),"AKUN BARU"))</f>
        <v/>
      </c>
      <c r="L3015" s="34" t="str">
        <f aca="false">IF(K3015="LabaRugi",INDEX(I_COA!$D$6:$D$265,MATCH(D3015,I_COA!$A$6:$A$265,0)),"")</f>
        <v/>
      </c>
      <c r="M3015" s="34" t="str">
        <f aca="false">IF(K3015="Neraca",INDEX(I_COA!$E$6:$E$265,MATCH(D3015,I_COA!$A$6:$A$265,0)),"")</f>
        <v/>
      </c>
      <c r="N3015" s="34" t="str">
        <f aca="false">IF(D3015="","",IFERROR(INDEX(I_COA!$G$6:$G$265,MATCH(D3015,I_COA!$A$6:$A$265,0)),"N"))</f>
        <v/>
      </c>
      <c r="O3015" s="11" t="str">
        <f aca="false">IF(N3015="N",ABS(J3015),"")</f>
        <v/>
      </c>
      <c r="P3015" s="18" t="str">
        <f aca="false">IF(N3015="N",B3015&amp;"|"&amp;ROUND(O3015,0),"")</f>
        <v/>
      </c>
      <c r="Q3015" s="18" t="str">
        <f aca="false">IF(N3015&lt;&gt;"Y","",IFERROR(INDEX($D$6:$D$4005,MATCH(B3015&amp;"|"&amp;ROUND(_xlfn.MAXIFS($O$6:$O$4005,$B$6:$B$4005,B3015,$N$6:$N$4005,"N"),0),$P$6:$P$4005,0)),"(tanpa lawan)"))</f>
        <v/>
      </c>
      <c r="R3015" s="44"/>
      <c r="S3015" s="9" t="str">
        <f aca="false">IF(N3015&lt;&gt;"Y","",IF(R3015&lt;&gt;"",R3015,IF(Q3015="(tanpa lawan)","Transfer antar rekening",IFERROR(INDEX(I_COA!$F$6:$F$265,MATCH(Q3015,I_COA!$A$6:$A$265,0)),"?"))))</f>
        <v/>
      </c>
    </row>
    <row r="3016" customFormat="false" ht="15" hidden="false" customHeight="false" outlineLevel="0" collapsed="false">
      <c r="A3016" s="37"/>
      <c r="B3016" s="44"/>
      <c r="C3016" s="44"/>
      <c r="D3016" s="44"/>
      <c r="E3016" s="44"/>
      <c r="F3016" s="44"/>
      <c r="G3016" s="42"/>
      <c r="H3016" s="42"/>
      <c r="I3016" s="44"/>
      <c r="J3016" s="11" t="str">
        <f aca="false">IF(D3016="","",N(G3016)-N(H3016))</f>
        <v/>
      </c>
      <c r="K3016" s="34" t="str">
        <f aca="false">IF(D3016="","",IFERROR(INDEX(I_COA!$C$6:$C$265,MATCH(D3016,I_COA!$A$6:$A$265,0)),"AKUN BARU"))</f>
        <v/>
      </c>
      <c r="L3016" s="34" t="str">
        <f aca="false">IF(K3016="LabaRugi",INDEX(I_COA!$D$6:$D$265,MATCH(D3016,I_COA!$A$6:$A$265,0)),"")</f>
        <v/>
      </c>
      <c r="M3016" s="34" t="str">
        <f aca="false">IF(K3016="Neraca",INDEX(I_COA!$E$6:$E$265,MATCH(D3016,I_COA!$A$6:$A$265,0)),"")</f>
        <v/>
      </c>
      <c r="N3016" s="34" t="str">
        <f aca="false">IF(D3016="","",IFERROR(INDEX(I_COA!$G$6:$G$265,MATCH(D3016,I_COA!$A$6:$A$265,0)),"N"))</f>
        <v/>
      </c>
      <c r="O3016" s="11" t="str">
        <f aca="false">IF(N3016="N",ABS(J3016),"")</f>
        <v/>
      </c>
      <c r="P3016" s="18" t="str">
        <f aca="false">IF(N3016="N",B3016&amp;"|"&amp;ROUND(O3016,0),"")</f>
        <v/>
      </c>
      <c r="Q3016" s="18" t="str">
        <f aca="false">IF(N3016&lt;&gt;"Y","",IFERROR(INDEX($D$6:$D$4005,MATCH(B3016&amp;"|"&amp;ROUND(_xlfn.MAXIFS($O$6:$O$4005,$B$6:$B$4005,B3016,$N$6:$N$4005,"N"),0),$P$6:$P$4005,0)),"(tanpa lawan)"))</f>
        <v/>
      </c>
      <c r="R3016" s="44"/>
      <c r="S3016" s="9" t="str">
        <f aca="false">IF(N3016&lt;&gt;"Y","",IF(R3016&lt;&gt;"",R3016,IF(Q3016="(tanpa lawan)","Transfer antar rekening",IFERROR(INDEX(I_COA!$F$6:$F$265,MATCH(Q3016,I_COA!$A$6:$A$265,0)),"?"))))</f>
        <v/>
      </c>
    </row>
    <row r="3017" customFormat="false" ht="15" hidden="false" customHeight="false" outlineLevel="0" collapsed="false">
      <c r="A3017" s="37"/>
      <c r="B3017" s="44"/>
      <c r="C3017" s="44"/>
      <c r="D3017" s="44"/>
      <c r="E3017" s="44"/>
      <c r="F3017" s="44"/>
      <c r="G3017" s="42"/>
      <c r="H3017" s="42"/>
      <c r="I3017" s="44"/>
      <c r="J3017" s="11" t="str">
        <f aca="false">IF(D3017="","",N(G3017)-N(H3017))</f>
        <v/>
      </c>
      <c r="K3017" s="34" t="str">
        <f aca="false">IF(D3017="","",IFERROR(INDEX(I_COA!$C$6:$C$265,MATCH(D3017,I_COA!$A$6:$A$265,0)),"AKUN BARU"))</f>
        <v/>
      </c>
      <c r="L3017" s="34" t="str">
        <f aca="false">IF(K3017="LabaRugi",INDEX(I_COA!$D$6:$D$265,MATCH(D3017,I_COA!$A$6:$A$265,0)),"")</f>
        <v/>
      </c>
      <c r="M3017" s="34" t="str">
        <f aca="false">IF(K3017="Neraca",INDEX(I_COA!$E$6:$E$265,MATCH(D3017,I_COA!$A$6:$A$265,0)),"")</f>
        <v/>
      </c>
      <c r="N3017" s="34" t="str">
        <f aca="false">IF(D3017="","",IFERROR(INDEX(I_COA!$G$6:$G$265,MATCH(D3017,I_COA!$A$6:$A$265,0)),"N"))</f>
        <v/>
      </c>
      <c r="O3017" s="11" t="str">
        <f aca="false">IF(N3017="N",ABS(J3017),"")</f>
        <v/>
      </c>
      <c r="P3017" s="18" t="str">
        <f aca="false">IF(N3017="N",B3017&amp;"|"&amp;ROUND(O3017,0),"")</f>
        <v/>
      </c>
      <c r="Q3017" s="18" t="str">
        <f aca="false">IF(N3017&lt;&gt;"Y","",IFERROR(INDEX($D$6:$D$4005,MATCH(B3017&amp;"|"&amp;ROUND(_xlfn.MAXIFS($O$6:$O$4005,$B$6:$B$4005,B3017,$N$6:$N$4005,"N"),0),$P$6:$P$4005,0)),"(tanpa lawan)"))</f>
        <v/>
      </c>
      <c r="R3017" s="44"/>
      <c r="S3017" s="9" t="str">
        <f aca="false">IF(N3017&lt;&gt;"Y","",IF(R3017&lt;&gt;"",R3017,IF(Q3017="(tanpa lawan)","Transfer antar rekening",IFERROR(INDEX(I_COA!$F$6:$F$265,MATCH(Q3017,I_COA!$A$6:$A$265,0)),"?"))))</f>
        <v/>
      </c>
    </row>
    <row r="3018" customFormat="false" ht="15" hidden="false" customHeight="false" outlineLevel="0" collapsed="false">
      <c r="A3018" s="37"/>
      <c r="B3018" s="44"/>
      <c r="C3018" s="44"/>
      <c r="D3018" s="44"/>
      <c r="E3018" s="44"/>
      <c r="F3018" s="44"/>
      <c r="G3018" s="42"/>
      <c r="H3018" s="42"/>
      <c r="I3018" s="44"/>
      <c r="J3018" s="11" t="str">
        <f aca="false">IF(D3018="","",N(G3018)-N(H3018))</f>
        <v/>
      </c>
      <c r="K3018" s="34" t="str">
        <f aca="false">IF(D3018="","",IFERROR(INDEX(I_COA!$C$6:$C$265,MATCH(D3018,I_COA!$A$6:$A$265,0)),"AKUN BARU"))</f>
        <v/>
      </c>
      <c r="L3018" s="34" t="str">
        <f aca="false">IF(K3018="LabaRugi",INDEX(I_COA!$D$6:$D$265,MATCH(D3018,I_COA!$A$6:$A$265,0)),"")</f>
        <v/>
      </c>
      <c r="M3018" s="34" t="str">
        <f aca="false">IF(K3018="Neraca",INDEX(I_COA!$E$6:$E$265,MATCH(D3018,I_COA!$A$6:$A$265,0)),"")</f>
        <v/>
      </c>
      <c r="N3018" s="34" t="str">
        <f aca="false">IF(D3018="","",IFERROR(INDEX(I_COA!$G$6:$G$265,MATCH(D3018,I_COA!$A$6:$A$265,0)),"N"))</f>
        <v/>
      </c>
      <c r="O3018" s="11" t="str">
        <f aca="false">IF(N3018="N",ABS(J3018),"")</f>
        <v/>
      </c>
      <c r="P3018" s="18" t="str">
        <f aca="false">IF(N3018="N",B3018&amp;"|"&amp;ROUND(O3018,0),"")</f>
        <v/>
      </c>
      <c r="Q3018" s="18" t="str">
        <f aca="false">IF(N3018&lt;&gt;"Y","",IFERROR(INDEX($D$6:$D$4005,MATCH(B3018&amp;"|"&amp;ROUND(_xlfn.MAXIFS($O$6:$O$4005,$B$6:$B$4005,B3018,$N$6:$N$4005,"N"),0),$P$6:$P$4005,0)),"(tanpa lawan)"))</f>
        <v/>
      </c>
      <c r="R3018" s="44"/>
      <c r="S3018" s="9" t="str">
        <f aca="false">IF(N3018&lt;&gt;"Y","",IF(R3018&lt;&gt;"",R3018,IF(Q3018="(tanpa lawan)","Transfer antar rekening",IFERROR(INDEX(I_COA!$F$6:$F$265,MATCH(Q3018,I_COA!$A$6:$A$265,0)),"?"))))</f>
        <v/>
      </c>
    </row>
    <row r="3019" customFormat="false" ht="15" hidden="false" customHeight="false" outlineLevel="0" collapsed="false">
      <c r="A3019" s="37"/>
      <c r="B3019" s="44"/>
      <c r="C3019" s="44"/>
      <c r="D3019" s="44"/>
      <c r="E3019" s="44"/>
      <c r="F3019" s="44"/>
      <c r="G3019" s="42"/>
      <c r="H3019" s="42"/>
      <c r="I3019" s="44"/>
      <c r="J3019" s="11" t="str">
        <f aca="false">IF(D3019="","",N(G3019)-N(H3019))</f>
        <v/>
      </c>
      <c r="K3019" s="34" t="str">
        <f aca="false">IF(D3019="","",IFERROR(INDEX(I_COA!$C$6:$C$265,MATCH(D3019,I_COA!$A$6:$A$265,0)),"AKUN BARU"))</f>
        <v/>
      </c>
      <c r="L3019" s="34" t="str">
        <f aca="false">IF(K3019="LabaRugi",INDEX(I_COA!$D$6:$D$265,MATCH(D3019,I_COA!$A$6:$A$265,0)),"")</f>
        <v/>
      </c>
      <c r="M3019" s="34" t="str">
        <f aca="false">IF(K3019="Neraca",INDEX(I_COA!$E$6:$E$265,MATCH(D3019,I_COA!$A$6:$A$265,0)),"")</f>
        <v/>
      </c>
      <c r="N3019" s="34" t="str">
        <f aca="false">IF(D3019="","",IFERROR(INDEX(I_COA!$G$6:$G$265,MATCH(D3019,I_COA!$A$6:$A$265,0)),"N"))</f>
        <v/>
      </c>
      <c r="O3019" s="11" t="str">
        <f aca="false">IF(N3019="N",ABS(J3019),"")</f>
        <v/>
      </c>
      <c r="P3019" s="18" t="str">
        <f aca="false">IF(N3019="N",B3019&amp;"|"&amp;ROUND(O3019,0),"")</f>
        <v/>
      </c>
      <c r="Q3019" s="18" t="str">
        <f aca="false">IF(N3019&lt;&gt;"Y","",IFERROR(INDEX($D$6:$D$4005,MATCH(B3019&amp;"|"&amp;ROUND(_xlfn.MAXIFS($O$6:$O$4005,$B$6:$B$4005,B3019,$N$6:$N$4005,"N"),0),$P$6:$P$4005,0)),"(tanpa lawan)"))</f>
        <v/>
      </c>
      <c r="R3019" s="44"/>
      <c r="S3019" s="9" t="str">
        <f aca="false">IF(N3019&lt;&gt;"Y","",IF(R3019&lt;&gt;"",R3019,IF(Q3019="(tanpa lawan)","Transfer antar rekening",IFERROR(INDEX(I_COA!$F$6:$F$265,MATCH(Q3019,I_COA!$A$6:$A$265,0)),"?"))))</f>
        <v/>
      </c>
    </row>
    <row r="3020" customFormat="false" ht="15" hidden="false" customHeight="false" outlineLevel="0" collapsed="false">
      <c r="A3020" s="37"/>
      <c r="B3020" s="44"/>
      <c r="C3020" s="44"/>
      <c r="D3020" s="44"/>
      <c r="E3020" s="44"/>
      <c r="F3020" s="44"/>
      <c r="G3020" s="42"/>
      <c r="H3020" s="42"/>
      <c r="I3020" s="44"/>
      <c r="J3020" s="11" t="str">
        <f aca="false">IF(D3020="","",N(G3020)-N(H3020))</f>
        <v/>
      </c>
      <c r="K3020" s="34" t="str">
        <f aca="false">IF(D3020="","",IFERROR(INDEX(I_COA!$C$6:$C$265,MATCH(D3020,I_COA!$A$6:$A$265,0)),"AKUN BARU"))</f>
        <v/>
      </c>
      <c r="L3020" s="34" t="str">
        <f aca="false">IF(K3020="LabaRugi",INDEX(I_COA!$D$6:$D$265,MATCH(D3020,I_COA!$A$6:$A$265,0)),"")</f>
        <v/>
      </c>
      <c r="M3020" s="34" t="str">
        <f aca="false">IF(K3020="Neraca",INDEX(I_COA!$E$6:$E$265,MATCH(D3020,I_COA!$A$6:$A$265,0)),"")</f>
        <v/>
      </c>
      <c r="N3020" s="34" t="str">
        <f aca="false">IF(D3020="","",IFERROR(INDEX(I_COA!$G$6:$G$265,MATCH(D3020,I_COA!$A$6:$A$265,0)),"N"))</f>
        <v/>
      </c>
      <c r="O3020" s="11" t="str">
        <f aca="false">IF(N3020="N",ABS(J3020),"")</f>
        <v/>
      </c>
      <c r="P3020" s="18" t="str">
        <f aca="false">IF(N3020="N",B3020&amp;"|"&amp;ROUND(O3020,0),"")</f>
        <v/>
      </c>
      <c r="Q3020" s="18" t="str">
        <f aca="false">IF(N3020&lt;&gt;"Y","",IFERROR(INDEX($D$6:$D$4005,MATCH(B3020&amp;"|"&amp;ROUND(_xlfn.MAXIFS($O$6:$O$4005,$B$6:$B$4005,B3020,$N$6:$N$4005,"N"),0),$P$6:$P$4005,0)),"(tanpa lawan)"))</f>
        <v/>
      </c>
      <c r="R3020" s="44"/>
      <c r="S3020" s="9" t="str">
        <f aca="false">IF(N3020&lt;&gt;"Y","",IF(R3020&lt;&gt;"",R3020,IF(Q3020="(tanpa lawan)","Transfer antar rekening",IFERROR(INDEX(I_COA!$F$6:$F$265,MATCH(Q3020,I_COA!$A$6:$A$265,0)),"?"))))</f>
        <v/>
      </c>
    </row>
    <row r="3021" customFormat="false" ht="15" hidden="false" customHeight="false" outlineLevel="0" collapsed="false">
      <c r="A3021" s="37"/>
      <c r="B3021" s="44"/>
      <c r="C3021" s="44"/>
      <c r="D3021" s="44"/>
      <c r="E3021" s="44"/>
      <c r="F3021" s="44"/>
      <c r="G3021" s="42"/>
      <c r="H3021" s="42"/>
      <c r="I3021" s="44"/>
      <c r="J3021" s="11" t="str">
        <f aca="false">IF(D3021="","",N(G3021)-N(H3021))</f>
        <v/>
      </c>
      <c r="K3021" s="34" t="str">
        <f aca="false">IF(D3021="","",IFERROR(INDEX(I_COA!$C$6:$C$265,MATCH(D3021,I_COA!$A$6:$A$265,0)),"AKUN BARU"))</f>
        <v/>
      </c>
      <c r="L3021" s="34" t="str">
        <f aca="false">IF(K3021="LabaRugi",INDEX(I_COA!$D$6:$D$265,MATCH(D3021,I_COA!$A$6:$A$265,0)),"")</f>
        <v/>
      </c>
      <c r="M3021" s="34" t="str">
        <f aca="false">IF(K3021="Neraca",INDEX(I_COA!$E$6:$E$265,MATCH(D3021,I_COA!$A$6:$A$265,0)),"")</f>
        <v/>
      </c>
      <c r="N3021" s="34" t="str">
        <f aca="false">IF(D3021="","",IFERROR(INDEX(I_COA!$G$6:$G$265,MATCH(D3021,I_COA!$A$6:$A$265,0)),"N"))</f>
        <v/>
      </c>
      <c r="O3021" s="11" t="str">
        <f aca="false">IF(N3021="N",ABS(J3021),"")</f>
        <v/>
      </c>
      <c r="P3021" s="18" t="str">
        <f aca="false">IF(N3021="N",B3021&amp;"|"&amp;ROUND(O3021,0),"")</f>
        <v/>
      </c>
      <c r="Q3021" s="18" t="str">
        <f aca="false">IF(N3021&lt;&gt;"Y","",IFERROR(INDEX($D$6:$D$4005,MATCH(B3021&amp;"|"&amp;ROUND(_xlfn.MAXIFS($O$6:$O$4005,$B$6:$B$4005,B3021,$N$6:$N$4005,"N"),0),$P$6:$P$4005,0)),"(tanpa lawan)"))</f>
        <v/>
      </c>
      <c r="R3021" s="44"/>
      <c r="S3021" s="9" t="str">
        <f aca="false">IF(N3021&lt;&gt;"Y","",IF(R3021&lt;&gt;"",R3021,IF(Q3021="(tanpa lawan)","Transfer antar rekening",IFERROR(INDEX(I_COA!$F$6:$F$265,MATCH(Q3021,I_COA!$A$6:$A$265,0)),"?"))))</f>
        <v/>
      </c>
    </row>
    <row r="3022" customFormat="false" ht="15" hidden="false" customHeight="false" outlineLevel="0" collapsed="false">
      <c r="A3022" s="37"/>
      <c r="B3022" s="44"/>
      <c r="C3022" s="44"/>
      <c r="D3022" s="44"/>
      <c r="E3022" s="44"/>
      <c r="F3022" s="44"/>
      <c r="G3022" s="42"/>
      <c r="H3022" s="42"/>
      <c r="I3022" s="44"/>
      <c r="J3022" s="11" t="str">
        <f aca="false">IF(D3022="","",N(G3022)-N(H3022))</f>
        <v/>
      </c>
      <c r="K3022" s="34" t="str">
        <f aca="false">IF(D3022="","",IFERROR(INDEX(I_COA!$C$6:$C$265,MATCH(D3022,I_COA!$A$6:$A$265,0)),"AKUN BARU"))</f>
        <v/>
      </c>
      <c r="L3022" s="34" t="str">
        <f aca="false">IF(K3022="LabaRugi",INDEX(I_COA!$D$6:$D$265,MATCH(D3022,I_COA!$A$6:$A$265,0)),"")</f>
        <v/>
      </c>
      <c r="M3022" s="34" t="str">
        <f aca="false">IF(K3022="Neraca",INDEX(I_COA!$E$6:$E$265,MATCH(D3022,I_COA!$A$6:$A$265,0)),"")</f>
        <v/>
      </c>
      <c r="N3022" s="34" t="str">
        <f aca="false">IF(D3022="","",IFERROR(INDEX(I_COA!$G$6:$G$265,MATCH(D3022,I_COA!$A$6:$A$265,0)),"N"))</f>
        <v/>
      </c>
      <c r="O3022" s="11" t="str">
        <f aca="false">IF(N3022="N",ABS(J3022),"")</f>
        <v/>
      </c>
      <c r="P3022" s="18" t="str">
        <f aca="false">IF(N3022="N",B3022&amp;"|"&amp;ROUND(O3022,0),"")</f>
        <v/>
      </c>
      <c r="Q3022" s="18" t="str">
        <f aca="false">IF(N3022&lt;&gt;"Y","",IFERROR(INDEX($D$6:$D$4005,MATCH(B3022&amp;"|"&amp;ROUND(_xlfn.MAXIFS($O$6:$O$4005,$B$6:$B$4005,B3022,$N$6:$N$4005,"N"),0),$P$6:$P$4005,0)),"(tanpa lawan)"))</f>
        <v/>
      </c>
      <c r="R3022" s="44"/>
      <c r="S3022" s="9" t="str">
        <f aca="false">IF(N3022&lt;&gt;"Y","",IF(R3022&lt;&gt;"",R3022,IF(Q3022="(tanpa lawan)","Transfer antar rekening",IFERROR(INDEX(I_COA!$F$6:$F$265,MATCH(Q3022,I_COA!$A$6:$A$265,0)),"?"))))</f>
        <v/>
      </c>
    </row>
    <row r="3023" customFormat="false" ht="15" hidden="false" customHeight="false" outlineLevel="0" collapsed="false">
      <c r="A3023" s="37"/>
      <c r="B3023" s="44"/>
      <c r="C3023" s="44"/>
      <c r="D3023" s="44"/>
      <c r="E3023" s="44"/>
      <c r="F3023" s="44"/>
      <c r="G3023" s="42"/>
      <c r="H3023" s="42"/>
      <c r="I3023" s="44"/>
      <c r="J3023" s="11" t="str">
        <f aca="false">IF(D3023="","",N(G3023)-N(H3023))</f>
        <v/>
      </c>
      <c r="K3023" s="34" t="str">
        <f aca="false">IF(D3023="","",IFERROR(INDEX(I_COA!$C$6:$C$265,MATCH(D3023,I_COA!$A$6:$A$265,0)),"AKUN BARU"))</f>
        <v/>
      </c>
      <c r="L3023" s="34" t="str">
        <f aca="false">IF(K3023="LabaRugi",INDEX(I_COA!$D$6:$D$265,MATCH(D3023,I_COA!$A$6:$A$265,0)),"")</f>
        <v/>
      </c>
      <c r="M3023" s="34" t="str">
        <f aca="false">IF(K3023="Neraca",INDEX(I_COA!$E$6:$E$265,MATCH(D3023,I_COA!$A$6:$A$265,0)),"")</f>
        <v/>
      </c>
      <c r="N3023" s="34" t="str">
        <f aca="false">IF(D3023="","",IFERROR(INDEX(I_COA!$G$6:$G$265,MATCH(D3023,I_COA!$A$6:$A$265,0)),"N"))</f>
        <v/>
      </c>
      <c r="O3023" s="11" t="str">
        <f aca="false">IF(N3023="N",ABS(J3023),"")</f>
        <v/>
      </c>
      <c r="P3023" s="18" t="str">
        <f aca="false">IF(N3023="N",B3023&amp;"|"&amp;ROUND(O3023,0),"")</f>
        <v/>
      </c>
      <c r="Q3023" s="18" t="str">
        <f aca="false">IF(N3023&lt;&gt;"Y","",IFERROR(INDEX($D$6:$D$4005,MATCH(B3023&amp;"|"&amp;ROUND(_xlfn.MAXIFS($O$6:$O$4005,$B$6:$B$4005,B3023,$N$6:$N$4005,"N"),0),$P$6:$P$4005,0)),"(tanpa lawan)"))</f>
        <v/>
      </c>
      <c r="R3023" s="44"/>
      <c r="S3023" s="9" t="str">
        <f aca="false">IF(N3023&lt;&gt;"Y","",IF(R3023&lt;&gt;"",R3023,IF(Q3023="(tanpa lawan)","Transfer antar rekening",IFERROR(INDEX(I_COA!$F$6:$F$265,MATCH(Q3023,I_COA!$A$6:$A$265,0)),"?"))))</f>
        <v/>
      </c>
    </row>
    <row r="3024" customFormat="false" ht="15" hidden="false" customHeight="false" outlineLevel="0" collapsed="false">
      <c r="A3024" s="37"/>
      <c r="B3024" s="44"/>
      <c r="C3024" s="44"/>
      <c r="D3024" s="44"/>
      <c r="E3024" s="44"/>
      <c r="F3024" s="44"/>
      <c r="G3024" s="42"/>
      <c r="H3024" s="42"/>
      <c r="I3024" s="44"/>
      <c r="J3024" s="11" t="str">
        <f aca="false">IF(D3024="","",N(G3024)-N(H3024))</f>
        <v/>
      </c>
      <c r="K3024" s="34" t="str">
        <f aca="false">IF(D3024="","",IFERROR(INDEX(I_COA!$C$6:$C$265,MATCH(D3024,I_COA!$A$6:$A$265,0)),"AKUN BARU"))</f>
        <v/>
      </c>
      <c r="L3024" s="34" t="str">
        <f aca="false">IF(K3024="LabaRugi",INDEX(I_COA!$D$6:$D$265,MATCH(D3024,I_COA!$A$6:$A$265,0)),"")</f>
        <v/>
      </c>
      <c r="M3024" s="34" t="str">
        <f aca="false">IF(K3024="Neraca",INDEX(I_COA!$E$6:$E$265,MATCH(D3024,I_COA!$A$6:$A$265,0)),"")</f>
        <v/>
      </c>
      <c r="N3024" s="34" t="str">
        <f aca="false">IF(D3024="","",IFERROR(INDEX(I_COA!$G$6:$G$265,MATCH(D3024,I_COA!$A$6:$A$265,0)),"N"))</f>
        <v/>
      </c>
      <c r="O3024" s="11" t="str">
        <f aca="false">IF(N3024="N",ABS(J3024),"")</f>
        <v/>
      </c>
      <c r="P3024" s="18" t="str">
        <f aca="false">IF(N3024="N",B3024&amp;"|"&amp;ROUND(O3024,0),"")</f>
        <v/>
      </c>
      <c r="Q3024" s="18" t="str">
        <f aca="false">IF(N3024&lt;&gt;"Y","",IFERROR(INDEX($D$6:$D$4005,MATCH(B3024&amp;"|"&amp;ROUND(_xlfn.MAXIFS($O$6:$O$4005,$B$6:$B$4005,B3024,$N$6:$N$4005,"N"),0),$P$6:$P$4005,0)),"(tanpa lawan)"))</f>
        <v/>
      </c>
      <c r="R3024" s="44"/>
      <c r="S3024" s="9" t="str">
        <f aca="false">IF(N3024&lt;&gt;"Y","",IF(R3024&lt;&gt;"",R3024,IF(Q3024="(tanpa lawan)","Transfer antar rekening",IFERROR(INDEX(I_COA!$F$6:$F$265,MATCH(Q3024,I_COA!$A$6:$A$265,0)),"?"))))</f>
        <v/>
      </c>
    </row>
    <row r="3025" customFormat="false" ht="15" hidden="false" customHeight="false" outlineLevel="0" collapsed="false">
      <c r="A3025" s="37"/>
      <c r="B3025" s="44"/>
      <c r="C3025" s="44"/>
      <c r="D3025" s="44"/>
      <c r="E3025" s="44"/>
      <c r="F3025" s="44"/>
      <c r="G3025" s="42"/>
      <c r="H3025" s="42"/>
      <c r="I3025" s="44"/>
      <c r="J3025" s="11" t="str">
        <f aca="false">IF(D3025="","",N(G3025)-N(H3025))</f>
        <v/>
      </c>
      <c r="K3025" s="34" t="str">
        <f aca="false">IF(D3025="","",IFERROR(INDEX(I_COA!$C$6:$C$265,MATCH(D3025,I_COA!$A$6:$A$265,0)),"AKUN BARU"))</f>
        <v/>
      </c>
      <c r="L3025" s="34" t="str">
        <f aca="false">IF(K3025="LabaRugi",INDEX(I_COA!$D$6:$D$265,MATCH(D3025,I_COA!$A$6:$A$265,0)),"")</f>
        <v/>
      </c>
      <c r="M3025" s="34" t="str">
        <f aca="false">IF(K3025="Neraca",INDEX(I_COA!$E$6:$E$265,MATCH(D3025,I_COA!$A$6:$A$265,0)),"")</f>
        <v/>
      </c>
      <c r="N3025" s="34" t="str">
        <f aca="false">IF(D3025="","",IFERROR(INDEX(I_COA!$G$6:$G$265,MATCH(D3025,I_COA!$A$6:$A$265,0)),"N"))</f>
        <v/>
      </c>
      <c r="O3025" s="11" t="str">
        <f aca="false">IF(N3025="N",ABS(J3025),"")</f>
        <v/>
      </c>
      <c r="P3025" s="18" t="str">
        <f aca="false">IF(N3025="N",B3025&amp;"|"&amp;ROUND(O3025,0),"")</f>
        <v/>
      </c>
      <c r="Q3025" s="18" t="str">
        <f aca="false">IF(N3025&lt;&gt;"Y","",IFERROR(INDEX($D$6:$D$4005,MATCH(B3025&amp;"|"&amp;ROUND(_xlfn.MAXIFS($O$6:$O$4005,$B$6:$B$4005,B3025,$N$6:$N$4005,"N"),0),$P$6:$P$4005,0)),"(tanpa lawan)"))</f>
        <v/>
      </c>
      <c r="R3025" s="44"/>
      <c r="S3025" s="9" t="str">
        <f aca="false">IF(N3025&lt;&gt;"Y","",IF(R3025&lt;&gt;"",R3025,IF(Q3025="(tanpa lawan)","Transfer antar rekening",IFERROR(INDEX(I_COA!$F$6:$F$265,MATCH(Q3025,I_COA!$A$6:$A$265,0)),"?"))))</f>
        <v/>
      </c>
    </row>
    <row r="3026" customFormat="false" ht="15" hidden="false" customHeight="false" outlineLevel="0" collapsed="false">
      <c r="A3026" s="37"/>
      <c r="B3026" s="44"/>
      <c r="C3026" s="44"/>
      <c r="D3026" s="44"/>
      <c r="E3026" s="44"/>
      <c r="F3026" s="44"/>
      <c r="G3026" s="42"/>
      <c r="H3026" s="42"/>
      <c r="I3026" s="44"/>
      <c r="J3026" s="11" t="str">
        <f aca="false">IF(D3026="","",N(G3026)-N(H3026))</f>
        <v/>
      </c>
      <c r="K3026" s="34" t="str">
        <f aca="false">IF(D3026="","",IFERROR(INDEX(I_COA!$C$6:$C$265,MATCH(D3026,I_COA!$A$6:$A$265,0)),"AKUN BARU"))</f>
        <v/>
      </c>
      <c r="L3026" s="34" t="str">
        <f aca="false">IF(K3026="LabaRugi",INDEX(I_COA!$D$6:$D$265,MATCH(D3026,I_COA!$A$6:$A$265,0)),"")</f>
        <v/>
      </c>
      <c r="M3026" s="34" t="str">
        <f aca="false">IF(K3026="Neraca",INDEX(I_COA!$E$6:$E$265,MATCH(D3026,I_COA!$A$6:$A$265,0)),"")</f>
        <v/>
      </c>
      <c r="N3026" s="34" t="str">
        <f aca="false">IF(D3026="","",IFERROR(INDEX(I_COA!$G$6:$G$265,MATCH(D3026,I_COA!$A$6:$A$265,0)),"N"))</f>
        <v/>
      </c>
      <c r="O3026" s="11" t="str">
        <f aca="false">IF(N3026="N",ABS(J3026),"")</f>
        <v/>
      </c>
      <c r="P3026" s="18" t="str">
        <f aca="false">IF(N3026="N",B3026&amp;"|"&amp;ROUND(O3026,0),"")</f>
        <v/>
      </c>
      <c r="Q3026" s="18" t="str">
        <f aca="false">IF(N3026&lt;&gt;"Y","",IFERROR(INDEX($D$6:$D$4005,MATCH(B3026&amp;"|"&amp;ROUND(_xlfn.MAXIFS($O$6:$O$4005,$B$6:$B$4005,B3026,$N$6:$N$4005,"N"),0),$P$6:$P$4005,0)),"(tanpa lawan)"))</f>
        <v/>
      </c>
      <c r="R3026" s="44"/>
      <c r="S3026" s="9" t="str">
        <f aca="false">IF(N3026&lt;&gt;"Y","",IF(R3026&lt;&gt;"",R3026,IF(Q3026="(tanpa lawan)","Transfer antar rekening",IFERROR(INDEX(I_COA!$F$6:$F$265,MATCH(Q3026,I_COA!$A$6:$A$265,0)),"?"))))</f>
        <v/>
      </c>
    </row>
    <row r="3027" customFormat="false" ht="15" hidden="false" customHeight="false" outlineLevel="0" collapsed="false">
      <c r="A3027" s="37"/>
      <c r="B3027" s="44"/>
      <c r="C3027" s="44"/>
      <c r="D3027" s="44"/>
      <c r="E3027" s="44"/>
      <c r="F3027" s="44"/>
      <c r="G3027" s="42"/>
      <c r="H3027" s="42"/>
      <c r="I3027" s="44"/>
      <c r="J3027" s="11" t="str">
        <f aca="false">IF(D3027="","",N(G3027)-N(H3027))</f>
        <v/>
      </c>
      <c r="K3027" s="34" t="str">
        <f aca="false">IF(D3027="","",IFERROR(INDEX(I_COA!$C$6:$C$265,MATCH(D3027,I_COA!$A$6:$A$265,0)),"AKUN BARU"))</f>
        <v/>
      </c>
      <c r="L3027" s="34" t="str">
        <f aca="false">IF(K3027="LabaRugi",INDEX(I_COA!$D$6:$D$265,MATCH(D3027,I_COA!$A$6:$A$265,0)),"")</f>
        <v/>
      </c>
      <c r="M3027" s="34" t="str">
        <f aca="false">IF(K3027="Neraca",INDEX(I_COA!$E$6:$E$265,MATCH(D3027,I_COA!$A$6:$A$265,0)),"")</f>
        <v/>
      </c>
      <c r="N3027" s="34" t="str">
        <f aca="false">IF(D3027="","",IFERROR(INDEX(I_COA!$G$6:$G$265,MATCH(D3027,I_COA!$A$6:$A$265,0)),"N"))</f>
        <v/>
      </c>
      <c r="O3027" s="11" t="str">
        <f aca="false">IF(N3027="N",ABS(J3027),"")</f>
        <v/>
      </c>
      <c r="P3027" s="18" t="str">
        <f aca="false">IF(N3027="N",B3027&amp;"|"&amp;ROUND(O3027,0),"")</f>
        <v/>
      </c>
      <c r="Q3027" s="18" t="str">
        <f aca="false">IF(N3027&lt;&gt;"Y","",IFERROR(INDEX($D$6:$D$4005,MATCH(B3027&amp;"|"&amp;ROUND(_xlfn.MAXIFS($O$6:$O$4005,$B$6:$B$4005,B3027,$N$6:$N$4005,"N"),0),$P$6:$P$4005,0)),"(tanpa lawan)"))</f>
        <v/>
      </c>
      <c r="R3027" s="44"/>
      <c r="S3027" s="9" t="str">
        <f aca="false">IF(N3027&lt;&gt;"Y","",IF(R3027&lt;&gt;"",R3027,IF(Q3027="(tanpa lawan)","Transfer antar rekening",IFERROR(INDEX(I_COA!$F$6:$F$265,MATCH(Q3027,I_COA!$A$6:$A$265,0)),"?"))))</f>
        <v/>
      </c>
    </row>
    <row r="3028" customFormat="false" ht="15" hidden="false" customHeight="false" outlineLevel="0" collapsed="false">
      <c r="A3028" s="37"/>
      <c r="B3028" s="44"/>
      <c r="C3028" s="44"/>
      <c r="D3028" s="44"/>
      <c r="E3028" s="44"/>
      <c r="F3028" s="44"/>
      <c r="G3028" s="42"/>
      <c r="H3028" s="42"/>
      <c r="I3028" s="44"/>
      <c r="J3028" s="11" t="str">
        <f aca="false">IF(D3028="","",N(G3028)-N(H3028))</f>
        <v/>
      </c>
      <c r="K3028" s="34" t="str">
        <f aca="false">IF(D3028="","",IFERROR(INDEX(I_COA!$C$6:$C$265,MATCH(D3028,I_COA!$A$6:$A$265,0)),"AKUN BARU"))</f>
        <v/>
      </c>
      <c r="L3028" s="34" t="str">
        <f aca="false">IF(K3028="LabaRugi",INDEX(I_COA!$D$6:$D$265,MATCH(D3028,I_COA!$A$6:$A$265,0)),"")</f>
        <v/>
      </c>
      <c r="M3028" s="34" t="str">
        <f aca="false">IF(K3028="Neraca",INDEX(I_COA!$E$6:$E$265,MATCH(D3028,I_COA!$A$6:$A$265,0)),"")</f>
        <v/>
      </c>
      <c r="N3028" s="34" t="str">
        <f aca="false">IF(D3028="","",IFERROR(INDEX(I_COA!$G$6:$G$265,MATCH(D3028,I_COA!$A$6:$A$265,0)),"N"))</f>
        <v/>
      </c>
      <c r="O3028" s="11" t="str">
        <f aca="false">IF(N3028="N",ABS(J3028),"")</f>
        <v/>
      </c>
      <c r="P3028" s="18" t="str">
        <f aca="false">IF(N3028="N",B3028&amp;"|"&amp;ROUND(O3028,0),"")</f>
        <v/>
      </c>
      <c r="Q3028" s="18" t="str">
        <f aca="false">IF(N3028&lt;&gt;"Y","",IFERROR(INDEX($D$6:$D$4005,MATCH(B3028&amp;"|"&amp;ROUND(_xlfn.MAXIFS($O$6:$O$4005,$B$6:$B$4005,B3028,$N$6:$N$4005,"N"),0),$P$6:$P$4005,0)),"(tanpa lawan)"))</f>
        <v/>
      </c>
      <c r="R3028" s="44"/>
      <c r="S3028" s="9" t="str">
        <f aca="false">IF(N3028&lt;&gt;"Y","",IF(R3028&lt;&gt;"",R3028,IF(Q3028="(tanpa lawan)","Transfer antar rekening",IFERROR(INDEX(I_COA!$F$6:$F$265,MATCH(Q3028,I_COA!$A$6:$A$265,0)),"?"))))</f>
        <v/>
      </c>
    </row>
    <row r="3029" customFormat="false" ht="15" hidden="false" customHeight="false" outlineLevel="0" collapsed="false">
      <c r="A3029" s="37"/>
      <c r="B3029" s="44"/>
      <c r="C3029" s="44"/>
      <c r="D3029" s="44"/>
      <c r="E3029" s="44"/>
      <c r="F3029" s="44"/>
      <c r="G3029" s="42"/>
      <c r="H3029" s="42"/>
      <c r="I3029" s="44"/>
      <c r="J3029" s="11" t="str">
        <f aca="false">IF(D3029="","",N(G3029)-N(H3029))</f>
        <v/>
      </c>
      <c r="K3029" s="34" t="str">
        <f aca="false">IF(D3029="","",IFERROR(INDEX(I_COA!$C$6:$C$265,MATCH(D3029,I_COA!$A$6:$A$265,0)),"AKUN BARU"))</f>
        <v/>
      </c>
      <c r="L3029" s="34" t="str">
        <f aca="false">IF(K3029="LabaRugi",INDEX(I_COA!$D$6:$D$265,MATCH(D3029,I_COA!$A$6:$A$265,0)),"")</f>
        <v/>
      </c>
      <c r="M3029" s="34" t="str">
        <f aca="false">IF(K3029="Neraca",INDEX(I_COA!$E$6:$E$265,MATCH(D3029,I_COA!$A$6:$A$265,0)),"")</f>
        <v/>
      </c>
      <c r="N3029" s="34" t="str">
        <f aca="false">IF(D3029="","",IFERROR(INDEX(I_COA!$G$6:$G$265,MATCH(D3029,I_COA!$A$6:$A$265,0)),"N"))</f>
        <v/>
      </c>
      <c r="O3029" s="11" t="str">
        <f aca="false">IF(N3029="N",ABS(J3029),"")</f>
        <v/>
      </c>
      <c r="P3029" s="18" t="str">
        <f aca="false">IF(N3029="N",B3029&amp;"|"&amp;ROUND(O3029,0),"")</f>
        <v/>
      </c>
      <c r="Q3029" s="18" t="str">
        <f aca="false">IF(N3029&lt;&gt;"Y","",IFERROR(INDEX($D$6:$D$4005,MATCH(B3029&amp;"|"&amp;ROUND(_xlfn.MAXIFS($O$6:$O$4005,$B$6:$B$4005,B3029,$N$6:$N$4005,"N"),0),$P$6:$P$4005,0)),"(tanpa lawan)"))</f>
        <v/>
      </c>
      <c r="R3029" s="44"/>
      <c r="S3029" s="9" t="str">
        <f aca="false">IF(N3029&lt;&gt;"Y","",IF(R3029&lt;&gt;"",R3029,IF(Q3029="(tanpa lawan)","Transfer antar rekening",IFERROR(INDEX(I_COA!$F$6:$F$265,MATCH(Q3029,I_COA!$A$6:$A$265,0)),"?"))))</f>
        <v/>
      </c>
    </row>
    <row r="3030" customFormat="false" ht="15" hidden="false" customHeight="false" outlineLevel="0" collapsed="false">
      <c r="A3030" s="37"/>
      <c r="B3030" s="44"/>
      <c r="C3030" s="44"/>
      <c r="D3030" s="44"/>
      <c r="E3030" s="44"/>
      <c r="F3030" s="44"/>
      <c r="G3030" s="42"/>
      <c r="H3030" s="42"/>
      <c r="I3030" s="44"/>
      <c r="J3030" s="11" t="str">
        <f aca="false">IF(D3030="","",N(G3030)-N(H3030))</f>
        <v/>
      </c>
      <c r="K3030" s="34" t="str">
        <f aca="false">IF(D3030="","",IFERROR(INDEX(I_COA!$C$6:$C$265,MATCH(D3030,I_COA!$A$6:$A$265,0)),"AKUN BARU"))</f>
        <v/>
      </c>
      <c r="L3030" s="34" t="str">
        <f aca="false">IF(K3030="LabaRugi",INDEX(I_COA!$D$6:$D$265,MATCH(D3030,I_COA!$A$6:$A$265,0)),"")</f>
        <v/>
      </c>
      <c r="M3030" s="34" t="str">
        <f aca="false">IF(K3030="Neraca",INDEX(I_COA!$E$6:$E$265,MATCH(D3030,I_COA!$A$6:$A$265,0)),"")</f>
        <v/>
      </c>
      <c r="N3030" s="34" t="str">
        <f aca="false">IF(D3030="","",IFERROR(INDEX(I_COA!$G$6:$G$265,MATCH(D3030,I_COA!$A$6:$A$265,0)),"N"))</f>
        <v/>
      </c>
      <c r="O3030" s="11" t="str">
        <f aca="false">IF(N3030="N",ABS(J3030),"")</f>
        <v/>
      </c>
      <c r="P3030" s="18" t="str">
        <f aca="false">IF(N3030="N",B3030&amp;"|"&amp;ROUND(O3030,0),"")</f>
        <v/>
      </c>
      <c r="Q3030" s="18" t="str">
        <f aca="false">IF(N3030&lt;&gt;"Y","",IFERROR(INDEX($D$6:$D$4005,MATCH(B3030&amp;"|"&amp;ROUND(_xlfn.MAXIFS($O$6:$O$4005,$B$6:$B$4005,B3030,$N$6:$N$4005,"N"),0),$P$6:$P$4005,0)),"(tanpa lawan)"))</f>
        <v/>
      </c>
      <c r="R3030" s="44"/>
      <c r="S3030" s="9" t="str">
        <f aca="false">IF(N3030&lt;&gt;"Y","",IF(R3030&lt;&gt;"",R3030,IF(Q3030="(tanpa lawan)","Transfer antar rekening",IFERROR(INDEX(I_COA!$F$6:$F$265,MATCH(Q3030,I_COA!$A$6:$A$265,0)),"?"))))</f>
        <v/>
      </c>
    </row>
    <row r="3031" customFormat="false" ht="15" hidden="false" customHeight="false" outlineLevel="0" collapsed="false">
      <c r="A3031" s="37"/>
      <c r="B3031" s="44"/>
      <c r="C3031" s="44"/>
      <c r="D3031" s="44"/>
      <c r="E3031" s="44"/>
      <c r="F3031" s="44"/>
      <c r="G3031" s="42"/>
      <c r="H3031" s="42"/>
      <c r="I3031" s="44"/>
      <c r="J3031" s="11" t="str">
        <f aca="false">IF(D3031="","",N(G3031)-N(H3031))</f>
        <v/>
      </c>
      <c r="K3031" s="34" t="str">
        <f aca="false">IF(D3031="","",IFERROR(INDEX(I_COA!$C$6:$C$265,MATCH(D3031,I_COA!$A$6:$A$265,0)),"AKUN BARU"))</f>
        <v/>
      </c>
      <c r="L3031" s="34" t="str">
        <f aca="false">IF(K3031="LabaRugi",INDEX(I_COA!$D$6:$D$265,MATCH(D3031,I_COA!$A$6:$A$265,0)),"")</f>
        <v/>
      </c>
      <c r="M3031" s="34" t="str">
        <f aca="false">IF(K3031="Neraca",INDEX(I_COA!$E$6:$E$265,MATCH(D3031,I_COA!$A$6:$A$265,0)),"")</f>
        <v/>
      </c>
      <c r="N3031" s="34" t="str">
        <f aca="false">IF(D3031="","",IFERROR(INDEX(I_COA!$G$6:$G$265,MATCH(D3031,I_COA!$A$6:$A$265,0)),"N"))</f>
        <v/>
      </c>
      <c r="O3031" s="11" t="str">
        <f aca="false">IF(N3031="N",ABS(J3031),"")</f>
        <v/>
      </c>
      <c r="P3031" s="18" t="str">
        <f aca="false">IF(N3031="N",B3031&amp;"|"&amp;ROUND(O3031,0),"")</f>
        <v/>
      </c>
      <c r="Q3031" s="18" t="str">
        <f aca="false">IF(N3031&lt;&gt;"Y","",IFERROR(INDEX($D$6:$D$4005,MATCH(B3031&amp;"|"&amp;ROUND(_xlfn.MAXIFS($O$6:$O$4005,$B$6:$B$4005,B3031,$N$6:$N$4005,"N"),0),$P$6:$P$4005,0)),"(tanpa lawan)"))</f>
        <v/>
      </c>
      <c r="R3031" s="44"/>
      <c r="S3031" s="9" t="str">
        <f aca="false">IF(N3031&lt;&gt;"Y","",IF(R3031&lt;&gt;"",R3031,IF(Q3031="(tanpa lawan)","Transfer antar rekening",IFERROR(INDEX(I_COA!$F$6:$F$265,MATCH(Q3031,I_COA!$A$6:$A$265,0)),"?"))))</f>
        <v/>
      </c>
    </row>
    <row r="3032" customFormat="false" ht="15" hidden="false" customHeight="false" outlineLevel="0" collapsed="false">
      <c r="A3032" s="37"/>
      <c r="B3032" s="44"/>
      <c r="C3032" s="44"/>
      <c r="D3032" s="44"/>
      <c r="E3032" s="44"/>
      <c r="F3032" s="44"/>
      <c r="G3032" s="42"/>
      <c r="H3032" s="42"/>
      <c r="I3032" s="44"/>
      <c r="J3032" s="11" t="str">
        <f aca="false">IF(D3032="","",N(G3032)-N(H3032))</f>
        <v/>
      </c>
      <c r="K3032" s="34" t="str">
        <f aca="false">IF(D3032="","",IFERROR(INDEX(I_COA!$C$6:$C$265,MATCH(D3032,I_COA!$A$6:$A$265,0)),"AKUN BARU"))</f>
        <v/>
      </c>
      <c r="L3032" s="34" t="str">
        <f aca="false">IF(K3032="LabaRugi",INDEX(I_COA!$D$6:$D$265,MATCH(D3032,I_COA!$A$6:$A$265,0)),"")</f>
        <v/>
      </c>
      <c r="M3032" s="34" t="str">
        <f aca="false">IF(K3032="Neraca",INDEX(I_COA!$E$6:$E$265,MATCH(D3032,I_COA!$A$6:$A$265,0)),"")</f>
        <v/>
      </c>
      <c r="N3032" s="34" t="str">
        <f aca="false">IF(D3032="","",IFERROR(INDEX(I_COA!$G$6:$G$265,MATCH(D3032,I_COA!$A$6:$A$265,0)),"N"))</f>
        <v/>
      </c>
      <c r="O3032" s="11" t="str">
        <f aca="false">IF(N3032="N",ABS(J3032),"")</f>
        <v/>
      </c>
      <c r="P3032" s="18" t="str">
        <f aca="false">IF(N3032="N",B3032&amp;"|"&amp;ROUND(O3032,0),"")</f>
        <v/>
      </c>
      <c r="Q3032" s="18" t="str">
        <f aca="false">IF(N3032&lt;&gt;"Y","",IFERROR(INDEX($D$6:$D$4005,MATCH(B3032&amp;"|"&amp;ROUND(_xlfn.MAXIFS($O$6:$O$4005,$B$6:$B$4005,B3032,$N$6:$N$4005,"N"),0),$P$6:$P$4005,0)),"(tanpa lawan)"))</f>
        <v/>
      </c>
      <c r="R3032" s="44"/>
      <c r="S3032" s="9" t="str">
        <f aca="false">IF(N3032&lt;&gt;"Y","",IF(R3032&lt;&gt;"",R3032,IF(Q3032="(tanpa lawan)","Transfer antar rekening",IFERROR(INDEX(I_COA!$F$6:$F$265,MATCH(Q3032,I_COA!$A$6:$A$265,0)),"?"))))</f>
        <v/>
      </c>
    </row>
    <row r="3033" customFormat="false" ht="15" hidden="false" customHeight="false" outlineLevel="0" collapsed="false">
      <c r="A3033" s="37"/>
      <c r="B3033" s="44"/>
      <c r="C3033" s="44"/>
      <c r="D3033" s="44"/>
      <c r="E3033" s="44"/>
      <c r="F3033" s="44"/>
      <c r="G3033" s="42"/>
      <c r="H3033" s="42"/>
      <c r="I3033" s="44"/>
      <c r="J3033" s="11" t="str">
        <f aca="false">IF(D3033="","",N(G3033)-N(H3033))</f>
        <v/>
      </c>
      <c r="K3033" s="34" t="str">
        <f aca="false">IF(D3033="","",IFERROR(INDEX(I_COA!$C$6:$C$265,MATCH(D3033,I_COA!$A$6:$A$265,0)),"AKUN BARU"))</f>
        <v/>
      </c>
      <c r="L3033" s="34" t="str">
        <f aca="false">IF(K3033="LabaRugi",INDEX(I_COA!$D$6:$D$265,MATCH(D3033,I_COA!$A$6:$A$265,0)),"")</f>
        <v/>
      </c>
      <c r="M3033" s="34" t="str">
        <f aca="false">IF(K3033="Neraca",INDEX(I_COA!$E$6:$E$265,MATCH(D3033,I_COA!$A$6:$A$265,0)),"")</f>
        <v/>
      </c>
      <c r="N3033" s="34" t="str">
        <f aca="false">IF(D3033="","",IFERROR(INDEX(I_COA!$G$6:$G$265,MATCH(D3033,I_COA!$A$6:$A$265,0)),"N"))</f>
        <v/>
      </c>
      <c r="O3033" s="11" t="str">
        <f aca="false">IF(N3033="N",ABS(J3033),"")</f>
        <v/>
      </c>
      <c r="P3033" s="18" t="str">
        <f aca="false">IF(N3033="N",B3033&amp;"|"&amp;ROUND(O3033,0),"")</f>
        <v/>
      </c>
      <c r="Q3033" s="18" t="str">
        <f aca="false">IF(N3033&lt;&gt;"Y","",IFERROR(INDEX($D$6:$D$4005,MATCH(B3033&amp;"|"&amp;ROUND(_xlfn.MAXIFS($O$6:$O$4005,$B$6:$B$4005,B3033,$N$6:$N$4005,"N"),0),$P$6:$P$4005,0)),"(tanpa lawan)"))</f>
        <v/>
      </c>
      <c r="R3033" s="44"/>
      <c r="S3033" s="9" t="str">
        <f aca="false">IF(N3033&lt;&gt;"Y","",IF(R3033&lt;&gt;"",R3033,IF(Q3033="(tanpa lawan)","Transfer antar rekening",IFERROR(INDEX(I_COA!$F$6:$F$265,MATCH(Q3033,I_COA!$A$6:$A$265,0)),"?"))))</f>
        <v/>
      </c>
    </row>
    <row r="3034" customFormat="false" ht="15" hidden="false" customHeight="false" outlineLevel="0" collapsed="false">
      <c r="A3034" s="37"/>
      <c r="B3034" s="44"/>
      <c r="C3034" s="44"/>
      <c r="D3034" s="44"/>
      <c r="E3034" s="44"/>
      <c r="F3034" s="44"/>
      <c r="G3034" s="42"/>
      <c r="H3034" s="42"/>
      <c r="I3034" s="44"/>
      <c r="J3034" s="11" t="str">
        <f aca="false">IF(D3034="","",N(G3034)-N(H3034))</f>
        <v/>
      </c>
      <c r="K3034" s="34" t="str">
        <f aca="false">IF(D3034="","",IFERROR(INDEX(I_COA!$C$6:$C$265,MATCH(D3034,I_COA!$A$6:$A$265,0)),"AKUN BARU"))</f>
        <v/>
      </c>
      <c r="L3034" s="34" t="str">
        <f aca="false">IF(K3034="LabaRugi",INDEX(I_COA!$D$6:$D$265,MATCH(D3034,I_COA!$A$6:$A$265,0)),"")</f>
        <v/>
      </c>
      <c r="M3034" s="34" t="str">
        <f aca="false">IF(K3034="Neraca",INDEX(I_COA!$E$6:$E$265,MATCH(D3034,I_COA!$A$6:$A$265,0)),"")</f>
        <v/>
      </c>
      <c r="N3034" s="34" t="str">
        <f aca="false">IF(D3034="","",IFERROR(INDEX(I_COA!$G$6:$G$265,MATCH(D3034,I_COA!$A$6:$A$265,0)),"N"))</f>
        <v/>
      </c>
      <c r="O3034" s="11" t="str">
        <f aca="false">IF(N3034="N",ABS(J3034),"")</f>
        <v/>
      </c>
      <c r="P3034" s="18" t="str">
        <f aca="false">IF(N3034="N",B3034&amp;"|"&amp;ROUND(O3034,0),"")</f>
        <v/>
      </c>
      <c r="Q3034" s="18" t="str">
        <f aca="false">IF(N3034&lt;&gt;"Y","",IFERROR(INDEX($D$6:$D$4005,MATCH(B3034&amp;"|"&amp;ROUND(_xlfn.MAXIFS($O$6:$O$4005,$B$6:$B$4005,B3034,$N$6:$N$4005,"N"),0),$P$6:$P$4005,0)),"(tanpa lawan)"))</f>
        <v/>
      </c>
      <c r="R3034" s="44"/>
      <c r="S3034" s="9" t="str">
        <f aca="false">IF(N3034&lt;&gt;"Y","",IF(R3034&lt;&gt;"",R3034,IF(Q3034="(tanpa lawan)","Transfer antar rekening",IFERROR(INDEX(I_COA!$F$6:$F$265,MATCH(Q3034,I_COA!$A$6:$A$265,0)),"?"))))</f>
        <v/>
      </c>
    </row>
    <row r="3035" customFormat="false" ht="15" hidden="false" customHeight="false" outlineLevel="0" collapsed="false">
      <c r="A3035" s="37"/>
      <c r="B3035" s="44"/>
      <c r="C3035" s="44"/>
      <c r="D3035" s="44"/>
      <c r="E3035" s="44"/>
      <c r="F3035" s="44"/>
      <c r="G3035" s="42"/>
      <c r="H3035" s="42"/>
      <c r="I3035" s="44"/>
      <c r="J3035" s="11" t="str">
        <f aca="false">IF(D3035="","",N(G3035)-N(H3035))</f>
        <v/>
      </c>
      <c r="K3035" s="34" t="str">
        <f aca="false">IF(D3035="","",IFERROR(INDEX(I_COA!$C$6:$C$265,MATCH(D3035,I_COA!$A$6:$A$265,0)),"AKUN BARU"))</f>
        <v/>
      </c>
      <c r="L3035" s="34" t="str">
        <f aca="false">IF(K3035="LabaRugi",INDEX(I_COA!$D$6:$D$265,MATCH(D3035,I_COA!$A$6:$A$265,0)),"")</f>
        <v/>
      </c>
      <c r="M3035" s="34" t="str">
        <f aca="false">IF(K3035="Neraca",INDEX(I_COA!$E$6:$E$265,MATCH(D3035,I_COA!$A$6:$A$265,0)),"")</f>
        <v/>
      </c>
      <c r="N3035" s="34" t="str">
        <f aca="false">IF(D3035="","",IFERROR(INDEX(I_COA!$G$6:$G$265,MATCH(D3035,I_COA!$A$6:$A$265,0)),"N"))</f>
        <v/>
      </c>
      <c r="O3035" s="11" t="str">
        <f aca="false">IF(N3035="N",ABS(J3035),"")</f>
        <v/>
      </c>
      <c r="P3035" s="18" t="str">
        <f aca="false">IF(N3035="N",B3035&amp;"|"&amp;ROUND(O3035,0),"")</f>
        <v/>
      </c>
      <c r="Q3035" s="18" t="str">
        <f aca="false">IF(N3035&lt;&gt;"Y","",IFERROR(INDEX($D$6:$D$4005,MATCH(B3035&amp;"|"&amp;ROUND(_xlfn.MAXIFS($O$6:$O$4005,$B$6:$B$4005,B3035,$N$6:$N$4005,"N"),0),$P$6:$P$4005,0)),"(tanpa lawan)"))</f>
        <v/>
      </c>
      <c r="R3035" s="44"/>
      <c r="S3035" s="9" t="str">
        <f aca="false">IF(N3035&lt;&gt;"Y","",IF(R3035&lt;&gt;"",R3035,IF(Q3035="(tanpa lawan)","Transfer antar rekening",IFERROR(INDEX(I_COA!$F$6:$F$265,MATCH(Q3035,I_COA!$A$6:$A$265,0)),"?"))))</f>
        <v/>
      </c>
    </row>
    <row r="3036" customFormat="false" ht="15" hidden="false" customHeight="false" outlineLevel="0" collapsed="false">
      <c r="A3036" s="37"/>
      <c r="B3036" s="44"/>
      <c r="C3036" s="44"/>
      <c r="D3036" s="44"/>
      <c r="E3036" s="44"/>
      <c r="F3036" s="44"/>
      <c r="G3036" s="42"/>
      <c r="H3036" s="42"/>
      <c r="I3036" s="44"/>
      <c r="J3036" s="11" t="str">
        <f aca="false">IF(D3036="","",N(G3036)-N(H3036))</f>
        <v/>
      </c>
      <c r="K3036" s="34" t="str">
        <f aca="false">IF(D3036="","",IFERROR(INDEX(I_COA!$C$6:$C$265,MATCH(D3036,I_COA!$A$6:$A$265,0)),"AKUN BARU"))</f>
        <v/>
      </c>
      <c r="L3036" s="34" t="str">
        <f aca="false">IF(K3036="LabaRugi",INDEX(I_COA!$D$6:$D$265,MATCH(D3036,I_COA!$A$6:$A$265,0)),"")</f>
        <v/>
      </c>
      <c r="M3036" s="34" t="str">
        <f aca="false">IF(K3036="Neraca",INDEX(I_COA!$E$6:$E$265,MATCH(D3036,I_COA!$A$6:$A$265,0)),"")</f>
        <v/>
      </c>
      <c r="N3036" s="34" t="str">
        <f aca="false">IF(D3036="","",IFERROR(INDEX(I_COA!$G$6:$G$265,MATCH(D3036,I_COA!$A$6:$A$265,0)),"N"))</f>
        <v/>
      </c>
      <c r="O3036" s="11" t="str">
        <f aca="false">IF(N3036="N",ABS(J3036),"")</f>
        <v/>
      </c>
      <c r="P3036" s="18" t="str">
        <f aca="false">IF(N3036="N",B3036&amp;"|"&amp;ROUND(O3036,0),"")</f>
        <v/>
      </c>
      <c r="Q3036" s="18" t="str">
        <f aca="false">IF(N3036&lt;&gt;"Y","",IFERROR(INDEX($D$6:$D$4005,MATCH(B3036&amp;"|"&amp;ROUND(_xlfn.MAXIFS($O$6:$O$4005,$B$6:$B$4005,B3036,$N$6:$N$4005,"N"),0),$P$6:$P$4005,0)),"(tanpa lawan)"))</f>
        <v/>
      </c>
      <c r="R3036" s="44"/>
      <c r="S3036" s="9" t="str">
        <f aca="false">IF(N3036&lt;&gt;"Y","",IF(R3036&lt;&gt;"",R3036,IF(Q3036="(tanpa lawan)","Transfer antar rekening",IFERROR(INDEX(I_COA!$F$6:$F$265,MATCH(Q3036,I_COA!$A$6:$A$265,0)),"?"))))</f>
        <v/>
      </c>
    </row>
    <row r="3037" customFormat="false" ht="15" hidden="false" customHeight="false" outlineLevel="0" collapsed="false">
      <c r="A3037" s="37"/>
      <c r="B3037" s="44"/>
      <c r="C3037" s="44"/>
      <c r="D3037" s="44"/>
      <c r="E3037" s="44"/>
      <c r="F3037" s="44"/>
      <c r="G3037" s="42"/>
      <c r="H3037" s="42"/>
      <c r="I3037" s="44"/>
      <c r="J3037" s="11" t="str">
        <f aca="false">IF(D3037="","",N(G3037)-N(H3037))</f>
        <v/>
      </c>
      <c r="K3037" s="34" t="str">
        <f aca="false">IF(D3037="","",IFERROR(INDEX(I_COA!$C$6:$C$265,MATCH(D3037,I_COA!$A$6:$A$265,0)),"AKUN BARU"))</f>
        <v/>
      </c>
      <c r="L3037" s="34" t="str">
        <f aca="false">IF(K3037="LabaRugi",INDEX(I_COA!$D$6:$D$265,MATCH(D3037,I_COA!$A$6:$A$265,0)),"")</f>
        <v/>
      </c>
      <c r="M3037" s="34" t="str">
        <f aca="false">IF(K3037="Neraca",INDEX(I_COA!$E$6:$E$265,MATCH(D3037,I_COA!$A$6:$A$265,0)),"")</f>
        <v/>
      </c>
      <c r="N3037" s="34" t="str">
        <f aca="false">IF(D3037="","",IFERROR(INDEX(I_COA!$G$6:$G$265,MATCH(D3037,I_COA!$A$6:$A$265,0)),"N"))</f>
        <v/>
      </c>
      <c r="O3037" s="11" t="str">
        <f aca="false">IF(N3037="N",ABS(J3037),"")</f>
        <v/>
      </c>
      <c r="P3037" s="18" t="str">
        <f aca="false">IF(N3037="N",B3037&amp;"|"&amp;ROUND(O3037,0),"")</f>
        <v/>
      </c>
      <c r="Q3037" s="18" t="str">
        <f aca="false">IF(N3037&lt;&gt;"Y","",IFERROR(INDEX($D$6:$D$4005,MATCH(B3037&amp;"|"&amp;ROUND(_xlfn.MAXIFS($O$6:$O$4005,$B$6:$B$4005,B3037,$N$6:$N$4005,"N"),0),$P$6:$P$4005,0)),"(tanpa lawan)"))</f>
        <v/>
      </c>
      <c r="R3037" s="44"/>
      <c r="S3037" s="9" t="str">
        <f aca="false">IF(N3037&lt;&gt;"Y","",IF(R3037&lt;&gt;"",R3037,IF(Q3037="(tanpa lawan)","Transfer antar rekening",IFERROR(INDEX(I_COA!$F$6:$F$265,MATCH(Q3037,I_COA!$A$6:$A$265,0)),"?"))))</f>
        <v/>
      </c>
    </row>
    <row r="3038" customFormat="false" ht="15" hidden="false" customHeight="false" outlineLevel="0" collapsed="false">
      <c r="A3038" s="37"/>
      <c r="B3038" s="44"/>
      <c r="C3038" s="44"/>
      <c r="D3038" s="44"/>
      <c r="E3038" s="44"/>
      <c r="F3038" s="44"/>
      <c r="G3038" s="42"/>
      <c r="H3038" s="42"/>
      <c r="I3038" s="44"/>
      <c r="J3038" s="11" t="str">
        <f aca="false">IF(D3038="","",N(G3038)-N(H3038))</f>
        <v/>
      </c>
      <c r="K3038" s="34" t="str">
        <f aca="false">IF(D3038="","",IFERROR(INDEX(I_COA!$C$6:$C$265,MATCH(D3038,I_COA!$A$6:$A$265,0)),"AKUN BARU"))</f>
        <v/>
      </c>
      <c r="L3038" s="34" t="str">
        <f aca="false">IF(K3038="LabaRugi",INDEX(I_COA!$D$6:$D$265,MATCH(D3038,I_COA!$A$6:$A$265,0)),"")</f>
        <v/>
      </c>
      <c r="M3038" s="34" t="str">
        <f aca="false">IF(K3038="Neraca",INDEX(I_COA!$E$6:$E$265,MATCH(D3038,I_COA!$A$6:$A$265,0)),"")</f>
        <v/>
      </c>
      <c r="N3038" s="34" t="str">
        <f aca="false">IF(D3038="","",IFERROR(INDEX(I_COA!$G$6:$G$265,MATCH(D3038,I_COA!$A$6:$A$265,0)),"N"))</f>
        <v/>
      </c>
      <c r="O3038" s="11" t="str">
        <f aca="false">IF(N3038="N",ABS(J3038),"")</f>
        <v/>
      </c>
      <c r="P3038" s="18" t="str">
        <f aca="false">IF(N3038="N",B3038&amp;"|"&amp;ROUND(O3038,0),"")</f>
        <v/>
      </c>
      <c r="Q3038" s="18" t="str">
        <f aca="false">IF(N3038&lt;&gt;"Y","",IFERROR(INDEX($D$6:$D$4005,MATCH(B3038&amp;"|"&amp;ROUND(_xlfn.MAXIFS($O$6:$O$4005,$B$6:$B$4005,B3038,$N$6:$N$4005,"N"),0),$P$6:$P$4005,0)),"(tanpa lawan)"))</f>
        <v/>
      </c>
      <c r="R3038" s="44"/>
      <c r="S3038" s="9" t="str">
        <f aca="false">IF(N3038&lt;&gt;"Y","",IF(R3038&lt;&gt;"",R3038,IF(Q3038="(tanpa lawan)","Transfer antar rekening",IFERROR(INDEX(I_COA!$F$6:$F$265,MATCH(Q3038,I_COA!$A$6:$A$265,0)),"?"))))</f>
        <v/>
      </c>
    </row>
    <row r="3039" customFormat="false" ht="15" hidden="false" customHeight="false" outlineLevel="0" collapsed="false">
      <c r="A3039" s="37"/>
      <c r="B3039" s="44"/>
      <c r="C3039" s="44"/>
      <c r="D3039" s="44"/>
      <c r="E3039" s="44"/>
      <c r="F3039" s="44"/>
      <c r="G3039" s="42"/>
      <c r="H3039" s="42"/>
      <c r="I3039" s="44"/>
      <c r="J3039" s="11" t="str">
        <f aca="false">IF(D3039="","",N(G3039)-N(H3039))</f>
        <v/>
      </c>
      <c r="K3039" s="34" t="str">
        <f aca="false">IF(D3039="","",IFERROR(INDEX(I_COA!$C$6:$C$265,MATCH(D3039,I_COA!$A$6:$A$265,0)),"AKUN BARU"))</f>
        <v/>
      </c>
      <c r="L3039" s="34" t="str">
        <f aca="false">IF(K3039="LabaRugi",INDEX(I_COA!$D$6:$D$265,MATCH(D3039,I_COA!$A$6:$A$265,0)),"")</f>
        <v/>
      </c>
      <c r="M3039" s="34" t="str">
        <f aca="false">IF(K3039="Neraca",INDEX(I_COA!$E$6:$E$265,MATCH(D3039,I_COA!$A$6:$A$265,0)),"")</f>
        <v/>
      </c>
      <c r="N3039" s="34" t="str">
        <f aca="false">IF(D3039="","",IFERROR(INDEX(I_COA!$G$6:$G$265,MATCH(D3039,I_COA!$A$6:$A$265,0)),"N"))</f>
        <v/>
      </c>
      <c r="O3039" s="11" t="str">
        <f aca="false">IF(N3039="N",ABS(J3039),"")</f>
        <v/>
      </c>
      <c r="P3039" s="18" t="str">
        <f aca="false">IF(N3039="N",B3039&amp;"|"&amp;ROUND(O3039,0),"")</f>
        <v/>
      </c>
      <c r="Q3039" s="18" t="str">
        <f aca="false">IF(N3039&lt;&gt;"Y","",IFERROR(INDEX($D$6:$D$4005,MATCH(B3039&amp;"|"&amp;ROUND(_xlfn.MAXIFS($O$6:$O$4005,$B$6:$B$4005,B3039,$N$6:$N$4005,"N"),0),$P$6:$P$4005,0)),"(tanpa lawan)"))</f>
        <v/>
      </c>
      <c r="R3039" s="44"/>
      <c r="S3039" s="9" t="str">
        <f aca="false">IF(N3039&lt;&gt;"Y","",IF(R3039&lt;&gt;"",R3039,IF(Q3039="(tanpa lawan)","Transfer antar rekening",IFERROR(INDEX(I_COA!$F$6:$F$265,MATCH(Q3039,I_COA!$A$6:$A$265,0)),"?"))))</f>
        <v/>
      </c>
    </row>
    <row r="3040" customFormat="false" ht="15" hidden="false" customHeight="false" outlineLevel="0" collapsed="false">
      <c r="A3040" s="37"/>
      <c r="B3040" s="44"/>
      <c r="C3040" s="44"/>
      <c r="D3040" s="44"/>
      <c r="E3040" s="44"/>
      <c r="F3040" s="44"/>
      <c r="G3040" s="42"/>
      <c r="H3040" s="42"/>
      <c r="I3040" s="44"/>
      <c r="J3040" s="11" t="str">
        <f aca="false">IF(D3040="","",N(G3040)-N(H3040))</f>
        <v/>
      </c>
      <c r="K3040" s="34" t="str">
        <f aca="false">IF(D3040="","",IFERROR(INDEX(I_COA!$C$6:$C$265,MATCH(D3040,I_COA!$A$6:$A$265,0)),"AKUN BARU"))</f>
        <v/>
      </c>
      <c r="L3040" s="34" t="str">
        <f aca="false">IF(K3040="LabaRugi",INDEX(I_COA!$D$6:$D$265,MATCH(D3040,I_COA!$A$6:$A$265,0)),"")</f>
        <v/>
      </c>
      <c r="M3040" s="34" t="str">
        <f aca="false">IF(K3040="Neraca",INDEX(I_COA!$E$6:$E$265,MATCH(D3040,I_COA!$A$6:$A$265,0)),"")</f>
        <v/>
      </c>
      <c r="N3040" s="34" t="str">
        <f aca="false">IF(D3040="","",IFERROR(INDEX(I_COA!$G$6:$G$265,MATCH(D3040,I_COA!$A$6:$A$265,0)),"N"))</f>
        <v/>
      </c>
      <c r="O3040" s="11" t="str">
        <f aca="false">IF(N3040="N",ABS(J3040),"")</f>
        <v/>
      </c>
      <c r="P3040" s="18" t="str">
        <f aca="false">IF(N3040="N",B3040&amp;"|"&amp;ROUND(O3040,0),"")</f>
        <v/>
      </c>
      <c r="Q3040" s="18" t="str">
        <f aca="false">IF(N3040&lt;&gt;"Y","",IFERROR(INDEX($D$6:$D$4005,MATCH(B3040&amp;"|"&amp;ROUND(_xlfn.MAXIFS($O$6:$O$4005,$B$6:$B$4005,B3040,$N$6:$N$4005,"N"),0),$P$6:$P$4005,0)),"(tanpa lawan)"))</f>
        <v/>
      </c>
      <c r="R3040" s="44"/>
      <c r="S3040" s="9" t="str">
        <f aca="false">IF(N3040&lt;&gt;"Y","",IF(R3040&lt;&gt;"",R3040,IF(Q3040="(tanpa lawan)","Transfer antar rekening",IFERROR(INDEX(I_COA!$F$6:$F$265,MATCH(Q3040,I_COA!$A$6:$A$265,0)),"?"))))</f>
        <v/>
      </c>
    </row>
    <row r="3041" customFormat="false" ht="15" hidden="false" customHeight="false" outlineLevel="0" collapsed="false">
      <c r="A3041" s="37"/>
      <c r="B3041" s="44"/>
      <c r="C3041" s="44"/>
      <c r="D3041" s="44"/>
      <c r="E3041" s="44"/>
      <c r="F3041" s="44"/>
      <c r="G3041" s="42"/>
      <c r="H3041" s="42"/>
      <c r="I3041" s="44"/>
      <c r="J3041" s="11" t="str">
        <f aca="false">IF(D3041="","",N(G3041)-N(H3041))</f>
        <v/>
      </c>
      <c r="K3041" s="34" t="str">
        <f aca="false">IF(D3041="","",IFERROR(INDEX(I_COA!$C$6:$C$265,MATCH(D3041,I_COA!$A$6:$A$265,0)),"AKUN BARU"))</f>
        <v/>
      </c>
      <c r="L3041" s="34" t="str">
        <f aca="false">IF(K3041="LabaRugi",INDEX(I_COA!$D$6:$D$265,MATCH(D3041,I_COA!$A$6:$A$265,0)),"")</f>
        <v/>
      </c>
      <c r="M3041" s="34" t="str">
        <f aca="false">IF(K3041="Neraca",INDEX(I_COA!$E$6:$E$265,MATCH(D3041,I_COA!$A$6:$A$265,0)),"")</f>
        <v/>
      </c>
      <c r="N3041" s="34" t="str">
        <f aca="false">IF(D3041="","",IFERROR(INDEX(I_COA!$G$6:$G$265,MATCH(D3041,I_COA!$A$6:$A$265,0)),"N"))</f>
        <v/>
      </c>
      <c r="O3041" s="11" t="str">
        <f aca="false">IF(N3041="N",ABS(J3041),"")</f>
        <v/>
      </c>
      <c r="P3041" s="18" t="str">
        <f aca="false">IF(N3041="N",B3041&amp;"|"&amp;ROUND(O3041,0),"")</f>
        <v/>
      </c>
      <c r="Q3041" s="18" t="str">
        <f aca="false">IF(N3041&lt;&gt;"Y","",IFERROR(INDEX($D$6:$D$4005,MATCH(B3041&amp;"|"&amp;ROUND(_xlfn.MAXIFS($O$6:$O$4005,$B$6:$B$4005,B3041,$N$6:$N$4005,"N"),0),$P$6:$P$4005,0)),"(tanpa lawan)"))</f>
        <v/>
      </c>
      <c r="R3041" s="44"/>
      <c r="S3041" s="9" t="str">
        <f aca="false">IF(N3041&lt;&gt;"Y","",IF(R3041&lt;&gt;"",R3041,IF(Q3041="(tanpa lawan)","Transfer antar rekening",IFERROR(INDEX(I_COA!$F$6:$F$265,MATCH(Q3041,I_COA!$A$6:$A$265,0)),"?"))))</f>
        <v/>
      </c>
    </row>
    <row r="3042" customFormat="false" ht="15" hidden="false" customHeight="false" outlineLevel="0" collapsed="false">
      <c r="A3042" s="37"/>
      <c r="B3042" s="44"/>
      <c r="C3042" s="44"/>
      <c r="D3042" s="44"/>
      <c r="E3042" s="44"/>
      <c r="F3042" s="44"/>
      <c r="G3042" s="42"/>
      <c r="H3042" s="42"/>
      <c r="I3042" s="44"/>
      <c r="J3042" s="11" t="str">
        <f aca="false">IF(D3042="","",N(G3042)-N(H3042))</f>
        <v/>
      </c>
      <c r="K3042" s="34" t="str">
        <f aca="false">IF(D3042="","",IFERROR(INDEX(I_COA!$C$6:$C$265,MATCH(D3042,I_COA!$A$6:$A$265,0)),"AKUN BARU"))</f>
        <v/>
      </c>
      <c r="L3042" s="34" t="str">
        <f aca="false">IF(K3042="LabaRugi",INDEX(I_COA!$D$6:$D$265,MATCH(D3042,I_COA!$A$6:$A$265,0)),"")</f>
        <v/>
      </c>
      <c r="M3042" s="34" t="str">
        <f aca="false">IF(K3042="Neraca",INDEX(I_COA!$E$6:$E$265,MATCH(D3042,I_COA!$A$6:$A$265,0)),"")</f>
        <v/>
      </c>
      <c r="N3042" s="34" t="str">
        <f aca="false">IF(D3042="","",IFERROR(INDEX(I_COA!$G$6:$G$265,MATCH(D3042,I_COA!$A$6:$A$265,0)),"N"))</f>
        <v/>
      </c>
      <c r="O3042" s="11" t="str">
        <f aca="false">IF(N3042="N",ABS(J3042),"")</f>
        <v/>
      </c>
      <c r="P3042" s="18" t="str">
        <f aca="false">IF(N3042="N",B3042&amp;"|"&amp;ROUND(O3042,0),"")</f>
        <v/>
      </c>
      <c r="Q3042" s="18" t="str">
        <f aca="false">IF(N3042&lt;&gt;"Y","",IFERROR(INDEX($D$6:$D$4005,MATCH(B3042&amp;"|"&amp;ROUND(_xlfn.MAXIFS($O$6:$O$4005,$B$6:$B$4005,B3042,$N$6:$N$4005,"N"),0),$P$6:$P$4005,0)),"(tanpa lawan)"))</f>
        <v/>
      </c>
      <c r="R3042" s="44"/>
      <c r="S3042" s="9" t="str">
        <f aca="false">IF(N3042&lt;&gt;"Y","",IF(R3042&lt;&gt;"",R3042,IF(Q3042="(tanpa lawan)","Transfer antar rekening",IFERROR(INDEX(I_COA!$F$6:$F$265,MATCH(Q3042,I_COA!$A$6:$A$265,0)),"?"))))</f>
        <v/>
      </c>
    </row>
    <row r="3043" customFormat="false" ht="15" hidden="false" customHeight="false" outlineLevel="0" collapsed="false">
      <c r="A3043" s="37"/>
      <c r="B3043" s="44"/>
      <c r="C3043" s="44"/>
      <c r="D3043" s="44"/>
      <c r="E3043" s="44"/>
      <c r="F3043" s="44"/>
      <c r="G3043" s="42"/>
      <c r="H3043" s="42"/>
      <c r="I3043" s="44"/>
      <c r="J3043" s="11" t="str">
        <f aca="false">IF(D3043="","",N(G3043)-N(H3043))</f>
        <v/>
      </c>
      <c r="K3043" s="34" t="str">
        <f aca="false">IF(D3043="","",IFERROR(INDEX(I_COA!$C$6:$C$265,MATCH(D3043,I_COA!$A$6:$A$265,0)),"AKUN BARU"))</f>
        <v/>
      </c>
      <c r="L3043" s="34" t="str">
        <f aca="false">IF(K3043="LabaRugi",INDEX(I_COA!$D$6:$D$265,MATCH(D3043,I_COA!$A$6:$A$265,0)),"")</f>
        <v/>
      </c>
      <c r="M3043" s="34" t="str">
        <f aca="false">IF(K3043="Neraca",INDEX(I_COA!$E$6:$E$265,MATCH(D3043,I_COA!$A$6:$A$265,0)),"")</f>
        <v/>
      </c>
      <c r="N3043" s="34" t="str">
        <f aca="false">IF(D3043="","",IFERROR(INDEX(I_COA!$G$6:$G$265,MATCH(D3043,I_COA!$A$6:$A$265,0)),"N"))</f>
        <v/>
      </c>
      <c r="O3043" s="11" t="str">
        <f aca="false">IF(N3043="N",ABS(J3043),"")</f>
        <v/>
      </c>
      <c r="P3043" s="18" t="str">
        <f aca="false">IF(N3043="N",B3043&amp;"|"&amp;ROUND(O3043,0),"")</f>
        <v/>
      </c>
      <c r="Q3043" s="18" t="str">
        <f aca="false">IF(N3043&lt;&gt;"Y","",IFERROR(INDEX($D$6:$D$4005,MATCH(B3043&amp;"|"&amp;ROUND(_xlfn.MAXIFS($O$6:$O$4005,$B$6:$B$4005,B3043,$N$6:$N$4005,"N"),0),$P$6:$P$4005,0)),"(tanpa lawan)"))</f>
        <v/>
      </c>
      <c r="R3043" s="44"/>
      <c r="S3043" s="9" t="str">
        <f aca="false">IF(N3043&lt;&gt;"Y","",IF(R3043&lt;&gt;"",R3043,IF(Q3043="(tanpa lawan)","Transfer antar rekening",IFERROR(INDEX(I_COA!$F$6:$F$265,MATCH(Q3043,I_COA!$A$6:$A$265,0)),"?"))))</f>
        <v/>
      </c>
    </row>
    <row r="3044" customFormat="false" ht="15" hidden="false" customHeight="false" outlineLevel="0" collapsed="false">
      <c r="A3044" s="37"/>
      <c r="B3044" s="44"/>
      <c r="C3044" s="44"/>
      <c r="D3044" s="44"/>
      <c r="E3044" s="44"/>
      <c r="F3044" s="44"/>
      <c r="G3044" s="42"/>
      <c r="H3044" s="42"/>
      <c r="I3044" s="44"/>
      <c r="J3044" s="11" t="str">
        <f aca="false">IF(D3044="","",N(G3044)-N(H3044))</f>
        <v/>
      </c>
      <c r="K3044" s="34" t="str">
        <f aca="false">IF(D3044="","",IFERROR(INDEX(I_COA!$C$6:$C$265,MATCH(D3044,I_COA!$A$6:$A$265,0)),"AKUN BARU"))</f>
        <v/>
      </c>
      <c r="L3044" s="34" t="str">
        <f aca="false">IF(K3044="LabaRugi",INDEX(I_COA!$D$6:$D$265,MATCH(D3044,I_COA!$A$6:$A$265,0)),"")</f>
        <v/>
      </c>
      <c r="M3044" s="34" t="str">
        <f aca="false">IF(K3044="Neraca",INDEX(I_COA!$E$6:$E$265,MATCH(D3044,I_COA!$A$6:$A$265,0)),"")</f>
        <v/>
      </c>
      <c r="N3044" s="34" t="str">
        <f aca="false">IF(D3044="","",IFERROR(INDEX(I_COA!$G$6:$G$265,MATCH(D3044,I_COA!$A$6:$A$265,0)),"N"))</f>
        <v/>
      </c>
      <c r="O3044" s="11" t="str">
        <f aca="false">IF(N3044="N",ABS(J3044),"")</f>
        <v/>
      </c>
      <c r="P3044" s="18" t="str">
        <f aca="false">IF(N3044="N",B3044&amp;"|"&amp;ROUND(O3044,0),"")</f>
        <v/>
      </c>
      <c r="Q3044" s="18" t="str">
        <f aca="false">IF(N3044&lt;&gt;"Y","",IFERROR(INDEX($D$6:$D$4005,MATCH(B3044&amp;"|"&amp;ROUND(_xlfn.MAXIFS($O$6:$O$4005,$B$6:$B$4005,B3044,$N$6:$N$4005,"N"),0),$P$6:$P$4005,0)),"(tanpa lawan)"))</f>
        <v/>
      </c>
      <c r="R3044" s="44"/>
      <c r="S3044" s="9" t="str">
        <f aca="false">IF(N3044&lt;&gt;"Y","",IF(R3044&lt;&gt;"",R3044,IF(Q3044="(tanpa lawan)","Transfer antar rekening",IFERROR(INDEX(I_COA!$F$6:$F$265,MATCH(Q3044,I_COA!$A$6:$A$265,0)),"?"))))</f>
        <v/>
      </c>
    </row>
    <row r="3045" customFormat="false" ht="15" hidden="false" customHeight="false" outlineLevel="0" collapsed="false">
      <c r="A3045" s="37"/>
      <c r="B3045" s="44"/>
      <c r="C3045" s="44"/>
      <c r="D3045" s="44"/>
      <c r="E3045" s="44"/>
      <c r="F3045" s="44"/>
      <c r="G3045" s="42"/>
      <c r="H3045" s="42"/>
      <c r="I3045" s="44"/>
      <c r="J3045" s="11" t="str">
        <f aca="false">IF(D3045="","",N(G3045)-N(H3045))</f>
        <v/>
      </c>
      <c r="K3045" s="34" t="str">
        <f aca="false">IF(D3045="","",IFERROR(INDEX(I_COA!$C$6:$C$265,MATCH(D3045,I_COA!$A$6:$A$265,0)),"AKUN BARU"))</f>
        <v/>
      </c>
      <c r="L3045" s="34" t="str">
        <f aca="false">IF(K3045="LabaRugi",INDEX(I_COA!$D$6:$D$265,MATCH(D3045,I_COA!$A$6:$A$265,0)),"")</f>
        <v/>
      </c>
      <c r="M3045" s="34" t="str">
        <f aca="false">IF(K3045="Neraca",INDEX(I_COA!$E$6:$E$265,MATCH(D3045,I_COA!$A$6:$A$265,0)),"")</f>
        <v/>
      </c>
      <c r="N3045" s="34" t="str">
        <f aca="false">IF(D3045="","",IFERROR(INDEX(I_COA!$G$6:$G$265,MATCH(D3045,I_COA!$A$6:$A$265,0)),"N"))</f>
        <v/>
      </c>
      <c r="O3045" s="11" t="str">
        <f aca="false">IF(N3045="N",ABS(J3045),"")</f>
        <v/>
      </c>
      <c r="P3045" s="18" t="str">
        <f aca="false">IF(N3045="N",B3045&amp;"|"&amp;ROUND(O3045,0),"")</f>
        <v/>
      </c>
      <c r="Q3045" s="18" t="str">
        <f aca="false">IF(N3045&lt;&gt;"Y","",IFERROR(INDEX($D$6:$D$4005,MATCH(B3045&amp;"|"&amp;ROUND(_xlfn.MAXIFS($O$6:$O$4005,$B$6:$B$4005,B3045,$N$6:$N$4005,"N"),0),$P$6:$P$4005,0)),"(tanpa lawan)"))</f>
        <v/>
      </c>
      <c r="R3045" s="44"/>
      <c r="S3045" s="9" t="str">
        <f aca="false">IF(N3045&lt;&gt;"Y","",IF(R3045&lt;&gt;"",R3045,IF(Q3045="(tanpa lawan)","Transfer antar rekening",IFERROR(INDEX(I_COA!$F$6:$F$265,MATCH(Q3045,I_COA!$A$6:$A$265,0)),"?"))))</f>
        <v/>
      </c>
    </row>
    <row r="3046" customFormat="false" ht="15" hidden="false" customHeight="false" outlineLevel="0" collapsed="false">
      <c r="A3046" s="37"/>
      <c r="B3046" s="44"/>
      <c r="C3046" s="44"/>
      <c r="D3046" s="44"/>
      <c r="E3046" s="44"/>
      <c r="F3046" s="44"/>
      <c r="G3046" s="42"/>
      <c r="H3046" s="42"/>
      <c r="I3046" s="44"/>
      <c r="J3046" s="11" t="str">
        <f aca="false">IF(D3046="","",N(G3046)-N(H3046))</f>
        <v/>
      </c>
      <c r="K3046" s="34" t="str">
        <f aca="false">IF(D3046="","",IFERROR(INDEX(I_COA!$C$6:$C$265,MATCH(D3046,I_COA!$A$6:$A$265,0)),"AKUN BARU"))</f>
        <v/>
      </c>
      <c r="L3046" s="34" t="str">
        <f aca="false">IF(K3046="LabaRugi",INDEX(I_COA!$D$6:$D$265,MATCH(D3046,I_COA!$A$6:$A$265,0)),"")</f>
        <v/>
      </c>
      <c r="M3046" s="34" t="str">
        <f aca="false">IF(K3046="Neraca",INDEX(I_COA!$E$6:$E$265,MATCH(D3046,I_COA!$A$6:$A$265,0)),"")</f>
        <v/>
      </c>
      <c r="N3046" s="34" t="str">
        <f aca="false">IF(D3046="","",IFERROR(INDEX(I_COA!$G$6:$G$265,MATCH(D3046,I_COA!$A$6:$A$265,0)),"N"))</f>
        <v/>
      </c>
      <c r="O3046" s="11" t="str">
        <f aca="false">IF(N3046="N",ABS(J3046),"")</f>
        <v/>
      </c>
      <c r="P3046" s="18" t="str">
        <f aca="false">IF(N3046="N",B3046&amp;"|"&amp;ROUND(O3046,0),"")</f>
        <v/>
      </c>
      <c r="Q3046" s="18" t="str">
        <f aca="false">IF(N3046&lt;&gt;"Y","",IFERROR(INDEX($D$6:$D$4005,MATCH(B3046&amp;"|"&amp;ROUND(_xlfn.MAXIFS($O$6:$O$4005,$B$6:$B$4005,B3046,$N$6:$N$4005,"N"),0),$P$6:$P$4005,0)),"(tanpa lawan)"))</f>
        <v/>
      </c>
      <c r="R3046" s="44"/>
      <c r="S3046" s="9" t="str">
        <f aca="false">IF(N3046&lt;&gt;"Y","",IF(R3046&lt;&gt;"",R3046,IF(Q3046="(tanpa lawan)","Transfer antar rekening",IFERROR(INDEX(I_COA!$F$6:$F$265,MATCH(Q3046,I_COA!$A$6:$A$265,0)),"?"))))</f>
        <v/>
      </c>
    </row>
    <row r="3047" customFormat="false" ht="15" hidden="false" customHeight="false" outlineLevel="0" collapsed="false">
      <c r="A3047" s="37"/>
      <c r="B3047" s="44"/>
      <c r="C3047" s="44"/>
      <c r="D3047" s="44"/>
      <c r="E3047" s="44"/>
      <c r="F3047" s="44"/>
      <c r="G3047" s="42"/>
      <c r="H3047" s="42"/>
      <c r="I3047" s="44"/>
      <c r="J3047" s="11" t="str">
        <f aca="false">IF(D3047="","",N(G3047)-N(H3047))</f>
        <v/>
      </c>
      <c r="K3047" s="34" t="str">
        <f aca="false">IF(D3047="","",IFERROR(INDEX(I_COA!$C$6:$C$265,MATCH(D3047,I_COA!$A$6:$A$265,0)),"AKUN BARU"))</f>
        <v/>
      </c>
      <c r="L3047" s="34" t="str">
        <f aca="false">IF(K3047="LabaRugi",INDEX(I_COA!$D$6:$D$265,MATCH(D3047,I_COA!$A$6:$A$265,0)),"")</f>
        <v/>
      </c>
      <c r="M3047" s="34" t="str">
        <f aca="false">IF(K3047="Neraca",INDEX(I_COA!$E$6:$E$265,MATCH(D3047,I_COA!$A$6:$A$265,0)),"")</f>
        <v/>
      </c>
      <c r="N3047" s="34" t="str">
        <f aca="false">IF(D3047="","",IFERROR(INDEX(I_COA!$G$6:$G$265,MATCH(D3047,I_COA!$A$6:$A$265,0)),"N"))</f>
        <v/>
      </c>
      <c r="O3047" s="11" t="str">
        <f aca="false">IF(N3047="N",ABS(J3047),"")</f>
        <v/>
      </c>
      <c r="P3047" s="18" t="str">
        <f aca="false">IF(N3047="N",B3047&amp;"|"&amp;ROUND(O3047,0),"")</f>
        <v/>
      </c>
      <c r="Q3047" s="18" t="str">
        <f aca="false">IF(N3047&lt;&gt;"Y","",IFERROR(INDEX($D$6:$D$4005,MATCH(B3047&amp;"|"&amp;ROUND(_xlfn.MAXIFS($O$6:$O$4005,$B$6:$B$4005,B3047,$N$6:$N$4005,"N"),0),$P$6:$P$4005,0)),"(tanpa lawan)"))</f>
        <v/>
      </c>
      <c r="R3047" s="44"/>
      <c r="S3047" s="9" t="str">
        <f aca="false">IF(N3047&lt;&gt;"Y","",IF(R3047&lt;&gt;"",R3047,IF(Q3047="(tanpa lawan)","Transfer antar rekening",IFERROR(INDEX(I_COA!$F$6:$F$265,MATCH(Q3047,I_COA!$A$6:$A$265,0)),"?"))))</f>
        <v/>
      </c>
    </row>
    <row r="3048" customFormat="false" ht="15" hidden="false" customHeight="false" outlineLevel="0" collapsed="false">
      <c r="A3048" s="37"/>
      <c r="B3048" s="44"/>
      <c r="C3048" s="44"/>
      <c r="D3048" s="44"/>
      <c r="E3048" s="44"/>
      <c r="F3048" s="44"/>
      <c r="G3048" s="42"/>
      <c r="H3048" s="42"/>
      <c r="I3048" s="44"/>
      <c r="J3048" s="11" t="str">
        <f aca="false">IF(D3048="","",N(G3048)-N(H3048))</f>
        <v/>
      </c>
      <c r="K3048" s="34" t="str">
        <f aca="false">IF(D3048="","",IFERROR(INDEX(I_COA!$C$6:$C$265,MATCH(D3048,I_COA!$A$6:$A$265,0)),"AKUN BARU"))</f>
        <v/>
      </c>
      <c r="L3048" s="34" t="str">
        <f aca="false">IF(K3048="LabaRugi",INDEX(I_COA!$D$6:$D$265,MATCH(D3048,I_COA!$A$6:$A$265,0)),"")</f>
        <v/>
      </c>
      <c r="M3048" s="34" t="str">
        <f aca="false">IF(K3048="Neraca",INDEX(I_COA!$E$6:$E$265,MATCH(D3048,I_COA!$A$6:$A$265,0)),"")</f>
        <v/>
      </c>
      <c r="N3048" s="34" t="str">
        <f aca="false">IF(D3048="","",IFERROR(INDEX(I_COA!$G$6:$G$265,MATCH(D3048,I_COA!$A$6:$A$265,0)),"N"))</f>
        <v/>
      </c>
      <c r="O3048" s="11" t="str">
        <f aca="false">IF(N3048="N",ABS(J3048),"")</f>
        <v/>
      </c>
      <c r="P3048" s="18" t="str">
        <f aca="false">IF(N3048="N",B3048&amp;"|"&amp;ROUND(O3048,0),"")</f>
        <v/>
      </c>
      <c r="Q3048" s="18" t="str">
        <f aca="false">IF(N3048&lt;&gt;"Y","",IFERROR(INDEX($D$6:$D$4005,MATCH(B3048&amp;"|"&amp;ROUND(_xlfn.MAXIFS($O$6:$O$4005,$B$6:$B$4005,B3048,$N$6:$N$4005,"N"),0),$P$6:$P$4005,0)),"(tanpa lawan)"))</f>
        <v/>
      </c>
      <c r="R3048" s="44"/>
      <c r="S3048" s="9" t="str">
        <f aca="false">IF(N3048&lt;&gt;"Y","",IF(R3048&lt;&gt;"",R3048,IF(Q3048="(tanpa lawan)","Transfer antar rekening",IFERROR(INDEX(I_COA!$F$6:$F$265,MATCH(Q3048,I_COA!$A$6:$A$265,0)),"?"))))</f>
        <v/>
      </c>
    </row>
    <row r="3049" customFormat="false" ht="15" hidden="false" customHeight="false" outlineLevel="0" collapsed="false">
      <c r="A3049" s="37"/>
      <c r="B3049" s="44"/>
      <c r="C3049" s="44"/>
      <c r="D3049" s="44"/>
      <c r="E3049" s="44"/>
      <c r="F3049" s="44"/>
      <c r="G3049" s="42"/>
      <c r="H3049" s="42"/>
      <c r="I3049" s="44"/>
      <c r="J3049" s="11" t="str">
        <f aca="false">IF(D3049="","",N(G3049)-N(H3049))</f>
        <v/>
      </c>
      <c r="K3049" s="34" t="str">
        <f aca="false">IF(D3049="","",IFERROR(INDEX(I_COA!$C$6:$C$265,MATCH(D3049,I_COA!$A$6:$A$265,0)),"AKUN BARU"))</f>
        <v/>
      </c>
      <c r="L3049" s="34" t="str">
        <f aca="false">IF(K3049="LabaRugi",INDEX(I_COA!$D$6:$D$265,MATCH(D3049,I_COA!$A$6:$A$265,0)),"")</f>
        <v/>
      </c>
      <c r="M3049" s="34" t="str">
        <f aca="false">IF(K3049="Neraca",INDEX(I_COA!$E$6:$E$265,MATCH(D3049,I_COA!$A$6:$A$265,0)),"")</f>
        <v/>
      </c>
      <c r="N3049" s="34" t="str">
        <f aca="false">IF(D3049="","",IFERROR(INDEX(I_COA!$G$6:$G$265,MATCH(D3049,I_COA!$A$6:$A$265,0)),"N"))</f>
        <v/>
      </c>
      <c r="O3049" s="11" t="str">
        <f aca="false">IF(N3049="N",ABS(J3049),"")</f>
        <v/>
      </c>
      <c r="P3049" s="18" t="str">
        <f aca="false">IF(N3049="N",B3049&amp;"|"&amp;ROUND(O3049,0),"")</f>
        <v/>
      </c>
      <c r="Q3049" s="18" t="str">
        <f aca="false">IF(N3049&lt;&gt;"Y","",IFERROR(INDEX($D$6:$D$4005,MATCH(B3049&amp;"|"&amp;ROUND(_xlfn.MAXIFS($O$6:$O$4005,$B$6:$B$4005,B3049,$N$6:$N$4005,"N"),0),$P$6:$P$4005,0)),"(tanpa lawan)"))</f>
        <v/>
      </c>
      <c r="R3049" s="44"/>
      <c r="S3049" s="9" t="str">
        <f aca="false">IF(N3049&lt;&gt;"Y","",IF(R3049&lt;&gt;"",R3049,IF(Q3049="(tanpa lawan)","Transfer antar rekening",IFERROR(INDEX(I_COA!$F$6:$F$265,MATCH(Q3049,I_COA!$A$6:$A$265,0)),"?"))))</f>
        <v/>
      </c>
    </row>
    <row r="3050" customFormat="false" ht="15" hidden="false" customHeight="false" outlineLevel="0" collapsed="false">
      <c r="A3050" s="37"/>
      <c r="B3050" s="44"/>
      <c r="C3050" s="44"/>
      <c r="D3050" s="44"/>
      <c r="E3050" s="44"/>
      <c r="F3050" s="44"/>
      <c r="G3050" s="42"/>
      <c r="H3050" s="42"/>
      <c r="I3050" s="44"/>
      <c r="J3050" s="11" t="str">
        <f aca="false">IF(D3050="","",N(G3050)-N(H3050))</f>
        <v/>
      </c>
      <c r="K3050" s="34" t="str">
        <f aca="false">IF(D3050="","",IFERROR(INDEX(I_COA!$C$6:$C$265,MATCH(D3050,I_COA!$A$6:$A$265,0)),"AKUN BARU"))</f>
        <v/>
      </c>
      <c r="L3050" s="34" t="str">
        <f aca="false">IF(K3050="LabaRugi",INDEX(I_COA!$D$6:$D$265,MATCH(D3050,I_COA!$A$6:$A$265,0)),"")</f>
        <v/>
      </c>
      <c r="M3050" s="34" t="str">
        <f aca="false">IF(K3050="Neraca",INDEX(I_COA!$E$6:$E$265,MATCH(D3050,I_COA!$A$6:$A$265,0)),"")</f>
        <v/>
      </c>
      <c r="N3050" s="34" t="str">
        <f aca="false">IF(D3050="","",IFERROR(INDEX(I_COA!$G$6:$G$265,MATCH(D3050,I_COA!$A$6:$A$265,0)),"N"))</f>
        <v/>
      </c>
      <c r="O3050" s="11" t="str">
        <f aca="false">IF(N3050="N",ABS(J3050),"")</f>
        <v/>
      </c>
      <c r="P3050" s="18" t="str">
        <f aca="false">IF(N3050="N",B3050&amp;"|"&amp;ROUND(O3050,0),"")</f>
        <v/>
      </c>
      <c r="Q3050" s="18" t="str">
        <f aca="false">IF(N3050&lt;&gt;"Y","",IFERROR(INDEX($D$6:$D$4005,MATCH(B3050&amp;"|"&amp;ROUND(_xlfn.MAXIFS($O$6:$O$4005,$B$6:$B$4005,B3050,$N$6:$N$4005,"N"),0),$P$6:$P$4005,0)),"(tanpa lawan)"))</f>
        <v/>
      </c>
      <c r="R3050" s="44"/>
      <c r="S3050" s="9" t="str">
        <f aca="false">IF(N3050&lt;&gt;"Y","",IF(R3050&lt;&gt;"",R3050,IF(Q3050="(tanpa lawan)","Transfer antar rekening",IFERROR(INDEX(I_COA!$F$6:$F$265,MATCH(Q3050,I_COA!$A$6:$A$265,0)),"?"))))</f>
        <v/>
      </c>
    </row>
    <row r="3051" customFormat="false" ht="15" hidden="false" customHeight="false" outlineLevel="0" collapsed="false">
      <c r="A3051" s="37"/>
      <c r="B3051" s="44"/>
      <c r="C3051" s="44"/>
      <c r="D3051" s="44"/>
      <c r="E3051" s="44"/>
      <c r="F3051" s="44"/>
      <c r="G3051" s="42"/>
      <c r="H3051" s="42"/>
      <c r="I3051" s="44"/>
      <c r="J3051" s="11" t="str">
        <f aca="false">IF(D3051="","",N(G3051)-N(H3051))</f>
        <v/>
      </c>
      <c r="K3051" s="34" t="str">
        <f aca="false">IF(D3051="","",IFERROR(INDEX(I_COA!$C$6:$C$265,MATCH(D3051,I_COA!$A$6:$A$265,0)),"AKUN BARU"))</f>
        <v/>
      </c>
      <c r="L3051" s="34" t="str">
        <f aca="false">IF(K3051="LabaRugi",INDEX(I_COA!$D$6:$D$265,MATCH(D3051,I_COA!$A$6:$A$265,0)),"")</f>
        <v/>
      </c>
      <c r="M3051" s="34" t="str">
        <f aca="false">IF(K3051="Neraca",INDEX(I_COA!$E$6:$E$265,MATCH(D3051,I_COA!$A$6:$A$265,0)),"")</f>
        <v/>
      </c>
      <c r="N3051" s="34" t="str">
        <f aca="false">IF(D3051="","",IFERROR(INDEX(I_COA!$G$6:$G$265,MATCH(D3051,I_COA!$A$6:$A$265,0)),"N"))</f>
        <v/>
      </c>
      <c r="O3051" s="11" t="str">
        <f aca="false">IF(N3051="N",ABS(J3051),"")</f>
        <v/>
      </c>
      <c r="P3051" s="18" t="str">
        <f aca="false">IF(N3051="N",B3051&amp;"|"&amp;ROUND(O3051,0),"")</f>
        <v/>
      </c>
      <c r="Q3051" s="18" t="str">
        <f aca="false">IF(N3051&lt;&gt;"Y","",IFERROR(INDEX($D$6:$D$4005,MATCH(B3051&amp;"|"&amp;ROUND(_xlfn.MAXIFS($O$6:$O$4005,$B$6:$B$4005,B3051,$N$6:$N$4005,"N"),0),$P$6:$P$4005,0)),"(tanpa lawan)"))</f>
        <v/>
      </c>
      <c r="R3051" s="44"/>
      <c r="S3051" s="9" t="str">
        <f aca="false">IF(N3051&lt;&gt;"Y","",IF(R3051&lt;&gt;"",R3051,IF(Q3051="(tanpa lawan)","Transfer antar rekening",IFERROR(INDEX(I_COA!$F$6:$F$265,MATCH(Q3051,I_COA!$A$6:$A$265,0)),"?"))))</f>
        <v/>
      </c>
    </row>
    <row r="3052" customFormat="false" ht="15" hidden="false" customHeight="false" outlineLevel="0" collapsed="false">
      <c r="A3052" s="37"/>
      <c r="B3052" s="44"/>
      <c r="C3052" s="44"/>
      <c r="D3052" s="44"/>
      <c r="E3052" s="44"/>
      <c r="F3052" s="44"/>
      <c r="G3052" s="42"/>
      <c r="H3052" s="42"/>
      <c r="I3052" s="44"/>
      <c r="J3052" s="11" t="str">
        <f aca="false">IF(D3052="","",N(G3052)-N(H3052))</f>
        <v/>
      </c>
      <c r="K3052" s="34" t="str">
        <f aca="false">IF(D3052="","",IFERROR(INDEX(I_COA!$C$6:$C$265,MATCH(D3052,I_COA!$A$6:$A$265,0)),"AKUN BARU"))</f>
        <v/>
      </c>
      <c r="L3052" s="34" t="str">
        <f aca="false">IF(K3052="LabaRugi",INDEX(I_COA!$D$6:$D$265,MATCH(D3052,I_COA!$A$6:$A$265,0)),"")</f>
        <v/>
      </c>
      <c r="M3052" s="34" t="str">
        <f aca="false">IF(K3052="Neraca",INDEX(I_COA!$E$6:$E$265,MATCH(D3052,I_COA!$A$6:$A$265,0)),"")</f>
        <v/>
      </c>
      <c r="N3052" s="34" t="str">
        <f aca="false">IF(D3052="","",IFERROR(INDEX(I_COA!$G$6:$G$265,MATCH(D3052,I_COA!$A$6:$A$265,0)),"N"))</f>
        <v/>
      </c>
      <c r="O3052" s="11" t="str">
        <f aca="false">IF(N3052="N",ABS(J3052),"")</f>
        <v/>
      </c>
      <c r="P3052" s="18" t="str">
        <f aca="false">IF(N3052="N",B3052&amp;"|"&amp;ROUND(O3052,0),"")</f>
        <v/>
      </c>
      <c r="Q3052" s="18" t="str">
        <f aca="false">IF(N3052&lt;&gt;"Y","",IFERROR(INDEX($D$6:$D$4005,MATCH(B3052&amp;"|"&amp;ROUND(_xlfn.MAXIFS($O$6:$O$4005,$B$6:$B$4005,B3052,$N$6:$N$4005,"N"),0),$P$6:$P$4005,0)),"(tanpa lawan)"))</f>
        <v/>
      </c>
      <c r="R3052" s="44"/>
      <c r="S3052" s="9" t="str">
        <f aca="false">IF(N3052&lt;&gt;"Y","",IF(R3052&lt;&gt;"",R3052,IF(Q3052="(tanpa lawan)","Transfer antar rekening",IFERROR(INDEX(I_COA!$F$6:$F$265,MATCH(Q3052,I_COA!$A$6:$A$265,0)),"?"))))</f>
        <v/>
      </c>
    </row>
    <row r="3053" customFormat="false" ht="15" hidden="false" customHeight="false" outlineLevel="0" collapsed="false">
      <c r="A3053" s="37"/>
      <c r="B3053" s="44"/>
      <c r="C3053" s="44"/>
      <c r="D3053" s="44"/>
      <c r="E3053" s="44"/>
      <c r="F3053" s="44"/>
      <c r="G3053" s="42"/>
      <c r="H3053" s="42"/>
      <c r="I3053" s="44"/>
      <c r="J3053" s="11" t="str">
        <f aca="false">IF(D3053="","",N(G3053)-N(H3053))</f>
        <v/>
      </c>
      <c r="K3053" s="34" t="str">
        <f aca="false">IF(D3053="","",IFERROR(INDEX(I_COA!$C$6:$C$265,MATCH(D3053,I_COA!$A$6:$A$265,0)),"AKUN BARU"))</f>
        <v/>
      </c>
      <c r="L3053" s="34" t="str">
        <f aca="false">IF(K3053="LabaRugi",INDEX(I_COA!$D$6:$D$265,MATCH(D3053,I_COA!$A$6:$A$265,0)),"")</f>
        <v/>
      </c>
      <c r="M3053" s="34" t="str">
        <f aca="false">IF(K3053="Neraca",INDEX(I_COA!$E$6:$E$265,MATCH(D3053,I_COA!$A$6:$A$265,0)),"")</f>
        <v/>
      </c>
      <c r="N3053" s="34" t="str">
        <f aca="false">IF(D3053="","",IFERROR(INDEX(I_COA!$G$6:$G$265,MATCH(D3053,I_COA!$A$6:$A$265,0)),"N"))</f>
        <v/>
      </c>
      <c r="O3053" s="11" t="str">
        <f aca="false">IF(N3053="N",ABS(J3053),"")</f>
        <v/>
      </c>
      <c r="P3053" s="18" t="str">
        <f aca="false">IF(N3053="N",B3053&amp;"|"&amp;ROUND(O3053,0),"")</f>
        <v/>
      </c>
      <c r="Q3053" s="18" t="str">
        <f aca="false">IF(N3053&lt;&gt;"Y","",IFERROR(INDEX($D$6:$D$4005,MATCH(B3053&amp;"|"&amp;ROUND(_xlfn.MAXIFS($O$6:$O$4005,$B$6:$B$4005,B3053,$N$6:$N$4005,"N"),0),$P$6:$P$4005,0)),"(tanpa lawan)"))</f>
        <v/>
      </c>
      <c r="R3053" s="44"/>
      <c r="S3053" s="9" t="str">
        <f aca="false">IF(N3053&lt;&gt;"Y","",IF(R3053&lt;&gt;"",R3053,IF(Q3053="(tanpa lawan)","Transfer antar rekening",IFERROR(INDEX(I_COA!$F$6:$F$265,MATCH(Q3053,I_COA!$A$6:$A$265,0)),"?"))))</f>
        <v/>
      </c>
    </row>
    <row r="3054" customFormat="false" ht="15" hidden="false" customHeight="false" outlineLevel="0" collapsed="false">
      <c r="A3054" s="37"/>
      <c r="B3054" s="44"/>
      <c r="C3054" s="44"/>
      <c r="D3054" s="44"/>
      <c r="E3054" s="44"/>
      <c r="F3054" s="44"/>
      <c r="G3054" s="42"/>
      <c r="H3054" s="42"/>
      <c r="I3054" s="44"/>
      <c r="J3054" s="11" t="str">
        <f aca="false">IF(D3054="","",N(G3054)-N(H3054))</f>
        <v/>
      </c>
      <c r="K3054" s="34" t="str">
        <f aca="false">IF(D3054="","",IFERROR(INDEX(I_COA!$C$6:$C$265,MATCH(D3054,I_COA!$A$6:$A$265,0)),"AKUN BARU"))</f>
        <v/>
      </c>
      <c r="L3054" s="34" t="str">
        <f aca="false">IF(K3054="LabaRugi",INDEX(I_COA!$D$6:$D$265,MATCH(D3054,I_COA!$A$6:$A$265,0)),"")</f>
        <v/>
      </c>
      <c r="M3054" s="34" t="str">
        <f aca="false">IF(K3054="Neraca",INDEX(I_COA!$E$6:$E$265,MATCH(D3054,I_COA!$A$6:$A$265,0)),"")</f>
        <v/>
      </c>
      <c r="N3054" s="34" t="str">
        <f aca="false">IF(D3054="","",IFERROR(INDEX(I_COA!$G$6:$G$265,MATCH(D3054,I_COA!$A$6:$A$265,0)),"N"))</f>
        <v/>
      </c>
      <c r="O3054" s="11" t="str">
        <f aca="false">IF(N3054="N",ABS(J3054),"")</f>
        <v/>
      </c>
      <c r="P3054" s="18" t="str">
        <f aca="false">IF(N3054="N",B3054&amp;"|"&amp;ROUND(O3054,0),"")</f>
        <v/>
      </c>
      <c r="Q3054" s="18" t="str">
        <f aca="false">IF(N3054&lt;&gt;"Y","",IFERROR(INDEX($D$6:$D$4005,MATCH(B3054&amp;"|"&amp;ROUND(_xlfn.MAXIFS($O$6:$O$4005,$B$6:$B$4005,B3054,$N$6:$N$4005,"N"),0),$P$6:$P$4005,0)),"(tanpa lawan)"))</f>
        <v/>
      </c>
      <c r="R3054" s="44"/>
      <c r="S3054" s="9" t="str">
        <f aca="false">IF(N3054&lt;&gt;"Y","",IF(R3054&lt;&gt;"",R3054,IF(Q3054="(tanpa lawan)","Transfer antar rekening",IFERROR(INDEX(I_COA!$F$6:$F$265,MATCH(Q3054,I_COA!$A$6:$A$265,0)),"?"))))</f>
        <v/>
      </c>
    </row>
    <row r="3055" customFormat="false" ht="15" hidden="false" customHeight="false" outlineLevel="0" collapsed="false">
      <c r="A3055" s="37"/>
      <c r="B3055" s="44"/>
      <c r="C3055" s="44"/>
      <c r="D3055" s="44"/>
      <c r="E3055" s="44"/>
      <c r="F3055" s="44"/>
      <c r="G3055" s="42"/>
      <c r="H3055" s="42"/>
      <c r="I3055" s="44"/>
      <c r="J3055" s="11" t="str">
        <f aca="false">IF(D3055="","",N(G3055)-N(H3055))</f>
        <v/>
      </c>
      <c r="K3055" s="34" t="str">
        <f aca="false">IF(D3055="","",IFERROR(INDEX(I_COA!$C$6:$C$265,MATCH(D3055,I_COA!$A$6:$A$265,0)),"AKUN BARU"))</f>
        <v/>
      </c>
      <c r="L3055" s="34" t="str">
        <f aca="false">IF(K3055="LabaRugi",INDEX(I_COA!$D$6:$D$265,MATCH(D3055,I_COA!$A$6:$A$265,0)),"")</f>
        <v/>
      </c>
      <c r="M3055" s="34" t="str">
        <f aca="false">IF(K3055="Neraca",INDEX(I_COA!$E$6:$E$265,MATCH(D3055,I_COA!$A$6:$A$265,0)),"")</f>
        <v/>
      </c>
      <c r="N3055" s="34" t="str">
        <f aca="false">IF(D3055="","",IFERROR(INDEX(I_COA!$G$6:$G$265,MATCH(D3055,I_COA!$A$6:$A$265,0)),"N"))</f>
        <v/>
      </c>
      <c r="O3055" s="11" t="str">
        <f aca="false">IF(N3055="N",ABS(J3055),"")</f>
        <v/>
      </c>
      <c r="P3055" s="18" t="str">
        <f aca="false">IF(N3055="N",B3055&amp;"|"&amp;ROUND(O3055,0),"")</f>
        <v/>
      </c>
      <c r="Q3055" s="18" t="str">
        <f aca="false">IF(N3055&lt;&gt;"Y","",IFERROR(INDEX($D$6:$D$4005,MATCH(B3055&amp;"|"&amp;ROUND(_xlfn.MAXIFS($O$6:$O$4005,$B$6:$B$4005,B3055,$N$6:$N$4005,"N"),0),$P$6:$P$4005,0)),"(tanpa lawan)"))</f>
        <v/>
      </c>
      <c r="R3055" s="44"/>
      <c r="S3055" s="9" t="str">
        <f aca="false">IF(N3055&lt;&gt;"Y","",IF(R3055&lt;&gt;"",R3055,IF(Q3055="(tanpa lawan)","Transfer antar rekening",IFERROR(INDEX(I_COA!$F$6:$F$265,MATCH(Q3055,I_COA!$A$6:$A$265,0)),"?"))))</f>
        <v/>
      </c>
    </row>
    <row r="3056" customFormat="false" ht="15" hidden="false" customHeight="false" outlineLevel="0" collapsed="false">
      <c r="A3056" s="37"/>
      <c r="B3056" s="44"/>
      <c r="C3056" s="44"/>
      <c r="D3056" s="44"/>
      <c r="E3056" s="44"/>
      <c r="F3056" s="44"/>
      <c r="G3056" s="42"/>
      <c r="H3056" s="42"/>
      <c r="I3056" s="44"/>
      <c r="J3056" s="11" t="str">
        <f aca="false">IF(D3056="","",N(G3056)-N(H3056))</f>
        <v/>
      </c>
      <c r="K3056" s="34" t="str">
        <f aca="false">IF(D3056="","",IFERROR(INDEX(I_COA!$C$6:$C$265,MATCH(D3056,I_COA!$A$6:$A$265,0)),"AKUN BARU"))</f>
        <v/>
      </c>
      <c r="L3056" s="34" t="str">
        <f aca="false">IF(K3056="LabaRugi",INDEX(I_COA!$D$6:$D$265,MATCH(D3056,I_COA!$A$6:$A$265,0)),"")</f>
        <v/>
      </c>
      <c r="M3056" s="34" t="str">
        <f aca="false">IF(K3056="Neraca",INDEX(I_COA!$E$6:$E$265,MATCH(D3056,I_COA!$A$6:$A$265,0)),"")</f>
        <v/>
      </c>
      <c r="N3056" s="34" t="str">
        <f aca="false">IF(D3056="","",IFERROR(INDEX(I_COA!$G$6:$G$265,MATCH(D3056,I_COA!$A$6:$A$265,0)),"N"))</f>
        <v/>
      </c>
      <c r="O3056" s="11" t="str">
        <f aca="false">IF(N3056="N",ABS(J3056),"")</f>
        <v/>
      </c>
      <c r="P3056" s="18" t="str">
        <f aca="false">IF(N3056="N",B3056&amp;"|"&amp;ROUND(O3056,0),"")</f>
        <v/>
      </c>
      <c r="Q3056" s="18" t="str">
        <f aca="false">IF(N3056&lt;&gt;"Y","",IFERROR(INDEX($D$6:$D$4005,MATCH(B3056&amp;"|"&amp;ROUND(_xlfn.MAXIFS($O$6:$O$4005,$B$6:$B$4005,B3056,$N$6:$N$4005,"N"),0),$P$6:$P$4005,0)),"(tanpa lawan)"))</f>
        <v/>
      </c>
      <c r="R3056" s="44"/>
      <c r="S3056" s="9" t="str">
        <f aca="false">IF(N3056&lt;&gt;"Y","",IF(R3056&lt;&gt;"",R3056,IF(Q3056="(tanpa lawan)","Transfer antar rekening",IFERROR(INDEX(I_COA!$F$6:$F$265,MATCH(Q3056,I_COA!$A$6:$A$265,0)),"?"))))</f>
        <v/>
      </c>
    </row>
    <row r="3057" customFormat="false" ht="15" hidden="false" customHeight="false" outlineLevel="0" collapsed="false">
      <c r="A3057" s="37"/>
      <c r="B3057" s="44"/>
      <c r="C3057" s="44"/>
      <c r="D3057" s="44"/>
      <c r="E3057" s="44"/>
      <c r="F3057" s="44"/>
      <c r="G3057" s="42"/>
      <c r="H3057" s="42"/>
      <c r="I3057" s="44"/>
      <c r="J3057" s="11" t="str">
        <f aca="false">IF(D3057="","",N(G3057)-N(H3057))</f>
        <v/>
      </c>
      <c r="K3057" s="34" t="str">
        <f aca="false">IF(D3057="","",IFERROR(INDEX(I_COA!$C$6:$C$265,MATCH(D3057,I_COA!$A$6:$A$265,0)),"AKUN BARU"))</f>
        <v/>
      </c>
      <c r="L3057" s="34" t="str">
        <f aca="false">IF(K3057="LabaRugi",INDEX(I_COA!$D$6:$D$265,MATCH(D3057,I_COA!$A$6:$A$265,0)),"")</f>
        <v/>
      </c>
      <c r="M3057" s="34" t="str">
        <f aca="false">IF(K3057="Neraca",INDEX(I_COA!$E$6:$E$265,MATCH(D3057,I_COA!$A$6:$A$265,0)),"")</f>
        <v/>
      </c>
      <c r="N3057" s="34" t="str">
        <f aca="false">IF(D3057="","",IFERROR(INDEX(I_COA!$G$6:$G$265,MATCH(D3057,I_COA!$A$6:$A$265,0)),"N"))</f>
        <v/>
      </c>
      <c r="O3057" s="11" t="str">
        <f aca="false">IF(N3057="N",ABS(J3057),"")</f>
        <v/>
      </c>
      <c r="P3057" s="18" t="str">
        <f aca="false">IF(N3057="N",B3057&amp;"|"&amp;ROUND(O3057,0),"")</f>
        <v/>
      </c>
      <c r="Q3057" s="18" t="str">
        <f aca="false">IF(N3057&lt;&gt;"Y","",IFERROR(INDEX($D$6:$D$4005,MATCH(B3057&amp;"|"&amp;ROUND(_xlfn.MAXIFS($O$6:$O$4005,$B$6:$B$4005,B3057,$N$6:$N$4005,"N"),0),$P$6:$P$4005,0)),"(tanpa lawan)"))</f>
        <v/>
      </c>
      <c r="R3057" s="44"/>
      <c r="S3057" s="9" t="str">
        <f aca="false">IF(N3057&lt;&gt;"Y","",IF(R3057&lt;&gt;"",R3057,IF(Q3057="(tanpa lawan)","Transfer antar rekening",IFERROR(INDEX(I_COA!$F$6:$F$265,MATCH(Q3057,I_COA!$A$6:$A$265,0)),"?"))))</f>
        <v/>
      </c>
    </row>
    <row r="3058" customFormat="false" ht="15" hidden="false" customHeight="false" outlineLevel="0" collapsed="false">
      <c r="A3058" s="37"/>
      <c r="B3058" s="44"/>
      <c r="C3058" s="44"/>
      <c r="D3058" s="44"/>
      <c r="E3058" s="44"/>
      <c r="F3058" s="44"/>
      <c r="G3058" s="42"/>
      <c r="H3058" s="42"/>
      <c r="I3058" s="44"/>
      <c r="J3058" s="11" t="str">
        <f aca="false">IF(D3058="","",N(G3058)-N(H3058))</f>
        <v/>
      </c>
      <c r="K3058" s="34" t="str">
        <f aca="false">IF(D3058="","",IFERROR(INDEX(I_COA!$C$6:$C$265,MATCH(D3058,I_COA!$A$6:$A$265,0)),"AKUN BARU"))</f>
        <v/>
      </c>
      <c r="L3058" s="34" t="str">
        <f aca="false">IF(K3058="LabaRugi",INDEX(I_COA!$D$6:$D$265,MATCH(D3058,I_COA!$A$6:$A$265,0)),"")</f>
        <v/>
      </c>
      <c r="M3058" s="34" t="str">
        <f aca="false">IF(K3058="Neraca",INDEX(I_COA!$E$6:$E$265,MATCH(D3058,I_COA!$A$6:$A$265,0)),"")</f>
        <v/>
      </c>
      <c r="N3058" s="34" t="str">
        <f aca="false">IF(D3058="","",IFERROR(INDEX(I_COA!$G$6:$G$265,MATCH(D3058,I_COA!$A$6:$A$265,0)),"N"))</f>
        <v/>
      </c>
      <c r="O3058" s="11" t="str">
        <f aca="false">IF(N3058="N",ABS(J3058),"")</f>
        <v/>
      </c>
      <c r="P3058" s="18" t="str">
        <f aca="false">IF(N3058="N",B3058&amp;"|"&amp;ROUND(O3058,0),"")</f>
        <v/>
      </c>
      <c r="Q3058" s="18" t="str">
        <f aca="false">IF(N3058&lt;&gt;"Y","",IFERROR(INDEX($D$6:$D$4005,MATCH(B3058&amp;"|"&amp;ROUND(_xlfn.MAXIFS($O$6:$O$4005,$B$6:$B$4005,B3058,$N$6:$N$4005,"N"),0),$P$6:$P$4005,0)),"(tanpa lawan)"))</f>
        <v/>
      </c>
      <c r="R3058" s="44"/>
      <c r="S3058" s="9" t="str">
        <f aca="false">IF(N3058&lt;&gt;"Y","",IF(R3058&lt;&gt;"",R3058,IF(Q3058="(tanpa lawan)","Transfer antar rekening",IFERROR(INDEX(I_COA!$F$6:$F$265,MATCH(Q3058,I_COA!$A$6:$A$265,0)),"?"))))</f>
        <v/>
      </c>
    </row>
    <row r="3059" customFormat="false" ht="15" hidden="false" customHeight="false" outlineLevel="0" collapsed="false">
      <c r="A3059" s="37"/>
      <c r="B3059" s="44"/>
      <c r="C3059" s="44"/>
      <c r="D3059" s="44"/>
      <c r="E3059" s="44"/>
      <c r="F3059" s="44"/>
      <c r="G3059" s="42"/>
      <c r="H3059" s="42"/>
      <c r="I3059" s="44"/>
      <c r="J3059" s="11" t="str">
        <f aca="false">IF(D3059="","",N(G3059)-N(H3059))</f>
        <v/>
      </c>
      <c r="K3059" s="34" t="str">
        <f aca="false">IF(D3059="","",IFERROR(INDEX(I_COA!$C$6:$C$265,MATCH(D3059,I_COA!$A$6:$A$265,0)),"AKUN BARU"))</f>
        <v/>
      </c>
      <c r="L3059" s="34" t="str">
        <f aca="false">IF(K3059="LabaRugi",INDEX(I_COA!$D$6:$D$265,MATCH(D3059,I_COA!$A$6:$A$265,0)),"")</f>
        <v/>
      </c>
      <c r="M3059" s="34" t="str">
        <f aca="false">IF(K3059="Neraca",INDEX(I_COA!$E$6:$E$265,MATCH(D3059,I_COA!$A$6:$A$265,0)),"")</f>
        <v/>
      </c>
      <c r="N3059" s="34" t="str">
        <f aca="false">IF(D3059="","",IFERROR(INDEX(I_COA!$G$6:$G$265,MATCH(D3059,I_COA!$A$6:$A$265,0)),"N"))</f>
        <v/>
      </c>
      <c r="O3059" s="11" t="str">
        <f aca="false">IF(N3059="N",ABS(J3059),"")</f>
        <v/>
      </c>
      <c r="P3059" s="18" t="str">
        <f aca="false">IF(N3059="N",B3059&amp;"|"&amp;ROUND(O3059,0),"")</f>
        <v/>
      </c>
      <c r="Q3059" s="18" t="str">
        <f aca="false">IF(N3059&lt;&gt;"Y","",IFERROR(INDEX($D$6:$D$4005,MATCH(B3059&amp;"|"&amp;ROUND(_xlfn.MAXIFS($O$6:$O$4005,$B$6:$B$4005,B3059,$N$6:$N$4005,"N"),0),$P$6:$P$4005,0)),"(tanpa lawan)"))</f>
        <v/>
      </c>
      <c r="R3059" s="44"/>
      <c r="S3059" s="9" t="str">
        <f aca="false">IF(N3059&lt;&gt;"Y","",IF(R3059&lt;&gt;"",R3059,IF(Q3059="(tanpa lawan)","Transfer antar rekening",IFERROR(INDEX(I_COA!$F$6:$F$265,MATCH(Q3059,I_COA!$A$6:$A$265,0)),"?"))))</f>
        <v/>
      </c>
    </row>
    <row r="3060" customFormat="false" ht="15" hidden="false" customHeight="false" outlineLevel="0" collapsed="false">
      <c r="A3060" s="37"/>
      <c r="B3060" s="44"/>
      <c r="C3060" s="44"/>
      <c r="D3060" s="44"/>
      <c r="E3060" s="44"/>
      <c r="F3060" s="44"/>
      <c r="G3060" s="42"/>
      <c r="H3060" s="42"/>
      <c r="I3060" s="44"/>
      <c r="J3060" s="11" t="str">
        <f aca="false">IF(D3060="","",N(G3060)-N(H3060))</f>
        <v/>
      </c>
      <c r="K3060" s="34" t="str">
        <f aca="false">IF(D3060="","",IFERROR(INDEX(I_COA!$C$6:$C$265,MATCH(D3060,I_COA!$A$6:$A$265,0)),"AKUN BARU"))</f>
        <v/>
      </c>
      <c r="L3060" s="34" t="str">
        <f aca="false">IF(K3060="LabaRugi",INDEX(I_COA!$D$6:$D$265,MATCH(D3060,I_COA!$A$6:$A$265,0)),"")</f>
        <v/>
      </c>
      <c r="M3060" s="34" t="str">
        <f aca="false">IF(K3060="Neraca",INDEX(I_COA!$E$6:$E$265,MATCH(D3060,I_COA!$A$6:$A$265,0)),"")</f>
        <v/>
      </c>
      <c r="N3060" s="34" t="str">
        <f aca="false">IF(D3060="","",IFERROR(INDEX(I_COA!$G$6:$G$265,MATCH(D3060,I_COA!$A$6:$A$265,0)),"N"))</f>
        <v/>
      </c>
      <c r="O3060" s="11" t="str">
        <f aca="false">IF(N3060="N",ABS(J3060),"")</f>
        <v/>
      </c>
      <c r="P3060" s="18" t="str">
        <f aca="false">IF(N3060="N",B3060&amp;"|"&amp;ROUND(O3060,0),"")</f>
        <v/>
      </c>
      <c r="Q3060" s="18" t="str">
        <f aca="false">IF(N3060&lt;&gt;"Y","",IFERROR(INDEX($D$6:$D$4005,MATCH(B3060&amp;"|"&amp;ROUND(_xlfn.MAXIFS($O$6:$O$4005,$B$6:$B$4005,B3060,$N$6:$N$4005,"N"),0),$P$6:$P$4005,0)),"(tanpa lawan)"))</f>
        <v/>
      </c>
      <c r="R3060" s="44"/>
      <c r="S3060" s="9" t="str">
        <f aca="false">IF(N3060&lt;&gt;"Y","",IF(R3060&lt;&gt;"",R3060,IF(Q3060="(tanpa lawan)","Transfer antar rekening",IFERROR(INDEX(I_COA!$F$6:$F$265,MATCH(Q3060,I_COA!$A$6:$A$265,0)),"?"))))</f>
        <v/>
      </c>
    </row>
    <row r="3061" customFormat="false" ht="15" hidden="false" customHeight="false" outlineLevel="0" collapsed="false">
      <c r="A3061" s="37"/>
      <c r="B3061" s="44"/>
      <c r="C3061" s="44"/>
      <c r="D3061" s="44"/>
      <c r="E3061" s="44"/>
      <c r="F3061" s="44"/>
      <c r="G3061" s="42"/>
      <c r="H3061" s="42"/>
      <c r="I3061" s="44"/>
      <c r="J3061" s="11" t="str">
        <f aca="false">IF(D3061="","",N(G3061)-N(H3061))</f>
        <v/>
      </c>
      <c r="K3061" s="34" t="str">
        <f aca="false">IF(D3061="","",IFERROR(INDEX(I_COA!$C$6:$C$265,MATCH(D3061,I_COA!$A$6:$A$265,0)),"AKUN BARU"))</f>
        <v/>
      </c>
      <c r="L3061" s="34" t="str">
        <f aca="false">IF(K3061="LabaRugi",INDEX(I_COA!$D$6:$D$265,MATCH(D3061,I_COA!$A$6:$A$265,0)),"")</f>
        <v/>
      </c>
      <c r="M3061" s="34" t="str">
        <f aca="false">IF(K3061="Neraca",INDEX(I_COA!$E$6:$E$265,MATCH(D3061,I_COA!$A$6:$A$265,0)),"")</f>
        <v/>
      </c>
      <c r="N3061" s="34" t="str">
        <f aca="false">IF(D3061="","",IFERROR(INDEX(I_COA!$G$6:$G$265,MATCH(D3061,I_COA!$A$6:$A$265,0)),"N"))</f>
        <v/>
      </c>
      <c r="O3061" s="11" t="str">
        <f aca="false">IF(N3061="N",ABS(J3061),"")</f>
        <v/>
      </c>
      <c r="P3061" s="18" t="str">
        <f aca="false">IF(N3061="N",B3061&amp;"|"&amp;ROUND(O3061,0),"")</f>
        <v/>
      </c>
      <c r="Q3061" s="18" t="str">
        <f aca="false">IF(N3061&lt;&gt;"Y","",IFERROR(INDEX($D$6:$D$4005,MATCH(B3061&amp;"|"&amp;ROUND(_xlfn.MAXIFS($O$6:$O$4005,$B$6:$B$4005,B3061,$N$6:$N$4005,"N"),0),$P$6:$P$4005,0)),"(tanpa lawan)"))</f>
        <v/>
      </c>
      <c r="R3061" s="44"/>
      <c r="S3061" s="9" t="str">
        <f aca="false">IF(N3061&lt;&gt;"Y","",IF(R3061&lt;&gt;"",R3061,IF(Q3061="(tanpa lawan)","Transfer antar rekening",IFERROR(INDEX(I_COA!$F$6:$F$265,MATCH(Q3061,I_COA!$A$6:$A$265,0)),"?"))))</f>
        <v/>
      </c>
    </row>
    <row r="3062" customFormat="false" ht="15" hidden="false" customHeight="false" outlineLevel="0" collapsed="false">
      <c r="A3062" s="37"/>
      <c r="B3062" s="44"/>
      <c r="C3062" s="44"/>
      <c r="D3062" s="44"/>
      <c r="E3062" s="44"/>
      <c r="F3062" s="44"/>
      <c r="G3062" s="42"/>
      <c r="H3062" s="42"/>
      <c r="I3062" s="44"/>
      <c r="J3062" s="11" t="str">
        <f aca="false">IF(D3062="","",N(G3062)-N(H3062))</f>
        <v/>
      </c>
      <c r="K3062" s="34" t="str">
        <f aca="false">IF(D3062="","",IFERROR(INDEX(I_COA!$C$6:$C$265,MATCH(D3062,I_COA!$A$6:$A$265,0)),"AKUN BARU"))</f>
        <v/>
      </c>
      <c r="L3062" s="34" t="str">
        <f aca="false">IF(K3062="LabaRugi",INDEX(I_COA!$D$6:$D$265,MATCH(D3062,I_COA!$A$6:$A$265,0)),"")</f>
        <v/>
      </c>
      <c r="M3062" s="34" t="str">
        <f aca="false">IF(K3062="Neraca",INDEX(I_COA!$E$6:$E$265,MATCH(D3062,I_COA!$A$6:$A$265,0)),"")</f>
        <v/>
      </c>
      <c r="N3062" s="34" t="str">
        <f aca="false">IF(D3062="","",IFERROR(INDEX(I_COA!$G$6:$G$265,MATCH(D3062,I_COA!$A$6:$A$265,0)),"N"))</f>
        <v/>
      </c>
      <c r="O3062" s="11" t="str">
        <f aca="false">IF(N3062="N",ABS(J3062),"")</f>
        <v/>
      </c>
      <c r="P3062" s="18" t="str">
        <f aca="false">IF(N3062="N",B3062&amp;"|"&amp;ROUND(O3062,0),"")</f>
        <v/>
      </c>
      <c r="Q3062" s="18" t="str">
        <f aca="false">IF(N3062&lt;&gt;"Y","",IFERROR(INDEX($D$6:$D$4005,MATCH(B3062&amp;"|"&amp;ROUND(_xlfn.MAXIFS($O$6:$O$4005,$B$6:$B$4005,B3062,$N$6:$N$4005,"N"),0),$P$6:$P$4005,0)),"(tanpa lawan)"))</f>
        <v/>
      </c>
      <c r="R3062" s="44"/>
      <c r="S3062" s="9" t="str">
        <f aca="false">IF(N3062&lt;&gt;"Y","",IF(R3062&lt;&gt;"",R3062,IF(Q3062="(tanpa lawan)","Transfer antar rekening",IFERROR(INDEX(I_COA!$F$6:$F$265,MATCH(Q3062,I_COA!$A$6:$A$265,0)),"?"))))</f>
        <v/>
      </c>
    </row>
    <row r="3063" customFormat="false" ht="15" hidden="false" customHeight="false" outlineLevel="0" collapsed="false">
      <c r="A3063" s="37"/>
      <c r="B3063" s="44"/>
      <c r="C3063" s="44"/>
      <c r="D3063" s="44"/>
      <c r="E3063" s="44"/>
      <c r="F3063" s="44"/>
      <c r="G3063" s="42"/>
      <c r="H3063" s="42"/>
      <c r="I3063" s="44"/>
      <c r="J3063" s="11" t="str">
        <f aca="false">IF(D3063="","",N(G3063)-N(H3063))</f>
        <v/>
      </c>
      <c r="K3063" s="34" t="str">
        <f aca="false">IF(D3063="","",IFERROR(INDEX(I_COA!$C$6:$C$265,MATCH(D3063,I_COA!$A$6:$A$265,0)),"AKUN BARU"))</f>
        <v/>
      </c>
      <c r="L3063" s="34" t="str">
        <f aca="false">IF(K3063="LabaRugi",INDEX(I_COA!$D$6:$D$265,MATCH(D3063,I_COA!$A$6:$A$265,0)),"")</f>
        <v/>
      </c>
      <c r="M3063" s="34" t="str">
        <f aca="false">IF(K3063="Neraca",INDEX(I_COA!$E$6:$E$265,MATCH(D3063,I_COA!$A$6:$A$265,0)),"")</f>
        <v/>
      </c>
      <c r="N3063" s="34" t="str">
        <f aca="false">IF(D3063="","",IFERROR(INDEX(I_COA!$G$6:$G$265,MATCH(D3063,I_COA!$A$6:$A$265,0)),"N"))</f>
        <v/>
      </c>
      <c r="O3063" s="11" t="str">
        <f aca="false">IF(N3063="N",ABS(J3063),"")</f>
        <v/>
      </c>
      <c r="P3063" s="18" t="str">
        <f aca="false">IF(N3063="N",B3063&amp;"|"&amp;ROUND(O3063,0),"")</f>
        <v/>
      </c>
      <c r="Q3063" s="18" t="str">
        <f aca="false">IF(N3063&lt;&gt;"Y","",IFERROR(INDEX($D$6:$D$4005,MATCH(B3063&amp;"|"&amp;ROUND(_xlfn.MAXIFS($O$6:$O$4005,$B$6:$B$4005,B3063,$N$6:$N$4005,"N"),0),$P$6:$P$4005,0)),"(tanpa lawan)"))</f>
        <v/>
      </c>
      <c r="R3063" s="44"/>
      <c r="S3063" s="9" t="str">
        <f aca="false">IF(N3063&lt;&gt;"Y","",IF(R3063&lt;&gt;"",R3063,IF(Q3063="(tanpa lawan)","Transfer antar rekening",IFERROR(INDEX(I_COA!$F$6:$F$265,MATCH(Q3063,I_COA!$A$6:$A$265,0)),"?"))))</f>
        <v/>
      </c>
    </row>
    <row r="3064" customFormat="false" ht="15" hidden="false" customHeight="false" outlineLevel="0" collapsed="false">
      <c r="A3064" s="37"/>
      <c r="B3064" s="44"/>
      <c r="C3064" s="44"/>
      <c r="D3064" s="44"/>
      <c r="E3064" s="44"/>
      <c r="F3064" s="44"/>
      <c r="G3064" s="42"/>
      <c r="H3064" s="42"/>
      <c r="I3064" s="44"/>
      <c r="J3064" s="11" t="str">
        <f aca="false">IF(D3064="","",N(G3064)-N(H3064))</f>
        <v/>
      </c>
      <c r="K3064" s="34" t="str">
        <f aca="false">IF(D3064="","",IFERROR(INDEX(I_COA!$C$6:$C$265,MATCH(D3064,I_COA!$A$6:$A$265,0)),"AKUN BARU"))</f>
        <v/>
      </c>
      <c r="L3064" s="34" t="str">
        <f aca="false">IF(K3064="LabaRugi",INDEX(I_COA!$D$6:$D$265,MATCH(D3064,I_COA!$A$6:$A$265,0)),"")</f>
        <v/>
      </c>
      <c r="M3064" s="34" t="str">
        <f aca="false">IF(K3064="Neraca",INDEX(I_COA!$E$6:$E$265,MATCH(D3064,I_COA!$A$6:$A$265,0)),"")</f>
        <v/>
      </c>
      <c r="N3064" s="34" t="str">
        <f aca="false">IF(D3064="","",IFERROR(INDEX(I_COA!$G$6:$G$265,MATCH(D3064,I_COA!$A$6:$A$265,0)),"N"))</f>
        <v/>
      </c>
      <c r="O3064" s="11" t="str">
        <f aca="false">IF(N3064="N",ABS(J3064),"")</f>
        <v/>
      </c>
      <c r="P3064" s="18" t="str">
        <f aca="false">IF(N3064="N",B3064&amp;"|"&amp;ROUND(O3064,0),"")</f>
        <v/>
      </c>
      <c r="Q3064" s="18" t="str">
        <f aca="false">IF(N3064&lt;&gt;"Y","",IFERROR(INDEX($D$6:$D$4005,MATCH(B3064&amp;"|"&amp;ROUND(_xlfn.MAXIFS($O$6:$O$4005,$B$6:$B$4005,B3064,$N$6:$N$4005,"N"),0),$P$6:$P$4005,0)),"(tanpa lawan)"))</f>
        <v/>
      </c>
      <c r="R3064" s="44"/>
      <c r="S3064" s="9" t="str">
        <f aca="false">IF(N3064&lt;&gt;"Y","",IF(R3064&lt;&gt;"",R3064,IF(Q3064="(tanpa lawan)","Transfer antar rekening",IFERROR(INDEX(I_COA!$F$6:$F$265,MATCH(Q3064,I_COA!$A$6:$A$265,0)),"?"))))</f>
        <v/>
      </c>
    </row>
    <row r="3065" customFormat="false" ht="15" hidden="false" customHeight="false" outlineLevel="0" collapsed="false">
      <c r="A3065" s="37"/>
      <c r="B3065" s="44"/>
      <c r="C3065" s="44"/>
      <c r="D3065" s="44"/>
      <c r="E3065" s="44"/>
      <c r="F3065" s="44"/>
      <c r="G3065" s="42"/>
      <c r="H3065" s="42"/>
      <c r="I3065" s="44"/>
      <c r="J3065" s="11" t="str">
        <f aca="false">IF(D3065="","",N(G3065)-N(H3065))</f>
        <v/>
      </c>
      <c r="K3065" s="34" t="str">
        <f aca="false">IF(D3065="","",IFERROR(INDEX(I_COA!$C$6:$C$265,MATCH(D3065,I_COA!$A$6:$A$265,0)),"AKUN BARU"))</f>
        <v/>
      </c>
      <c r="L3065" s="34" t="str">
        <f aca="false">IF(K3065="LabaRugi",INDEX(I_COA!$D$6:$D$265,MATCH(D3065,I_COA!$A$6:$A$265,0)),"")</f>
        <v/>
      </c>
      <c r="M3065" s="34" t="str">
        <f aca="false">IF(K3065="Neraca",INDEX(I_COA!$E$6:$E$265,MATCH(D3065,I_COA!$A$6:$A$265,0)),"")</f>
        <v/>
      </c>
      <c r="N3065" s="34" t="str">
        <f aca="false">IF(D3065="","",IFERROR(INDEX(I_COA!$G$6:$G$265,MATCH(D3065,I_COA!$A$6:$A$265,0)),"N"))</f>
        <v/>
      </c>
      <c r="O3065" s="11" t="str">
        <f aca="false">IF(N3065="N",ABS(J3065),"")</f>
        <v/>
      </c>
      <c r="P3065" s="18" t="str">
        <f aca="false">IF(N3065="N",B3065&amp;"|"&amp;ROUND(O3065,0),"")</f>
        <v/>
      </c>
      <c r="Q3065" s="18" t="str">
        <f aca="false">IF(N3065&lt;&gt;"Y","",IFERROR(INDEX($D$6:$D$4005,MATCH(B3065&amp;"|"&amp;ROUND(_xlfn.MAXIFS($O$6:$O$4005,$B$6:$B$4005,B3065,$N$6:$N$4005,"N"),0),$P$6:$P$4005,0)),"(tanpa lawan)"))</f>
        <v/>
      </c>
      <c r="R3065" s="44"/>
      <c r="S3065" s="9" t="str">
        <f aca="false">IF(N3065&lt;&gt;"Y","",IF(R3065&lt;&gt;"",R3065,IF(Q3065="(tanpa lawan)","Transfer antar rekening",IFERROR(INDEX(I_COA!$F$6:$F$265,MATCH(Q3065,I_COA!$A$6:$A$265,0)),"?"))))</f>
        <v/>
      </c>
    </row>
    <row r="3066" customFormat="false" ht="15" hidden="false" customHeight="false" outlineLevel="0" collapsed="false">
      <c r="A3066" s="37"/>
      <c r="B3066" s="44"/>
      <c r="C3066" s="44"/>
      <c r="D3066" s="44"/>
      <c r="E3066" s="44"/>
      <c r="F3066" s="44"/>
      <c r="G3066" s="42"/>
      <c r="H3066" s="42"/>
      <c r="I3066" s="44"/>
      <c r="J3066" s="11" t="str">
        <f aca="false">IF(D3066="","",N(G3066)-N(H3066))</f>
        <v/>
      </c>
      <c r="K3066" s="34" t="str">
        <f aca="false">IF(D3066="","",IFERROR(INDEX(I_COA!$C$6:$C$265,MATCH(D3066,I_COA!$A$6:$A$265,0)),"AKUN BARU"))</f>
        <v/>
      </c>
      <c r="L3066" s="34" t="str">
        <f aca="false">IF(K3066="LabaRugi",INDEX(I_COA!$D$6:$D$265,MATCH(D3066,I_COA!$A$6:$A$265,0)),"")</f>
        <v/>
      </c>
      <c r="M3066" s="34" t="str">
        <f aca="false">IF(K3066="Neraca",INDEX(I_COA!$E$6:$E$265,MATCH(D3066,I_COA!$A$6:$A$265,0)),"")</f>
        <v/>
      </c>
      <c r="N3066" s="34" t="str">
        <f aca="false">IF(D3066="","",IFERROR(INDEX(I_COA!$G$6:$G$265,MATCH(D3066,I_COA!$A$6:$A$265,0)),"N"))</f>
        <v/>
      </c>
      <c r="O3066" s="11" t="str">
        <f aca="false">IF(N3066="N",ABS(J3066),"")</f>
        <v/>
      </c>
      <c r="P3066" s="18" t="str">
        <f aca="false">IF(N3066="N",B3066&amp;"|"&amp;ROUND(O3066,0),"")</f>
        <v/>
      </c>
      <c r="Q3066" s="18" t="str">
        <f aca="false">IF(N3066&lt;&gt;"Y","",IFERROR(INDEX($D$6:$D$4005,MATCH(B3066&amp;"|"&amp;ROUND(_xlfn.MAXIFS($O$6:$O$4005,$B$6:$B$4005,B3066,$N$6:$N$4005,"N"),0),$P$6:$P$4005,0)),"(tanpa lawan)"))</f>
        <v/>
      </c>
      <c r="R3066" s="44"/>
      <c r="S3066" s="9" t="str">
        <f aca="false">IF(N3066&lt;&gt;"Y","",IF(R3066&lt;&gt;"",R3066,IF(Q3066="(tanpa lawan)","Transfer antar rekening",IFERROR(INDEX(I_COA!$F$6:$F$265,MATCH(Q3066,I_COA!$A$6:$A$265,0)),"?"))))</f>
        <v/>
      </c>
    </row>
    <row r="3067" customFormat="false" ht="15" hidden="false" customHeight="false" outlineLevel="0" collapsed="false">
      <c r="A3067" s="37"/>
      <c r="B3067" s="44"/>
      <c r="C3067" s="44"/>
      <c r="D3067" s="44"/>
      <c r="E3067" s="44"/>
      <c r="F3067" s="44"/>
      <c r="G3067" s="42"/>
      <c r="H3067" s="42"/>
      <c r="I3067" s="44"/>
      <c r="J3067" s="11" t="str">
        <f aca="false">IF(D3067="","",N(G3067)-N(H3067))</f>
        <v/>
      </c>
      <c r="K3067" s="34" t="str">
        <f aca="false">IF(D3067="","",IFERROR(INDEX(I_COA!$C$6:$C$265,MATCH(D3067,I_COA!$A$6:$A$265,0)),"AKUN BARU"))</f>
        <v/>
      </c>
      <c r="L3067" s="34" t="str">
        <f aca="false">IF(K3067="LabaRugi",INDEX(I_COA!$D$6:$D$265,MATCH(D3067,I_COA!$A$6:$A$265,0)),"")</f>
        <v/>
      </c>
      <c r="M3067" s="34" t="str">
        <f aca="false">IF(K3067="Neraca",INDEX(I_COA!$E$6:$E$265,MATCH(D3067,I_COA!$A$6:$A$265,0)),"")</f>
        <v/>
      </c>
      <c r="N3067" s="34" t="str">
        <f aca="false">IF(D3067="","",IFERROR(INDEX(I_COA!$G$6:$G$265,MATCH(D3067,I_COA!$A$6:$A$265,0)),"N"))</f>
        <v/>
      </c>
      <c r="O3067" s="11" t="str">
        <f aca="false">IF(N3067="N",ABS(J3067),"")</f>
        <v/>
      </c>
      <c r="P3067" s="18" t="str">
        <f aca="false">IF(N3067="N",B3067&amp;"|"&amp;ROUND(O3067,0),"")</f>
        <v/>
      </c>
      <c r="Q3067" s="18" t="str">
        <f aca="false">IF(N3067&lt;&gt;"Y","",IFERROR(INDEX($D$6:$D$4005,MATCH(B3067&amp;"|"&amp;ROUND(_xlfn.MAXIFS($O$6:$O$4005,$B$6:$B$4005,B3067,$N$6:$N$4005,"N"),0),$P$6:$P$4005,0)),"(tanpa lawan)"))</f>
        <v/>
      </c>
      <c r="R3067" s="44"/>
      <c r="S3067" s="9" t="str">
        <f aca="false">IF(N3067&lt;&gt;"Y","",IF(R3067&lt;&gt;"",R3067,IF(Q3067="(tanpa lawan)","Transfer antar rekening",IFERROR(INDEX(I_COA!$F$6:$F$265,MATCH(Q3067,I_COA!$A$6:$A$265,0)),"?"))))</f>
        <v/>
      </c>
    </row>
    <row r="3068" customFormat="false" ht="15" hidden="false" customHeight="false" outlineLevel="0" collapsed="false">
      <c r="A3068" s="37"/>
      <c r="B3068" s="44"/>
      <c r="C3068" s="44"/>
      <c r="D3068" s="44"/>
      <c r="E3068" s="44"/>
      <c r="F3068" s="44"/>
      <c r="G3068" s="42"/>
      <c r="H3068" s="42"/>
      <c r="I3068" s="44"/>
      <c r="J3068" s="11" t="str">
        <f aca="false">IF(D3068="","",N(G3068)-N(H3068))</f>
        <v/>
      </c>
      <c r="K3068" s="34" t="str">
        <f aca="false">IF(D3068="","",IFERROR(INDEX(I_COA!$C$6:$C$265,MATCH(D3068,I_COA!$A$6:$A$265,0)),"AKUN BARU"))</f>
        <v/>
      </c>
      <c r="L3068" s="34" t="str">
        <f aca="false">IF(K3068="LabaRugi",INDEX(I_COA!$D$6:$D$265,MATCH(D3068,I_COA!$A$6:$A$265,0)),"")</f>
        <v/>
      </c>
      <c r="M3068" s="34" t="str">
        <f aca="false">IF(K3068="Neraca",INDEX(I_COA!$E$6:$E$265,MATCH(D3068,I_COA!$A$6:$A$265,0)),"")</f>
        <v/>
      </c>
      <c r="N3068" s="34" t="str">
        <f aca="false">IF(D3068="","",IFERROR(INDEX(I_COA!$G$6:$G$265,MATCH(D3068,I_COA!$A$6:$A$265,0)),"N"))</f>
        <v/>
      </c>
      <c r="O3068" s="11" t="str">
        <f aca="false">IF(N3068="N",ABS(J3068),"")</f>
        <v/>
      </c>
      <c r="P3068" s="18" t="str">
        <f aca="false">IF(N3068="N",B3068&amp;"|"&amp;ROUND(O3068,0),"")</f>
        <v/>
      </c>
      <c r="Q3068" s="18" t="str">
        <f aca="false">IF(N3068&lt;&gt;"Y","",IFERROR(INDEX($D$6:$D$4005,MATCH(B3068&amp;"|"&amp;ROUND(_xlfn.MAXIFS($O$6:$O$4005,$B$6:$B$4005,B3068,$N$6:$N$4005,"N"),0),$P$6:$P$4005,0)),"(tanpa lawan)"))</f>
        <v/>
      </c>
      <c r="R3068" s="44"/>
      <c r="S3068" s="9" t="str">
        <f aca="false">IF(N3068&lt;&gt;"Y","",IF(R3068&lt;&gt;"",R3068,IF(Q3068="(tanpa lawan)","Transfer antar rekening",IFERROR(INDEX(I_COA!$F$6:$F$265,MATCH(Q3068,I_COA!$A$6:$A$265,0)),"?"))))</f>
        <v/>
      </c>
    </row>
    <row r="3069" customFormat="false" ht="15" hidden="false" customHeight="false" outlineLevel="0" collapsed="false">
      <c r="A3069" s="37"/>
      <c r="B3069" s="44"/>
      <c r="C3069" s="44"/>
      <c r="D3069" s="44"/>
      <c r="E3069" s="44"/>
      <c r="F3069" s="44"/>
      <c r="G3069" s="42"/>
      <c r="H3069" s="42"/>
      <c r="I3069" s="44"/>
      <c r="J3069" s="11" t="str">
        <f aca="false">IF(D3069="","",N(G3069)-N(H3069))</f>
        <v/>
      </c>
      <c r="K3069" s="34" t="str">
        <f aca="false">IF(D3069="","",IFERROR(INDEX(I_COA!$C$6:$C$265,MATCH(D3069,I_COA!$A$6:$A$265,0)),"AKUN BARU"))</f>
        <v/>
      </c>
      <c r="L3069" s="34" t="str">
        <f aca="false">IF(K3069="LabaRugi",INDEX(I_COA!$D$6:$D$265,MATCH(D3069,I_COA!$A$6:$A$265,0)),"")</f>
        <v/>
      </c>
      <c r="M3069" s="34" t="str">
        <f aca="false">IF(K3069="Neraca",INDEX(I_COA!$E$6:$E$265,MATCH(D3069,I_COA!$A$6:$A$265,0)),"")</f>
        <v/>
      </c>
      <c r="N3069" s="34" t="str">
        <f aca="false">IF(D3069="","",IFERROR(INDEX(I_COA!$G$6:$G$265,MATCH(D3069,I_COA!$A$6:$A$265,0)),"N"))</f>
        <v/>
      </c>
      <c r="O3069" s="11" t="str">
        <f aca="false">IF(N3069="N",ABS(J3069),"")</f>
        <v/>
      </c>
      <c r="P3069" s="18" t="str">
        <f aca="false">IF(N3069="N",B3069&amp;"|"&amp;ROUND(O3069,0),"")</f>
        <v/>
      </c>
      <c r="Q3069" s="18" t="str">
        <f aca="false">IF(N3069&lt;&gt;"Y","",IFERROR(INDEX($D$6:$D$4005,MATCH(B3069&amp;"|"&amp;ROUND(_xlfn.MAXIFS($O$6:$O$4005,$B$6:$B$4005,B3069,$N$6:$N$4005,"N"),0),$P$6:$P$4005,0)),"(tanpa lawan)"))</f>
        <v/>
      </c>
      <c r="R3069" s="44"/>
      <c r="S3069" s="9" t="str">
        <f aca="false">IF(N3069&lt;&gt;"Y","",IF(R3069&lt;&gt;"",R3069,IF(Q3069="(tanpa lawan)","Transfer antar rekening",IFERROR(INDEX(I_COA!$F$6:$F$265,MATCH(Q3069,I_COA!$A$6:$A$265,0)),"?"))))</f>
        <v/>
      </c>
    </row>
    <row r="3070" customFormat="false" ht="15" hidden="false" customHeight="false" outlineLevel="0" collapsed="false">
      <c r="A3070" s="37"/>
      <c r="B3070" s="44"/>
      <c r="C3070" s="44"/>
      <c r="D3070" s="44"/>
      <c r="E3070" s="44"/>
      <c r="F3070" s="44"/>
      <c r="G3070" s="42"/>
      <c r="H3070" s="42"/>
      <c r="I3070" s="44"/>
      <c r="J3070" s="11" t="str">
        <f aca="false">IF(D3070="","",N(G3070)-N(H3070))</f>
        <v/>
      </c>
      <c r="K3070" s="34" t="str">
        <f aca="false">IF(D3070="","",IFERROR(INDEX(I_COA!$C$6:$C$265,MATCH(D3070,I_COA!$A$6:$A$265,0)),"AKUN BARU"))</f>
        <v/>
      </c>
      <c r="L3070" s="34" t="str">
        <f aca="false">IF(K3070="LabaRugi",INDEX(I_COA!$D$6:$D$265,MATCH(D3070,I_COA!$A$6:$A$265,0)),"")</f>
        <v/>
      </c>
      <c r="M3070" s="34" t="str">
        <f aca="false">IF(K3070="Neraca",INDEX(I_COA!$E$6:$E$265,MATCH(D3070,I_COA!$A$6:$A$265,0)),"")</f>
        <v/>
      </c>
      <c r="N3070" s="34" t="str">
        <f aca="false">IF(D3070="","",IFERROR(INDEX(I_COA!$G$6:$G$265,MATCH(D3070,I_COA!$A$6:$A$265,0)),"N"))</f>
        <v/>
      </c>
      <c r="O3070" s="11" t="str">
        <f aca="false">IF(N3070="N",ABS(J3070),"")</f>
        <v/>
      </c>
      <c r="P3070" s="18" t="str">
        <f aca="false">IF(N3070="N",B3070&amp;"|"&amp;ROUND(O3070,0),"")</f>
        <v/>
      </c>
      <c r="Q3070" s="18" t="str">
        <f aca="false">IF(N3070&lt;&gt;"Y","",IFERROR(INDEX($D$6:$D$4005,MATCH(B3070&amp;"|"&amp;ROUND(_xlfn.MAXIFS($O$6:$O$4005,$B$6:$B$4005,B3070,$N$6:$N$4005,"N"),0),$P$6:$P$4005,0)),"(tanpa lawan)"))</f>
        <v/>
      </c>
      <c r="R3070" s="44"/>
      <c r="S3070" s="9" t="str">
        <f aca="false">IF(N3070&lt;&gt;"Y","",IF(R3070&lt;&gt;"",R3070,IF(Q3070="(tanpa lawan)","Transfer antar rekening",IFERROR(INDEX(I_COA!$F$6:$F$265,MATCH(Q3070,I_COA!$A$6:$A$265,0)),"?"))))</f>
        <v/>
      </c>
    </row>
    <row r="3071" customFormat="false" ht="15" hidden="false" customHeight="false" outlineLevel="0" collapsed="false">
      <c r="A3071" s="37"/>
      <c r="B3071" s="44"/>
      <c r="C3071" s="44"/>
      <c r="D3071" s="44"/>
      <c r="E3071" s="44"/>
      <c r="F3071" s="44"/>
      <c r="G3071" s="42"/>
      <c r="H3071" s="42"/>
      <c r="I3071" s="44"/>
      <c r="J3071" s="11" t="str">
        <f aca="false">IF(D3071="","",N(G3071)-N(H3071))</f>
        <v/>
      </c>
      <c r="K3071" s="34" t="str">
        <f aca="false">IF(D3071="","",IFERROR(INDEX(I_COA!$C$6:$C$265,MATCH(D3071,I_COA!$A$6:$A$265,0)),"AKUN BARU"))</f>
        <v/>
      </c>
      <c r="L3071" s="34" t="str">
        <f aca="false">IF(K3071="LabaRugi",INDEX(I_COA!$D$6:$D$265,MATCH(D3071,I_COA!$A$6:$A$265,0)),"")</f>
        <v/>
      </c>
      <c r="M3071" s="34" t="str">
        <f aca="false">IF(K3071="Neraca",INDEX(I_COA!$E$6:$E$265,MATCH(D3071,I_COA!$A$6:$A$265,0)),"")</f>
        <v/>
      </c>
      <c r="N3071" s="34" t="str">
        <f aca="false">IF(D3071="","",IFERROR(INDEX(I_COA!$G$6:$G$265,MATCH(D3071,I_COA!$A$6:$A$265,0)),"N"))</f>
        <v/>
      </c>
      <c r="O3071" s="11" t="str">
        <f aca="false">IF(N3071="N",ABS(J3071),"")</f>
        <v/>
      </c>
      <c r="P3071" s="18" t="str">
        <f aca="false">IF(N3071="N",B3071&amp;"|"&amp;ROUND(O3071,0),"")</f>
        <v/>
      </c>
      <c r="Q3071" s="18" t="str">
        <f aca="false">IF(N3071&lt;&gt;"Y","",IFERROR(INDEX($D$6:$D$4005,MATCH(B3071&amp;"|"&amp;ROUND(_xlfn.MAXIFS($O$6:$O$4005,$B$6:$B$4005,B3071,$N$6:$N$4005,"N"),0),$P$6:$P$4005,0)),"(tanpa lawan)"))</f>
        <v/>
      </c>
      <c r="R3071" s="44"/>
      <c r="S3071" s="9" t="str">
        <f aca="false">IF(N3071&lt;&gt;"Y","",IF(R3071&lt;&gt;"",R3071,IF(Q3071="(tanpa lawan)","Transfer antar rekening",IFERROR(INDEX(I_COA!$F$6:$F$265,MATCH(Q3071,I_COA!$A$6:$A$265,0)),"?"))))</f>
        <v/>
      </c>
    </row>
    <row r="3072" customFormat="false" ht="15" hidden="false" customHeight="false" outlineLevel="0" collapsed="false">
      <c r="A3072" s="37"/>
      <c r="B3072" s="44"/>
      <c r="C3072" s="44"/>
      <c r="D3072" s="44"/>
      <c r="E3072" s="44"/>
      <c r="F3072" s="44"/>
      <c r="G3072" s="42"/>
      <c r="H3072" s="42"/>
      <c r="I3072" s="44"/>
      <c r="J3072" s="11" t="str">
        <f aca="false">IF(D3072="","",N(G3072)-N(H3072))</f>
        <v/>
      </c>
      <c r="K3072" s="34" t="str">
        <f aca="false">IF(D3072="","",IFERROR(INDEX(I_COA!$C$6:$C$265,MATCH(D3072,I_COA!$A$6:$A$265,0)),"AKUN BARU"))</f>
        <v/>
      </c>
      <c r="L3072" s="34" t="str">
        <f aca="false">IF(K3072="LabaRugi",INDEX(I_COA!$D$6:$D$265,MATCH(D3072,I_COA!$A$6:$A$265,0)),"")</f>
        <v/>
      </c>
      <c r="M3072" s="34" t="str">
        <f aca="false">IF(K3072="Neraca",INDEX(I_COA!$E$6:$E$265,MATCH(D3072,I_COA!$A$6:$A$265,0)),"")</f>
        <v/>
      </c>
      <c r="N3072" s="34" t="str">
        <f aca="false">IF(D3072="","",IFERROR(INDEX(I_COA!$G$6:$G$265,MATCH(D3072,I_COA!$A$6:$A$265,0)),"N"))</f>
        <v/>
      </c>
      <c r="O3072" s="11" t="str">
        <f aca="false">IF(N3072="N",ABS(J3072),"")</f>
        <v/>
      </c>
      <c r="P3072" s="18" t="str">
        <f aca="false">IF(N3072="N",B3072&amp;"|"&amp;ROUND(O3072,0),"")</f>
        <v/>
      </c>
      <c r="Q3072" s="18" t="str">
        <f aca="false">IF(N3072&lt;&gt;"Y","",IFERROR(INDEX($D$6:$D$4005,MATCH(B3072&amp;"|"&amp;ROUND(_xlfn.MAXIFS($O$6:$O$4005,$B$6:$B$4005,B3072,$N$6:$N$4005,"N"),0),$P$6:$P$4005,0)),"(tanpa lawan)"))</f>
        <v/>
      </c>
      <c r="R3072" s="44"/>
      <c r="S3072" s="9" t="str">
        <f aca="false">IF(N3072&lt;&gt;"Y","",IF(R3072&lt;&gt;"",R3072,IF(Q3072="(tanpa lawan)","Transfer antar rekening",IFERROR(INDEX(I_COA!$F$6:$F$265,MATCH(Q3072,I_COA!$A$6:$A$265,0)),"?"))))</f>
        <v/>
      </c>
    </row>
    <row r="3073" customFormat="false" ht="15" hidden="false" customHeight="false" outlineLevel="0" collapsed="false">
      <c r="A3073" s="37"/>
      <c r="B3073" s="44"/>
      <c r="C3073" s="44"/>
      <c r="D3073" s="44"/>
      <c r="E3073" s="44"/>
      <c r="F3073" s="44"/>
      <c r="G3073" s="42"/>
      <c r="H3073" s="42"/>
      <c r="I3073" s="44"/>
      <c r="J3073" s="11" t="str">
        <f aca="false">IF(D3073="","",N(G3073)-N(H3073))</f>
        <v/>
      </c>
      <c r="K3073" s="34" t="str">
        <f aca="false">IF(D3073="","",IFERROR(INDEX(I_COA!$C$6:$C$265,MATCH(D3073,I_COA!$A$6:$A$265,0)),"AKUN BARU"))</f>
        <v/>
      </c>
      <c r="L3073" s="34" t="str">
        <f aca="false">IF(K3073="LabaRugi",INDEX(I_COA!$D$6:$D$265,MATCH(D3073,I_COA!$A$6:$A$265,0)),"")</f>
        <v/>
      </c>
      <c r="M3073" s="34" t="str">
        <f aca="false">IF(K3073="Neraca",INDEX(I_COA!$E$6:$E$265,MATCH(D3073,I_COA!$A$6:$A$265,0)),"")</f>
        <v/>
      </c>
      <c r="N3073" s="34" t="str">
        <f aca="false">IF(D3073="","",IFERROR(INDEX(I_COA!$G$6:$G$265,MATCH(D3073,I_COA!$A$6:$A$265,0)),"N"))</f>
        <v/>
      </c>
      <c r="O3073" s="11" t="str">
        <f aca="false">IF(N3073="N",ABS(J3073),"")</f>
        <v/>
      </c>
      <c r="P3073" s="18" t="str">
        <f aca="false">IF(N3073="N",B3073&amp;"|"&amp;ROUND(O3073,0),"")</f>
        <v/>
      </c>
      <c r="Q3073" s="18" t="str">
        <f aca="false">IF(N3073&lt;&gt;"Y","",IFERROR(INDEX($D$6:$D$4005,MATCH(B3073&amp;"|"&amp;ROUND(_xlfn.MAXIFS($O$6:$O$4005,$B$6:$B$4005,B3073,$N$6:$N$4005,"N"),0),$P$6:$P$4005,0)),"(tanpa lawan)"))</f>
        <v/>
      </c>
      <c r="R3073" s="44"/>
      <c r="S3073" s="9" t="str">
        <f aca="false">IF(N3073&lt;&gt;"Y","",IF(R3073&lt;&gt;"",R3073,IF(Q3073="(tanpa lawan)","Transfer antar rekening",IFERROR(INDEX(I_COA!$F$6:$F$265,MATCH(Q3073,I_COA!$A$6:$A$265,0)),"?"))))</f>
        <v/>
      </c>
    </row>
    <row r="3074" customFormat="false" ht="15" hidden="false" customHeight="false" outlineLevel="0" collapsed="false">
      <c r="A3074" s="37"/>
      <c r="B3074" s="44"/>
      <c r="C3074" s="44"/>
      <c r="D3074" s="44"/>
      <c r="E3074" s="44"/>
      <c r="F3074" s="44"/>
      <c r="G3074" s="42"/>
      <c r="H3074" s="42"/>
      <c r="I3074" s="44"/>
      <c r="J3074" s="11" t="str">
        <f aca="false">IF(D3074="","",N(G3074)-N(H3074))</f>
        <v/>
      </c>
      <c r="K3074" s="34" t="str">
        <f aca="false">IF(D3074="","",IFERROR(INDEX(I_COA!$C$6:$C$265,MATCH(D3074,I_COA!$A$6:$A$265,0)),"AKUN BARU"))</f>
        <v/>
      </c>
      <c r="L3074" s="34" t="str">
        <f aca="false">IF(K3074="LabaRugi",INDEX(I_COA!$D$6:$D$265,MATCH(D3074,I_COA!$A$6:$A$265,0)),"")</f>
        <v/>
      </c>
      <c r="M3074" s="34" t="str">
        <f aca="false">IF(K3074="Neraca",INDEX(I_COA!$E$6:$E$265,MATCH(D3074,I_COA!$A$6:$A$265,0)),"")</f>
        <v/>
      </c>
      <c r="N3074" s="34" t="str">
        <f aca="false">IF(D3074="","",IFERROR(INDEX(I_COA!$G$6:$G$265,MATCH(D3074,I_COA!$A$6:$A$265,0)),"N"))</f>
        <v/>
      </c>
      <c r="O3074" s="11" t="str">
        <f aca="false">IF(N3074="N",ABS(J3074),"")</f>
        <v/>
      </c>
      <c r="P3074" s="18" t="str">
        <f aca="false">IF(N3074="N",B3074&amp;"|"&amp;ROUND(O3074,0),"")</f>
        <v/>
      </c>
      <c r="Q3074" s="18" t="str">
        <f aca="false">IF(N3074&lt;&gt;"Y","",IFERROR(INDEX($D$6:$D$4005,MATCH(B3074&amp;"|"&amp;ROUND(_xlfn.MAXIFS($O$6:$O$4005,$B$6:$B$4005,B3074,$N$6:$N$4005,"N"),0),$P$6:$P$4005,0)),"(tanpa lawan)"))</f>
        <v/>
      </c>
      <c r="R3074" s="44"/>
      <c r="S3074" s="9" t="str">
        <f aca="false">IF(N3074&lt;&gt;"Y","",IF(R3074&lt;&gt;"",R3074,IF(Q3074="(tanpa lawan)","Transfer antar rekening",IFERROR(INDEX(I_COA!$F$6:$F$265,MATCH(Q3074,I_COA!$A$6:$A$265,0)),"?"))))</f>
        <v/>
      </c>
    </row>
    <row r="3075" customFormat="false" ht="15" hidden="false" customHeight="false" outlineLevel="0" collapsed="false">
      <c r="A3075" s="37"/>
      <c r="B3075" s="44"/>
      <c r="C3075" s="44"/>
      <c r="D3075" s="44"/>
      <c r="E3075" s="44"/>
      <c r="F3075" s="44"/>
      <c r="G3075" s="42"/>
      <c r="H3075" s="42"/>
      <c r="I3075" s="44"/>
      <c r="J3075" s="11" t="str">
        <f aca="false">IF(D3075="","",N(G3075)-N(H3075))</f>
        <v/>
      </c>
      <c r="K3075" s="34" t="str">
        <f aca="false">IF(D3075="","",IFERROR(INDEX(I_COA!$C$6:$C$265,MATCH(D3075,I_COA!$A$6:$A$265,0)),"AKUN BARU"))</f>
        <v/>
      </c>
      <c r="L3075" s="34" t="str">
        <f aca="false">IF(K3075="LabaRugi",INDEX(I_COA!$D$6:$D$265,MATCH(D3075,I_COA!$A$6:$A$265,0)),"")</f>
        <v/>
      </c>
      <c r="M3075" s="34" t="str">
        <f aca="false">IF(K3075="Neraca",INDEX(I_COA!$E$6:$E$265,MATCH(D3075,I_COA!$A$6:$A$265,0)),"")</f>
        <v/>
      </c>
      <c r="N3075" s="34" t="str">
        <f aca="false">IF(D3075="","",IFERROR(INDEX(I_COA!$G$6:$G$265,MATCH(D3075,I_COA!$A$6:$A$265,0)),"N"))</f>
        <v/>
      </c>
      <c r="O3075" s="11" t="str">
        <f aca="false">IF(N3075="N",ABS(J3075),"")</f>
        <v/>
      </c>
      <c r="P3075" s="18" t="str">
        <f aca="false">IF(N3075="N",B3075&amp;"|"&amp;ROUND(O3075,0),"")</f>
        <v/>
      </c>
      <c r="Q3075" s="18" t="str">
        <f aca="false">IF(N3075&lt;&gt;"Y","",IFERROR(INDEX($D$6:$D$4005,MATCH(B3075&amp;"|"&amp;ROUND(_xlfn.MAXIFS($O$6:$O$4005,$B$6:$B$4005,B3075,$N$6:$N$4005,"N"),0),$P$6:$P$4005,0)),"(tanpa lawan)"))</f>
        <v/>
      </c>
      <c r="R3075" s="44"/>
      <c r="S3075" s="9" t="str">
        <f aca="false">IF(N3075&lt;&gt;"Y","",IF(R3075&lt;&gt;"",R3075,IF(Q3075="(tanpa lawan)","Transfer antar rekening",IFERROR(INDEX(I_COA!$F$6:$F$265,MATCH(Q3075,I_COA!$A$6:$A$265,0)),"?"))))</f>
        <v/>
      </c>
    </row>
    <row r="3076" customFormat="false" ht="15" hidden="false" customHeight="false" outlineLevel="0" collapsed="false">
      <c r="A3076" s="37"/>
      <c r="B3076" s="44"/>
      <c r="C3076" s="44"/>
      <c r="D3076" s="44"/>
      <c r="E3076" s="44"/>
      <c r="F3076" s="44"/>
      <c r="G3076" s="42"/>
      <c r="H3076" s="42"/>
      <c r="I3076" s="44"/>
      <c r="J3076" s="11" t="str">
        <f aca="false">IF(D3076="","",N(G3076)-N(H3076))</f>
        <v/>
      </c>
      <c r="K3076" s="34" t="str">
        <f aca="false">IF(D3076="","",IFERROR(INDEX(I_COA!$C$6:$C$265,MATCH(D3076,I_COA!$A$6:$A$265,0)),"AKUN BARU"))</f>
        <v/>
      </c>
      <c r="L3076" s="34" t="str">
        <f aca="false">IF(K3076="LabaRugi",INDEX(I_COA!$D$6:$D$265,MATCH(D3076,I_COA!$A$6:$A$265,0)),"")</f>
        <v/>
      </c>
      <c r="M3076" s="34" t="str">
        <f aca="false">IF(K3076="Neraca",INDEX(I_COA!$E$6:$E$265,MATCH(D3076,I_COA!$A$6:$A$265,0)),"")</f>
        <v/>
      </c>
      <c r="N3076" s="34" t="str">
        <f aca="false">IF(D3076="","",IFERROR(INDEX(I_COA!$G$6:$G$265,MATCH(D3076,I_COA!$A$6:$A$265,0)),"N"))</f>
        <v/>
      </c>
      <c r="O3076" s="11" t="str">
        <f aca="false">IF(N3076="N",ABS(J3076),"")</f>
        <v/>
      </c>
      <c r="P3076" s="18" t="str">
        <f aca="false">IF(N3076="N",B3076&amp;"|"&amp;ROUND(O3076,0),"")</f>
        <v/>
      </c>
      <c r="Q3076" s="18" t="str">
        <f aca="false">IF(N3076&lt;&gt;"Y","",IFERROR(INDEX($D$6:$D$4005,MATCH(B3076&amp;"|"&amp;ROUND(_xlfn.MAXIFS($O$6:$O$4005,$B$6:$B$4005,B3076,$N$6:$N$4005,"N"),0),$P$6:$P$4005,0)),"(tanpa lawan)"))</f>
        <v/>
      </c>
      <c r="R3076" s="44"/>
      <c r="S3076" s="9" t="str">
        <f aca="false">IF(N3076&lt;&gt;"Y","",IF(R3076&lt;&gt;"",R3076,IF(Q3076="(tanpa lawan)","Transfer antar rekening",IFERROR(INDEX(I_COA!$F$6:$F$265,MATCH(Q3076,I_COA!$A$6:$A$265,0)),"?"))))</f>
        <v/>
      </c>
    </row>
    <row r="3077" customFormat="false" ht="15" hidden="false" customHeight="false" outlineLevel="0" collapsed="false">
      <c r="A3077" s="37"/>
      <c r="B3077" s="44"/>
      <c r="C3077" s="44"/>
      <c r="D3077" s="44"/>
      <c r="E3077" s="44"/>
      <c r="F3077" s="44"/>
      <c r="G3077" s="42"/>
      <c r="H3077" s="42"/>
      <c r="I3077" s="44"/>
      <c r="J3077" s="11" t="str">
        <f aca="false">IF(D3077="","",N(G3077)-N(H3077))</f>
        <v/>
      </c>
      <c r="K3077" s="34" t="str">
        <f aca="false">IF(D3077="","",IFERROR(INDEX(I_COA!$C$6:$C$265,MATCH(D3077,I_COA!$A$6:$A$265,0)),"AKUN BARU"))</f>
        <v/>
      </c>
      <c r="L3077" s="34" t="str">
        <f aca="false">IF(K3077="LabaRugi",INDEX(I_COA!$D$6:$D$265,MATCH(D3077,I_COA!$A$6:$A$265,0)),"")</f>
        <v/>
      </c>
      <c r="M3077" s="34" t="str">
        <f aca="false">IF(K3077="Neraca",INDEX(I_COA!$E$6:$E$265,MATCH(D3077,I_COA!$A$6:$A$265,0)),"")</f>
        <v/>
      </c>
      <c r="N3077" s="34" t="str">
        <f aca="false">IF(D3077="","",IFERROR(INDEX(I_COA!$G$6:$G$265,MATCH(D3077,I_COA!$A$6:$A$265,0)),"N"))</f>
        <v/>
      </c>
      <c r="O3077" s="11" t="str">
        <f aca="false">IF(N3077="N",ABS(J3077),"")</f>
        <v/>
      </c>
      <c r="P3077" s="18" t="str">
        <f aca="false">IF(N3077="N",B3077&amp;"|"&amp;ROUND(O3077,0),"")</f>
        <v/>
      </c>
      <c r="Q3077" s="18" t="str">
        <f aca="false">IF(N3077&lt;&gt;"Y","",IFERROR(INDEX($D$6:$D$4005,MATCH(B3077&amp;"|"&amp;ROUND(_xlfn.MAXIFS($O$6:$O$4005,$B$6:$B$4005,B3077,$N$6:$N$4005,"N"),0),$P$6:$P$4005,0)),"(tanpa lawan)"))</f>
        <v/>
      </c>
      <c r="R3077" s="44"/>
      <c r="S3077" s="9" t="str">
        <f aca="false">IF(N3077&lt;&gt;"Y","",IF(R3077&lt;&gt;"",R3077,IF(Q3077="(tanpa lawan)","Transfer antar rekening",IFERROR(INDEX(I_COA!$F$6:$F$265,MATCH(Q3077,I_COA!$A$6:$A$265,0)),"?"))))</f>
        <v/>
      </c>
    </row>
    <row r="3078" customFormat="false" ht="15" hidden="false" customHeight="false" outlineLevel="0" collapsed="false">
      <c r="A3078" s="37"/>
      <c r="B3078" s="44"/>
      <c r="C3078" s="44"/>
      <c r="D3078" s="44"/>
      <c r="E3078" s="44"/>
      <c r="F3078" s="44"/>
      <c r="G3078" s="42"/>
      <c r="H3078" s="42"/>
      <c r="I3078" s="44"/>
      <c r="J3078" s="11" t="str">
        <f aca="false">IF(D3078="","",N(G3078)-N(H3078))</f>
        <v/>
      </c>
      <c r="K3078" s="34" t="str">
        <f aca="false">IF(D3078="","",IFERROR(INDEX(I_COA!$C$6:$C$265,MATCH(D3078,I_COA!$A$6:$A$265,0)),"AKUN BARU"))</f>
        <v/>
      </c>
      <c r="L3078" s="34" t="str">
        <f aca="false">IF(K3078="LabaRugi",INDEX(I_COA!$D$6:$D$265,MATCH(D3078,I_COA!$A$6:$A$265,0)),"")</f>
        <v/>
      </c>
      <c r="M3078" s="34" t="str">
        <f aca="false">IF(K3078="Neraca",INDEX(I_COA!$E$6:$E$265,MATCH(D3078,I_COA!$A$6:$A$265,0)),"")</f>
        <v/>
      </c>
      <c r="N3078" s="34" t="str">
        <f aca="false">IF(D3078="","",IFERROR(INDEX(I_COA!$G$6:$G$265,MATCH(D3078,I_COA!$A$6:$A$265,0)),"N"))</f>
        <v/>
      </c>
      <c r="O3078" s="11" t="str">
        <f aca="false">IF(N3078="N",ABS(J3078),"")</f>
        <v/>
      </c>
      <c r="P3078" s="18" t="str">
        <f aca="false">IF(N3078="N",B3078&amp;"|"&amp;ROUND(O3078,0),"")</f>
        <v/>
      </c>
      <c r="Q3078" s="18" t="str">
        <f aca="false">IF(N3078&lt;&gt;"Y","",IFERROR(INDEX($D$6:$D$4005,MATCH(B3078&amp;"|"&amp;ROUND(_xlfn.MAXIFS($O$6:$O$4005,$B$6:$B$4005,B3078,$N$6:$N$4005,"N"),0),$P$6:$P$4005,0)),"(tanpa lawan)"))</f>
        <v/>
      </c>
      <c r="R3078" s="44"/>
      <c r="S3078" s="9" t="str">
        <f aca="false">IF(N3078&lt;&gt;"Y","",IF(R3078&lt;&gt;"",R3078,IF(Q3078="(tanpa lawan)","Transfer antar rekening",IFERROR(INDEX(I_COA!$F$6:$F$265,MATCH(Q3078,I_COA!$A$6:$A$265,0)),"?"))))</f>
        <v/>
      </c>
    </row>
    <row r="3079" customFormat="false" ht="15" hidden="false" customHeight="false" outlineLevel="0" collapsed="false">
      <c r="A3079" s="37"/>
      <c r="B3079" s="44"/>
      <c r="C3079" s="44"/>
      <c r="D3079" s="44"/>
      <c r="E3079" s="44"/>
      <c r="F3079" s="44"/>
      <c r="G3079" s="42"/>
      <c r="H3079" s="42"/>
      <c r="I3079" s="44"/>
      <c r="J3079" s="11" t="str">
        <f aca="false">IF(D3079="","",N(G3079)-N(H3079))</f>
        <v/>
      </c>
      <c r="K3079" s="34" t="str">
        <f aca="false">IF(D3079="","",IFERROR(INDEX(I_COA!$C$6:$C$265,MATCH(D3079,I_COA!$A$6:$A$265,0)),"AKUN BARU"))</f>
        <v/>
      </c>
      <c r="L3079" s="34" t="str">
        <f aca="false">IF(K3079="LabaRugi",INDEX(I_COA!$D$6:$D$265,MATCH(D3079,I_COA!$A$6:$A$265,0)),"")</f>
        <v/>
      </c>
      <c r="M3079" s="34" t="str">
        <f aca="false">IF(K3079="Neraca",INDEX(I_COA!$E$6:$E$265,MATCH(D3079,I_COA!$A$6:$A$265,0)),"")</f>
        <v/>
      </c>
      <c r="N3079" s="34" t="str">
        <f aca="false">IF(D3079="","",IFERROR(INDEX(I_COA!$G$6:$G$265,MATCH(D3079,I_COA!$A$6:$A$265,0)),"N"))</f>
        <v/>
      </c>
      <c r="O3079" s="11" t="str">
        <f aca="false">IF(N3079="N",ABS(J3079),"")</f>
        <v/>
      </c>
      <c r="P3079" s="18" t="str">
        <f aca="false">IF(N3079="N",B3079&amp;"|"&amp;ROUND(O3079,0),"")</f>
        <v/>
      </c>
      <c r="Q3079" s="18" t="str">
        <f aca="false">IF(N3079&lt;&gt;"Y","",IFERROR(INDEX($D$6:$D$4005,MATCH(B3079&amp;"|"&amp;ROUND(_xlfn.MAXIFS($O$6:$O$4005,$B$6:$B$4005,B3079,$N$6:$N$4005,"N"),0),$P$6:$P$4005,0)),"(tanpa lawan)"))</f>
        <v/>
      </c>
      <c r="R3079" s="44"/>
      <c r="S3079" s="9" t="str">
        <f aca="false">IF(N3079&lt;&gt;"Y","",IF(R3079&lt;&gt;"",R3079,IF(Q3079="(tanpa lawan)","Transfer antar rekening",IFERROR(INDEX(I_COA!$F$6:$F$265,MATCH(Q3079,I_COA!$A$6:$A$265,0)),"?"))))</f>
        <v/>
      </c>
    </row>
    <row r="3080" customFormat="false" ht="15" hidden="false" customHeight="false" outlineLevel="0" collapsed="false">
      <c r="A3080" s="37"/>
      <c r="B3080" s="44"/>
      <c r="C3080" s="44"/>
      <c r="D3080" s="44"/>
      <c r="E3080" s="44"/>
      <c r="F3080" s="44"/>
      <c r="G3080" s="42"/>
      <c r="H3080" s="42"/>
      <c r="I3080" s="44"/>
      <c r="J3080" s="11" t="str">
        <f aca="false">IF(D3080="","",N(G3080)-N(H3080))</f>
        <v/>
      </c>
      <c r="K3080" s="34" t="str">
        <f aca="false">IF(D3080="","",IFERROR(INDEX(I_COA!$C$6:$C$265,MATCH(D3080,I_COA!$A$6:$A$265,0)),"AKUN BARU"))</f>
        <v/>
      </c>
      <c r="L3080" s="34" t="str">
        <f aca="false">IF(K3080="LabaRugi",INDEX(I_COA!$D$6:$D$265,MATCH(D3080,I_COA!$A$6:$A$265,0)),"")</f>
        <v/>
      </c>
      <c r="M3080" s="34" t="str">
        <f aca="false">IF(K3080="Neraca",INDEX(I_COA!$E$6:$E$265,MATCH(D3080,I_COA!$A$6:$A$265,0)),"")</f>
        <v/>
      </c>
      <c r="N3080" s="34" t="str">
        <f aca="false">IF(D3080="","",IFERROR(INDEX(I_COA!$G$6:$G$265,MATCH(D3080,I_COA!$A$6:$A$265,0)),"N"))</f>
        <v/>
      </c>
      <c r="O3080" s="11" t="str">
        <f aca="false">IF(N3080="N",ABS(J3080),"")</f>
        <v/>
      </c>
      <c r="P3080" s="18" t="str">
        <f aca="false">IF(N3080="N",B3080&amp;"|"&amp;ROUND(O3080,0),"")</f>
        <v/>
      </c>
      <c r="Q3080" s="18" t="str">
        <f aca="false">IF(N3080&lt;&gt;"Y","",IFERROR(INDEX($D$6:$D$4005,MATCH(B3080&amp;"|"&amp;ROUND(_xlfn.MAXIFS($O$6:$O$4005,$B$6:$B$4005,B3080,$N$6:$N$4005,"N"),0),$P$6:$P$4005,0)),"(tanpa lawan)"))</f>
        <v/>
      </c>
      <c r="R3080" s="44"/>
      <c r="S3080" s="9" t="str">
        <f aca="false">IF(N3080&lt;&gt;"Y","",IF(R3080&lt;&gt;"",R3080,IF(Q3080="(tanpa lawan)","Transfer antar rekening",IFERROR(INDEX(I_COA!$F$6:$F$265,MATCH(Q3080,I_COA!$A$6:$A$265,0)),"?"))))</f>
        <v/>
      </c>
    </row>
    <row r="3081" customFormat="false" ht="15" hidden="false" customHeight="false" outlineLevel="0" collapsed="false">
      <c r="A3081" s="37"/>
      <c r="B3081" s="44"/>
      <c r="C3081" s="44"/>
      <c r="D3081" s="44"/>
      <c r="E3081" s="44"/>
      <c r="F3081" s="44"/>
      <c r="G3081" s="42"/>
      <c r="H3081" s="42"/>
      <c r="I3081" s="44"/>
      <c r="J3081" s="11" t="str">
        <f aca="false">IF(D3081="","",N(G3081)-N(H3081))</f>
        <v/>
      </c>
      <c r="K3081" s="34" t="str">
        <f aca="false">IF(D3081="","",IFERROR(INDEX(I_COA!$C$6:$C$265,MATCH(D3081,I_COA!$A$6:$A$265,0)),"AKUN BARU"))</f>
        <v/>
      </c>
      <c r="L3081" s="34" t="str">
        <f aca="false">IF(K3081="LabaRugi",INDEX(I_COA!$D$6:$D$265,MATCH(D3081,I_COA!$A$6:$A$265,0)),"")</f>
        <v/>
      </c>
      <c r="M3081" s="34" t="str">
        <f aca="false">IF(K3081="Neraca",INDEX(I_COA!$E$6:$E$265,MATCH(D3081,I_COA!$A$6:$A$265,0)),"")</f>
        <v/>
      </c>
      <c r="N3081" s="34" t="str">
        <f aca="false">IF(D3081="","",IFERROR(INDEX(I_COA!$G$6:$G$265,MATCH(D3081,I_COA!$A$6:$A$265,0)),"N"))</f>
        <v/>
      </c>
      <c r="O3081" s="11" t="str">
        <f aca="false">IF(N3081="N",ABS(J3081),"")</f>
        <v/>
      </c>
      <c r="P3081" s="18" t="str">
        <f aca="false">IF(N3081="N",B3081&amp;"|"&amp;ROUND(O3081,0),"")</f>
        <v/>
      </c>
      <c r="Q3081" s="18" t="str">
        <f aca="false">IF(N3081&lt;&gt;"Y","",IFERROR(INDEX($D$6:$D$4005,MATCH(B3081&amp;"|"&amp;ROUND(_xlfn.MAXIFS($O$6:$O$4005,$B$6:$B$4005,B3081,$N$6:$N$4005,"N"),0),$P$6:$P$4005,0)),"(tanpa lawan)"))</f>
        <v/>
      </c>
      <c r="R3081" s="44"/>
      <c r="S3081" s="9" t="str">
        <f aca="false">IF(N3081&lt;&gt;"Y","",IF(R3081&lt;&gt;"",R3081,IF(Q3081="(tanpa lawan)","Transfer antar rekening",IFERROR(INDEX(I_COA!$F$6:$F$265,MATCH(Q3081,I_COA!$A$6:$A$265,0)),"?"))))</f>
        <v/>
      </c>
    </row>
    <row r="3082" customFormat="false" ht="15" hidden="false" customHeight="false" outlineLevel="0" collapsed="false">
      <c r="A3082" s="37"/>
      <c r="B3082" s="44"/>
      <c r="C3082" s="44"/>
      <c r="D3082" s="44"/>
      <c r="E3082" s="44"/>
      <c r="F3082" s="44"/>
      <c r="G3082" s="42"/>
      <c r="H3082" s="42"/>
      <c r="I3082" s="44"/>
      <c r="J3082" s="11" t="str">
        <f aca="false">IF(D3082="","",N(G3082)-N(H3082))</f>
        <v/>
      </c>
      <c r="K3082" s="34" t="str">
        <f aca="false">IF(D3082="","",IFERROR(INDEX(I_COA!$C$6:$C$265,MATCH(D3082,I_COA!$A$6:$A$265,0)),"AKUN BARU"))</f>
        <v/>
      </c>
      <c r="L3082" s="34" t="str">
        <f aca="false">IF(K3082="LabaRugi",INDEX(I_COA!$D$6:$D$265,MATCH(D3082,I_COA!$A$6:$A$265,0)),"")</f>
        <v/>
      </c>
      <c r="M3082" s="34" t="str">
        <f aca="false">IF(K3082="Neraca",INDEX(I_COA!$E$6:$E$265,MATCH(D3082,I_COA!$A$6:$A$265,0)),"")</f>
        <v/>
      </c>
      <c r="N3082" s="34" t="str">
        <f aca="false">IF(D3082="","",IFERROR(INDEX(I_COA!$G$6:$G$265,MATCH(D3082,I_COA!$A$6:$A$265,0)),"N"))</f>
        <v/>
      </c>
      <c r="O3082" s="11" t="str">
        <f aca="false">IF(N3082="N",ABS(J3082),"")</f>
        <v/>
      </c>
      <c r="P3082" s="18" t="str">
        <f aca="false">IF(N3082="N",B3082&amp;"|"&amp;ROUND(O3082,0),"")</f>
        <v/>
      </c>
      <c r="Q3082" s="18" t="str">
        <f aca="false">IF(N3082&lt;&gt;"Y","",IFERROR(INDEX($D$6:$D$4005,MATCH(B3082&amp;"|"&amp;ROUND(_xlfn.MAXIFS($O$6:$O$4005,$B$6:$B$4005,B3082,$N$6:$N$4005,"N"),0),$P$6:$P$4005,0)),"(tanpa lawan)"))</f>
        <v/>
      </c>
      <c r="R3082" s="44"/>
      <c r="S3082" s="9" t="str">
        <f aca="false">IF(N3082&lt;&gt;"Y","",IF(R3082&lt;&gt;"",R3082,IF(Q3082="(tanpa lawan)","Transfer antar rekening",IFERROR(INDEX(I_COA!$F$6:$F$265,MATCH(Q3082,I_COA!$A$6:$A$265,0)),"?"))))</f>
        <v/>
      </c>
    </row>
    <row r="3083" customFormat="false" ht="15" hidden="false" customHeight="false" outlineLevel="0" collapsed="false">
      <c r="A3083" s="37"/>
      <c r="B3083" s="44"/>
      <c r="C3083" s="44"/>
      <c r="D3083" s="44"/>
      <c r="E3083" s="44"/>
      <c r="F3083" s="44"/>
      <c r="G3083" s="42"/>
      <c r="H3083" s="42"/>
      <c r="I3083" s="44"/>
      <c r="J3083" s="11" t="str">
        <f aca="false">IF(D3083="","",N(G3083)-N(H3083))</f>
        <v/>
      </c>
      <c r="K3083" s="34" t="str">
        <f aca="false">IF(D3083="","",IFERROR(INDEX(I_COA!$C$6:$C$265,MATCH(D3083,I_COA!$A$6:$A$265,0)),"AKUN BARU"))</f>
        <v/>
      </c>
      <c r="L3083" s="34" t="str">
        <f aca="false">IF(K3083="LabaRugi",INDEX(I_COA!$D$6:$D$265,MATCH(D3083,I_COA!$A$6:$A$265,0)),"")</f>
        <v/>
      </c>
      <c r="M3083" s="34" t="str">
        <f aca="false">IF(K3083="Neraca",INDEX(I_COA!$E$6:$E$265,MATCH(D3083,I_COA!$A$6:$A$265,0)),"")</f>
        <v/>
      </c>
      <c r="N3083" s="34" t="str">
        <f aca="false">IF(D3083="","",IFERROR(INDEX(I_COA!$G$6:$G$265,MATCH(D3083,I_COA!$A$6:$A$265,0)),"N"))</f>
        <v/>
      </c>
      <c r="O3083" s="11" t="str">
        <f aca="false">IF(N3083="N",ABS(J3083),"")</f>
        <v/>
      </c>
      <c r="P3083" s="18" t="str">
        <f aca="false">IF(N3083="N",B3083&amp;"|"&amp;ROUND(O3083,0),"")</f>
        <v/>
      </c>
      <c r="Q3083" s="18" t="str">
        <f aca="false">IF(N3083&lt;&gt;"Y","",IFERROR(INDEX($D$6:$D$4005,MATCH(B3083&amp;"|"&amp;ROUND(_xlfn.MAXIFS($O$6:$O$4005,$B$6:$B$4005,B3083,$N$6:$N$4005,"N"),0),$P$6:$P$4005,0)),"(tanpa lawan)"))</f>
        <v/>
      </c>
      <c r="R3083" s="44"/>
      <c r="S3083" s="9" t="str">
        <f aca="false">IF(N3083&lt;&gt;"Y","",IF(R3083&lt;&gt;"",R3083,IF(Q3083="(tanpa lawan)","Transfer antar rekening",IFERROR(INDEX(I_COA!$F$6:$F$265,MATCH(Q3083,I_COA!$A$6:$A$265,0)),"?"))))</f>
        <v/>
      </c>
    </row>
    <row r="3084" customFormat="false" ht="15" hidden="false" customHeight="false" outlineLevel="0" collapsed="false">
      <c r="A3084" s="37"/>
      <c r="B3084" s="44"/>
      <c r="C3084" s="44"/>
      <c r="D3084" s="44"/>
      <c r="E3084" s="44"/>
      <c r="F3084" s="44"/>
      <c r="G3084" s="42"/>
      <c r="H3084" s="42"/>
      <c r="I3084" s="44"/>
      <c r="J3084" s="11" t="str">
        <f aca="false">IF(D3084="","",N(G3084)-N(H3084))</f>
        <v/>
      </c>
      <c r="K3084" s="34" t="str">
        <f aca="false">IF(D3084="","",IFERROR(INDEX(I_COA!$C$6:$C$265,MATCH(D3084,I_COA!$A$6:$A$265,0)),"AKUN BARU"))</f>
        <v/>
      </c>
      <c r="L3084" s="34" t="str">
        <f aca="false">IF(K3084="LabaRugi",INDEX(I_COA!$D$6:$D$265,MATCH(D3084,I_COA!$A$6:$A$265,0)),"")</f>
        <v/>
      </c>
      <c r="M3084" s="34" t="str">
        <f aca="false">IF(K3084="Neraca",INDEX(I_COA!$E$6:$E$265,MATCH(D3084,I_COA!$A$6:$A$265,0)),"")</f>
        <v/>
      </c>
      <c r="N3084" s="34" t="str">
        <f aca="false">IF(D3084="","",IFERROR(INDEX(I_COA!$G$6:$G$265,MATCH(D3084,I_COA!$A$6:$A$265,0)),"N"))</f>
        <v/>
      </c>
      <c r="O3084" s="11" t="str">
        <f aca="false">IF(N3084="N",ABS(J3084),"")</f>
        <v/>
      </c>
      <c r="P3084" s="18" t="str">
        <f aca="false">IF(N3084="N",B3084&amp;"|"&amp;ROUND(O3084,0),"")</f>
        <v/>
      </c>
      <c r="Q3084" s="18" t="str">
        <f aca="false">IF(N3084&lt;&gt;"Y","",IFERROR(INDEX($D$6:$D$4005,MATCH(B3084&amp;"|"&amp;ROUND(_xlfn.MAXIFS($O$6:$O$4005,$B$6:$B$4005,B3084,$N$6:$N$4005,"N"),0),$P$6:$P$4005,0)),"(tanpa lawan)"))</f>
        <v/>
      </c>
      <c r="R3084" s="44"/>
      <c r="S3084" s="9" t="str">
        <f aca="false">IF(N3084&lt;&gt;"Y","",IF(R3084&lt;&gt;"",R3084,IF(Q3084="(tanpa lawan)","Transfer antar rekening",IFERROR(INDEX(I_COA!$F$6:$F$265,MATCH(Q3084,I_COA!$A$6:$A$265,0)),"?"))))</f>
        <v/>
      </c>
    </row>
    <row r="3085" customFormat="false" ht="15" hidden="false" customHeight="false" outlineLevel="0" collapsed="false">
      <c r="A3085" s="37"/>
      <c r="B3085" s="44"/>
      <c r="C3085" s="44"/>
      <c r="D3085" s="44"/>
      <c r="E3085" s="44"/>
      <c r="F3085" s="44"/>
      <c r="G3085" s="42"/>
      <c r="H3085" s="42"/>
      <c r="I3085" s="44"/>
      <c r="J3085" s="11" t="str">
        <f aca="false">IF(D3085="","",N(G3085)-N(H3085))</f>
        <v/>
      </c>
      <c r="K3085" s="34" t="str">
        <f aca="false">IF(D3085="","",IFERROR(INDEX(I_COA!$C$6:$C$265,MATCH(D3085,I_COA!$A$6:$A$265,0)),"AKUN BARU"))</f>
        <v/>
      </c>
      <c r="L3085" s="34" t="str">
        <f aca="false">IF(K3085="LabaRugi",INDEX(I_COA!$D$6:$D$265,MATCH(D3085,I_COA!$A$6:$A$265,0)),"")</f>
        <v/>
      </c>
      <c r="M3085" s="34" t="str">
        <f aca="false">IF(K3085="Neraca",INDEX(I_COA!$E$6:$E$265,MATCH(D3085,I_COA!$A$6:$A$265,0)),"")</f>
        <v/>
      </c>
      <c r="N3085" s="34" t="str">
        <f aca="false">IF(D3085="","",IFERROR(INDEX(I_COA!$G$6:$G$265,MATCH(D3085,I_COA!$A$6:$A$265,0)),"N"))</f>
        <v/>
      </c>
      <c r="O3085" s="11" t="str">
        <f aca="false">IF(N3085="N",ABS(J3085),"")</f>
        <v/>
      </c>
      <c r="P3085" s="18" t="str">
        <f aca="false">IF(N3085="N",B3085&amp;"|"&amp;ROUND(O3085,0),"")</f>
        <v/>
      </c>
      <c r="Q3085" s="18" t="str">
        <f aca="false">IF(N3085&lt;&gt;"Y","",IFERROR(INDEX($D$6:$D$4005,MATCH(B3085&amp;"|"&amp;ROUND(_xlfn.MAXIFS($O$6:$O$4005,$B$6:$B$4005,B3085,$N$6:$N$4005,"N"),0),$P$6:$P$4005,0)),"(tanpa lawan)"))</f>
        <v/>
      </c>
      <c r="R3085" s="44"/>
      <c r="S3085" s="9" t="str">
        <f aca="false">IF(N3085&lt;&gt;"Y","",IF(R3085&lt;&gt;"",R3085,IF(Q3085="(tanpa lawan)","Transfer antar rekening",IFERROR(INDEX(I_COA!$F$6:$F$265,MATCH(Q3085,I_COA!$A$6:$A$265,0)),"?"))))</f>
        <v/>
      </c>
    </row>
    <row r="3086" customFormat="false" ht="15" hidden="false" customHeight="false" outlineLevel="0" collapsed="false">
      <c r="A3086" s="37"/>
      <c r="B3086" s="44"/>
      <c r="C3086" s="44"/>
      <c r="D3086" s="44"/>
      <c r="E3086" s="44"/>
      <c r="F3086" s="44"/>
      <c r="G3086" s="42"/>
      <c r="H3086" s="42"/>
      <c r="I3086" s="44"/>
      <c r="J3086" s="11" t="str">
        <f aca="false">IF(D3086="","",N(G3086)-N(H3086))</f>
        <v/>
      </c>
      <c r="K3086" s="34" t="str">
        <f aca="false">IF(D3086="","",IFERROR(INDEX(I_COA!$C$6:$C$265,MATCH(D3086,I_COA!$A$6:$A$265,0)),"AKUN BARU"))</f>
        <v/>
      </c>
      <c r="L3086" s="34" t="str">
        <f aca="false">IF(K3086="LabaRugi",INDEX(I_COA!$D$6:$D$265,MATCH(D3086,I_COA!$A$6:$A$265,0)),"")</f>
        <v/>
      </c>
      <c r="M3086" s="34" t="str">
        <f aca="false">IF(K3086="Neraca",INDEX(I_COA!$E$6:$E$265,MATCH(D3086,I_COA!$A$6:$A$265,0)),"")</f>
        <v/>
      </c>
      <c r="N3086" s="34" t="str">
        <f aca="false">IF(D3086="","",IFERROR(INDEX(I_COA!$G$6:$G$265,MATCH(D3086,I_COA!$A$6:$A$265,0)),"N"))</f>
        <v/>
      </c>
      <c r="O3086" s="11" t="str">
        <f aca="false">IF(N3086="N",ABS(J3086),"")</f>
        <v/>
      </c>
      <c r="P3086" s="18" t="str">
        <f aca="false">IF(N3086="N",B3086&amp;"|"&amp;ROUND(O3086,0),"")</f>
        <v/>
      </c>
      <c r="Q3086" s="18" t="str">
        <f aca="false">IF(N3086&lt;&gt;"Y","",IFERROR(INDEX($D$6:$D$4005,MATCH(B3086&amp;"|"&amp;ROUND(_xlfn.MAXIFS($O$6:$O$4005,$B$6:$B$4005,B3086,$N$6:$N$4005,"N"),0),$P$6:$P$4005,0)),"(tanpa lawan)"))</f>
        <v/>
      </c>
      <c r="R3086" s="44"/>
      <c r="S3086" s="9" t="str">
        <f aca="false">IF(N3086&lt;&gt;"Y","",IF(R3086&lt;&gt;"",R3086,IF(Q3086="(tanpa lawan)","Transfer antar rekening",IFERROR(INDEX(I_COA!$F$6:$F$265,MATCH(Q3086,I_COA!$A$6:$A$265,0)),"?"))))</f>
        <v/>
      </c>
    </row>
    <row r="3087" customFormat="false" ht="15" hidden="false" customHeight="false" outlineLevel="0" collapsed="false">
      <c r="A3087" s="37"/>
      <c r="B3087" s="44"/>
      <c r="C3087" s="44"/>
      <c r="D3087" s="44"/>
      <c r="E3087" s="44"/>
      <c r="F3087" s="44"/>
      <c r="G3087" s="42"/>
      <c r="H3087" s="42"/>
      <c r="I3087" s="44"/>
      <c r="J3087" s="11" t="str">
        <f aca="false">IF(D3087="","",N(G3087)-N(H3087))</f>
        <v/>
      </c>
      <c r="K3087" s="34" t="str">
        <f aca="false">IF(D3087="","",IFERROR(INDEX(I_COA!$C$6:$C$265,MATCH(D3087,I_COA!$A$6:$A$265,0)),"AKUN BARU"))</f>
        <v/>
      </c>
      <c r="L3087" s="34" t="str">
        <f aca="false">IF(K3087="LabaRugi",INDEX(I_COA!$D$6:$D$265,MATCH(D3087,I_COA!$A$6:$A$265,0)),"")</f>
        <v/>
      </c>
      <c r="M3087" s="34" t="str">
        <f aca="false">IF(K3087="Neraca",INDEX(I_COA!$E$6:$E$265,MATCH(D3087,I_COA!$A$6:$A$265,0)),"")</f>
        <v/>
      </c>
      <c r="N3087" s="34" t="str">
        <f aca="false">IF(D3087="","",IFERROR(INDEX(I_COA!$G$6:$G$265,MATCH(D3087,I_COA!$A$6:$A$265,0)),"N"))</f>
        <v/>
      </c>
      <c r="O3087" s="11" t="str">
        <f aca="false">IF(N3087="N",ABS(J3087),"")</f>
        <v/>
      </c>
      <c r="P3087" s="18" t="str">
        <f aca="false">IF(N3087="N",B3087&amp;"|"&amp;ROUND(O3087,0),"")</f>
        <v/>
      </c>
      <c r="Q3087" s="18" t="str">
        <f aca="false">IF(N3087&lt;&gt;"Y","",IFERROR(INDEX($D$6:$D$4005,MATCH(B3087&amp;"|"&amp;ROUND(_xlfn.MAXIFS($O$6:$O$4005,$B$6:$B$4005,B3087,$N$6:$N$4005,"N"),0),$P$6:$P$4005,0)),"(tanpa lawan)"))</f>
        <v/>
      </c>
      <c r="R3087" s="44"/>
      <c r="S3087" s="9" t="str">
        <f aca="false">IF(N3087&lt;&gt;"Y","",IF(R3087&lt;&gt;"",R3087,IF(Q3087="(tanpa lawan)","Transfer antar rekening",IFERROR(INDEX(I_COA!$F$6:$F$265,MATCH(Q3087,I_COA!$A$6:$A$265,0)),"?"))))</f>
        <v/>
      </c>
    </row>
    <row r="3088" customFormat="false" ht="15" hidden="false" customHeight="false" outlineLevel="0" collapsed="false">
      <c r="A3088" s="37"/>
      <c r="B3088" s="44"/>
      <c r="C3088" s="44"/>
      <c r="D3088" s="44"/>
      <c r="E3088" s="44"/>
      <c r="F3088" s="44"/>
      <c r="G3088" s="42"/>
      <c r="H3088" s="42"/>
      <c r="I3088" s="44"/>
      <c r="J3088" s="11" t="str">
        <f aca="false">IF(D3088="","",N(G3088)-N(H3088))</f>
        <v/>
      </c>
      <c r="K3088" s="34" t="str">
        <f aca="false">IF(D3088="","",IFERROR(INDEX(I_COA!$C$6:$C$265,MATCH(D3088,I_COA!$A$6:$A$265,0)),"AKUN BARU"))</f>
        <v/>
      </c>
      <c r="L3088" s="34" t="str">
        <f aca="false">IF(K3088="LabaRugi",INDEX(I_COA!$D$6:$D$265,MATCH(D3088,I_COA!$A$6:$A$265,0)),"")</f>
        <v/>
      </c>
      <c r="M3088" s="34" t="str">
        <f aca="false">IF(K3088="Neraca",INDEX(I_COA!$E$6:$E$265,MATCH(D3088,I_COA!$A$6:$A$265,0)),"")</f>
        <v/>
      </c>
      <c r="N3088" s="34" t="str">
        <f aca="false">IF(D3088="","",IFERROR(INDEX(I_COA!$G$6:$G$265,MATCH(D3088,I_COA!$A$6:$A$265,0)),"N"))</f>
        <v/>
      </c>
      <c r="O3088" s="11" t="str">
        <f aca="false">IF(N3088="N",ABS(J3088),"")</f>
        <v/>
      </c>
      <c r="P3088" s="18" t="str">
        <f aca="false">IF(N3088="N",B3088&amp;"|"&amp;ROUND(O3088,0),"")</f>
        <v/>
      </c>
      <c r="Q3088" s="18" t="str">
        <f aca="false">IF(N3088&lt;&gt;"Y","",IFERROR(INDEX($D$6:$D$4005,MATCH(B3088&amp;"|"&amp;ROUND(_xlfn.MAXIFS($O$6:$O$4005,$B$6:$B$4005,B3088,$N$6:$N$4005,"N"),0),$P$6:$P$4005,0)),"(tanpa lawan)"))</f>
        <v/>
      </c>
      <c r="R3088" s="44"/>
      <c r="S3088" s="9" t="str">
        <f aca="false">IF(N3088&lt;&gt;"Y","",IF(R3088&lt;&gt;"",R3088,IF(Q3088="(tanpa lawan)","Transfer antar rekening",IFERROR(INDEX(I_COA!$F$6:$F$265,MATCH(Q3088,I_COA!$A$6:$A$265,0)),"?"))))</f>
        <v/>
      </c>
    </row>
    <row r="3089" customFormat="false" ht="15" hidden="false" customHeight="false" outlineLevel="0" collapsed="false">
      <c r="A3089" s="37"/>
      <c r="B3089" s="44"/>
      <c r="C3089" s="44"/>
      <c r="D3089" s="44"/>
      <c r="E3089" s="44"/>
      <c r="F3089" s="44"/>
      <c r="G3089" s="42"/>
      <c r="H3089" s="42"/>
      <c r="I3089" s="44"/>
      <c r="J3089" s="11" t="str">
        <f aca="false">IF(D3089="","",N(G3089)-N(H3089))</f>
        <v/>
      </c>
      <c r="K3089" s="34" t="str">
        <f aca="false">IF(D3089="","",IFERROR(INDEX(I_COA!$C$6:$C$265,MATCH(D3089,I_COA!$A$6:$A$265,0)),"AKUN BARU"))</f>
        <v/>
      </c>
      <c r="L3089" s="34" t="str">
        <f aca="false">IF(K3089="LabaRugi",INDEX(I_COA!$D$6:$D$265,MATCH(D3089,I_COA!$A$6:$A$265,0)),"")</f>
        <v/>
      </c>
      <c r="M3089" s="34" t="str">
        <f aca="false">IF(K3089="Neraca",INDEX(I_COA!$E$6:$E$265,MATCH(D3089,I_COA!$A$6:$A$265,0)),"")</f>
        <v/>
      </c>
      <c r="N3089" s="34" t="str">
        <f aca="false">IF(D3089="","",IFERROR(INDEX(I_COA!$G$6:$G$265,MATCH(D3089,I_COA!$A$6:$A$265,0)),"N"))</f>
        <v/>
      </c>
      <c r="O3089" s="11" t="str">
        <f aca="false">IF(N3089="N",ABS(J3089),"")</f>
        <v/>
      </c>
      <c r="P3089" s="18" t="str">
        <f aca="false">IF(N3089="N",B3089&amp;"|"&amp;ROUND(O3089,0),"")</f>
        <v/>
      </c>
      <c r="Q3089" s="18" t="str">
        <f aca="false">IF(N3089&lt;&gt;"Y","",IFERROR(INDEX($D$6:$D$4005,MATCH(B3089&amp;"|"&amp;ROUND(_xlfn.MAXIFS($O$6:$O$4005,$B$6:$B$4005,B3089,$N$6:$N$4005,"N"),0),$P$6:$P$4005,0)),"(tanpa lawan)"))</f>
        <v/>
      </c>
      <c r="R3089" s="44"/>
      <c r="S3089" s="9" t="str">
        <f aca="false">IF(N3089&lt;&gt;"Y","",IF(R3089&lt;&gt;"",R3089,IF(Q3089="(tanpa lawan)","Transfer antar rekening",IFERROR(INDEX(I_COA!$F$6:$F$265,MATCH(Q3089,I_COA!$A$6:$A$265,0)),"?"))))</f>
        <v/>
      </c>
    </row>
    <row r="3090" customFormat="false" ht="15" hidden="false" customHeight="false" outlineLevel="0" collapsed="false">
      <c r="A3090" s="37"/>
      <c r="B3090" s="44"/>
      <c r="C3090" s="44"/>
      <c r="D3090" s="44"/>
      <c r="E3090" s="44"/>
      <c r="F3090" s="44"/>
      <c r="G3090" s="42"/>
      <c r="H3090" s="42"/>
      <c r="I3090" s="44"/>
      <c r="J3090" s="11" t="str">
        <f aca="false">IF(D3090="","",N(G3090)-N(H3090))</f>
        <v/>
      </c>
      <c r="K3090" s="34" t="str">
        <f aca="false">IF(D3090="","",IFERROR(INDEX(I_COA!$C$6:$C$265,MATCH(D3090,I_COA!$A$6:$A$265,0)),"AKUN BARU"))</f>
        <v/>
      </c>
      <c r="L3090" s="34" t="str">
        <f aca="false">IF(K3090="LabaRugi",INDEX(I_COA!$D$6:$D$265,MATCH(D3090,I_COA!$A$6:$A$265,0)),"")</f>
        <v/>
      </c>
      <c r="M3090" s="34" t="str">
        <f aca="false">IF(K3090="Neraca",INDEX(I_COA!$E$6:$E$265,MATCH(D3090,I_COA!$A$6:$A$265,0)),"")</f>
        <v/>
      </c>
      <c r="N3090" s="34" t="str">
        <f aca="false">IF(D3090="","",IFERROR(INDEX(I_COA!$G$6:$G$265,MATCH(D3090,I_COA!$A$6:$A$265,0)),"N"))</f>
        <v/>
      </c>
      <c r="O3090" s="11" t="str">
        <f aca="false">IF(N3090="N",ABS(J3090),"")</f>
        <v/>
      </c>
      <c r="P3090" s="18" t="str">
        <f aca="false">IF(N3090="N",B3090&amp;"|"&amp;ROUND(O3090,0),"")</f>
        <v/>
      </c>
      <c r="Q3090" s="18" t="str">
        <f aca="false">IF(N3090&lt;&gt;"Y","",IFERROR(INDEX($D$6:$D$4005,MATCH(B3090&amp;"|"&amp;ROUND(_xlfn.MAXIFS($O$6:$O$4005,$B$6:$B$4005,B3090,$N$6:$N$4005,"N"),0),$P$6:$P$4005,0)),"(tanpa lawan)"))</f>
        <v/>
      </c>
      <c r="R3090" s="44"/>
      <c r="S3090" s="9" t="str">
        <f aca="false">IF(N3090&lt;&gt;"Y","",IF(R3090&lt;&gt;"",R3090,IF(Q3090="(tanpa lawan)","Transfer antar rekening",IFERROR(INDEX(I_COA!$F$6:$F$265,MATCH(Q3090,I_COA!$A$6:$A$265,0)),"?"))))</f>
        <v/>
      </c>
    </row>
    <row r="3091" customFormat="false" ht="15" hidden="false" customHeight="false" outlineLevel="0" collapsed="false">
      <c r="A3091" s="37"/>
      <c r="B3091" s="44"/>
      <c r="C3091" s="44"/>
      <c r="D3091" s="44"/>
      <c r="E3091" s="44"/>
      <c r="F3091" s="44"/>
      <c r="G3091" s="42"/>
      <c r="H3091" s="42"/>
      <c r="I3091" s="44"/>
      <c r="J3091" s="11" t="str">
        <f aca="false">IF(D3091="","",N(G3091)-N(H3091))</f>
        <v/>
      </c>
      <c r="K3091" s="34" t="str">
        <f aca="false">IF(D3091="","",IFERROR(INDEX(I_COA!$C$6:$C$265,MATCH(D3091,I_COA!$A$6:$A$265,0)),"AKUN BARU"))</f>
        <v/>
      </c>
      <c r="L3091" s="34" t="str">
        <f aca="false">IF(K3091="LabaRugi",INDEX(I_COA!$D$6:$D$265,MATCH(D3091,I_COA!$A$6:$A$265,0)),"")</f>
        <v/>
      </c>
      <c r="M3091" s="34" t="str">
        <f aca="false">IF(K3091="Neraca",INDEX(I_COA!$E$6:$E$265,MATCH(D3091,I_COA!$A$6:$A$265,0)),"")</f>
        <v/>
      </c>
      <c r="N3091" s="34" t="str">
        <f aca="false">IF(D3091="","",IFERROR(INDEX(I_COA!$G$6:$G$265,MATCH(D3091,I_COA!$A$6:$A$265,0)),"N"))</f>
        <v/>
      </c>
      <c r="O3091" s="11" t="str">
        <f aca="false">IF(N3091="N",ABS(J3091),"")</f>
        <v/>
      </c>
      <c r="P3091" s="18" t="str">
        <f aca="false">IF(N3091="N",B3091&amp;"|"&amp;ROUND(O3091,0),"")</f>
        <v/>
      </c>
      <c r="Q3091" s="18" t="str">
        <f aca="false">IF(N3091&lt;&gt;"Y","",IFERROR(INDEX($D$6:$D$4005,MATCH(B3091&amp;"|"&amp;ROUND(_xlfn.MAXIFS($O$6:$O$4005,$B$6:$B$4005,B3091,$N$6:$N$4005,"N"),0),$P$6:$P$4005,0)),"(tanpa lawan)"))</f>
        <v/>
      </c>
      <c r="R3091" s="44"/>
      <c r="S3091" s="9" t="str">
        <f aca="false">IF(N3091&lt;&gt;"Y","",IF(R3091&lt;&gt;"",R3091,IF(Q3091="(tanpa lawan)","Transfer antar rekening",IFERROR(INDEX(I_COA!$F$6:$F$265,MATCH(Q3091,I_COA!$A$6:$A$265,0)),"?"))))</f>
        <v/>
      </c>
    </row>
    <row r="3092" customFormat="false" ht="15" hidden="false" customHeight="false" outlineLevel="0" collapsed="false">
      <c r="A3092" s="37"/>
      <c r="B3092" s="44"/>
      <c r="C3092" s="44"/>
      <c r="D3092" s="44"/>
      <c r="E3092" s="44"/>
      <c r="F3092" s="44"/>
      <c r="G3092" s="42"/>
      <c r="H3092" s="42"/>
      <c r="I3092" s="44"/>
      <c r="J3092" s="11" t="str">
        <f aca="false">IF(D3092="","",N(G3092)-N(H3092))</f>
        <v/>
      </c>
      <c r="K3092" s="34" t="str">
        <f aca="false">IF(D3092="","",IFERROR(INDEX(I_COA!$C$6:$C$265,MATCH(D3092,I_COA!$A$6:$A$265,0)),"AKUN BARU"))</f>
        <v/>
      </c>
      <c r="L3092" s="34" t="str">
        <f aca="false">IF(K3092="LabaRugi",INDEX(I_COA!$D$6:$D$265,MATCH(D3092,I_COA!$A$6:$A$265,0)),"")</f>
        <v/>
      </c>
      <c r="M3092" s="34" t="str">
        <f aca="false">IF(K3092="Neraca",INDEX(I_COA!$E$6:$E$265,MATCH(D3092,I_COA!$A$6:$A$265,0)),"")</f>
        <v/>
      </c>
      <c r="N3092" s="34" t="str">
        <f aca="false">IF(D3092="","",IFERROR(INDEX(I_COA!$G$6:$G$265,MATCH(D3092,I_COA!$A$6:$A$265,0)),"N"))</f>
        <v/>
      </c>
      <c r="O3092" s="11" t="str">
        <f aca="false">IF(N3092="N",ABS(J3092),"")</f>
        <v/>
      </c>
      <c r="P3092" s="18" t="str">
        <f aca="false">IF(N3092="N",B3092&amp;"|"&amp;ROUND(O3092,0),"")</f>
        <v/>
      </c>
      <c r="Q3092" s="18" t="str">
        <f aca="false">IF(N3092&lt;&gt;"Y","",IFERROR(INDEX($D$6:$D$4005,MATCH(B3092&amp;"|"&amp;ROUND(_xlfn.MAXIFS($O$6:$O$4005,$B$6:$B$4005,B3092,$N$6:$N$4005,"N"),0),$P$6:$P$4005,0)),"(tanpa lawan)"))</f>
        <v/>
      </c>
      <c r="R3092" s="44"/>
      <c r="S3092" s="9" t="str">
        <f aca="false">IF(N3092&lt;&gt;"Y","",IF(R3092&lt;&gt;"",R3092,IF(Q3092="(tanpa lawan)","Transfer antar rekening",IFERROR(INDEX(I_COA!$F$6:$F$265,MATCH(Q3092,I_COA!$A$6:$A$265,0)),"?"))))</f>
        <v/>
      </c>
    </row>
    <row r="3093" customFormat="false" ht="15" hidden="false" customHeight="false" outlineLevel="0" collapsed="false">
      <c r="A3093" s="37"/>
      <c r="B3093" s="44"/>
      <c r="C3093" s="44"/>
      <c r="D3093" s="44"/>
      <c r="E3093" s="44"/>
      <c r="F3093" s="44"/>
      <c r="G3093" s="42"/>
      <c r="H3093" s="42"/>
      <c r="I3093" s="44"/>
      <c r="J3093" s="11" t="str">
        <f aca="false">IF(D3093="","",N(G3093)-N(H3093))</f>
        <v/>
      </c>
      <c r="K3093" s="34" t="str">
        <f aca="false">IF(D3093="","",IFERROR(INDEX(I_COA!$C$6:$C$265,MATCH(D3093,I_COA!$A$6:$A$265,0)),"AKUN BARU"))</f>
        <v/>
      </c>
      <c r="L3093" s="34" t="str">
        <f aca="false">IF(K3093="LabaRugi",INDEX(I_COA!$D$6:$D$265,MATCH(D3093,I_COA!$A$6:$A$265,0)),"")</f>
        <v/>
      </c>
      <c r="M3093" s="34" t="str">
        <f aca="false">IF(K3093="Neraca",INDEX(I_COA!$E$6:$E$265,MATCH(D3093,I_COA!$A$6:$A$265,0)),"")</f>
        <v/>
      </c>
      <c r="N3093" s="34" t="str">
        <f aca="false">IF(D3093="","",IFERROR(INDEX(I_COA!$G$6:$G$265,MATCH(D3093,I_COA!$A$6:$A$265,0)),"N"))</f>
        <v/>
      </c>
      <c r="O3093" s="11" t="str">
        <f aca="false">IF(N3093="N",ABS(J3093),"")</f>
        <v/>
      </c>
      <c r="P3093" s="18" t="str">
        <f aca="false">IF(N3093="N",B3093&amp;"|"&amp;ROUND(O3093,0),"")</f>
        <v/>
      </c>
      <c r="Q3093" s="18" t="str">
        <f aca="false">IF(N3093&lt;&gt;"Y","",IFERROR(INDEX($D$6:$D$4005,MATCH(B3093&amp;"|"&amp;ROUND(_xlfn.MAXIFS($O$6:$O$4005,$B$6:$B$4005,B3093,$N$6:$N$4005,"N"),0),$P$6:$P$4005,0)),"(tanpa lawan)"))</f>
        <v/>
      </c>
      <c r="R3093" s="44"/>
      <c r="S3093" s="9" t="str">
        <f aca="false">IF(N3093&lt;&gt;"Y","",IF(R3093&lt;&gt;"",R3093,IF(Q3093="(tanpa lawan)","Transfer antar rekening",IFERROR(INDEX(I_COA!$F$6:$F$265,MATCH(Q3093,I_COA!$A$6:$A$265,0)),"?"))))</f>
        <v/>
      </c>
    </row>
    <row r="3094" customFormat="false" ht="15" hidden="false" customHeight="false" outlineLevel="0" collapsed="false">
      <c r="A3094" s="37"/>
      <c r="B3094" s="44"/>
      <c r="C3094" s="44"/>
      <c r="D3094" s="44"/>
      <c r="E3094" s="44"/>
      <c r="F3094" s="44"/>
      <c r="G3094" s="42"/>
      <c r="H3094" s="42"/>
      <c r="I3094" s="44"/>
      <c r="J3094" s="11" t="str">
        <f aca="false">IF(D3094="","",N(G3094)-N(H3094))</f>
        <v/>
      </c>
      <c r="K3094" s="34" t="str">
        <f aca="false">IF(D3094="","",IFERROR(INDEX(I_COA!$C$6:$C$265,MATCH(D3094,I_COA!$A$6:$A$265,0)),"AKUN BARU"))</f>
        <v/>
      </c>
      <c r="L3094" s="34" t="str">
        <f aca="false">IF(K3094="LabaRugi",INDEX(I_COA!$D$6:$D$265,MATCH(D3094,I_COA!$A$6:$A$265,0)),"")</f>
        <v/>
      </c>
      <c r="M3094" s="34" t="str">
        <f aca="false">IF(K3094="Neraca",INDEX(I_COA!$E$6:$E$265,MATCH(D3094,I_COA!$A$6:$A$265,0)),"")</f>
        <v/>
      </c>
      <c r="N3094" s="34" t="str">
        <f aca="false">IF(D3094="","",IFERROR(INDEX(I_COA!$G$6:$G$265,MATCH(D3094,I_COA!$A$6:$A$265,0)),"N"))</f>
        <v/>
      </c>
      <c r="O3094" s="11" t="str">
        <f aca="false">IF(N3094="N",ABS(J3094),"")</f>
        <v/>
      </c>
      <c r="P3094" s="18" t="str">
        <f aca="false">IF(N3094="N",B3094&amp;"|"&amp;ROUND(O3094,0),"")</f>
        <v/>
      </c>
      <c r="Q3094" s="18" t="str">
        <f aca="false">IF(N3094&lt;&gt;"Y","",IFERROR(INDEX($D$6:$D$4005,MATCH(B3094&amp;"|"&amp;ROUND(_xlfn.MAXIFS($O$6:$O$4005,$B$6:$B$4005,B3094,$N$6:$N$4005,"N"),0),$P$6:$P$4005,0)),"(tanpa lawan)"))</f>
        <v/>
      </c>
      <c r="R3094" s="44"/>
      <c r="S3094" s="9" t="str">
        <f aca="false">IF(N3094&lt;&gt;"Y","",IF(R3094&lt;&gt;"",R3094,IF(Q3094="(tanpa lawan)","Transfer antar rekening",IFERROR(INDEX(I_COA!$F$6:$F$265,MATCH(Q3094,I_COA!$A$6:$A$265,0)),"?"))))</f>
        <v/>
      </c>
    </row>
    <row r="3095" customFormat="false" ht="15" hidden="false" customHeight="false" outlineLevel="0" collapsed="false">
      <c r="A3095" s="37"/>
      <c r="B3095" s="44"/>
      <c r="C3095" s="44"/>
      <c r="D3095" s="44"/>
      <c r="E3095" s="44"/>
      <c r="F3095" s="44"/>
      <c r="G3095" s="42"/>
      <c r="H3095" s="42"/>
      <c r="I3095" s="44"/>
      <c r="J3095" s="11" t="str">
        <f aca="false">IF(D3095="","",N(G3095)-N(H3095))</f>
        <v/>
      </c>
      <c r="K3095" s="34" t="str">
        <f aca="false">IF(D3095="","",IFERROR(INDEX(I_COA!$C$6:$C$265,MATCH(D3095,I_COA!$A$6:$A$265,0)),"AKUN BARU"))</f>
        <v/>
      </c>
      <c r="L3095" s="34" t="str">
        <f aca="false">IF(K3095="LabaRugi",INDEX(I_COA!$D$6:$D$265,MATCH(D3095,I_COA!$A$6:$A$265,0)),"")</f>
        <v/>
      </c>
      <c r="M3095" s="34" t="str">
        <f aca="false">IF(K3095="Neraca",INDEX(I_COA!$E$6:$E$265,MATCH(D3095,I_COA!$A$6:$A$265,0)),"")</f>
        <v/>
      </c>
      <c r="N3095" s="34" t="str">
        <f aca="false">IF(D3095="","",IFERROR(INDEX(I_COA!$G$6:$G$265,MATCH(D3095,I_COA!$A$6:$A$265,0)),"N"))</f>
        <v/>
      </c>
      <c r="O3095" s="11" t="str">
        <f aca="false">IF(N3095="N",ABS(J3095),"")</f>
        <v/>
      </c>
      <c r="P3095" s="18" t="str">
        <f aca="false">IF(N3095="N",B3095&amp;"|"&amp;ROUND(O3095,0),"")</f>
        <v/>
      </c>
      <c r="Q3095" s="18" t="str">
        <f aca="false">IF(N3095&lt;&gt;"Y","",IFERROR(INDEX($D$6:$D$4005,MATCH(B3095&amp;"|"&amp;ROUND(_xlfn.MAXIFS($O$6:$O$4005,$B$6:$B$4005,B3095,$N$6:$N$4005,"N"),0),$P$6:$P$4005,0)),"(tanpa lawan)"))</f>
        <v/>
      </c>
      <c r="R3095" s="44"/>
      <c r="S3095" s="9" t="str">
        <f aca="false">IF(N3095&lt;&gt;"Y","",IF(R3095&lt;&gt;"",R3095,IF(Q3095="(tanpa lawan)","Transfer antar rekening",IFERROR(INDEX(I_COA!$F$6:$F$265,MATCH(Q3095,I_COA!$A$6:$A$265,0)),"?"))))</f>
        <v/>
      </c>
    </row>
    <row r="3096" customFormat="false" ht="15" hidden="false" customHeight="false" outlineLevel="0" collapsed="false">
      <c r="A3096" s="37"/>
      <c r="B3096" s="44"/>
      <c r="C3096" s="44"/>
      <c r="D3096" s="44"/>
      <c r="E3096" s="44"/>
      <c r="F3096" s="44"/>
      <c r="G3096" s="42"/>
      <c r="H3096" s="42"/>
      <c r="I3096" s="44"/>
      <c r="J3096" s="11" t="str">
        <f aca="false">IF(D3096="","",N(G3096)-N(H3096))</f>
        <v/>
      </c>
      <c r="K3096" s="34" t="str">
        <f aca="false">IF(D3096="","",IFERROR(INDEX(I_COA!$C$6:$C$265,MATCH(D3096,I_COA!$A$6:$A$265,0)),"AKUN BARU"))</f>
        <v/>
      </c>
      <c r="L3096" s="34" t="str">
        <f aca="false">IF(K3096="LabaRugi",INDEX(I_COA!$D$6:$D$265,MATCH(D3096,I_COA!$A$6:$A$265,0)),"")</f>
        <v/>
      </c>
      <c r="M3096" s="34" t="str">
        <f aca="false">IF(K3096="Neraca",INDEX(I_COA!$E$6:$E$265,MATCH(D3096,I_COA!$A$6:$A$265,0)),"")</f>
        <v/>
      </c>
      <c r="N3096" s="34" t="str">
        <f aca="false">IF(D3096="","",IFERROR(INDEX(I_COA!$G$6:$G$265,MATCH(D3096,I_COA!$A$6:$A$265,0)),"N"))</f>
        <v/>
      </c>
      <c r="O3096" s="11" t="str">
        <f aca="false">IF(N3096="N",ABS(J3096),"")</f>
        <v/>
      </c>
      <c r="P3096" s="18" t="str">
        <f aca="false">IF(N3096="N",B3096&amp;"|"&amp;ROUND(O3096,0),"")</f>
        <v/>
      </c>
      <c r="Q3096" s="18" t="str">
        <f aca="false">IF(N3096&lt;&gt;"Y","",IFERROR(INDEX($D$6:$D$4005,MATCH(B3096&amp;"|"&amp;ROUND(_xlfn.MAXIFS($O$6:$O$4005,$B$6:$B$4005,B3096,$N$6:$N$4005,"N"),0),$P$6:$P$4005,0)),"(tanpa lawan)"))</f>
        <v/>
      </c>
      <c r="R3096" s="44"/>
      <c r="S3096" s="9" t="str">
        <f aca="false">IF(N3096&lt;&gt;"Y","",IF(R3096&lt;&gt;"",R3096,IF(Q3096="(tanpa lawan)","Transfer antar rekening",IFERROR(INDEX(I_COA!$F$6:$F$265,MATCH(Q3096,I_COA!$A$6:$A$265,0)),"?"))))</f>
        <v/>
      </c>
    </row>
    <row r="3097" customFormat="false" ht="15" hidden="false" customHeight="false" outlineLevel="0" collapsed="false">
      <c r="A3097" s="37"/>
      <c r="B3097" s="44"/>
      <c r="C3097" s="44"/>
      <c r="D3097" s="44"/>
      <c r="E3097" s="44"/>
      <c r="F3097" s="44"/>
      <c r="G3097" s="42"/>
      <c r="H3097" s="42"/>
      <c r="I3097" s="44"/>
      <c r="J3097" s="11" t="str">
        <f aca="false">IF(D3097="","",N(G3097)-N(H3097))</f>
        <v/>
      </c>
      <c r="K3097" s="34" t="str">
        <f aca="false">IF(D3097="","",IFERROR(INDEX(I_COA!$C$6:$C$265,MATCH(D3097,I_COA!$A$6:$A$265,0)),"AKUN BARU"))</f>
        <v/>
      </c>
      <c r="L3097" s="34" t="str">
        <f aca="false">IF(K3097="LabaRugi",INDEX(I_COA!$D$6:$D$265,MATCH(D3097,I_COA!$A$6:$A$265,0)),"")</f>
        <v/>
      </c>
      <c r="M3097" s="34" t="str">
        <f aca="false">IF(K3097="Neraca",INDEX(I_COA!$E$6:$E$265,MATCH(D3097,I_COA!$A$6:$A$265,0)),"")</f>
        <v/>
      </c>
      <c r="N3097" s="34" t="str">
        <f aca="false">IF(D3097="","",IFERROR(INDEX(I_COA!$G$6:$G$265,MATCH(D3097,I_COA!$A$6:$A$265,0)),"N"))</f>
        <v/>
      </c>
      <c r="O3097" s="11" t="str">
        <f aca="false">IF(N3097="N",ABS(J3097),"")</f>
        <v/>
      </c>
      <c r="P3097" s="18" t="str">
        <f aca="false">IF(N3097="N",B3097&amp;"|"&amp;ROUND(O3097,0),"")</f>
        <v/>
      </c>
      <c r="Q3097" s="18" t="str">
        <f aca="false">IF(N3097&lt;&gt;"Y","",IFERROR(INDEX($D$6:$D$4005,MATCH(B3097&amp;"|"&amp;ROUND(_xlfn.MAXIFS($O$6:$O$4005,$B$6:$B$4005,B3097,$N$6:$N$4005,"N"),0),$P$6:$P$4005,0)),"(tanpa lawan)"))</f>
        <v/>
      </c>
      <c r="R3097" s="44"/>
      <c r="S3097" s="9" t="str">
        <f aca="false">IF(N3097&lt;&gt;"Y","",IF(R3097&lt;&gt;"",R3097,IF(Q3097="(tanpa lawan)","Transfer antar rekening",IFERROR(INDEX(I_COA!$F$6:$F$265,MATCH(Q3097,I_COA!$A$6:$A$265,0)),"?"))))</f>
        <v/>
      </c>
    </row>
    <row r="3098" customFormat="false" ht="15" hidden="false" customHeight="false" outlineLevel="0" collapsed="false">
      <c r="A3098" s="37"/>
      <c r="B3098" s="44"/>
      <c r="C3098" s="44"/>
      <c r="D3098" s="44"/>
      <c r="E3098" s="44"/>
      <c r="F3098" s="44"/>
      <c r="G3098" s="42"/>
      <c r="H3098" s="42"/>
      <c r="I3098" s="44"/>
      <c r="J3098" s="11" t="str">
        <f aca="false">IF(D3098="","",N(G3098)-N(H3098))</f>
        <v/>
      </c>
      <c r="K3098" s="34" t="str">
        <f aca="false">IF(D3098="","",IFERROR(INDEX(I_COA!$C$6:$C$265,MATCH(D3098,I_COA!$A$6:$A$265,0)),"AKUN BARU"))</f>
        <v/>
      </c>
      <c r="L3098" s="34" t="str">
        <f aca="false">IF(K3098="LabaRugi",INDEX(I_COA!$D$6:$D$265,MATCH(D3098,I_COA!$A$6:$A$265,0)),"")</f>
        <v/>
      </c>
      <c r="M3098" s="34" t="str">
        <f aca="false">IF(K3098="Neraca",INDEX(I_COA!$E$6:$E$265,MATCH(D3098,I_COA!$A$6:$A$265,0)),"")</f>
        <v/>
      </c>
      <c r="N3098" s="34" t="str">
        <f aca="false">IF(D3098="","",IFERROR(INDEX(I_COA!$G$6:$G$265,MATCH(D3098,I_COA!$A$6:$A$265,0)),"N"))</f>
        <v/>
      </c>
      <c r="O3098" s="11" t="str">
        <f aca="false">IF(N3098="N",ABS(J3098),"")</f>
        <v/>
      </c>
      <c r="P3098" s="18" t="str">
        <f aca="false">IF(N3098="N",B3098&amp;"|"&amp;ROUND(O3098,0),"")</f>
        <v/>
      </c>
      <c r="Q3098" s="18" t="str">
        <f aca="false">IF(N3098&lt;&gt;"Y","",IFERROR(INDEX($D$6:$D$4005,MATCH(B3098&amp;"|"&amp;ROUND(_xlfn.MAXIFS($O$6:$O$4005,$B$6:$B$4005,B3098,$N$6:$N$4005,"N"),0),$P$6:$P$4005,0)),"(tanpa lawan)"))</f>
        <v/>
      </c>
      <c r="R3098" s="44"/>
      <c r="S3098" s="9" t="str">
        <f aca="false">IF(N3098&lt;&gt;"Y","",IF(R3098&lt;&gt;"",R3098,IF(Q3098="(tanpa lawan)","Transfer antar rekening",IFERROR(INDEX(I_COA!$F$6:$F$265,MATCH(Q3098,I_COA!$A$6:$A$265,0)),"?"))))</f>
        <v/>
      </c>
    </row>
    <row r="3099" customFormat="false" ht="15" hidden="false" customHeight="false" outlineLevel="0" collapsed="false">
      <c r="A3099" s="37"/>
      <c r="B3099" s="44"/>
      <c r="C3099" s="44"/>
      <c r="D3099" s="44"/>
      <c r="E3099" s="44"/>
      <c r="F3099" s="44"/>
      <c r="G3099" s="42"/>
      <c r="H3099" s="42"/>
      <c r="I3099" s="44"/>
      <c r="J3099" s="11" t="str">
        <f aca="false">IF(D3099="","",N(G3099)-N(H3099))</f>
        <v/>
      </c>
      <c r="K3099" s="34" t="str">
        <f aca="false">IF(D3099="","",IFERROR(INDEX(I_COA!$C$6:$C$265,MATCH(D3099,I_COA!$A$6:$A$265,0)),"AKUN BARU"))</f>
        <v/>
      </c>
      <c r="L3099" s="34" t="str">
        <f aca="false">IF(K3099="LabaRugi",INDEX(I_COA!$D$6:$D$265,MATCH(D3099,I_COA!$A$6:$A$265,0)),"")</f>
        <v/>
      </c>
      <c r="M3099" s="34" t="str">
        <f aca="false">IF(K3099="Neraca",INDEX(I_COA!$E$6:$E$265,MATCH(D3099,I_COA!$A$6:$A$265,0)),"")</f>
        <v/>
      </c>
      <c r="N3099" s="34" t="str">
        <f aca="false">IF(D3099="","",IFERROR(INDEX(I_COA!$G$6:$G$265,MATCH(D3099,I_COA!$A$6:$A$265,0)),"N"))</f>
        <v/>
      </c>
      <c r="O3099" s="11" t="str">
        <f aca="false">IF(N3099="N",ABS(J3099),"")</f>
        <v/>
      </c>
      <c r="P3099" s="18" t="str">
        <f aca="false">IF(N3099="N",B3099&amp;"|"&amp;ROUND(O3099,0),"")</f>
        <v/>
      </c>
      <c r="Q3099" s="18" t="str">
        <f aca="false">IF(N3099&lt;&gt;"Y","",IFERROR(INDEX($D$6:$D$4005,MATCH(B3099&amp;"|"&amp;ROUND(_xlfn.MAXIFS($O$6:$O$4005,$B$6:$B$4005,B3099,$N$6:$N$4005,"N"),0),$P$6:$P$4005,0)),"(tanpa lawan)"))</f>
        <v/>
      </c>
      <c r="R3099" s="44"/>
      <c r="S3099" s="9" t="str">
        <f aca="false">IF(N3099&lt;&gt;"Y","",IF(R3099&lt;&gt;"",R3099,IF(Q3099="(tanpa lawan)","Transfer antar rekening",IFERROR(INDEX(I_COA!$F$6:$F$265,MATCH(Q3099,I_COA!$A$6:$A$265,0)),"?"))))</f>
        <v/>
      </c>
    </row>
    <row r="3100" customFormat="false" ht="15" hidden="false" customHeight="false" outlineLevel="0" collapsed="false">
      <c r="A3100" s="37"/>
      <c r="B3100" s="44"/>
      <c r="C3100" s="44"/>
      <c r="D3100" s="44"/>
      <c r="E3100" s="44"/>
      <c r="F3100" s="44"/>
      <c r="G3100" s="42"/>
      <c r="H3100" s="42"/>
      <c r="I3100" s="44"/>
      <c r="J3100" s="11" t="str">
        <f aca="false">IF(D3100="","",N(G3100)-N(H3100))</f>
        <v/>
      </c>
      <c r="K3100" s="34" t="str">
        <f aca="false">IF(D3100="","",IFERROR(INDEX(I_COA!$C$6:$C$265,MATCH(D3100,I_COA!$A$6:$A$265,0)),"AKUN BARU"))</f>
        <v/>
      </c>
      <c r="L3100" s="34" t="str">
        <f aca="false">IF(K3100="LabaRugi",INDEX(I_COA!$D$6:$D$265,MATCH(D3100,I_COA!$A$6:$A$265,0)),"")</f>
        <v/>
      </c>
      <c r="M3100" s="34" t="str">
        <f aca="false">IF(K3100="Neraca",INDEX(I_COA!$E$6:$E$265,MATCH(D3100,I_COA!$A$6:$A$265,0)),"")</f>
        <v/>
      </c>
      <c r="N3100" s="34" t="str">
        <f aca="false">IF(D3100="","",IFERROR(INDEX(I_COA!$G$6:$G$265,MATCH(D3100,I_COA!$A$6:$A$265,0)),"N"))</f>
        <v/>
      </c>
      <c r="O3100" s="11" t="str">
        <f aca="false">IF(N3100="N",ABS(J3100),"")</f>
        <v/>
      </c>
      <c r="P3100" s="18" t="str">
        <f aca="false">IF(N3100="N",B3100&amp;"|"&amp;ROUND(O3100,0),"")</f>
        <v/>
      </c>
      <c r="Q3100" s="18" t="str">
        <f aca="false">IF(N3100&lt;&gt;"Y","",IFERROR(INDEX($D$6:$D$4005,MATCH(B3100&amp;"|"&amp;ROUND(_xlfn.MAXIFS($O$6:$O$4005,$B$6:$B$4005,B3100,$N$6:$N$4005,"N"),0),$P$6:$P$4005,0)),"(tanpa lawan)"))</f>
        <v/>
      </c>
      <c r="R3100" s="44"/>
      <c r="S3100" s="9" t="str">
        <f aca="false">IF(N3100&lt;&gt;"Y","",IF(R3100&lt;&gt;"",R3100,IF(Q3100="(tanpa lawan)","Transfer antar rekening",IFERROR(INDEX(I_COA!$F$6:$F$265,MATCH(Q3100,I_COA!$A$6:$A$265,0)),"?"))))</f>
        <v/>
      </c>
    </row>
    <row r="3101" customFormat="false" ht="15" hidden="false" customHeight="false" outlineLevel="0" collapsed="false">
      <c r="A3101" s="37"/>
      <c r="B3101" s="44"/>
      <c r="C3101" s="44"/>
      <c r="D3101" s="44"/>
      <c r="E3101" s="44"/>
      <c r="F3101" s="44"/>
      <c r="G3101" s="42"/>
      <c r="H3101" s="42"/>
      <c r="I3101" s="44"/>
      <c r="J3101" s="11" t="str">
        <f aca="false">IF(D3101="","",N(G3101)-N(H3101))</f>
        <v/>
      </c>
      <c r="K3101" s="34" t="str">
        <f aca="false">IF(D3101="","",IFERROR(INDEX(I_COA!$C$6:$C$265,MATCH(D3101,I_COA!$A$6:$A$265,0)),"AKUN BARU"))</f>
        <v/>
      </c>
      <c r="L3101" s="34" t="str">
        <f aca="false">IF(K3101="LabaRugi",INDEX(I_COA!$D$6:$D$265,MATCH(D3101,I_COA!$A$6:$A$265,0)),"")</f>
        <v/>
      </c>
      <c r="M3101" s="34" t="str">
        <f aca="false">IF(K3101="Neraca",INDEX(I_COA!$E$6:$E$265,MATCH(D3101,I_COA!$A$6:$A$265,0)),"")</f>
        <v/>
      </c>
      <c r="N3101" s="34" t="str">
        <f aca="false">IF(D3101="","",IFERROR(INDEX(I_COA!$G$6:$G$265,MATCH(D3101,I_COA!$A$6:$A$265,0)),"N"))</f>
        <v/>
      </c>
      <c r="O3101" s="11" t="str">
        <f aca="false">IF(N3101="N",ABS(J3101),"")</f>
        <v/>
      </c>
      <c r="P3101" s="18" t="str">
        <f aca="false">IF(N3101="N",B3101&amp;"|"&amp;ROUND(O3101,0),"")</f>
        <v/>
      </c>
      <c r="Q3101" s="18" t="str">
        <f aca="false">IF(N3101&lt;&gt;"Y","",IFERROR(INDEX($D$6:$D$4005,MATCH(B3101&amp;"|"&amp;ROUND(_xlfn.MAXIFS($O$6:$O$4005,$B$6:$B$4005,B3101,$N$6:$N$4005,"N"),0),$P$6:$P$4005,0)),"(tanpa lawan)"))</f>
        <v/>
      </c>
      <c r="R3101" s="44"/>
      <c r="S3101" s="9" t="str">
        <f aca="false">IF(N3101&lt;&gt;"Y","",IF(R3101&lt;&gt;"",R3101,IF(Q3101="(tanpa lawan)","Transfer antar rekening",IFERROR(INDEX(I_COA!$F$6:$F$265,MATCH(Q3101,I_COA!$A$6:$A$265,0)),"?"))))</f>
        <v/>
      </c>
    </row>
    <row r="3102" customFormat="false" ht="15" hidden="false" customHeight="false" outlineLevel="0" collapsed="false">
      <c r="A3102" s="37"/>
      <c r="B3102" s="44"/>
      <c r="C3102" s="44"/>
      <c r="D3102" s="44"/>
      <c r="E3102" s="44"/>
      <c r="F3102" s="44"/>
      <c r="G3102" s="42"/>
      <c r="H3102" s="42"/>
      <c r="I3102" s="44"/>
      <c r="J3102" s="11" t="str">
        <f aca="false">IF(D3102="","",N(G3102)-N(H3102))</f>
        <v/>
      </c>
      <c r="K3102" s="34" t="str">
        <f aca="false">IF(D3102="","",IFERROR(INDEX(I_COA!$C$6:$C$265,MATCH(D3102,I_COA!$A$6:$A$265,0)),"AKUN BARU"))</f>
        <v/>
      </c>
      <c r="L3102" s="34" t="str">
        <f aca="false">IF(K3102="LabaRugi",INDEX(I_COA!$D$6:$D$265,MATCH(D3102,I_COA!$A$6:$A$265,0)),"")</f>
        <v/>
      </c>
      <c r="M3102" s="34" t="str">
        <f aca="false">IF(K3102="Neraca",INDEX(I_COA!$E$6:$E$265,MATCH(D3102,I_COA!$A$6:$A$265,0)),"")</f>
        <v/>
      </c>
      <c r="N3102" s="34" t="str">
        <f aca="false">IF(D3102="","",IFERROR(INDEX(I_COA!$G$6:$G$265,MATCH(D3102,I_COA!$A$6:$A$265,0)),"N"))</f>
        <v/>
      </c>
      <c r="O3102" s="11" t="str">
        <f aca="false">IF(N3102="N",ABS(J3102),"")</f>
        <v/>
      </c>
      <c r="P3102" s="18" t="str">
        <f aca="false">IF(N3102="N",B3102&amp;"|"&amp;ROUND(O3102,0),"")</f>
        <v/>
      </c>
      <c r="Q3102" s="18" t="str">
        <f aca="false">IF(N3102&lt;&gt;"Y","",IFERROR(INDEX($D$6:$D$4005,MATCH(B3102&amp;"|"&amp;ROUND(_xlfn.MAXIFS($O$6:$O$4005,$B$6:$B$4005,B3102,$N$6:$N$4005,"N"),0),$P$6:$P$4005,0)),"(tanpa lawan)"))</f>
        <v/>
      </c>
      <c r="R3102" s="44"/>
      <c r="S3102" s="9" t="str">
        <f aca="false">IF(N3102&lt;&gt;"Y","",IF(R3102&lt;&gt;"",R3102,IF(Q3102="(tanpa lawan)","Transfer antar rekening",IFERROR(INDEX(I_COA!$F$6:$F$265,MATCH(Q3102,I_COA!$A$6:$A$265,0)),"?"))))</f>
        <v/>
      </c>
    </row>
    <row r="3103" customFormat="false" ht="15" hidden="false" customHeight="false" outlineLevel="0" collapsed="false">
      <c r="A3103" s="37"/>
      <c r="B3103" s="44"/>
      <c r="C3103" s="44"/>
      <c r="D3103" s="44"/>
      <c r="E3103" s="44"/>
      <c r="F3103" s="44"/>
      <c r="G3103" s="42"/>
      <c r="H3103" s="42"/>
      <c r="I3103" s="44"/>
      <c r="J3103" s="11" t="str">
        <f aca="false">IF(D3103="","",N(G3103)-N(H3103))</f>
        <v/>
      </c>
      <c r="K3103" s="34" t="str">
        <f aca="false">IF(D3103="","",IFERROR(INDEX(I_COA!$C$6:$C$265,MATCH(D3103,I_COA!$A$6:$A$265,0)),"AKUN BARU"))</f>
        <v/>
      </c>
      <c r="L3103" s="34" t="str">
        <f aca="false">IF(K3103="LabaRugi",INDEX(I_COA!$D$6:$D$265,MATCH(D3103,I_COA!$A$6:$A$265,0)),"")</f>
        <v/>
      </c>
      <c r="M3103" s="34" t="str">
        <f aca="false">IF(K3103="Neraca",INDEX(I_COA!$E$6:$E$265,MATCH(D3103,I_COA!$A$6:$A$265,0)),"")</f>
        <v/>
      </c>
      <c r="N3103" s="34" t="str">
        <f aca="false">IF(D3103="","",IFERROR(INDEX(I_COA!$G$6:$G$265,MATCH(D3103,I_COA!$A$6:$A$265,0)),"N"))</f>
        <v/>
      </c>
      <c r="O3103" s="11" t="str">
        <f aca="false">IF(N3103="N",ABS(J3103),"")</f>
        <v/>
      </c>
      <c r="P3103" s="18" t="str">
        <f aca="false">IF(N3103="N",B3103&amp;"|"&amp;ROUND(O3103,0),"")</f>
        <v/>
      </c>
      <c r="Q3103" s="18" t="str">
        <f aca="false">IF(N3103&lt;&gt;"Y","",IFERROR(INDEX($D$6:$D$4005,MATCH(B3103&amp;"|"&amp;ROUND(_xlfn.MAXIFS($O$6:$O$4005,$B$6:$B$4005,B3103,$N$6:$N$4005,"N"),0),$P$6:$P$4005,0)),"(tanpa lawan)"))</f>
        <v/>
      </c>
      <c r="R3103" s="44"/>
      <c r="S3103" s="9" t="str">
        <f aca="false">IF(N3103&lt;&gt;"Y","",IF(R3103&lt;&gt;"",R3103,IF(Q3103="(tanpa lawan)","Transfer antar rekening",IFERROR(INDEX(I_COA!$F$6:$F$265,MATCH(Q3103,I_COA!$A$6:$A$265,0)),"?"))))</f>
        <v/>
      </c>
    </row>
    <row r="3104" customFormat="false" ht="15" hidden="false" customHeight="false" outlineLevel="0" collapsed="false">
      <c r="A3104" s="37"/>
      <c r="B3104" s="44"/>
      <c r="C3104" s="44"/>
      <c r="D3104" s="44"/>
      <c r="E3104" s="44"/>
      <c r="F3104" s="44"/>
      <c r="G3104" s="42"/>
      <c r="H3104" s="42"/>
      <c r="I3104" s="44"/>
      <c r="J3104" s="11" t="str">
        <f aca="false">IF(D3104="","",N(G3104)-N(H3104))</f>
        <v/>
      </c>
      <c r="K3104" s="34" t="str">
        <f aca="false">IF(D3104="","",IFERROR(INDEX(I_COA!$C$6:$C$265,MATCH(D3104,I_COA!$A$6:$A$265,0)),"AKUN BARU"))</f>
        <v/>
      </c>
      <c r="L3104" s="34" t="str">
        <f aca="false">IF(K3104="LabaRugi",INDEX(I_COA!$D$6:$D$265,MATCH(D3104,I_COA!$A$6:$A$265,0)),"")</f>
        <v/>
      </c>
      <c r="M3104" s="34" t="str">
        <f aca="false">IF(K3104="Neraca",INDEX(I_COA!$E$6:$E$265,MATCH(D3104,I_COA!$A$6:$A$265,0)),"")</f>
        <v/>
      </c>
      <c r="N3104" s="34" t="str">
        <f aca="false">IF(D3104="","",IFERROR(INDEX(I_COA!$G$6:$G$265,MATCH(D3104,I_COA!$A$6:$A$265,0)),"N"))</f>
        <v/>
      </c>
      <c r="O3104" s="11" t="str">
        <f aca="false">IF(N3104="N",ABS(J3104),"")</f>
        <v/>
      </c>
      <c r="P3104" s="18" t="str">
        <f aca="false">IF(N3104="N",B3104&amp;"|"&amp;ROUND(O3104,0),"")</f>
        <v/>
      </c>
      <c r="Q3104" s="18" t="str">
        <f aca="false">IF(N3104&lt;&gt;"Y","",IFERROR(INDEX($D$6:$D$4005,MATCH(B3104&amp;"|"&amp;ROUND(_xlfn.MAXIFS($O$6:$O$4005,$B$6:$B$4005,B3104,$N$6:$N$4005,"N"),0),$P$6:$P$4005,0)),"(tanpa lawan)"))</f>
        <v/>
      </c>
      <c r="R3104" s="44"/>
      <c r="S3104" s="9" t="str">
        <f aca="false">IF(N3104&lt;&gt;"Y","",IF(R3104&lt;&gt;"",R3104,IF(Q3104="(tanpa lawan)","Transfer antar rekening",IFERROR(INDEX(I_COA!$F$6:$F$265,MATCH(Q3104,I_COA!$A$6:$A$265,0)),"?"))))</f>
        <v/>
      </c>
    </row>
    <row r="3105" customFormat="false" ht="15" hidden="false" customHeight="false" outlineLevel="0" collapsed="false">
      <c r="A3105" s="37"/>
      <c r="B3105" s="44"/>
      <c r="C3105" s="44"/>
      <c r="D3105" s="44"/>
      <c r="E3105" s="44"/>
      <c r="F3105" s="44"/>
      <c r="G3105" s="42"/>
      <c r="H3105" s="42"/>
      <c r="I3105" s="44"/>
      <c r="J3105" s="11" t="str">
        <f aca="false">IF(D3105="","",N(G3105)-N(H3105))</f>
        <v/>
      </c>
      <c r="K3105" s="34" t="str">
        <f aca="false">IF(D3105="","",IFERROR(INDEX(I_COA!$C$6:$C$265,MATCH(D3105,I_COA!$A$6:$A$265,0)),"AKUN BARU"))</f>
        <v/>
      </c>
      <c r="L3105" s="34" t="str">
        <f aca="false">IF(K3105="LabaRugi",INDEX(I_COA!$D$6:$D$265,MATCH(D3105,I_COA!$A$6:$A$265,0)),"")</f>
        <v/>
      </c>
      <c r="M3105" s="34" t="str">
        <f aca="false">IF(K3105="Neraca",INDEX(I_COA!$E$6:$E$265,MATCH(D3105,I_COA!$A$6:$A$265,0)),"")</f>
        <v/>
      </c>
      <c r="N3105" s="34" t="str">
        <f aca="false">IF(D3105="","",IFERROR(INDEX(I_COA!$G$6:$G$265,MATCH(D3105,I_COA!$A$6:$A$265,0)),"N"))</f>
        <v/>
      </c>
      <c r="O3105" s="11" t="str">
        <f aca="false">IF(N3105="N",ABS(J3105),"")</f>
        <v/>
      </c>
      <c r="P3105" s="18" t="str">
        <f aca="false">IF(N3105="N",B3105&amp;"|"&amp;ROUND(O3105,0),"")</f>
        <v/>
      </c>
      <c r="Q3105" s="18" t="str">
        <f aca="false">IF(N3105&lt;&gt;"Y","",IFERROR(INDEX($D$6:$D$4005,MATCH(B3105&amp;"|"&amp;ROUND(_xlfn.MAXIFS($O$6:$O$4005,$B$6:$B$4005,B3105,$N$6:$N$4005,"N"),0),$P$6:$P$4005,0)),"(tanpa lawan)"))</f>
        <v/>
      </c>
      <c r="R3105" s="44"/>
      <c r="S3105" s="9" t="str">
        <f aca="false">IF(N3105&lt;&gt;"Y","",IF(R3105&lt;&gt;"",R3105,IF(Q3105="(tanpa lawan)","Transfer antar rekening",IFERROR(INDEX(I_COA!$F$6:$F$265,MATCH(Q3105,I_COA!$A$6:$A$265,0)),"?"))))</f>
        <v/>
      </c>
    </row>
    <row r="3106" customFormat="false" ht="15" hidden="false" customHeight="false" outlineLevel="0" collapsed="false">
      <c r="A3106" s="37"/>
      <c r="B3106" s="44"/>
      <c r="C3106" s="44"/>
      <c r="D3106" s="44"/>
      <c r="E3106" s="44"/>
      <c r="F3106" s="44"/>
      <c r="G3106" s="42"/>
      <c r="H3106" s="42"/>
      <c r="I3106" s="44"/>
      <c r="J3106" s="11" t="str">
        <f aca="false">IF(D3106="","",N(G3106)-N(H3106))</f>
        <v/>
      </c>
      <c r="K3106" s="34" t="str">
        <f aca="false">IF(D3106="","",IFERROR(INDEX(I_COA!$C$6:$C$265,MATCH(D3106,I_COA!$A$6:$A$265,0)),"AKUN BARU"))</f>
        <v/>
      </c>
      <c r="L3106" s="34" t="str">
        <f aca="false">IF(K3106="LabaRugi",INDEX(I_COA!$D$6:$D$265,MATCH(D3106,I_COA!$A$6:$A$265,0)),"")</f>
        <v/>
      </c>
      <c r="M3106" s="34" t="str">
        <f aca="false">IF(K3106="Neraca",INDEX(I_COA!$E$6:$E$265,MATCH(D3106,I_COA!$A$6:$A$265,0)),"")</f>
        <v/>
      </c>
      <c r="N3106" s="34" t="str">
        <f aca="false">IF(D3106="","",IFERROR(INDEX(I_COA!$G$6:$G$265,MATCH(D3106,I_COA!$A$6:$A$265,0)),"N"))</f>
        <v/>
      </c>
      <c r="O3106" s="11" t="str">
        <f aca="false">IF(N3106="N",ABS(J3106),"")</f>
        <v/>
      </c>
      <c r="P3106" s="18" t="str">
        <f aca="false">IF(N3106="N",B3106&amp;"|"&amp;ROUND(O3106,0),"")</f>
        <v/>
      </c>
      <c r="Q3106" s="18" t="str">
        <f aca="false">IF(N3106&lt;&gt;"Y","",IFERROR(INDEX($D$6:$D$4005,MATCH(B3106&amp;"|"&amp;ROUND(_xlfn.MAXIFS($O$6:$O$4005,$B$6:$B$4005,B3106,$N$6:$N$4005,"N"),0),$P$6:$P$4005,0)),"(tanpa lawan)"))</f>
        <v/>
      </c>
      <c r="R3106" s="44"/>
      <c r="S3106" s="9" t="str">
        <f aca="false">IF(N3106&lt;&gt;"Y","",IF(R3106&lt;&gt;"",R3106,IF(Q3106="(tanpa lawan)","Transfer antar rekening",IFERROR(INDEX(I_COA!$F$6:$F$265,MATCH(Q3106,I_COA!$A$6:$A$265,0)),"?"))))</f>
        <v/>
      </c>
    </row>
    <row r="3107" customFormat="false" ht="15" hidden="false" customHeight="false" outlineLevel="0" collapsed="false">
      <c r="A3107" s="37"/>
      <c r="B3107" s="44"/>
      <c r="C3107" s="44"/>
      <c r="D3107" s="44"/>
      <c r="E3107" s="44"/>
      <c r="F3107" s="44"/>
      <c r="G3107" s="42"/>
      <c r="H3107" s="42"/>
      <c r="I3107" s="44"/>
      <c r="J3107" s="11" t="str">
        <f aca="false">IF(D3107="","",N(G3107)-N(H3107))</f>
        <v/>
      </c>
      <c r="K3107" s="34" t="str">
        <f aca="false">IF(D3107="","",IFERROR(INDEX(I_COA!$C$6:$C$265,MATCH(D3107,I_COA!$A$6:$A$265,0)),"AKUN BARU"))</f>
        <v/>
      </c>
      <c r="L3107" s="34" t="str">
        <f aca="false">IF(K3107="LabaRugi",INDEX(I_COA!$D$6:$D$265,MATCH(D3107,I_COA!$A$6:$A$265,0)),"")</f>
        <v/>
      </c>
      <c r="M3107" s="34" t="str">
        <f aca="false">IF(K3107="Neraca",INDEX(I_COA!$E$6:$E$265,MATCH(D3107,I_COA!$A$6:$A$265,0)),"")</f>
        <v/>
      </c>
      <c r="N3107" s="34" t="str">
        <f aca="false">IF(D3107="","",IFERROR(INDEX(I_COA!$G$6:$G$265,MATCH(D3107,I_COA!$A$6:$A$265,0)),"N"))</f>
        <v/>
      </c>
      <c r="O3107" s="11" t="str">
        <f aca="false">IF(N3107="N",ABS(J3107),"")</f>
        <v/>
      </c>
      <c r="P3107" s="18" t="str">
        <f aca="false">IF(N3107="N",B3107&amp;"|"&amp;ROUND(O3107,0),"")</f>
        <v/>
      </c>
      <c r="Q3107" s="18" t="str">
        <f aca="false">IF(N3107&lt;&gt;"Y","",IFERROR(INDEX($D$6:$D$4005,MATCH(B3107&amp;"|"&amp;ROUND(_xlfn.MAXIFS($O$6:$O$4005,$B$6:$B$4005,B3107,$N$6:$N$4005,"N"),0),$P$6:$P$4005,0)),"(tanpa lawan)"))</f>
        <v/>
      </c>
      <c r="R3107" s="44"/>
      <c r="S3107" s="9" t="str">
        <f aca="false">IF(N3107&lt;&gt;"Y","",IF(R3107&lt;&gt;"",R3107,IF(Q3107="(tanpa lawan)","Transfer antar rekening",IFERROR(INDEX(I_COA!$F$6:$F$265,MATCH(Q3107,I_COA!$A$6:$A$265,0)),"?"))))</f>
        <v/>
      </c>
    </row>
    <row r="3108" customFormat="false" ht="15" hidden="false" customHeight="false" outlineLevel="0" collapsed="false">
      <c r="A3108" s="37"/>
      <c r="B3108" s="44"/>
      <c r="C3108" s="44"/>
      <c r="D3108" s="44"/>
      <c r="E3108" s="44"/>
      <c r="F3108" s="44"/>
      <c r="G3108" s="42"/>
      <c r="H3108" s="42"/>
      <c r="I3108" s="44"/>
      <c r="J3108" s="11" t="str">
        <f aca="false">IF(D3108="","",N(G3108)-N(H3108))</f>
        <v/>
      </c>
      <c r="K3108" s="34" t="str">
        <f aca="false">IF(D3108="","",IFERROR(INDEX(I_COA!$C$6:$C$265,MATCH(D3108,I_COA!$A$6:$A$265,0)),"AKUN BARU"))</f>
        <v/>
      </c>
      <c r="L3108" s="34" t="str">
        <f aca="false">IF(K3108="LabaRugi",INDEX(I_COA!$D$6:$D$265,MATCH(D3108,I_COA!$A$6:$A$265,0)),"")</f>
        <v/>
      </c>
      <c r="M3108" s="34" t="str">
        <f aca="false">IF(K3108="Neraca",INDEX(I_COA!$E$6:$E$265,MATCH(D3108,I_COA!$A$6:$A$265,0)),"")</f>
        <v/>
      </c>
      <c r="N3108" s="34" t="str">
        <f aca="false">IF(D3108="","",IFERROR(INDEX(I_COA!$G$6:$G$265,MATCH(D3108,I_COA!$A$6:$A$265,0)),"N"))</f>
        <v/>
      </c>
      <c r="O3108" s="11" t="str">
        <f aca="false">IF(N3108="N",ABS(J3108),"")</f>
        <v/>
      </c>
      <c r="P3108" s="18" t="str">
        <f aca="false">IF(N3108="N",B3108&amp;"|"&amp;ROUND(O3108,0),"")</f>
        <v/>
      </c>
      <c r="Q3108" s="18" t="str">
        <f aca="false">IF(N3108&lt;&gt;"Y","",IFERROR(INDEX($D$6:$D$4005,MATCH(B3108&amp;"|"&amp;ROUND(_xlfn.MAXIFS($O$6:$O$4005,$B$6:$B$4005,B3108,$N$6:$N$4005,"N"),0),$P$6:$P$4005,0)),"(tanpa lawan)"))</f>
        <v/>
      </c>
      <c r="R3108" s="44"/>
      <c r="S3108" s="9" t="str">
        <f aca="false">IF(N3108&lt;&gt;"Y","",IF(R3108&lt;&gt;"",R3108,IF(Q3108="(tanpa lawan)","Transfer antar rekening",IFERROR(INDEX(I_COA!$F$6:$F$265,MATCH(Q3108,I_COA!$A$6:$A$265,0)),"?"))))</f>
        <v/>
      </c>
    </row>
    <row r="3109" customFormat="false" ht="15" hidden="false" customHeight="false" outlineLevel="0" collapsed="false">
      <c r="A3109" s="37"/>
      <c r="B3109" s="44"/>
      <c r="C3109" s="44"/>
      <c r="D3109" s="44"/>
      <c r="E3109" s="44"/>
      <c r="F3109" s="44"/>
      <c r="G3109" s="42"/>
      <c r="H3109" s="42"/>
      <c r="I3109" s="44"/>
      <c r="J3109" s="11" t="str">
        <f aca="false">IF(D3109="","",N(G3109)-N(H3109))</f>
        <v/>
      </c>
      <c r="K3109" s="34" t="str">
        <f aca="false">IF(D3109="","",IFERROR(INDEX(I_COA!$C$6:$C$265,MATCH(D3109,I_COA!$A$6:$A$265,0)),"AKUN BARU"))</f>
        <v/>
      </c>
      <c r="L3109" s="34" t="str">
        <f aca="false">IF(K3109="LabaRugi",INDEX(I_COA!$D$6:$D$265,MATCH(D3109,I_COA!$A$6:$A$265,0)),"")</f>
        <v/>
      </c>
      <c r="M3109" s="34" t="str">
        <f aca="false">IF(K3109="Neraca",INDEX(I_COA!$E$6:$E$265,MATCH(D3109,I_COA!$A$6:$A$265,0)),"")</f>
        <v/>
      </c>
      <c r="N3109" s="34" t="str">
        <f aca="false">IF(D3109="","",IFERROR(INDEX(I_COA!$G$6:$G$265,MATCH(D3109,I_COA!$A$6:$A$265,0)),"N"))</f>
        <v/>
      </c>
      <c r="O3109" s="11" t="str">
        <f aca="false">IF(N3109="N",ABS(J3109),"")</f>
        <v/>
      </c>
      <c r="P3109" s="18" t="str">
        <f aca="false">IF(N3109="N",B3109&amp;"|"&amp;ROUND(O3109,0),"")</f>
        <v/>
      </c>
      <c r="Q3109" s="18" t="str">
        <f aca="false">IF(N3109&lt;&gt;"Y","",IFERROR(INDEX($D$6:$D$4005,MATCH(B3109&amp;"|"&amp;ROUND(_xlfn.MAXIFS($O$6:$O$4005,$B$6:$B$4005,B3109,$N$6:$N$4005,"N"),0),$P$6:$P$4005,0)),"(tanpa lawan)"))</f>
        <v/>
      </c>
      <c r="R3109" s="44"/>
      <c r="S3109" s="9" t="str">
        <f aca="false">IF(N3109&lt;&gt;"Y","",IF(R3109&lt;&gt;"",R3109,IF(Q3109="(tanpa lawan)","Transfer antar rekening",IFERROR(INDEX(I_COA!$F$6:$F$265,MATCH(Q3109,I_COA!$A$6:$A$265,0)),"?"))))</f>
        <v/>
      </c>
    </row>
    <row r="3110" customFormat="false" ht="15" hidden="false" customHeight="false" outlineLevel="0" collapsed="false">
      <c r="A3110" s="37"/>
      <c r="B3110" s="44"/>
      <c r="C3110" s="44"/>
      <c r="D3110" s="44"/>
      <c r="E3110" s="44"/>
      <c r="F3110" s="44"/>
      <c r="G3110" s="42"/>
      <c r="H3110" s="42"/>
      <c r="I3110" s="44"/>
      <c r="J3110" s="11" t="str">
        <f aca="false">IF(D3110="","",N(G3110)-N(H3110))</f>
        <v/>
      </c>
      <c r="K3110" s="34" t="str">
        <f aca="false">IF(D3110="","",IFERROR(INDEX(I_COA!$C$6:$C$265,MATCH(D3110,I_COA!$A$6:$A$265,0)),"AKUN BARU"))</f>
        <v/>
      </c>
      <c r="L3110" s="34" t="str">
        <f aca="false">IF(K3110="LabaRugi",INDEX(I_COA!$D$6:$D$265,MATCH(D3110,I_COA!$A$6:$A$265,0)),"")</f>
        <v/>
      </c>
      <c r="M3110" s="34" t="str">
        <f aca="false">IF(K3110="Neraca",INDEX(I_COA!$E$6:$E$265,MATCH(D3110,I_COA!$A$6:$A$265,0)),"")</f>
        <v/>
      </c>
      <c r="N3110" s="34" t="str">
        <f aca="false">IF(D3110="","",IFERROR(INDEX(I_COA!$G$6:$G$265,MATCH(D3110,I_COA!$A$6:$A$265,0)),"N"))</f>
        <v/>
      </c>
      <c r="O3110" s="11" t="str">
        <f aca="false">IF(N3110="N",ABS(J3110),"")</f>
        <v/>
      </c>
      <c r="P3110" s="18" t="str">
        <f aca="false">IF(N3110="N",B3110&amp;"|"&amp;ROUND(O3110,0),"")</f>
        <v/>
      </c>
      <c r="Q3110" s="18" t="str">
        <f aca="false">IF(N3110&lt;&gt;"Y","",IFERROR(INDEX($D$6:$D$4005,MATCH(B3110&amp;"|"&amp;ROUND(_xlfn.MAXIFS($O$6:$O$4005,$B$6:$B$4005,B3110,$N$6:$N$4005,"N"),0),$P$6:$P$4005,0)),"(tanpa lawan)"))</f>
        <v/>
      </c>
      <c r="R3110" s="44"/>
      <c r="S3110" s="9" t="str">
        <f aca="false">IF(N3110&lt;&gt;"Y","",IF(R3110&lt;&gt;"",R3110,IF(Q3110="(tanpa lawan)","Transfer antar rekening",IFERROR(INDEX(I_COA!$F$6:$F$265,MATCH(Q3110,I_COA!$A$6:$A$265,0)),"?"))))</f>
        <v/>
      </c>
    </row>
    <row r="3111" customFormat="false" ht="15" hidden="false" customHeight="false" outlineLevel="0" collapsed="false">
      <c r="A3111" s="37"/>
      <c r="B3111" s="44"/>
      <c r="C3111" s="44"/>
      <c r="D3111" s="44"/>
      <c r="E3111" s="44"/>
      <c r="F3111" s="44"/>
      <c r="G3111" s="42"/>
      <c r="H3111" s="42"/>
      <c r="I3111" s="44"/>
      <c r="J3111" s="11" t="str">
        <f aca="false">IF(D3111="","",N(G3111)-N(H3111))</f>
        <v/>
      </c>
      <c r="K3111" s="34" t="str">
        <f aca="false">IF(D3111="","",IFERROR(INDEX(I_COA!$C$6:$C$265,MATCH(D3111,I_COA!$A$6:$A$265,0)),"AKUN BARU"))</f>
        <v/>
      </c>
      <c r="L3111" s="34" t="str">
        <f aca="false">IF(K3111="LabaRugi",INDEX(I_COA!$D$6:$D$265,MATCH(D3111,I_COA!$A$6:$A$265,0)),"")</f>
        <v/>
      </c>
      <c r="M3111" s="34" t="str">
        <f aca="false">IF(K3111="Neraca",INDEX(I_COA!$E$6:$E$265,MATCH(D3111,I_COA!$A$6:$A$265,0)),"")</f>
        <v/>
      </c>
      <c r="N3111" s="34" t="str">
        <f aca="false">IF(D3111="","",IFERROR(INDEX(I_COA!$G$6:$G$265,MATCH(D3111,I_COA!$A$6:$A$265,0)),"N"))</f>
        <v/>
      </c>
      <c r="O3111" s="11" t="str">
        <f aca="false">IF(N3111="N",ABS(J3111),"")</f>
        <v/>
      </c>
      <c r="P3111" s="18" t="str">
        <f aca="false">IF(N3111="N",B3111&amp;"|"&amp;ROUND(O3111,0),"")</f>
        <v/>
      </c>
      <c r="Q3111" s="18" t="str">
        <f aca="false">IF(N3111&lt;&gt;"Y","",IFERROR(INDEX($D$6:$D$4005,MATCH(B3111&amp;"|"&amp;ROUND(_xlfn.MAXIFS($O$6:$O$4005,$B$6:$B$4005,B3111,$N$6:$N$4005,"N"),0),$P$6:$P$4005,0)),"(tanpa lawan)"))</f>
        <v/>
      </c>
      <c r="R3111" s="44"/>
      <c r="S3111" s="9" t="str">
        <f aca="false">IF(N3111&lt;&gt;"Y","",IF(R3111&lt;&gt;"",R3111,IF(Q3111="(tanpa lawan)","Transfer antar rekening",IFERROR(INDEX(I_COA!$F$6:$F$265,MATCH(Q3111,I_COA!$A$6:$A$265,0)),"?"))))</f>
        <v/>
      </c>
    </row>
    <row r="3112" customFormat="false" ht="15" hidden="false" customHeight="false" outlineLevel="0" collapsed="false">
      <c r="A3112" s="37"/>
      <c r="B3112" s="44"/>
      <c r="C3112" s="44"/>
      <c r="D3112" s="44"/>
      <c r="E3112" s="44"/>
      <c r="F3112" s="44"/>
      <c r="G3112" s="42"/>
      <c r="H3112" s="42"/>
      <c r="I3112" s="44"/>
      <c r="J3112" s="11" t="str">
        <f aca="false">IF(D3112="","",N(G3112)-N(H3112))</f>
        <v/>
      </c>
      <c r="K3112" s="34" t="str">
        <f aca="false">IF(D3112="","",IFERROR(INDEX(I_COA!$C$6:$C$265,MATCH(D3112,I_COA!$A$6:$A$265,0)),"AKUN BARU"))</f>
        <v/>
      </c>
      <c r="L3112" s="34" t="str">
        <f aca="false">IF(K3112="LabaRugi",INDEX(I_COA!$D$6:$D$265,MATCH(D3112,I_COA!$A$6:$A$265,0)),"")</f>
        <v/>
      </c>
      <c r="M3112" s="34" t="str">
        <f aca="false">IF(K3112="Neraca",INDEX(I_COA!$E$6:$E$265,MATCH(D3112,I_COA!$A$6:$A$265,0)),"")</f>
        <v/>
      </c>
      <c r="N3112" s="34" t="str">
        <f aca="false">IF(D3112="","",IFERROR(INDEX(I_COA!$G$6:$G$265,MATCH(D3112,I_COA!$A$6:$A$265,0)),"N"))</f>
        <v/>
      </c>
      <c r="O3112" s="11" t="str">
        <f aca="false">IF(N3112="N",ABS(J3112),"")</f>
        <v/>
      </c>
      <c r="P3112" s="18" t="str">
        <f aca="false">IF(N3112="N",B3112&amp;"|"&amp;ROUND(O3112,0),"")</f>
        <v/>
      </c>
      <c r="Q3112" s="18" t="str">
        <f aca="false">IF(N3112&lt;&gt;"Y","",IFERROR(INDEX($D$6:$D$4005,MATCH(B3112&amp;"|"&amp;ROUND(_xlfn.MAXIFS($O$6:$O$4005,$B$6:$B$4005,B3112,$N$6:$N$4005,"N"),0),$P$6:$P$4005,0)),"(tanpa lawan)"))</f>
        <v/>
      </c>
      <c r="R3112" s="44"/>
      <c r="S3112" s="9" t="str">
        <f aca="false">IF(N3112&lt;&gt;"Y","",IF(R3112&lt;&gt;"",R3112,IF(Q3112="(tanpa lawan)","Transfer antar rekening",IFERROR(INDEX(I_COA!$F$6:$F$265,MATCH(Q3112,I_COA!$A$6:$A$265,0)),"?"))))</f>
        <v/>
      </c>
    </row>
    <row r="3113" customFormat="false" ht="15" hidden="false" customHeight="false" outlineLevel="0" collapsed="false">
      <c r="A3113" s="37"/>
      <c r="B3113" s="44"/>
      <c r="C3113" s="44"/>
      <c r="D3113" s="44"/>
      <c r="E3113" s="44"/>
      <c r="F3113" s="44"/>
      <c r="G3113" s="42"/>
      <c r="H3113" s="42"/>
      <c r="I3113" s="44"/>
      <c r="J3113" s="11" t="str">
        <f aca="false">IF(D3113="","",N(G3113)-N(H3113))</f>
        <v/>
      </c>
      <c r="K3113" s="34" t="str">
        <f aca="false">IF(D3113="","",IFERROR(INDEX(I_COA!$C$6:$C$265,MATCH(D3113,I_COA!$A$6:$A$265,0)),"AKUN BARU"))</f>
        <v/>
      </c>
      <c r="L3113" s="34" t="str">
        <f aca="false">IF(K3113="LabaRugi",INDEX(I_COA!$D$6:$D$265,MATCH(D3113,I_COA!$A$6:$A$265,0)),"")</f>
        <v/>
      </c>
      <c r="M3113" s="34" t="str">
        <f aca="false">IF(K3113="Neraca",INDEX(I_COA!$E$6:$E$265,MATCH(D3113,I_COA!$A$6:$A$265,0)),"")</f>
        <v/>
      </c>
      <c r="N3113" s="34" t="str">
        <f aca="false">IF(D3113="","",IFERROR(INDEX(I_COA!$G$6:$G$265,MATCH(D3113,I_COA!$A$6:$A$265,0)),"N"))</f>
        <v/>
      </c>
      <c r="O3113" s="11" t="str">
        <f aca="false">IF(N3113="N",ABS(J3113),"")</f>
        <v/>
      </c>
      <c r="P3113" s="18" t="str">
        <f aca="false">IF(N3113="N",B3113&amp;"|"&amp;ROUND(O3113,0),"")</f>
        <v/>
      </c>
      <c r="Q3113" s="18" t="str">
        <f aca="false">IF(N3113&lt;&gt;"Y","",IFERROR(INDEX($D$6:$D$4005,MATCH(B3113&amp;"|"&amp;ROUND(_xlfn.MAXIFS($O$6:$O$4005,$B$6:$B$4005,B3113,$N$6:$N$4005,"N"),0),$P$6:$P$4005,0)),"(tanpa lawan)"))</f>
        <v/>
      </c>
      <c r="R3113" s="44"/>
      <c r="S3113" s="9" t="str">
        <f aca="false">IF(N3113&lt;&gt;"Y","",IF(R3113&lt;&gt;"",R3113,IF(Q3113="(tanpa lawan)","Transfer antar rekening",IFERROR(INDEX(I_COA!$F$6:$F$265,MATCH(Q3113,I_COA!$A$6:$A$265,0)),"?"))))</f>
        <v/>
      </c>
    </row>
    <row r="3114" customFormat="false" ht="15" hidden="false" customHeight="false" outlineLevel="0" collapsed="false">
      <c r="A3114" s="37"/>
      <c r="B3114" s="44"/>
      <c r="C3114" s="44"/>
      <c r="D3114" s="44"/>
      <c r="E3114" s="44"/>
      <c r="F3114" s="44"/>
      <c r="G3114" s="42"/>
      <c r="H3114" s="42"/>
      <c r="I3114" s="44"/>
      <c r="J3114" s="11" t="str">
        <f aca="false">IF(D3114="","",N(G3114)-N(H3114))</f>
        <v/>
      </c>
      <c r="K3114" s="34" t="str">
        <f aca="false">IF(D3114="","",IFERROR(INDEX(I_COA!$C$6:$C$265,MATCH(D3114,I_COA!$A$6:$A$265,0)),"AKUN BARU"))</f>
        <v/>
      </c>
      <c r="L3114" s="34" t="str">
        <f aca="false">IF(K3114="LabaRugi",INDEX(I_COA!$D$6:$D$265,MATCH(D3114,I_COA!$A$6:$A$265,0)),"")</f>
        <v/>
      </c>
      <c r="M3114" s="34" t="str">
        <f aca="false">IF(K3114="Neraca",INDEX(I_COA!$E$6:$E$265,MATCH(D3114,I_COA!$A$6:$A$265,0)),"")</f>
        <v/>
      </c>
      <c r="N3114" s="34" t="str">
        <f aca="false">IF(D3114="","",IFERROR(INDEX(I_COA!$G$6:$G$265,MATCH(D3114,I_COA!$A$6:$A$265,0)),"N"))</f>
        <v/>
      </c>
      <c r="O3114" s="11" t="str">
        <f aca="false">IF(N3114="N",ABS(J3114),"")</f>
        <v/>
      </c>
      <c r="P3114" s="18" t="str">
        <f aca="false">IF(N3114="N",B3114&amp;"|"&amp;ROUND(O3114,0),"")</f>
        <v/>
      </c>
      <c r="Q3114" s="18" t="str">
        <f aca="false">IF(N3114&lt;&gt;"Y","",IFERROR(INDEX($D$6:$D$4005,MATCH(B3114&amp;"|"&amp;ROUND(_xlfn.MAXIFS($O$6:$O$4005,$B$6:$B$4005,B3114,$N$6:$N$4005,"N"),0),$P$6:$P$4005,0)),"(tanpa lawan)"))</f>
        <v/>
      </c>
      <c r="R3114" s="44"/>
      <c r="S3114" s="9" t="str">
        <f aca="false">IF(N3114&lt;&gt;"Y","",IF(R3114&lt;&gt;"",R3114,IF(Q3114="(tanpa lawan)","Transfer antar rekening",IFERROR(INDEX(I_COA!$F$6:$F$265,MATCH(Q3114,I_COA!$A$6:$A$265,0)),"?"))))</f>
        <v/>
      </c>
    </row>
    <row r="3115" customFormat="false" ht="15" hidden="false" customHeight="false" outlineLevel="0" collapsed="false">
      <c r="A3115" s="37"/>
      <c r="B3115" s="44"/>
      <c r="C3115" s="44"/>
      <c r="D3115" s="44"/>
      <c r="E3115" s="44"/>
      <c r="F3115" s="44"/>
      <c r="G3115" s="42"/>
      <c r="H3115" s="42"/>
      <c r="I3115" s="44"/>
      <c r="J3115" s="11" t="str">
        <f aca="false">IF(D3115="","",N(G3115)-N(H3115))</f>
        <v/>
      </c>
      <c r="K3115" s="34" t="str">
        <f aca="false">IF(D3115="","",IFERROR(INDEX(I_COA!$C$6:$C$265,MATCH(D3115,I_COA!$A$6:$A$265,0)),"AKUN BARU"))</f>
        <v/>
      </c>
      <c r="L3115" s="34" t="str">
        <f aca="false">IF(K3115="LabaRugi",INDEX(I_COA!$D$6:$D$265,MATCH(D3115,I_COA!$A$6:$A$265,0)),"")</f>
        <v/>
      </c>
      <c r="M3115" s="34" t="str">
        <f aca="false">IF(K3115="Neraca",INDEX(I_COA!$E$6:$E$265,MATCH(D3115,I_COA!$A$6:$A$265,0)),"")</f>
        <v/>
      </c>
      <c r="N3115" s="34" t="str">
        <f aca="false">IF(D3115="","",IFERROR(INDEX(I_COA!$G$6:$G$265,MATCH(D3115,I_COA!$A$6:$A$265,0)),"N"))</f>
        <v/>
      </c>
      <c r="O3115" s="11" t="str">
        <f aca="false">IF(N3115="N",ABS(J3115),"")</f>
        <v/>
      </c>
      <c r="P3115" s="18" t="str">
        <f aca="false">IF(N3115="N",B3115&amp;"|"&amp;ROUND(O3115,0),"")</f>
        <v/>
      </c>
      <c r="Q3115" s="18" t="str">
        <f aca="false">IF(N3115&lt;&gt;"Y","",IFERROR(INDEX($D$6:$D$4005,MATCH(B3115&amp;"|"&amp;ROUND(_xlfn.MAXIFS($O$6:$O$4005,$B$6:$B$4005,B3115,$N$6:$N$4005,"N"),0),$P$6:$P$4005,0)),"(tanpa lawan)"))</f>
        <v/>
      </c>
      <c r="R3115" s="44"/>
      <c r="S3115" s="9" t="str">
        <f aca="false">IF(N3115&lt;&gt;"Y","",IF(R3115&lt;&gt;"",R3115,IF(Q3115="(tanpa lawan)","Transfer antar rekening",IFERROR(INDEX(I_COA!$F$6:$F$265,MATCH(Q3115,I_COA!$A$6:$A$265,0)),"?"))))</f>
        <v/>
      </c>
    </row>
    <row r="3116" customFormat="false" ht="15" hidden="false" customHeight="false" outlineLevel="0" collapsed="false">
      <c r="A3116" s="37"/>
      <c r="B3116" s="44"/>
      <c r="C3116" s="44"/>
      <c r="D3116" s="44"/>
      <c r="E3116" s="44"/>
      <c r="F3116" s="44"/>
      <c r="G3116" s="42"/>
      <c r="H3116" s="42"/>
      <c r="I3116" s="44"/>
      <c r="J3116" s="11" t="str">
        <f aca="false">IF(D3116="","",N(G3116)-N(H3116))</f>
        <v/>
      </c>
      <c r="K3116" s="34" t="str">
        <f aca="false">IF(D3116="","",IFERROR(INDEX(I_COA!$C$6:$C$265,MATCH(D3116,I_COA!$A$6:$A$265,0)),"AKUN BARU"))</f>
        <v/>
      </c>
      <c r="L3116" s="34" t="str">
        <f aca="false">IF(K3116="LabaRugi",INDEX(I_COA!$D$6:$D$265,MATCH(D3116,I_COA!$A$6:$A$265,0)),"")</f>
        <v/>
      </c>
      <c r="M3116" s="34" t="str">
        <f aca="false">IF(K3116="Neraca",INDEX(I_COA!$E$6:$E$265,MATCH(D3116,I_COA!$A$6:$A$265,0)),"")</f>
        <v/>
      </c>
      <c r="N3116" s="34" t="str">
        <f aca="false">IF(D3116="","",IFERROR(INDEX(I_COA!$G$6:$G$265,MATCH(D3116,I_COA!$A$6:$A$265,0)),"N"))</f>
        <v/>
      </c>
      <c r="O3116" s="11" t="str">
        <f aca="false">IF(N3116="N",ABS(J3116),"")</f>
        <v/>
      </c>
      <c r="P3116" s="18" t="str">
        <f aca="false">IF(N3116="N",B3116&amp;"|"&amp;ROUND(O3116,0),"")</f>
        <v/>
      </c>
      <c r="Q3116" s="18" t="str">
        <f aca="false">IF(N3116&lt;&gt;"Y","",IFERROR(INDEX($D$6:$D$4005,MATCH(B3116&amp;"|"&amp;ROUND(_xlfn.MAXIFS($O$6:$O$4005,$B$6:$B$4005,B3116,$N$6:$N$4005,"N"),0),$P$6:$P$4005,0)),"(tanpa lawan)"))</f>
        <v/>
      </c>
      <c r="R3116" s="44"/>
      <c r="S3116" s="9" t="str">
        <f aca="false">IF(N3116&lt;&gt;"Y","",IF(R3116&lt;&gt;"",R3116,IF(Q3116="(tanpa lawan)","Transfer antar rekening",IFERROR(INDEX(I_COA!$F$6:$F$265,MATCH(Q3116,I_COA!$A$6:$A$265,0)),"?"))))</f>
        <v/>
      </c>
    </row>
    <row r="3117" customFormat="false" ht="15" hidden="false" customHeight="false" outlineLevel="0" collapsed="false">
      <c r="A3117" s="37"/>
      <c r="B3117" s="44"/>
      <c r="C3117" s="44"/>
      <c r="D3117" s="44"/>
      <c r="E3117" s="44"/>
      <c r="F3117" s="44"/>
      <c r="G3117" s="42"/>
      <c r="H3117" s="42"/>
      <c r="I3117" s="44"/>
      <c r="J3117" s="11" t="str">
        <f aca="false">IF(D3117="","",N(G3117)-N(H3117))</f>
        <v/>
      </c>
      <c r="K3117" s="34" t="str">
        <f aca="false">IF(D3117="","",IFERROR(INDEX(I_COA!$C$6:$C$265,MATCH(D3117,I_COA!$A$6:$A$265,0)),"AKUN BARU"))</f>
        <v/>
      </c>
      <c r="L3117" s="34" t="str">
        <f aca="false">IF(K3117="LabaRugi",INDEX(I_COA!$D$6:$D$265,MATCH(D3117,I_COA!$A$6:$A$265,0)),"")</f>
        <v/>
      </c>
      <c r="M3117" s="34" t="str">
        <f aca="false">IF(K3117="Neraca",INDEX(I_COA!$E$6:$E$265,MATCH(D3117,I_COA!$A$6:$A$265,0)),"")</f>
        <v/>
      </c>
      <c r="N3117" s="34" t="str">
        <f aca="false">IF(D3117="","",IFERROR(INDEX(I_COA!$G$6:$G$265,MATCH(D3117,I_COA!$A$6:$A$265,0)),"N"))</f>
        <v/>
      </c>
      <c r="O3117" s="11" t="str">
        <f aca="false">IF(N3117="N",ABS(J3117),"")</f>
        <v/>
      </c>
      <c r="P3117" s="18" t="str">
        <f aca="false">IF(N3117="N",B3117&amp;"|"&amp;ROUND(O3117,0),"")</f>
        <v/>
      </c>
      <c r="Q3117" s="18" t="str">
        <f aca="false">IF(N3117&lt;&gt;"Y","",IFERROR(INDEX($D$6:$D$4005,MATCH(B3117&amp;"|"&amp;ROUND(_xlfn.MAXIFS($O$6:$O$4005,$B$6:$B$4005,B3117,$N$6:$N$4005,"N"),0),$P$6:$P$4005,0)),"(tanpa lawan)"))</f>
        <v/>
      </c>
      <c r="R3117" s="44"/>
      <c r="S3117" s="9" t="str">
        <f aca="false">IF(N3117&lt;&gt;"Y","",IF(R3117&lt;&gt;"",R3117,IF(Q3117="(tanpa lawan)","Transfer antar rekening",IFERROR(INDEX(I_COA!$F$6:$F$265,MATCH(Q3117,I_COA!$A$6:$A$265,0)),"?"))))</f>
        <v/>
      </c>
    </row>
    <row r="3118" customFormat="false" ht="15" hidden="false" customHeight="false" outlineLevel="0" collapsed="false">
      <c r="A3118" s="37"/>
      <c r="B3118" s="44"/>
      <c r="C3118" s="44"/>
      <c r="D3118" s="44"/>
      <c r="E3118" s="44"/>
      <c r="F3118" s="44"/>
      <c r="G3118" s="42"/>
      <c r="H3118" s="42"/>
      <c r="I3118" s="44"/>
      <c r="J3118" s="11" t="str">
        <f aca="false">IF(D3118="","",N(G3118)-N(H3118))</f>
        <v/>
      </c>
      <c r="K3118" s="34" t="str">
        <f aca="false">IF(D3118="","",IFERROR(INDEX(I_COA!$C$6:$C$265,MATCH(D3118,I_COA!$A$6:$A$265,0)),"AKUN BARU"))</f>
        <v/>
      </c>
      <c r="L3118" s="34" t="str">
        <f aca="false">IF(K3118="LabaRugi",INDEX(I_COA!$D$6:$D$265,MATCH(D3118,I_COA!$A$6:$A$265,0)),"")</f>
        <v/>
      </c>
      <c r="M3118" s="34" t="str">
        <f aca="false">IF(K3118="Neraca",INDEX(I_COA!$E$6:$E$265,MATCH(D3118,I_COA!$A$6:$A$265,0)),"")</f>
        <v/>
      </c>
      <c r="N3118" s="34" t="str">
        <f aca="false">IF(D3118="","",IFERROR(INDEX(I_COA!$G$6:$G$265,MATCH(D3118,I_COA!$A$6:$A$265,0)),"N"))</f>
        <v/>
      </c>
      <c r="O3118" s="11" t="str">
        <f aca="false">IF(N3118="N",ABS(J3118),"")</f>
        <v/>
      </c>
      <c r="P3118" s="18" t="str">
        <f aca="false">IF(N3118="N",B3118&amp;"|"&amp;ROUND(O3118,0),"")</f>
        <v/>
      </c>
      <c r="Q3118" s="18" t="str">
        <f aca="false">IF(N3118&lt;&gt;"Y","",IFERROR(INDEX($D$6:$D$4005,MATCH(B3118&amp;"|"&amp;ROUND(_xlfn.MAXIFS($O$6:$O$4005,$B$6:$B$4005,B3118,$N$6:$N$4005,"N"),0),$P$6:$P$4005,0)),"(tanpa lawan)"))</f>
        <v/>
      </c>
      <c r="R3118" s="44"/>
      <c r="S3118" s="9" t="str">
        <f aca="false">IF(N3118&lt;&gt;"Y","",IF(R3118&lt;&gt;"",R3118,IF(Q3118="(tanpa lawan)","Transfer antar rekening",IFERROR(INDEX(I_COA!$F$6:$F$265,MATCH(Q3118,I_COA!$A$6:$A$265,0)),"?"))))</f>
        <v/>
      </c>
    </row>
    <row r="3119" customFormat="false" ht="15" hidden="false" customHeight="false" outlineLevel="0" collapsed="false">
      <c r="A3119" s="37"/>
      <c r="B3119" s="44"/>
      <c r="C3119" s="44"/>
      <c r="D3119" s="44"/>
      <c r="E3119" s="44"/>
      <c r="F3119" s="44"/>
      <c r="G3119" s="42"/>
      <c r="H3119" s="42"/>
      <c r="I3119" s="44"/>
      <c r="J3119" s="11" t="str">
        <f aca="false">IF(D3119="","",N(G3119)-N(H3119))</f>
        <v/>
      </c>
      <c r="K3119" s="34" t="str">
        <f aca="false">IF(D3119="","",IFERROR(INDEX(I_COA!$C$6:$C$265,MATCH(D3119,I_COA!$A$6:$A$265,0)),"AKUN BARU"))</f>
        <v/>
      </c>
      <c r="L3119" s="34" t="str">
        <f aca="false">IF(K3119="LabaRugi",INDEX(I_COA!$D$6:$D$265,MATCH(D3119,I_COA!$A$6:$A$265,0)),"")</f>
        <v/>
      </c>
      <c r="M3119" s="34" t="str">
        <f aca="false">IF(K3119="Neraca",INDEX(I_COA!$E$6:$E$265,MATCH(D3119,I_COA!$A$6:$A$265,0)),"")</f>
        <v/>
      </c>
      <c r="N3119" s="34" t="str">
        <f aca="false">IF(D3119="","",IFERROR(INDEX(I_COA!$G$6:$G$265,MATCH(D3119,I_COA!$A$6:$A$265,0)),"N"))</f>
        <v/>
      </c>
      <c r="O3119" s="11" t="str">
        <f aca="false">IF(N3119="N",ABS(J3119),"")</f>
        <v/>
      </c>
      <c r="P3119" s="18" t="str">
        <f aca="false">IF(N3119="N",B3119&amp;"|"&amp;ROUND(O3119,0),"")</f>
        <v/>
      </c>
      <c r="Q3119" s="18" t="str">
        <f aca="false">IF(N3119&lt;&gt;"Y","",IFERROR(INDEX($D$6:$D$4005,MATCH(B3119&amp;"|"&amp;ROUND(_xlfn.MAXIFS($O$6:$O$4005,$B$6:$B$4005,B3119,$N$6:$N$4005,"N"),0),$P$6:$P$4005,0)),"(tanpa lawan)"))</f>
        <v/>
      </c>
      <c r="R3119" s="44"/>
      <c r="S3119" s="9" t="str">
        <f aca="false">IF(N3119&lt;&gt;"Y","",IF(R3119&lt;&gt;"",R3119,IF(Q3119="(tanpa lawan)","Transfer antar rekening",IFERROR(INDEX(I_COA!$F$6:$F$265,MATCH(Q3119,I_COA!$A$6:$A$265,0)),"?"))))</f>
        <v/>
      </c>
    </row>
    <row r="3120" customFormat="false" ht="15" hidden="false" customHeight="false" outlineLevel="0" collapsed="false">
      <c r="A3120" s="37"/>
      <c r="B3120" s="44"/>
      <c r="C3120" s="44"/>
      <c r="D3120" s="44"/>
      <c r="E3120" s="44"/>
      <c r="F3120" s="44"/>
      <c r="G3120" s="42"/>
      <c r="H3120" s="42"/>
      <c r="I3120" s="44"/>
      <c r="J3120" s="11" t="str">
        <f aca="false">IF(D3120="","",N(G3120)-N(H3120))</f>
        <v/>
      </c>
      <c r="K3120" s="34" t="str">
        <f aca="false">IF(D3120="","",IFERROR(INDEX(I_COA!$C$6:$C$265,MATCH(D3120,I_COA!$A$6:$A$265,0)),"AKUN BARU"))</f>
        <v/>
      </c>
      <c r="L3120" s="34" t="str">
        <f aca="false">IF(K3120="LabaRugi",INDEX(I_COA!$D$6:$D$265,MATCH(D3120,I_COA!$A$6:$A$265,0)),"")</f>
        <v/>
      </c>
      <c r="M3120" s="34" t="str">
        <f aca="false">IF(K3120="Neraca",INDEX(I_COA!$E$6:$E$265,MATCH(D3120,I_COA!$A$6:$A$265,0)),"")</f>
        <v/>
      </c>
      <c r="N3120" s="34" t="str">
        <f aca="false">IF(D3120="","",IFERROR(INDEX(I_COA!$G$6:$G$265,MATCH(D3120,I_COA!$A$6:$A$265,0)),"N"))</f>
        <v/>
      </c>
      <c r="O3120" s="11" t="str">
        <f aca="false">IF(N3120="N",ABS(J3120),"")</f>
        <v/>
      </c>
      <c r="P3120" s="18" t="str">
        <f aca="false">IF(N3120="N",B3120&amp;"|"&amp;ROUND(O3120,0),"")</f>
        <v/>
      </c>
      <c r="Q3120" s="18" t="str">
        <f aca="false">IF(N3120&lt;&gt;"Y","",IFERROR(INDEX($D$6:$D$4005,MATCH(B3120&amp;"|"&amp;ROUND(_xlfn.MAXIFS($O$6:$O$4005,$B$6:$B$4005,B3120,$N$6:$N$4005,"N"),0),$P$6:$P$4005,0)),"(tanpa lawan)"))</f>
        <v/>
      </c>
      <c r="R3120" s="44"/>
      <c r="S3120" s="9" t="str">
        <f aca="false">IF(N3120&lt;&gt;"Y","",IF(R3120&lt;&gt;"",R3120,IF(Q3120="(tanpa lawan)","Transfer antar rekening",IFERROR(INDEX(I_COA!$F$6:$F$265,MATCH(Q3120,I_COA!$A$6:$A$265,0)),"?"))))</f>
        <v/>
      </c>
    </row>
    <row r="3121" customFormat="false" ht="15" hidden="false" customHeight="false" outlineLevel="0" collapsed="false">
      <c r="A3121" s="37"/>
      <c r="B3121" s="44"/>
      <c r="C3121" s="44"/>
      <c r="D3121" s="44"/>
      <c r="E3121" s="44"/>
      <c r="F3121" s="44"/>
      <c r="G3121" s="42"/>
      <c r="H3121" s="42"/>
      <c r="I3121" s="44"/>
      <c r="J3121" s="11" t="str">
        <f aca="false">IF(D3121="","",N(G3121)-N(H3121))</f>
        <v/>
      </c>
      <c r="K3121" s="34" t="str">
        <f aca="false">IF(D3121="","",IFERROR(INDEX(I_COA!$C$6:$C$265,MATCH(D3121,I_COA!$A$6:$A$265,0)),"AKUN BARU"))</f>
        <v/>
      </c>
      <c r="L3121" s="34" t="str">
        <f aca="false">IF(K3121="LabaRugi",INDEX(I_COA!$D$6:$D$265,MATCH(D3121,I_COA!$A$6:$A$265,0)),"")</f>
        <v/>
      </c>
      <c r="M3121" s="34" t="str">
        <f aca="false">IF(K3121="Neraca",INDEX(I_COA!$E$6:$E$265,MATCH(D3121,I_COA!$A$6:$A$265,0)),"")</f>
        <v/>
      </c>
      <c r="N3121" s="34" t="str">
        <f aca="false">IF(D3121="","",IFERROR(INDEX(I_COA!$G$6:$G$265,MATCH(D3121,I_COA!$A$6:$A$265,0)),"N"))</f>
        <v/>
      </c>
      <c r="O3121" s="11" t="str">
        <f aca="false">IF(N3121="N",ABS(J3121),"")</f>
        <v/>
      </c>
      <c r="P3121" s="18" t="str">
        <f aca="false">IF(N3121="N",B3121&amp;"|"&amp;ROUND(O3121,0),"")</f>
        <v/>
      </c>
      <c r="Q3121" s="18" t="str">
        <f aca="false">IF(N3121&lt;&gt;"Y","",IFERROR(INDEX($D$6:$D$4005,MATCH(B3121&amp;"|"&amp;ROUND(_xlfn.MAXIFS($O$6:$O$4005,$B$6:$B$4005,B3121,$N$6:$N$4005,"N"),0),$P$6:$P$4005,0)),"(tanpa lawan)"))</f>
        <v/>
      </c>
      <c r="R3121" s="44"/>
      <c r="S3121" s="9" t="str">
        <f aca="false">IF(N3121&lt;&gt;"Y","",IF(R3121&lt;&gt;"",R3121,IF(Q3121="(tanpa lawan)","Transfer antar rekening",IFERROR(INDEX(I_COA!$F$6:$F$265,MATCH(Q3121,I_COA!$A$6:$A$265,0)),"?"))))</f>
        <v/>
      </c>
    </row>
    <row r="3122" customFormat="false" ht="15" hidden="false" customHeight="false" outlineLevel="0" collapsed="false">
      <c r="A3122" s="37"/>
      <c r="B3122" s="44"/>
      <c r="C3122" s="44"/>
      <c r="D3122" s="44"/>
      <c r="E3122" s="44"/>
      <c r="F3122" s="44"/>
      <c r="G3122" s="42"/>
      <c r="H3122" s="42"/>
      <c r="I3122" s="44"/>
      <c r="J3122" s="11" t="str">
        <f aca="false">IF(D3122="","",N(G3122)-N(H3122))</f>
        <v/>
      </c>
      <c r="K3122" s="34" t="str">
        <f aca="false">IF(D3122="","",IFERROR(INDEX(I_COA!$C$6:$C$265,MATCH(D3122,I_COA!$A$6:$A$265,0)),"AKUN BARU"))</f>
        <v/>
      </c>
      <c r="L3122" s="34" t="str">
        <f aca="false">IF(K3122="LabaRugi",INDEX(I_COA!$D$6:$D$265,MATCH(D3122,I_COA!$A$6:$A$265,0)),"")</f>
        <v/>
      </c>
      <c r="M3122" s="34" t="str">
        <f aca="false">IF(K3122="Neraca",INDEX(I_COA!$E$6:$E$265,MATCH(D3122,I_COA!$A$6:$A$265,0)),"")</f>
        <v/>
      </c>
      <c r="N3122" s="34" t="str">
        <f aca="false">IF(D3122="","",IFERROR(INDEX(I_COA!$G$6:$G$265,MATCH(D3122,I_COA!$A$6:$A$265,0)),"N"))</f>
        <v/>
      </c>
      <c r="O3122" s="11" t="str">
        <f aca="false">IF(N3122="N",ABS(J3122),"")</f>
        <v/>
      </c>
      <c r="P3122" s="18" t="str">
        <f aca="false">IF(N3122="N",B3122&amp;"|"&amp;ROUND(O3122,0),"")</f>
        <v/>
      </c>
      <c r="Q3122" s="18" t="str">
        <f aca="false">IF(N3122&lt;&gt;"Y","",IFERROR(INDEX($D$6:$D$4005,MATCH(B3122&amp;"|"&amp;ROUND(_xlfn.MAXIFS($O$6:$O$4005,$B$6:$B$4005,B3122,$N$6:$N$4005,"N"),0),$P$6:$P$4005,0)),"(tanpa lawan)"))</f>
        <v/>
      </c>
      <c r="R3122" s="44"/>
      <c r="S3122" s="9" t="str">
        <f aca="false">IF(N3122&lt;&gt;"Y","",IF(R3122&lt;&gt;"",R3122,IF(Q3122="(tanpa lawan)","Transfer antar rekening",IFERROR(INDEX(I_COA!$F$6:$F$265,MATCH(Q3122,I_COA!$A$6:$A$265,0)),"?"))))</f>
        <v/>
      </c>
    </row>
    <row r="3123" customFormat="false" ht="15" hidden="false" customHeight="false" outlineLevel="0" collapsed="false">
      <c r="A3123" s="37"/>
      <c r="B3123" s="44"/>
      <c r="C3123" s="44"/>
      <c r="D3123" s="44"/>
      <c r="E3123" s="44"/>
      <c r="F3123" s="44"/>
      <c r="G3123" s="42"/>
      <c r="H3123" s="42"/>
      <c r="I3123" s="44"/>
      <c r="J3123" s="11" t="str">
        <f aca="false">IF(D3123="","",N(G3123)-N(H3123))</f>
        <v/>
      </c>
      <c r="K3123" s="34" t="str">
        <f aca="false">IF(D3123="","",IFERROR(INDEX(I_COA!$C$6:$C$265,MATCH(D3123,I_COA!$A$6:$A$265,0)),"AKUN BARU"))</f>
        <v/>
      </c>
      <c r="L3123" s="34" t="str">
        <f aca="false">IF(K3123="LabaRugi",INDEX(I_COA!$D$6:$D$265,MATCH(D3123,I_COA!$A$6:$A$265,0)),"")</f>
        <v/>
      </c>
      <c r="M3123" s="34" t="str">
        <f aca="false">IF(K3123="Neraca",INDEX(I_COA!$E$6:$E$265,MATCH(D3123,I_COA!$A$6:$A$265,0)),"")</f>
        <v/>
      </c>
      <c r="N3123" s="34" t="str">
        <f aca="false">IF(D3123="","",IFERROR(INDEX(I_COA!$G$6:$G$265,MATCH(D3123,I_COA!$A$6:$A$265,0)),"N"))</f>
        <v/>
      </c>
      <c r="O3123" s="11" t="str">
        <f aca="false">IF(N3123="N",ABS(J3123),"")</f>
        <v/>
      </c>
      <c r="P3123" s="18" t="str">
        <f aca="false">IF(N3123="N",B3123&amp;"|"&amp;ROUND(O3123,0),"")</f>
        <v/>
      </c>
      <c r="Q3123" s="18" t="str">
        <f aca="false">IF(N3123&lt;&gt;"Y","",IFERROR(INDEX($D$6:$D$4005,MATCH(B3123&amp;"|"&amp;ROUND(_xlfn.MAXIFS($O$6:$O$4005,$B$6:$B$4005,B3123,$N$6:$N$4005,"N"),0),$P$6:$P$4005,0)),"(tanpa lawan)"))</f>
        <v/>
      </c>
      <c r="R3123" s="44"/>
      <c r="S3123" s="9" t="str">
        <f aca="false">IF(N3123&lt;&gt;"Y","",IF(R3123&lt;&gt;"",R3123,IF(Q3123="(tanpa lawan)","Transfer antar rekening",IFERROR(INDEX(I_COA!$F$6:$F$265,MATCH(Q3123,I_COA!$A$6:$A$265,0)),"?"))))</f>
        <v/>
      </c>
    </row>
    <row r="3124" customFormat="false" ht="15" hidden="false" customHeight="false" outlineLevel="0" collapsed="false">
      <c r="A3124" s="37"/>
      <c r="B3124" s="44"/>
      <c r="C3124" s="44"/>
      <c r="D3124" s="44"/>
      <c r="E3124" s="44"/>
      <c r="F3124" s="44"/>
      <c r="G3124" s="42"/>
      <c r="H3124" s="42"/>
      <c r="I3124" s="44"/>
      <c r="J3124" s="11" t="str">
        <f aca="false">IF(D3124="","",N(G3124)-N(H3124))</f>
        <v/>
      </c>
      <c r="K3124" s="34" t="str">
        <f aca="false">IF(D3124="","",IFERROR(INDEX(I_COA!$C$6:$C$265,MATCH(D3124,I_COA!$A$6:$A$265,0)),"AKUN BARU"))</f>
        <v/>
      </c>
      <c r="L3124" s="34" t="str">
        <f aca="false">IF(K3124="LabaRugi",INDEX(I_COA!$D$6:$D$265,MATCH(D3124,I_COA!$A$6:$A$265,0)),"")</f>
        <v/>
      </c>
      <c r="M3124" s="34" t="str">
        <f aca="false">IF(K3124="Neraca",INDEX(I_COA!$E$6:$E$265,MATCH(D3124,I_COA!$A$6:$A$265,0)),"")</f>
        <v/>
      </c>
      <c r="N3124" s="34" t="str">
        <f aca="false">IF(D3124="","",IFERROR(INDEX(I_COA!$G$6:$G$265,MATCH(D3124,I_COA!$A$6:$A$265,0)),"N"))</f>
        <v/>
      </c>
      <c r="O3124" s="11" t="str">
        <f aca="false">IF(N3124="N",ABS(J3124),"")</f>
        <v/>
      </c>
      <c r="P3124" s="18" t="str">
        <f aca="false">IF(N3124="N",B3124&amp;"|"&amp;ROUND(O3124,0),"")</f>
        <v/>
      </c>
      <c r="Q3124" s="18" t="str">
        <f aca="false">IF(N3124&lt;&gt;"Y","",IFERROR(INDEX($D$6:$D$4005,MATCH(B3124&amp;"|"&amp;ROUND(_xlfn.MAXIFS($O$6:$O$4005,$B$6:$B$4005,B3124,$N$6:$N$4005,"N"),0),$P$6:$P$4005,0)),"(tanpa lawan)"))</f>
        <v/>
      </c>
      <c r="R3124" s="44"/>
      <c r="S3124" s="9" t="str">
        <f aca="false">IF(N3124&lt;&gt;"Y","",IF(R3124&lt;&gt;"",R3124,IF(Q3124="(tanpa lawan)","Transfer antar rekening",IFERROR(INDEX(I_COA!$F$6:$F$265,MATCH(Q3124,I_COA!$A$6:$A$265,0)),"?"))))</f>
        <v/>
      </c>
    </row>
    <row r="3125" customFormat="false" ht="15" hidden="false" customHeight="false" outlineLevel="0" collapsed="false">
      <c r="A3125" s="37"/>
      <c r="B3125" s="44"/>
      <c r="C3125" s="44"/>
      <c r="D3125" s="44"/>
      <c r="E3125" s="44"/>
      <c r="F3125" s="44"/>
      <c r="G3125" s="42"/>
      <c r="H3125" s="42"/>
      <c r="I3125" s="44"/>
      <c r="J3125" s="11" t="str">
        <f aca="false">IF(D3125="","",N(G3125)-N(H3125))</f>
        <v/>
      </c>
      <c r="K3125" s="34" t="str">
        <f aca="false">IF(D3125="","",IFERROR(INDEX(I_COA!$C$6:$C$265,MATCH(D3125,I_COA!$A$6:$A$265,0)),"AKUN BARU"))</f>
        <v/>
      </c>
      <c r="L3125" s="34" t="str">
        <f aca="false">IF(K3125="LabaRugi",INDEX(I_COA!$D$6:$D$265,MATCH(D3125,I_COA!$A$6:$A$265,0)),"")</f>
        <v/>
      </c>
      <c r="M3125" s="34" t="str">
        <f aca="false">IF(K3125="Neraca",INDEX(I_COA!$E$6:$E$265,MATCH(D3125,I_COA!$A$6:$A$265,0)),"")</f>
        <v/>
      </c>
      <c r="N3125" s="34" t="str">
        <f aca="false">IF(D3125="","",IFERROR(INDEX(I_COA!$G$6:$G$265,MATCH(D3125,I_COA!$A$6:$A$265,0)),"N"))</f>
        <v/>
      </c>
      <c r="O3125" s="11" t="str">
        <f aca="false">IF(N3125="N",ABS(J3125),"")</f>
        <v/>
      </c>
      <c r="P3125" s="18" t="str">
        <f aca="false">IF(N3125="N",B3125&amp;"|"&amp;ROUND(O3125,0),"")</f>
        <v/>
      </c>
      <c r="Q3125" s="18" t="str">
        <f aca="false">IF(N3125&lt;&gt;"Y","",IFERROR(INDEX($D$6:$D$4005,MATCH(B3125&amp;"|"&amp;ROUND(_xlfn.MAXIFS($O$6:$O$4005,$B$6:$B$4005,B3125,$N$6:$N$4005,"N"),0),$P$6:$P$4005,0)),"(tanpa lawan)"))</f>
        <v/>
      </c>
      <c r="R3125" s="44"/>
      <c r="S3125" s="9" t="str">
        <f aca="false">IF(N3125&lt;&gt;"Y","",IF(R3125&lt;&gt;"",R3125,IF(Q3125="(tanpa lawan)","Transfer antar rekening",IFERROR(INDEX(I_COA!$F$6:$F$265,MATCH(Q3125,I_COA!$A$6:$A$265,0)),"?"))))</f>
        <v/>
      </c>
    </row>
    <row r="3126" customFormat="false" ht="15" hidden="false" customHeight="false" outlineLevel="0" collapsed="false">
      <c r="A3126" s="37"/>
      <c r="B3126" s="44"/>
      <c r="C3126" s="44"/>
      <c r="D3126" s="44"/>
      <c r="E3126" s="44"/>
      <c r="F3126" s="44"/>
      <c r="G3126" s="42"/>
      <c r="H3126" s="42"/>
      <c r="I3126" s="44"/>
      <c r="J3126" s="11" t="str">
        <f aca="false">IF(D3126="","",N(G3126)-N(H3126))</f>
        <v/>
      </c>
      <c r="K3126" s="34" t="str">
        <f aca="false">IF(D3126="","",IFERROR(INDEX(I_COA!$C$6:$C$265,MATCH(D3126,I_COA!$A$6:$A$265,0)),"AKUN BARU"))</f>
        <v/>
      </c>
      <c r="L3126" s="34" t="str">
        <f aca="false">IF(K3126="LabaRugi",INDEX(I_COA!$D$6:$D$265,MATCH(D3126,I_COA!$A$6:$A$265,0)),"")</f>
        <v/>
      </c>
      <c r="M3126" s="34" t="str">
        <f aca="false">IF(K3126="Neraca",INDEX(I_COA!$E$6:$E$265,MATCH(D3126,I_COA!$A$6:$A$265,0)),"")</f>
        <v/>
      </c>
      <c r="N3126" s="34" t="str">
        <f aca="false">IF(D3126="","",IFERROR(INDEX(I_COA!$G$6:$G$265,MATCH(D3126,I_COA!$A$6:$A$265,0)),"N"))</f>
        <v/>
      </c>
      <c r="O3126" s="11" t="str">
        <f aca="false">IF(N3126="N",ABS(J3126),"")</f>
        <v/>
      </c>
      <c r="P3126" s="18" t="str">
        <f aca="false">IF(N3126="N",B3126&amp;"|"&amp;ROUND(O3126,0),"")</f>
        <v/>
      </c>
      <c r="Q3126" s="18" t="str">
        <f aca="false">IF(N3126&lt;&gt;"Y","",IFERROR(INDEX($D$6:$D$4005,MATCH(B3126&amp;"|"&amp;ROUND(_xlfn.MAXIFS($O$6:$O$4005,$B$6:$B$4005,B3126,$N$6:$N$4005,"N"),0),$P$6:$P$4005,0)),"(tanpa lawan)"))</f>
        <v/>
      </c>
      <c r="R3126" s="44"/>
      <c r="S3126" s="9" t="str">
        <f aca="false">IF(N3126&lt;&gt;"Y","",IF(R3126&lt;&gt;"",R3126,IF(Q3126="(tanpa lawan)","Transfer antar rekening",IFERROR(INDEX(I_COA!$F$6:$F$265,MATCH(Q3126,I_COA!$A$6:$A$265,0)),"?"))))</f>
        <v/>
      </c>
    </row>
    <row r="3127" customFormat="false" ht="15" hidden="false" customHeight="false" outlineLevel="0" collapsed="false">
      <c r="A3127" s="37"/>
      <c r="B3127" s="44"/>
      <c r="C3127" s="44"/>
      <c r="D3127" s="44"/>
      <c r="E3127" s="44"/>
      <c r="F3127" s="44"/>
      <c r="G3127" s="42"/>
      <c r="H3127" s="42"/>
      <c r="I3127" s="44"/>
      <c r="J3127" s="11" t="str">
        <f aca="false">IF(D3127="","",N(G3127)-N(H3127))</f>
        <v/>
      </c>
      <c r="K3127" s="34" t="str">
        <f aca="false">IF(D3127="","",IFERROR(INDEX(I_COA!$C$6:$C$265,MATCH(D3127,I_COA!$A$6:$A$265,0)),"AKUN BARU"))</f>
        <v/>
      </c>
      <c r="L3127" s="34" t="str">
        <f aca="false">IF(K3127="LabaRugi",INDEX(I_COA!$D$6:$D$265,MATCH(D3127,I_COA!$A$6:$A$265,0)),"")</f>
        <v/>
      </c>
      <c r="M3127" s="34" t="str">
        <f aca="false">IF(K3127="Neraca",INDEX(I_COA!$E$6:$E$265,MATCH(D3127,I_COA!$A$6:$A$265,0)),"")</f>
        <v/>
      </c>
      <c r="N3127" s="34" t="str">
        <f aca="false">IF(D3127="","",IFERROR(INDEX(I_COA!$G$6:$G$265,MATCH(D3127,I_COA!$A$6:$A$265,0)),"N"))</f>
        <v/>
      </c>
      <c r="O3127" s="11" t="str">
        <f aca="false">IF(N3127="N",ABS(J3127),"")</f>
        <v/>
      </c>
      <c r="P3127" s="18" t="str">
        <f aca="false">IF(N3127="N",B3127&amp;"|"&amp;ROUND(O3127,0),"")</f>
        <v/>
      </c>
      <c r="Q3127" s="18" t="str">
        <f aca="false">IF(N3127&lt;&gt;"Y","",IFERROR(INDEX($D$6:$D$4005,MATCH(B3127&amp;"|"&amp;ROUND(_xlfn.MAXIFS($O$6:$O$4005,$B$6:$B$4005,B3127,$N$6:$N$4005,"N"),0),$P$6:$P$4005,0)),"(tanpa lawan)"))</f>
        <v/>
      </c>
      <c r="R3127" s="44"/>
      <c r="S3127" s="9" t="str">
        <f aca="false">IF(N3127&lt;&gt;"Y","",IF(R3127&lt;&gt;"",R3127,IF(Q3127="(tanpa lawan)","Transfer antar rekening",IFERROR(INDEX(I_COA!$F$6:$F$265,MATCH(Q3127,I_COA!$A$6:$A$265,0)),"?"))))</f>
        <v/>
      </c>
    </row>
    <row r="3128" customFormat="false" ht="15" hidden="false" customHeight="false" outlineLevel="0" collapsed="false">
      <c r="A3128" s="37"/>
      <c r="B3128" s="44"/>
      <c r="C3128" s="44"/>
      <c r="D3128" s="44"/>
      <c r="E3128" s="44"/>
      <c r="F3128" s="44"/>
      <c r="G3128" s="42"/>
      <c r="H3128" s="42"/>
      <c r="I3128" s="44"/>
      <c r="J3128" s="11" t="str">
        <f aca="false">IF(D3128="","",N(G3128)-N(H3128))</f>
        <v/>
      </c>
      <c r="K3128" s="34" t="str">
        <f aca="false">IF(D3128="","",IFERROR(INDEX(I_COA!$C$6:$C$265,MATCH(D3128,I_COA!$A$6:$A$265,0)),"AKUN BARU"))</f>
        <v/>
      </c>
      <c r="L3128" s="34" t="str">
        <f aca="false">IF(K3128="LabaRugi",INDEX(I_COA!$D$6:$D$265,MATCH(D3128,I_COA!$A$6:$A$265,0)),"")</f>
        <v/>
      </c>
      <c r="M3128" s="34" t="str">
        <f aca="false">IF(K3128="Neraca",INDEX(I_COA!$E$6:$E$265,MATCH(D3128,I_COA!$A$6:$A$265,0)),"")</f>
        <v/>
      </c>
      <c r="N3128" s="34" t="str">
        <f aca="false">IF(D3128="","",IFERROR(INDEX(I_COA!$G$6:$G$265,MATCH(D3128,I_COA!$A$6:$A$265,0)),"N"))</f>
        <v/>
      </c>
      <c r="O3128" s="11" t="str">
        <f aca="false">IF(N3128="N",ABS(J3128),"")</f>
        <v/>
      </c>
      <c r="P3128" s="18" t="str">
        <f aca="false">IF(N3128="N",B3128&amp;"|"&amp;ROUND(O3128,0),"")</f>
        <v/>
      </c>
      <c r="Q3128" s="18" t="str">
        <f aca="false">IF(N3128&lt;&gt;"Y","",IFERROR(INDEX($D$6:$D$4005,MATCH(B3128&amp;"|"&amp;ROUND(_xlfn.MAXIFS($O$6:$O$4005,$B$6:$B$4005,B3128,$N$6:$N$4005,"N"),0),$P$6:$P$4005,0)),"(tanpa lawan)"))</f>
        <v/>
      </c>
      <c r="R3128" s="44"/>
      <c r="S3128" s="9" t="str">
        <f aca="false">IF(N3128&lt;&gt;"Y","",IF(R3128&lt;&gt;"",R3128,IF(Q3128="(tanpa lawan)","Transfer antar rekening",IFERROR(INDEX(I_COA!$F$6:$F$265,MATCH(Q3128,I_COA!$A$6:$A$265,0)),"?"))))</f>
        <v/>
      </c>
    </row>
    <row r="3129" customFormat="false" ht="15" hidden="false" customHeight="false" outlineLevel="0" collapsed="false">
      <c r="A3129" s="37"/>
      <c r="B3129" s="44"/>
      <c r="C3129" s="44"/>
      <c r="D3129" s="44"/>
      <c r="E3129" s="44"/>
      <c r="F3129" s="44"/>
      <c r="G3129" s="42"/>
      <c r="H3129" s="42"/>
      <c r="I3129" s="44"/>
      <c r="J3129" s="11" t="str">
        <f aca="false">IF(D3129="","",N(G3129)-N(H3129))</f>
        <v/>
      </c>
      <c r="K3129" s="34" t="str">
        <f aca="false">IF(D3129="","",IFERROR(INDEX(I_COA!$C$6:$C$265,MATCH(D3129,I_COA!$A$6:$A$265,0)),"AKUN BARU"))</f>
        <v/>
      </c>
      <c r="L3129" s="34" t="str">
        <f aca="false">IF(K3129="LabaRugi",INDEX(I_COA!$D$6:$D$265,MATCH(D3129,I_COA!$A$6:$A$265,0)),"")</f>
        <v/>
      </c>
      <c r="M3129" s="34" t="str">
        <f aca="false">IF(K3129="Neraca",INDEX(I_COA!$E$6:$E$265,MATCH(D3129,I_COA!$A$6:$A$265,0)),"")</f>
        <v/>
      </c>
      <c r="N3129" s="34" t="str">
        <f aca="false">IF(D3129="","",IFERROR(INDEX(I_COA!$G$6:$G$265,MATCH(D3129,I_COA!$A$6:$A$265,0)),"N"))</f>
        <v/>
      </c>
      <c r="O3129" s="11" t="str">
        <f aca="false">IF(N3129="N",ABS(J3129),"")</f>
        <v/>
      </c>
      <c r="P3129" s="18" t="str">
        <f aca="false">IF(N3129="N",B3129&amp;"|"&amp;ROUND(O3129,0),"")</f>
        <v/>
      </c>
      <c r="Q3129" s="18" t="str">
        <f aca="false">IF(N3129&lt;&gt;"Y","",IFERROR(INDEX($D$6:$D$4005,MATCH(B3129&amp;"|"&amp;ROUND(_xlfn.MAXIFS($O$6:$O$4005,$B$6:$B$4005,B3129,$N$6:$N$4005,"N"),0),$P$6:$P$4005,0)),"(tanpa lawan)"))</f>
        <v/>
      </c>
      <c r="R3129" s="44"/>
      <c r="S3129" s="9" t="str">
        <f aca="false">IF(N3129&lt;&gt;"Y","",IF(R3129&lt;&gt;"",R3129,IF(Q3129="(tanpa lawan)","Transfer antar rekening",IFERROR(INDEX(I_COA!$F$6:$F$265,MATCH(Q3129,I_COA!$A$6:$A$265,0)),"?"))))</f>
        <v/>
      </c>
    </row>
    <row r="3130" customFormat="false" ht="15" hidden="false" customHeight="false" outlineLevel="0" collapsed="false">
      <c r="A3130" s="37"/>
      <c r="B3130" s="44"/>
      <c r="C3130" s="44"/>
      <c r="D3130" s="44"/>
      <c r="E3130" s="44"/>
      <c r="F3130" s="44"/>
      <c r="G3130" s="42"/>
      <c r="H3130" s="42"/>
      <c r="I3130" s="44"/>
      <c r="J3130" s="11" t="str">
        <f aca="false">IF(D3130="","",N(G3130)-N(H3130))</f>
        <v/>
      </c>
      <c r="K3130" s="34" t="str">
        <f aca="false">IF(D3130="","",IFERROR(INDEX(I_COA!$C$6:$C$265,MATCH(D3130,I_COA!$A$6:$A$265,0)),"AKUN BARU"))</f>
        <v/>
      </c>
      <c r="L3130" s="34" t="str">
        <f aca="false">IF(K3130="LabaRugi",INDEX(I_COA!$D$6:$D$265,MATCH(D3130,I_COA!$A$6:$A$265,0)),"")</f>
        <v/>
      </c>
      <c r="M3130" s="34" t="str">
        <f aca="false">IF(K3130="Neraca",INDEX(I_COA!$E$6:$E$265,MATCH(D3130,I_COA!$A$6:$A$265,0)),"")</f>
        <v/>
      </c>
      <c r="N3130" s="34" t="str">
        <f aca="false">IF(D3130="","",IFERROR(INDEX(I_COA!$G$6:$G$265,MATCH(D3130,I_COA!$A$6:$A$265,0)),"N"))</f>
        <v/>
      </c>
      <c r="O3130" s="11" t="str">
        <f aca="false">IF(N3130="N",ABS(J3130),"")</f>
        <v/>
      </c>
      <c r="P3130" s="18" t="str">
        <f aca="false">IF(N3130="N",B3130&amp;"|"&amp;ROUND(O3130,0),"")</f>
        <v/>
      </c>
      <c r="Q3130" s="18" t="str">
        <f aca="false">IF(N3130&lt;&gt;"Y","",IFERROR(INDEX($D$6:$D$4005,MATCH(B3130&amp;"|"&amp;ROUND(_xlfn.MAXIFS($O$6:$O$4005,$B$6:$B$4005,B3130,$N$6:$N$4005,"N"),0),$P$6:$P$4005,0)),"(tanpa lawan)"))</f>
        <v/>
      </c>
      <c r="R3130" s="44"/>
      <c r="S3130" s="9" t="str">
        <f aca="false">IF(N3130&lt;&gt;"Y","",IF(R3130&lt;&gt;"",R3130,IF(Q3130="(tanpa lawan)","Transfer antar rekening",IFERROR(INDEX(I_COA!$F$6:$F$265,MATCH(Q3130,I_COA!$A$6:$A$265,0)),"?"))))</f>
        <v/>
      </c>
    </row>
    <row r="3131" customFormat="false" ht="15" hidden="false" customHeight="false" outlineLevel="0" collapsed="false">
      <c r="A3131" s="37"/>
      <c r="B3131" s="44"/>
      <c r="C3131" s="44"/>
      <c r="D3131" s="44"/>
      <c r="E3131" s="44"/>
      <c r="F3131" s="44"/>
      <c r="G3131" s="42"/>
      <c r="H3131" s="42"/>
      <c r="I3131" s="44"/>
      <c r="J3131" s="11" t="str">
        <f aca="false">IF(D3131="","",N(G3131)-N(H3131))</f>
        <v/>
      </c>
      <c r="K3131" s="34" t="str">
        <f aca="false">IF(D3131="","",IFERROR(INDEX(I_COA!$C$6:$C$265,MATCH(D3131,I_COA!$A$6:$A$265,0)),"AKUN BARU"))</f>
        <v/>
      </c>
      <c r="L3131" s="34" t="str">
        <f aca="false">IF(K3131="LabaRugi",INDEX(I_COA!$D$6:$D$265,MATCH(D3131,I_COA!$A$6:$A$265,0)),"")</f>
        <v/>
      </c>
      <c r="M3131" s="34" t="str">
        <f aca="false">IF(K3131="Neraca",INDEX(I_COA!$E$6:$E$265,MATCH(D3131,I_COA!$A$6:$A$265,0)),"")</f>
        <v/>
      </c>
      <c r="N3131" s="34" t="str">
        <f aca="false">IF(D3131="","",IFERROR(INDEX(I_COA!$G$6:$G$265,MATCH(D3131,I_COA!$A$6:$A$265,0)),"N"))</f>
        <v/>
      </c>
      <c r="O3131" s="11" t="str">
        <f aca="false">IF(N3131="N",ABS(J3131),"")</f>
        <v/>
      </c>
      <c r="P3131" s="18" t="str">
        <f aca="false">IF(N3131="N",B3131&amp;"|"&amp;ROUND(O3131,0),"")</f>
        <v/>
      </c>
      <c r="Q3131" s="18" t="str">
        <f aca="false">IF(N3131&lt;&gt;"Y","",IFERROR(INDEX($D$6:$D$4005,MATCH(B3131&amp;"|"&amp;ROUND(_xlfn.MAXIFS($O$6:$O$4005,$B$6:$B$4005,B3131,$N$6:$N$4005,"N"),0),$P$6:$P$4005,0)),"(tanpa lawan)"))</f>
        <v/>
      </c>
      <c r="R3131" s="44"/>
      <c r="S3131" s="9" t="str">
        <f aca="false">IF(N3131&lt;&gt;"Y","",IF(R3131&lt;&gt;"",R3131,IF(Q3131="(tanpa lawan)","Transfer antar rekening",IFERROR(INDEX(I_COA!$F$6:$F$265,MATCH(Q3131,I_COA!$A$6:$A$265,0)),"?"))))</f>
        <v/>
      </c>
    </row>
    <row r="3132" customFormat="false" ht="15" hidden="false" customHeight="false" outlineLevel="0" collapsed="false">
      <c r="A3132" s="37"/>
      <c r="B3132" s="44"/>
      <c r="C3132" s="44"/>
      <c r="D3132" s="44"/>
      <c r="E3132" s="44"/>
      <c r="F3132" s="44"/>
      <c r="G3132" s="42"/>
      <c r="H3132" s="42"/>
      <c r="I3132" s="44"/>
      <c r="J3132" s="11" t="str">
        <f aca="false">IF(D3132="","",N(G3132)-N(H3132))</f>
        <v/>
      </c>
      <c r="K3132" s="34" t="str">
        <f aca="false">IF(D3132="","",IFERROR(INDEX(I_COA!$C$6:$C$265,MATCH(D3132,I_COA!$A$6:$A$265,0)),"AKUN BARU"))</f>
        <v/>
      </c>
      <c r="L3132" s="34" t="str">
        <f aca="false">IF(K3132="LabaRugi",INDEX(I_COA!$D$6:$D$265,MATCH(D3132,I_COA!$A$6:$A$265,0)),"")</f>
        <v/>
      </c>
      <c r="M3132" s="34" t="str">
        <f aca="false">IF(K3132="Neraca",INDEX(I_COA!$E$6:$E$265,MATCH(D3132,I_COA!$A$6:$A$265,0)),"")</f>
        <v/>
      </c>
      <c r="N3132" s="34" t="str">
        <f aca="false">IF(D3132="","",IFERROR(INDEX(I_COA!$G$6:$G$265,MATCH(D3132,I_COA!$A$6:$A$265,0)),"N"))</f>
        <v/>
      </c>
      <c r="O3132" s="11" t="str">
        <f aca="false">IF(N3132="N",ABS(J3132),"")</f>
        <v/>
      </c>
      <c r="P3132" s="18" t="str">
        <f aca="false">IF(N3132="N",B3132&amp;"|"&amp;ROUND(O3132,0),"")</f>
        <v/>
      </c>
      <c r="Q3132" s="18" t="str">
        <f aca="false">IF(N3132&lt;&gt;"Y","",IFERROR(INDEX($D$6:$D$4005,MATCH(B3132&amp;"|"&amp;ROUND(_xlfn.MAXIFS($O$6:$O$4005,$B$6:$B$4005,B3132,$N$6:$N$4005,"N"),0),$P$6:$P$4005,0)),"(tanpa lawan)"))</f>
        <v/>
      </c>
      <c r="R3132" s="44"/>
      <c r="S3132" s="9" t="str">
        <f aca="false">IF(N3132&lt;&gt;"Y","",IF(R3132&lt;&gt;"",R3132,IF(Q3132="(tanpa lawan)","Transfer antar rekening",IFERROR(INDEX(I_COA!$F$6:$F$265,MATCH(Q3132,I_COA!$A$6:$A$265,0)),"?"))))</f>
        <v/>
      </c>
    </row>
    <row r="3133" customFormat="false" ht="15" hidden="false" customHeight="false" outlineLevel="0" collapsed="false">
      <c r="A3133" s="37"/>
      <c r="B3133" s="44"/>
      <c r="C3133" s="44"/>
      <c r="D3133" s="44"/>
      <c r="E3133" s="44"/>
      <c r="F3133" s="44"/>
      <c r="G3133" s="42"/>
      <c r="H3133" s="42"/>
      <c r="I3133" s="44"/>
      <c r="J3133" s="11" t="str">
        <f aca="false">IF(D3133="","",N(G3133)-N(H3133))</f>
        <v/>
      </c>
      <c r="K3133" s="34" t="str">
        <f aca="false">IF(D3133="","",IFERROR(INDEX(I_COA!$C$6:$C$265,MATCH(D3133,I_COA!$A$6:$A$265,0)),"AKUN BARU"))</f>
        <v/>
      </c>
      <c r="L3133" s="34" t="str">
        <f aca="false">IF(K3133="LabaRugi",INDEX(I_COA!$D$6:$D$265,MATCH(D3133,I_COA!$A$6:$A$265,0)),"")</f>
        <v/>
      </c>
      <c r="M3133" s="34" t="str">
        <f aca="false">IF(K3133="Neraca",INDEX(I_COA!$E$6:$E$265,MATCH(D3133,I_COA!$A$6:$A$265,0)),"")</f>
        <v/>
      </c>
      <c r="N3133" s="34" t="str">
        <f aca="false">IF(D3133="","",IFERROR(INDEX(I_COA!$G$6:$G$265,MATCH(D3133,I_COA!$A$6:$A$265,0)),"N"))</f>
        <v/>
      </c>
      <c r="O3133" s="11" t="str">
        <f aca="false">IF(N3133="N",ABS(J3133),"")</f>
        <v/>
      </c>
      <c r="P3133" s="18" t="str">
        <f aca="false">IF(N3133="N",B3133&amp;"|"&amp;ROUND(O3133,0),"")</f>
        <v/>
      </c>
      <c r="Q3133" s="18" t="str">
        <f aca="false">IF(N3133&lt;&gt;"Y","",IFERROR(INDEX($D$6:$D$4005,MATCH(B3133&amp;"|"&amp;ROUND(_xlfn.MAXIFS($O$6:$O$4005,$B$6:$B$4005,B3133,$N$6:$N$4005,"N"),0),$P$6:$P$4005,0)),"(tanpa lawan)"))</f>
        <v/>
      </c>
      <c r="R3133" s="44"/>
      <c r="S3133" s="9" t="str">
        <f aca="false">IF(N3133&lt;&gt;"Y","",IF(R3133&lt;&gt;"",R3133,IF(Q3133="(tanpa lawan)","Transfer antar rekening",IFERROR(INDEX(I_COA!$F$6:$F$265,MATCH(Q3133,I_COA!$A$6:$A$265,0)),"?"))))</f>
        <v/>
      </c>
    </row>
    <row r="3134" customFormat="false" ht="15" hidden="false" customHeight="false" outlineLevel="0" collapsed="false">
      <c r="A3134" s="37"/>
      <c r="B3134" s="44"/>
      <c r="C3134" s="44"/>
      <c r="D3134" s="44"/>
      <c r="E3134" s="44"/>
      <c r="F3134" s="44"/>
      <c r="G3134" s="42"/>
      <c r="H3134" s="42"/>
      <c r="I3134" s="44"/>
      <c r="J3134" s="11" t="str">
        <f aca="false">IF(D3134="","",N(G3134)-N(H3134))</f>
        <v/>
      </c>
      <c r="K3134" s="34" t="str">
        <f aca="false">IF(D3134="","",IFERROR(INDEX(I_COA!$C$6:$C$265,MATCH(D3134,I_COA!$A$6:$A$265,0)),"AKUN BARU"))</f>
        <v/>
      </c>
      <c r="L3134" s="34" t="str">
        <f aca="false">IF(K3134="LabaRugi",INDEX(I_COA!$D$6:$D$265,MATCH(D3134,I_COA!$A$6:$A$265,0)),"")</f>
        <v/>
      </c>
      <c r="M3134" s="34" t="str">
        <f aca="false">IF(K3134="Neraca",INDEX(I_COA!$E$6:$E$265,MATCH(D3134,I_COA!$A$6:$A$265,0)),"")</f>
        <v/>
      </c>
      <c r="N3134" s="34" t="str">
        <f aca="false">IF(D3134="","",IFERROR(INDEX(I_COA!$G$6:$G$265,MATCH(D3134,I_COA!$A$6:$A$265,0)),"N"))</f>
        <v/>
      </c>
      <c r="O3134" s="11" t="str">
        <f aca="false">IF(N3134="N",ABS(J3134),"")</f>
        <v/>
      </c>
      <c r="P3134" s="18" t="str">
        <f aca="false">IF(N3134="N",B3134&amp;"|"&amp;ROUND(O3134,0),"")</f>
        <v/>
      </c>
      <c r="Q3134" s="18" t="str">
        <f aca="false">IF(N3134&lt;&gt;"Y","",IFERROR(INDEX($D$6:$D$4005,MATCH(B3134&amp;"|"&amp;ROUND(_xlfn.MAXIFS($O$6:$O$4005,$B$6:$B$4005,B3134,$N$6:$N$4005,"N"),0),$P$6:$P$4005,0)),"(tanpa lawan)"))</f>
        <v/>
      </c>
      <c r="R3134" s="44"/>
      <c r="S3134" s="9" t="str">
        <f aca="false">IF(N3134&lt;&gt;"Y","",IF(R3134&lt;&gt;"",R3134,IF(Q3134="(tanpa lawan)","Transfer antar rekening",IFERROR(INDEX(I_COA!$F$6:$F$265,MATCH(Q3134,I_COA!$A$6:$A$265,0)),"?"))))</f>
        <v/>
      </c>
    </row>
    <row r="3135" customFormat="false" ht="15" hidden="false" customHeight="false" outlineLevel="0" collapsed="false">
      <c r="A3135" s="37"/>
      <c r="B3135" s="44"/>
      <c r="C3135" s="44"/>
      <c r="D3135" s="44"/>
      <c r="E3135" s="44"/>
      <c r="F3135" s="44"/>
      <c r="G3135" s="42"/>
      <c r="H3135" s="42"/>
      <c r="I3135" s="44"/>
      <c r="J3135" s="11" t="str">
        <f aca="false">IF(D3135="","",N(G3135)-N(H3135))</f>
        <v/>
      </c>
      <c r="K3135" s="34" t="str">
        <f aca="false">IF(D3135="","",IFERROR(INDEX(I_COA!$C$6:$C$265,MATCH(D3135,I_COA!$A$6:$A$265,0)),"AKUN BARU"))</f>
        <v/>
      </c>
      <c r="L3135" s="34" t="str">
        <f aca="false">IF(K3135="LabaRugi",INDEX(I_COA!$D$6:$D$265,MATCH(D3135,I_COA!$A$6:$A$265,0)),"")</f>
        <v/>
      </c>
      <c r="M3135" s="34" t="str">
        <f aca="false">IF(K3135="Neraca",INDEX(I_COA!$E$6:$E$265,MATCH(D3135,I_COA!$A$6:$A$265,0)),"")</f>
        <v/>
      </c>
      <c r="N3135" s="34" t="str">
        <f aca="false">IF(D3135="","",IFERROR(INDEX(I_COA!$G$6:$G$265,MATCH(D3135,I_COA!$A$6:$A$265,0)),"N"))</f>
        <v/>
      </c>
      <c r="O3135" s="11" t="str">
        <f aca="false">IF(N3135="N",ABS(J3135),"")</f>
        <v/>
      </c>
      <c r="P3135" s="18" t="str">
        <f aca="false">IF(N3135="N",B3135&amp;"|"&amp;ROUND(O3135,0),"")</f>
        <v/>
      </c>
      <c r="Q3135" s="18" t="str">
        <f aca="false">IF(N3135&lt;&gt;"Y","",IFERROR(INDEX($D$6:$D$4005,MATCH(B3135&amp;"|"&amp;ROUND(_xlfn.MAXIFS($O$6:$O$4005,$B$6:$B$4005,B3135,$N$6:$N$4005,"N"),0),$P$6:$P$4005,0)),"(tanpa lawan)"))</f>
        <v/>
      </c>
      <c r="R3135" s="44"/>
      <c r="S3135" s="9" t="str">
        <f aca="false">IF(N3135&lt;&gt;"Y","",IF(R3135&lt;&gt;"",R3135,IF(Q3135="(tanpa lawan)","Transfer antar rekening",IFERROR(INDEX(I_COA!$F$6:$F$265,MATCH(Q3135,I_COA!$A$6:$A$265,0)),"?"))))</f>
        <v/>
      </c>
    </row>
    <row r="3136" customFormat="false" ht="15" hidden="false" customHeight="false" outlineLevel="0" collapsed="false">
      <c r="A3136" s="37"/>
      <c r="B3136" s="44"/>
      <c r="C3136" s="44"/>
      <c r="D3136" s="44"/>
      <c r="E3136" s="44"/>
      <c r="F3136" s="44"/>
      <c r="G3136" s="42"/>
      <c r="H3136" s="42"/>
      <c r="I3136" s="44"/>
      <c r="J3136" s="11" t="str">
        <f aca="false">IF(D3136="","",N(G3136)-N(H3136))</f>
        <v/>
      </c>
      <c r="K3136" s="34" t="str">
        <f aca="false">IF(D3136="","",IFERROR(INDEX(I_COA!$C$6:$C$265,MATCH(D3136,I_COA!$A$6:$A$265,0)),"AKUN BARU"))</f>
        <v/>
      </c>
      <c r="L3136" s="34" t="str">
        <f aca="false">IF(K3136="LabaRugi",INDEX(I_COA!$D$6:$D$265,MATCH(D3136,I_COA!$A$6:$A$265,0)),"")</f>
        <v/>
      </c>
      <c r="M3136" s="34" t="str">
        <f aca="false">IF(K3136="Neraca",INDEX(I_COA!$E$6:$E$265,MATCH(D3136,I_COA!$A$6:$A$265,0)),"")</f>
        <v/>
      </c>
      <c r="N3136" s="34" t="str">
        <f aca="false">IF(D3136="","",IFERROR(INDEX(I_COA!$G$6:$G$265,MATCH(D3136,I_COA!$A$6:$A$265,0)),"N"))</f>
        <v/>
      </c>
      <c r="O3136" s="11" t="str">
        <f aca="false">IF(N3136="N",ABS(J3136),"")</f>
        <v/>
      </c>
      <c r="P3136" s="18" t="str">
        <f aca="false">IF(N3136="N",B3136&amp;"|"&amp;ROUND(O3136,0),"")</f>
        <v/>
      </c>
      <c r="Q3136" s="18" t="str">
        <f aca="false">IF(N3136&lt;&gt;"Y","",IFERROR(INDEX($D$6:$D$4005,MATCH(B3136&amp;"|"&amp;ROUND(_xlfn.MAXIFS($O$6:$O$4005,$B$6:$B$4005,B3136,$N$6:$N$4005,"N"),0),$P$6:$P$4005,0)),"(tanpa lawan)"))</f>
        <v/>
      </c>
      <c r="R3136" s="44"/>
      <c r="S3136" s="9" t="str">
        <f aca="false">IF(N3136&lt;&gt;"Y","",IF(R3136&lt;&gt;"",R3136,IF(Q3136="(tanpa lawan)","Transfer antar rekening",IFERROR(INDEX(I_COA!$F$6:$F$265,MATCH(Q3136,I_COA!$A$6:$A$265,0)),"?"))))</f>
        <v/>
      </c>
    </row>
    <row r="3137" customFormat="false" ht="15" hidden="false" customHeight="false" outlineLevel="0" collapsed="false">
      <c r="A3137" s="37"/>
      <c r="B3137" s="44"/>
      <c r="C3137" s="44"/>
      <c r="D3137" s="44"/>
      <c r="E3137" s="44"/>
      <c r="F3137" s="44"/>
      <c r="G3137" s="42"/>
      <c r="H3137" s="42"/>
      <c r="I3137" s="44"/>
      <c r="J3137" s="11" t="str">
        <f aca="false">IF(D3137="","",N(G3137)-N(H3137))</f>
        <v/>
      </c>
      <c r="K3137" s="34" t="str">
        <f aca="false">IF(D3137="","",IFERROR(INDEX(I_COA!$C$6:$C$265,MATCH(D3137,I_COA!$A$6:$A$265,0)),"AKUN BARU"))</f>
        <v/>
      </c>
      <c r="L3137" s="34" t="str">
        <f aca="false">IF(K3137="LabaRugi",INDEX(I_COA!$D$6:$D$265,MATCH(D3137,I_COA!$A$6:$A$265,0)),"")</f>
        <v/>
      </c>
      <c r="M3137" s="34" t="str">
        <f aca="false">IF(K3137="Neraca",INDEX(I_COA!$E$6:$E$265,MATCH(D3137,I_COA!$A$6:$A$265,0)),"")</f>
        <v/>
      </c>
      <c r="N3137" s="34" t="str">
        <f aca="false">IF(D3137="","",IFERROR(INDEX(I_COA!$G$6:$G$265,MATCH(D3137,I_COA!$A$6:$A$265,0)),"N"))</f>
        <v/>
      </c>
      <c r="O3137" s="11" t="str">
        <f aca="false">IF(N3137="N",ABS(J3137),"")</f>
        <v/>
      </c>
      <c r="P3137" s="18" t="str">
        <f aca="false">IF(N3137="N",B3137&amp;"|"&amp;ROUND(O3137,0),"")</f>
        <v/>
      </c>
      <c r="Q3137" s="18" t="str">
        <f aca="false">IF(N3137&lt;&gt;"Y","",IFERROR(INDEX($D$6:$D$4005,MATCH(B3137&amp;"|"&amp;ROUND(_xlfn.MAXIFS($O$6:$O$4005,$B$6:$B$4005,B3137,$N$6:$N$4005,"N"),0),$P$6:$P$4005,0)),"(tanpa lawan)"))</f>
        <v/>
      </c>
      <c r="R3137" s="44"/>
      <c r="S3137" s="9" t="str">
        <f aca="false">IF(N3137&lt;&gt;"Y","",IF(R3137&lt;&gt;"",R3137,IF(Q3137="(tanpa lawan)","Transfer antar rekening",IFERROR(INDEX(I_COA!$F$6:$F$265,MATCH(Q3137,I_COA!$A$6:$A$265,0)),"?"))))</f>
        <v/>
      </c>
    </row>
    <row r="3138" customFormat="false" ht="15" hidden="false" customHeight="false" outlineLevel="0" collapsed="false">
      <c r="A3138" s="37"/>
      <c r="B3138" s="44"/>
      <c r="C3138" s="44"/>
      <c r="D3138" s="44"/>
      <c r="E3138" s="44"/>
      <c r="F3138" s="44"/>
      <c r="G3138" s="42"/>
      <c r="H3138" s="42"/>
      <c r="I3138" s="44"/>
      <c r="J3138" s="11" t="str">
        <f aca="false">IF(D3138="","",N(G3138)-N(H3138))</f>
        <v/>
      </c>
      <c r="K3138" s="34" t="str">
        <f aca="false">IF(D3138="","",IFERROR(INDEX(I_COA!$C$6:$C$265,MATCH(D3138,I_COA!$A$6:$A$265,0)),"AKUN BARU"))</f>
        <v/>
      </c>
      <c r="L3138" s="34" t="str">
        <f aca="false">IF(K3138="LabaRugi",INDEX(I_COA!$D$6:$D$265,MATCH(D3138,I_COA!$A$6:$A$265,0)),"")</f>
        <v/>
      </c>
      <c r="M3138" s="34" t="str">
        <f aca="false">IF(K3138="Neraca",INDEX(I_COA!$E$6:$E$265,MATCH(D3138,I_COA!$A$6:$A$265,0)),"")</f>
        <v/>
      </c>
      <c r="N3138" s="34" t="str">
        <f aca="false">IF(D3138="","",IFERROR(INDEX(I_COA!$G$6:$G$265,MATCH(D3138,I_COA!$A$6:$A$265,0)),"N"))</f>
        <v/>
      </c>
      <c r="O3138" s="11" t="str">
        <f aca="false">IF(N3138="N",ABS(J3138),"")</f>
        <v/>
      </c>
      <c r="P3138" s="18" t="str">
        <f aca="false">IF(N3138="N",B3138&amp;"|"&amp;ROUND(O3138,0),"")</f>
        <v/>
      </c>
      <c r="Q3138" s="18" t="str">
        <f aca="false">IF(N3138&lt;&gt;"Y","",IFERROR(INDEX($D$6:$D$4005,MATCH(B3138&amp;"|"&amp;ROUND(_xlfn.MAXIFS($O$6:$O$4005,$B$6:$B$4005,B3138,$N$6:$N$4005,"N"),0),$P$6:$P$4005,0)),"(tanpa lawan)"))</f>
        <v/>
      </c>
      <c r="R3138" s="44"/>
      <c r="S3138" s="9" t="str">
        <f aca="false">IF(N3138&lt;&gt;"Y","",IF(R3138&lt;&gt;"",R3138,IF(Q3138="(tanpa lawan)","Transfer antar rekening",IFERROR(INDEX(I_COA!$F$6:$F$265,MATCH(Q3138,I_COA!$A$6:$A$265,0)),"?"))))</f>
        <v/>
      </c>
    </row>
    <row r="3139" customFormat="false" ht="15" hidden="false" customHeight="false" outlineLevel="0" collapsed="false">
      <c r="A3139" s="37"/>
      <c r="B3139" s="44"/>
      <c r="C3139" s="44"/>
      <c r="D3139" s="44"/>
      <c r="E3139" s="44"/>
      <c r="F3139" s="44"/>
      <c r="G3139" s="42"/>
      <c r="H3139" s="42"/>
      <c r="I3139" s="44"/>
      <c r="J3139" s="11" t="str">
        <f aca="false">IF(D3139="","",N(G3139)-N(H3139))</f>
        <v/>
      </c>
      <c r="K3139" s="34" t="str">
        <f aca="false">IF(D3139="","",IFERROR(INDEX(I_COA!$C$6:$C$265,MATCH(D3139,I_COA!$A$6:$A$265,0)),"AKUN BARU"))</f>
        <v/>
      </c>
      <c r="L3139" s="34" t="str">
        <f aca="false">IF(K3139="LabaRugi",INDEX(I_COA!$D$6:$D$265,MATCH(D3139,I_COA!$A$6:$A$265,0)),"")</f>
        <v/>
      </c>
      <c r="M3139" s="34" t="str">
        <f aca="false">IF(K3139="Neraca",INDEX(I_COA!$E$6:$E$265,MATCH(D3139,I_COA!$A$6:$A$265,0)),"")</f>
        <v/>
      </c>
      <c r="N3139" s="34" t="str">
        <f aca="false">IF(D3139="","",IFERROR(INDEX(I_COA!$G$6:$G$265,MATCH(D3139,I_COA!$A$6:$A$265,0)),"N"))</f>
        <v/>
      </c>
      <c r="O3139" s="11" t="str">
        <f aca="false">IF(N3139="N",ABS(J3139),"")</f>
        <v/>
      </c>
      <c r="P3139" s="18" t="str">
        <f aca="false">IF(N3139="N",B3139&amp;"|"&amp;ROUND(O3139,0),"")</f>
        <v/>
      </c>
      <c r="Q3139" s="18" t="str">
        <f aca="false">IF(N3139&lt;&gt;"Y","",IFERROR(INDEX($D$6:$D$4005,MATCH(B3139&amp;"|"&amp;ROUND(_xlfn.MAXIFS($O$6:$O$4005,$B$6:$B$4005,B3139,$N$6:$N$4005,"N"),0),$P$6:$P$4005,0)),"(tanpa lawan)"))</f>
        <v/>
      </c>
      <c r="R3139" s="44"/>
      <c r="S3139" s="9" t="str">
        <f aca="false">IF(N3139&lt;&gt;"Y","",IF(R3139&lt;&gt;"",R3139,IF(Q3139="(tanpa lawan)","Transfer antar rekening",IFERROR(INDEX(I_COA!$F$6:$F$265,MATCH(Q3139,I_COA!$A$6:$A$265,0)),"?"))))</f>
        <v/>
      </c>
    </row>
    <row r="3140" customFormat="false" ht="15" hidden="false" customHeight="false" outlineLevel="0" collapsed="false">
      <c r="A3140" s="37"/>
      <c r="B3140" s="44"/>
      <c r="C3140" s="44"/>
      <c r="D3140" s="44"/>
      <c r="E3140" s="44"/>
      <c r="F3140" s="44"/>
      <c r="G3140" s="42"/>
      <c r="H3140" s="42"/>
      <c r="I3140" s="44"/>
      <c r="J3140" s="11" t="str">
        <f aca="false">IF(D3140="","",N(G3140)-N(H3140))</f>
        <v/>
      </c>
      <c r="K3140" s="34" t="str">
        <f aca="false">IF(D3140="","",IFERROR(INDEX(I_COA!$C$6:$C$265,MATCH(D3140,I_COA!$A$6:$A$265,0)),"AKUN BARU"))</f>
        <v/>
      </c>
      <c r="L3140" s="34" t="str">
        <f aca="false">IF(K3140="LabaRugi",INDEX(I_COA!$D$6:$D$265,MATCH(D3140,I_COA!$A$6:$A$265,0)),"")</f>
        <v/>
      </c>
      <c r="M3140" s="34" t="str">
        <f aca="false">IF(K3140="Neraca",INDEX(I_COA!$E$6:$E$265,MATCH(D3140,I_COA!$A$6:$A$265,0)),"")</f>
        <v/>
      </c>
      <c r="N3140" s="34" t="str">
        <f aca="false">IF(D3140="","",IFERROR(INDEX(I_COA!$G$6:$G$265,MATCH(D3140,I_COA!$A$6:$A$265,0)),"N"))</f>
        <v/>
      </c>
      <c r="O3140" s="11" t="str">
        <f aca="false">IF(N3140="N",ABS(J3140),"")</f>
        <v/>
      </c>
      <c r="P3140" s="18" t="str">
        <f aca="false">IF(N3140="N",B3140&amp;"|"&amp;ROUND(O3140,0),"")</f>
        <v/>
      </c>
      <c r="Q3140" s="18" t="str">
        <f aca="false">IF(N3140&lt;&gt;"Y","",IFERROR(INDEX($D$6:$D$4005,MATCH(B3140&amp;"|"&amp;ROUND(_xlfn.MAXIFS($O$6:$O$4005,$B$6:$B$4005,B3140,$N$6:$N$4005,"N"),0),$P$6:$P$4005,0)),"(tanpa lawan)"))</f>
        <v/>
      </c>
      <c r="R3140" s="44"/>
      <c r="S3140" s="9" t="str">
        <f aca="false">IF(N3140&lt;&gt;"Y","",IF(R3140&lt;&gt;"",R3140,IF(Q3140="(tanpa lawan)","Transfer antar rekening",IFERROR(INDEX(I_COA!$F$6:$F$265,MATCH(Q3140,I_COA!$A$6:$A$265,0)),"?"))))</f>
        <v/>
      </c>
    </row>
    <row r="3141" customFormat="false" ht="15" hidden="false" customHeight="false" outlineLevel="0" collapsed="false">
      <c r="A3141" s="37"/>
      <c r="B3141" s="44"/>
      <c r="C3141" s="44"/>
      <c r="D3141" s="44"/>
      <c r="E3141" s="44"/>
      <c r="F3141" s="44"/>
      <c r="G3141" s="42"/>
      <c r="H3141" s="42"/>
      <c r="I3141" s="44"/>
      <c r="J3141" s="11" t="str">
        <f aca="false">IF(D3141="","",N(G3141)-N(H3141))</f>
        <v/>
      </c>
      <c r="K3141" s="34" t="str">
        <f aca="false">IF(D3141="","",IFERROR(INDEX(I_COA!$C$6:$C$265,MATCH(D3141,I_COA!$A$6:$A$265,0)),"AKUN BARU"))</f>
        <v/>
      </c>
      <c r="L3141" s="34" t="str">
        <f aca="false">IF(K3141="LabaRugi",INDEX(I_COA!$D$6:$D$265,MATCH(D3141,I_COA!$A$6:$A$265,0)),"")</f>
        <v/>
      </c>
      <c r="M3141" s="34" t="str">
        <f aca="false">IF(K3141="Neraca",INDEX(I_COA!$E$6:$E$265,MATCH(D3141,I_COA!$A$6:$A$265,0)),"")</f>
        <v/>
      </c>
      <c r="N3141" s="34" t="str">
        <f aca="false">IF(D3141="","",IFERROR(INDEX(I_COA!$G$6:$G$265,MATCH(D3141,I_COA!$A$6:$A$265,0)),"N"))</f>
        <v/>
      </c>
      <c r="O3141" s="11" t="str">
        <f aca="false">IF(N3141="N",ABS(J3141),"")</f>
        <v/>
      </c>
      <c r="P3141" s="18" t="str">
        <f aca="false">IF(N3141="N",B3141&amp;"|"&amp;ROUND(O3141,0),"")</f>
        <v/>
      </c>
      <c r="Q3141" s="18" t="str">
        <f aca="false">IF(N3141&lt;&gt;"Y","",IFERROR(INDEX($D$6:$D$4005,MATCH(B3141&amp;"|"&amp;ROUND(_xlfn.MAXIFS($O$6:$O$4005,$B$6:$B$4005,B3141,$N$6:$N$4005,"N"),0),$P$6:$P$4005,0)),"(tanpa lawan)"))</f>
        <v/>
      </c>
      <c r="R3141" s="44"/>
      <c r="S3141" s="9" t="str">
        <f aca="false">IF(N3141&lt;&gt;"Y","",IF(R3141&lt;&gt;"",R3141,IF(Q3141="(tanpa lawan)","Transfer antar rekening",IFERROR(INDEX(I_COA!$F$6:$F$265,MATCH(Q3141,I_COA!$A$6:$A$265,0)),"?"))))</f>
        <v/>
      </c>
    </row>
    <row r="3142" customFormat="false" ht="15" hidden="false" customHeight="false" outlineLevel="0" collapsed="false">
      <c r="A3142" s="37"/>
      <c r="B3142" s="44"/>
      <c r="C3142" s="44"/>
      <c r="D3142" s="44"/>
      <c r="E3142" s="44"/>
      <c r="F3142" s="44"/>
      <c r="G3142" s="42"/>
      <c r="H3142" s="42"/>
      <c r="I3142" s="44"/>
      <c r="J3142" s="11" t="str">
        <f aca="false">IF(D3142="","",N(G3142)-N(H3142))</f>
        <v/>
      </c>
      <c r="K3142" s="34" t="str">
        <f aca="false">IF(D3142="","",IFERROR(INDEX(I_COA!$C$6:$C$265,MATCH(D3142,I_COA!$A$6:$A$265,0)),"AKUN BARU"))</f>
        <v/>
      </c>
      <c r="L3142" s="34" t="str">
        <f aca="false">IF(K3142="LabaRugi",INDEX(I_COA!$D$6:$D$265,MATCH(D3142,I_COA!$A$6:$A$265,0)),"")</f>
        <v/>
      </c>
      <c r="M3142" s="34" t="str">
        <f aca="false">IF(K3142="Neraca",INDEX(I_COA!$E$6:$E$265,MATCH(D3142,I_COA!$A$6:$A$265,0)),"")</f>
        <v/>
      </c>
      <c r="N3142" s="34" t="str">
        <f aca="false">IF(D3142="","",IFERROR(INDEX(I_COA!$G$6:$G$265,MATCH(D3142,I_COA!$A$6:$A$265,0)),"N"))</f>
        <v/>
      </c>
      <c r="O3142" s="11" t="str">
        <f aca="false">IF(N3142="N",ABS(J3142),"")</f>
        <v/>
      </c>
      <c r="P3142" s="18" t="str">
        <f aca="false">IF(N3142="N",B3142&amp;"|"&amp;ROUND(O3142,0),"")</f>
        <v/>
      </c>
      <c r="Q3142" s="18" t="str">
        <f aca="false">IF(N3142&lt;&gt;"Y","",IFERROR(INDEX($D$6:$D$4005,MATCH(B3142&amp;"|"&amp;ROUND(_xlfn.MAXIFS($O$6:$O$4005,$B$6:$B$4005,B3142,$N$6:$N$4005,"N"),0),$P$6:$P$4005,0)),"(tanpa lawan)"))</f>
        <v/>
      </c>
      <c r="R3142" s="44"/>
      <c r="S3142" s="9" t="str">
        <f aca="false">IF(N3142&lt;&gt;"Y","",IF(R3142&lt;&gt;"",R3142,IF(Q3142="(tanpa lawan)","Transfer antar rekening",IFERROR(INDEX(I_COA!$F$6:$F$265,MATCH(Q3142,I_COA!$A$6:$A$265,0)),"?"))))</f>
        <v/>
      </c>
    </row>
    <row r="3143" customFormat="false" ht="15" hidden="false" customHeight="false" outlineLevel="0" collapsed="false">
      <c r="A3143" s="37"/>
      <c r="B3143" s="44"/>
      <c r="C3143" s="44"/>
      <c r="D3143" s="44"/>
      <c r="E3143" s="44"/>
      <c r="F3143" s="44"/>
      <c r="G3143" s="42"/>
      <c r="H3143" s="42"/>
      <c r="I3143" s="44"/>
      <c r="J3143" s="11" t="str">
        <f aca="false">IF(D3143="","",N(G3143)-N(H3143))</f>
        <v/>
      </c>
      <c r="K3143" s="34" t="str">
        <f aca="false">IF(D3143="","",IFERROR(INDEX(I_COA!$C$6:$C$265,MATCH(D3143,I_COA!$A$6:$A$265,0)),"AKUN BARU"))</f>
        <v/>
      </c>
      <c r="L3143" s="34" t="str">
        <f aca="false">IF(K3143="LabaRugi",INDEX(I_COA!$D$6:$D$265,MATCH(D3143,I_COA!$A$6:$A$265,0)),"")</f>
        <v/>
      </c>
      <c r="M3143" s="34" t="str">
        <f aca="false">IF(K3143="Neraca",INDEX(I_COA!$E$6:$E$265,MATCH(D3143,I_COA!$A$6:$A$265,0)),"")</f>
        <v/>
      </c>
      <c r="N3143" s="34" t="str">
        <f aca="false">IF(D3143="","",IFERROR(INDEX(I_COA!$G$6:$G$265,MATCH(D3143,I_COA!$A$6:$A$265,0)),"N"))</f>
        <v/>
      </c>
      <c r="O3143" s="11" t="str">
        <f aca="false">IF(N3143="N",ABS(J3143),"")</f>
        <v/>
      </c>
      <c r="P3143" s="18" t="str">
        <f aca="false">IF(N3143="N",B3143&amp;"|"&amp;ROUND(O3143,0),"")</f>
        <v/>
      </c>
      <c r="Q3143" s="18" t="str">
        <f aca="false">IF(N3143&lt;&gt;"Y","",IFERROR(INDEX($D$6:$D$4005,MATCH(B3143&amp;"|"&amp;ROUND(_xlfn.MAXIFS($O$6:$O$4005,$B$6:$B$4005,B3143,$N$6:$N$4005,"N"),0),$P$6:$P$4005,0)),"(tanpa lawan)"))</f>
        <v/>
      </c>
      <c r="R3143" s="44"/>
      <c r="S3143" s="9" t="str">
        <f aca="false">IF(N3143&lt;&gt;"Y","",IF(R3143&lt;&gt;"",R3143,IF(Q3143="(tanpa lawan)","Transfer antar rekening",IFERROR(INDEX(I_COA!$F$6:$F$265,MATCH(Q3143,I_COA!$A$6:$A$265,0)),"?"))))</f>
        <v/>
      </c>
    </row>
    <row r="3144" customFormat="false" ht="15" hidden="false" customHeight="false" outlineLevel="0" collapsed="false">
      <c r="A3144" s="37"/>
      <c r="B3144" s="44"/>
      <c r="C3144" s="44"/>
      <c r="D3144" s="44"/>
      <c r="E3144" s="44"/>
      <c r="F3144" s="44"/>
      <c r="G3144" s="42"/>
      <c r="H3144" s="42"/>
      <c r="I3144" s="44"/>
      <c r="J3144" s="11" t="str">
        <f aca="false">IF(D3144="","",N(G3144)-N(H3144))</f>
        <v/>
      </c>
      <c r="K3144" s="34" t="str">
        <f aca="false">IF(D3144="","",IFERROR(INDEX(I_COA!$C$6:$C$265,MATCH(D3144,I_COA!$A$6:$A$265,0)),"AKUN BARU"))</f>
        <v/>
      </c>
      <c r="L3144" s="34" t="str">
        <f aca="false">IF(K3144="LabaRugi",INDEX(I_COA!$D$6:$D$265,MATCH(D3144,I_COA!$A$6:$A$265,0)),"")</f>
        <v/>
      </c>
      <c r="M3144" s="34" t="str">
        <f aca="false">IF(K3144="Neraca",INDEX(I_COA!$E$6:$E$265,MATCH(D3144,I_COA!$A$6:$A$265,0)),"")</f>
        <v/>
      </c>
      <c r="N3144" s="34" t="str">
        <f aca="false">IF(D3144="","",IFERROR(INDEX(I_COA!$G$6:$G$265,MATCH(D3144,I_COA!$A$6:$A$265,0)),"N"))</f>
        <v/>
      </c>
      <c r="O3144" s="11" t="str">
        <f aca="false">IF(N3144="N",ABS(J3144),"")</f>
        <v/>
      </c>
      <c r="P3144" s="18" t="str">
        <f aca="false">IF(N3144="N",B3144&amp;"|"&amp;ROUND(O3144,0),"")</f>
        <v/>
      </c>
      <c r="Q3144" s="18" t="str">
        <f aca="false">IF(N3144&lt;&gt;"Y","",IFERROR(INDEX($D$6:$D$4005,MATCH(B3144&amp;"|"&amp;ROUND(_xlfn.MAXIFS($O$6:$O$4005,$B$6:$B$4005,B3144,$N$6:$N$4005,"N"),0),$P$6:$P$4005,0)),"(tanpa lawan)"))</f>
        <v/>
      </c>
      <c r="R3144" s="44"/>
      <c r="S3144" s="9" t="str">
        <f aca="false">IF(N3144&lt;&gt;"Y","",IF(R3144&lt;&gt;"",R3144,IF(Q3144="(tanpa lawan)","Transfer antar rekening",IFERROR(INDEX(I_COA!$F$6:$F$265,MATCH(Q3144,I_COA!$A$6:$A$265,0)),"?"))))</f>
        <v/>
      </c>
    </row>
    <row r="3145" customFormat="false" ht="15" hidden="false" customHeight="false" outlineLevel="0" collapsed="false">
      <c r="A3145" s="37"/>
      <c r="B3145" s="44"/>
      <c r="C3145" s="44"/>
      <c r="D3145" s="44"/>
      <c r="E3145" s="44"/>
      <c r="F3145" s="44"/>
      <c r="G3145" s="42"/>
      <c r="H3145" s="42"/>
      <c r="I3145" s="44"/>
      <c r="J3145" s="11" t="str">
        <f aca="false">IF(D3145="","",N(G3145)-N(H3145))</f>
        <v/>
      </c>
      <c r="K3145" s="34" t="str">
        <f aca="false">IF(D3145="","",IFERROR(INDEX(I_COA!$C$6:$C$265,MATCH(D3145,I_COA!$A$6:$A$265,0)),"AKUN BARU"))</f>
        <v/>
      </c>
      <c r="L3145" s="34" t="str">
        <f aca="false">IF(K3145="LabaRugi",INDEX(I_COA!$D$6:$D$265,MATCH(D3145,I_COA!$A$6:$A$265,0)),"")</f>
        <v/>
      </c>
      <c r="M3145" s="34" t="str">
        <f aca="false">IF(K3145="Neraca",INDEX(I_COA!$E$6:$E$265,MATCH(D3145,I_COA!$A$6:$A$265,0)),"")</f>
        <v/>
      </c>
      <c r="N3145" s="34" t="str">
        <f aca="false">IF(D3145="","",IFERROR(INDEX(I_COA!$G$6:$G$265,MATCH(D3145,I_COA!$A$6:$A$265,0)),"N"))</f>
        <v/>
      </c>
      <c r="O3145" s="11" t="str">
        <f aca="false">IF(N3145="N",ABS(J3145),"")</f>
        <v/>
      </c>
      <c r="P3145" s="18" t="str">
        <f aca="false">IF(N3145="N",B3145&amp;"|"&amp;ROUND(O3145,0),"")</f>
        <v/>
      </c>
      <c r="Q3145" s="18" t="str">
        <f aca="false">IF(N3145&lt;&gt;"Y","",IFERROR(INDEX($D$6:$D$4005,MATCH(B3145&amp;"|"&amp;ROUND(_xlfn.MAXIFS($O$6:$O$4005,$B$6:$B$4005,B3145,$N$6:$N$4005,"N"),0),$P$6:$P$4005,0)),"(tanpa lawan)"))</f>
        <v/>
      </c>
      <c r="R3145" s="44"/>
      <c r="S3145" s="9" t="str">
        <f aca="false">IF(N3145&lt;&gt;"Y","",IF(R3145&lt;&gt;"",R3145,IF(Q3145="(tanpa lawan)","Transfer antar rekening",IFERROR(INDEX(I_COA!$F$6:$F$265,MATCH(Q3145,I_COA!$A$6:$A$265,0)),"?"))))</f>
        <v/>
      </c>
    </row>
    <row r="3146" customFormat="false" ht="15" hidden="false" customHeight="false" outlineLevel="0" collapsed="false">
      <c r="A3146" s="37"/>
      <c r="B3146" s="44"/>
      <c r="C3146" s="44"/>
      <c r="D3146" s="44"/>
      <c r="E3146" s="44"/>
      <c r="F3146" s="44"/>
      <c r="G3146" s="42"/>
      <c r="H3146" s="42"/>
      <c r="I3146" s="44"/>
      <c r="J3146" s="11" t="str">
        <f aca="false">IF(D3146="","",N(G3146)-N(H3146))</f>
        <v/>
      </c>
      <c r="K3146" s="34" t="str">
        <f aca="false">IF(D3146="","",IFERROR(INDEX(I_COA!$C$6:$C$265,MATCH(D3146,I_COA!$A$6:$A$265,0)),"AKUN BARU"))</f>
        <v/>
      </c>
      <c r="L3146" s="34" t="str">
        <f aca="false">IF(K3146="LabaRugi",INDEX(I_COA!$D$6:$D$265,MATCH(D3146,I_COA!$A$6:$A$265,0)),"")</f>
        <v/>
      </c>
      <c r="M3146" s="34" t="str">
        <f aca="false">IF(K3146="Neraca",INDEX(I_COA!$E$6:$E$265,MATCH(D3146,I_COA!$A$6:$A$265,0)),"")</f>
        <v/>
      </c>
      <c r="N3146" s="34" t="str">
        <f aca="false">IF(D3146="","",IFERROR(INDEX(I_COA!$G$6:$G$265,MATCH(D3146,I_COA!$A$6:$A$265,0)),"N"))</f>
        <v/>
      </c>
      <c r="O3146" s="11" t="str">
        <f aca="false">IF(N3146="N",ABS(J3146),"")</f>
        <v/>
      </c>
      <c r="P3146" s="18" t="str">
        <f aca="false">IF(N3146="N",B3146&amp;"|"&amp;ROUND(O3146,0),"")</f>
        <v/>
      </c>
      <c r="Q3146" s="18" t="str">
        <f aca="false">IF(N3146&lt;&gt;"Y","",IFERROR(INDEX($D$6:$D$4005,MATCH(B3146&amp;"|"&amp;ROUND(_xlfn.MAXIFS($O$6:$O$4005,$B$6:$B$4005,B3146,$N$6:$N$4005,"N"),0),$P$6:$P$4005,0)),"(tanpa lawan)"))</f>
        <v/>
      </c>
      <c r="R3146" s="44"/>
      <c r="S3146" s="9" t="str">
        <f aca="false">IF(N3146&lt;&gt;"Y","",IF(R3146&lt;&gt;"",R3146,IF(Q3146="(tanpa lawan)","Transfer antar rekening",IFERROR(INDEX(I_COA!$F$6:$F$265,MATCH(Q3146,I_COA!$A$6:$A$265,0)),"?"))))</f>
        <v/>
      </c>
    </row>
    <row r="3147" customFormat="false" ht="15" hidden="false" customHeight="false" outlineLevel="0" collapsed="false">
      <c r="A3147" s="37"/>
      <c r="B3147" s="44"/>
      <c r="C3147" s="44"/>
      <c r="D3147" s="44"/>
      <c r="E3147" s="44"/>
      <c r="F3147" s="44"/>
      <c r="G3147" s="42"/>
      <c r="H3147" s="42"/>
      <c r="I3147" s="44"/>
      <c r="J3147" s="11" t="str">
        <f aca="false">IF(D3147="","",N(G3147)-N(H3147))</f>
        <v/>
      </c>
      <c r="K3147" s="34" t="str">
        <f aca="false">IF(D3147="","",IFERROR(INDEX(I_COA!$C$6:$C$265,MATCH(D3147,I_COA!$A$6:$A$265,0)),"AKUN BARU"))</f>
        <v/>
      </c>
      <c r="L3147" s="34" t="str">
        <f aca="false">IF(K3147="LabaRugi",INDEX(I_COA!$D$6:$D$265,MATCH(D3147,I_COA!$A$6:$A$265,0)),"")</f>
        <v/>
      </c>
      <c r="M3147" s="34" t="str">
        <f aca="false">IF(K3147="Neraca",INDEX(I_COA!$E$6:$E$265,MATCH(D3147,I_COA!$A$6:$A$265,0)),"")</f>
        <v/>
      </c>
      <c r="N3147" s="34" t="str">
        <f aca="false">IF(D3147="","",IFERROR(INDEX(I_COA!$G$6:$G$265,MATCH(D3147,I_COA!$A$6:$A$265,0)),"N"))</f>
        <v/>
      </c>
      <c r="O3147" s="11" t="str">
        <f aca="false">IF(N3147="N",ABS(J3147),"")</f>
        <v/>
      </c>
      <c r="P3147" s="18" t="str">
        <f aca="false">IF(N3147="N",B3147&amp;"|"&amp;ROUND(O3147,0),"")</f>
        <v/>
      </c>
      <c r="Q3147" s="18" t="str">
        <f aca="false">IF(N3147&lt;&gt;"Y","",IFERROR(INDEX($D$6:$D$4005,MATCH(B3147&amp;"|"&amp;ROUND(_xlfn.MAXIFS($O$6:$O$4005,$B$6:$B$4005,B3147,$N$6:$N$4005,"N"),0),$P$6:$P$4005,0)),"(tanpa lawan)"))</f>
        <v/>
      </c>
      <c r="R3147" s="44"/>
      <c r="S3147" s="9" t="str">
        <f aca="false">IF(N3147&lt;&gt;"Y","",IF(R3147&lt;&gt;"",R3147,IF(Q3147="(tanpa lawan)","Transfer antar rekening",IFERROR(INDEX(I_COA!$F$6:$F$265,MATCH(Q3147,I_COA!$A$6:$A$265,0)),"?"))))</f>
        <v/>
      </c>
    </row>
    <row r="3148" customFormat="false" ht="15" hidden="false" customHeight="false" outlineLevel="0" collapsed="false">
      <c r="A3148" s="37"/>
      <c r="B3148" s="44"/>
      <c r="C3148" s="44"/>
      <c r="D3148" s="44"/>
      <c r="E3148" s="44"/>
      <c r="F3148" s="44"/>
      <c r="G3148" s="42"/>
      <c r="H3148" s="42"/>
      <c r="I3148" s="44"/>
      <c r="J3148" s="11" t="str">
        <f aca="false">IF(D3148="","",N(G3148)-N(H3148))</f>
        <v/>
      </c>
      <c r="K3148" s="34" t="str">
        <f aca="false">IF(D3148="","",IFERROR(INDEX(I_COA!$C$6:$C$265,MATCH(D3148,I_COA!$A$6:$A$265,0)),"AKUN BARU"))</f>
        <v/>
      </c>
      <c r="L3148" s="34" t="str">
        <f aca="false">IF(K3148="LabaRugi",INDEX(I_COA!$D$6:$D$265,MATCH(D3148,I_COA!$A$6:$A$265,0)),"")</f>
        <v/>
      </c>
      <c r="M3148" s="34" t="str">
        <f aca="false">IF(K3148="Neraca",INDEX(I_COA!$E$6:$E$265,MATCH(D3148,I_COA!$A$6:$A$265,0)),"")</f>
        <v/>
      </c>
      <c r="N3148" s="34" t="str">
        <f aca="false">IF(D3148="","",IFERROR(INDEX(I_COA!$G$6:$G$265,MATCH(D3148,I_COA!$A$6:$A$265,0)),"N"))</f>
        <v/>
      </c>
      <c r="O3148" s="11" t="str">
        <f aca="false">IF(N3148="N",ABS(J3148),"")</f>
        <v/>
      </c>
      <c r="P3148" s="18" t="str">
        <f aca="false">IF(N3148="N",B3148&amp;"|"&amp;ROUND(O3148,0),"")</f>
        <v/>
      </c>
      <c r="Q3148" s="18" t="str">
        <f aca="false">IF(N3148&lt;&gt;"Y","",IFERROR(INDEX($D$6:$D$4005,MATCH(B3148&amp;"|"&amp;ROUND(_xlfn.MAXIFS($O$6:$O$4005,$B$6:$B$4005,B3148,$N$6:$N$4005,"N"),0),$P$6:$P$4005,0)),"(tanpa lawan)"))</f>
        <v/>
      </c>
      <c r="R3148" s="44"/>
      <c r="S3148" s="9" t="str">
        <f aca="false">IF(N3148&lt;&gt;"Y","",IF(R3148&lt;&gt;"",R3148,IF(Q3148="(tanpa lawan)","Transfer antar rekening",IFERROR(INDEX(I_COA!$F$6:$F$265,MATCH(Q3148,I_COA!$A$6:$A$265,0)),"?"))))</f>
        <v/>
      </c>
    </row>
    <row r="3149" customFormat="false" ht="15" hidden="false" customHeight="false" outlineLevel="0" collapsed="false">
      <c r="A3149" s="37"/>
      <c r="B3149" s="44"/>
      <c r="C3149" s="44"/>
      <c r="D3149" s="44"/>
      <c r="E3149" s="44"/>
      <c r="F3149" s="44"/>
      <c r="G3149" s="42"/>
      <c r="H3149" s="42"/>
      <c r="I3149" s="44"/>
      <c r="J3149" s="11" t="str">
        <f aca="false">IF(D3149="","",N(G3149)-N(H3149))</f>
        <v/>
      </c>
      <c r="K3149" s="34" t="str">
        <f aca="false">IF(D3149="","",IFERROR(INDEX(I_COA!$C$6:$C$265,MATCH(D3149,I_COA!$A$6:$A$265,0)),"AKUN BARU"))</f>
        <v/>
      </c>
      <c r="L3149" s="34" t="str">
        <f aca="false">IF(K3149="LabaRugi",INDEX(I_COA!$D$6:$D$265,MATCH(D3149,I_COA!$A$6:$A$265,0)),"")</f>
        <v/>
      </c>
      <c r="M3149" s="34" t="str">
        <f aca="false">IF(K3149="Neraca",INDEX(I_COA!$E$6:$E$265,MATCH(D3149,I_COA!$A$6:$A$265,0)),"")</f>
        <v/>
      </c>
      <c r="N3149" s="34" t="str">
        <f aca="false">IF(D3149="","",IFERROR(INDEX(I_COA!$G$6:$G$265,MATCH(D3149,I_COA!$A$6:$A$265,0)),"N"))</f>
        <v/>
      </c>
      <c r="O3149" s="11" t="str">
        <f aca="false">IF(N3149="N",ABS(J3149),"")</f>
        <v/>
      </c>
      <c r="P3149" s="18" t="str">
        <f aca="false">IF(N3149="N",B3149&amp;"|"&amp;ROUND(O3149,0),"")</f>
        <v/>
      </c>
      <c r="Q3149" s="18" t="str">
        <f aca="false">IF(N3149&lt;&gt;"Y","",IFERROR(INDEX($D$6:$D$4005,MATCH(B3149&amp;"|"&amp;ROUND(_xlfn.MAXIFS($O$6:$O$4005,$B$6:$B$4005,B3149,$N$6:$N$4005,"N"),0),$P$6:$P$4005,0)),"(tanpa lawan)"))</f>
        <v/>
      </c>
      <c r="R3149" s="44"/>
      <c r="S3149" s="9" t="str">
        <f aca="false">IF(N3149&lt;&gt;"Y","",IF(R3149&lt;&gt;"",R3149,IF(Q3149="(tanpa lawan)","Transfer antar rekening",IFERROR(INDEX(I_COA!$F$6:$F$265,MATCH(Q3149,I_COA!$A$6:$A$265,0)),"?"))))</f>
        <v/>
      </c>
    </row>
    <row r="3150" customFormat="false" ht="15" hidden="false" customHeight="false" outlineLevel="0" collapsed="false">
      <c r="A3150" s="37"/>
      <c r="B3150" s="44"/>
      <c r="C3150" s="44"/>
      <c r="D3150" s="44"/>
      <c r="E3150" s="44"/>
      <c r="F3150" s="44"/>
      <c r="G3150" s="42"/>
      <c r="H3150" s="42"/>
      <c r="I3150" s="44"/>
      <c r="J3150" s="11" t="str">
        <f aca="false">IF(D3150="","",N(G3150)-N(H3150))</f>
        <v/>
      </c>
      <c r="K3150" s="34" t="str">
        <f aca="false">IF(D3150="","",IFERROR(INDEX(I_COA!$C$6:$C$265,MATCH(D3150,I_COA!$A$6:$A$265,0)),"AKUN BARU"))</f>
        <v/>
      </c>
      <c r="L3150" s="34" t="str">
        <f aca="false">IF(K3150="LabaRugi",INDEX(I_COA!$D$6:$D$265,MATCH(D3150,I_COA!$A$6:$A$265,0)),"")</f>
        <v/>
      </c>
      <c r="M3150" s="34" t="str">
        <f aca="false">IF(K3150="Neraca",INDEX(I_COA!$E$6:$E$265,MATCH(D3150,I_COA!$A$6:$A$265,0)),"")</f>
        <v/>
      </c>
      <c r="N3150" s="34" t="str">
        <f aca="false">IF(D3150="","",IFERROR(INDEX(I_COA!$G$6:$G$265,MATCH(D3150,I_COA!$A$6:$A$265,0)),"N"))</f>
        <v/>
      </c>
      <c r="O3150" s="11" t="str">
        <f aca="false">IF(N3150="N",ABS(J3150),"")</f>
        <v/>
      </c>
      <c r="P3150" s="18" t="str">
        <f aca="false">IF(N3150="N",B3150&amp;"|"&amp;ROUND(O3150,0),"")</f>
        <v/>
      </c>
      <c r="Q3150" s="18" t="str">
        <f aca="false">IF(N3150&lt;&gt;"Y","",IFERROR(INDEX($D$6:$D$4005,MATCH(B3150&amp;"|"&amp;ROUND(_xlfn.MAXIFS($O$6:$O$4005,$B$6:$B$4005,B3150,$N$6:$N$4005,"N"),0),$P$6:$P$4005,0)),"(tanpa lawan)"))</f>
        <v/>
      </c>
      <c r="R3150" s="44"/>
      <c r="S3150" s="9" t="str">
        <f aca="false">IF(N3150&lt;&gt;"Y","",IF(R3150&lt;&gt;"",R3150,IF(Q3150="(tanpa lawan)","Transfer antar rekening",IFERROR(INDEX(I_COA!$F$6:$F$265,MATCH(Q3150,I_COA!$A$6:$A$265,0)),"?"))))</f>
        <v/>
      </c>
    </row>
    <row r="3151" customFormat="false" ht="15" hidden="false" customHeight="false" outlineLevel="0" collapsed="false">
      <c r="A3151" s="37"/>
      <c r="B3151" s="44"/>
      <c r="C3151" s="44"/>
      <c r="D3151" s="44"/>
      <c r="E3151" s="44"/>
      <c r="F3151" s="44"/>
      <c r="G3151" s="42"/>
      <c r="H3151" s="42"/>
      <c r="I3151" s="44"/>
      <c r="J3151" s="11" t="str">
        <f aca="false">IF(D3151="","",N(G3151)-N(H3151))</f>
        <v/>
      </c>
      <c r="K3151" s="34" t="str">
        <f aca="false">IF(D3151="","",IFERROR(INDEX(I_COA!$C$6:$C$265,MATCH(D3151,I_COA!$A$6:$A$265,0)),"AKUN BARU"))</f>
        <v/>
      </c>
      <c r="L3151" s="34" t="str">
        <f aca="false">IF(K3151="LabaRugi",INDEX(I_COA!$D$6:$D$265,MATCH(D3151,I_COA!$A$6:$A$265,0)),"")</f>
        <v/>
      </c>
      <c r="M3151" s="34" t="str">
        <f aca="false">IF(K3151="Neraca",INDEX(I_COA!$E$6:$E$265,MATCH(D3151,I_COA!$A$6:$A$265,0)),"")</f>
        <v/>
      </c>
      <c r="N3151" s="34" t="str">
        <f aca="false">IF(D3151="","",IFERROR(INDEX(I_COA!$G$6:$G$265,MATCH(D3151,I_COA!$A$6:$A$265,0)),"N"))</f>
        <v/>
      </c>
      <c r="O3151" s="11" t="str">
        <f aca="false">IF(N3151="N",ABS(J3151),"")</f>
        <v/>
      </c>
      <c r="P3151" s="18" t="str">
        <f aca="false">IF(N3151="N",B3151&amp;"|"&amp;ROUND(O3151,0),"")</f>
        <v/>
      </c>
      <c r="Q3151" s="18" t="str">
        <f aca="false">IF(N3151&lt;&gt;"Y","",IFERROR(INDEX($D$6:$D$4005,MATCH(B3151&amp;"|"&amp;ROUND(_xlfn.MAXIFS($O$6:$O$4005,$B$6:$B$4005,B3151,$N$6:$N$4005,"N"),0),$P$6:$P$4005,0)),"(tanpa lawan)"))</f>
        <v/>
      </c>
      <c r="R3151" s="44"/>
      <c r="S3151" s="9" t="str">
        <f aca="false">IF(N3151&lt;&gt;"Y","",IF(R3151&lt;&gt;"",R3151,IF(Q3151="(tanpa lawan)","Transfer antar rekening",IFERROR(INDEX(I_COA!$F$6:$F$265,MATCH(Q3151,I_COA!$A$6:$A$265,0)),"?"))))</f>
        <v/>
      </c>
    </row>
    <row r="3152" customFormat="false" ht="15" hidden="false" customHeight="false" outlineLevel="0" collapsed="false">
      <c r="A3152" s="37"/>
      <c r="B3152" s="44"/>
      <c r="C3152" s="44"/>
      <c r="D3152" s="44"/>
      <c r="E3152" s="44"/>
      <c r="F3152" s="44"/>
      <c r="G3152" s="42"/>
      <c r="H3152" s="42"/>
      <c r="I3152" s="44"/>
      <c r="J3152" s="11" t="str">
        <f aca="false">IF(D3152="","",N(G3152)-N(H3152))</f>
        <v/>
      </c>
      <c r="K3152" s="34" t="str">
        <f aca="false">IF(D3152="","",IFERROR(INDEX(I_COA!$C$6:$C$265,MATCH(D3152,I_COA!$A$6:$A$265,0)),"AKUN BARU"))</f>
        <v/>
      </c>
      <c r="L3152" s="34" t="str">
        <f aca="false">IF(K3152="LabaRugi",INDEX(I_COA!$D$6:$D$265,MATCH(D3152,I_COA!$A$6:$A$265,0)),"")</f>
        <v/>
      </c>
      <c r="M3152" s="34" t="str">
        <f aca="false">IF(K3152="Neraca",INDEX(I_COA!$E$6:$E$265,MATCH(D3152,I_COA!$A$6:$A$265,0)),"")</f>
        <v/>
      </c>
      <c r="N3152" s="34" t="str">
        <f aca="false">IF(D3152="","",IFERROR(INDEX(I_COA!$G$6:$G$265,MATCH(D3152,I_COA!$A$6:$A$265,0)),"N"))</f>
        <v/>
      </c>
      <c r="O3152" s="11" t="str">
        <f aca="false">IF(N3152="N",ABS(J3152),"")</f>
        <v/>
      </c>
      <c r="P3152" s="18" t="str">
        <f aca="false">IF(N3152="N",B3152&amp;"|"&amp;ROUND(O3152,0),"")</f>
        <v/>
      </c>
      <c r="Q3152" s="18" t="str">
        <f aca="false">IF(N3152&lt;&gt;"Y","",IFERROR(INDEX($D$6:$D$4005,MATCH(B3152&amp;"|"&amp;ROUND(_xlfn.MAXIFS($O$6:$O$4005,$B$6:$B$4005,B3152,$N$6:$N$4005,"N"),0),$P$6:$P$4005,0)),"(tanpa lawan)"))</f>
        <v/>
      </c>
      <c r="R3152" s="44"/>
      <c r="S3152" s="9" t="str">
        <f aca="false">IF(N3152&lt;&gt;"Y","",IF(R3152&lt;&gt;"",R3152,IF(Q3152="(tanpa lawan)","Transfer antar rekening",IFERROR(INDEX(I_COA!$F$6:$F$265,MATCH(Q3152,I_COA!$A$6:$A$265,0)),"?"))))</f>
        <v/>
      </c>
    </row>
    <row r="3153" customFormat="false" ht="15" hidden="false" customHeight="false" outlineLevel="0" collapsed="false">
      <c r="A3153" s="37"/>
      <c r="B3153" s="44"/>
      <c r="C3153" s="44"/>
      <c r="D3153" s="44"/>
      <c r="E3153" s="44"/>
      <c r="F3153" s="44"/>
      <c r="G3153" s="42"/>
      <c r="H3153" s="42"/>
      <c r="I3153" s="44"/>
      <c r="J3153" s="11" t="str">
        <f aca="false">IF(D3153="","",N(G3153)-N(H3153))</f>
        <v/>
      </c>
      <c r="K3153" s="34" t="str">
        <f aca="false">IF(D3153="","",IFERROR(INDEX(I_COA!$C$6:$C$265,MATCH(D3153,I_COA!$A$6:$A$265,0)),"AKUN BARU"))</f>
        <v/>
      </c>
      <c r="L3153" s="34" t="str">
        <f aca="false">IF(K3153="LabaRugi",INDEX(I_COA!$D$6:$D$265,MATCH(D3153,I_COA!$A$6:$A$265,0)),"")</f>
        <v/>
      </c>
      <c r="M3153" s="34" t="str">
        <f aca="false">IF(K3153="Neraca",INDEX(I_COA!$E$6:$E$265,MATCH(D3153,I_COA!$A$6:$A$265,0)),"")</f>
        <v/>
      </c>
      <c r="N3153" s="34" t="str">
        <f aca="false">IF(D3153="","",IFERROR(INDEX(I_COA!$G$6:$G$265,MATCH(D3153,I_COA!$A$6:$A$265,0)),"N"))</f>
        <v/>
      </c>
      <c r="O3153" s="11" t="str">
        <f aca="false">IF(N3153="N",ABS(J3153),"")</f>
        <v/>
      </c>
      <c r="P3153" s="18" t="str">
        <f aca="false">IF(N3153="N",B3153&amp;"|"&amp;ROUND(O3153,0),"")</f>
        <v/>
      </c>
      <c r="Q3153" s="18" t="str">
        <f aca="false">IF(N3153&lt;&gt;"Y","",IFERROR(INDEX($D$6:$D$4005,MATCH(B3153&amp;"|"&amp;ROUND(_xlfn.MAXIFS($O$6:$O$4005,$B$6:$B$4005,B3153,$N$6:$N$4005,"N"),0),$P$6:$P$4005,0)),"(tanpa lawan)"))</f>
        <v/>
      </c>
      <c r="R3153" s="44"/>
      <c r="S3153" s="9" t="str">
        <f aca="false">IF(N3153&lt;&gt;"Y","",IF(R3153&lt;&gt;"",R3153,IF(Q3153="(tanpa lawan)","Transfer antar rekening",IFERROR(INDEX(I_COA!$F$6:$F$265,MATCH(Q3153,I_COA!$A$6:$A$265,0)),"?"))))</f>
        <v/>
      </c>
    </row>
    <row r="3154" customFormat="false" ht="15" hidden="false" customHeight="false" outlineLevel="0" collapsed="false">
      <c r="A3154" s="37"/>
      <c r="B3154" s="44"/>
      <c r="C3154" s="44"/>
      <c r="D3154" s="44"/>
      <c r="E3154" s="44"/>
      <c r="F3154" s="44"/>
      <c r="G3154" s="42"/>
      <c r="H3154" s="42"/>
      <c r="I3154" s="44"/>
      <c r="J3154" s="11" t="str">
        <f aca="false">IF(D3154="","",N(G3154)-N(H3154))</f>
        <v/>
      </c>
      <c r="K3154" s="34" t="str">
        <f aca="false">IF(D3154="","",IFERROR(INDEX(I_COA!$C$6:$C$265,MATCH(D3154,I_COA!$A$6:$A$265,0)),"AKUN BARU"))</f>
        <v/>
      </c>
      <c r="L3154" s="34" t="str">
        <f aca="false">IF(K3154="LabaRugi",INDEX(I_COA!$D$6:$D$265,MATCH(D3154,I_COA!$A$6:$A$265,0)),"")</f>
        <v/>
      </c>
      <c r="M3154" s="34" t="str">
        <f aca="false">IF(K3154="Neraca",INDEX(I_COA!$E$6:$E$265,MATCH(D3154,I_COA!$A$6:$A$265,0)),"")</f>
        <v/>
      </c>
      <c r="N3154" s="34" t="str">
        <f aca="false">IF(D3154="","",IFERROR(INDEX(I_COA!$G$6:$G$265,MATCH(D3154,I_COA!$A$6:$A$265,0)),"N"))</f>
        <v/>
      </c>
      <c r="O3154" s="11" t="str">
        <f aca="false">IF(N3154="N",ABS(J3154),"")</f>
        <v/>
      </c>
      <c r="P3154" s="18" t="str">
        <f aca="false">IF(N3154="N",B3154&amp;"|"&amp;ROUND(O3154,0),"")</f>
        <v/>
      </c>
      <c r="Q3154" s="18" t="str">
        <f aca="false">IF(N3154&lt;&gt;"Y","",IFERROR(INDEX($D$6:$D$4005,MATCH(B3154&amp;"|"&amp;ROUND(_xlfn.MAXIFS($O$6:$O$4005,$B$6:$B$4005,B3154,$N$6:$N$4005,"N"),0),$P$6:$P$4005,0)),"(tanpa lawan)"))</f>
        <v/>
      </c>
      <c r="R3154" s="44"/>
      <c r="S3154" s="9" t="str">
        <f aca="false">IF(N3154&lt;&gt;"Y","",IF(R3154&lt;&gt;"",R3154,IF(Q3154="(tanpa lawan)","Transfer antar rekening",IFERROR(INDEX(I_COA!$F$6:$F$265,MATCH(Q3154,I_COA!$A$6:$A$265,0)),"?"))))</f>
        <v/>
      </c>
    </row>
    <row r="3155" customFormat="false" ht="15" hidden="false" customHeight="false" outlineLevel="0" collapsed="false">
      <c r="A3155" s="37"/>
      <c r="B3155" s="44"/>
      <c r="C3155" s="44"/>
      <c r="D3155" s="44"/>
      <c r="E3155" s="44"/>
      <c r="F3155" s="44"/>
      <c r="G3155" s="42"/>
      <c r="H3155" s="42"/>
      <c r="I3155" s="44"/>
      <c r="J3155" s="11" t="str">
        <f aca="false">IF(D3155="","",N(G3155)-N(H3155))</f>
        <v/>
      </c>
      <c r="K3155" s="34" t="str">
        <f aca="false">IF(D3155="","",IFERROR(INDEX(I_COA!$C$6:$C$265,MATCH(D3155,I_COA!$A$6:$A$265,0)),"AKUN BARU"))</f>
        <v/>
      </c>
      <c r="L3155" s="34" t="str">
        <f aca="false">IF(K3155="LabaRugi",INDEX(I_COA!$D$6:$D$265,MATCH(D3155,I_COA!$A$6:$A$265,0)),"")</f>
        <v/>
      </c>
      <c r="M3155" s="34" t="str">
        <f aca="false">IF(K3155="Neraca",INDEX(I_COA!$E$6:$E$265,MATCH(D3155,I_COA!$A$6:$A$265,0)),"")</f>
        <v/>
      </c>
      <c r="N3155" s="34" t="str">
        <f aca="false">IF(D3155="","",IFERROR(INDEX(I_COA!$G$6:$G$265,MATCH(D3155,I_COA!$A$6:$A$265,0)),"N"))</f>
        <v/>
      </c>
      <c r="O3155" s="11" t="str">
        <f aca="false">IF(N3155="N",ABS(J3155),"")</f>
        <v/>
      </c>
      <c r="P3155" s="18" t="str">
        <f aca="false">IF(N3155="N",B3155&amp;"|"&amp;ROUND(O3155,0),"")</f>
        <v/>
      </c>
      <c r="Q3155" s="18" t="str">
        <f aca="false">IF(N3155&lt;&gt;"Y","",IFERROR(INDEX($D$6:$D$4005,MATCH(B3155&amp;"|"&amp;ROUND(_xlfn.MAXIFS($O$6:$O$4005,$B$6:$B$4005,B3155,$N$6:$N$4005,"N"),0),$P$6:$P$4005,0)),"(tanpa lawan)"))</f>
        <v/>
      </c>
      <c r="R3155" s="44"/>
      <c r="S3155" s="9" t="str">
        <f aca="false">IF(N3155&lt;&gt;"Y","",IF(R3155&lt;&gt;"",R3155,IF(Q3155="(tanpa lawan)","Transfer antar rekening",IFERROR(INDEX(I_COA!$F$6:$F$265,MATCH(Q3155,I_COA!$A$6:$A$265,0)),"?"))))</f>
        <v/>
      </c>
    </row>
    <row r="3156" customFormat="false" ht="15" hidden="false" customHeight="false" outlineLevel="0" collapsed="false">
      <c r="A3156" s="37"/>
      <c r="B3156" s="44"/>
      <c r="C3156" s="44"/>
      <c r="D3156" s="44"/>
      <c r="E3156" s="44"/>
      <c r="F3156" s="44"/>
      <c r="G3156" s="42"/>
      <c r="H3156" s="42"/>
      <c r="I3156" s="44"/>
      <c r="J3156" s="11" t="str">
        <f aca="false">IF(D3156="","",N(G3156)-N(H3156))</f>
        <v/>
      </c>
      <c r="K3156" s="34" t="str">
        <f aca="false">IF(D3156="","",IFERROR(INDEX(I_COA!$C$6:$C$265,MATCH(D3156,I_COA!$A$6:$A$265,0)),"AKUN BARU"))</f>
        <v/>
      </c>
      <c r="L3156" s="34" t="str">
        <f aca="false">IF(K3156="LabaRugi",INDEX(I_COA!$D$6:$D$265,MATCH(D3156,I_COA!$A$6:$A$265,0)),"")</f>
        <v/>
      </c>
      <c r="M3156" s="34" t="str">
        <f aca="false">IF(K3156="Neraca",INDEX(I_COA!$E$6:$E$265,MATCH(D3156,I_COA!$A$6:$A$265,0)),"")</f>
        <v/>
      </c>
      <c r="N3156" s="34" t="str">
        <f aca="false">IF(D3156="","",IFERROR(INDEX(I_COA!$G$6:$G$265,MATCH(D3156,I_COA!$A$6:$A$265,0)),"N"))</f>
        <v/>
      </c>
      <c r="O3156" s="11" t="str">
        <f aca="false">IF(N3156="N",ABS(J3156),"")</f>
        <v/>
      </c>
      <c r="P3156" s="18" t="str">
        <f aca="false">IF(N3156="N",B3156&amp;"|"&amp;ROUND(O3156,0),"")</f>
        <v/>
      </c>
      <c r="Q3156" s="18" t="str">
        <f aca="false">IF(N3156&lt;&gt;"Y","",IFERROR(INDEX($D$6:$D$4005,MATCH(B3156&amp;"|"&amp;ROUND(_xlfn.MAXIFS($O$6:$O$4005,$B$6:$B$4005,B3156,$N$6:$N$4005,"N"),0),$P$6:$P$4005,0)),"(tanpa lawan)"))</f>
        <v/>
      </c>
      <c r="R3156" s="44"/>
      <c r="S3156" s="9" t="str">
        <f aca="false">IF(N3156&lt;&gt;"Y","",IF(R3156&lt;&gt;"",R3156,IF(Q3156="(tanpa lawan)","Transfer antar rekening",IFERROR(INDEX(I_COA!$F$6:$F$265,MATCH(Q3156,I_COA!$A$6:$A$265,0)),"?"))))</f>
        <v/>
      </c>
    </row>
    <row r="3157" customFormat="false" ht="15" hidden="false" customHeight="false" outlineLevel="0" collapsed="false">
      <c r="A3157" s="37"/>
      <c r="B3157" s="44"/>
      <c r="C3157" s="44"/>
      <c r="D3157" s="44"/>
      <c r="E3157" s="44"/>
      <c r="F3157" s="44"/>
      <c r="G3157" s="42"/>
      <c r="H3157" s="42"/>
      <c r="I3157" s="44"/>
      <c r="J3157" s="11" t="str">
        <f aca="false">IF(D3157="","",N(G3157)-N(H3157))</f>
        <v/>
      </c>
      <c r="K3157" s="34" t="str">
        <f aca="false">IF(D3157="","",IFERROR(INDEX(I_COA!$C$6:$C$265,MATCH(D3157,I_COA!$A$6:$A$265,0)),"AKUN BARU"))</f>
        <v/>
      </c>
      <c r="L3157" s="34" t="str">
        <f aca="false">IF(K3157="LabaRugi",INDEX(I_COA!$D$6:$D$265,MATCH(D3157,I_COA!$A$6:$A$265,0)),"")</f>
        <v/>
      </c>
      <c r="M3157" s="34" t="str">
        <f aca="false">IF(K3157="Neraca",INDEX(I_COA!$E$6:$E$265,MATCH(D3157,I_COA!$A$6:$A$265,0)),"")</f>
        <v/>
      </c>
      <c r="N3157" s="34" t="str">
        <f aca="false">IF(D3157="","",IFERROR(INDEX(I_COA!$G$6:$G$265,MATCH(D3157,I_COA!$A$6:$A$265,0)),"N"))</f>
        <v/>
      </c>
      <c r="O3157" s="11" t="str">
        <f aca="false">IF(N3157="N",ABS(J3157),"")</f>
        <v/>
      </c>
      <c r="P3157" s="18" t="str">
        <f aca="false">IF(N3157="N",B3157&amp;"|"&amp;ROUND(O3157,0),"")</f>
        <v/>
      </c>
      <c r="Q3157" s="18" t="str">
        <f aca="false">IF(N3157&lt;&gt;"Y","",IFERROR(INDEX($D$6:$D$4005,MATCH(B3157&amp;"|"&amp;ROUND(_xlfn.MAXIFS($O$6:$O$4005,$B$6:$B$4005,B3157,$N$6:$N$4005,"N"),0),$P$6:$P$4005,0)),"(tanpa lawan)"))</f>
        <v/>
      </c>
      <c r="R3157" s="44"/>
      <c r="S3157" s="9" t="str">
        <f aca="false">IF(N3157&lt;&gt;"Y","",IF(R3157&lt;&gt;"",R3157,IF(Q3157="(tanpa lawan)","Transfer antar rekening",IFERROR(INDEX(I_COA!$F$6:$F$265,MATCH(Q3157,I_COA!$A$6:$A$265,0)),"?"))))</f>
        <v/>
      </c>
    </row>
    <row r="3158" customFormat="false" ht="15" hidden="false" customHeight="false" outlineLevel="0" collapsed="false">
      <c r="A3158" s="37"/>
      <c r="B3158" s="44"/>
      <c r="C3158" s="44"/>
      <c r="D3158" s="44"/>
      <c r="E3158" s="44"/>
      <c r="F3158" s="44"/>
      <c r="G3158" s="42"/>
      <c r="H3158" s="42"/>
      <c r="I3158" s="44"/>
      <c r="J3158" s="11" t="str">
        <f aca="false">IF(D3158="","",N(G3158)-N(H3158))</f>
        <v/>
      </c>
      <c r="K3158" s="34" t="str">
        <f aca="false">IF(D3158="","",IFERROR(INDEX(I_COA!$C$6:$C$265,MATCH(D3158,I_COA!$A$6:$A$265,0)),"AKUN BARU"))</f>
        <v/>
      </c>
      <c r="L3158" s="34" t="str">
        <f aca="false">IF(K3158="LabaRugi",INDEX(I_COA!$D$6:$D$265,MATCH(D3158,I_COA!$A$6:$A$265,0)),"")</f>
        <v/>
      </c>
      <c r="M3158" s="34" t="str">
        <f aca="false">IF(K3158="Neraca",INDEX(I_COA!$E$6:$E$265,MATCH(D3158,I_COA!$A$6:$A$265,0)),"")</f>
        <v/>
      </c>
      <c r="N3158" s="34" t="str">
        <f aca="false">IF(D3158="","",IFERROR(INDEX(I_COA!$G$6:$G$265,MATCH(D3158,I_COA!$A$6:$A$265,0)),"N"))</f>
        <v/>
      </c>
      <c r="O3158" s="11" t="str">
        <f aca="false">IF(N3158="N",ABS(J3158),"")</f>
        <v/>
      </c>
      <c r="P3158" s="18" t="str">
        <f aca="false">IF(N3158="N",B3158&amp;"|"&amp;ROUND(O3158,0),"")</f>
        <v/>
      </c>
      <c r="Q3158" s="18" t="str">
        <f aca="false">IF(N3158&lt;&gt;"Y","",IFERROR(INDEX($D$6:$D$4005,MATCH(B3158&amp;"|"&amp;ROUND(_xlfn.MAXIFS($O$6:$O$4005,$B$6:$B$4005,B3158,$N$6:$N$4005,"N"),0),$P$6:$P$4005,0)),"(tanpa lawan)"))</f>
        <v/>
      </c>
      <c r="R3158" s="44"/>
      <c r="S3158" s="9" t="str">
        <f aca="false">IF(N3158&lt;&gt;"Y","",IF(R3158&lt;&gt;"",R3158,IF(Q3158="(tanpa lawan)","Transfer antar rekening",IFERROR(INDEX(I_COA!$F$6:$F$265,MATCH(Q3158,I_COA!$A$6:$A$265,0)),"?"))))</f>
        <v/>
      </c>
    </row>
    <row r="3159" customFormat="false" ht="15" hidden="false" customHeight="false" outlineLevel="0" collapsed="false">
      <c r="A3159" s="37"/>
      <c r="B3159" s="44"/>
      <c r="C3159" s="44"/>
      <c r="D3159" s="44"/>
      <c r="E3159" s="44"/>
      <c r="F3159" s="44"/>
      <c r="G3159" s="42"/>
      <c r="H3159" s="42"/>
      <c r="I3159" s="44"/>
      <c r="J3159" s="11" t="str">
        <f aca="false">IF(D3159="","",N(G3159)-N(H3159))</f>
        <v/>
      </c>
      <c r="K3159" s="34" t="str">
        <f aca="false">IF(D3159="","",IFERROR(INDEX(I_COA!$C$6:$C$265,MATCH(D3159,I_COA!$A$6:$A$265,0)),"AKUN BARU"))</f>
        <v/>
      </c>
      <c r="L3159" s="34" t="str">
        <f aca="false">IF(K3159="LabaRugi",INDEX(I_COA!$D$6:$D$265,MATCH(D3159,I_COA!$A$6:$A$265,0)),"")</f>
        <v/>
      </c>
      <c r="M3159" s="34" t="str">
        <f aca="false">IF(K3159="Neraca",INDEX(I_COA!$E$6:$E$265,MATCH(D3159,I_COA!$A$6:$A$265,0)),"")</f>
        <v/>
      </c>
      <c r="N3159" s="34" t="str">
        <f aca="false">IF(D3159="","",IFERROR(INDEX(I_COA!$G$6:$G$265,MATCH(D3159,I_COA!$A$6:$A$265,0)),"N"))</f>
        <v/>
      </c>
      <c r="O3159" s="11" t="str">
        <f aca="false">IF(N3159="N",ABS(J3159),"")</f>
        <v/>
      </c>
      <c r="P3159" s="18" t="str">
        <f aca="false">IF(N3159="N",B3159&amp;"|"&amp;ROUND(O3159,0),"")</f>
        <v/>
      </c>
      <c r="Q3159" s="18" t="str">
        <f aca="false">IF(N3159&lt;&gt;"Y","",IFERROR(INDEX($D$6:$D$4005,MATCH(B3159&amp;"|"&amp;ROUND(_xlfn.MAXIFS($O$6:$O$4005,$B$6:$B$4005,B3159,$N$6:$N$4005,"N"),0),$P$6:$P$4005,0)),"(tanpa lawan)"))</f>
        <v/>
      </c>
      <c r="R3159" s="44"/>
      <c r="S3159" s="9" t="str">
        <f aca="false">IF(N3159&lt;&gt;"Y","",IF(R3159&lt;&gt;"",R3159,IF(Q3159="(tanpa lawan)","Transfer antar rekening",IFERROR(INDEX(I_COA!$F$6:$F$265,MATCH(Q3159,I_COA!$A$6:$A$265,0)),"?"))))</f>
        <v/>
      </c>
    </row>
    <row r="3160" customFormat="false" ht="15" hidden="false" customHeight="false" outlineLevel="0" collapsed="false">
      <c r="A3160" s="37"/>
      <c r="B3160" s="44"/>
      <c r="C3160" s="44"/>
      <c r="D3160" s="44"/>
      <c r="E3160" s="44"/>
      <c r="F3160" s="44"/>
      <c r="G3160" s="42"/>
      <c r="H3160" s="42"/>
      <c r="I3160" s="44"/>
      <c r="J3160" s="11" t="str">
        <f aca="false">IF(D3160="","",N(G3160)-N(H3160))</f>
        <v/>
      </c>
      <c r="K3160" s="34" t="str">
        <f aca="false">IF(D3160="","",IFERROR(INDEX(I_COA!$C$6:$C$265,MATCH(D3160,I_COA!$A$6:$A$265,0)),"AKUN BARU"))</f>
        <v/>
      </c>
      <c r="L3160" s="34" t="str">
        <f aca="false">IF(K3160="LabaRugi",INDEX(I_COA!$D$6:$D$265,MATCH(D3160,I_COA!$A$6:$A$265,0)),"")</f>
        <v/>
      </c>
      <c r="M3160" s="34" t="str">
        <f aca="false">IF(K3160="Neraca",INDEX(I_COA!$E$6:$E$265,MATCH(D3160,I_COA!$A$6:$A$265,0)),"")</f>
        <v/>
      </c>
      <c r="N3160" s="34" t="str">
        <f aca="false">IF(D3160="","",IFERROR(INDEX(I_COA!$G$6:$G$265,MATCH(D3160,I_COA!$A$6:$A$265,0)),"N"))</f>
        <v/>
      </c>
      <c r="O3160" s="11" t="str">
        <f aca="false">IF(N3160="N",ABS(J3160),"")</f>
        <v/>
      </c>
      <c r="P3160" s="18" t="str">
        <f aca="false">IF(N3160="N",B3160&amp;"|"&amp;ROUND(O3160,0),"")</f>
        <v/>
      </c>
      <c r="Q3160" s="18" t="str">
        <f aca="false">IF(N3160&lt;&gt;"Y","",IFERROR(INDEX($D$6:$D$4005,MATCH(B3160&amp;"|"&amp;ROUND(_xlfn.MAXIFS($O$6:$O$4005,$B$6:$B$4005,B3160,$N$6:$N$4005,"N"),0),$P$6:$P$4005,0)),"(tanpa lawan)"))</f>
        <v/>
      </c>
      <c r="R3160" s="44"/>
      <c r="S3160" s="9" t="str">
        <f aca="false">IF(N3160&lt;&gt;"Y","",IF(R3160&lt;&gt;"",R3160,IF(Q3160="(tanpa lawan)","Transfer antar rekening",IFERROR(INDEX(I_COA!$F$6:$F$265,MATCH(Q3160,I_COA!$A$6:$A$265,0)),"?"))))</f>
        <v/>
      </c>
    </row>
    <row r="3161" customFormat="false" ht="15" hidden="false" customHeight="false" outlineLevel="0" collapsed="false">
      <c r="A3161" s="37"/>
      <c r="B3161" s="44"/>
      <c r="C3161" s="44"/>
      <c r="D3161" s="44"/>
      <c r="E3161" s="44"/>
      <c r="F3161" s="44"/>
      <c r="G3161" s="42"/>
      <c r="H3161" s="42"/>
      <c r="I3161" s="44"/>
      <c r="J3161" s="11" t="str">
        <f aca="false">IF(D3161="","",N(G3161)-N(H3161))</f>
        <v/>
      </c>
      <c r="K3161" s="34" t="str">
        <f aca="false">IF(D3161="","",IFERROR(INDEX(I_COA!$C$6:$C$265,MATCH(D3161,I_COA!$A$6:$A$265,0)),"AKUN BARU"))</f>
        <v/>
      </c>
      <c r="L3161" s="34" t="str">
        <f aca="false">IF(K3161="LabaRugi",INDEX(I_COA!$D$6:$D$265,MATCH(D3161,I_COA!$A$6:$A$265,0)),"")</f>
        <v/>
      </c>
      <c r="M3161" s="34" t="str">
        <f aca="false">IF(K3161="Neraca",INDEX(I_COA!$E$6:$E$265,MATCH(D3161,I_COA!$A$6:$A$265,0)),"")</f>
        <v/>
      </c>
      <c r="N3161" s="34" t="str">
        <f aca="false">IF(D3161="","",IFERROR(INDEX(I_COA!$G$6:$G$265,MATCH(D3161,I_COA!$A$6:$A$265,0)),"N"))</f>
        <v/>
      </c>
      <c r="O3161" s="11" t="str">
        <f aca="false">IF(N3161="N",ABS(J3161),"")</f>
        <v/>
      </c>
      <c r="P3161" s="18" t="str">
        <f aca="false">IF(N3161="N",B3161&amp;"|"&amp;ROUND(O3161,0),"")</f>
        <v/>
      </c>
      <c r="Q3161" s="18" t="str">
        <f aca="false">IF(N3161&lt;&gt;"Y","",IFERROR(INDEX($D$6:$D$4005,MATCH(B3161&amp;"|"&amp;ROUND(_xlfn.MAXIFS($O$6:$O$4005,$B$6:$B$4005,B3161,$N$6:$N$4005,"N"),0),$P$6:$P$4005,0)),"(tanpa lawan)"))</f>
        <v/>
      </c>
      <c r="R3161" s="44"/>
      <c r="S3161" s="9" t="str">
        <f aca="false">IF(N3161&lt;&gt;"Y","",IF(R3161&lt;&gt;"",R3161,IF(Q3161="(tanpa lawan)","Transfer antar rekening",IFERROR(INDEX(I_COA!$F$6:$F$265,MATCH(Q3161,I_COA!$A$6:$A$265,0)),"?"))))</f>
        <v/>
      </c>
    </row>
    <row r="3162" customFormat="false" ht="15" hidden="false" customHeight="false" outlineLevel="0" collapsed="false">
      <c r="A3162" s="37"/>
      <c r="B3162" s="44"/>
      <c r="C3162" s="44"/>
      <c r="D3162" s="44"/>
      <c r="E3162" s="44"/>
      <c r="F3162" s="44"/>
      <c r="G3162" s="42"/>
      <c r="H3162" s="42"/>
      <c r="I3162" s="44"/>
      <c r="J3162" s="11" t="str">
        <f aca="false">IF(D3162="","",N(G3162)-N(H3162))</f>
        <v/>
      </c>
      <c r="K3162" s="34" t="str">
        <f aca="false">IF(D3162="","",IFERROR(INDEX(I_COA!$C$6:$C$265,MATCH(D3162,I_COA!$A$6:$A$265,0)),"AKUN BARU"))</f>
        <v/>
      </c>
      <c r="L3162" s="34" t="str">
        <f aca="false">IF(K3162="LabaRugi",INDEX(I_COA!$D$6:$D$265,MATCH(D3162,I_COA!$A$6:$A$265,0)),"")</f>
        <v/>
      </c>
      <c r="M3162" s="34" t="str">
        <f aca="false">IF(K3162="Neraca",INDEX(I_COA!$E$6:$E$265,MATCH(D3162,I_COA!$A$6:$A$265,0)),"")</f>
        <v/>
      </c>
      <c r="N3162" s="34" t="str">
        <f aca="false">IF(D3162="","",IFERROR(INDEX(I_COA!$G$6:$G$265,MATCH(D3162,I_COA!$A$6:$A$265,0)),"N"))</f>
        <v/>
      </c>
      <c r="O3162" s="11" t="str">
        <f aca="false">IF(N3162="N",ABS(J3162),"")</f>
        <v/>
      </c>
      <c r="P3162" s="18" t="str">
        <f aca="false">IF(N3162="N",B3162&amp;"|"&amp;ROUND(O3162,0),"")</f>
        <v/>
      </c>
      <c r="Q3162" s="18" t="str">
        <f aca="false">IF(N3162&lt;&gt;"Y","",IFERROR(INDEX($D$6:$D$4005,MATCH(B3162&amp;"|"&amp;ROUND(_xlfn.MAXIFS($O$6:$O$4005,$B$6:$B$4005,B3162,$N$6:$N$4005,"N"),0),$P$6:$P$4005,0)),"(tanpa lawan)"))</f>
        <v/>
      </c>
      <c r="R3162" s="44"/>
      <c r="S3162" s="9" t="str">
        <f aca="false">IF(N3162&lt;&gt;"Y","",IF(R3162&lt;&gt;"",R3162,IF(Q3162="(tanpa lawan)","Transfer antar rekening",IFERROR(INDEX(I_COA!$F$6:$F$265,MATCH(Q3162,I_COA!$A$6:$A$265,0)),"?"))))</f>
        <v/>
      </c>
    </row>
    <row r="3163" customFormat="false" ht="15" hidden="false" customHeight="false" outlineLevel="0" collapsed="false">
      <c r="A3163" s="37"/>
      <c r="B3163" s="44"/>
      <c r="C3163" s="44"/>
      <c r="D3163" s="44"/>
      <c r="E3163" s="44"/>
      <c r="F3163" s="44"/>
      <c r="G3163" s="42"/>
      <c r="H3163" s="42"/>
      <c r="I3163" s="44"/>
      <c r="J3163" s="11" t="str">
        <f aca="false">IF(D3163="","",N(G3163)-N(H3163))</f>
        <v/>
      </c>
      <c r="K3163" s="34" t="str">
        <f aca="false">IF(D3163="","",IFERROR(INDEX(I_COA!$C$6:$C$265,MATCH(D3163,I_COA!$A$6:$A$265,0)),"AKUN BARU"))</f>
        <v/>
      </c>
      <c r="L3163" s="34" t="str">
        <f aca="false">IF(K3163="LabaRugi",INDEX(I_COA!$D$6:$D$265,MATCH(D3163,I_COA!$A$6:$A$265,0)),"")</f>
        <v/>
      </c>
      <c r="M3163" s="34" t="str">
        <f aca="false">IF(K3163="Neraca",INDEX(I_COA!$E$6:$E$265,MATCH(D3163,I_COA!$A$6:$A$265,0)),"")</f>
        <v/>
      </c>
      <c r="N3163" s="34" t="str">
        <f aca="false">IF(D3163="","",IFERROR(INDEX(I_COA!$G$6:$G$265,MATCH(D3163,I_COA!$A$6:$A$265,0)),"N"))</f>
        <v/>
      </c>
      <c r="O3163" s="11" t="str">
        <f aca="false">IF(N3163="N",ABS(J3163),"")</f>
        <v/>
      </c>
      <c r="P3163" s="18" t="str">
        <f aca="false">IF(N3163="N",B3163&amp;"|"&amp;ROUND(O3163,0),"")</f>
        <v/>
      </c>
      <c r="Q3163" s="18" t="str">
        <f aca="false">IF(N3163&lt;&gt;"Y","",IFERROR(INDEX($D$6:$D$4005,MATCH(B3163&amp;"|"&amp;ROUND(_xlfn.MAXIFS($O$6:$O$4005,$B$6:$B$4005,B3163,$N$6:$N$4005,"N"),0),$P$6:$P$4005,0)),"(tanpa lawan)"))</f>
        <v/>
      </c>
      <c r="R3163" s="44"/>
      <c r="S3163" s="9" t="str">
        <f aca="false">IF(N3163&lt;&gt;"Y","",IF(R3163&lt;&gt;"",R3163,IF(Q3163="(tanpa lawan)","Transfer antar rekening",IFERROR(INDEX(I_COA!$F$6:$F$265,MATCH(Q3163,I_COA!$A$6:$A$265,0)),"?"))))</f>
        <v/>
      </c>
    </row>
    <row r="3164" customFormat="false" ht="15" hidden="false" customHeight="false" outlineLevel="0" collapsed="false">
      <c r="A3164" s="37"/>
      <c r="B3164" s="44"/>
      <c r="C3164" s="44"/>
      <c r="D3164" s="44"/>
      <c r="E3164" s="44"/>
      <c r="F3164" s="44"/>
      <c r="G3164" s="42"/>
      <c r="H3164" s="42"/>
      <c r="I3164" s="44"/>
      <c r="J3164" s="11" t="str">
        <f aca="false">IF(D3164="","",N(G3164)-N(H3164))</f>
        <v/>
      </c>
      <c r="K3164" s="34" t="str">
        <f aca="false">IF(D3164="","",IFERROR(INDEX(I_COA!$C$6:$C$265,MATCH(D3164,I_COA!$A$6:$A$265,0)),"AKUN BARU"))</f>
        <v/>
      </c>
      <c r="L3164" s="34" t="str">
        <f aca="false">IF(K3164="LabaRugi",INDEX(I_COA!$D$6:$D$265,MATCH(D3164,I_COA!$A$6:$A$265,0)),"")</f>
        <v/>
      </c>
      <c r="M3164" s="34" t="str">
        <f aca="false">IF(K3164="Neraca",INDEX(I_COA!$E$6:$E$265,MATCH(D3164,I_COA!$A$6:$A$265,0)),"")</f>
        <v/>
      </c>
      <c r="N3164" s="34" t="str">
        <f aca="false">IF(D3164="","",IFERROR(INDEX(I_COA!$G$6:$G$265,MATCH(D3164,I_COA!$A$6:$A$265,0)),"N"))</f>
        <v/>
      </c>
      <c r="O3164" s="11" t="str">
        <f aca="false">IF(N3164="N",ABS(J3164),"")</f>
        <v/>
      </c>
      <c r="P3164" s="18" t="str">
        <f aca="false">IF(N3164="N",B3164&amp;"|"&amp;ROUND(O3164,0),"")</f>
        <v/>
      </c>
      <c r="Q3164" s="18" t="str">
        <f aca="false">IF(N3164&lt;&gt;"Y","",IFERROR(INDEX($D$6:$D$4005,MATCH(B3164&amp;"|"&amp;ROUND(_xlfn.MAXIFS($O$6:$O$4005,$B$6:$B$4005,B3164,$N$6:$N$4005,"N"),0),$P$6:$P$4005,0)),"(tanpa lawan)"))</f>
        <v/>
      </c>
      <c r="R3164" s="44"/>
      <c r="S3164" s="9" t="str">
        <f aca="false">IF(N3164&lt;&gt;"Y","",IF(R3164&lt;&gt;"",R3164,IF(Q3164="(tanpa lawan)","Transfer antar rekening",IFERROR(INDEX(I_COA!$F$6:$F$265,MATCH(Q3164,I_COA!$A$6:$A$265,0)),"?"))))</f>
        <v/>
      </c>
    </row>
    <row r="3165" customFormat="false" ht="15" hidden="false" customHeight="false" outlineLevel="0" collapsed="false">
      <c r="A3165" s="37"/>
      <c r="B3165" s="44"/>
      <c r="C3165" s="44"/>
      <c r="D3165" s="44"/>
      <c r="E3165" s="44"/>
      <c r="F3165" s="44"/>
      <c r="G3165" s="42"/>
      <c r="H3165" s="42"/>
      <c r="I3165" s="44"/>
      <c r="J3165" s="11" t="str">
        <f aca="false">IF(D3165="","",N(G3165)-N(H3165))</f>
        <v/>
      </c>
      <c r="K3165" s="34" t="str">
        <f aca="false">IF(D3165="","",IFERROR(INDEX(I_COA!$C$6:$C$265,MATCH(D3165,I_COA!$A$6:$A$265,0)),"AKUN BARU"))</f>
        <v/>
      </c>
      <c r="L3165" s="34" t="str">
        <f aca="false">IF(K3165="LabaRugi",INDEX(I_COA!$D$6:$D$265,MATCH(D3165,I_COA!$A$6:$A$265,0)),"")</f>
        <v/>
      </c>
      <c r="M3165" s="34" t="str">
        <f aca="false">IF(K3165="Neraca",INDEX(I_COA!$E$6:$E$265,MATCH(D3165,I_COA!$A$6:$A$265,0)),"")</f>
        <v/>
      </c>
      <c r="N3165" s="34" t="str">
        <f aca="false">IF(D3165="","",IFERROR(INDEX(I_COA!$G$6:$G$265,MATCH(D3165,I_COA!$A$6:$A$265,0)),"N"))</f>
        <v/>
      </c>
      <c r="O3165" s="11" t="str">
        <f aca="false">IF(N3165="N",ABS(J3165),"")</f>
        <v/>
      </c>
      <c r="P3165" s="18" t="str">
        <f aca="false">IF(N3165="N",B3165&amp;"|"&amp;ROUND(O3165,0),"")</f>
        <v/>
      </c>
      <c r="Q3165" s="18" t="str">
        <f aca="false">IF(N3165&lt;&gt;"Y","",IFERROR(INDEX($D$6:$D$4005,MATCH(B3165&amp;"|"&amp;ROUND(_xlfn.MAXIFS($O$6:$O$4005,$B$6:$B$4005,B3165,$N$6:$N$4005,"N"),0),$P$6:$P$4005,0)),"(tanpa lawan)"))</f>
        <v/>
      </c>
      <c r="R3165" s="44"/>
      <c r="S3165" s="9" t="str">
        <f aca="false">IF(N3165&lt;&gt;"Y","",IF(R3165&lt;&gt;"",R3165,IF(Q3165="(tanpa lawan)","Transfer antar rekening",IFERROR(INDEX(I_COA!$F$6:$F$265,MATCH(Q3165,I_COA!$A$6:$A$265,0)),"?"))))</f>
        <v/>
      </c>
    </row>
    <row r="3166" customFormat="false" ht="15" hidden="false" customHeight="false" outlineLevel="0" collapsed="false">
      <c r="A3166" s="37"/>
      <c r="B3166" s="44"/>
      <c r="C3166" s="44"/>
      <c r="D3166" s="44"/>
      <c r="E3166" s="44"/>
      <c r="F3166" s="44"/>
      <c r="G3166" s="42"/>
      <c r="H3166" s="42"/>
      <c r="I3166" s="44"/>
      <c r="J3166" s="11" t="str">
        <f aca="false">IF(D3166="","",N(G3166)-N(H3166))</f>
        <v/>
      </c>
      <c r="K3166" s="34" t="str">
        <f aca="false">IF(D3166="","",IFERROR(INDEX(I_COA!$C$6:$C$265,MATCH(D3166,I_COA!$A$6:$A$265,0)),"AKUN BARU"))</f>
        <v/>
      </c>
      <c r="L3166" s="34" t="str">
        <f aca="false">IF(K3166="LabaRugi",INDEX(I_COA!$D$6:$D$265,MATCH(D3166,I_COA!$A$6:$A$265,0)),"")</f>
        <v/>
      </c>
      <c r="M3166" s="34" t="str">
        <f aca="false">IF(K3166="Neraca",INDEX(I_COA!$E$6:$E$265,MATCH(D3166,I_COA!$A$6:$A$265,0)),"")</f>
        <v/>
      </c>
      <c r="N3166" s="34" t="str">
        <f aca="false">IF(D3166="","",IFERROR(INDEX(I_COA!$G$6:$G$265,MATCH(D3166,I_COA!$A$6:$A$265,0)),"N"))</f>
        <v/>
      </c>
      <c r="O3166" s="11" t="str">
        <f aca="false">IF(N3166="N",ABS(J3166),"")</f>
        <v/>
      </c>
      <c r="P3166" s="18" t="str">
        <f aca="false">IF(N3166="N",B3166&amp;"|"&amp;ROUND(O3166,0),"")</f>
        <v/>
      </c>
      <c r="Q3166" s="18" t="str">
        <f aca="false">IF(N3166&lt;&gt;"Y","",IFERROR(INDEX($D$6:$D$4005,MATCH(B3166&amp;"|"&amp;ROUND(_xlfn.MAXIFS($O$6:$O$4005,$B$6:$B$4005,B3166,$N$6:$N$4005,"N"),0),$P$6:$P$4005,0)),"(tanpa lawan)"))</f>
        <v/>
      </c>
      <c r="R3166" s="44"/>
      <c r="S3166" s="9" t="str">
        <f aca="false">IF(N3166&lt;&gt;"Y","",IF(R3166&lt;&gt;"",R3166,IF(Q3166="(tanpa lawan)","Transfer antar rekening",IFERROR(INDEX(I_COA!$F$6:$F$265,MATCH(Q3166,I_COA!$A$6:$A$265,0)),"?"))))</f>
        <v/>
      </c>
    </row>
    <row r="3167" customFormat="false" ht="15" hidden="false" customHeight="false" outlineLevel="0" collapsed="false">
      <c r="A3167" s="37"/>
      <c r="B3167" s="44"/>
      <c r="C3167" s="44"/>
      <c r="D3167" s="44"/>
      <c r="E3167" s="44"/>
      <c r="F3167" s="44"/>
      <c r="G3167" s="42"/>
      <c r="H3167" s="42"/>
      <c r="I3167" s="44"/>
      <c r="J3167" s="11" t="str">
        <f aca="false">IF(D3167="","",N(G3167)-N(H3167))</f>
        <v/>
      </c>
      <c r="K3167" s="34" t="str">
        <f aca="false">IF(D3167="","",IFERROR(INDEX(I_COA!$C$6:$C$265,MATCH(D3167,I_COA!$A$6:$A$265,0)),"AKUN BARU"))</f>
        <v/>
      </c>
      <c r="L3167" s="34" t="str">
        <f aca="false">IF(K3167="LabaRugi",INDEX(I_COA!$D$6:$D$265,MATCH(D3167,I_COA!$A$6:$A$265,0)),"")</f>
        <v/>
      </c>
      <c r="M3167" s="34" t="str">
        <f aca="false">IF(K3167="Neraca",INDEX(I_COA!$E$6:$E$265,MATCH(D3167,I_COA!$A$6:$A$265,0)),"")</f>
        <v/>
      </c>
      <c r="N3167" s="34" t="str">
        <f aca="false">IF(D3167="","",IFERROR(INDEX(I_COA!$G$6:$G$265,MATCH(D3167,I_COA!$A$6:$A$265,0)),"N"))</f>
        <v/>
      </c>
      <c r="O3167" s="11" t="str">
        <f aca="false">IF(N3167="N",ABS(J3167),"")</f>
        <v/>
      </c>
      <c r="P3167" s="18" t="str">
        <f aca="false">IF(N3167="N",B3167&amp;"|"&amp;ROUND(O3167,0),"")</f>
        <v/>
      </c>
      <c r="Q3167" s="18" t="str">
        <f aca="false">IF(N3167&lt;&gt;"Y","",IFERROR(INDEX($D$6:$D$4005,MATCH(B3167&amp;"|"&amp;ROUND(_xlfn.MAXIFS($O$6:$O$4005,$B$6:$B$4005,B3167,$N$6:$N$4005,"N"),0),$P$6:$P$4005,0)),"(tanpa lawan)"))</f>
        <v/>
      </c>
      <c r="R3167" s="44"/>
      <c r="S3167" s="9" t="str">
        <f aca="false">IF(N3167&lt;&gt;"Y","",IF(R3167&lt;&gt;"",R3167,IF(Q3167="(tanpa lawan)","Transfer antar rekening",IFERROR(INDEX(I_COA!$F$6:$F$265,MATCH(Q3167,I_COA!$A$6:$A$265,0)),"?"))))</f>
        <v/>
      </c>
    </row>
    <row r="3168" customFormat="false" ht="15" hidden="false" customHeight="false" outlineLevel="0" collapsed="false">
      <c r="A3168" s="37"/>
      <c r="B3168" s="44"/>
      <c r="C3168" s="44"/>
      <c r="D3168" s="44"/>
      <c r="E3168" s="44"/>
      <c r="F3168" s="44"/>
      <c r="G3168" s="42"/>
      <c r="H3168" s="42"/>
      <c r="I3168" s="44"/>
      <c r="J3168" s="11" t="str">
        <f aca="false">IF(D3168="","",N(G3168)-N(H3168))</f>
        <v/>
      </c>
      <c r="K3168" s="34" t="str">
        <f aca="false">IF(D3168="","",IFERROR(INDEX(I_COA!$C$6:$C$265,MATCH(D3168,I_COA!$A$6:$A$265,0)),"AKUN BARU"))</f>
        <v/>
      </c>
      <c r="L3168" s="34" t="str">
        <f aca="false">IF(K3168="LabaRugi",INDEX(I_COA!$D$6:$D$265,MATCH(D3168,I_COA!$A$6:$A$265,0)),"")</f>
        <v/>
      </c>
      <c r="M3168" s="34" t="str">
        <f aca="false">IF(K3168="Neraca",INDEX(I_COA!$E$6:$E$265,MATCH(D3168,I_COA!$A$6:$A$265,0)),"")</f>
        <v/>
      </c>
      <c r="N3168" s="34" t="str">
        <f aca="false">IF(D3168="","",IFERROR(INDEX(I_COA!$G$6:$G$265,MATCH(D3168,I_COA!$A$6:$A$265,0)),"N"))</f>
        <v/>
      </c>
      <c r="O3168" s="11" t="str">
        <f aca="false">IF(N3168="N",ABS(J3168),"")</f>
        <v/>
      </c>
      <c r="P3168" s="18" t="str">
        <f aca="false">IF(N3168="N",B3168&amp;"|"&amp;ROUND(O3168,0),"")</f>
        <v/>
      </c>
      <c r="Q3168" s="18" t="str">
        <f aca="false">IF(N3168&lt;&gt;"Y","",IFERROR(INDEX($D$6:$D$4005,MATCH(B3168&amp;"|"&amp;ROUND(_xlfn.MAXIFS($O$6:$O$4005,$B$6:$B$4005,B3168,$N$6:$N$4005,"N"),0),$P$6:$P$4005,0)),"(tanpa lawan)"))</f>
        <v/>
      </c>
      <c r="R3168" s="44"/>
      <c r="S3168" s="9" t="str">
        <f aca="false">IF(N3168&lt;&gt;"Y","",IF(R3168&lt;&gt;"",R3168,IF(Q3168="(tanpa lawan)","Transfer antar rekening",IFERROR(INDEX(I_COA!$F$6:$F$265,MATCH(Q3168,I_COA!$A$6:$A$265,0)),"?"))))</f>
        <v/>
      </c>
    </row>
    <row r="3169" customFormat="false" ht="15" hidden="false" customHeight="false" outlineLevel="0" collapsed="false">
      <c r="A3169" s="37"/>
      <c r="B3169" s="44"/>
      <c r="C3169" s="44"/>
      <c r="D3169" s="44"/>
      <c r="E3169" s="44"/>
      <c r="F3169" s="44"/>
      <c r="G3169" s="42"/>
      <c r="H3169" s="42"/>
      <c r="I3169" s="44"/>
      <c r="J3169" s="11" t="str">
        <f aca="false">IF(D3169="","",N(G3169)-N(H3169))</f>
        <v/>
      </c>
      <c r="K3169" s="34" t="str">
        <f aca="false">IF(D3169="","",IFERROR(INDEX(I_COA!$C$6:$C$265,MATCH(D3169,I_COA!$A$6:$A$265,0)),"AKUN BARU"))</f>
        <v/>
      </c>
      <c r="L3169" s="34" t="str">
        <f aca="false">IF(K3169="LabaRugi",INDEX(I_COA!$D$6:$D$265,MATCH(D3169,I_COA!$A$6:$A$265,0)),"")</f>
        <v/>
      </c>
      <c r="M3169" s="34" t="str">
        <f aca="false">IF(K3169="Neraca",INDEX(I_COA!$E$6:$E$265,MATCH(D3169,I_COA!$A$6:$A$265,0)),"")</f>
        <v/>
      </c>
      <c r="N3169" s="34" t="str">
        <f aca="false">IF(D3169="","",IFERROR(INDEX(I_COA!$G$6:$G$265,MATCH(D3169,I_COA!$A$6:$A$265,0)),"N"))</f>
        <v/>
      </c>
      <c r="O3169" s="11" t="str">
        <f aca="false">IF(N3169="N",ABS(J3169),"")</f>
        <v/>
      </c>
      <c r="P3169" s="18" t="str">
        <f aca="false">IF(N3169="N",B3169&amp;"|"&amp;ROUND(O3169,0),"")</f>
        <v/>
      </c>
      <c r="Q3169" s="18" t="str">
        <f aca="false">IF(N3169&lt;&gt;"Y","",IFERROR(INDEX($D$6:$D$4005,MATCH(B3169&amp;"|"&amp;ROUND(_xlfn.MAXIFS($O$6:$O$4005,$B$6:$B$4005,B3169,$N$6:$N$4005,"N"),0),$P$6:$P$4005,0)),"(tanpa lawan)"))</f>
        <v/>
      </c>
      <c r="R3169" s="44"/>
      <c r="S3169" s="9" t="str">
        <f aca="false">IF(N3169&lt;&gt;"Y","",IF(R3169&lt;&gt;"",R3169,IF(Q3169="(tanpa lawan)","Transfer antar rekening",IFERROR(INDEX(I_COA!$F$6:$F$265,MATCH(Q3169,I_COA!$A$6:$A$265,0)),"?"))))</f>
        <v/>
      </c>
    </row>
    <row r="3170" customFormat="false" ht="15" hidden="false" customHeight="false" outlineLevel="0" collapsed="false">
      <c r="A3170" s="37"/>
      <c r="B3170" s="44"/>
      <c r="C3170" s="44"/>
      <c r="D3170" s="44"/>
      <c r="E3170" s="44"/>
      <c r="F3170" s="44"/>
      <c r="G3170" s="42"/>
      <c r="H3170" s="42"/>
      <c r="I3170" s="44"/>
      <c r="J3170" s="11" t="str">
        <f aca="false">IF(D3170="","",N(G3170)-N(H3170))</f>
        <v/>
      </c>
      <c r="K3170" s="34" t="str">
        <f aca="false">IF(D3170="","",IFERROR(INDEX(I_COA!$C$6:$C$265,MATCH(D3170,I_COA!$A$6:$A$265,0)),"AKUN BARU"))</f>
        <v/>
      </c>
      <c r="L3170" s="34" t="str">
        <f aca="false">IF(K3170="LabaRugi",INDEX(I_COA!$D$6:$D$265,MATCH(D3170,I_COA!$A$6:$A$265,0)),"")</f>
        <v/>
      </c>
      <c r="M3170" s="34" t="str">
        <f aca="false">IF(K3170="Neraca",INDEX(I_COA!$E$6:$E$265,MATCH(D3170,I_COA!$A$6:$A$265,0)),"")</f>
        <v/>
      </c>
      <c r="N3170" s="34" t="str">
        <f aca="false">IF(D3170="","",IFERROR(INDEX(I_COA!$G$6:$G$265,MATCH(D3170,I_COA!$A$6:$A$265,0)),"N"))</f>
        <v/>
      </c>
      <c r="O3170" s="11" t="str">
        <f aca="false">IF(N3170="N",ABS(J3170),"")</f>
        <v/>
      </c>
      <c r="P3170" s="18" t="str">
        <f aca="false">IF(N3170="N",B3170&amp;"|"&amp;ROUND(O3170,0),"")</f>
        <v/>
      </c>
      <c r="Q3170" s="18" t="str">
        <f aca="false">IF(N3170&lt;&gt;"Y","",IFERROR(INDEX($D$6:$D$4005,MATCH(B3170&amp;"|"&amp;ROUND(_xlfn.MAXIFS($O$6:$O$4005,$B$6:$B$4005,B3170,$N$6:$N$4005,"N"),0),$P$6:$P$4005,0)),"(tanpa lawan)"))</f>
        <v/>
      </c>
      <c r="R3170" s="44"/>
      <c r="S3170" s="9" t="str">
        <f aca="false">IF(N3170&lt;&gt;"Y","",IF(R3170&lt;&gt;"",R3170,IF(Q3170="(tanpa lawan)","Transfer antar rekening",IFERROR(INDEX(I_COA!$F$6:$F$265,MATCH(Q3170,I_COA!$A$6:$A$265,0)),"?"))))</f>
        <v/>
      </c>
    </row>
    <row r="3171" customFormat="false" ht="15" hidden="false" customHeight="false" outlineLevel="0" collapsed="false">
      <c r="A3171" s="37"/>
      <c r="B3171" s="44"/>
      <c r="C3171" s="44"/>
      <c r="D3171" s="44"/>
      <c r="E3171" s="44"/>
      <c r="F3171" s="44"/>
      <c r="G3171" s="42"/>
      <c r="H3171" s="42"/>
      <c r="I3171" s="44"/>
      <c r="J3171" s="11" t="str">
        <f aca="false">IF(D3171="","",N(G3171)-N(H3171))</f>
        <v/>
      </c>
      <c r="K3171" s="34" t="str">
        <f aca="false">IF(D3171="","",IFERROR(INDEX(I_COA!$C$6:$C$265,MATCH(D3171,I_COA!$A$6:$A$265,0)),"AKUN BARU"))</f>
        <v/>
      </c>
      <c r="L3171" s="34" t="str">
        <f aca="false">IF(K3171="LabaRugi",INDEX(I_COA!$D$6:$D$265,MATCH(D3171,I_COA!$A$6:$A$265,0)),"")</f>
        <v/>
      </c>
      <c r="M3171" s="34" t="str">
        <f aca="false">IF(K3171="Neraca",INDEX(I_COA!$E$6:$E$265,MATCH(D3171,I_COA!$A$6:$A$265,0)),"")</f>
        <v/>
      </c>
      <c r="N3171" s="34" t="str">
        <f aca="false">IF(D3171="","",IFERROR(INDEX(I_COA!$G$6:$G$265,MATCH(D3171,I_COA!$A$6:$A$265,0)),"N"))</f>
        <v/>
      </c>
      <c r="O3171" s="11" t="str">
        <f aca="false">IF(N3171="N",ABS(J3171),"")</f>
        <v/>
      </c>
      <c r="P3171" s="18" t="str">
        <f aca="false">IF(N3171="N",B3171&amp;"|"&amp;ROUND(O3171,0),"")</f>
        <v/>
      </c>
      <c r="Q3171" s="18" t="str">
        <f aca="false">IF(N3171&lt;&gt;"Y","",IFERROR(INDEX($D$6:$D$4005,MATCH(B3171&amp;"|"&amp;ROUND(_xlfn.MAXIFS($O$6:$O$4005,$B$6:$B$4005,B3171,$N$6:$N$4005,"N"),0),$P$6:$P$4005,0)),"(tanpa lawan)"))</f>
        <v/>
      </c>
      <c r="R3171" s="44"/>
      <c r="S3171" s="9" t="str">
        <f aca="false">IF(N3171&lt;&gt;"Y","",IF(R3171&lt;&gt;"",R3171,IF(Q3171="(tanpa lawan)","Transfer antar rekening",IFERROR(INDEX(I_COA!$F$6:$F$265,MATCH(Q3171,I_COA!$A$6:$A$265,0)),"?"))))</f>
        <v/>
      </c>
    </row>
    <row r="3172" customFormat="false" ht="15" hidden="false" customHeight="false" outlineLevel="0" collapsed="false">
      <c r="A3172" s="37"/>
      <c r="B3172" s="44"/>
      <c r="C3172" s="44"/>
      <c r="D3172" s="44"/>
      <c r="E3172" s="44"/>
      <c r="F3172" s="44"/>
      <c r="G3172" s="42"/>
      <c r="H3172" s="42"/>
      <c r="I3172" s="44"/>
      <c r="J3172" s="11" t="str">
        <f aca="false">IF(D3172="","",N(G3172)-N(H3172))</f>
        <v/>
      </c>
      <c r="K3172" s="34" t="str">
        <f aca="false">IF(D3172="","",IFERROR(INDEX(I_COA!$C$6:$C$265,MATCH(D3172,I_COA!$A$6:$A$265,0)),"AKUN BARU"))</f>
        <v/>
      </c>
      <c r="L3172" s="34" t="str">
        <f aca="false">IF(K3172="LabaRugi",INDEX(I_COA!$D$6:$D$265,MATCH(D3172,I_COA!$A$6:$A$265,0)),"")</f>
        <v/>
      </c>
      <c r="M3172" s="34" t="str">
        <f aca="false">IF(K3172="Neraca",INDEX(I_COA!$E$6:$E$265,MATCH(D3172,I_COA!$A$6:$A$265,0)),"")</f>
        <v/>
      </c>
      <c r="N3172" s="34" t="str">
        <f aca="false">IF(D3172="","",IFERROR(INDEX(I_COA!$G$6:$G$265,MATCH(D3172,I_COA!$A$6:$A$265,0)),"N"))</f>
        <v/>
      </c>
      <c r="O3172" s="11" t="str">
        <f aca="false">IF(N3172="N",ABS(J3172),"")</f>
        <v/>
      </c>
      <c r="P3172" s="18" t="str">
        <f aca="false">IF(N3172="N",B3172&amp;"|"&amp;ROUND(O3172,0),"")</f>
        <v/>
      </c>
      <c r="Q3172" s="18" t="str">
        <f aca="false">IF(N3172&lt;&gt;"Y","",IFERROR(INDEX($D$6:$D$4005,MATCH(B3172&amp;"|"&amp;ROUND(_xlfn.MAXIFS($O$6:$O$4005,$B$6:$B$4005,B3172,$N$6:$N$4005,"N"),0),$P$6:$P$4005,0)),"(tanpa lawan)"))</f>
        <v/>
      </c>
      <c r="R3172" s="44"/>
      <c r="S3172" s="9" t="str">
        <f aca="false">IF(N3172&lt;&gt;"Y","",IF(R3172&lt;&gt;"",R3172,IF(Q3172="(tanpa lawan)","Transfer antar rekening",IFERROR(INDEX(I_COA!$F$6:$F$265,MATCH(Q3172,I_COA!$A$6:$A$265,0)),"?"))))</f>
        <v/>
      </c>
    </row>
    <row r="3173" customFormat="false" ht="15" hidden="false" customHeight="false" outlineLevel="0" collapsed="false">
      <c r="A3173" s="37"/>
      <c r="B3173" s="44"/>
      <c r="C3173" s="44"/>
      <c r="D3173" s="44"/>
      <c r="E3173" s="44"/>
      <c r="F3173" s="44"/>
      <c r="G3173" s="42"/>
      <c r="H3173" s="42"/>
      <c r="I3173" s="44"/>
      <c r="J3173" s="11" t="str">
        <f aca="false">IF(D3173="","",N(G3173)-N(H3173))</f>
        <v/>
      </c>
      <c r="K3173" s="34" t="str">
        <f aca="false">IF(D3173="","",IFERROR(INDEX(I_COA!$C$6:$C$265,MATCH(D3173,I_COA!$A$6:$A$265,0)),"AKUN BARU"))</f>
        <v/>
      </c>
      <c r="L3173" s="34" t="str">
        <f aca="false">IF(K3173="LabaRugi",INDEX(I_COA!$D$6:$D$265,MATCH(D3173,I_COA!$A$6:$A$265,0)),"")</f>
        <v/>
      </c>
      <c r="M3173" s="34" t="str">
        <f aca="false">IF(K3173="Neraca",INDEX(I_COA!$E$6:$E$265,MATCH(D3173,I_COA!$A$6:$A$265,0)),"")</f>
        <v/>
      </c>
      <c r="N3173" s="34" t="str">
        <f aca="false">IF(D3173="","",IFERROR(INDEX(I_COA!$G$6:$G$265,MATCH(D3173,I_COA!$A$6:$A$265,0)),"N"))</f>
        <v/>
      </c>
      <c r="O3173" s="11" t="str">
        <f aca="false">IF(N3173="N",ABS(J3173),"")</f>
        <v/>
      </c>
      <c r="P3173" s="18" t="str">
        <f aca="false">IF(N3173="N",B3173&amp;"|"&amp;ROUND(O3173,0),"")</f>
        <v/>
      </c>
      <c r="Q3173" s="18" t="str">
        <f aca="false">IF(N3173&lt;&gt;"Y","",IFERROR(INDEX($D$6:$D$4005,MATCH(B3173&amp;"|"&amp;ROUND(_xlfn.MAXIFS($O$6:$O$4005,$B$6:$B$4005,B3173,$N$6:$N$4005,"N"),0),$P$6:$P$4005,0)),"(tanpa lawan)"))</f>
        <v/>
      </c>
      <c r="R3173" s="44"/>
      <c r="S3173" s="9" t="str">
        <f aca="false">IF(N3173&lt;&gt;"Y","",IF(R3173&lt;&gt;"",R3173,IF(Q3173="(tanpa lawan)","Transfer antar rekening",IFERROR(INDEX(I_COA!$F$6:$F$265,MATCH(Q3173,I_COA!$A$6:$A$265,0)),"?"))))</f>
        <v/>
      </c>
    </row>
    <row r="3174" customFormat="false" ht="15" hidden="false" customHeight="false" outlineLevel="0" collapsed="false">
      <c r="A3174" s="37"/>
      <c r="B3174" s="44"/>
      <c r="C3174" s="44"/>
      <c r="D3174" s="44"/>
      <c r="E3174" s="44"/>
      <c r="F3174" s="44"/>
      <c r="G3174" s="42"/>
      <c r="H3174" s="42"/>
      <c r="I3174" s="44"/>
      <c r="J3174" s="11" t="str">
        <f aca="false">IF(D3174="","",N(G3174)-N(H3174))</f>
        <v/>
      </c>
      <c r="K3174" s="34" t="str">
        <f aca="false">IF(D3174="","",IFERROR(INDEX(I_COA!$C$6:$C$265,MATCH(D3174,I_COA!$A$6:$A$265,0)),"AKUN BARU"))</f>
        <v/>
      </c>
      <c r="L3174" s="34" t="str">
        <f aca="false">IF(K3174="LabaRugi",INDEX(I_COA!$D$6:$D$265,MATCH(D3174,I_COA!$A$6:$A$265,0)),"")</f>
        <v/>
      </c>
      <c r="M3174" s="34" t="str">
        <f aca="false">IF(K3174="Neraca",INDEX(I_COA!$E$6:$E$265,MATCH(D3174,I_COA!$A$6:$A$265,0)),"")</f>
        <v/>
      </c>
      <c r="N3174" s="34" t="str">
        <f aca="false">IF(D3174="","",IFERROR(INDEX(I_COA!$G$6:$G$265,MATCH(D3174,I_COA!$A$6:$A$265,0)),"N"))</f>
        <v/>
      </c>
      <c r="O3174" s="11" t="str">
        <f aca="false">IF(N3174="N",ABS(J3174),"")</f>
        <v/>
      </c>
      <c r="P3174" s="18" t="str">
        <f aca="false">IF(N3174="N",B3174&amp;"|"&amp;ROUND(O3174,0),"")</f>
        <v/>
      </c>
      <c r="Q3174" s="18" t="str">
        <f aca="false">IF(N3174&lt;&gt;"Y","",IFERROR(INDEX($D$6:$D$4005,MATCH(B3174&amp;"|"&amp;ROUND(_xlfn.MAXIFS($O$6:$O$4005,$B$6:$B$4005,B3174,$N$6:$N$4005,"N"),0),$P$6:$P$4005,0)),"(tanpa lawan)"))</f>
        <v/>
      </c>
      <c r="R3174" s="44"/>
      <c r="S3174" s="9" t="str">
        <f aca="false">IF(N3174&lt;&gt;"Y","",IF(R3174&lt;&gt;"",R3174,IF(Q3174="(tanpa lawan)","Transfer antar rekening",IFERROR(INDEX(I_COA!$F$6:$F$265,MATCH(Q3174,I_COA!$A$6:$A$265,0)),"?"))))</f>
        <v/>
      </c>
    </row>
    <row r="3175" customFormat="false" ht="15" hidden="false" customHeight="false" outlineLevel="0" collapsed="false">
      <c r="A3175" s="37"/>
      <c r="B3175" s="44"/>
      <c r="C3175" s="44"/>
      <c r="D3175" s="44"/>
      <c r="E3175" s="44"/>
      <c r="F3175" s="44"/>
      <c r="G3175" s="42"/>
      <c r="H3175" s="42"/>
      <c r="I3175" s="44"/>
      <c r="J3175" s="11" t="str">
        <f aca="false">IF(D3175="","",N(G3175)-N(H3175))</f>
        <v/>
      </c>
      <c r="K3175" s="34" t="str">
        <f aca="false">IF(D3175="","",IFERROR(INDEX(I_COA!$C$6:$C$265,MATCH(D3175,I_COA!$A$6:$A$265,0)),"AKUN BARU"))</f>
        <v/>
      </c>
      <c r="L3175" s="34" t="str">
        <f aca="false">IF(K3175="LabaRugi",INDEX(I_COA!$D$6:$D$265,MATCH(D3175,I_COA!$A$6:$A$265,0)),"")</f>
        <v/>
      </c>
      <c r="M3175" s="34" t="str">
        <f aca="false">IF(K3175="Neraca",INDEX(I_COA!$E$6:$E$265,MATCH(D3175,I_COA!$A$6:$A$265,0)),"")</f>
        <v/>
      </c>
      <c r="N3175" s="34" t="str">
        <f aca="false">IF(D3175="","",IFERROR(INDEX(I_COA!$G$6:$G$265,MATCH(D3175,I_COA!$A$6:$A$265,0)),"N"))</f>
        <v/>
      </c>
      <c r="O3175" s="11" t="str">
        <f aca="false">IF(N3175="N",ABS(J3175),"")</f>
        <v/>
      </c>
      <c r="P3175" s="18" t="str">
        <f aca="false">IF(N3175="N",B3175&amp;"|"&amp;ROUND(O3175,0),"")</f>
        <v/>
      </c>
      <c r="Q3175" s="18" t="str">
        <f aca="false">IF(N3175&lt;&gt;"Y","",IFERROR(INDEX($D$6:$D$4005,MATCH(B3175&amp;"|"&amp;ROUND(_xlfn.MAXIFS($O$6:$O$4005,$B$6:$B$4005,B3175,$N$6:$N$4005,"N"),0),$P$6:$P$4005,0)),"(tanpa lawan)"))</f>
        <v/>
      </c>
      <c r="R3175" s="44"/>
      <c r="S3175" s="9" t="str">
        <f aca="false">IF(N3175&lt;&gt;"Y","",IF(R3175&lt;&gt;"",R3175,IF(Q3175="(tanpa lawan)","Transfer antar rekening",IFERROR(INDEX(I_COA!$F$6:$F$265,MATCH(Q3175,I_COA!$A$6:$A$265,0)),"?"))))</f>
        <v/>
      </c>
    </row>
    <row r="3176" customFormat="false" ht="15" hidden="false" customHeight="false" outlineLevel="0" collapsed="false">
      <c r="A3176" s="37"/>
      <c r="B3176" s="44"/>
      <c r="C3176" s="44"/>
      <c r="D3176" s="44"/>
      <c r="E3176" s="44"/>
      <c r="F3176" s="44"/>
      <c r="G3176" s="42"/>
      <c r="H3176" s="42"/>
      <c r="I3176" s="44"/>
      <c r="J3176" s="11" t="str">
        <f aca="false">IF(D3176="","",N(G3176)-N(H3176))</f>
        <v/>
      </c>
      <c r="K3176" s="34" t="str">
        <f aca="false">IF(D3176="","",IFERROR(INDEX(I_COA!$C$6:$C$265,MATCH(D3176,I_COA!$A$6:$A$265,0)),"AKUN BARU"))</f>
        <v/>
      </c>
      <c r="L3176" s="34" t="str">
        <f aca="false">IF(K3176="LabaRugi",INDEX(I_COA!$D$6:$D$265,MATCH(D3176,I_COA!$A$6:$A$265,0)),"")</f>
        <v/>
      </c>
      <c r="M3176" s="34" t="str">
        <f aca="false">IF(K3176="Neraca",INDEX(I_COA!$E$6:$E$265,MATCH(D3176,I_COA!$A$6:$A$265,0)),"")</f>
        <v/>
      </c>
      <c r="N3176" s="34" t="str">
        <f aca="false">IF(D3176="","",IFERROR(INDEX(I_COA!$G$6:$G$265,MATCH(D3176,I_COA!$A$6:$A$265,0)),"N"))</f>
        <v/>
      </c>
      <c r="O3176" s="11" t="str">
        <f aca="false">IF(N3176="N",ABS(J3176),"")</f>
        <v/>
      </c>
      <c r="P3176" s="18" t="str">
        <f aca="false">IF(N3176="N",B3176&amp;"|"&amp;ROUND(O3176,0),"")</f>
        <v/>
      </c>
      <c r="Q3176" s="18" t="str">
        <f aca="false">IF(N3176&lt;&gt;"Y","",IFERROR(INDEX($D$6:$D$4005,MATCH(B3176&amp;"|"&amp;ROUND(_xlfn.MAXIFS($O$6:$O$4005,$B$6:$B$4005,B3176,$N$6:$N$4005,"N"),0),$P$6:$P$4005,0)),"(tanpa lawan)"))</f>
        <v/>
      </c>
      <c r="R3176" s="44"/>
      <c r="S3176" s="9" t="str">
        <f aca="false">IF(N3176&lt;&gt;"Y","",IF(R3176&lt;&gt;"",R3176,IF(Q3176="(tanpa lawan)","Transfer antar rekening",IFERROR(INDEX(I_COA!$F$6:$F$265,MATCH(Q3176,I_COA!$A$6:$A$265,0)),"?"))))</f>
        <v/>
      </c>
    </row>
    <row r="3177" customFormat="false" ht="15" hidden="false" customHeight="false" outlineLevel="0" collapsed="false">
      <c r="A3177" s="37"/>
      <c r="B3177" s="44"/>
      <c r="C3177" s="44"/>
      <c r="D3177" s="44"/>
      <c r="E3177" s="44"/>
      <c r="F3177" s="44"/>
      <c r="G3177" s="42"/>
      <c r="H3177" s="42"/>
      <c r="I3177" s="44"/>
      <c r="J3177" s="11" t="str">
        <f aca="false">IF(D3177="","",N(G3177)-N(H3177))</f>
        <v/>
      </c>
      <c r="K3177" s="34" t="str">
        <f aca="false">IF(D3177="","",IFERROR(INDEX(I_COA!$C$6:$C$265,MATCH(D3177,I_COA!$A$6:$A$265,0)),"AKUN BARU"))</f>
        <v/>
      </c>
      <c r="L3177" s="34" t="str">
        <f aca="false">IF(K3177="LabaRugi",INDEX(I_COA!$D$6:$D$265,MATCH(D3177,I_COA!$A$6:$A$265,0)),"")</f>
        <v/>
      </c>
      <c r="M3177" s="34" t="str">
        <f aca="false">IF(K3177="Neraca",INDEX(I_COA!$E$6:$E$265,MATCH(D3177,I_COA!$A$6:$A$265,0)),"")</f>
        <v/>
      </c>
      <c r="N3177" s="34" t="str">
        <f aca="false">IF(D3177="","",IFERROR(INDEX(I_COA!$G$6:$G$265,MATCH(D3177,I_COA!$A$6:$A$265,0)),"N"))</f>
        <v/>
      </c>
      <c r="O3177" s="11" t="str">
        <f aca="false">IF(N3177="N",ABS(J3177),"")</f>
        <v/>
      </c>
      <c r="P3177" s="18" t="str">
        <f aca="false">IF(N3177="N",B3177&amp;"|"&amp;ROUND(O3177,0),"")</f>
        <v/>
      </c>
      <c r="Q3177" s="18" t="str">
        <f aca="false">IF(N3177&lt;&gt;"Y","",IFERROR(INDEX($D$6:$D$4005,MATCH(B3177&amp;"|"&amp;ROUND(_xlfn.MAXIFS($O$6:$O$4005,$B$6:$B$4005,B3177,$N$6:$N$4005,"N"),0),$P$6:$P$4005,0)),"(tanpa lawan)"))</f>
        <v/>
      </c>
      <c r="R3177" s="44"/>
      <c r="S3177" s="9" t="str">
        <f aca="false">IF(N3177&lt;&gt;"Y","",IF(R3177&lt;&gt;"",R3177,IF(Q3177="(tanpa lawan)","Transfer antar rekening",IFERROR(INDEX(I_COA!$F$6:$F$265,MATCH(Q3177,I_COA!$A$6:$A$265,0)),"?"))))</f>
        <v/>
      </c>
    </row>
    <row r="3178" customFormat="false" ht="15" hidden="false" customHeight="false" outlineLevel="0" collapsed="false">
      <c r="A3178" s="37"/>
      <c r="B3178" s="44"/>
      <c r="C3178" s="44"/>
      <c r="D3178" s="44"/>
      <c r="E3178" s="44"/>
      <c r="F3178" s="44"/>
      <c r="G3178" s="42"/>
      <c r="H3178" s="42"/>
      <c r="I3178" s="44"/>
      <c r="J3178" s="11" t="str">
        <f aca="false">IF(D3178="","",N(G3178)-N(H3178))</f>
        <v/>
      </c>
      <c r="K3178" s="34" t="str">
        <f aca="false">IF(D3178="","",IFERROR(INDEX(I_COA!$C$6:$C$265,MATCH(D3178,I_COA!$A$6:$A$265,0)),"AKUN BARU"))</f>
        <v/>
      </c>
      <c r="L3178" s="34" t="str">
        <f aca="false">IF(K3178="LabaRugi",INDEX(I_COA!$D$6:$D$265,MATCH(D3178,I_COA!$A$6:$A$265,0)),"")</f>
        <v/>
      </c>
      <c r="M3178" s="34" t="str">
        <f aca="false">IF(K3178="Neraca",INDEX(I_COA!$E$6:$E$265,MATCH(D3178,I_COA!$A$6:$A$265,0)),"")</f>
        <v/>
      </c>
      <c r="N3178" s="34" t="str">
        <f aca="false">IF(D3178="","",IFERROR(INDEX(I_COA!$G$6:$G$265,MATCH(D3178,I_COA!$A$6:$A$265,0)),"N"))</f>
        <v/>
      </c>
      <c r="O3178" s="11" t="str">
        <f aca="false">IF(N3178="N",ABS(J3178),"")</f>
        <v/>
      </c>
      <c r="P3178" s="18" t="str">
        <f aca="false">IF(N3178="N",B3178&amp;"|"&amp;ROUND(O3178,0),"")</f>
        <v/>
      </c>
      <c r="Q3178" s="18" t="str">
        <f aca="false">IF(N3178&lt;&gt;"Y","",IFERROR(INDEX($D$6:$D$4005,MATCH(B3178&amp;"|"&amp;ROUND(_xlfn.MAXIFS($O$6:$O$4005,$B$6:$B$4005,B3178,$N$6:$N$4005,"N"),0),$P$6:$P$4005,0)),"(tanpa lawan)"))</f>
        <v/>
      </c>
      <c r="R3178" s="44"/>
      <c r="S3178" s="9" t="str">
        <f aca="false">IF(N3178&lt;&gt;"Y","",IF(R3178&lt;&gt;"",R3178,IF(Q3178="(tanpa lawan)","Transfer antar rekening",IFERROR(INDEX(I_COA!$F$6:$F$265,MATCH(Q3178,I_COA!$A$6:$A$265,0)),"?"))))</f>
        <v/>
      </c>
    </row>
    <row r="3179" customFormat="false" ht="15" hidden="false" customHeight="false" outlineLevel="0" collapsed="false">
      <c r="A3179" s="37"/>
      <c r="B3179" s="44"/>
      <c r="C3179" s="44"/>
      <c r="D3179" s="44"/>
      <c r="E3179" s="44"/>
      <c r="F3179" s="44"/>
      <c r="G3179" s="42"/>
      <c r="H3179" s="42"/>
      <c r="I3179" s="44"/>
      <c r="J3179" s="11" t="str">
        <f aca="false">IF(D3179="","",N(G3179)-N(H3179))</f>
        <v/>
      </c>
      <c r="K3179" s="34" t="str">
        <f aca="false">IF(D3179="","",IFERROR(INDEX(I_COA!$C$6:$C$265,MATCH(D3179,I_COA!$A$6:$A$265,0)),"AKUN BARU"))</f>
        <v/>
      </c>
      <c r="L3179" s="34" t="str">
        <f aca="false">IF(K3179="LabaRugi",INDEX(I_COA!$D$6:$D$265,MATCH(D3179,I_COA!$A$6:$A$265,0)),"")</f>
        <v/>
      </c>
      <c r="M3179" s="34" t="str">
        <f aca="false">IF(K3179="Neraca",INDEX(I_COA!$E$6:$E$265,MATCH(D3179,I_COA!$A$6:$A$265,0)),"")</f>
        <v/>
      </c>
      <c r="N3179" s="34" t="str">
        <f aca="false">IF(D3179="","",IFERROR(INDEX(I_COA!$G$6:$G$265,MATCH(D3179,I_COA!$A$6:$A$265,0)),"N"))</f>
        <v/>
      </c>
      <c r="O3179" s="11" t="str">
        <f aca="false">IF(N3179="N",ABS(J3179),"")</f>
        <v/>
      </c>
      <c r="P3179" s="18" t="str">
        <f aca="false">IF(N3179="N",B3179&amp;"|"&amp;ROUND(O3179,0),"")</f>
        <v/>
      </c>
      <c r="Q3179" s="18" t="str">
        <f aca="false">IF(N3179&lt;&gt;"Y","",IFERROR(INDEX($D$6:$D$4005,MATCH(B3179&amp;"|"&amp;ROUND(_xlfn.MAXIFS($O$6:$O$4005,$B$6:$B$4005,B3179,$N$6:$N$4005,"N"),0),$P$6:$P$4005,0)),"(tanpa lawan)"))</f>
        <v/>
      </c>
      <c r="R3179" s="44"/>
      <c r="S3179" s="9" t="str">
        <f aca="false">IF(N3179&lt;&gt;"Y","",IF(R3179&lt;&gt;"",R3179,IF(Q3179="(tanpa lawan)","Transfer antar rekening",IFERROR(INDEX(I_COA!$F$6:$F$265,MATCH(Q3179,I_COA!$A$6:$A$265,0)),"?"))))</f>
        <v/>
      </c>
    </row>
    <row r="3180" customFormat="false" ht="15" hidden="false" customHeight="false" outlineLevel="0" collapsed="false">
      <c r="A3180" s="37"/>
      <c r="B3180" s="44"/>
      <c r="C3180" s="44"/>
      <c r="D3180" s="44"/>
      <c r="E3180" s="44"/>
      <c r="F3180" s="44"/>
      <c r="G3180" s="42"/>
      <c r="H3180" s="42"/>
      <c r="I3180" s="44"/>
      <c r="J3180" s="11" t="str">
        <f aca="false">IF(D3180="","",N(G3180)-N(H3180))</f>
        <v/>
      </c>
      <c r="K3180" s="34" t="str">
        <f aca="false">IF(D3180="","",IFERROR(INDEX(I_COA!$C$6:$C$265,MATCH(D3180,I_COA!$A$6:$A$265,0)),"AKUN BARU"))</f>
        <v/>
      </c>
      <c r="L3180" s="34" t="str">
        <f aca="false">IF(K3180="LabaRugi",INDEX(I_COA!$D$6:$D$265,MATCH(D3180,I_COA!$A$6:$A$265,0)),"")</f>
        <v/>
      </c>
      <c r="M3180" s="34" t="str">
        <f aca="false">IF(K3180="Neraca",INDEX(I_COA!$E$6:$E$265,MATCH(D3180,I_COA!$A$6:$A$265,0)),"")</f>
        <v/>
      </c>
      <c r="N3180" s="34" t="str">
        <f aca="false">IF(D3180="","",IFERROR(INDEX(I_COA!$G$6:$G$265,MATCH(D3180,I_COA!$A$6:$A$265,0)),"N"))</f>
        <v/>
      </c>
      <c r="O3180" s="11" t="str">
        <f aca="false">IF(N3180="N",ABS(J3180),"")</f>
        <v/>
      </c>
      <c r="P3180" s="18" t="str">
        <f aca="false">IF(N3180="N",B3180&amp;"|"&amp;ROUND(O3180,0),"")</f>
        <v/>
      </c>
      <c r="Q3180" s="18" t="str">
        <f aca="false">IF(N3180&lt;&gt;"Y","",IFERROR(INDEX($D$6:$D$4005,MATCH(B3180&amp;"|"&amp;ROUND(_xlfn.MAXIFS($O$6:$O$4005,$B$6:$B$4005,B3180,$N$6:$N$4005,"N"),0),$P$6:$P$4005,0)),"(tanpa lawan)"))</f>
        <v/>
      </c>
      <c r="R3180" s="44"/>
      <c r="S3180" s="9" t="str">
        <f aca="false">IF(N3180&lt;&gt;"Y","",IF(R3180&lt;&gt;"",R3180,IF(Q3180="(tanpa lawan)","Transfer antar rekening",IFERROR(INDEX(I_COA!$F$6:$F$265,MATCH(Q3180,I_COA!$A$6:$A$265,0)),"?"))))</f>
        <v/>
      </c>
    </row>
    <row r="3181" customFormat="false" ht="15" hidden="false" customHeight="false" outlineLevel="0" collapsed="false">
      <c r="A3181" s="37"/>
      <c r="B3181" s="44"/>
      <c r="C3181" s="44"/>
      <c r="D3181" s="44"/>
      <c r="E3181" s="44"/>
      <c r="F3181" s="44"/>
      <c r="G3181" s="42"/>
      <c r="H3181" s="42"/>
      <c r="I3181" s="44"/>
      <c r="J3181" s="11" t="str">
        <f aca="false">IF(D3181="","",N(G3181)-N(H3181))</f>
        <v/>
      </c>
      <c r="K3181" s="34" t="str">
        <f aca="false">IF(D3181="","",IFERROR(INDEX(I_COA!$C$6:$C$265,MATCH(D3181,I_COA!$A$6:$A$265,0)),"AKUN BARU"))</f>
        <v/>
      </c>
      <c r="L3181" s="34" t="str">
        <f aca="false">IF(K3181="LabaRugi",INDEX(I_COA!$D$6:$D$265,MATCH(D3181,I_COA!$A$6:$A$265,0)),"")</f>
        <v/>
      </c>
      <c r="M3181" s="34" t="str">
        <f aca="false">IF(K3181="Neraca",INDEX(I_COA!$E$6:$E$265,MATCH(D3181,I_COA!$A$6:$A$265,0)),"")</f>
        <v/>
      </c>
      <c r="N3181" s="34" t="str">
        <f aca="false">IF(D3181="","",IFERROR(INDEX(I_COA!$G$6:$G$265,MATCH(D3181,I_COA!$A$6:$A$265,0)),"N"))</f>
        <v/>
      </c>
      <c r="O3181" s="11" t="str">
        <f aca="false">IF(N3181="N",ABS(J3181),"")</f>
        <v/>
      </c>
      <c r="P3181" s="18" t="str">
        <f aca="false">IF(N3181="N",B3181&amp;"|"&amp;ROUND(O3181,0),"")</f>
        <v/>
      </c>
      <c r="Q3181" s="18" t="str">
        <f aca="false">IF(N3181&lt;&gt;"Y","",IFERROR(INDEX($D$6:$D$4005,MATCH(B3181&amp;"|"&amp;ROUND(_xlfn.MAXIFS($O$6:$O$4005,$B$6:$B$4005,B3181,$N$6:$N$4005,"N"),0),$P$6:$P$4005,0)),"(tanpa lawan)"))</f>
        <v/>
      </c>
      <c r="R3181" s="44"/>
      <c r="S3181" s="9" t="str">
        <f aca="false">IF(N3181&lt;&gt;"Y","",IF(R3181&lt;&gt;"",R3181,IF(Q3181="(tanpa lawan)","Transfer antar rekening",IFERROR(INDEX(I_COA!$F$6:$F$265,MATCH(Q3181,I_COA!$A$6:$A$265,0)),"?"))))</f>
        <v/>
      </c>
    </row>
    <row r="3182" customFormat="false" ht="15" hidden="false" customHeight="false" outlineLevel="0" collapsed="false">
      <c r="A3182" s="37"/>
      <c r="B3182" s="44"/>
      <c r="C3182" s="44"/>
      <c r="D3182" s="44"/>
      <c r="E3182" s="44"/>
      <c r="F3182" s="44"/>
      <c r="G3182" s="42"/>
      <c r="H3182" s="42"/>
      <c r="I3182" s="44"/>
      <c r="J3182" s="11" t="str">
        <f aca="false">IF(D3182="","",N(G3182)-N(H3182))</f>
        <v/>
      </c>
      <c r="K3182" s="34" t="str">
        <f aca="false">IF(D3182="","",IFERROR(INDEX(I_COA!$C$6:$C$265,MATCH(D3182,I_COA!$A$6:$A$265,0)),"AKUN BARU"))</f>
        <v/>
      </c>
      <c r="L3182" s="34" t="str">
        <f aca="false">IF(K3182="LabaRugi",INDEX(I_COA!$D$6:$D$265,MATCH(D3182,I_COA!$A$6:$A$265,0)),"")</f>
        <v/>
      </c>
      <c r="M3182" s="34" t="str">
        <f aca="false">IF(K3182="Neraca",INDEX(I_COA!$E$6:$E$265,MATCH(D3182,I_COA!$A$6:$A$265,0)),"")</f>
        <v/>
      </c>
      <c r="N3182" s="34" t="str">
        <f aca="false">IF(D3182="","",IFERROR(INDEX(I_COA!$G$6:$G$265,MATCH(D3182,I_COA!$A$6:$A$265,0)),"N"))</f>
        <v/>
      </c>
      <c r="O3182" s="11" t="str">
        <f aca="false">IF(N3182="N",ABS(J3182),"")</f>
        <v/>
      </c>
      <c r="P3182" s="18" t="str">
        <f aca="false">IF(N3182="N",B3182&amp;"|"&amp;ROUND(O3182,0),"")</f>
        <v/>
      </c>
      <c r="Q3182" s="18" t="str">
        <f aca="false">IF(N3182&lt;&gt;"Y","",IFERROR(INDEX($D$6:$D$4005,MATCH(B3182&amp;"|"&amp;ROUND(_xlfn.MAXIFS($O$6:$O$4005,$B$6:$B$4005,B3182,$N$6:$N$4005,"N"),0),$P$6:$P$4005,0)),"(tanpa lawan)"))</f>
        <v/>
      </c>
      <c r="R3182" s="44"/>
      <c r="S3182" s="9" t="str">
        <f aca="false">IF(N3182&lt;&gt;"Y","",IF(R3182&lt;&gt;"",R3182,IF(Q3182="(tanpa lawan)","Transfer antar rekening",IFERROR(INDEX(I_COA!$F$6:$F$265,MATCH(Q3182,I_COA!$A$6:$A$265,0)),"?"))))</f>
        <v/>
      </c>
    </row>
    <row r="3183" customFormat="false" ht="15" hidden="false" customHeight="false" outlineLevel="0" collapsed="false">
      <c r="A3183" s="37"/>
      <c r="B3183" s="44"/>
      <c r="C3183" s="44"/>
      <c r="D3183" s="44"/>
      <c r="E3183" s="44"/>
      <c r="F3183" s="44"/>
      <c r="G3183" s="42"/>
      <c r="H3183" s="42"/>
      <c r="I3183" s="44"/>
      <c r="J3183" s="11" t="str">
        <f aca="false">IF(D3183="","",N(G3183)-N(H3183))</f>
        <v/>
      </c>
      <c r="K3183" s="34" t="str">
        <f aca="false">IF(D3183="","",IFERROR(INDEX(I_COA!$C$6:$C$265,MATCH(D3183,I_COA!$A$6:$A$265,0)),"AKUN BARU"))</f>
        <v/>
      </c>
      <c r="L3183" s="34" t="str">
        <f aca="false">IF(K3183="LabaRugi",INDEX(I_COA!$D$6:$D$265,MATCH(D3183,I_COA!$A$6:$A$265,0)),"")</f>
        <v/>
      </c>
      <c r="M3183" s="34" t="str">
        <f aca="false">IF(K3183="Neraca",INDEX(I_COA!$E$6:$E$265,MATCH(D3183,I_COA!$A$6:$A$265,0)),"")</f>
        <v/>
      </c>
      <c r="N3183" s="34" t="str">
        <f aca="false">IF(D3183="","",IFERROR(INDEX(I_COA!$G$6:$G$265,MATCH(D3183,I_COA!$A$6:$A$265,0)),"N"))</f>
        <v/>
      </c>
      <c r="O3183" s="11" t="str">
        <f aca="false">IF(N3183="N",ABS(J3183),"")</f>
        <v/>
      </c>
      <c r="P3183" s="18" t="str">
        <f aca="false">IF(N3183="N",B3183&amp;"|"&amp;ROUND(O3183,0),"")</f>
        <v/>
      </c>
      <c r="Q3183" s="18" t="str">
        <f aca="false">IF(N3183&lt;&gt;"Y","",IFERROR(INDEX($D$6:$D$4005,MATCH(B3183&amp;"|"&amp;ROUND(_xlfn.MAXIFS($O$6:$O$4005,$B$6:$B$4005,B3183,$N$6:$N$4005,"N"),0),$P$6:$P$4005,0)),"(tanpa lawan)"))</f>
        <v/>
      </c>
      <c r="R3183" s="44"/>
      <c r="S3183" s="9" t="str">
        <f aca="false">IF(N3183&lt;&gt;"Y","",IF(R3183&lt;&gt;"",R3183,IF(Q3183="(tanpa lawan)","Transfer antar rekening",IFERROR(INDEX(I_COA!$F$6:$F$265,MATCH(Q3183,I_COA!$A$6:$A$265,0)),"?"))))</f>
        <v/>
      </c>
    </row>
    <row r="3184" customFormat="false" ht="15" hidden="false" customHeight="false" outlineLevel="0" collapsed="false">
      <c r="A3184" s="37"/>
      <c r="B3184" s="44"/>
      <c r="C3184" s="44"/>
      <c r="D3184" s="44"/>
      <c r="E3184" s="44"/>
      <c r="F3184" s="44"/>
      <c r="G3184" s="42"/>
      <c r="H3184" s="42"/>
      <c r="I3184" s="44"/>
      <c r="J3184" s="11" t="str">
        <f aca="false">IF(D3184="","",N(G3184)-N(H3184))</f>
        <v/>
      </c>
      <c r="K3184" s="34" t="str">
        <f aca="false">IF(D3184="","",IFERROR(INDEX(I_COA!$C$6:$C$265,MATCH(D3184,I_COA!$A$6:$A$265,0)),"AKUN BARU"))</f>
        <v/>
      </c>
      <c r="L3184" s="34" t="str">
        <f aca="false">IF(K3184="LabaRugi",INDEX(I_COA!$D$6:$D$265,MATCH(D3184,I_COA!$A$6:$A$265,0)),"")</f>
        <v/>
      </c>
      <c r="M3184" s="34" t="str">
        <f aca="false">IF(K3184="Neraca",INDEX(I_COA!$E$6:$E$265,MATCH(D3184,I_COA!$A$6:$A$265,0)),"")</f>
        <v/>
      </c>
      <c r="N3184" s="34" t="str">
        <f aca="false">IF(D3184="","",IFERROR(INDEX(I_COA!$G$6:$G$265,MATCH(D3184,I_COA!$A$6:$A$265,0)),"N"))</f>
        <v/>
      </c>
      <c r="O3184" s="11" t="str">
        <f aca="false">IF(N3184="N",ABS(J3184),"")</f>
        <v/>
      </c>
      <c r="P3184" s="18" t="str">
        <f aca="false">IF(N3184="N",B3184&amp;"|"&amp;ROUND(O3184,0),"")</f>
        <v/>
      </c>
      <c r="Q3184" s="18" t="str">
        <f aca="false">IF(N3184&lt;&gt;"Y","",IFERROR(INDEX($D$6:$D$4005,MATCH(B3184&amp;"|"&amp;ROUND(_xlfn.MAXIFS($O$6:$O$4005,$B$6:$B$4005,B3184,$N$6:$N$4005,"N"),0),$P$6:$P$4005,0)),"(tanpa lawan)"))</f>
        <v/>
      </c>
      <c r="R3184" s="44"/>
      <c r="S3184" s="9" t="str">
        <f aca="false">IF(N3184&lt;&gt;"Y","",IF(R3184&lt;&gt;"",R3184,IF(Q3184="(tanpa lawan)","Transfer antar rekening",IFERROR(INDEX(I_COA!$F$6:$F$265,MATCH(Q3184,I_COA!$A$6:$A$265,0)),"?"))))</f>
        <v/>
      </c>
    </row>
    <row r="3185" customFormat="false" ht="15" hidden="false" customHeight="false" outlineLevel="0" collapsed="false">
      <c r="A3185" s="37"/>
      <c r="B3185" s="44"/>
      <c r="C3185" s="44"/>
      <c r="D3185" s="44"/>
      <c r="E3185" s="44"/>
      <c r="F3185" s="44"/>
      <c r="G3185" s="42"/>
      <c r="H3185" s="42"/>
      <c r="I3185" s="44"/>
      <c r="J3185" s="11" t="str">
        <f aca="false">IF(D3185="","",N(G3185)-N(H3185))</f>
        <v/>
      </c>
      <c r="K3185" s="34" t="str">
        <f aca="false">IF(D3185="","",IFERROR(INDEX(I_COA!$C$6:$C$265,MATCH(D3185,I_COA!$A$6:$A$265,0)),"AKUN BARU"))</f>
        <v/>
      </c>
      <c r="L3185" s="34" t="str">
        <f aca="false">IF(K3185="LabaRugi",INDEX(I_COA!$D$6:$D$265,MATCH(D3185,I_COA!$A$6:$A$265,0)),"")</f>
        <v/>
      </c>
      <c r="M3185" s="34" t="str">
        <f aca="false">IF(K3185="Neraca",INDEX(I_COA!$E$6:$E$265,MATCH(D3185,I_COA!$A$6:$A$265,0)),"")</f>
        <v/>
      </c>
      <c r="N3185" s="34" t="str">
        <f aca="false">IF(D3185="","",IFERROR(INDEX(I_COA!$G$6:$G$265,MATCH(D3185,I_COA!$A$6:$A$265,0)),"N"))</f>
        <v/>
      </c>
      <c r="O3185" s="11" t="str">
        <f aca="false">IF(N3185="N",ABS(J3185),"")</f>
        <v/>
      </c>
      <c r="P3185" s="18" t="str">
        <f aca="false">IF(N3185="N",B3185&amp;"|"&amp;ROUND(O3185,0),"")</f>
        <v/>
      </c>
      <c r="Q3185" s="18" t="str">
        <f aca="false">IF(N3185&lt;&gt;"Y","",IFERROR(INDEX($D$6:$D$4005,MATCH(B3185&amp;"|"&amp;ROUND(_xlfn.MAXIFS($O$6:$O$4005,$B$6:$B$4005,B3185,$N$6:$N$4005,"N"),0),$P$6:$P$4005,0)),"(tanpa lawan)"))</f>
        <v/>
      </c>
      <c r="R3185" s="44"/>
      <c r="S3185" s="9" t="str">
        <f aca="false">IF(N3185&lt;&gt;"Y","",IF(R3185&lt;&gt;"",R3185,IF(Q3185="(tanpa lawan)","Transfer antar rekening",IFERROR(INDEX(I_COA!$F$6:$F$265,MATCH(Q3185,I_COA!$A$6:$A$265,0)),"?"))))</f>
        <v/>
      </c>
    </row>
    <row r="3186" customFormat="false" ht="15" hidden="false" customHeight="false" outlineLevel="0" collapsed="false">
      <c r="A3186" s="37"/>
      <c r="B3186" s="44"/>
      <c r="C3186" s="44"/>
      <c r="D3186" s="44"/>
      <c r="E3186" s="44"/>
      <c r="F3186" s="44"/>
      <c r="G3186" s="42"/>
      <c r="H3186" s="42"/>
      <c r="I3186" s="44"/>
      <c r="J3186" s="11" t="str">
        <f aca="false">IF(D3186="","",N(G3186)-N(H3186))</f>
        <v/>
      </c>
      <c r="K3186" s="34" t="str">
        <f aca="false">IF(D3186="","",IFERROR(INDEX(I_COA!$C$6:$C$265,MATCH(D3186,I_COA!$A$6:$A$265,0)),"AKUN BARU"))</f>
        <v/>
      </c>
      <c r="L3186" s="34" t="str">
        <f aca="false">IF(K3186="LabaRugi",INDEX(I_COA!$D$6:$D$265,MATCH(D3186,I_COA!$A$6:$A$265,0)),"")</f>
        <v/>
      </c>
      <c r="M3186" s="34" t="str">
        <f aca="false">IF(K3186="Neraca",INDEX(I_COA!$E$6:$E$265,MATCH(D3186,I_COA!$A$6:$A$265,0)),"")</f>
        <v/>
      </c>
      <c r="N3186" s="34" t="str">
        <f aca="false">IF(D3186="","",IFERROR(INDEX(I_COA!$G$6:$G$265,MATCH(D3186,I_COA!$A$6:$A$265,0)),"N"))</f>
        <v/>
      </c>
      <c r="O3186" s="11" t="str">
        <f aca="false">IF(N3186="N",ABS(J3186),"")</f>
        <v/>
      </c>
      <c r="P3186" s="18" t="str">
        <f aca="false">IF(N3186="N",B3186&amp;"|"&amp;ROUND(O3186,0),"")</f>
        <v/>
      </c>
      <c r="Q3186" s="18" t="str">
        <f aca="false">IF(N3186&lt;&gt;"Y","",IFERROR(INDEX($D$6:$D$4005,MATCH(B3186&amp;"|"&amp;ROUND(_xlfn.MAXIFS($O$6:$O$4005,$B$6:$B$4005,B3186,$N$6:$N$4005,"N"),0),$P$6:$P$4005,0)),"(tanpa lawan)"))</f>
        <v/>
      </c>
      <c r="R3186" s="44"/>
      <c r="S3186" s="9" t="str">
        <f aca="false">IF(N3186&lt;&gt;"Y","",IF(R3186&lt;&gt;"",R3186,IF(Q3186="(tanpa lawan)","Transfer antar rekening",IFERROR(INDEX(I_COA!$F$6:$F$265,MATCH(Q3186,I_COA!$A$6:$A$265,0)),"?"))))</f>
        <v/>
      </c>
    </row>
    <row r="3187" customFormat="false" ht="15" hidden="false" customHeight="false" outlineLevel="0" collapsed="false">
      <c r="A3187" s="37"/>
      <c r="B3187" s="44"/>
      <c r="C3187" s="44"/>
      <c r="D3187" s="44"/>
      <c r="E3187" s="44"/>
      <c r="F3187" s="44"/>
      <c r="G3187" s="42"/>
      <c r="H3187" s="42"/>
      <c r="I3187" s="44"/>
      <c r="J3187" s="11" t="str">
        <f aca="false">IF(D3187="","",N(G3187)-N(H3187))</f>
        <v/>
      </c>
      <c r="K3187" s="34" t="str">
        <f aca="false">IF(D3187="","",IFERROR(INDEX(I_COA!$C$6:$C$265,MATCH(D3187,I_COA!$A$6:$A$265,0)),"AKUN BARU"))</f>
        <v/>
      </c>
      <c r="L3187" s="34" t="str">
        <f aca="false">IF(K3187="LabaRugi",INDEX(I_COA!$D$6:$D$265,MATCH(D3187,I_COA!$A$6:$A$265,0)),"")</f>
        <v/>
      </c>
      <c r="M3187" s="34" t="str">
        <f aca="false">IF(K3187="Neraca",INDEX(I_COA!$E$6:$E$265,MATCH(D3187,I_COA!$A$6:$A$265,0)),"")</f>
        <v/>
      </c>
      <c r="N3187" s="34" t="str">
        <f aca="false">IF(D3187="","",IFERROR(INDEX(I_COA!$G$6:$G$265,MATCH(D3187,I_COA!$A$6:$A$265,0)),"N"))</f>
        <v/>
      </c>
      <c r="O3187" s="11" t="str">
        <f aca="false">IF(N3187="N",ABS(J3187),"")</f>
        <v/>
      </c>
      <c r="P3187" s="18" t="str">
        <f aca="false">IF(N3187="N",B3187&amp;"|"&amp;ROUND(O3187,0),"")</f>
        <v/>
      </c>
      <c r="Q3187" s="18" t="str">
        <f aca="false">IF(N3187&lt;&gt;"Y","",IFERROR(INDEX($D$6:$D$4005,MATCH(B3187&amp;"|"&amp;ROUND(_xlfn.MAXIFS($O$6:$O$4005,$B$6:$B$4005,B3187,$N$6:$N$4005,"N"),0),$P$6:$P$4005,0)),"(tanpa lawan)"))</f>
        <v/>
      </c>
      <c r="R3187" s="44"/>
      <c r="S3187" s="9" t="str">
        <f aca="false">IF(N3187&lt;&gt;"Y","",IF(R3187&lt;&gt;"",R3187,IF(Q3187="(tanpa lawan)","Transfer antar rekening",IFERROR(INDEX(I_COA!$F$6:$F$265,MATCH(Q3187,I_COA!$A$6:$A$265,0)),"?"))))</f>
        <v/>
      </c>
    </row>
    <row r="3188" customFormat="false" ht="15" hidden="false" customHeight="false" outlineLevel="0" collapsed="false">
      <c r="A3188" s="37"/>
      <c r="B3188" s="44"/>
      <c r="C3188" s="44"/>
      <c r="D3188" s="44"/>
      <c r="E3188" s="44"/>
      <c r="F3188" s="44"/>
      <c r="G3188" s="42"/>
      <c r="H3188" s="42"/>
      <c r="I3188" s="44"/>
      <c r="J3188" s="11" t="str">
        <f aca="false">IF(D3188="","",N(G3188)-N(H3188))</f>
        <v/>
      </c>
      <c r="K3188" s="34" t="str">
        <f aca="false">IF(D3188="","",IFERROR(INDEX(I_COA!$C$6:$C$265,MATCH(D3188,I_COA!$A$6:$A$265,0)),"AKUN BARU"))</f>
        <v/>
      </c>
      <c r="L3188" s="34" t="str">
        <f aca="false">IF(K3188="LabaRugi",INDEX(I_COA!$D$6:$D$265,MATCH(D3188,I_COA!$A$6:$A$265,0)),"")</f>
        <v/>
      </c>
      <c r="M3188" s="34" t="str">
        <f aca="false">IF(K3188="Neraca",INDEX(I_COA!$E$6:$E$265,MATCH(D3188,I_COA!$A$6:$A$265,0)),"")</f>
        <v/>
      </c>
      <c r="N3188" s="34" t="str">
        <f aca="false">IF(D3188="","",IFERROR(INDEX(I_COA!$G$6:$G$265,MATCH(D3188,I_COA!$A$6:$A$265,0)),"N"))</f>
        <v/>
      </c>
      <c r="O3188" s="11" t="str">
        <f aca="false">IF(N3188="N",ABS(J3188),"")</f>
        <v/>
      </c>
      <c r="P3188" s="18" t="str">
        <f aca="false">IF(N3188="N",B3188&amp;"|"&amp;ROUND(O3188,0),"")</f>
        <v/>
      </c>
      <c r="Q3188" s="18" t="str">
        <f aca="false">IF(N3188&lt;&gt;"Y","",IFERROR(INDEX($D$6:$D$4005,MATCH(B3188&amp;"|"&amp;ROUND(_xlfn.MAXIFS($O$6:$O$4005,$B$6:$B$4005,B3188,$N$6:$N$4005,"N"),0),$P$6:$P$4005,0)),"(tanpa lawan)"))</f>
        <v/>
      </c>
      <c r="R3188" s="44"/>
      <c r="S3188" s="9" t="str">
        <f aca="false">IF(N3188&lt;&gt;"Y","",IF(R3188&lt;&gt;"",R3188,IF(Q3188="(tanpa lawan)","Transfer antar rekening",IFERROR(INDEX(I_COA!$F$6:$F$265,MATCH(Q3188,I_COA!$A$6:$A$265,0)),"?"))))</f>
        <v/>
      </c>
    </row>
    <row r="3189" customFormat="false" ht="15" hidden="false" customHeight="false" outlineLevel="0" collapsed="false">
      <c r="A3189" s="37"/>
      <c r="B3189" s="44"/>
      <c r="C3189" s="44"/>
      <c r="D3189" s="44"/>
      <c r="E3189" s="44"/>
      <c r="F3189" s="44"/>
      <c r="G3189" s="42"/>
      <c r="H3189" s="42"/>
      <c r="I3189" s="44"/>
      <c r="J3189" s="11" t="str">
        <f aca="false">IF(D3189="","",N(G3189)-N(H3189))</f>
        <v/>
      </c>
      <c r="K3189" s="34" t="str">
        <f aca="false">IF(D3189="","",IFERROR(INDEX(I_COA!$C$6:$C$265,MATCH(D3189,I_COA!$A$6:$A$265,0)),"AKUN BARU"))</f>
        <v/>
      </c>
      <c r="L3189" s="34" t="str">
        <f aca="false">IF(K3189="LabaRugi",INDEX(I_COA!$D$6:$D$265,MATCH(D3189,I_COA!$A$6:$A$265,0)),"")</f>
        <v/>
      </c>
      <c r="M3189" s="34" t="str">
        <f aca="false">IF(K3189="Neraca",INDEX(I_COA!$E$6:$E$265,MATCH(D3189,I_COA!$A$6:$A$265,0)),"")</f>
        <v/>
      </c>
      <c r="N3189" s="34" t="str">
        <f aca="false">IF(D3189="","",IFERROR(INDEX(I_COA!$G$6:$G$265,MATCH(D3189,I_COA!$A$6:$A$265,0)),"N"))</f>
        <v/>
      </c>
      <c r="O3189" s="11" t="str">
        <f aca="false">IF(N3189="N",ABS(J3189),"")</f>
        <v/>
      </c>
      <c r="P3189" s="18" t="str">
        <f aca="false">IF(N3189="N",B3189&amp;"|"&amp;ROUND(O3189,0),"")</f>
        <v/>
      </c>
      <c r="Q3189" s="18" t="str">
        <f aca="false">IF(N3189&lt;&gt;"Y","",IFERROR(INDEX($D$6:$D$4005,MATCH(B3189&amp;"|"&amp;ROUND(_xlfn.MAXIFS($O$6:$O$4005,$B$6:$B$4005,B3189,$N$6:$N$4005,"N"),0),$P$6:$P$4005,0)),"(tanpa lawan)"))</f>
        <v/>
      </c>
      <c r="R3189" s="44"/>
      <c r="S3189" s="9" t="str">
        <f aca="false">IF(N3189&lt;&gt;"Y","",IF(R3189&lt;&gt;"",R3189,IF(Q3189="(tanpa lawan)","Transfer antar rekening",IFERROR(INDEX(I_COA!$F$6:$F$265,MATCH(Q3189,I_COA!$A$6:$A$265,0)),"?"))))</f>
        <v/>
      </c>
    </row>
    <row r="3190" customFormat="false" ht="15" hidden="false" customHeight="false" outlineLevel="0" collapsed="false">
      <c r="A3190" s="37"/>
      <c r="B3190" s="44"/>
      <c r="C3190" s="44"/>
      <c r="D3190" s="44"/>
      <c r="E3190" s="44"/>
      <c r="F3190" s="44"/>
      <c r="G3190" s="42"/>
      <c r="H3190" s="42"/>
      <c r="I3190" s="44"/>
      <c r="J3190" s="11" t="str">
        <f aca="false">IF(D3190="","",N(G3190)-N(H3190))</f>
        <v/>
      </c>
      <c r="K3190" s="34" t="str">
        <f aca="false">IF(D3190="","",IFERROR(INDEX(I_COA!$C$6:$C$265,MATCH(D3190,I_COA!$A$6:$A$265,0)),"AKUN BARU"))</f>
        <v/>
      </c>
      <c r="L3190" s="34" t="str">
        <f aca="false">IF(K3190="LabaRugi",INDEX(I_COA!$D$6:$D$265,MATCH(D3190,I_COA!$A$6:$A$265,0)),"")</f>
        <v/>
      </c>
      <c r="M3190" s="34" t="str">
        <f aca="false">IF(K3190="Neraca",INDEX(I_COA!$E$6:$E$265,MATCH(D3190,I_COA!$A$6:$A$265,0)),"")</f>
        <v/>
      </c>
      <c r="N3190" s="34" t="str">
        <f aca="false">IF(D3190="","",IFERROR(INDEX(I_COA!$G$6:$G$265,MATCH(D3190,I_COA!$A$6:$A$265,0)),"N"))</f>
        <v/>
      </c>
      <c r="O3190" s="11" t="str">
        <f aca="false">IF(N3190="N",ABS(J3190),"")</f>
        <v/>
      </c>
      <c r="P3190" s="18" t="str">
        <f aca="false">IF(N3190="N",B3190&amp;"|"&amp;ROUND(O3190,0),"")</f>
        <v/>
      </c>
      <c r="Q3190" s="18" t="str">
        <f aca="false">IF(N3190&lt;&gt;"Y","",IFERROR(INDEX($D$6:$D$4005,MATCH(B3190&amp;"|"&amp;ROUND(_xlfn.MAXIFS($O$6:$O$4005,$B$6:$B$4005,B3190,$N$6:$N$4005,"N"),0),$P$6:$P$4005,0)),"(tanpa lawan)"))</f>
        <v/>
      </c>
      <c r="R3190" s="44"/>
      <c r="S3190" s="9" t="str">
        <f aca="false">IF(N3190&lt;&gt;"Y","",IF(R3190&lt;&gt;"",R3190,IF(Q3190="(tanpa lawan)","Transfer antar rekening",IFERROR(INDEX(I_COA!$F$6:$F$265,MATCH(Q3190,I_COA!$A$6:$A$265,0)),"?"))))</f>
        <v/>
      </c>
    </row>
    <row r="3191" customFormat="false" ht="15" hidden="false" customHeight="false" outlineLevel="0" collapsed="false">
      <c r="A3191" s="37"/>
      <c r="B3191" s="44"/>
      <c r="C3191" s="44"/>
      <c r="D3191" s="44"/>
      <c r="E3191" s="44"/>
      <c r="F3191" s="44"/>
      <c r="G3191" s="42"/>
      <c r="H3191" s="42"/>
      <c r="I3191" s="44"/>
      <c r="J3191" s="11" t="str">
        <f aca="false">IF(D3191="","",N(G3191)-N(H3191))</f>
        <v/>
      </c>
      <c r="K3191" s="34" t="str">
        <f aca="false">IF(D3191="","",IFERROR(INDEX(I_COA!$C$6:$C$265,MATCH(D3191,I_COA!$A$6:$A$265,0)),"AKUN BARU"))</f>
        <v/>
      </c>
      <c r="L3191" s="34" t="str">
        <f aca="false">IF(K3191="LabaRugi",INDEX(I_COA!$D$6:$D$265,MATCH(D3191,I_COA!$A$6:$A$265,0)),"")</f>
        <v/>
      </c>
      <c r="M3191" s="34" t="str">
        <f aca="false">IF(K3191="Neraca",INDEX(I_COA!$E$6:$E$265,MATCH(D3191,I_COA!$A$6:$A$265,0)),"")</f>
        <v/>
      </c>
      <c r="N3191" s="34" t="str">
        <f aca="false">IF(D3191="","",IFERROR(INDEX(I_COA!$G$6:$G$265,MATCH(D3191,I_COA!$A$6:$A$265,0)),"N"))</f>
        <v/>
      </c>
      <c r="O3191" s="11" t="str">
        <f aca="false">IF(N3191="N",ABS(J3191),"")</f>
        <v/>
      </c>
      <c r="P3191" s="18" t="str">
        <f aca="false">IF(N3191="N",B3191&amp;"|"&amp;ROUND(O3191,0),"")</f>
        <v/>
      </c>
      <c r="Q3191" s="18" t="str">
        <f aca="false">IF(N3191&lt;&gt;"Y","",IFERROR(INDEX($D$6:$D$4005,MATCH(B3191&amp;"|"&amp;ROUND(_xlfn.MAXIFS($O$6:$O$4005,$B$6:$B$4005,B3191,$N$6:$N$4005,"N"),0),$P$6:$P$4005,0)),"(tanpa lawan)"))</f>
        <v/>
      </c>
      <c r="R3191" s="44"/>
      <c r="S3191" s="9" t="str">
        <f aca="false">IF(N3191&lt;&gt;"Y","",IF(R3191&lt;&gt;"",R3191,IF(Q3191="(tanpa lawan)","Transfer antar rekening",IFERROR(INDEX(I_COA!$F$6:$F$265,MATCH(Q3191,I_COA!$A$6:$A$265,0)),"?"))))</f>
        <v/>
      </c>
    </row>
    <row r="3192" customFormat="false" ht="15" hidden="false" customHeight="false" outlineLevel="0" collapsed="false">
      <c r="A3192" s="37"/>
      <c r="B3192" s="44"/>
      <c r="C3192" s="44"/>
      <c r="D3192" s="44"/>
      <c r="E3192" s="44"/>
      <c r="F3192" s="44"/>
      <c r="G3192" s="42"/>
      <c r="H3192" s="42"/>
      <c r="I3192" s="44"/>
      <c r="J3192" s="11" t="str">
        <f aca="false">IF(D3192="","",N(G3192)-N(H3192))</f>
        <v/>
      </c>
      <c r="K3192" s="34" t="str">
        <f aca="false">IF(D3192="","",IFERROR(INDEX(I_COA!$C$6:$C$265,MATCH(D3192,I_COA!$A$6:$A$265,0)),"AKUN BARU"))</f>
        <v/>
      </c>
      <c r="L3192" s="34" t="str">
        <f aca="false">IF(K3192="LabaRugi",INDEX(I_COA!$D$6:$D$265,MATCH(D3192,I_COA!$A$6:$A$265,0)),"")</f>
        <v/>
      </c>
      <c r="M3192" s="34" t="str">
        <f aca="false">IF(K3192="Neraca",INDEX(I_COA!$E$6:$E$265,MATCH(D3192,I_COA!$A$6:$A$265,0)),"")</f>
        <v/>
      </c>
      <c r="N3192" s="34" t="str">
        <f aca="false">IF(D3192="","",IFERROR(INDEX(I_COA!$G$6:$G$265,MATCH(D3192,I_COA!$A$6:$A$265,0)),"N"))</f>
        <v/>
      </c>
      <c r="O3192" s="11" t="str">
        <f aca="false">IF(N3192="N",ABS(J3192),"")</f>
        <v/>
      </c>
      <c r="P3192" s="18" t="str">
        <f aca="false">IF(N3192="N",B3192&amp;"|"&amp;ROUND(O3192,0),"")</f>
        <v/>
      </c>
      <c r="Q3192" s="18" t="str">
        <f aca="false">IF(N3192&lt;&gt;"Y","",IFERROR(INDEX($D$6:$D$4005,MATCH(B3192&amp;"|"&amp;ROUND(_xlfn.MAXIFS($O$6:$O$4005,$B$6:$B$4005,B3192,$N$6:$N$4005,"N"),0),$P$6:$P$4005,0)),"(tanpa lawan)"))</f>
        <v/>
      </c>
      <c r="R3192" s="44"/>
      <c r="S3192" s="9" t="str">
        <f aca="false">IF(N3192&lt;&gt;"Y","",IF(R3192&lt;&gt;"",R3192,IF(Q3192="(tanpa lawan)","Transfer antar rekening",IFERROR(INDEX(I_COA!$F$6:$F$265,MATCH(Q3192,I_COA!$A$6:$A$265,0)),"?"))))</f>
        <v/>
      </c>
    </row>
    <row r="3193" customFormat="false" ht="15" hidden="false" customHeight="false" outlineLevel="0" collapsed="false">
      <c r="A3193" s="37"/>
      <c r="B3193" s="44"/>
      <c r="C3193" s="44"/>
      <c r="D3193" s="44"/>
      <c r="E3193" s="44"/>
      <c r="F3193" s="44"/>
      <c r="G3193" s="42"/>
      <c r="H3193" s="42"/>
      <c r="I3193" s="44"/>
      <c r="J3193" s="11" t="str">
        <f aca="false">IF(D3193="","",N(G3193)-N(H3193))</f>
        <v/>
      </c>
      <c r="K3193" s="34" t="str">
        <f aca="false">IF(D3193="","",IFERROR(INDEX(I_COA!$C$6:$C$265,MATCH(D3193,I_COA!$A$6:$A$265,0)),"AKUN BARU"))</f>
        <v/>
      </c>
      <c r="L3193" s="34" t="str">
        <f aca="false">IF(K3193="LabaRugi",INDEX(I_COA!$D$6:$D$265,MATCH(D3193,I_COA!$A$6:$A$265,0)),"")</f>
        <v/>
      </c>
      <c r="M3193" s="34" t="str">
        <f aca="false">IF(K3193="Neraca",INDEX(I_COA!$E$6:$E$265,MATCH(D3193,I_COA!$A$6:$A$265,0)),"")</f>
        <v/>
      </c>
      <c r="N3193" s="34" t="str">
        <f aca="false">IF(D3193="","",IFERROR(INDEX(I_COA!$G$6:$G$265,MATCH(D3193,I_COA!$A$6:$A$265,0)),"N"))</f>
        <v/>
      </c>
      <c r="O3193" s="11" t="str">
        <f aca="false">IF(N3193="N",ABS(J3193),"")</f>
        <v/>
      </c>
      <c r="P3193" s="18" t="str">
        <f aca="false">IF(N3193="N",B3193&amp;"|"&amp;ROUND(O3193,0),"")</f>
        <v/>
      </c>
      <c r="Q3193" s="18" t="str">
        <f aca="false">IF(N3193&lt;&gt;"Y","",IFERROR(INDEX($D$6:$D$4005,MATCH(B3193&amp;"|"&amp;ROUND(_xlfn.MAXIFS($O$6:$O$4005,$B$6:$B$4005,B3193,$N$6:$N$4005,"N"),0),$P$6:$P$4005,0)),"(tanpa lawan)"))</f>
        <v/>
      </c>
      <c r="R3193" s="44"/>
      <c r="S3193" s="9" t="str">
        <f aca="false">IF(N3193&lt;&gt;"Y","",IF(R3193&lt;&gt;"",R3193,IF(Q3193="(tanpa lawan)","Transfer antar rekening",IFERROR(INDEX(I_COA!$F$6:$F$265,MATCH(Q3193,I_COA!$A$6:$A$265,0)),"?"))))</f>
        <v/>
      </c>
    </row>
    <row r="3194" customFormat="false" ht="15" hidden="false" customHeight="false" outlineLevel="0" collapsed="false">
      <c r="A3194" s="37"/>
      <c r="B3194" s="44"/>
      <c r="C3194" s="44"/>
      <c r="D3194" s="44"/>
      <c r="E3194" s="44"/>
      <c r="F3194" s="44"/>
      <c r="G3194" s="42"/>
      <c r="H3194" s="42"/>
      <c r="I3194" s="44"/>
      <c r="J3194" s="11" t="str">
        <f aca="false">IF(D3194="","",N(G3194)-N(H3194))</f>
        <v/>
      </c>
      <c r="K3194" s="34" t="str">
        <f aca="false">IF(D3194="","",IFERROR(INDEX(I_COA!$C$6:$C$265,MATCH(D3194,I_COA!$A$6:$A$265,0)),"AKUN BARU"))</f>
        <v/>
      </c>
      <c r="L3194" s="34" t="str">
        <f aca="false">IF(K3194="LabaRugi",INDEX(I_COA!$D$6:$D$265,MATCH(D3194,I_COA!$A$6:$A$265,0)),"")</f>
        <v/>
      </c>
      <c r="M3194" s="34" t="str">
        <f aca="false">IF(K3194="Neraca",INDEX(I_COA!$E$6:$E$265,MATCH(D3194,I_COA!$A$6:$A$265,0)),"")</f>
        <v/>
      </c>
      <c r="N3194" s="34" t="str">
        <f aca="false">IF(D3194="","",IFERROR(INDEX(I_COA!$G$6:$G$265,MATCH(D3194,I_COA!$A$6:$A$265,0)),"N"))</f>
        <v/>
      </c>
      <c r="O3194" s="11" t="str">
        <f aca="false">IF(N3194="N",ABS(J3194),"")</f>
        <v/>
      </c>
      <c r="P3194" s="18" t="str">
        <f aca="false">IF(N3194="N",B3194&amp;"|"&amp;ROUND(O3194,0),"")</f>
        <v/>
      </c>
      <c r="Q3194" s="18" t="str">
        <f aca="false">IF(N3194&lt;&gt;"Y","",IFERROR(INDEX($D$6:$D$4005,MATCH(B3194&amp;"|"&amp;ROUND(_xlfn.MAXIFS($O$6:$O$4005,$B$6:$B$4005,B3194,$N$6:$N$4005,"N"),0),$P$6:$P$4005,0)),"(tanpa lawan)"))</f>
        <v/>
      </c>
      <c r="R3194" s="44"/>
      <c r="S3194" s="9" t="str">
        <f aca="false">IF(N3194&lt;&gt;"Y","",IF(R3194&lt;&gt;"",R3194,IF(Q3194="(tanpa lawan)","Transfer antar rekening",IFERROR(INDEX(I_COA!$F$6:$F$265,MATCH(Q3194,I_COA!$A$6:$A$265,0)),"?"))))</f>
        <v/>
      </c>
    </row>
    <row r="3195" customFormat="false" ht="15" hidden="false" customHeight="false" outlineLevel="0" collapsed="false">
      <c r="A3195" s="37"/>
      <c r="B3195" s="44"/>
      <c r="C3195" s="44"/>
      <c r="D3195" s="44"/>
      <c r="E3195" s="44"/>
      <c r="F3195" s="44"/>
      <c r="G3195" s="42"/>
      <c r="H3195" s="42"/>
      <c r="I3195" s="44"/>
      <c r="J3195" s="11" t="str">
        <f aca="false">IF(D3195="","",N(G3195)-N(H3195))</f>
        <v/>
      </c>
      <c r="K3195" s="34" t="str">
        <f aca="false">IF(D3195="","",IFERROR(INDEX(I_COA!$C$6:$C$265,MATCH(D3195,I_COA!$A$6:$A$265,0)),"AKUN BARU"))</f>
        <v/>
      </c>
      <c r="L3195" s="34" t="str">
        <f aca="false">IF(K3195="LabaRugi",INDEX(I_COA!$D$6:$D$265,MATCH(D3195,I_COA!$A$6:$A$265,0)),"")</f>
        <v/>
      </c>
      <c r="M3195" s="34" t="str">
        <f aca="false">IF(K3195="Neraca",INDEX(I_COA!$E$6:$E$265,MATCH(D3195,I_COA!$A$6:$A$265,0)),"")</f>
        <v/>
      </c>
      <c r="N3195" s="34" t="str">
        <f aca="false">IF(D3195="","",IFERROR(INDEX(I_COA!$G$6:$G$265,MATCH(D3195,I_COA!$A$6:$A$265,0)),"N"))</f>
        <v/>
      </c>
      <c r="O3195" s="11" t="str">
        <f aca="false">IF(N3195="N",ABS(J3195),"")</f>
        <v/>
      </c>
      <c r="P3195" s="18" t="str">
        <f aca="false">IF(N3195="N",B3195&amp;"|"&amp;ROUND(O3195,0),"")</f>
        <v/>
      </c>
      <c r="Q3195" s="18" t="str">
        <f aca="false">IF(N3195&lt;&gt;"Y","",IFERROR(INDEX($D$6:$D$4005,MATCH(B3195&amp;"|"&amp;ROUND(_xlfn.MAXIFS($O$6:$O$4005,$B$6:$B$4005,B3195,$N$6:$N$4005,"N"),0),$P$6:$P$4005,0)),"(tanpa lawan)"))</f>
        <v/>
      </c>
      <c r="R3195" s="44"/>
      <c r="S3195" s="9" t="str">
        <f aca="false">IF(N3195&lt;&gt;"Y","",IF(R3195&lt;&gt;"",R3195,IF(Q3195="(tanpa lawan)","Transfer antar rekening",IFERROR(INDEX(I_COA!$F$6:$F$265,MATCH(Q3195,I_COA!$A$6:$A$265,0)),"?"))))</f>
        <v/>
      </c>
    </row>
    <row r="3196" customFormat="false" ht="15" hidden="false" customHeight="false" outlineLevel="0" collapsed="false">
      <c r="A3196" s="37"/>
      <c r="B3196" s="44"/>
      <c r="C3196" s="44"/>
      <c r="D3196" s="44"/>
      <c r="E3196" s="44"/>
      <c r="F3196" s="44"/>
      <c r="G3196" s="42"/>
      <c r="H3196" s="42"/>
      <c r="I3196" s="44"/>
      <c r="J3196" s="11" t="str">
        <f aca="false">IF(D3196="","",N(G3196)-N(H3196))</f>
        <v/>
      </c>
      <c r="K3196" s="34" t="str">
        <f aca="false">IF(D3196="","",IFERROR(INDEX(I_COA!$C$6:$C$265,MATCH(D3196,I_COA!$A$6:$A$265,0)),"AKUN BARU"))</f>
        <v/>
      </c>
      <c r="L3196" s="34" t="str">
        <f aca="false">IF(K3196="LabaRugi",INDEX(I_COA!$D$6:$D$265,MATCH(D3196,I_COA!$A$6:$A$265,0)),"")</f>
        <v/>
      </c>
      <c r="M3196" s="34" t="str">
        <f aca="false">IF(K3196="Neraca",INDEX(I_COA!$E$6:$E$265,MATCH(D3196,I_COA!$A$6:$A$265,0)),"")</f>
        <v/>
      </c>
      <c r="N3196" s="34" t="str">
        <f aca="false">IF(D3196="","",IFERROR(INDEX(I_COA!$G$6:$G$265,MATCH(D3196,I_COA!$A$6:$A$265,0)),"N"))</f>
        <v/>
      </c>
      <c r="O3196" s="11" t="str">
        <f aca="false">IF(N3196="N",ABS(J3196),"")</f>
        <v/>
      </c>
      <c r="P3196" s="18" t="str">
        <f aca="false">IF(N3196="N",B3196&amp;"|"&amp;ROUND(O3196,0),"")</f>
        <v/>
      </c>
      <c r="Q3196" s="18" t="str">
        <f aca="false">IF(N3196&lt;&gt;"Y","",IFERROR(INDEX($D$6:$D$4005,MATCH(B3196&amp;"|"&amp;ROUND(_xlfn.MAXIFS($O$6:$O$4005,$B$6:$B$4005,B3196,$N$6:$N$4005,"N"),0),$P$6:$P$4005,0)),"(tanpa lawan)"))</f>
        <v/>
      </c>
      <c r="R3196" s="44"/>
      <c r="S3196" s="9" t="str">
        <f aca="false">IF(N3196&lt;&gt;"Y","",IF(R3196&lt;&gt;"",R3196,IF(Q3196="(tanpa lawan)","Transfer antar rekening",IFERROR(INDEX(I_COA!$F$6:$F$265,MATCH(Q3196,I_COA!$A$6:$A$265,0)),"?"))))</f>
        <v/>
      </c>
    </row>
    <row r="3197" customFormat="false" ht="15" hidden="false" customHeight="false" outlineLevel="0" collapsed="false">
      <c r="A3197" s="37"/>
      <c r="B3197" s="44"/>
      <c r="C3197" s="44"/>
      <c r="D3197" s="44"/>
      <c r="E3197" s="44"/>
      <c r="F3197" s="44"/>
      <c r="G3197" s="42"/>
      <c r="H3197" s="42"/>
      <c r="I3197" s="44"/>
      <c r="J3197" s="11" t="str">
        <f aca="false">IF(D3197="","",N(G3197)-N(H3197))</f>
        <v/>
      </c>
      <c r="K3197" s="34" t="str">
        <f aca="false">IF(D3197="","",IFERROR(INDEX(I_COA!$C$6:$C$265,MATCH(D3197,I_COA!$A$6:$A$265,0)),"AKUN BARU"))</f>
        <v/>
      </c>
      <c r="L3197" s="34" t="str">
        <f aca="false">IF(K3197="LabaRugi",INDEX(I_COA!$D$6:$D$265,MATCH(D3197,I_COA!$A$6:$A$265,0)),"")</f>
        <v/>
      </c>
      <c r="M3197" s="34" t="str">
        <f aca="false">IF(K3197="Neraca",INDEX(I_COA!$E$6:$E$265,MATCH(D3197,I_COA!$A$6:$A$265,0)),"")</f>
        <v/>
      </c>
      <c r="N3197" s="34" t="str">
        <f aca="false">IF(D3197="","",IFERROR(INDEX(I_COA!$G$6:$G$265,MATCH(D3197,I_COA!$A$6:$A$265,0)),"N"))</f>
        <v/>
      </c>
      <c r="O3197" s="11" t="str">
        <f aca="false">IF(N3197="N",ABS(J3197),"")</f>
        <v/>
      </c>
      <c r="P3197" s="18" t="str">
        <f aca="false">IF(N3197="N",B3197&amp;"|"&amp;ROUND(O3197,0),"")</f>
        <v/>
      </c>
      <c r="Q3197" s="18" t="str">
        <f aca="false">IF(N3197&lt;&gt;"Y","",IFERROR(INDEX($D$6:$D$4005,MATCH(B3197&amp;"|"&amp;ROUND(_xlfn.MAXIFS($O$6:$O$4005,$B$6:$B$4005,B3197,$N$6:$N$4005,"N"),0),$P$6:$P$4005,0)),"(tanpa lawan)"))</f>
        <v/>
      </c>
      <c r="R3197" s="44"/>
      <c r="S3197" s="9" t="str">
        <f aca="false">IF(N3197&lt;&gt;"Y","",IF(R3197&lt;&gt;"",R3197,IF(Q3197="(tanpa lawan)","Transfer antar rekening",IFERROR(INDEX(I_COA!$F$6:$F$265,MATCH(Q3197,I_COA!$A$6:$A$265,0)),"?"))))</f>
        <v/>
      </c>
    </row>
    <row r="3198" customFormat="false" ht="15" hidden="false" customHeight="false" outlineLevel="0" collapsed="false">
      <c r="A3198" s="37"/>
      <c r="B3198" s="44"/>
      <c r="C3198" s="44"/>
      <c r="D3198" s="44"/>
      <c r="E3198" s="44"/>
      <c r="F3198" s="44"/>
      <c r="G3198" s="42"/>
      <c r="H3198" s="42"/>
      <c r="I3198" s="44"/>
      <c r="J3198" s="11" t="str">
        <f aca="false">IF(D3198="","",N(G3198)-N(H3198))</f>
        <v/>
      </c>
      <c r="K3198" s="34" t="str">
        <f aca="false">IF(D3198="","",IFERROR(INDEX(I_COA!$C$6:$C$265,MATCH(D3198,I_COA!$A$6:$A$265,0)),"AKUN BARU"))</f>
        <v/>
      </c>
      <c r="L3198" s="34" t="str">
        <f aca="false">IF(K3198="LabaRugi",INDEX(I_COA!$D$6:$D$265,MATCH(D3198,I_COA!$A$6:$A$265,0)),"")</f>
        <v/>
      </c>
      <c r="M3198" s="34" t="str">
        <f aca="false">IF(K3198="Neraca",INDEX(I_COA!$E$6:$E$265,MATCH(D3198,I_COA!$A$6:$A$265,0)),"")</f>
        <v/>
      </c>
      <c r="N3198" s="34" t="str">
        <f aca="false">IF(D3198="","",IFERROR(INDEX(I_COA!$G$6:$G$265,MATCH(D3198,I_COA!$A$6:$A$265,0)),"N"))</f>
        <v/>
      </c>
      <c r="O3198" s="11" t="str">
        <f aca="false">IF(N3198="N",ABS(J3198),"")</f>
        <v/>
      </c>
      <c r="P3198" s="18" t="str">
        <f aca="false">IF(N3198="N",B3198&amp;"|"&amp;ROUND(O3198,0),"")</f>
        <v/>
      </c>
      <c r="Q3198" s="18" t="str">
        <f aca="false">IF(N3198&lt;&gt;"Y","",IFERROR(INDEX($D$6:$D$4005,MATCH(B3198&amp;"|"&amp;ROUND(_xlfn.MAXIFS($O$6:$O$4005,$B$6:$B$4005,B3198,$N$6:$N$4005,"N"),0),$P$6:$P$4005,0)),"(tanpa lawan)"))</f>
        <v/>
      </c>
      <c r="R3198" s="44"/>
      <c r="S3198" s="9" t="str">
        <f aca="false">IF(N3198&lt;&gt;"Y","",IF(R3198&lt;&gt;"",R3198,IF(Q3198="(tanpa lawan)","Transfer antar rekening",IFERROR(INDEX(I_COA!$F$6:$F$265,MATCH(Q3198,I_COA!$A$6:$A$265,0)),"?"))))</f>
        <v/>
      </c>
    </row>
    <row r="3199" customFormat="false" ht="15" hidden="false" customHeight="false" outlineLevel="0" collapsed="false">
      <c r="A3199" s="37"/>
      <c r="B3199" s="44"/>
      <c r="C3199" s="44"/>
      <c r="D3199" s="44"/>
      <c r="E3199" s="44"/>
      <c r="F3199" s="44"/>
      <c r="G3199" s="42"/>
      <c r="H3199" s="42"/>
      <c r="I3199" s="44"/>
      <c r="J3199" s="11" t="str">
        <f aca="false">IF(D3199="","",N(G3199)-N(H3199))</f>
        <v/>
      </c>
      <c r="K3199" s="34" t="str">
        <f aca="false">IF(D3199="","",IFERROR(INDEX(I_COA!$C$6:$C$265,MATCH(D3199,I_COA!$A$6:$A$265,0)),"AKUN BARU"))</f>
        <v/>
      </c>
      <c r="L3199" s="34" t="str">
        <f aca="false">IF(K3199="LabaRugi",INDEX(I_COA!$D$6:$D$265,MATCH(D3199,I_COA!$A$6:$A$265,0)),"")</f>
        <v/>
      </c>
      <c r="M3199" s="34" t="str">
        <f aca="false">IF(K3199="Neraca",INDEX(I_COA!$E$6:$E$265,MATCH(D3199,I_COA!$A$6:$A$265,0)),"")</f>
        <v/>
      </c>
      <c r="N3199" s="34" t="str">
        <f aca="false">IF(D3199="","",IFERROR(INDEX(I_COA!$G$6:$G$265,MATCH(D3199,I_COA!$A$6:$A$265,0)),"N"))</f>
        <v/>
      </c>
      <c r="O3199" s="11" t="str">
        <f aca="false">IF(N3199="N",ABS(J3199),"")</f>
        <v/>
      </c>
      <c r="P3199" s="18" t="str">
        <f aca="false">IF(N3199="N",B3199&amp;"|"&amp;ROUND(O3199,0),"")</f>
        <v/>
      </c>
      <c r="Q3199" s="18" t="str">
        <f aca="false">IF(N3199&lt;&gt;"Y","",IFERROR(INDEX($D$6:$D$4005,MATCH(B3199&amp;"|"&amp;ROUND(_xlfn.MAXIFS($O$6:$O$4005,$B$6:$B$4005,B3199,$N$6:$N$4005,"N"),0),$P$6:$P$4005,0)),"(tanpa lawan)"))</f>
        <v/>
      </c>
      <c r="R3199" s="44"/>
      <c r="S3199" s="9" t="str">
        <f aca="false">IF(N3199&lt;&gt;"Y","",IF(R3199&lt;&gt;"",R3199,IF(Q3199="(tanpa lawan)","Transfer antar rekening",IFERROR(INDEX(I_COA!$F$6:$F$265,MATCH(Q3199,I_COA!$A$6:$A$265,0)),"?"))))</f>
        <v/>
      </c>
    </row>
    <row r="3200" customFormat="false" ht="15" hidden="false" customHeight="false" outlineLevel="0" collapsed="false">
      <c r="A3200" s="37"/>
      <c r="B3200" s="44"/>
      <c r="C3200" s="44"/>
      <c r="D3200" s="44"/>
      <c r="E3200" s="44"/>
      <c r="F3200" s="44"/>
      <c r="G3200" s="42"/>
      <c r="H3200" s="42"/>
      <c r="I3200" s="44"/>
      <c r="J3200" s="11" t="str">
        <f aca="false">IF(D3200="","",N(G3200)-N(H3200))</f>
        <v/>
      </c>
      <c r="K3200" s="34" t="str">
        <f aca="false">IF(D3200="","",IFERROR(INDEX(I_COA!$C$6:$C$265,MATCH(D3200,I_COA!$A$6:$A$265,0)),"AKUN BARU"))</f>
        <v/>
      </c>
      <c r="L3200" s="34" t="str">
        <f aca="false">IF(K3200="LabaRugi",INDEX(I_COA!$D$6:$D$265,MATCH(D3200,I_COA!$A$6:$A$265,0)),"")</f>
        <v/>
      </c>
      <c r="M3200" s="34" t="str">
        <f aca="false">IF(K3200="Neraca",INDEX(I_COA!$E$6:$E$265,MATCH(D3200,I_COA!$A$6:$A$265,0)),"")</f>
        <v/>
      </c>
      <c r="N3200" s="34" t="str">
        <f aca="false">IF(D3200="","",IFERROR(INDEX(I_COA!$G$6:$G$265,MATCH(D3200,I_COA!$A$6:$A$265,0)),"N"))</f>
        <v/>
      </c>
      <c r="O3200" s="11" t="str">
        <f aca="false">IF(N3200="N",ABS(J3200),"")</f>
        <v/>
      </c>
      <c r="P3200" s="18" t="str">
        <f aca="false">IF(N3200="N",B3200&amp;"|"&amp;ROUND(O3200,0),"")</f>
        <v/>
      </c>
      <c r="Q3200" s="18" t="str">
        <f aca="false">IF(N3200&lt;&gt;"Y","",IFERROR(INDEX($D$6:$D$4005,MATCH(B3200&amp;"|"&amp;ROUND(_xlfn.MAXIFS($O$6:$O$4005,$B$6:$B$4005,B3200,$N$6:$N$4005,"N"),0),$P$6:$P$4005,0)),"(tanpa lawan)"))</f>
        <v/>
      </c>
      <c r="R3200" s="44"/>
      <c r="S3200" s="9" t="str">
        <f aca="false">IF(N3200&lt;&gt;"Y","",IF(R3200&lt;&gt;"",R3200,IF(Q3200="(tanpa lawan)","Transfer antar rekening",IFERROR(INDEX(I_COA!$F$6:$F$265,MATCH(Q3200,I_COA!$A$6:$A$265,0)),"?"))))</f>
        <v/>
      </c>
    </row>
    <row r="3201" customFormat="false" ht="15" hidden="false" customHeight="false" outlineLevel="0" collapsed="false">
      <c r="A3201" s="37"/>
      <c r="B3201" s="44"/>
      <c r="C3201" s="44"/>
      <c r="D3201" s="44"/>
      <c r="E3201" s="44"/>
      <c r="F3201" s="44"/>
      <c r="G3201" s="42"/>
      <c r="H3201" s="42"/>
      <c r="I3201" s="44"/>
      <c r="J3201" s="11" t="str">
        <f aca="false">IF(D3201="","",N(G3201)-N(H3201))</f>
        <v/>
      </c>
      <c r="K3201" s="34" t="str">
        <f aca="false">IF(D3201="","",IFERROR(INDEX(I_COA!$C$6:$C$265,MATCH(D3201,I_COA!$A$6:$A$265,0)),"AKUN BARU"))</f>
        <v/>
      </c>
      <c r="L3201" s="34" t="str">
        <f aca="false">IF(K3201="LabaRugi",INDEX(I_COA!$D$6:$D$265,MATCH(D3201,I_COA!$A$6:$A$265,0)),"")</f>
        <v/>
      </c>
      <c r="M3201" s="34" t="str">
        <f aca="false">IF(K3201="Neraca",INDEX(I_COA!$E$6:$E$265,MATCH(D3201,I_COA!$A$6:$A$265,0)),"")</f>
        <v/>
      </c>
      <c r="N3201" s="34" t="str">
        <f aca="false">IF(D3201="","",IFERROR(INDEX(I_COA!$G$6:$G$265,MATCH(D3201,I_COA!$A$6:$A$265,0)),"N"))</f>
        <v/>
      </c>
      <c r="O3201" s="11" t="str">
        <f aca="false">IF(N3201="N",ABS(J3201),"")</f>
        <v/>
      </c>
      <c r="P3201" s="18" t="str">
        <f aca="false">IF(N3201="N",B3201&amp;"|"&amp;ROUND(O3201,0),"")</f>
        <v/>
      </c>
      <c r="Q3201" s="18" t="str">
        <f aca="false">IF(N3201&lt;&gt;"Y","",IFERROR(INDEX($D$6:$D$4005,MATCH(B3201&amp;"|"&amp;ROUND(_xlfn.MAXIFS($O$6:$O$4005,$B$6:$B$4005,B3201,$N$6:$N$4005,"N"),0),$P$6:$P$4005,0)),"(tanpa lawan)"))</f>
        <v/>
      </c>
      <c r="R3201" s="44"/>
      <c r="S3201" s="9" t="str">
        <f aca="false">IF(N3201&lt;&gt;"Y","",IF(R3201&lt;&gt;"",R3201,IF(Q3201="(tanpa lawan)","Transfer antar rekening",IFERROR(INDEX(I_COA!$F$6:$F$265,MATCH(Q3201,I_COA!$A$6:$A$265,0)),"?"))))</f>
        <v/>
      </c>
    </row>
    <row r="3202" customFormat="false" ht="15" hidden="false" customHeight="false" outlineLevel="0" collapsed="false">
      <c r="A3202" s="37"/>
      <c r="B3202" s="44"/>
      <c r="C3202" s="44"/>
      <c r="D3202" s="44"/>
      <c r="E3202" s="44"/>
      <c r="F3202" s="44"/>
      <c r="G3202" s="42"/>
      <c r="H3202" s="42"/>
      <c r="I3202" s="44"/>
      <c r="J3202" s="11" t="str">
        <f aca="false">IF(D3202="","",N(G3202)-N(H3202))</f>
        <v/>
      </c>
      <c r="K3202" s="34" t="str">
        <f aca="false">IF(D3202="","",IFERROR(INDEX(I_COA!$C$6:$C$265,MATCH(D3202,I_COA!$A$6:$A$265,0)),"AKUN BARU"))</f>
        <v/>
      </c>
      <c r="L3202" s="34" t="str">
        <f aca="false">IF(K3202="LabaRugi",INDEX(I_COA!$D$6:$D$265,MATCH(D3202,I_COA!$A$6:$A$265,0)),"")</f>
        <v/>
      </c>
      <c r="M3202" s="34" t="str">
        <f aca="false">IF(K3202="Neraca",INDEX(I_COA!$E$6:$E$265,MATCH(D3202,I_COA!$A$6:$A$265,0)),"")</f>
        <v/>
      </c>
      <c r="N3202" s="34" t="str">
        <f aca="false">IF(D3202="","",IFERROR(INDEX(I_COA!$G$6:$G$265,MATCH(D3202,I_COA!$A$6:$A$265,0)),"N"))</f>
        <v/>
      </c>
      <c r="O3202" s="11" t="str">
        <f aca="false">IF(N3202="N",ABS(J3202),"")</f>
        <v/>
      </c>
      <c r="P3202" s="18" t="str">
        <f aca="false">IF(N3202="N",B3202&amp;"|"&amp;ROUND(O3202,0),"")</f>
        <v/>
      </c>
      <c r="Q3202" s="18" t="str">
        <f aca="false">IF(N3202&lt;&gt;"Y","",IFERROR(INDEX($D$6:$D$4005,MATCH(B3202&amp;"|"&amp;ROUND(_xlfn.MAXIFS($O$6:$O$4005,$B$6:$B$4005,B3202,$N$6:$N$4005,"N"),0),$P$6:$P$4005,0)),"(tanpa lawan)"))</f>
        <v/>
      </c>
      <c r="R3202" s="44"/>
      <c r="S3202" s="9" t="str">
        <f aca="false">IF(N3202&lt;&gt;"Y","",IF(R3202&lt;&gt;"",R3202,IF(Q3202="(tanpa lawan)","Transfer antar rekening",IFERROR(INDEX(I_COA!$F$6:$F$265,MATCH(Q3202,I_COA!$A$6:$A$265,0)),"?"))))</f>
        <v/>
      </c>
    </row>
    <row r="3203" customFormat="false" ht="15" hidden="false" customHeight="false" outlineLevel="0" collapsed="false">
      <c r="A3203" s="37"/>
      <c r="B3203" s="44"/>
      <c r="C3203" s="44"/>
      <c r="D3203" s="44"/>
      <c r="E3203" s="44"/>
      <c r="F3203" s="44"/>
      <c r="G3203" s="42"/>
      <c r="H3203" s="42"/>
      <c r="I3203" s="44"/>
      <c r="J3203" s="11" t="str">
        <f aca="false">IF(D3203="","",N(G3203)-N(H3203))</f>
        <v/>
      </c>
      <c r="K3203" s="34" t="str">
        <f aca="false">IF(D3203="","",IFERROR(INDEX(I_COA!$C$6:$C$265,MATCH(D3203,I_COA!$A$6:$A$265,0)),"AKUN BARU"))</f>
        <v/>
      </c>
      <c r="L3203" s="34" t="str">
        <f aca="false">IF(K3203="LabaRugi",INDEX(I_COA!$D$6:$D$265,MATCH(D3203,I_COA!$A$6:$A$265,0)),"")</f>
        <v/>
      </c>
      <c r="M3203" s="34" t="str">
        <f aca="false">IF(K3203="Neraca",INDEX(I_COA!$E$6:$E$265,MATCH(D3203,I_COA!$A$6:$A$265,0)),"")</f>
        <v/>
      </c>
      <c r="N3203" s="34" t="str">
        <f aca="false">IF(D3203="","",IFERROR(INDEX(I_COA!$G$6:$G$265,MATCH(D3203,I_COA!$A$6:$A$265,0)),"N"))</f>
        <v/>
      </c>
      <c r="O3203" s="11" t="str">
        <f aca="false">IF(N3203="N",ABS(J3203),"")</f>
        <v/>
      </c>
      <c r="P3203" s="18" t="str">
        <f aca="false">IF(N3203="N",B3203&amp;"|"&amp;ROUND(O3203,0),"")</f>
        <v/>
      </c>
      <c r="Q3203" s="18" t="str">
        <f aca="false">IF(N3203&lt;&gt;"Y","",IFERROR(INDEX($D$6:$D$4005,MATCH(B3203&amp;"|"&amp;ROUND(_xlfn.MAXIFS($O$6:$O$4005,$B$6:$B$4005,B3203,$N$6:$N$4005,"N"),0),$P$6:$P$4005,0)),"(tanpa lawan)"))</f>
        <v/>
      </c>
      <c r="R3203" s="44"/>
      <c r="S3203" s="9" t="str">
        <f aca="false">IF(N3203&lt;&gt;"Y","",IF(R3203&lt;&gt;"",R3203,IF(Q3203="(tanpa lawan)","Transfer antar rekening",IFERROR(INDEX(I_COA!$F$6:$F$265,MATCH(Q3203,I_COA!$A$6:$A$265,0)),"?"))))</f>
        <v/>
      </c>
    </row>
    <row r="3204" customFormat="false" ht="15" hidden="false" customHeight="false" outlineLevel="0" collapsed="false">
      <c r="A3204" s="37"/>
      <c r="B3204" s="44"/>
      <c r="C3204" s="44"/>
      <c r="D3204" s="44"/>
      <c r="E3204" s="44"/>
      <c r="F3204" s="44"/>
      <c r="G3204" s="42"/>
      <c r="H3204" s="42"/>
      <c r="I3204" s="44"/>
      <c r="J3204" s="11" t="str">
        <f aca="false">IF(D3204="","",N(G3204)-N(H3204))</f>
        <v/>
      </c>
      <c r="K3204" s="34" t="str">
        <f aca="false">IF(D3204="","",IFERROR(INDEX(I_COA!$C$6:$C$265,MATCH(D3204,I_COA!$A$6:$A$265,0)),"AKUN BARU"))</f>
        <v/>
      </c>
      <c r="L3204" s="34" t="str">
        <f aca="false">IF(K3204="LabaRugi",INDEX(I_COA!$D$6:$D$265,MATCH(D3204,I_COA!$A$6:$A$265,0)),"")</f>
        <v/>
      </c>
      <c r="M3204" s="34" t="str">
        <f aca="false">IF(K3204="Neraca",INDEX(I_COA!$E$6:$E$265,MATCH(D3204,I_COA!$A$6:$A$265,0)),"")</f>
        <v/>
      </c>
      <c r="N3204" s="34" t="str">
        <f aca="false">IF(D3204="","",IFERROR(INDEX(I_COA!$G$6:$G$265,MATCH(D3204,I_COA!$A$6:$A$265,0)),"N"))</f>
        <v/>
      </c>
      <c r="O3204" s="11" t="str">
        <f aca="false">IF(N3204="N",ABS(J3204),"")</f>
        <v/>
      </c>
      <c r="P3204" s="18" t="str">
        <f aca="false">IF(N3204="N",B3204&amp;"|"&amp;ROUND(O3204,0),"")</f>
        <v/>
      </c>
      <c r="Q3204" s="18" t="str">
        <f aca="false">IF(N3204&lt;&gt;"Y","",IFERROR(INDEX($D$6:$D$4005,MATCH(B3204&amp;"|"&amp;ROUND(_xlfn.MAXIFS($O$6:$O$4005,$B$6:$B$4005,B3204,$N$6:$N$4005,"N"),0),$P$6:$P$4005,0)),"(tanpa lawan)"))</f>
        <v/>
      </c>
      <c r="R3204" s="44"/>
      <c r="S3204" s="9" t="str">
        <f aca="false">IF(N3204&lt;&gt;"Y","",IF(R3204&lt;&gt;"",R3204,IF(Q3204="(tanpa lawan)","Transfer antar rekening",IFERROR(INDEX(I_COA!$F$6:$F$265,MATCH(Q3204,I_COA!$A$6:$A$265,0)),"?"))))</f>
        <v/>
      </c>
    </row>
    <row r="3205" customFormat="false" ht="15" hidden="false" customHeight="false" outlineLevel="0" collapsed="false">
      <c r="A3205" s="37"/>
      <c r="B3205" s="44"/>
      <c r="C3205" s="44"/>
      <c r="D3205" s="44"/>
      <c r="E3205" s="44"/>
      <c r="F3205" s="44"/>
      <c r="G3205" s="42"/>
      <c r="H3205" s="42"/>
      <c r="I3205" s="44"/>
      <c r="J3205" s="11" t="str">
        <f aca="false">IF(D3205="","",N(G3205)-N(H3205))</f>
        <v/>
      </c>
      <c r="K3205" s="34" t="str">
        <f aca="false">IF(D3205="","",IFERROR(INDEX(I_COA!$C$6:$C$265,MATCH(D3205,I_COA!$A$6:$A$265,0)),"AKUN BARU"))</f>
        <v/>
      </c>
      <c r="L3205" s="34" t="str">
        <f aca="false">IF(K3205="LabaRugi",INDEX(I_COA!$D$6:$D$265,MATCH(D3205,I_COA!$A$6:$A$265,0)),"")</f>
        <v/>
      </c>
      <c r="M3205" s="34" t="str">
        <f aca="false">IF(K3205="Neraca",INDEX(I_COA!$E$6:$E$265,MATCH(D3205,I_COA!$A$6:$A$265,0)),"")</f>
        <v/>
      </c>
      <c r="N3205" s="34" t="str">
        <f aca="false">IF(D3205="","",IFERROR(INDEX(I_COA!$G$6:$G$265,MATCH(D3205,I_COA!$A$6:$A$265,0)),"N"))</f>
        <v/>
      </c>
      <c r="O3205" s="11" t="str">
        <f aca="false">IF(N3205="N",ABS(J3205),"")</f>
        <v/>
      </c>
      <c r="P3205" s="18" t="str">
        <f aca="false">IF(N3205="N",B3205&amp;"|"&amp;ROUND(O3205,0),"")</f>
        <v/>
      </c>
      <c r="Q3205" s="18" t="str">
        <f aca="false">IF(N3205&lt;&gt;"Y","",IFERROR(INDEX($D$6:$D$4005,MATCH(B3205&amp;"|"&amp;ROUND(_xlfn.MAXIFS($O$6:$O$4005,$B$6:$B$4005,B3205,$N$6:$N$4005,"N"),0),$P$6:$P$4005,0)),"(tanpa lawan)"))</f>
        <v/>
      </c>
      <c r="R3205" s="44"/>
      <c r="S3205" s="9" t="str">
        <f aca="false">IF(N3205&lt;&gt;"Y","",IF(R3205&lt;&gt;"",R3205,IF(Q3205="(tanpa lawan)","Transfer antar rekening",IFERROR(INDEX(I_COA!$F$6:$F$265,MATCH(Q3205,I_COA!$A$6:$A$265,0)),"?"))))</f>
        <v/>
      </c>
    </row>
    <row r="3206" customFormat="false" ht="15" hidden="false" customHeight="false" outlineLevel="0" collapsed="false">
      <c r="A3206" s="37"/>
      <c r="B3206" s="44"/>
      <c r="C3206" s="44"/>
      <c r="D3206" s="44"/>
      <c r="E3206" s="44"/>
      <c r="F3206" s="44"/>
      <c r="G3206" s="42"/>
      <c r="H3206" s="42"/>
      <c r="I3206" s="44"/>
      <c r="J3206" s="11" t="str">
        <f aca="false">IF(D3206="","",N(G3206)-N(H3206))</f>
        <v/>
      </c>
      <c r="K3206" s="34" t="str">
        <f aca="false">IF(D3206="","",IFERROR(INDEX(I_COA!$C$6:$C$265,MATCH(D3206,I_COA!$A$6:$A$265,0)),"AKUN BARU"))</f>
        <v/>
      </c>
      <c r="L3206" s="34" t="str">
        <f aca="false">IF(K3206="LabaRugi",INDEX(I_COA!$D$6:$D$265,MATCH(D3206,I_COA!$A$6:$A$265,0)),"")</f>
        <v/>
      </c>
      <c r="M3206" s="34" t="str">
        <f aca="false">IF(K3206="Neraca",INDEX(I_COA!$E$6:$E$265,MATCH(D3206,I_COA!$A$6:$A$265,0)),"")</f>
        <v/>
      </c>
      <c r="N3206" s="34" t="str">
        <f aca="false">IF(D3206="","",IFERROR(INDEX(I_COA!$G$6:$G$265,MATCH(D3206,I_COA!$A$6:$A$265,0)),"N"))</f>
        <v/>
      </c>
      <c r="O3206" s="11" t="str">
        <f aca="false">IF(N3206="N",ABS(J3206),"")</f>
        <v/>
      </c>
      <c r="P3206" s="18" t="str">
        <f aca="false">IF(N3206="N",B3206&amp;"|"&amp;ROUND(O3206,0),"")</f>
        <v/>
      </c>
      <c r="Q3206" s="18" t="str">
        <f aca="false">IF(N3206&lt;&gt;"Y","",IFERROR(INDEX($D$6:$D$4005,MATCH(B3206&amp;"|"&amp;ROUND(_xlfn.MAXIFS($O$6:$O$4005,$B$6:$B$4005,B3206,$N$6:$N$4005,"N"),0),$P$6:$P$4005,0)),"(tanpa lawan)"))</f>
        <v/>
      </c>
      <c r="R3206" s="44"/>
      <c r="S3206" s="9" t="str">
        <f aca="false">IF(N3206&lt;&gt;"Y","",IF(R3206&lt;&gt;"",R3206,IF(Q3206="(tanpa lawan)","Transfer antar rekening",IFERROR(INDEX(I_COA!$F$6:$F$265,MATCH(Q3206,I_COA!$A$6:$A$265,0)),"?"))))</f>
        <v/>
      </c>
    </row>
    <row r="3207" customFormat="false" ht="15" hidden="false" customHeight="false" outlineLevel="0" collapsed="false">
      <c r="A3207" s="37"/>
      <c r="B3207" s="44"/>
      <c r="C3207" s="44"/>
      <c r="D3207" s="44"/>
      <c r="E3207" s="44"/>
      <c r="F3207" s="44"/>
      <c r="G3207" s="42"/>
      <c r="H3207" s="42"/>
      <c r="I3207" s="44"/>
      <c r="J3207" s="11" t="str">
        <f aca="false">IF(D3207="","",N(G3207)-N(H3207))</f>
        <v/>
      </c>
      <c r="K3207" s="34" t="str">
        <f aca="false">IF(D3207="","",IFERROR(INDEX(I_COA!$C$6:$C$265,MATCH(D3207,I_COA!$A$6:$A$265,0)),"AKUN BARU"))</f>
        <v/>
      </c>
      <c r="L3207" s="34" t="str">
        <f aca="false">IF(K3207="LabaRugi",INDEX(I_COA!$D$6:$D$265,MATCH(D3207,I_COA!$A$6:$A$265,0)),"")</f>
        <v/>
      </c>
      <c r="M3207" s="34" t="str">
        <f aca="false">IF(K3207="Neraca",INDEX(I_COA!$E$6:$E$265,MATCH(D3207,I_COA!$A$6:$A$265,0)),"")</f>
        <v/>
      </c>
      <c r="N3207" s="34" t="str">
        <f aca="false">IF(D3207="","",IFERROR(INDEX(I_COA!$G$6:$G$265,MATCH(D3207,I_COA!$A$6:$A$265,0)),"N"))</f>
        <v/>
      </c>
      <c r="O3207" s="11" t="str">
        <f aca="false">IF(N3207="N",ABS(J3207),"")</f>
        <v/>
      </c>
      <c r="P3207" s="18" t="str">
        <f aca="false">IF(N3207="N",B3207&amp;"|"&amp;ROUND(O3207,0),"")</f>
        <v/>
      </c>
      <c r="Q3207" s="18" t="str">
        <f aca="false">IF(N3207&lt;&gt;"Y","",IFERROR(INDEX($D$6:$D$4005,MATCH(B3207&amp;"|"&amp;ROUND(_xlfn.MAXIFS($O$6:$O$4005,$B$6:$B$4005,B3207,$N$6:$N$4005,"N"),0),$P$6:$P$4005,0)),"(tanpa lawan)"))</f>
        <v/>
      </c>
      <c r="R3207" s="44"/>
      <c r="S3207" s="9" t="str">
        <f aca="false">IF(N3207&lt;&gt;"Y","",IF(R3207&lt;&gt;"",R3207,IF(Q3207="(tanpa lawan)","Transfer antar rekening",IFERROR(INDEX(I_COA!$F$6:$F$265,MATCH(Q3207,I_COA!$A$6:$A$265,0)),"?"))))</f>
        <v/>
      </c>
    </row>
    <row r="3208" customFormat="false" ht="15" hidden="false" customHeight="false" outlineLevel="0" collapsed="false">
      <c r="A3208" s="37"/>
      <c r="B3208" s="44"/>
      <c r="C3208" s="44"/>
      <c r="D3208" s="44"/>
      <c r="E3208" s="44"/>
      <c r="F3208" s="44"/>
      <c r="G3208" s="42"/>
      <c r="H3208" s="42"/>
      <c r="I3208" s="44"/>
      <c r="J3208" s="11" t="str">
        <f aca="false">IF(D3208="","",N(G3208)-N(H3208))</f>
        <v/>
      </c>
      <c r="K3208" s="34" t="str">
        <f aca="false">IF(D3208="","",IFERROR(INDEX(I_COA!$C$6:$C$265,MATCH(D3208,I_COA!$A$6:$A$265,0)),"AKUN BARU"))</f>
        <v/>
      </c>
      <c r="L3208" s="34" t="str">
        <f aca="false">IF(K3208="LabaRugi",INDEX(I_COA!$D$6:$D$265,MATCH(D3208,I_COA!$A$6:$A$265,0)),"")</f>
        <v/>
      </c>
      <c r="M3208" s="34" t="str">
        <f aca="false">IF(K3208="Neraca",INDEX(I_COA!$E$6:$E$265,MATCH(D3208,I_COA!$A$6:$A$265,0)),"")</f>
        <v/>
      </c>
      <c r="N3208" s="34" t="str">
        <f aca="false">IF(D3208="","",IFERROR(INDEX(I_COA!$G$6:$G$265,MATCH(D3208,I_COA!$A$6:$A$265,0)),"N"))</f>
        <v/>
      </c>
      <c r="O3208" s="11" t="str">
        <f aca="false">IF(N3208="N",ABS(J3208),"")</f>
        <v/>
      </c>
      <c r="P3208" s="18" t="str">
        <f aca="false">IF(N3208="N",B3208&amp;"|"&amp;ROUND(O3208,0),"")</f>
        <v/>
      </c>
      <c r="Q3208" s="18" t="str">
        <f aca="false">IF(N3208&lt;&gt;"Y","",IFERROR(INDEX($D$6:$D$4005,MATCH(B3208&amp;"|"&amp;ROUND(_xlfn.MAXIFS($O$6:$O$4005,$B$6:$B$4005,B3208,$N$6:$N$4005,"N"),0),$P$6:$P$4005,0)),"(tanpa lawan)"))</f>
        <v/>
      </c>
      <c r="R3208" s="44"/>
      <c r="S3208" s="9" t="str">
        <f aca="false">IF(N3208&lt;&gt;"Y","",IF(R3208&lt;&gt;"",R3208,IF(Q3208="(tanpa lawan)","Transfer antar rekening",IFERROR(INDEX(I_COA!$F$6:$F$265,MATCH(Q3208,I_COA!$A$6:$A$265,0)),"?"))))</f>
        <v/>
      </c>
    </row>
    <row r="3209" customFormat="false" ht="15" hidden="false" customHeight="false" outlineLevel="0" collapsed="false">
      <c r="A3209" s="37"/>
      <c r="B3209" s="44"/>
      <c r="C3209" s="44"/>
      <c r="D3209" s="44"/>
      <c r="E3209" s="44"/>
      <c r="F3209" s="44"/>
      <c r="G3209" s="42"/>
      <c r="H3209" s="42"/>
      <c r="I3209" s="44"/>
      <c r="J3209" s="11" t="str">
        <f aca="false">IF(D3209="","",N(G3209)-N(H3209))</f>
        <v/>
      </c>
      <c r="K3209" s="34" t="str">
        <f aca="false">IF(D3209="","",IFERROR(INDEX(I_COA!$C$6:$C$265,MATCH(D3209,I_COA!$A$6:$A$265,0)),"AKUN BARU"))</f>
        <v/>
      </c>
      <c r="L3209" s="34" t="str">
        <f aca="false">IF(K3209="LabaRugi",INDEX(I_COA!$D$6:$D$265,MATCH(D3209,I_COA!$A$6:$A$265,0)),"")</f>
        <v/>
      </c>
      <c r="M3209" s="34" t="str">
        <f aca="false">IF(K3209="Neraca",INDEX(I_COA!$E$6:$E$265,MATCH(D3209,I_COA!$A$6:$A$265,0)),"")</f>
        <v/>
      </c>
      <c r="N3209" s="34" t="str">
        <f aca="false">IF(D3209="","",IFERROR(INDEX(I_COA!$G$6:$G$265,MATCH(D3209,I_COA!$A$6:$A$265,0)),"N"))</f>
        <v/>
      </c>
      <c r="O3209" s="11" t="str">
        <f aca="false">IF(N3209="N",ABS(J3209),"")</f>
        <v/>
      </c>
      <c r="P3209" s="18" t="str">
        <f aca="false">IF(N3209="N",B3209&amp;"|"&amp;ROUND(O3209,0),"")</f>
        <v/>
      </c>
      <c r="Q3209" s="18" t="str">
        <f aca="false">IF(N3209&lt;&gt;"Y","",IFERROR(INDEX($D$6:$D$4005,MATCH(B3209&amp;"|"&amp;ROUND(_xlfn.MAXIFS($O$6:$O$4005,$B$6:$B$4005,B3209,$N$6:$N$4005,"N"),0),$P$6:$P$4005,0)),"(tanpa lawan)"))</f>
        <v/>
      </c>
      <c r="R3209" s="44"/>
      <c r="S3209" s="9" t="str">
        <f aca="false">IF(N3209&lt;&gt;"Y","",IF(R3209&lt;&gt;"",R3209,IF(Q3209="(tanpa lawan)","Transfer antar rekening",IFERROR(INDEX(I_COA!$F$6:$F$265,MATCH(Q3209,I_COA!$A$6:$A$265,0)),"?"))))</f>
        <v/>
      </c>
    </row>
    <row r="3210" customFormat="false" ht="15" hidden="false" customHeight="false" outlineLevel="0" collapsed="false">
      <c r="A3210" s="37"/>
      <c r="B3210" s="44"/>
      <c r="C3210" s="44"/>
      <c r="D3210" s="44"/>
      <c r="E3210" s="44"/>
      <c r="F3210" s="44"/>
      <c r="G3210" s="42"/>
      <c r="H3210" s="42"/>
      <c r="I3210" s="44"/>
      <c r="J3210" s="11" t="str">
        <f aca="false">IF(D3210="","",N(G3210)-N(H3210))</f>
        <v/>
      </c>
      <c r="K3210" s="34" t="str">
        <f aca="false">IF(D3210="","",IFERROR(INDEX(I_COA!$C$6:$C$265,MATCH(D3210,I_COA!$A$6:$A$265,0)),"AKUN BARU"))</f>
        <v/>
      </c>
      <c r="L3210" s="34" t="str">
        <f aca="false">IF(K3210="LabaRugi",INDEX(I_COA!$D$6:$D$265,MATCH(D3210,I_COA!$A$6:$A$265,0)),"")</f>
        <v/>
      </c>
      <c r="M3210" s="34" t="str">
        <f aca="false">IF(K3210="Neraca",INDEX(I_COA!$E$6:$E$265,MATCH(D3210,I_COA!$A$6:$A$265,0)),"")</f>
        <v/>
      </c>
      <c r="N3210" s="34" t="str">
        <f aca="false">IF(D3210="","",IFERROR(INDEX(I_COA!$G$6:$G$265,MATCH(D3210,I_COA!$A$6:$A$265,0)),"N"))</f>
        <v/>
      </c>
      <c r="O3210" s="11" t="str">
        <f aca="false">IF(N3210="N",ABS(J3210),"")</f>
        <v/>
      </c>
      <c r="P3210" s="18" t="str">
        <f aca="false">IF(N3210="N",B3210&amp;"|"&amp;ROUND(O3210,0),"")</f>
        <v/>
      </c>
      <c r="Q3210" s="18" t="str">
        <f aca="false">IF(N3210&lt;&gt;"Y","",IFERROR(INDEX($D$6:$D$4005,MATCH(B3210&amp;"|"&amp;ROUND(_xlfn.MAXIFS($O$6:$O$4005,$B$6:$B$4005,B3210,$N$6:$N$4005,"N"),0),$P$6:$P$4005,0)),"(tanpa lawan)"))</f>
        <v/>
      </c>
      <c r="R3210" s="44"/>
      <c r="S3210" s="9" t="str">
        <f aca="false">IF(N3210&lt;&gt;"Y","",IF(R3210&lt;&gt;"",R3210,IF(Q3210="(tanpa lawan)","Transfer antar rekening",IFERROR(INDEX(I_COA!$F$6:$F$265,MATCH(Q3210,I_COA!$A$6:$A$265,0)),"?"))))</f>
        <v/>
      </c>
    </row>
    <row r="3211" customFormat="false" ht="15" hidden="false" customHeight="false" outlineLevel="0" collapsed="false">
      <c r="A3211" s="37"/>
      <c r="B3211" s="44"/>
      <c r="C3211" s="44"/>
      <c r="D3211" s="44"/>
      <c r="E3211" s="44"/>
      <c r="F3211" s="44"/>
      <c r="G3211" s="42"/>
      <c r="H3211" s="42"/>
      <c r="I3211" s="44"/>
      <c r="J3211" s="11" t="str">
        <f aca="false">IF(D3211="","",N(G3211)-N(H3211))</f>
        <v/>
      </c>
      <c r="K3211" s="34" t="str">
        <f aca="false">IF(D3211="","",IFERROR(INDEX(I_COA!$C$6:$C$265,MATCH(D3211,I_COA!$A$6:$A$265,0)),"AKUN BARU"))</f>
        <v/>
      </c>
      <c r="L3211" s="34" t="str">
        <f aca="false">IF(K3211="LabaRugi",INDEX(I_COA!$D$6:$D$265,MATCH(D3211,I_COA!$A$6:$A$265,0)),"")</f>
        <v/>
      </c>
      <c r="M3211" s="34" t="str">
        <f aca="false">IF(K3211="Neraca",INDEX(I_COA!$E$6:$E$265,MATCH(D3211,I_COA!$A$6:$A$265,0)),"")</f>
        <v/>
      </c>
      <c r="N3211" s="34" t="str">
        <f aca="false">IF(D3211="","",IFERROR(INDEX(I_COA!$G$6:$G$265,MATCH(D3211,I_COA!$A$6:$A$265,0)),"N"))</f>
        <v/>
      </c>
      <c r="O3211" s="11" t="str">
        <f aca="false">IF(N3211="N",ABS(J3211),"")</f>
        <v/>
      </c>
      <c r="P3211" s="18" t="str">
        <f aca="false">IF(N3211="N",B3211&amp;"|"&amp;ROUND(O3211,0),"")</f>
        <v/>
      </c>
      <c r="Q3211" s="18" t="str">
        <f aca="false">IF(N3211&lt;&gt;"Y","",IFERROR(INDEX($D$6:$D$4005,MATCH(B3211&amp;"|"&amp;ROUND(_xlfn.MAXIFS($O$6:$O$4005,$B$6:$B$4005,B3211,$N$6:$N$4005,"N"),0),$P$6:$P$4005,0)),"(tanpa lawan)"))</f>
        <v/>
      </c>
      <c r="R3211" s="44"/>
      <c r="S3211" s="9" t="str">
        <f aca="false">IF(N3211&lt;&gt;"Y","",IF(R3211&lt;&gt;"",R3211,IF(Q3211="(tanpa lawan)","Transfer antar rekening",IFERROR(INDEX(I_COA!$F$6:$F$265,MATCH(Q3211,I_COA!$A$6:$A$265,0)),"?"))))</f>
        <v/>
      </c>
    </row>
    <row r="3212" customFormat="false" ht="15" hidden="false" customHeight="false" outlineLevel="0" collapsed="false">
      <c r="A3212" s="37"/>
      <c r="B3212" s="44"/>
      <c r="C3212" s="44"/>
      <c r="D3212" s="44"/>
      <c r="E3212" s="44"/>
      <c r="F3212" s="44"/>
      <c r="G3212" s="42"/>
      <c r="H3212" s="42"/>
      <c r="I3212" s="44"/>
      <c r="J3212" s="11" t="str">
        <f aca="false">IF(D3212="","",N(G3212)-N(H3212))</f>
        <v/>
      </c>
      <c r="K3212" s="34" t="str">
        <f aca="false">IF(D3212="","",IFERROR(INDEX(I_COA!$C$6:$C$265,MATCH(D3212,I_COA!$A$6:$A$265,0)),"AKUN BARU"))</f>
        <v/>
      </c>
      <c r="L3212" s="34" t="str">
        <f aca="false">IF(K3212="LabaRugi",INDEX(I_COA!$D$6:$D$265,MATCH(D3212,I_COA!$A$6:$A$265,0)),"")</f>
        <v/>
      </c>
      <c r="M3212" s="34" t="str">
        <f aca="false">IF(K3212="Neraca",INDEX(I_COA!$E$6:$E$265,MATCH(D3212,I_COA!$A$6:$A$265,0)),"")</f>
        <v/>
      </c>
      <c r="N3212" s="34" t="str">
        <f aca="false">IF(D3212="","",IFERROR(INDEX(I_COA!$G$6:$G$265,MATCH(D3212,I_COA!$A$6:$A$265,0)),"N"))</f>
        <v/>
      </c>
      <c r="O3212" s="11" t="str">
        <f aca="false">IF(N3212="N",ABS(J3212),"")</f>
        <v/>
      </c>
      <c r="P3212" s="18" t="str">
        <f aca="false">IF(N3212="N",B3212&amp;"|"&amp;ROUND(O3212,0),"")</f>
        <v/>
      </c>
      <c r="Q3212" s="18" t="str">
        <f aca="false">IF(N3212&lt;&gt;"Y","",IFERROR(INDEX($D$6:$D$4005,MATCH(B3212&amp;"|"&amp;ROUND(_xlfn.MAXIFS($O$6:$O$4005,$B$6:$B$4005,B3212,$N$6:$N$4005,"N"),0),$P$6:$P$4005,0)),"(tanpa lawan)"))</f>
        <v/>
      </c>
      <c r="R3212" s="44"/>
      <c r="S3212" s="9" t="str">
        <f aca="false">IF(N3212&lt;&gt;"Y","",IF(R3212&lt;&gt;"",R3212,IF(Q3212="(tanpa lawan)","Transfer antar rekening",IFERROR(INDEX(I_COA!$F$6:$F$265,MATCH(Q3212,I_COA!$A$6:$A$265,0)),"?"))))</f>
        <v/>
      </c>
    </row>
    <row r="3213" customFormat="false" ht="15" hidden="false" customHeight="false" outlineLevel="0" collapsed="false">
      <c r="A3213" s="37"/>
      <c r="B3213" s="44"/>
      <c r="C3213" s="44"/>
      <c r="D3213" s="44"/>
      <c r="E3213" s="44"/>
      <c r="F3213" s="44"/>
      <c r="G3213" s="42"/>
      <c r="H3213" s="42"/>
      <c r="I3213" s="44"/>
      <c r="J3213" s="11" t="str">
        <f aca="false">IF(D3213="","",N(G3213)-N(H3213))</f>
        <v/>
      </c>
      <c r="K3213" s="34" t="str">
        <f aca="false">IF(D3213="","",IFERROR(INDEX(I_COA!$C$6:$C$265,MATCH(D3213,I_COA!$A$6:$A$265,0)),"AKUN BARU"))</f>
        <v/>
      </c>
      <c r="L3213" s="34" t="str">
        <f aca="false">IF(K3213="LabaRugi",INDEX(I_COA!$D$6:$D$265,MATCH(D3213,I_COA!$A$6:$A$265,0)),"")</f>
        <v/>
      </c>
      <c r="M3213" s="34" t="str">
        <f aca="false">IF(K3213="Neraca",INDEX(I_COA!$E$6:$E$265,MATCH(D3213,I_COA!$A$6:$A$265,0)),"")</f>
        <v/>
      </c>
      <c r="N3213" s="34" t="str">
        <f aca="false">IF(D3213="","",IFERROR(INDEX(I_COA!$G$6:$G$265,MATCH(D3213,I_COA!$A$6:$A$265,0)),"N"))</f>
        <v/>
      </c>
      <c r="O3213" s="11" t="str">
        <f aca="false">IF(N3213="N",ABS(J3213),"")</f>
        <v/>
      </c>
      <c r="P3213" s="18" t="str">
        <f aca="false">IF(N3213="N",B3213&amp;"|"&amp;ROUND(O3213,0),"")</f>
        <v/>
      </c>
      <c r="Q3213" s="18" t="str">
        <f aca="false">IF(N3213&lt;&gt;"Y","",IFERROR(INDEX($D$6:$D$4005,MATCH(B3213&amp;"|"&amp;ROUND(_xlfn.MAXIFS($O$6:$O$4005,$B$6:$B$4005,B3213,$N$6:$N$4005,"N"),0),$P$6:$P$4005,0)),"(tanpa lawan)"))</f>
        <v/>
      </c>
      <c r="R3213" s="44"/>
      <c r="S3213" s="9" t="str">
        <f aca="false">IF(N3213&lt;&gt;"Y","",IF(R3213&lt;&gt;"",R3213,IF(Q3213="(tanpa lawan)","Transfer antar rekening",IFERROR(INDEX(I_COA!$F$6:$F$265,MATCH(Q3213,I_COA!$A$6:$A$265,0)),"?"))))</f>
        <v/>
      </c>
    </row>
    <row r="3214" customFormat="false" ht="15" hidden="false" customHeight="false" outlineLevel="0" collapsed="false">
      <c r="A3214" s="37"/>
      <c r="B3214" s="44"/>
      <c r="C3214" s="44"/>
      <c r="D3214" s="44"/>
      <c r="E3214" s="44"/>
      <c r="F3214" s="44"/>
      <c r="G3214" s="42"/>
      <c r="H3214" s="42"/>
      <c r="I3214" s="44"/>
      <c r="J3214" s="11" t="str">
        <f aca="false">IF(D3214="","",N(G3214)-N(H3214))</f>
        <v/>
      </c>
      <c r="K3214" s="34" t="str">
        <f aca="false">IF(D3214="","",IFERROR(INDEX(I_COA!$C$6:$C$265,MATCH(D3214,I_COA!$A$6:$A$265,0)),"AKUN BARU"))</f>
        <v/>
      </c>
      <c r="L3214" s="34" t="str">
        <f aca="false">IF(K3214="LabaRugi",INDEX(I_COA!$D$6:$D$265,MATCH(D3214,I_COA!$A$6:$A$265,0)),"")</f>
        <v/>
      </c>
      <c r="M3214" s="34" t="str">
        <f aca="false">IF(K3214="Neraca",INDEX(I_COA!$E$6:$E$265,MATCH(D3214,I_COA!$A$6:$A$265,0)),"")</f>
        <v/>
      </c>
      <c r="N3214" s="34" t="str">
        <f aca="false">IF(D3214="","",IFERROR(INDEX(I_COA!$G$6:$G$265,MATCH(D3214,I_COA!$A$6:$A$265,0)),"N"))</f>
        <v/>
      </c>
      <c r="O3214" s="11" t="str">
        <f aca="false">IF(N3214="N",ABS(J3214),"")</f>
        <v/>
      </c>
      <c r="P3214" s="18" t="str">
        <f aca="false">IF(N3214="N",B3214&amp;"|"&amp;ROUND(O3214,0),"")</f>
        <v/>
      </c>
      <c r="Q3214" s="18" t="str">
        <f aca="false">IF(N3214&lt;&gt;"Y","",IFERROR(INDEX($D$6:$D$4005,MATCH(B3214&amp;"|"&amp;ROUND(_xlfn.MAXIFS($O$6:$O$4005,$B$6:$B$4005,B3214,$N$6:$N$4005,"N"),0),$P$6:$P$4005,0)),"(tanpa lawan)"))</f>
        <v/>
      </c>
      <c r="R3214" s="44"/>
      <c r="S3214" s="9" t="str">
        <f aca="false">IF(N3214&lt;&gt;"Y","",IF(R3214&lt;&gt;"",R3214,IF(Q3214="(tanpa lawan)","Transfer antar rekening",IFERROR(INDEX(I_COA!$F$6:$F$265,MATCH(Q3214,I_COA!$A$6:$A$265,0)),"?"))))</f>
        <v/>
      </c>
    </row>
    <row r="3215" customFormat="false" ht="15" hidden="false" customHeight="false" outlineLevel="0" collapsed="false">
      <c r="A3215" s="37"/>
      <c r="B3215" s="44"/>
      <c r="C3215" s="44"/>
      <c r="D3215" s="44"/>
      <c r="E3215" s="44"/>
      <c r="F3215" s="44"/>
      <c r="G3215" s="42"/>
      <c r="H3215" s="42"/>
      <c r="I3215" s="44"/>
      <c r="J3215" s="11" t="str">
        <f aca="false">IF(D3215="","",N(G3215)-N(H3215))</f>
        <v/>
      </c>
      <c r="K3215" s="34" t="str">
        <f aca="false">IF(D3215="","",IFERROR(INDEX(I_COA!$C$6:$C$265,MATCH(D3215,I_COA!$A$6:$A$265,0)),"AKUN BARU"))</f>
        <v/>
      </c>
      <c r="L3215" s="34" t="str">
        <f aca="false">IF(K3215="LabaRugi",INDEX(I_COA!$D$6:$D$265,MATCH(D3215,I_COA!$A$6:$A$265,0)),"")</f>
        <v/>
      </c>
      <c r="M3215" s="34" t="str">
        <f aca="false">IF(K3215="Neraca",INDEX(I_COA!$E$6:$E$265,MATCH(D3215,I_COA!$A$6:$A$265,0)),"")</f>
        <v/>
      </c>
      <c r="N3215" s="34" t="str">
        <f aca="false">IF(D3215="","",IFERROR(INDEX(I_COA!$G$6:$G$265,MATCH(D3215,I_COA!$A$6:$A$265,0)),"N"))</f>
        <v/>
      </c>
      <c r="O3215" s="11" t="str">
        <f aca="false">IF(N3215="N",ABS(J3215),"")</f>
        <v/>
      </c>
      <c r="P3215" s="18" t="str">
        <f aca="false">IF(N3215="N",B3215&amp;"|"&amp;ROUND(O3215,0),"")</f>
        <v/>
      </c>
      <c r="Q3215" s="18" t="str">
        <f aca="false">IF(N3215&lt;&gt;"Y","",IFERROR(INDEX($D$6:$D$4005,MATCH(B3215&amp;"|"&amp;ROUND(_xlfn.MAXIFS($O$6:$O$4005,$B$6:$B$4005,B3215,$N$6:$N$4005,"N"),0),$P$6:$P$4005,0)),"(tanpa lawan)"))</f>
        <v/>
      </c>
      <c r="R3215" s="44"/>
      <c r="S3215" s="9" t="str">
        <f aca="false">IF(N3215&lt;&gt;"Y","",IF(R3215&lt;&gt;"",R3215,IF(Q3215="(tanpa lawan)","Transfer antar rekening",IFERROR(INDEX(I_COA!$F$6:$F$265,MATCH(Q3215,I_COA!$A$6:$A$265,0)),"?"))))</f>
        <v/>
      </c>
    </row>
    <row r="3216" customFormat="false" ht="15" hidden="false" customHeight="false" outlineLevel="0" collapsed="false">
      <c r="A3216" s="37"/>
      <c r="B3216" s="44"/>
      <c r="C3216" s="44"/>
      <c r="D3216" s="44"/>
      <c r="E3216" s="44"/>
      <c r="F3216" s="44"/>
      <c r="G3216" s="42"/>
      <c r="H3216" s="42"/>
      <c r="I3216" s="44"/>
      <c r="J3216" s="11" t="str">
        <f aca="false">IF(D3216="","",N(G3216)-N(H3216))</f>
        <v/>
      </c>
      <c r="K3216" s="34" t="str">
        <f aca="false">IF(D3216="","",IFERROR(INDEX(I_COA!$C$6:$C$265,MATCH(D3216,I_COA!$A$6:$A$265,0)),"AKUN BARU"))</f>
        <v/>
      </c>
      <c r="L3216" s="34" t="str">
        <f aca="false">IF(K3216="LabaRugi",INDEX(I_COA!$D$6:$D$265,MATCH(D3216,I_COA!$A$6:$A$265,0)),"")</f>
        <v/>
      </c>
      <c r="M3216" s="34" t="str">
        <f aca="false">IF(K3216="Neraca",INDEX(I_COA!$E$6:$E$265,MATCH(D3216,I_COA!$A$6:$A$265,0)),"")</f>
        <v/>
      </c>
      <c r="N3216" s="34" t="str">
        <f aca="false">IF(D3216="","",IFERROR(INDEX(I_COA!$G$6:$G$265,MATCH(D3216,I_COA!$A$6:$A$265,0)),"N"))</f>
        <v/>
      </c>
      <c r="O3216" s="11" t="str">
        <f aca="false">IF(N3216="N",ABS(J3216),"")</f>
        <v/>
      </c>
      <c r="P3216" s="18" t="str">
        <f aca="false">IF(N3216="N",B3216&amp;"|"&amp;ROUND(O3216,0),"")</f>
        <v/>
      </c>
      <c r="Q3216" s="18" t="str">
        <f aca="false">IF(N3216&lt;&gt;"Y","",IFERROR(INDEX($D$6:$D$4005,MATCH(B3216&amp;"|"&amp;ROUND(_xlfn.MAXIFS($O$6:$O$4005,$B$6:$B$4005,B3216,$N$6:$N$4005,"N"),0),$P$6:$P$4005,0)),"(tanpa lawan)"))</f>
        <v/>
      </c>
      <c r="R3216" s="44"/>
      <c r="S3216" s="9" t="str">
        <f aca="false">IF(N3216&lt;&gt;"Y","",IF(R3216&lt;&gt;"",R3216,IF(Q3216="(tanpa lawan)","Transfer antar rekening",IFERROR(INDEX(I_COA!$F$6:$F$265,MATCH(Q3216,I_COA!$A$6:$A$265,0)),"?"))))</f>
        <v/>
      </c>
    </row>
    <row r="3217" customFormat="false" ht="15" hidden="false" customHeight="false" outlineLevel="0" collapsed="false">
      <c r="A3217" s="37"/>
      <c r="B3217" s="44"/>
      <c r="C3217" s="44"/>
      <c r="D3217" s="44"/>
      <c r="E3217" s="44"/>
      <c r="F3217" s="44"/>
      <c r="G3217" s="42"/>
      <c r="H3217" s="42"/>
      <c r="I3217" s="44"/>
      <c r="J3217" s="11" t="str">
        <f aca="false">IF(D3217="","",N(G3217)-N(H3217))</f>
        <v/>
      </c>
      <c r="K3217" s="34" t="str">
        <f aca="false">IF(D3217="","",IFERROR(INDEX(I_COA!$C$6:$C$265,MATCH(D3217,I_COA!$A$6:$A$265,0)),"AKUN BARU"))</f>
        <v/>
      </c>
      <c r="L3217" s="34" t="str">
        <f aca="false">IF(K3217="LabaRugi",INDEX(I_COA!$D$6:$D$265,MATCH(D3217,I_COA!$A$6:$A$265,0)),"")</f>
        <v/>
      </c>
      <c r="M3217" s="34" t="str">
        <f aca="false">IF(K3217="Neraca",INDEX(I_COA!$E$6:$E$265,MATCH(D3217,I_COA!$A$6:$A$265,0)),"")</f>
        <v/>
      </c>
      <c r="N3217" s="34" t="str">
        <f aca="false">IF(D3217="","",IFERROR(INDEX(I_COA!$G$6:$G$265,MATCH(D3217,I_COA!$A$6:$A$265,0)),"N"))</f>
        <v/>
      </c>
      <c r="O3217" s="11" t="str">
        <f aca="false">IF(N3217="N",ABS(J3217),"")</f>
        <v/>
      </c>
      <c r="P3217" s="18" t="str">
        <f aca="false">IF(N3217="N",B3217&amp;"|"&amp;ROUND(O3217,0),"")</f>
        <v/>
      </c>
      <c r="Q3217" s="18" t="str">
        <f aca="false">IF(N3217&lt;&gt;"Y","",IFERROR(INDEX($D$6:$D$4005,MATCH(B3217&amp;"|"&amp;ROUND(_xlfn.MAXIFS($O$6:$O$4005,$B$6:$B$4005,B3217,$N$6:$N$4005,"N"),0),$P$6:$P$4005,0)),"(tanpa lawan)"))</f>
        <v/>
      </c>
      <c r="R3217" s="44"/>
      <c r="S3217" s="9" t="str">
        <f aca="false">IF(N3217&lt;&gt;"Y","",IF(R3217&lt;&gt;"",R3217,IF(Q3217="(tanpa lawan)","Transfer antar rekening",IFERROR(INDEX(I_COA!$F$6:$F$265,MATCH(Q3217,I_COA!$A$6:$A$265,0)),"?"))))</f>
        <v/>
      </c>
    </row>
    <row r="3218" customFormat="false" ht="15" hidden="false" customHeight="false" outlineLevel="0" collapsed="false">
      <c r="A3218" s="37"/>
      <c r="B3218" s="44"/>
      <c r="C3218" s="44"/>
      <c r="D3218" s="44"/>
      <c r="E3218" s="44"/>
      <c r="F3218" s="44"/>
      <c r="G3218" s="42"/>
      <c r="H3218" s="42"/>
      <c r="I3218" s="44"/>
      <c r="J3218" s="11" t="str">
        <f aca="false">IF(D3218="","",N(G3218)-N(H3218))</f>
        <v/>
      </c>
      <c r="K3218" s="34" t="str">
        <f aca="false">IF(D3218="","",IFERROR(INDEX(I_COA!$C$6:$C$265,MATCH(D3218,I_COA!$A$6:$A$265,0)),"AKUN BARU"))</f>
        <v/>
      </c>
      <c r="L3218" s="34" t="str">
        <f aca="false">IF(K3218="LabaRugi",INDEX(I_COA!$D$6:$D$265,MATCH(D3218,I_COA!$A$6:$A$265,0)),"")</f>
        <v/>
      </c>
      <c r="M3218" s="34" t="str">
        <f aca="false">IF(K3218="Neraca",INDEX(I_COA!$E$6:$E$265,MATCH(D3218,I_COA!$A$6:$A$265,0)),"")</f>
        <v/>
      </c>
      <c r="N3218" s="34" t="str">
        <f aca="false">IF(D3218="","",IFERROR(INDEX(I_COA!$G$6:$G$265,MATCH(D3218,I_COA!$A$6:$A$265,0)),"N"))</f>
        <v/>
      </c>
      <c r="O3218" s="11" t="str">
        <f aca="false">IF(N3218="N",ABS(J3218),"")</f>
        <v/>
      </c>
      <c r="P3218" s="18" t="str">
        <f aca="false">IF(N3218="N",B3218&amp;"|"&amp;ROUND(O3218,0),"")</f>
        <v/>
      </c>
      <c r="Q3218" s="18" t="str">
        <f aca="false">IF(N3218&lt;&gt;"Y","",IFERROR(INDEX($D$6:$D$4005,MATCH(B3218&amp;"|"&amp;ROUND(_xlfn.MAXIFS($O$6:$O$4005,$B$6:$B$4005,B3218,$N$6:$N$4005,"N"),0),$P$6:$P$4005,0)),"(tanpa lawan)"))</f>
        <v/>
      </c>
      <c r="R3218" s="44"/>
      <c r="S3218" s="9" t="str">
        <f aca="false">IF(N3218&lt;&gt;"Y","",IF(R3218&lt;&gt;"",R3218,IF(Q3218="(tanpa lawan)","Transfer antar rekening",IFERROR(INDEX(I_COA!$F$6:$F$265,MATCH(Q3218,I_COA!$A$6:$A$265,0)),"?"))))</f>
        <v/>
      </c>
    </row>
    <row r="3219" customFormat="false" ht="15" hidden="false" customHeight="false" outlineLevel="0" collapsed="false">
      <c r="A3219" s="37"/>
      <c r="B3219" s="44"/>
      <c r="C3219" s="44"/>
      <c r="D3219" s="44"/>
      <c r="E3219" s="44"/>
      <c r="F3219" s="44"/>
      <c r="G3219" s="42"/>
      <c r="H3219" s="42"/>
      <c r="I3219" s="44"/>
      <c r="J3219" s="11" t="str">
        <f aca="false">IF(D3219="","",N(G3219)-N(H3219))</f>
        <v/>
      </c>
      <c r="K3219" s="34" t="str">
        <f aca="false">IF(D3219="","",IFERROR(INDEX(I_COA!$C$6:$C$265,MATCH(D3219,I_COA!$A$6:$A$265,0)),"AKUN BARU"))</f>
        <v/>
      </c>
      <c r="L3219" s="34" t="str">
        <f aca="false">IF(K3219="LabaRugi",INDEX(I_COA!$D$6:$D$265,MATCH(D3219,I_COA!$A$6:$A$265,0)),"")</f>
        <v/>
      </c>
      <c r="M3219" s="34" t="str">
        <f aca="false">IF(K3219="Neraca",INDEX(I_COA!$E$6:$E$265,MATCH(D3219,I_COA!$A$6:$A$265,0)),"")</f>
        <v/>
      </c>
      <c r="N3219" s="34" t="str">
        <f aca="false">IF(D3219="","",IFERROR(INDEX(I_COA!$G$6:$G$265,MATCH(D3219,I_COA!$A$6:$A$265,0)),"N"))</f>
        <v/>
      </c>
      <c r="O3219" s="11" t="str">
        <f aca="false">IF(N3219="N",ABS(J3219),"")</f>
        <v/>
      </c>
      <c r="P3219" s="18" t="str">
        <f aca="false">IF(N3219="N",B3219&amp;"|"&amp;ROUND(O3219,0),"")</f>
        <v/>
      </c>
      <c r="Q3219" s="18" t="str">
        <f aca="false">IF(N3219&lt;&gt;"Y","",IFERROR(INDEX($D$6:$D$4005,MATCH(B3219&amp;"|"&amp;ROUND(_xlfn.MAXIFS($O$6:$O$4005,$B$6:$B$4005,B3219,$N$6:$N$4005,"N"),0),$P$6:$P$4005,0)),"(tanpa lawan)"))</f>
        <v/>
      </c>
      <c r="R3219" s="44"/>
      <c r="S3219" s="9" t="str">
        <f aca="false">IF(N3219&lt;&gt;"Y","",IF(R3219&lt;&gt;"",R3219,IF(Q3219="(tanpa lawan)","Transfer antar rekening",IFERROR(INDEX(I_COA!$F$6:$F$265,MATCH(Q3219,I_COA!$A$6:$A$265,0)),"?"))))</f>
        <v/>
      </c>
    </row>
    <row r="3220" customFormat="false" ht="15" hidden="false" customHeight="false" outlineLevel="0" collapsed="false">
      <c r="A3220" s="37"/>
      <c r="B3220" s="44"/>
      <c r="C3220" s="44"/>
      <c r="D3220" s="44"/>
      <c r="E3220" s="44"/>
      <c r="F3220" s="44"/>
      <c r="G3220" s="42"/>
      <c r="H3220" s="42"/>
      <c r="I3220" s="44"/>
      <c r="J3220" s="11" t="str">
        <f aca="false">IF(D3220="","",N(G3220)-N(H3220))</f>
        <v/>
      </c>
      <c r="K3220" s="34" t="str">
        <f aca="false">IF(D3220="","",IFERROR(INDEX(I_COA!$C$6:$C$265,MATCH(D3220,I_COA!$A$6:$A$265,0)),"AKUN BARU"))</f>
        <v/>
      </c>
      <c r="L3220" s="34" t="str">
        <f aca="false">IF(K3220="LabaRugi",INDEX(I_COA!$D$6:$D$265,MATCH(D3220,I_COA!$A$6:$A$265,0)),"")</f>
        <v/>
      </c>
      <c r="M3220" s="34" t="str">
        <f aca="false">IF(K3220="Neraca",INDEX(I_COA!$E$6:$E$265,MATCH(D3220,I_COA!$A$6:$A$265,0)),"")</f>
        <v/>
      </c>
      <c r="N3220" s="34" t="str">
        <f aca="false">IF(D3220="","",IFERROR(INDEX(I_COA!$G$6:$G$265,MATCH(D3220,I_COA!$A$6:$A$265,0)),"N"))</f>
        <v/>
      </c>
      <c r="O3220" s="11" t="str">
        <f aca="false">IF(N3220="N",ABS(J3220),"")</f>
        <v/>
      </c>
      <c r="P3220" s="18" t="str">
        <f aca="false">IF(N3220="N",B3220&amp;"|"&amp;ROUND(O3220,0),"")</f>
        <v/>
      </c>
      <c r="Q3220" s="18" t="str">
        <f aca="false">IF(N3220&lt;&gt;"Y","",IFERROR(INDEX($D$6:$D$4005,MATCH(B3220&amp;"|"&amp;ROUND(_xlfn.MAXIFS($O$6:$O$4005,$B$6:$B$4005,B3220,$N$6:$N$4005,"N"),0),$P$6:$P$4005,0)),"(tanpa lawan)"))</f>
        <v/>
      </c>
      <c r="R3220" s="44"/>
      <c r="S3220" s="9" t="str">
        <f aca="false">IF(N3220&lt;&gt;"Y","",IF(R3220&lt;&gt;"",R3220,IF(Q3220="(tanpa lawan)","Transfer antar rekening",IFERROR(INDEX(I_COA!$F$6:$F$265,MATCH(Q3220,I_COA!$A$6:$A$265,0)),"?"))))</f>
        <v/>
      </c>
    </row>
    <row r="3221" customFormat="false" ht="15" hidden="false" customHeight="false" outlineLevel="0" collapsed="false">
      <c r="A3221" s="37"/>
      <c r="B3221" s="44"/>
      <c r="C3221" s="44"/>
      <c r="D3221" s="44"/>
      <c r="E3221" s="44"/>
      <c r="F3221" s="44"/>
      <c r="G3221" s="42"/>
      <c r="H3221" s="42"/>
      <c r="I3221" s="44"/>
      <c r="J3221" s="11" t="str">
        <f aca="false">IF(D3221="","",N(G3221)-N(H3221))</f>
        <v/>
      </c>
      <c r="K3221" s="34" t="str">
        <f aca="false">IF(D3221="","",IFERROR(INDEX(I_COA!$C$6:$C$265,MATCH(D3221,I_COA!$A$6:$A$265,0)),"AKUN BARU"))</f>
        <v/>
      </c>
      <c r="L3221" s="34" t="str">
        <f aca="false">IF(K3221="LabaRugi",INDEX(I_COA!$D$6:$D$265,MATCH(D3221,I_COA!$A$6:$A$265,0)),"")</f>
        <v/>
      </c>
      <c r="M3221" s="34" t="str">
        <f aca="false">IF(K3221="Neraca",INDEX(I_COA!$E$6:$E$265,MATCH(D3221,I_COA!$A$6:$A$265,0)),"")</f>
        <v/>
      </c>
      <c r="N3221" s="34" t="str">
        <f aca="false">IF(D3221="","",IFERROR(INDEX(I_COA!$G$6:$G$265,MATCH(D3221,I_COA!$A$6:$A$265,0)),"N"))</f>
        <v/>
      </c>
      <c r="O3221" s="11" t="str">
        <f aca="false">IF(N3221="N",ABS(J3221),"")</f>
        <v/>
      </c>
      <c r="P3221" s="18" t="str">
        <f aca="false">IF(N3221="N",B3221&amp;"|"&amp;ROUND(O3221,0),"")</f>
        <v/>
      </c>
      <c r="Q3221" s="18" t="str">
        <f aca="false">IF(N3221&lt;&gt;"Y","",IFERROR(INDEX($D$6:$D$4005,MATCH(B3221&amp;"|"&amp;ROUND(_xlfn.MAXIFS($O$6:$O$4005,$B$6:$B$4005,B3221,$N$6:$N$4005,"N"),0),$P$6:$P$4005,0)),"(tanpa lawan)"))</f>
        <v/>
      </c>
      <c r="R3221" s="44"/>
      <c r="S3221" s="9" t="str">
        <f aca="false">IF(N3221&lt;&gt;"Y","",IF(R3221&lt;&gt;"",R3221,IF(Q3221="(tanpa lawan)","Transfer antar rekening",IFERROR(INDEX(I_COA!$F$6:$F$265,MATCH(Q3221,I_COA!$A$6:$A$265,0)),"?"))))</f>
        <v/>
      </c>
    </row>
    <row r="3222" customFormat="false" ht="15" hidden="false" customHeight="false" outlineLevel="0" collapsed="false">
      <c r="A3222" s="37"/>
      <c r="B3222" s="44"/>
      <c r="C3222" s="44"/>
      <c r="D3222" s="44"/>
      <c r="E3222" s="44"/>
      <c r="F3222" s="44"/>
      <c r="G3222" s="42"/>
      <c r="H3222" s="42"/>
      <c r="I3222" s="44"/>
      <c r="J3222" s="11" t="str">
        <f aca="false">IF(D3222="","",N(G3222)-N(H3222))</f>
        <v/>
      </c>
      <c r="K3222" s="34" t="str">
        <f aca="false">IF(D3222="","",IFERROR(INDEX(I_COA!$C$6:$C$265,MATCH(D3222,I_COA!$A$6:$A$265,0)),"AKUN BARU"))</f>
        <v/>
      </c>
      <c r="L3222" s="34" t="str">
        <f aca="false">IF(K3222="LabaRugi",INDEX(I_COA!$D$6:$D$265,MATCH(D3222,I_COA!$A$6:$A$265,0)),"")</f>
        <v/>
      </c>
      <c r="M3222" s="34" t="str">
        <f aca="false">IF(K3222="Neraca",INDEX(I_COA!$E$6:$E$265,MATCH(D3222,I_COA!$A$6:$A$265,0)),"")</f>
        <v/>
      </c>
      <c r="N3222" s="34" t="str">
        <f aca="false">IF(D3222="","",IFERROR(INDEX(I_COA!$G$6:$G$265,MATCH(D3222,I_COA!$A$6:$A$265,0)),"N"))</f>
        <v/>
      </c>
      <c r="O3222" s="11" t="str">
        <f aca="false">IF(N3222="N",ABS(J3222),"")</f>
        <v/>
      </c>
      <c r="P3222" s="18" t="str">
        <f aca="false">IF(N3222="N",B3222&amp;"|"&amp;ROUND(O3222,0),"")</f>
        <v/>
      </c>
      <c r="Q3222" s="18" t="str">
        <f aca="false">IF(N3222&lt;&gt;"Y","",IFERROR(INDEX($D$6:$D$4005,MATCH(B3222&amp;"|"&amp;ROUND(_xlfn.MAXIFS($O$6:$O$4005,$B$6:$B$4005,B3222,$N$6:$N$4005,"N"),0),$P$6:$P$4005,0)),"(tanpa lawan)"))</f>
        <v/>
      </c>
      <c r="R3222" s="44"/>
      <c r="S3222" s="9" t="str">
        <f aca="false">IF(N3222&lt;&gt;"Y","",IF(R3222&lt;&gt;"",R3222,IF(Q3222="(tanpa lawan)","Transfer antar rekening",IFERROR(INDEX(I_COA!$F$6:$F$265,MATCH(Q3222,I_COA!$A$6:$A$265,0)),"?"))))</f>
        <v/>
      </c>
    </row>
    <row r="3223" customFormat="false" ht="15" hidden="false" customHeight="false" outlineLevel="0" collapsed="false">
      <c r="A3223" s="37"/>
      <c r="B3223" s="44"/>
      <c r="C3223" s="44"/>
      <c r="D3223" s="44"/>
      <c r="E3223" s="44"/>
      <c r="F3223" s="44"/>
      <c r="G3223" s="42"/>
      <c r="H3223" s="42"/>
      <c r="I3223" s="44"/>
      <c r="J3223" s="11" t="str">
        <f aca="false">IF(D3223="","",N(G3223)-N(H3223))</f>
        <v/>
      </c>
      <c r="K3223" s="34" t="str">
        <f aca="false">IF(D3223="","",IFERROR(INDEX(I_COA!$C$6:$C$265,MATCH(D3223,I_COA!$A$6:$A$265,0)),"AKUN BARU"))</f>
        <v/>
      </c>
      <c r="L3223" s="34" t="str">
        <f aca="false">IF(K3223="LabaRugi",INDEX(I_COA!$D$6:$D$265,MATCH(D3223,I_COA!$A$6:$A$265,0)),"")</f>
        <v/>
      </c>
      <c r="M3223" s="34" t="str">
        <f aca="false">IF(K3223="Neraca",INDEX(I_COA!$E$6:$E$265,MATCH(D3223,I_COA!$A$6:$A$265,0)),"")</f>
        <v/>
      </c>
      <c r="N3223" s="34" t="str">
        <f aca="false">IF(D3223="","",IFERROR(INDEX(I_COA!$G$6:$G$265,MATCH(D3223,I_COA!$A$6:$A$265,0)),"N"))</f>
        <v/>
      </c>
      <c r="O3223" s="11" t="str">
        <f aca="false">IF(N3223="N",ABS(J3223),"")</f>
        <v/>
      </c>
      <c r="P3223" s="18" t="str">
        <f aca="false">IF(N3223="N",B3223&amp;"|"&amp;ROUND(O3223,0),"")</f>
        <v/>
      </c>
      <c r="Q3223" s="18" t="str">
        <f aca="false">IF(N3223&lt;&gt;"Y","",IFERROR(INDEX($D$6:$D$4005,MATCH(B3223&amp;"|"&amp;ROUND(_xlfn.MAXIFS($O$6:$O$4005,$B$6:$B$4005,B3223,$N$6:$N$4005,"N"),0),$P$6:$P$4005,0)),"(tanpa lawan)"))</f>
        <v/>
      </c>
      <c r="R3223" s="44"/>
      <c r="S3223" s="9" t="str">
        <f aca="false">IF(N3223&lt;&gt;"Y","",IF(R3223&lt;&gt;"",R3223,IF(Q3223="(tanpa lawan)","Transfer antar rekening",IFERROR(INDEX(I_COA!$F$6:$F$265,MATCH(Q3223,I_COA!$A$6:$A$265,0)),"?"))))</f>
        <v/>
      </c>
    </row>
    <row r="3224" customFormat="false" ht="15" hidden="false" customHeight="false" outlineLevel="0" collapsed="false">
      <c r="A3224" s="37"/>
      <c r="B3224" s="44"/>
      <c r="C3224" s="44"/>
      <c r="D3224" s="44"/>
      <c r="E3224" s="44"/>
      <c r="F3224" s="44"/>
      <c r="G3224" s="42"/>
      <c r="H3224" s="42"/>
      <c r="I3224" s="44"/>
      <c r="J3224" s="11" t="str">
        <f aca="false">IF(D3224="","",N(G3224)-N(H3224))</f>
        <v/>
      </c>
      <c r="K3224" s="34" t="str">
        <f aca="false">IF(D3224="","",IFERROR(INDEX(I_COA!$C$6:$C$265,MATCH(D3224,I_COA!$A$6:$A$265,0)),"AKUN BARU"))</f>
        <v/>
      </c>
      <c r="L3224" s="34" t="str">
        <f aca="false">IF(K3224="LabaRugi",INDEX(I_COA!$D$6:$D$265,MATCH(D3224,I_COA!$A$6:$A$265,0)),"")</f>
        <v/>
      </c>
      <c r="M3224" s="34" t="str">
        <f aca="false">IF(K3224="Neraca",INDEX(I_COA!$E$6:$E$265,MATCH(D3224,I_COA!$A$6:$A$265,0)),"")</f>
        <v/>
      </c>
      <c r="N3224" s="34" t="str">
        <f aca="false">IF(D3224="","",IFERROR(INDEX(I_COA!$G$6:$G$265,MATCH(D3224,I_COA!$A$6:$A$265,0)),"N"))</f>
        <v/>
      </c>
      <c r="O3224" s="11" t="str">
        <f aca="false">IF(N3224="N",ABS(J3224),"")</f>
        <v/>
      </c>
      <c r="P3224" s="18" t="str">
        <f aca="false">IF(N3224="N",B3224&amp;"|"&amp;ROUND(O3224,0),"")</f>
        <v/>
      </c>
      <c r="Q3224" s="18" t="str">
        <f aca="false">IF(N3224&lt;&gt;"Y","",IFERROR(INDEX($D$6:$D$4005,MATCH(B3224&amp;"|"&amp;ROUND(_xlfn.MAXIFS($O$6:$O$4005,$B$6:$B$4005,B3224,$N$6:$N$4005,"N"),0),$P$6:$P$4005,0)),"(tanpa lawan)"))</f>
        <v/>
      </c>
      <c r="R3224" s="44"/>
      <c r="S3224" s="9" t="str">
        <f aca="false">IF(N3224&lt;&gt;"Y","",IF(R3224&lt;&gt;"",R3224,IF(Q3224="(tanpa lawan)","Transfer antar rekening",IFERROR(INDEX(I_COA!$F$6:$F$265,MATCH(Q3224,I_COA!$A$6:$A$265,0)),"?"))))</f>
        <v/>
      </c>
    </row>
    <row r="3225" customFormat="false" ht="15" hidden="false" customHeight="false" outlineLevel="0" collapsed="false">
      <c r="A3225" s="37"/>
      <c r="B3225" s="44"/>
      <c r="C3225" s="44"/>
      <c r="D3225" s="44"/>
      <c r="E3225" s="44"/>
      <c r="F3225" s="44"/>
      <c r="G3225" s="42"/>
      <c r="H3225" s="42"/>
      <c r="I3225" s="44"/>
      <c r="J3225" s="11" t="str">
        <f aca="false">IF(D3225="","",N(G3225)-N(H3225))</f>
        <v/>
      </c>
      <c r="K3225" s="34" t="str">
        <f aca="false">IF(D3225="","",IFERROR(INDEX(I_COA!$C$6:$C$265,MATCH(D3225,I_COA!$A$6:$A$265,0)),"AKUN BARU"))</f>
        <v/>
      </c>
      <c r="L3225" s="34" t="str">
        <f aca="false">IF(K3225="LabaRugi",INDEX(I_COA!$D$6:$D$265,MATCH(D3225,I_COA!$A$6:$A$265,0)),"")</f>
        <v/>
      </c>
      <c r="M3225" s="34" t="str">
        <f aca="false">IF(K3225="Neraca",INDEX(I_COA!$E$6:$E$265,MATCH(D3225,I_COA!$A$6:$A$265,0)),"")</f>
        <v/>
      </c>
      <c r="N3225" s="34" t="str">
        <f aca="false">IF(D3225="","",IFERROR(INDEX(I_COA!$G$6:$G$265,MATCH(D3225,I_COA!$A$6:$A$265,0)),"N"))</f>
        <v/>
      </c>
      <c r="O3225" s="11" t="str">
        <f aca="false">IF(N3225="N",ABS(J3225),"")</f>
        <v/>
      </c>
      <c r="P3225" s="18" t="str">
        <f aca="false">IF(N3225="N",B3225&amp;"|"&amp;ROUND(O3225,0),"")</f>
        <v/>
      </c>
      <c r="Q3225" s="18" t="str">
        <f aca="false">IF(N3225&lt;&gt;"Y","",IFERROR(INDEX($D$6:$D$4005,MATCH(B3225&amp;"|"&amp;ROUND(_xlfn.MAXIFS($O$6:$O$4005,$B$6:$B$4005,B3225,$N$6:$N$4005,"N"),0),$P$6:$P$4005,0)),"(tanpa lawan)"))</f>
        <v/>
      </c>
      <c r="R3225" s="44"/>
      <c r="S3225" s="9" t="str">
        <f aca="false">IF(N3225&lt;&gt;"Y","",IF(R3225&lt;&gt;"",R3225,IF(Q3225="(tanpa lawan)","Transfer antar rekening",IFERROR(INDEX(I_COA!$F$6:$F$265,MATCH(Q3225,I_COA!$A$6:$A$265,0)),"?"))))</f>
        <v/>
      </c>
    </row>
    <row r="3226" customFormat="false" ht="15" hidden="false" customHeight="false" outlineLevel="0" collapsed="false">
      <c r="A3226" s="37"/>
      <c r="B3226" s="44"/>
      <c r="C3226" s="44"/>
      <c r="D3226" s="44"/>
      <c r="E3226" s="44"/>
      <c r="F3226" s="44"/>
      <c r="G3226" s="42"/>
      <c r="H3226" s="42"/>
      <c r="I3226" s="44"/>
      <c r="J3226" s="11" t="str">
        <f aca="false">IF(D3226="","",N(G3226)-N(H3226))</f>
        <v/>
      </c>
      <c r="K3226" s="34" t="str">
        <f aca="false">IF(D3226="","",IFERROR(INDEX(I_COA!$C$6:$C$265,MATCH(D3226,I_COA!$A$6:$A$265,0)),"AKUN BARU"))</f>
        <v/>
      </c>
      <c r="L3226" s="34" t="str">
        <f aca="false">IF(K3226="LabaRugi",INDEX(I_COA!$D$6:$D$265,MATCH(D3226,I_COA!$A$6:$A$265,0)),"")</f>
        <v/>
      </c>
      <c r="M3226" s="34" t="str">
        <f aca="false">IF(K3226="Neraca",INDEX(I_COA!$E$6:$E$265,MATCH(D3226,I_COA!$A$6:$A$265,0)),"")</f>
        <v/>
      </c>
      <c r="N3226" s="34" t="str">
        <f aca="false">IF(D3226="","",IFERROR(INDEX(I_COA!$G$6:$G$265,MATCH(D3226,I_COA!$A$6:$A$265,0)),"N"))</f>
        <v/>
      </c>
      <c r="O3226" s="11" t="str">
        <f aca="false">IF(N3226="N",ABS(J3226),"")</f>
        <v/>
      </c>
      <c r="P3226" s="18" t="str">
        <f aca="false">IF(N3226="N",B3226&amp;"|"&amp;ROUND(O3226,0),"")</f>
        <v/>
      </c>
      <c r="Q3226" s="18" t="str">
        <f aca="false">IF(N3226&lt;&gt;"Y","",IFERROR(INDEX($D$6:$D$4005,MATCH(B3226&amp;"|"&amp;ROUND(_xlfn.MAXIFS($O$6:$O$4005,$B$6:$B$4005,B3226,$N$6:$N$4005,"N"),0),$P$6:$P$4005,0)),"(tanpa lawan)"))</f>
        <v/>
      </c>
      <c r="R3226" s="44"/>
      <c r="S3226" s="9" t="str">
        <f aca="false">IF(N3226&lt;&gt;"Y","",IF(R3226&lt;&gt;"",R3226,IF(Q3226="(tanpa lawan)","Transfer antar rekening",IFERROR(INDEX(I_COA!$F$6:$F$265,MATCH(Q3226,I_COA!$A$6:$A$265,0)),"?"))))</f>
        <v/>
      </c>
    </row>
    <row r="3227" customFormat="false" ht="15" hidden="false" customHeight="false" outlineLevel="0" collapsed="false">
      <c r="A3227" s="37"/>
      <c r="B3227" s="44"/>
      <c r="C3227" s="44"/>
      <c r="D3227" s="44"/>
      <c r="E3227" s="44"/>
      <c r="F3227" s="44"/>
      <c r="G3227" s="42"/>
      <c r="H3227" s="42"/>
      <c r="I3227" s="44"/>
      <c r="J3227" s="11" t="str">
        <f aca="false">IF(D3227="","",N(G3227)-N(H3227))</f>
        <v/>
      </c>
      <c r="K3227" s="34" t="str">
        <f aca="false">IF(D3227="","",IFERROR(INDEX(I_COA!$C$6:$C$265,MATCH(D3227,I_COA!$A$6:$A$265,0)),"AKUN BARU"))</f>
        <v/>
      </c>
      <c r="L3227" s="34" t="str">
        <f aca="false">IF(K3227="LabaRugi",INDEX(I_COA!$D$6:$D$265,MATCH(D3227,I_COA!$A$6:$A$265,0)),"")</f>
        <v/>
      </c>
      <c r="M3227" s="34" t="str">
        <f aca="false">IF(K3227="Neraca",INDEX(I_COA!$E$6:$E$265,MATCH(D3227,I_COA!$A$6:$A$265,0)),"")</f>
        <v/>
      </c>
      <c r="N3227" s="34" t="str">
        <f aca="false">IF(D3227="","",IFERROR(INDEX(I_COA!$G$6:$G$265,MATCH(D3227,I_COA!$A$6:$A$265,0)),"N"))</f>
        <v/>
      </c>
      <c r="O3227" s="11" t="str">
        <f aca="false">IF(N3227="N",ABS(J3227),"")</f>
        <v/>
      </c>
      <c r="P3227" s="18" t="str">
        <f aca="false">IF(N3227="N",B3227&amp;"|"&amp;ROUND(O3227,0),"")</f>
        <v/>
      </c>
      <c r="Q3227" s="18" t="str">
        <f aca="false">IF(N3227&lt;&gt;"Y","",IFERROR(INDEX($D$6:$D$4005,MATCH(B3227&amp;"|"&amp;ROUND(_xlfn.MAXIFS($O$6:$O$4005,$B$6:$B$4005,B3227,$N$6:$N$4005,"N"),0),$P$6:$P$4005,0)),"(tanpa lawan)"))</f>
        <v/>
      </c>
      <c r="R3227" s="44"/>
      <c r="S3227" s="9" t="str">
        <f aca="false">IF(N3227&lt;&gt;"Y","",IF(R3227&lt;&gt;"",R3227,IF(Q3227="(tanpa lawan)","Transfer antar rekening",IFERROR(INDEX(I_COA!$F$6:$F$265,MATCH(Q3227,I_COA!$A$6:$A$265,0)),"?"))))</f>
        <v/>
      </c>
    </row>
    <row r="3228" customFormat="false" ht="15" hidden="false" customHeight="false" outlineLevel="0" collapsed="false">
      <c r="A3228" s="37"/>
      <c r="B3228" s="44"/>
      <c r="C3228" s="44"/>
      <c r="D3228" s="44"/>
      <c r="E3228" s="44"/>
      <c r="F3228" s="44"/>
      <c r="G3228" s="42"/>
      <c r="H3228" s="42"/>
      <c r="I3228" s="44"/>
      <c r="J3228" s="11" t="str">
        <f aca="false">IF(D3228="","",N(G3228)-N(H3228))</f>
        <v/>
      </c>
      <c r="K3228" s="34" t="str">
        <f aca="false">IF(D3228="","",IFERROR(INDEX(I_COA!$C$6:$C$265,MATCH(D3228,I_COA!$A$6:$A$265,0)),"AKUN BARU"))</f>
        <v/>
      </c>
      <c r="L3228" s="34" t="str">
        <f aca="false">IF(K3228="LabaRugi",INDEX(I_COA!$D$6:$D$265,MATCH(D3228,I_COA!$A$6:$A$265,0)),"")</f>
        <v/>
      </c>
      <c r="M3228" s="34" t="str">
        <f aca="false">IF(K3228="Neraca",INDEX(I_COA!$E$6:$E$265,MATCH(D3228,I_COA!$A$6:$A$265,0)),"")</f>
        <v/>
      </c>
      <c r="N3228" s="34" t="str">
        <f aca="false">IF(D3228="","",IFERROR(INDEX(I_COA!$G$6:$G$265,MATCH(D3228,I_COA!$A$6:$A$265,0)),"N"))</f>
        <v/>
      </c>
      <c r="O3228" s="11" t="str">
        <f aca="false">IF(N3228="N",ABS(J3228),"")</f>
        <v/>
      </c>
      <c r="P3228" s="18" t="str">
        <f aca="false">IF(N3228="N",B3228&amp;"|"&amp;ROUND(O3228,0),"")</f>
        <v/>
      </c>
      <c r="Q3228" s="18" t="str">
        <f aca="false">IF(N3228&lt;&gt;"Y","",IFERROR(INDEX($D$6:$D$4005,MATCH(B3228&amp;"|"&amp;ROUND(_xlfn.MAXIFS($O$6:$O$4005,$B$6:$B$4005,B3228,$N$6:$N$4005,"N"),0),$P$6:$P$4005,0)),"(tanpa lawan)"))</f>
        <v/>
      </c>
      <c r="R3228" s="44"/>
      <c r="S3228" s="9" t="str">
        <f aca="false">IF(N3228&lt;&gt;"Y","",IF(R3228&lt;&gt;"",R3228,IF(Q3228="(tanpa lawan)","Transfer antar rekening",IFERROR(INDEX(I_COA!$F$6:$F$265,MATCH(Q3228,I_COA!$A$6:$A$265,0)),"?"))))</f>
        <v/>
      </c>
    </row>
    <row r="3229" customFormat="false" ht="15" hidden="false" customHeight="false" outlineLevel="0" collapsed="false">
      <c r="A3229" s="37"/>
      <c r="B3229" s="44"/>
      <c r="C3229" s="44"/>
      <c r="D3229" s="44"/>
      <c r="E3229" s="44"/>
      <c r="F3229" s="44"/>
      <c r="G3229" s="42"/>
      <c r="H3229" s="42"/>
      <c r="I3229" s="44"/>
      <c r="J3229" s="11" t="str">
        <f aca="false">IF(D3229="","",N(G3229)-N(H3229))</f>
        <v/>
      </c>
      <c r="K3229" s="34" t="str">
        <f aca="false">IF(D3229="","",IFERROR(INDEX(I_COA!$C$6:$C$265,MATCH(D3229,I_COA!$A$6:$A$265,0)),"AKUN BARU"))</f>
        <v/>
      </c>
      <c r="L3229" s="34" t="str">
        <f aca="false">IF(K3229="LabaRugi",INDEX(I_COA!$D$6:$D$265,MATCH(D3229,I_COA!$A$6:$A$265,0)),"")</f>
        <v/>
      </c>
      <c r="M3229" s="34" t="str">
        <f aca="false">IF(K3229="Neraca",INDEX(I_COA!$E$6:$E$265,MATCH(D3229,I_COA!$A$6:$A$265,0)),"")</f>
        <v/>
      </c>
      <c r="N3229" s="34" t="str">
        <f aca="false">IF(D3229="","",IFERROR(INDEX(I_COA!$G$6:$G$265,MATCH(D3229,I_COA!$A$6:$A$265,0)),"N"))</f>
        <v/>
      </c>
      <c r="O3229" s="11" t="str">
        <f aca="false">IF(N3229="N",ABS(J3229),"")</f>
        <v/>
      </c>
      <c r="P3229" s="18" t="str">
        <f aca="false">IF(N3229="N",B3229&amp;"|"&amp;ROUND(O3229,0),"")</f>
        <v/>
      </c>
      <c r="Q3229" s="18" t="str">
        <f aca="false">IF(N3229&lt;&gt;"Y","",IFERROR(INDEX($D$6:$D$4005,MATCH(B3229&amp;"|"&amp;ROUND(_xlfn.MAXIFS($O$6:$O$4005,$B$6:$B$4005,B3229,$N$6:$N$4005,"N"),0),$P$6:$P$4005,0)),"(tanpa lawan)"))</f>
        <v/>
      </c>
      <c r="R3229" s="44"/>
      <c r="S3229" s="9" t="str">
        <f aca="false">IF(N3229&lt;&gt;"Y","",IF(R3229&lt;&gt;"",R3229,IF(Q3229="(tanpa lawan)","Transfer antar rekening",IFERROR(INDEX(I_COA!$F$6:$F$265,MATCH(Q3229,I_COA!$A$6:$A$265,0)),"?"))))</f>
        <v/>
      </c>
    </row>
    <row r="3230" customFormat="false" ht="15" hidden="false" customHeight="false" outlineLevel="0" collapsed="false">
      <c r="A3230" s="37"/>
      <c r="B3230" s="44"/>
      <c r="C3230" s="44"/>
      <c r="D3230" s="44"/>
      <c r="E3230" s="44"/>
      <c r="F3230" s="44"/>
      <c r="G3230" s="42"/>
      <c r="H3230" s="42"/>
      <c r="I3230" s="44"/>
      <c r="J3230" s="11" t="str">
        <f aca="false">IF(D3230="","",N(G3230)-N(H3230))</f>
        <v/>
      </c>
      <c r="K3230" s="34" t="str">
        <f aca="false">IF(D3230="","",IFERROR(INDEX(I_COA!$C$6:$C$265,MATCH(D3230,I_COA!$A$6:$A$265,0)),"AKUN BARU"))</f>
        <v/>
      </c>
      <c r="L3230" s="34" t="str">
        <f aca="false">IF(K3230="LabaRugi",INDEX(I_COA!$D$6:$D$265,MATCH(D3230,I_COA!$A$6:$A$265,0)),"")</f>
        <v/>
      </c>
      <c r="M3230" s="34" t="str">
        <f aca="false">IF(K3230="Neraca",INDEX(I_COA!$E$6:$E$265,MATCH(D3230,I_COA!$A$6:$A$265,0)),"")</f>
        <v/>
      </c>
      <c r="N3230" s="34" t="str">
        <f aca="false">IF(D3230="","",IFERROR(INDEX(I_COA!$G$6:$G$265,MATCH(D3230,I_COA!$A$6:$A$265,0)),"N"))</f>
        <v/>
      </c>
      <c r="O3230" s="11" t="str">
        <f aca="false">IF(N3230="N",ABS(J3230),"")</f>
        <v/>
      </c>
      <c r="P3230" s="18" t="str">
        <f aca="false">IF(N3230="N",B3230&amp;"|"&amp;ROUND(O3230,0),"")</f>
        <v/>
      </c>
      <c r="Q3230" s="18" t="str">
        <f aca="false">IF(N3230&lt;&gt;"Y","",IFERROR(INDEX($D$6:$D$4005,MATCH(B3230&amp;"|"&amp;ROUND(_xlfn.MAXIFS($O$6:$O$4005,$B$6:$B$4005,B3230,$N$6:$N$4005,"N"),0),$P$6:$P$4005,0)),"(tanpa lawan)"))</f>
        <v/>
      </c>
      <c r="R3230" s="44"/>
      <c r="S3230" s="9" t="str">
        <f aca="false">IF(N3230&lt;&gt;"Y","",IF(R3230&lt;&gt;"",R3230,IF(Q3230="(tanpa lawan)","Transfer antar rekening",IFERROR(INDEX(I_COA!$F$6:$F$265,MATCH(Q3230,I_COA!$A$6:$A$265,0)),"?"))))</f>
        <v/>
      </c>
    </row>
    <row r="3231" customFormat="false" ht="15" hidden="false" customHeight="false" outlineLevel="0" collapsed="false">
      <c r="A3231" s="37"/>
      <c r="B3231" s="44"/>
      <c r="C3231" s="44"/>
      <c r="D3231" s="44"/>
      <c r="E3231" s="44"/>
      <c r="F3231" s="44"/>
      <c r="G3231" s="42"/>
      <c r="H3231" s="42"/>
      <c r="I3231" s="44"/>
      <c r="J3231" s="11" t="str">
        <f aca="false">IF(D3231="","",N(G3231)-N(H3231))</f>
        <v/>
      </c>
      <c r="K3231" s="34" t="str">
        <f aca="false">IF(D3231="","",IFERROR(INDEX(I_COA!$C$6:$C$265,MATCH(D3231,I_COA!$A$6:$A$265,0)),"AKUN BARU"))</f>
        <v/>
      </c>
      <c r="L3231" s="34" t="str">
        <f aca="false">IF(K3231="LabaRugi",INDEX(I_COA!$D$6:$D$265,MATCH(D3231,I_COA!$A$6:$A$265,0)),"")</f>
        <v/>
      </c>
      <c r="M3231" s="34" t="str">
        <f aca="false">IF(K3231="Neraca",INDEX(I_COA!$E$6:$E$265,MATCH(D3231,I_COA!$A$6:$A$265,0)),"")</f>
        <v/>
      </c>
      <c r="N3231" s="34" t="str">
        <f aca="false">IF(D3231="","",IFERROR(INDEX(I_COA!$G$6:$G$265,MATCH(D3231,I_COA!$A$6:$A$265,0)),"N"))</f>
        <v/>
      </c>
      <c r="O3231" s="11" t="str">
        <f aca="false">IF(N3231="N",ABS(J3231),"")</f>
        <v/>
      </c>
      <c r="P3231" s="18" t="str">
        <f aca="false">IF(N3231="N",B3231&amp;"|"&amp;ROUND(O3231,0),"")</f>
        <v/>
      </c>
      <c r="Q3231" s="18" t="str">
        <f aca="false">IF(N3231&lt;&gt;"Y","",IFERROR(INDEX($D$6:$D$4005,MATCH(B3231&amp;"|"&amp;ROUND(_xlfn.MAXIFS($O$6:$O$4005,$B$6:$B$4005,B3231,$N$6:$N$4005,"N"),0),$P$6:$P$4005,0)),"(tanpa lawan)"))</f>
        <v/>
      </c>
      <c r="R3231" s="44"/>
      <c r="S3231" s="9" t="str">
        <f aca="false">IF(N3231&lt;&gt;"Y","",IF(R3231&lt;&gt;"",R3231,IF(Q3231="(tanpa lawan)","Transfer antar rekening",IFERROR(INDEX(I_COA!$F$6:$F$265,MATCH(Q3231,I_COA!$A$6:$A$265,0)),"?"))))</f>
        <v/>
      </c>
    </row>
    <row r="3232" customFormat="false" ht="15" hidden="false" customHeight="false" outlineLevel="0" collapsed="false">
      <c r="A3232" s="37"/>
      <c r="B3232" s="44"/>
      <c r="C3232" s="44"/>
      <c r="D3232" s="44"/>
      <c r="E3232" s="44"/>
      <c r="F3232" s="44"/>
      <c r="G3232" s="42"/>
      <c r="H3232" s="42"/>
      <c r="I3232" s="44"/>
      <c r="J3232" s="11" t="str">
        <f aca="false">IF(D3232="","",N(G3232)-N(H3232))</f>
        <v/>
      </c>
      <c r="K3232" s="34" t="str">
        <f aca="false">IF(D3232="","",IFERROR(INDEX(I_COA!$C$6:$C$265,MATCH(D3232,I_COA!$A$6:$A$265,0)),"AKUN BARU"))</f>
        <v/>
      </c>
      <c r="L3232" s="34" t="str">
        <f aca="false">IF(K3232="LabaRugi",INDEX(I_COA!$D$6:$D$265,MATCH(D3232,I_COA!$A$6:$A$265,0)),"")</f>
        <v/>
      </c>
      <c r="M3232" s="34" t="str">
        <f aca="false">IF(K3232="Neraca",INDEX(I_COA!$E$6:$E$265,MATCH(D3232,I_COA!$A$6:$A$265,0)),"")</f>
        <v/>
      </c>
      <c r="N3232" s="34" t="str">
        <f aca="false">IF(D3232="","",IFERROR(INDEX(I_COA!$G$6:$G$265,MATCH(D3232,I_COA!$A$6:$A$265,0)),"N"))</f>
        <v/>
      </c>
      <c r="O3232" s="11" t="str">
        <f aca="false">IF(N3232="N",ABS(J3232),"")</f>
        <v/>
      </c>
      <c r="P3232" s="18" t="str">
        <f aca="false">IF(N3232="N",B3232&amp;"|"&amp;ROUND(O3232,0),"")</f>
        <v/>
      </c>
      <c r="Q3232" s="18" t="str">
        <f aca="false">IF(N3232&lt;&gt;"Y","",IFERROR(INDEX($D$6:$D$4005,MATCH(B3232&amp;"|"&amp;ROUND(_xlfn.MAXIFS($O$6:$O$4005,$B$6:$B$4005,B3232,$N$6:$N$4005,"N"),0),$P$6:$P$4005,0)),"(tanpa lawan)"))</f>
        <v/>
      </c>
      <c r="R3232" s="44"/>
      <c r="S3232" s="9" t="str">
        <f aca="false">IF(N3232&lt;&gt;"Y","",IF(R3232&lt;&gt;"",R3232,IF(Q3232="(tanpa lawan)","Transfer antar rekening",IFERROR(INDEX(I_COA!$F$6:$F$265,MATCH(Q3232,I_COA!$A$6:$A$265,0)),"?"))))</f>
        <v/>
      </c>
    </row>
    <row r="3233" customFormat="false" ht="15" hidden="false" customHeight="false" outlineLevel="0" collapsed="false">
      <c r="A3233" s="37"/>
      <c r="B3233" s="44"/>
      <c r="C3233" s="44"/>
      <c r="D3233" s="44"/>
      <c r="E3233" s="44"/>
      <c r="F3233" s="44"/>
      <c r="G3233" s="42"/>
      <c r="H3233" s="42"/>
      <c r="I3233" s="44"/>
      <c r="J3233" s="11" t="str">
        <f aca="false">IF(D3233="","",N(G3233)-N(H3233))</f>
        <v/>
      </c>
      <c r="K3233" s="34" t="str">
        <f aca="false">IF(D3233="","",IFERROR(INDEX(I_COA!$C$6:$C$265,MATCH(D3233,I_COA!$A$6:$A$265,0)),"AKUN BARU"))</f>
        <v/>
      </c>
      <c r="L3233" s="34" t="str">
        <f aca="false">IF(K3233="LabaRugi",INDEX(I_COA!$D$6:$D$265,MATCH(D3233,I_COA!$A$6:$A$265,0)),"")</f>
        <v/>
      </c>
      <c r="M3233" s="34" t="str">
        <f aca="false">IF(K3233="Neraca",INDEX(I_COA!$E$6:$E$265,MATCH(D3233,I_COA!$A$6:$A$265,0)),"")</f>
        <v/>
      </c>
      <c r="N3233" s="34" t="str">
        <f aca="false">IF(D3233="","",IFERROR(INDEX(I_COA!$G$6:$G$265,MATCH(D3233,I_COA!$A$6:$A$265,0)),"N"))</f>
        <v/>
      </c>
      <c r="O3233" s="11" t="str">
        <f aca="false">IF(N3233="N",ABS(J3233),"")</f>
        <v/>
      </c>
      <c r="P3233" s="18" t="str">
        <f aca="false">IF(N3233="N",B3233&amp;"|"&amp;ROUND(O3233,0),"")</f>
        <v/>
      </c>
      <c r="Q3233" s="18" t="str">
        <f aca="false">IF(N3233&lt;&gt;"Y","",IFERROR(INDEX($D$6:$D$4005,MATCH(B3233&amp;"|"&amp;ROUND(_xlfn.MAXIFS($O$6:$O$4005,$B$6:$B$4005,B3233,$N$6:$N$4005,"N"),0),$P$6:$P$4005,0)),"(tanpa lawan)"))</f>
        <v/>
      </c>
      <c r="R3233" s="44"/>
      <c r="S3233" s="9" t="str">
        <f aca="false">IF(N3233&lt;&gt;"Y","",IF(R3233&lt;&gt;"",R3233,IF(Q3233="(tanpa lawan)","Transfer antar rekening",IFERROR(INDEX(I_COA!$F$6:$F$265,MATCH(Q3233,I_COA!$A$6:$A$265,0)),"?"))))</f>
        <v/>
      </c>
    </row>
    <row r="3234" customFormat="false" ht="15" hidden="false" customHeight="false" outlineLevel="0" collapsed="false">
      <c r="A3234" s="37"/>
      <c r="B3234" s="44"/>
      <c r="C3234" s="44"/>
      <c r="D3234" s="44"/>
      <c r="E3234" s="44"/>
      <c r="F3234" s="44"/>
      <c r="G3234" s="42"/>
      <c r="H3234" s="42"/>
      <c r="I3234" s="44"/>
      <c r="J3234" s="11" t="str">
        <f aca="false">IF(D3234="","",N(G3234)-N(H3234))</f>
        <v/>
      </c>
      <c r="K3234" s="34" t="str">
        <f aca="false">IF(D3234="","",IFERROR(INDEX(I_COA!$C$6:$C$265,MATCH(D3234,I_COA!$A$6:$A$265,0)),"AKUN BARU"))</f>
        <v/>
      </c>
      <c r="L3234" s="34" t="str">
        <f aca="false">IF(K3234="LabaRugi",INDEX(I_COA!$D$6:$D$265,MATCH(D3234,I_COA!$A$6:$A$265,0)),"")</f>
        <v/>
      </c>
      <c r="M3234" s="34" t="str">
        <f aca="false">IF(K3234="Neraca",INDEX(I_COA!$E$6:$E$265,MATCH(D3234,I_COA!$A$6:$A$265,0)),"")</f>
        <v/>
      </c>
      <c r="N3234" s="34" t="str">
        <f aca="false">IF(D3234="","",IFERROR(INDEX(I_COA!$G$6:$G$265,MATCH(D3234,I_COA!$A$6:$A$265,0)),"N"))</f>
        <v/>
      </c>
      <c r="O3234" s="11" t="str">
        <f aca="false">IF(N3234="N",ABS(J3234),"")</f>
        <v/>
      </c>
      <c r="P3234" s="18" t="str">
        <f aca="false">IF(N3234="N",B3234&amp;"|"&amp;ROUND(O3234,0),"")</f>
        <v/>
      </c>
      <c r="Q3234" s="18" t="str">
        <f aca="false">IF(N3234&lt;&gt;"Y","",IFERROR(INDEX($D$6:$D$4005,MATCH(B3234&amp;"|"&amp;ROUND(_xlfn.MAXIFS($O$6:$O$4005,$B$6:$B$4005,B3234,$N$6:$N$4005,"N"),0),$P$6:$P$4005,0)),"(tanpa lawan)"))</f>
        <v/>
      </c>
      <c r="R3234" s="44"/>
      <c r="S3234" s="9" t="str">
        <f aca="false">IF(N3234&lt;&gt;"Y","",IF(R3234&lt;&gt;"",R3234,IF(Q3234="(tanpa lawan)","Transfer antar rekening",IFERROR(INDEX(I_COA!$F$6:$F$265,MATCH(Q3234,I_COA!$A$6:$A$265,0)),"?"))))</f>
        <v/>
      </c>
    </row>
    <row r="3235" customFormat="false" ht="15" hidden="false" customHeight="false" outlineLevel="0" collapsed="false">
      <c r="A3235" s="37"/>
      <c r="B3235" s="44"/>
      <c r="C3235" s="44"/>
      <c r="D3235" s="44"/>
      <c r="E3235" s="44"/>
      <c r="F3235" s="44"/>
      <c r="G3235" s="42"/>
      <c r="H3235" s="42"/>
      <c r="I3235" s="44"/>
      <c r="J3235" s="11" t="str">
        <f aca="false">IF(D3235="","",N(G3235)-N(H3235))</f>
        <v/>
      </c>
      <c r="K3235" s="34" t="str">
        <f aca="false">IF(D3235="","",IFERROR(INDEX(I_COA!$C$6:$C$265,MATCH(D3235,I_COA!$A$6:$A$265,0)),"AKUN BARU"))</f>
        <v/>
      </c>
      <c r="L3235" s="34" t="str">
        <f aca="false">IF(K3235="LabaRugi",INDEX(I_COA!$D$6:$D$265,MATCH(D3235,I_COA!$A$6:$A$265,0)),"")</f>
        <v/>
      </c>
      <c r="M3235" s="34" t="str">
        <f aca="false">IF(K3235="Neraca",INDEX(I_COA!$E$6:$E$265,MATCH(D3235,I_COA!$A$6:$A$265,0)),"")</f>
        <v/>
      </c>
      <c r="N3235" s="34" t="str">
        <f aca="false">IF(D3235="","",IFERROR(INDEX(I_COA!$G$6:$G$265,MATCH(D3235,I_COA!$A$6:$A$265,0)),"N"))</f>
        <v/>
      </c>
      <c r="O3235" s="11" t="str">
        <f aca="false">IF(N3235="N",ABS(J3235),"")</f>
        <v/>
      </c>
      <c r="P3235" s="18" t="str">
        <f aca="false">IF(N3235="N",B3235&amp;"|"&amp;ROUND(O3235,0),"")</f>
        <v/>
      </c>
      <c r="Q3235" s="18" t="str">
        <f aca="false">IF(N3235&lt;&gt;"Y","",IFERROR(INDEX($D$6:$D$4005,MATCH(B3235&amp;"|"&amp;ROUND(_xlfn.MAXIFS($O$6:$O$4005,$B$6:$B$4005,B3235,$N$6:$N$4005,"N"),0),$P$6:$P$4005,0)),"(tanpa lawan)"))</f>
        <v/>
      </c>
      <c r="R3235" s="44"/>
      <c r="S3235" s="9" t="str">
        <f aca="false">IF(N3235&lt;&gt;"Y","",IF(R3235&lt;&gt;"",R3235,IF(Q3235="(tanpa lawan)","Transfer antar rekening",IFERROR(INDEX(I_COA!$F$6:$F$265,MATCH(Q3235,I_COA!$A$6:$A$265,0)),"?"))))</f>
        <v/>
      </c>
    </row>
    <row r="3236" customFormat="false" ht="15" hidden="false" customHeight="false" outlineLevel="0" collapsed="false">
      <c r="A3236" s="37"/>
      <c r="B3236" s="44"/>
      <c r="C3236" s="44"/>
      <c r="D3236" s="44"/>
      <c r="E3236" s="44"/>
      <c r="F3236" s="44"/>
      <c r="G3236" s="42"/>
      <c r="H3236" s="42"/>
      <c r="I3236" s="44"/>
      <c r="J3236" s="11" t="str">
        <f aca="false">IF(D3236="","",N(G3236)-N(H3236))</f>
        <v/>
      </c>
      <c r="K3236" s="34" t="str">
        <f aca="false">IF(D3236="","",IFERROR(INDEX(I_COA!$C$6:$C$265,MATCH(D3236,I_COA!$A$6:$A$265,0)),"AKUN BARU"))</f>
        <v/>
      </c>
      <c r="L3236" s="34" t="str">
        <f aca="false">IF(K3236="LabaRugi",INDEX(I_COA!$D$6:$D$265,MATCH(D3236,I_COA!$A$6:$A$265,0)),"")</f>
        <v/>
      </c>
      <c r="M3236" s="34" t="str">
        <f aca="false">IF(K3236="Neraca",INDEX(I_COA!$E$6:$E$265,MATCH(D3236,I_COA!$A$6:$A$265,0)),"")</f>
        <v/>
      </c>
      <c r="N3236" s="34" t="str">
        <f aca="false">IF(D3236="","",IFERROR(INDEX(I_COA!$G$6:$G$265,MATCH(D3236,I_COA!$A$6:$A$265,0)),"N"))</f>
        <v/>
      </c>
      <c r="O3236" s="11" t="str">
        <f aca="false">IF(N3236="N",ABS(J3236),"")</f>
        <v/>
      </c>
      <c r="P3236" s="18" t="str">
        <f aca="false">IF(N3236="N",B3236&amp;"|"&amp;ROUND(O3236,0),"")</f>
        <v/>
      </c>
      <c r="Q3236" s="18" t="str">
        <f aca="false">IF(N3236&lt;&gt;"Y","",IFERROR(INDEX($D$6:$D$4005,MATCH(B3236&amp;"|"&amp;ROUND(_xlfn.MAXIFS($O$6:$O$4005,$B$6:$B$4005,B3236,$N$6:$N$4005,"N"),0),$P$6:$P$4005,0)),"(tanpa lawan)"))</f>
        <v/>
      </c>
      <c r="R3236" s="44"/>
      <c r="S3236" s="9" t="str">
        <f aca="false">IF(N3236&lt;&gt;"Y","",IF(R3236&lt;&gt;"",R3236,IF(Q3236="(tanpa lawan)","Transfer antar rekening",IFERROR(INDEX(I_COA!$F$6:$F$265,MATCH(Q3236,I_COA!$A$6:$A$265,0)),"?"))))</f>
        <v/>
      </c>
    </row>
    <row r="3237" customFormat="false" ht="15" hidden="false" customHeight="false" outlineLevel="0" collapsed="false">
      <c r="A3237" s="37"/>
      <c r="B3237" s="44"/>
      <c r="C3237" s="44"/>
      <c r="D3237" s="44"/>
      <c r="E3237" s="44"/>
      <c r="F3237" s="44"/>
      <c r="G3237" s="42"/>
      <c r="H3237" s="42"/>
      <c r="I3237" s="44"/>
      <c r="J3237" s="11" t="str">
        <f aca="false">IF(D3237="","",N(G3237)-N(H3237))</f>
        <v/>
      </c>
      <c r="K3237" s="34" t="str">
        <f aca="false">IF(D3237="","",IFERROR(INDEX(I_COA!$C$6:$C$265,MATCH(D3237,I_COA!$A$6:$A$265,0)),"AKUN BARU"))</f>
        <v/>
      </c>
      <c r="L3237" s="34" t="str">
        <f aca="false">IF(K3237="LabaRugi",INDEX(I_COA!$D$6:$D$265,MATCH(D3237,I_COA!$A$6:$A$265,0)),"")</f>
        <v/>
      </c>
      <c r="M3237" s="34" t="str">
        <f aca="false">IF(K3237="Neraca",INDEX(I_COA!$E$6:$E$265,MATCH(D3237,I_COA!$A$6:$A$265,0)),"")</f>
        <v/>
      </c>
      <c r="N3237" s="34" t="str">
        <f aca="false">IF(D3237="","",IFERROR(INDEX(I_COA!$G$6:$G$265,MATCH(D3237,I_COA!$A$6:$A$265,0)),"N"))</f>
        <v/>
      </c>
      <c r="O3237" s="11" t="str">
        <f aca="false">IF(N3237="N",ABS(J3237),"")</f>
        <v/>
      </c>
      <c r="P3237" s="18" t="str">
        <f aca="false">IF(N3237="N",B3237&amp;"|"&amp;ROUND(O3237,0),"")</f>
        <v/>
      </c>
      <c r="Q3237" s="18" t="str">
        <f aca="false">IF(N3237&lt;&gt;"Y","",IFERROR(INDEX($D$6:$D$4005,MATCH(B3237&amp;"|"&amp;ROUND(_xlfn.MAXIFS($O$6:$O$4005,$B$6:$B$4005,B3237,$N$6:$N$4005,"N"),0),$P$6:$P$4005,0)),"(tanpa lawan)"))</f>
        <v/>
      </c>
      <c r="R3237" s="44"/>
      <c r="S3237" s="9" t="str">
        <f aca="false">IF(N3237&lt;&gt;"Y","",IF(R3237&lt;&gt;"",R3237,IF(Q3237="(tanpa lawan)","Transfer antar rekening",IFERROR(INDEX(I_COA!$F$6:$F$265,MATCH(Q3237,I_COA!$A$6:$A$265,0)),"?"))))</f>
        <v/>
      </c>
    </row>
    <row r="3238" customFormat="false" ht="15" hidden="false" customHeight="false" outlineLevel="0" collapsed="false">
      <c r="A3238" s="37"/>
      <c r="B3238" s="44"/>
      <c r="C3238" s="44"/>
      <c r="D3238" s="44"/>
      <c r="E3238" s="44"/>
      <c r="F3238" s="44"/>
      <c r="G3238" s="42"/>
      <c r="H3238" s="42"/>
      <c r="I3238" s="44"/>
      <c r="J3238" s="11" t="str">
        <f aca="false">IF(D3238="","",N(G3238)-N(H3238))</f>
        <v/>
      </c>
      <c r="K3238" s="34" t="str">
        <f aca="false">IF(D3238="","",IFERROR(INDEX(I_COA!$C$6:$C$265,MATCH(D3238,I_COA!$A$6:$A$265,0)),"AKUN BARU"))</f>
        <v/>
      </c>
      <c r="L3238" s="34" t="str">
        <f aca="false">IF(K3238="LabaRugi",INDEX(I_COA!$D$6:$D$265,MATCH(D3238,I_COA!$A$6:$A$265,0)),"")</f>
        <v/>
      </c>
      <c r="M3238" s="34" t="str">
        <f aca="false">IF(K3238="Neraca",INDEX(I_COA!$E$6:$E$265,MATCH(D3238,I_COA!$A$6:$A$265,0)),"")</f>
        <v/>
      </c>
      <c r="N3238" s="34" t="str">
        <f aca="false">IF(D3238="","",IFERROR(INDEX(I_COA!$G$6:$G$265,MATCH(D3238,I_COA!$A$6:$A$265,0)),"N"))</f>
        <v/>
      </c>
      <c r="O3238" s="11" t="str">
        <f aca="false">IF(N3238="N",ABS(J3238),"")</f>
        <v/>
      </c>
      <c r="P3238" s="18" t="str">
        <f aca="false">IF(N3238="N",B3238&amp;"|"&amp;ROUND(O3238,0),"")</f>
        <v/>
      </c>
      <c r="Q3238" s="18" t="str">
        <f aca="false">IF(N3238&lt;&gt;"Y","",IFERROR(INDEX($D$6:$D$4005,MATCH(B3238&amp;"|"&amp;ROUND(_xlfn.MAXIFS($O$6:$O$4005,$B$6:$B$4005,B3238,$N$6:$N$4005,"N"),0),$P$6:$P$4005,0)),"(tanpa lawan)"))</f>
        <v/>
      </c>
      <c r="R3238" s="44"/>
      <c r="S3238" s="9" t="str">
        <f aca="false">IF(N3238&lt;&gt;"Y","",IF(R3238&lt;&gt;"",R3238,IF(Q3238="(tanpa lawan)","Transfer antar rekening",IFERROR(INDEX(I_COA!$F$6:$F$265,MATCH(Q3238,I_COA!$A$6:$A$265,0)),"?"))))</f>
        <v/>
      </c>
    </row>
    <row r="3239" customFormat="false" ht="15" hidden="false" customHeight="false" outlineLevel="0" collapsed="false">
      <c r="A3239" s="37"/>
      <c r="B3239" s="44"/>
      <c r="C3239" s="44"/>
      <c r="D3239" s="44"/>
      <c r="E3239" s="44"/>
      <c r="F3239" s="44"/>
      <c r="G3239" s="42"/>
      <c r="H3239" s="42"/>
      <c r="I3239" s="44"/>
      <c r="J3239" s="11" t="str">
        <f aca="false">IF(D3239="","",N(G3239)-N(H3239))</f>
        <v/>
      </c>
      <c r="K3239" s="34" t="str">
        <f aca="false">IF(D3239="","",IFERROR(INDEX(I_COA!$C$6:$C$265,MATCH(D3239,I_COA!$A$6:$A$265,0)),"AKUN BARU"))</f>
        <v/>
      </c>
      <c r="L3239" s="34" t="str">
        <f aca="false">IF(K3239="LabaRugi",INDEX(I_COA!$D$6:$D$265,MATCH(D3239,I_COA!$A$6:$A$265,0)),"")</f>
        <v/>
      </c>
      <c r="M3239" s="34" t="str">
        <f aca="false">IF(K3239="Neraca",INDEX(I_COA!$E$6:$E$265,MATCH(D3239,I_COA!$A$6:$A$265,0)),"")</f>
        <v/>
      </c>
      <c r="N3239" s="34" t="str">
        <f aca="false">IF(D3239="","",IFERROR(INDEX(I_COA!$G$6:$G$265,MATCH(D3239,I_COA!$A$6:$A$265,0)),"N"))</f>
        <v/>
      </c>
      <c r="O3239" s="11" t="str">
        <f aca="false">IF(N3239="N",ABS(J3239),"")</f>
        <v/>
      </c>
      <c r="P3239" s="18" t="str">
        <f aca="false">IF(N3239="N",B3239&amp;"|"&amp;ROUND(O3239,0),"")</f>
        <v/>
      </c>
      <c r="Q3239" s="18" t="str">
        <f aca="false">IF(N3239&lt;&gt;"Y","",IFERROR(INDEX($D$6:$D$4005,MATCH(B3239&amp;"|"&amp;ROUND(_xlfn.MAXIFS($O$6:$O$4005,$B$6:$B$4005,B3239,$N$6:$N$4005,"N"),0),$P$6:$P$4005,0)),"(tanpa lawan)"))</f>
        <v/>
      </c>
      <c r="R3239" s="44"/>
      <c r="S3239" s="9" t="str">
        <f aca="false">IF(N3239&lt;&gt;"Y","",IF(R3239&lt;&gt;"",R3239,IF(Q3239="(tanpa lawan)","Transfer antar rekening",IFERROR(INDEX(I_COA!$F$6:$F$265,MATCH(Q3239,I_COA!$A$6:$A$265,0)),"?"))))</f>
        <v/>
      </c>
    </row>
    <row r="3240" customFormat="false" ht="15" hidden="false" customHeight="false" outlineLevel="0" collapsed="false">
      <c r="A3240" s="37"/>
      <c r="B3240" s="44"/>
      <c r="C3240" s="44"/>
      <c r="D3240" s="44"/>
      <c r="E3240" s="44"/>
      <c r="F3240" s="44"/>
      <c r="G3240" s="42"/>
      <c r="H3240" s="42"/>
      <c r="I3240" s="44"/>
      <c r="J3240" s="11" t="str">
        <f aca="false">IF(D3240="","",N(G3240)-N(H3240))</f>
        <v/>
      </c>
      <c r="K3240" s="34" t="str">
        <f aca="false">IF(D3240="","",IFERROR(INDEX(I_COA!$C$6:$C$265,MATCH(D3240,I_COA!$A$6:$A$265,0)),"AKUN BARU"))</f>
        <v/>
      </c>
      <c r="L3240" s="34" t="str">
        <f aca="false">IF(K3240="LabaRugi",INDEX(I_COA!$D$6:$D$265,MATCH(D3240,I_COA!$A$6:$A$265,0)),"")</f>
        <v/>
      </c>
      <c r="M3240" s="34" t="str">
        <f aca="false">IF(K3240="Neraca",INDEX(I_COA!$E$6:$E$265,MATCH(D3240,I_COA!$A$6:$A$265,0)),"")</f>
        <v/>
      </c>
      <c r="N3240" s="34" t="str">
        <f aca="false">IF(D3240="","",IFERROR(INDEX(I_COA!$G$6:$G$265,MATCH(D3240,I_COA!$A$6:$A$265,0)),"N"))</f>
        <v/>
      </c>
      <c r="O3240" s="11" t="str">
        <f aca="false">IF(N3240="N",ABS(J3240),"")</f>
        <v/>
      </c>
      <c r="P3240" s="18" t="str">
        <f aca="false">IF(N3240="N",B3240&amp;"|"&amp;ROUND(O3240,0),"")</f>
        <v/>
      </c>
      <c r="Q3240" s="18" t="str">
        <f aca="false">IF(N3240&lt;&gt;"Y","",IFERROR(INDEX($D$6:$D$4005,MATCH(B3240&amp;"|"&amp;ROUND(_xlfn.MAXIFS($O$6:$O$4005,$B$6:$B$4005,B3240,$N$6:$N$4005,"N"),0),$P$6:$P$4005,0)),"(tanpa lawan)"))</f>
        <v/>
      </c>
      <c r="R3240" s="44"/>
      <c r="S3240" s="9" t="str">
        <f aca="false">IF(N3240&lt;&gt;"Y","",IF(R3240&lt;&gt;"",R3240,IF(Q3240="(tanpa lawan)","Transfer antar rekening",IFERROR(INDEX(I_COA!$F$6:$F$265,MATCH(Q3240,I_COA!$A$6:$A$265,0)),"?"))))</f>
        <v/>
      </c>
    </row>
    <row r="3241" customFormat="false" ht="15" hidden="false" customHeight="false" outlineLevel="0" collapsed="false">
      <c r="A3241" s="37"/>
      <c r="B3241" s="44"/>
      <c r="C3241" s="44"/>
      <c r="D3241" s="44"/>
      <c r="E3241" s="44"/>
      <c r="F3241" s="44"/>
      <c r="G3241" s="42"/>
      <c r="H3241" s="42"/>
      <c r="I3241" s="44"/>
      <c r="J3241" s="11" t="str">
        <f aca="false">IF(D3241="","",N(G3241)-N(H3241))</f>
        <v/>
      </c>
      <c r="K3241" s="34" t="str">
        <f aca="false">IF(D3241="","",IFERROR(INDEX(I_COA!$C$6:$C$265,MATCH(D3241,I_COA!$A$6:$A$265,0)),"AKUN BARU"))</f>
        <v/>
      </c>
      <c r="L3241" s="34" t="str">
        <f aca="false">IF(K3241="LabaRugi",INDEX(I_COA!$D$6:$D$265,MATCH(D3241,I_COA!$A$6:$A$265,0)),"")</f>
        <v/>
      </c>
      <c r="M3241" s="34" t="str">
        <f aca="false">IF(K3241="Neraca",INDEX(I_COA!$E$6:$E$265,MATCH(D3241,I_COA!$A$6:$A$265,0)),"")</f>
        <v/>
      </c>
      <c r="N3241" s="34" t="str">
        <f aca="false">IF(D3241="","",IFERROR(INDEX(I_COA!$G$6:$G$265,MATCH(D3241,I_COA!$A$6:$A$265,0)),"N"))</f>
        <v/>
      </c>
      <c r="O3241" s="11" t="str">
        <f aca="false">IF(N3241="N",ABS(J3241),"")</f>
        <v/>
      </c>
      <c r="P3241" s="18" t="str">
        <f aca="false">IF(N3241="N",B3241&amp;"|"&amp;ROUND(O3241,0),"")</f>
        <v/>
      </c>
      <c r="Q3241" s="18" t="str">
        <f aca="false">IF(N3241&lt;&gt;"Y","",IFERROR(INDEX($D$6:$D$4005,MATCH(B3241&amp;"|"&amp;ROUND(_xlfn.MAXIFS($O$6:$O$4005,$B$6:$B$4005,B3241,$N$6:$N$4005,"N"),0),$P$6:$P$4005,0)),"(tanpa lawan)"))</f>
        <v/>
      </c>
      <c r="R3241" s="44"/>
      <c r="S3241" s="9" t="str">
        <f aca="false">IF(N3241&lt;&gt;"Y","",IF(R3241&lt;&gt;"",R3241,IF(Q3241="(tanpa lawan)","Transfer antar rekening",IFERROR(INDEX(I_COA!$F$6:$F$265,MATCH(Q3241,I_COA!$A$6:$A$265,0)),"?"))))</f>
        <v/>
      </c>
    </row>
    <row r="3242" customFormat="false" ht="15" hidden="false" customHeight="false" outlineLevel="0" collapsed="false">
      <c r="A3242" s="37"/>
      <c r="B3242" s="44"/>
      <c r="C3242" s="44"/>
      <c r="D3242" s="44"/>
      <c r="E3242" s="44"/>
      <c r="F3242" s="44"/>
      <c r="G3242" s="42"/>
      <c r="H3242" s="42"/>
      <c r="I3242" s="44"/>
      <c r="J3242" s="11" t="str">
        <f aca="false">IF(D3242="","",N(G3242)-N(H3242))</f>
        <v/>
      </c>
      <c r="K3242" s="34" t="str">
        <f aca="false">IF(D3242="","",IFERROR(INDEX(I_COA!$C$6:$C$265,MATCH(D3242,I_COA!$A$6:$A$265,0)),"AKUN BARU"))</f>
        <v/>
      </c>
      <c r="L3242" s="34" t="str">
        <f aca="false">IF(K3242="LabaRugi",INDEX(I_COA!$D$6:$D$265,MATCH(D3242,I_COA!$A$6:$A$265,0)),"")</f>
        <v/>
      </c>
      <c r="M3242" s="34" t="str">
        <f aca="false">IF(K3242="Neraca",INDEX(I_COA!$E$6:$E$265,MATCH(D3242,I_COA!$A$6:$A$265,0)),"")</f>
        <v/>
      </c>
      <c r="N3242" s="34" t="str">
        <f aca="false">IF(D3242="","",IFERROR(INDEX(I_COA!$G$6:$G$265,MATCH(D3242,I_COA!$A$6:$A$265,0)),"N"))</f>
        <v/>
      </c>
      <c r="O3242" s="11" t="str">
        <f aca="false">IF(N3242="N",ABS(J3242),"")</f>
        <v/>
      </c>
      <c r="P3242" s="18" t="str">
        <f aca="false">IF(N3242="N",B3242&amp;"|"&amp;ROUND(O3242,0),"")</f>
        <v/>
      </c>
      <c r="Q3242" s="18" t="str">
        <f aca="false">IF(N3242&lt;&gt;"Y","",IFERROR(INDEX($D$6:$D$4005,MATCH(B3242&amp;"|"&amp;ROUND(_xlfn.MAXIFS($O$6:$O$4005,$B$6:$B$4005,B3242,$N$6:$N$4005,"N"),0),$P$6:$P$4005,0)),"(tanpa lawan)"))</f>
        <v/>
      </c>
      <c r="R3242" s="44"/>
      <c r="S3242" s="9" t="str">
        <f aca="false">IF(N3242&lt;&gt;"Y","",IF(R3242&lt;&gt;"",R3242,IF(Q3242="(tanpa lawan)","Transfer antar rekening",IFERROR(INDEX(I_COA!$F$6:$F$265,MATCH(Q3242,I_COA!$A$6:$A$265,0)),"?"))))</f>
        <v/>
      </c>
    </row>
    <row r="3243" customFormat="false" ht="15" hidden="false" customHeight="false" outlineLevel="0" collapsed="false">
      <c r="A3243" s="37"/>
      <c r="B3243" s="44"/>
      <c r="C3243" s="44"/>
      <c r="D3243" s="44"/>
      <c r="E3243" s="44"/>
      <c r="F3243" s="44"/>
      <c r="G3243" s="42"/>
      <c r="H3243" s="42"/>
      <c r="I3243" s="44"/>
      <c r="J3243" s="11" t="str">
        <f aca="false">IF(D3243="","",N(G3243)-N(H3243))</f>
        <v/>
      </c>
      <c r="K3243" s="34" t="str">
        <f aca="false">IF(D3243="","",IFERROR(INDEX(I_COA!$C$6:$C$265,MATCH(D3243,I_COA!$A$6:$A$265,0)),"AKUN BARU"))</f>
        <v/>
      </c>
      <c r="L3243" s="34" t="str">
        <f aca="false">IF(K3243="LabaRugi",INDEX(I_COA!$D$6:$D$265,MATCH(D3243,I_COA!$A$6:$A$265,0)),"")</f>
        <v/>
      </c>
      <c r="M3243" s="34" t="str">
        <f aca="false">IF(K3243="Neraca",INDEX(I_COA!$E$6:$E$265,MATCH(D3243,I_COA!$A$6:$A$265,0)),"")</f>
        <v/>
      </c>
      <c r="N3243" s="34" t="str">
        <f aca="false">IF(D3243="","",IFERROR(INDEX(I_COA!$G$6:$G$265,MATCH(D3243,I_COA!$A$6:$A$265,0)),"N"))</f>
        <v/>
      </c>
      <c r="O3243" s="11" t="str">
        <f aca="false">IF(N3243="N",ABS(J3243),"")</f>
        <v/>
      </c>
      <c r="P3243" s="18" t="str">
        <f aca="false">IF(N3243="N",B3243&amp;"|"&amp;ROUND(O3243,0),"")</f>
        <v/>
      </c>
      <c r="Q3243" s="18" t="str">
        <f aca="false">IF(N3243&lt;&gt;"Y","",IFERROR(INDEX($D$6:$D$4005,MATCH(B3243&amp;"|"&amp;ROUND(_xlfn.MAXIFS($O$6:$O$4005,$B$6:$B$4005,B3243,$N$6:$N$4005,"N"),0),$P$6:$P$4005,0)),"(tanpa lawan)"))</f>
        <v/>
      </c>
      <c r="R3243" s="44"/>
      <c r="S3243" s="9" t="str">
        <f aca="false">IF(N3243&lt;&gt;"Y","",IF(R3243&lt;&gt;"",R3243,IF(Q3243="(tanpa lawan)","Transfer antar rekening",IFERROR(INDEX(I_COA!$F$6:$F$265,MATCH(Q3243,I_COA!$A$6:$A$265,0)),"?"))))</f>
        <v/>
      </c>
    </row>
    <row r="3244" customFormat="false" ht="15" hidden="false" customHeight="false" outlineLevel="0" collapsed="false">
      <c r="A3244" s="37"/>
      <c r="B3244" s="44"/>
      <c r="C3244" s="44"/>
      <c r="D3244" s="44"/>
      <c r="E3244" s="44"/>
      <c r="F3244" s="44"/>
      <c r="G3244" s="42"/>
      <c r="H3244" s="42"/>
      <c r="I3244" s="44"/>
      <c r="J3244" s="11" t="str">
        <f aca="false">IF(D3244="","",N(G3244)-N(H3244))</f>
        <v/>
      </c>
      <c r="K3244" s="34" t="str">
        <f aca="false">IF(D3244="","",IFERROR(INDEX(I_COA!$C$6:$C$265,MATCH(D3244,I_COA!$A$6:$A$265,0)),"AKUN BARU"))</f>
        <v/>
      </c>
      <c r="L3244" s="34" t="str">
        <f aca="false">IF(K3244="LabaRugi",INDEX(I_COA!$D$6:$D$265,MATCH(D3244,I_COA!$A$6:$A$265,0)),"")</f>
        <v/>
      </c>
      <c r="M3244" s="34" t="str">
        <f aca="false">IF(K3244="Neraca",INDEX(I_COA!$E$6:$E$265,MATCH(D3244,I_COA!$A$6:$A$265,0)),"")</f>
        <v/>
      </c>
      <c r="N3244" s="34" t="str">
        <f aca="false">IF(D3244="","",IFERROR(INDEX(I_COA!$G$6:$G$265,MATCH(D3244,I_COA!$A$6:$A$265,0)),"N"))</f>
        <v/>
      </c>
      <c r="O3244" s="11" t="str">
        <f aca="false">IF(N3244="N",ABS(J3244),"")</f>
        <v/>
      </c>
      <c r="P3244" s="18" t="str">
        <f aca="false">IF(N3244="N",B3244&amp;"|"&amp;ROUND(O3244,0),"")</f>
        <v/>
      </c>
      <c r="Q3244" s="18" t="str">
        <f aca="false">IF(N3244&lt;&gt;"Y","",IFERROR(INDEX($D$6:$D$4005,MATCH(B3244&amp;"|"&amp;ROUND(_xlfn.MAXIFS($O$6:$O$4005,$B$6:$B$4005,B3244,$N$6:$N$4005,"N"),0),$P$6:$P$4005,0)),"(tanpa lawan)"))</f>
        <v/>
      </c>
      <c r="R3244" s="44"/>
      <c r="S3244" s="9" t="str">
        <f aca="false">IF(N3244&lt;&gt;"Y","",IF(R3244&lt;&gt;"",R3244,IF(Q3244="(tanpa lawan)","Transfer antar rekening",IFERROR(INDEX(I_COA!$F$6:$F$265,MATCH(Q3244,I_COA!$A$6:$A$265,0)),"?"))))</f>
        <v/>
      </c>
    </row>
    <row r="3245" customFormat="false" ht="15" hidden="false" customHeight="false" outlineLevel="0" collapsed="false">
      <c r="A3245" s="37"/>
      <c r="B3245" s="44"/>
      <c r="C3245" s="44"/>
      <c r="D3245" s="44"/>
      <c r="E3245" s="44"/>
      <c r="F3245" s="44"/>
      <c r="G3245" s="42"/>
      <c r="H3245" s="42"/>
      <c r="I3245" s="44"/>
      <c r="J3245" s="11" t="str">
        <f aca="false">IF(D3245="","",N(G3245)-N(H3245))</f>
        <v/>
      </c>
      <c r="K3245" s="34" t="str">
        <f aca="false">IF(D3245="","",IFERROR(INDEX(I_COA!$C$6:$C$265,MATCH(D3245,I_COA!$A$6:$A$265,0)),"AKUN BARU"))</f>
        <v/>
      </c>
      <c r="L3245" s="34" t="str">
        <f aca="false">IF(K3245="LabaRugi",INDEX(I_COA!$D$6:$D$265,MATCH(D3245,I_COA!$A$6:$A$265,0)),"")</f>
        <v/>
      </c>
      <c r="M3245" s="34" t="str">
        <f aca="false">IF(K3245="Neraca",INDEX(I_COA!$E$6:$E$265,MATCH(D3245,I_COA!$A$6:$A$265,0)),"")</f>
        <v/>
      </c>
      <c r="N3245" s="34" t="str">
        <f aca="false">IF(D3245="","",IFERROR(INDEX(I_COA!$G$6:$G$265,MATCH(D3245,I_COA!$A$6:$A$265,0)),"N"))</f>
        <v/>
      </c>
      <c r="O3245" s="11" t="str">
        <f aca="false">IF(N3245="N",ABS(J3245),"")</f>
        <v/>
      </c>
      <c r="P3245" s="18" t="str">
        <f aca="false">IF(N3245="N",B3245&amp;"|"&amp;ROUND(O3245,0),"")</f>
        <v/>
      </c>
      <c r="Q3245" s="18" t="str">
        <f aca="false">IF(N3245&lt;&gt;"Y","",IFERROR(INDEX($D$6:$D$4005,MATCH(B3245&amp;"|"&amp;ROUND(_xlfn.MAXIFS($O$6:$O$4005,$B$6:$B$4005,B3245,$N$6:$N$4005,"N"),0),$P$6:$P$4005,0)),"(tanpa lawan)"))</f>
        <v/>
      </c>
      <c r="R3245" s="44"/>
      <c r="S3245" s="9" t="str">
        <f aca="false">IF(N3245&lt;&gt;"Y","",IF(R3245&lt;&gt;"",R3245,IF(Q3245="(tanpa lawan)","Transfer antar rekening",IFERROR(INDEX(I_COA!$F$6:$F$265,MATCH(Q3245,I_COA!$A$6:$A$265,0)),"?"))))</f>
        <v/>
      </c>
    </row>
    <row r="3246" customFormat="false" ht="15" hidden="false" customHeight="false" outlineLevel="0" collapsed="false">
      <c r="A3246" s="37"/>
      <c r="B3246" s="44"/>
      <c r="C3246" s="44"/>
      <c r="D3246" s="44"/>
      <c r="E3246" s="44"/>
      <c r="F3246" s="44"/>
      <c r="G3246" s="42"/>
      <c r="H3246" s="42"/>
      <c r="I3246" s="44"/>
      <c r="J3246" s="11" t="str">
        <f aca="false">IF(D3246="","",N(G3246)-N(H3246))</f>
        <v/>
      </c>
      <c r="K3246" s="34" t="str">
        <f aca="false">IF(D3246="","",IFERROR(INDEX(I_COA!$C$6:$C$265,MATCH(D3246,I_COA!$A$6:$A$265,0)),"AKUN BARU"))</f>
        <v/>
      </c>
      <c r="L3246" s="34" t="str">
        <f aca="false">IF(K3246="LabaRugi",INDEX(I_COA!$D$6:$D$265,MATCH(D3246,I_COA!$A$6:$A$265,0)),"")</f>
        <v/>
      </c>
      <c r="M3246" s="34" t="str">
        <f aca="false">IF(K3246="Neraca",INDEX(I_COA!$E$6:$E$265,MATCH(D3246,I_COA!$A$6:$A$265,0)),"")</f>
        <v/>
      </c>
      <c r="N3246" s="34" t="str">
        <f aca="false">IF(D3246="","",IFERROR(INDEX(I_COA!$G$6:$G$265,MATCH(D3246,I_COA!$A$6:$A$265,0)),"N"))</f>
        <v/>
      </c>
      <c r="O3246" s="11" t="str">
        <f aca="false">IF(N3246="N",ABS(J3246),"")</f>
        <v/>
      </c>
      <c r="P3246" s="18" t="str">
        <f aca="false">IF(N3246="N",B3246&amp;"|"&amp;ROUND(O3246,0),"")</f>
        <v/>
      </c>
      <c r="Q3246" s="18" t="str">
        <f aca="false">IF(N3246&lt;&gt;"Y","",IFERROR(INDEX($D$6:$D$4005,MATCH(B3246&amp;"|"&amp;ROUND(_xlfn.MAXIFS($O$6:$O$4005,$B$6:$B$4005,B3246,$N$6:$N$4005,"N"),0),$P$6:$P$4005,0)),"(tanpa lawan)"))</f>
        <v/>
      </c>
      <c r="R3246" s="44"/>
      <c r="S3246" s="9" t="str">
        <f aca="false">IF(N3246&lt;&gt;"Y","",IF(R3246&lt;&gt;"",R3246,IF(Q3246="(tanpa lawan)","Transfer antar rekening",IFERROR(INDEX(I_COA!$F$6:$F$265,MATCH(Q3246,I_COA!$A$6:$A$265,0)),"?"))))</f>
        <v/>
      </c>
    </row>
    <row r="3247" customFormat="false" ht="15" hidden="false" customHeight="false" outlineLevel="0" collapsed="false">
      <c r="A3247" s="37"/>
      <c r="B3247" s="44"/>
      <c r="C3247" s="44"/>
      <c r="D3247" s="44"/>
      <c r="E3247" s="44"/>
      <c r="F3247" s="44"/>
      <c r="G3247" s="42"/>
      <c r="H3247" s="42"/>
      <c r="I3247" s="44"/>
      <c r="J3247" s="11" t="str">
        <f aca="false">IF(D3247="","",N(G3247)-N(H3247))</f>
        <v/>
      </c>
      <c r="K3247" s="34" t="str">
        <f aca="false">IF(D3247="","",IFERROR(INDEX(I_COA!$C$6:$C$265,MATCH(D3247,I_COA!$A$6:$A$265,0)),"AKUN BARU"))</f>
        <v/>
      </c>
      <c r="L3247" s="34" t="str">
        <f aca="false">IF(K3247="LabaRugi",INDEX(I_COA!$D$6:$D$265,MATCH(D3247,I_COA!$A$6:$A$265,0)),"")</f>
        <v/>
      </c>
      <c r="M3247" s="34" t="str">
        <f aca="false">IF(K3247="Neraca",INDEX(I_COA!$E$6:$E$265,MATCH(D3247,I_COA!$A$6:$A$265,0)),"")</f>
        <v/>
      </c>
      <c r="N3247" s="34" t="str">
        <f aca="false">IF(D3247="","",IFERROR(INDEX(I_COA!$G$6:$G$265,MATCH(D3247,I_COA!$A$6:$A$265,0)),"N"))</f>
        <v/>
      </c>
      <c r="O3247" s="11" t="str">
        <f aca="false">IF(N3247="N",ABS(J3247),"")</f>
        <v/>
      </c>
      <c r="P3247" s="18" t="str">
        <f aca="false">IF(N3247="N",B3247&amp;"|"&amp;ROUND(O3247,0),"")</f>
        <v/>
      </c>
      <c r="Q3247" s="18" t="str">
        <f aca="false">IF(N3247&lt;&gt;"Y","",IFERROR(INDEX($D$6:$D$4005,MATCH(B3247&amp;"|"&amp;ROUND(_xlfn.MAXIFS($O$6:$O$4005,$B$6:$B$4005,B3247,$N$6:$N$4005,"N"),0),$P$6:$P$4005,0)),"(tanpa lawan)"))</f>
        <v/>
      </c>
      <c r="R3247" s="44"/>
      <c r="S3247" s="9" t="str">
        <f aca="false">IF(N3247&lt;&gt;"Y","",IF(R3247&lt;&gt;"",R3247,IF(Q3247="(tanpa lawan)","Transfer antar rekening",IFERROR(INDEX(I_COA!$F$6:$F$265,MATCH(Q3247,I_COA!$A$6:$A$265,0)),"?"))))</f>
        <v/>
      </c>
    </row>
    <row r="3248" customFormat="false" ht="15" hidden="false" customHeight="false" outlineLevel="0" collapsed="false">
      <c r="A3248" s="37"/>
      <c r="B3248" s="44"/>
      <c r="C3248" s="44"/>
      <c r="D3248" s="44"/>
      <c r="E3248" s="44"/>
      <c r="F3248" s="44"/>
      <c r="G3248" s="42"/>
      <c r="H3248" s="42"/>
      <c r="I3248" s="44"/>
      <c r="J3248" s="11" t="str">
        <f aca="false">IF(D3248="","",N(G3248)-N(H3248))</f>
        <v/>
      </c>
      <c r="K3248" s="34" t="str">
        <f aca="false">IF(D3248="","",IFERROR(INDEX(I_COA!$C$6:$C$265,MATCH(D3248,I_COA!$A$6:$A$265,0)),"AKUN BARU"))</f>
        <v/>
      </c>
      <c r="L3248" s="34" t="str">
        <f aca="false">IF(K3248="LabaRugi",INDEX(I_COA!$D$6:$D$265,MATCH(D3248,I_COA!$A$6:$A$265,0)),"")</f>
        <v/>
      </c>
      <c r="M3248" s="34" t="str">
        <f aca="false">IF(K3248="Neraca",INDEX(I_COA!$E$6:$E$265,MATCH(D3248,I_COA!$A$6:$A$265,0)),"")</f>
        <v/>
      </c>
      <c r="N3248" s="34" t="str">
        <f aca="false">IF(D3248="","",IFERROR(INDEX(I_COA!$G$6:$G$265,MATCH(D3248,I_COA!$A$6:$A$265,0)),"N"))</f>
        <v/>
      </c>
      <c r="O3248" s="11" t="str">
        <f aca="false">IF(N3248="N",ABS(J3248),"")</f>
        <v/>
      </c>
      <c r="P3248" s="18" t="str">
        <f aca="false">IF(N3248="N",B3248&amp;"|"&amp;ROUND(O3248,0),"")</f>
        <v/>
      </c>
      <c r="Q3248" s="18" t="str">
        <f aca="false">IF(N3248&lt;&gt;"Y","",IFERROR(INDEX($D$6:$D$4005,MATCH(B3248&amp;"|"&amp;ROUND(_xlfn.MAXIFS($O$6:$O$4005,$B$6:$B$4005,B3248,$N$6:$N$4005,"N"),0),$P$6:$P$4005,0)),"(tanpa lawan)"))</f>
        <v/>
      </c>
      <c r="R3248" s="44"/>
      <c r="S3248" s="9" t="str">
        <f aca="false">IF(N3248&lt;&gt;"Y","",IF(R3248&lt;&gt;"",R3248,IF(Q3248="(tanpa lawan)","Transfer antar rekening",IFERROR(INDEX(I_COA!$F$6:$F$265,MATCH(Q3248,I_COA!$A$6:$A$265,0)),"?"))))</f>
        <v/>
      </c>
    </row>
    <row r="3249" customFormat="false" ht="15" hidden="false" customHeight="false" outlineLevel="0" collapsed="false">
      <c r="A3249" s="37"/>
      <c r="B3249" s="44"/>
      <c r="C3249" s="44"/>
      <c r="D3249" s="44"/>
      <c r="E3249" s="44"/>
      <c r="F3249" s="44"/>
      <c r="G3249" s="42"/>
      <c r="H3249" s="42"/>
      <c r="I3249" s="44"/>
      <c r="J3249" s="11" t="str">
        <f aca="false">IF(D3249="","",N(G3249)-N(H3249))</f>
        <v/>
      </c>
      <c r="K3249" s="34" t="str">
        <f aca="false">IF(D3249="","",IFERROR(INDEX(I_COA!$C$6:$C$265,MATCH(D3249,I_COA!$A$6:$A$265,0)),"AKUN BARU"))</f>
        <v/>
      </c>
      <c r="L3249" s="34" t="str">
        <f aca="false">IF(K3249="LabaRugi",INDEX(I_COA!$D$6:$D$265,MATCH(D3249,I_COA!$A$6:$A$265,0)),"")</f>
        <v/>
      </c>
      <c r="M3249" s="34" t="str">
        <f aca="false">IF(K3249="Neraca",INDEX(I_COA!$E$6:$E$265,MATCH(D3249,I_COA!$A$6:$A$265,0)),"")</f>
        <v/>
      </c>
      <c r="N3249" s="34" t="str">
        <f aca="false">IF(D3249="","",IFERROR(INDEX(I_COA!$G$6:$G$265,MATCH(D3249,I_COA!$A$6:$A$265,0)),"N"))</f>
        <v/>
      </c>
      <c r="O3249" s="11" t="str">
        <f aca="false">IF(N3249="N",ABS(J3249),"")</f>
        <v/>
      </c>
      <c r="P3249" s="18" t="str">
        <f aca="false">IF(N3249="N",B3249&amp;"|"&amp;ROUND(O3249,0),"")</f>
        <v/>
      </c>
      <c r="Q3249" s="18" t="str">
        <f aca="false">IF(N3249&lt;&gt;"Y","",IFERROR(INDEX($D$6:$D$4005,MATCH(B3249&amp;"|"&amp;ROUND(_xlfn.MAXIFS($O$6:$O$4005,$B$6:$B$4005,B3249,$N$6:$N$4005,"N"),0),$P$6:$P$4005,0)),"(tanpa lawan)"))</f>
        <v/>
      </c>
      <c r="R3249" s="44"/>
      <c r="S3249" s="9" t="str">
        <f aca="false">IF(N3249&lt;&gt;"Y","",IF(R3249&lt;&gt;"",R3249,IF(Q3249="(tanpa lawan)","Transfer antar rekening",IFERROR(INDEX(I_COA!$F$6:$F$265,MATCH(Q3249,I_COA!$A$6:$A$265,0)),"?"))))</f>
        <v/>
      </c>
    </row>
    <row r="3250" customFormat="false" ht="15" hidden="false" customHeight="false" outlineLevel="0" collapsed="false">
      <c r="A3250" s="37"/>
      <c r="B3250" s="44"/>
      <c r="C3250" s="44"/>
      <c r="D3250" s="44"/>
      <c r="E3250" s="44"/>
      <c r="F3250" s="44"/>
      <c r="G3250" s="42"/>
      <c r="H3250" s="42"/>
      <c r="I3250" s="44"/>
      <c r="J3250" s="11" t="str">
        <f aca="false">IF(D3250="","",N(G3250)-N(H3250))</f>
        <v/>
      </c>
      <c r="K3250" s="34" t="str">
        <f aca="false">IF(D3250="","",IFERROR(INDEX(I_COA!$C$6:$C$265,MATCH(D3250,I_COA!$A$6:$A$265,0)),"AKUN BARU"))</f>
        <v/>
      </c>
      <c r="L3250" s="34" t="str">
        <f aca="false">IF(K3250="LabaRugi",INDEX(I_COA!$D$6:$D$265,MATCH(D3250,I_COA!$A$6:$A$265,0)),"")</f>
        <v/>
      </c>
      <c r="M3250" s="34" t="str">
        <f aca="false">IF(K3250="Neraca",INDEX(I_COA!$E$6:$E$265,MATCH(D3250,I_COA!$A$6:$A$265,0)),"")</f>
        <v/>
      </c>
      <c r="N3250" s="34" t="str">
        <f aca="false">IF(D3250="","",IFERROR(INDEX(I_COA!$G$6:$G$265,MATCH(D3250,I_COA!$A$6:$A$265,0)),"N"))</f>
        <v/>
      </c>
      <c r="O3250" s="11" t="str">
        <f aca="false">IF(N3250="N",ABS(J3250),"")</f>
        <v/>
      </c>
      <c r="P3250" s="18" t="str">
        <f aca="false">IF(N3250="N",B3250&amp;"|"&amp;ROUND(O3250,0),"")</f>
        <v/>
      </c>
      <c r="Q3250" s="18" t="str">
        <f aca="false">IF(N3250&lt;&gt;"Y","",IFERROR(INDEX($D$6:$D$4005,MATCH(B3250&amp;"|"&amp;ROUND(_xlfn.MAXIFS($O$6:$O$4005,$B$6:$B$4005,B3250,$N$6:$N$4005,"N"),0),$P$6:$P$4005,0)),"(tanpa lawan)"))</f>
        <v/>
      </c>
      <c r="R3250" s="44"/>
      <c r="S3250" s="9" t="str">
        <f aca="false">IF(N3250&lt;&gt;"Y","",IF(R3250&lt;&gt;"",R3250,IF(Q3250="(tanpa lawan)","Transfer antar rekening",IFERROR(INDEX(I_COA!$F$6:$F$265,MATCH(Q3250,I_COA!$A$6:$A$265,0)),"?"))))</f>
        <v/>
      </c>
    </row>
    <row r="3251" customFormat="false" ht="15" hidden="false" customHeight="false" outlineLevel="0" collapsed="false">
      <c r="A3251" s="37"/>
      <c r="B3251" s="44"/>
      <c r="C3251" s="44"/>
      <c r="D3251" s="44"/>
      <c r="E3251" s="44"/>
      <c r="F3251" s="44"/>
      <c r="G3251" s="42"/>
      <c r="H3251" s="42"/>
      <c r="I3251" s="44"/>
      <c r="J3251" s="11" t="str">
        <f aca="false">IF(D3251="","",N(G3251)-N(H3251))</f>
        <v/>
      </c>
      <c r="K3251" s="34" t="str">
        <f aca="false">IF(D3251="","",IFERROR(INDEX(I_COA!$C$6:$C$265,MATCH(D3251,I_COA!$A$6:$A$265,0)),"AKUN BARU"))</f>
        <v/>
      </c>
      <c r="L3251" s="34" t="str">
        <f aca="false">IF(K3251="LabaRugi",INDEX(I_COA!$D$6:$D$265,MATCH(D3251,I_COA!$A$6:$A$265,0)),"")</f>
        <v/>
      </c>
      <c r="M3251" s="34" t="str">
        <f aca="false">IF(K3251="Neraca",INDEX(I_COA!$E$6:$E$265,MATCH(D3251,I_COA!$A$6:$A$265,0)),"")</f>
        <v/>
      </c>
      <c r="N3251" s="34" t="str">
        <f aca="false">IF(D3251="","",IFERROR(INDEX(I_COA!$G$6:$G$265,MATCH(D3251,I_COA!$A$6:$A$265,0)),"N"))</f>
        <v/>
      </c>
      <c r="O3251" s="11" t="str">
        <f aca="false">IF(N3251="N",ABS(J3251),"")</f>
        <v/>
      </c>
      <c r="P3251" s="18" t="str">
        <f aca="false">IF(N3251="N",B3251&amp;"|"&amp;ROUND(O3251,0),"")</f>
        <v/>
      </c>
      <c r="Q3251" s="18" t="str">
        <f aca="false">IF(N3251&lt;&gt;"Y","",IFERROR(INDEX($D$6:$D$4005,MATCH(B3251&amp;"|"&amp;ROUND(_xlfn.MAXIFS($O$6:$O$4005,$B$6:$B$4005,B3251,$N$6:$N$4005,"N"),0),$P$6:$P$4005,0)),"(tanpa lawan)"))</f>
        <v/>
      </c>
      <c r="R3251" s="44"/>
      <c r="S3251" s="9" t="str">
        <f aca="false">IF(N3251&lt;&gt;"Y","",IF(R3251&lt;&gt;"",R3251,IF(Q3251="(tanpa lawan)","Transfer antar rekening",IFERROR(INDEX(I_COA!$F$6:$F$265,MATCH(Q3251,I_COA!$A$6:$A$265,0)),"?"))))</f>
        <v/>
      </c>
    </row>
    <row r="3252" customFormat="false" ht="15" hidden="false" customHeight="false" outlineLevel="0" collapsed="false">
      <c r="A3252" s="37"/>
      <c r="B3252" s="44"/>
      <c r="C3252" s="44"/>
      <c r="D3252" s="44"/>
      <c r="E3252" s="44"/>
      <c r="F3252" s="44"/>
      <c r="G3252" s="42"/>
      <c r="H3252" s="42"/>
      <c r="I3252" s="44"/>
      <c r="J3252" s="11" t="str">
        <f aca="false">IF(D3252="","",N(G3252)-N(H3252))</f>
        <v/>
      </c>
      <c r="K3252" s="34" t="str">
        <f aca="false">IF(D3252="","",IFERROR(INDEX(I_COA!$C$6:$C$265,MATCH(D3252,I_COA!$A$6:$A$265,0)),"AKUN BARU"))</f>
        <v/>
      </c>
      <c r="L3252" s="34" t="str">
        <f aca="false">IF(K3252="LabaRugi",INDEX(I_COA!$D$6:$D$265,MATCH(D3252,I_COA!$A$6:$A$265,0)),"")</f>
        <v/>
      </c>
      <c r="M3252" s="34" t="str">
        <f aca="false">IF(K3252="Neraca",INDEX(I_COA!$E$6:$E$265,MATCH(D3252,I_COA!$A$6:$A$265,0)),"")</f>
        <v/>
      </c>
      <c r="N3252" s="34" t="str">
        <f aca="false">IF(D3252="","",IFERROR(INDEX(I_COA!$G$6:$G$265,MATCH(D3252,I_COA!$A$6:$A$265,0)),"N"))</f>
        <v/>
      </c>
      <c r="O3252" s="11" t="str">
        <f aca="false">IF(N3252="N",ABS(J3252),"")</f>
        <v/>
      </c>
      <c r="P3252" s="18" t="str">
        <f aca="false">IF(N3252="N",B3252&amp;"|"&amp;ROUND(O3252,0),"")</f>
        <v/>
      </c>
      <c r="Q3252" s="18" t="str">
        <f aca="false">IF(N3252&lt;&gt;"Y","",IFERROR(INDEX($D$6:$D$4005,MATCH(B3252&amp;"|"&amp;ROUND(_xlfn.MAXIFS($O$6:$O$4005,$B$6:$B$4005,B3252,$N$6:$N$4005,"N"),0),$P$6:$P$4005,0)),"(tanpa lawan)"))</f>
        <v/>
      </c>
      <c r="R3252" s="44"/>
      <c r="S3252" s="9" t="str">
        <f aca="false">IF(N3252&lt;&gt;"Y","",IF(R3252&lt;&gt;"",R3252,IF(Q3252="(tanpa lawan)","Transfer antar rekening",IFERROR(INDEX(I_COA!$F$6:$F$265,MATCH(Q3252,I_COA!$A$6:$A$265,0)),"?"))))</f>
        <v/>
      </c>
    </row>
    <row r="3253" customFormat="false" ht="15" hidden="false" customHeight="false" outlineLevel="0" collapsed="false">
      <c r="A3253" s="37"/>
      <c r="B3253" s="44"/>
      <c r="C3253" s="44"/>
      <c r="D3253" s="44"/>
      <c r="E3253" s="44"/>
      <c r="F3253" s="44"/>
      <c r="G3253" s="42"/>
      <c r="H3253" s="42"/>
      <c r="I3253" s="44"/>
      <c r="J3253" s="11" t="str">
        <f aca="false">IF(D3253="","",N(G3253)-N(H3253))</f>
        <v/>
      </c>
      <c r="K3253" s="34" t="str">
        <f aca="false">IF(D3253="","",IFERROR(INDEX(I_COA!$C$6:$C$265,MATCH(D3253,I_COA!$A$6:$A$265,0)),"AKUN BARU"))</f>
        <v/>
      </c>
      <c r="L3253" s="34" t="str">
        <f aca="false">IF(K3253="LabaRugi",INDEX(I_COA!$D$6:$D$265,MATCH(D3253,I_COA!$A$6:$A$265,0)),"")</f>
        <v/>
      </c>
      <c r="M3253" s="34" t="str">
        <f aca="false">IF(K3253="Neraca",INDEX(I_COA!$E$6:$E$265,MATCH(D3253,I_COA!$A$6:$A$265,0)),"")</f>
        <v/>
      </c>
      <c r="N3253" s="34" t="str">
        <f aca="false">IF(D3253="","",IFERROR(INDEX(I_COA!$G$6:$G$265,MATCH(D3253,I_COA!$A$6:$A$265,0)),"N"))</f>
        <v/>
      </c>
      <c r="O3253" s="11" t="str">
        <f aca="false">IF(N3253="N",ABS(J3253),"")</f>
        <v/>
      </c>
      <c r="P3253" s="18" t="str">
        <f aca="false">IF(N3253="N",B3253&amp;"|"&amp;ROUND(O3253,0),"")</f>
        <v/>
      </c>
      <c r="Q3253" s="18" t="str">
        <f aca="false">IF(N3253&lt;&gt;"Y","",IFERROR(INDEX($D$6:$D$4005,MATCH(B3253&amp;"|"&amp;ROUND(_xlfn.MAXIFS($O$6:$O$4005,$B$6:$B$4005,B3253,$N$6:$N$4005,"N"),0),$P$6:$P$4005,0)),"(tanpa lawan)"))</f>
        <v/>
      </c>
      <c r="R3253" s="44"/>
      <c r="S3253" s="9" t="str">
        <f aca="false">IF(N3253&lt;&gt;"Y","",IF(R3253&lt;&gt;"",R3253,IF(Q3253="(tanpa lawan)","Transfer antar rekening",IFERROR(INDEX(I_COA!$F$6:$F$265,MATCH(Q3253,I_COA!$A$6:$A$265,0)),"?"))))</f>
        <v/>
      </c>
    </row>
    <row r="3254" customFormat="false" ht="15" hidden="false" customHeight="false" outlineLevel="0" collapsed="false">
      <c r="A3254" s="37"/>
      <c r="B3254" s="44"/>
      <c r="C3254" s="44"/>
      <c r="D3254" s="44"/>
      <c r="E3254" s="44"/>
      <c r="F3254" s="44"/>
      <c r="G3254" s="42"/>
      <c r="H3254" s="42"/>
      <c r="I3254" s="44"/>
      <c r="J3254" s="11" t="str">
        <f aca="false">IF(D3254="","",N(G3254)-N(H3254))</f>
        <v/>
      </c>
      <c r="K3254" s="34" t="str">
        <f aca="false">IF(D3254="","",IFERROR(INDEX(I_COA!$C$6:$C$265,MATCH(D3254,I_COA!$A$6:$A$265,0)),"AKUN BARU"))</f>
        <v/>
      </c>
      <c r="L3254" s="34" t="str">
        <f aca="false">IF(K3254="LabaRugi",INDEX(I_COA!$D$6:$D$265,MATCH(D3254,I_COA!$A$6:$A$265,0)),"")</f>
        <v/>
      </c>
      <c r="M3254" s="34" t="str">
        <f aca="false">IF(K3254="Neraca",INDEX(I_COA!$E$6:$E$265,MATCH(D3254,I_COA!$A$6:$A$265,0)),"")</f>
        <v/>
      </c>
      <c r="N3254" s="34" t="str">
        <f aca="false">IF(D3254="","",IFERROR(INDEX(I_COA!$G$6:$G$265,MATCH(D3254,I_COA!$A$6:$A$265,0)),"N"))</f>
        <v/>
      </c>
      <c r="O3254" s="11" t="str">
        <f aca="false">IF(N3254="N",ABS(J3254),"")</f>
        <v/>
      </c>
      <c r="P3254" s="18" t="str">
        <f aca="false">IF(N3254="N",B3254&amp;"|"&amp;ROUND(O3254,0),"")</f>
        <v/>
      </c>
      <c r="Q3254" s="18" t="str">
        <f aca="false">IF(N3254&lt;&gt;"Y","",IFERROR(INDEX($D$6:$D$4005,MATCH(B3254&amp;"|"&amp;ROUND(_xlfn.MAXIFS($O$6:$O$4005,$B$6:$B$4005,B3254,$N$6:$N$4005,"N"),0),$P$6:$P$4005,0)),"(tanpa lawan)"))</f>
        <v/>
      </c>
      <c r="R3254" s="44"/>
      <c r="S3254" s="9" t="str">
        <f aca="false">IF(N3254&lt;&gt;"Y","",IF(R3254&lt;&gt;"",R3254,IF(Q3254="(tanpa lawan)","Transfer antar rekening",IFERROR(INDEX(I_COA!$F$6:$F$265,MATCH(Q3254,I_COA!$A$6:$A$265,0)),"?"))))</f>
        <v/>
      </c>
    </row>
    <row r="3255" customFormat="false" ht="15" hidden="false" customHeight="false" outlineLevel="0" collapsed="false">
      <c r="A3255" s="37"/>
      <c r="B3255" s="44"/>
      <c r="C3255" s="44"/>
      <c r="D3255" s="44"/>
      <c r="E3255" s="44"/>
      <c r="F3255" s="44"/>
      <c r="G3255" s="42"/>
      <c r="H3255" s="42"/>
      <c r="I3255" s="44"/>
      <c r="J3255" s="11" t="str">
        <f aca="false">IF(D3255="","",N(G3255)-N(H3255))</f>
        <v/>
      </c>
      <c r="K3255" s="34" t="str">
        <f aca="false">IF(D3255="","",IFERROR(INDEX(I_COA!$C$6:$C$265,MATCH(D3255,I_COA!$A$6:$A$265,0)),"AKUN BARU"))</f>
        <v/>
      </c>
      <c r="L3255" s="34" t="str">
        <f aca="false">IF(K3255="LabaRugi",INDEX(I_COA!$D$6:$D$265,MATCH(D3255,I_COA!$A$6:$A$265,0)),"")</f>
        <v/>
      </c>
      <c r="M3255" s="34" t="str">
        <f aca="false">IF(K3255="Neraca",INDEX(I_COA!$E$6:$E$265,MATCH(D3255,I_COA!$A$6:$A$265,0)),"")</f>
        <v/>
      </c>
      <c r="N3255" s="34" t="str">
        <f aca="false">IF(D3255="","",IFERROR(INDEX(I_COA!$G$6:$G$265,MATCH(D3255,I_COA!$A$6:$A$265,0)),"N"))</f>
        <v/>
      </c>
      <c r="O3255" s="11" t="str">
        <f aca="false">IF(N3255="N",ABS(J3255),"")</f>
        <v/>
      </c>
      <c r="P3255" s="18" t="str">
        <f aca="false">IF(N3255="N",B3255&amp;"|"&amp;ROUND(O3255,0),"")</f>
        <v/>
      </c>
      <c r="Q3255" s="18" t="str">
        <f aca="false">IF(N3255&lt;&gt;"Y","",IFERROR(INDEX($D$6:$D$4005,MATCH(B3255&amp;"|"&amp;ROUND(_xlfn.MAXIFS($O$6:$O$4005,$B$6:$B$4005,B3255,$N$6:$N$4005,"N"),0),$P$6:$P$4005,0)),"(tanpa lawan)"))</f>
        <v/>
      </c>
      <c r="R3255" s="44"/>
      <c r="S3255" s="9" t="str">
        <f aca="false">IF(N3255&lt;&gt;"Y","",IF(R3255&lt;&gt;"",R3255,IF(Q3255="(tanpa lawan)","Transfer antar rekening",IFERROR(INDEX(I_COA!$F$6:$F$265,MATCH(Q3255,I_COA!$A$6:$A$265,0)),"?"))))</f>
        <v/>
      </c>
    </row>
    <row r="3256" customFormat="false" ht="15" hidden="false" customHeight="false" outlineLevel="0" collapsed="false">
      <c r="A3256" s="37"/>
      <c r="B3256" s="44"/>
      <c r="C3256" s="44"/>
      <c r="D3256" s="44"/>
      <c r="E3256" s="44"/>
      <c r="F3256" s="44"/>
      <c r="G3256" s="42"/>
      <c r="H3256" s="42"/>
      <c r="I3256" s="44"/>
      <c r="J3256" s="11" t="str">
        <f aca="false">IF(D3256="","",N(G3256)-N(H3256))</f>
        <v/>
      </c>
      <c r="K3256" s="34" t="str">
        <f aca="false">IF(D3256="","",IFERROR(INDEX(I_COA!$C$6:$C$265,MATCH(D3256,I_COA!$A$6:$A$265,0)),"AKUN BARU"))</f>
        <v/>
      </c>
      <c r="L3256" s="34" t="str">
        <f aca="false">IF(K3256="LabaRugi",INDEX(I_COA!$D$6:$D$265,MATCH(D3256,I_COA!$A$6:$A$265,0)),"")</f>
        <v/>
      </c>
      <c r="M3256" s="34" t="str">
        <f aca="false">IF(K3256="Neraca",INDEX(I_COA!$E$6:$E$265,MATCH(D3256,I_COA!$A$6:$A$265,0)),"")</f>
        <v/>
      </c>
      <c r="N3256" s="34" t="str">
        <f aca="false">IF(D3256="","",IFERROR(INDEX(I_COA!$G$6:$G$265,MATCH(D3256,I_COA!$A$6:$A$265,0)),"N"))</f>
        <v/>
      </c>
      <c r="O3256" s="11" t="str">
        <f aca="false">IF(N3256="N",ABS(J3256),"")</f>
        <v/>
      </c>
      <c r="P3256" s="18" t="str">
        <f aca="false">IF(N3256="N",B3256&amp;"|"&amp;ROUND(O3256,0),"")</f>
        <v/>
      </c>
      <c r="Q3256" s="18" t="str">
        <f aca="false">IF(N3256&lt;&gt;"Y","",IFERROR(INDEX($D$6:$D$4005,MATCH(B3256&amp;"|"&amp;ROUND(_xlfn.MAXIFS($O$6:$O$4005,$B$6:$B$4005,B3256,$N$6:$N$4005,"N"),0),$P$6:$P$4005,0)),"(tanpa lawan)"))</f>
        <v/>
      </c>
      <c r="R3256" s="44"/>
      <c r="S3256" s="9" t="str">
        <f aca="false">IF(N3256&lt;&gt;"Y","",IF(R3256&lt;&gt;"",R3256,IF(Q3256="(tanpa lawan)","Transfer antar rekening",IFERROR(INDEX(I_COA!$F$6:$F$265,MATCH(Q3256,I_COA!$A$6:$A$265,0)),"?"))))</f>
        <v/>
      </c>
    </row>
    <row r="3257" customFormat="false" ht="15" hidden="false" customHeight="false" outlineLevel="0" collapsed="false">
      <c r="A3257" s="37"/>
      <c r="B3257" s="44"/>
      <c r="C3257" s="44"/>
      <c r="D3257" s="44"/>
      <c r="E3257" s="44"/>
      <c r="F3257" s="44"/>
      <c r="G3257" s="42"/>
      <c r="H3257" s="42"/>
      <c r="I3257" s="44"/>
      <c r="J3257" s="11" t="str">
        <f aca="false">IF(D3257="","",N(G3257)-N(H3257))</f>
        <v/>
      </c>
      <c r="K3257" s="34" t="str">
        <f aca="false">IF(D3257="","",IFERROR(INDEX(I_COA!$C$6:$C$265,MATCH(D3257,I_COA!$A$6:$A$265,0)),"AKUN BARU"))</f>
        <v/>
      </c>
      <c r="L3257" s="34" t="str">
        <f aca="false">IF(K3257="LabaRugi",INDEX(I_COA!$D$6:$D$265,MATCH(D3257,I_COA!$A$6:$A$265,0)),"")</f>
        <v/>
      </c>
      <c r="M3257" s="34" t="str">
        <f aca="false">IF(K3257="Neraca",INDEX(I_COA!$E$6:$E$265,MATCH(D3257,I_COA!$A$6:$A$265,0)),"")</f>
        <v/>
      </c>
      <c r="N3257" s="34" t="str">
        <f aca="false">IF(D3257="","",IFERROR(INDEX(I_COA!$G$6:$G$265,MATCH(D3257,I_COA!$A$6:$A$265,0)),"N"))</f>
        <v/>
      </c>
      <c r="O3257" s="11" t="str">
        <f aca="false">IF(N3257="N",ABS(J3257),"")</f>
        <v/>
      </c>
      <c r="P3257" s="18" t="str">
        <f aca="false">IF(N3257="N",B3257&amp;"|"&amp;ROUND(O3257,0),"")</f>
        <v/>
      </c>
      <c r="Q3257" s="18" t="str">
        <f aca="false">IF(N3257&lt;&gt;"Y","",IFERROR(INDEX($D$6:$D$4005,MATCH(B3257&amp;"|"&amp;ROUND(_xlfn.MAXIFS($O$6:$O$4005,$B$6:$B$4005,B3257,$N$6:$N$4005,"N"),0),$P$6:$P$4005,0)),"(tanpa lawan)"))</f>
        <v/>
      </c>
      <c r="R3257" s="44"/>
      <c r="S3257" s="9" t="str">
        <f aca="false">IF(N3257&lt;&gt;"Y","",IF(R3257&lt;&gt;"",R3257,IF(Q3257="(tanpa lawan)","Transfer antar rekening",IFERROR(INDEX(I_COA!$F$6:$F$265,MATCH(Q3257,I_COA!$A$6:$A$265,0)),"?"))))</f>
        <v/>
      </c>
    </row>
    <row r="3258" customFormat="false" ht="15" hidden="false" customHeight="false" outlineLevel="0" collapsed="false">
      <c r="A3258" s="37"/>
      <c r="B3258" s="44"/>
      <c r="C3258" s="44"/>
      <c r="D3258" s="44"/>
      <c r="E3258" s="44"/>
      <c r="F3258" s="44"/>
      <c r="G3258" s="42"/>
      <c r="H3258" s="42"/>
      <c r="I3258" s="44"/>
      <c r="J3258" s="11" t="str">
        <f aca="false">IF(D3258="","",N(G3258)-N(H3258))</f>
        <v/>
      </c>
      <c r="K3258" s="34" t="str">
        <f aca="false">IF(D3258="","",IFERROR(INDEX(I_COA!$C$6:$C$265,MATCH(D3258,I_COA!$A$6:$A$265,0)),"AKUN BARU"))</f>
        <v/>
      </c>
      <c r="L3258" s="34" t="str">
        <f aca="false">IF(K3258="LabaRugi",INDEX(I_COA!$D$6:$D$265,MATCH(D3258,I_COA!$A$6:$A$265,0)),"")</f>
        <v/>
      </c>
      <c r="M3258" s="34" t="str">
        <f aca="false">IF(K3258="Neraca",INDEX(I_COA!$E$6:$E$265,MATCH(D3258,I_COA!$A$6:$A$265,0)),"")</f>
        <v/>
      </c>
      <c r="N3258" s="34" t="str">
        <f aca="false">IF(D3258="","",IFERROR(INDEX(I_COA!$G$6:$G$265,MATCH(D3258,I_COA!$A$6:$A$265,0)),"N"))</f>
        <v/>
      </c>
      <c r="O3258" s="11" t="str">
        <f aca="false">IF(N3258="N",ABS(J3258),"")</f>
        <v/>
      </c>
      <c r="P3258" s="18" t="str">
        <f aca="false">IF(N3258="N",B3258&amp;"|"&amp;ROUND(O3258,0),"")</f>
        <v/>
      </c>
      <c r="Q3258" s="18" t="str">
        <f aca="false">IF(N3258&lt;&gt;"Y","",IFERROR(INDEX($D$6:$D$4005,MATCH(B3258&amp;"|"&amp;ROUND(_xlfn.MAXIFS($O$6:$O$4005,$B$6:$B$4005,B3258,$N$6:$N$4005,"N"),0),$P$6:$P$4005,0)),"(tanpa lawan)"))</f>
        <v/>
      </c>
      <c r="R3258" s="44"/>
      <c r="S3258" s="9" t="str">
        <f aca="false">IF(N3258&lt;&gt;"Y","",IF(R3258&lt;&gt;"",R3258,IF(Q3258="(tanpa lawan)","Transfer antar rekening",IFERROR(INDEX(I_COA!$F$6:$F$265,MATCH(Q3258,I_COA!$A$6:$A$265,0)),"?"))))</f>
        <v/>
      </c>
    </row>
    <row r="3259" customFormat="false" ht="15" hidden="false" customHeight="false" outlineLevel="0" collapsed="false">
      <c r="A3259" s="37"/>
      <c r="B3259" s="44"/>
      <c r="C3259" s="44"/>
      <c r="D3259" s="44"/>
      <c r="E3259" s="44"/>
      <c r="F3259" s="44"/>
      <c r="G3259" s="42"/>
      <c r="H3259" s="42"/>
      <c r="I3259" s="44"/>
      <c r="J3259" s="11" t="str">
        <f aca="false">IF(D3259="","",N(G3259)-N(H3259))</f>
        <v/>
      </c>
      <c r="K3259" s="34" t="str">
        <f aca="false">IF(D3259="","",IFERROR(INDEX(I_COA!$C$6:$C$265,MATCH(D3259,I_COA!$A$6:$A$265,0)),"AKUN BARU"))</f>
        <v/>
      </c>
      <c r="L3259" s="34" t="str">
        <f aca="false">IF(K3259="LabaRugi",INDEX(I_COA!$D$6:$D$265,MATCH(D3259,I_COA!$A$6:$A$265,0)),"")</f>
        <v/>
      </c>
      <c r="M3259" s="34" t="str">
        <f aca="false">IF(K3259="Neraca",INDEX(I_COA!$E$6:$E$265,MATCH(D3259,I_COA!$A$6:$A$265,0)),"")</f>
        <v/>
      </c>
      <c r="N3259" s="34" t="str">
        <f aca="false">IF(D3259="","",IFERROR(INDEX(I_COA!$G$6:$G$265,MATCH(D3259,I_COA!$A$6:$A$265,0)),"N"))</f>
        <v/>
      </c>
      <c r="O3259" s="11" t="str">
        <f aca="false">IF(N3259="N",ABS(J3259),"")</f>
        <v/>
      </c>
      <c r="P3259" s="18" t="str">
        <f aca="false">IF(N3259="N",B3259&amp;"|"&amp;ROUND(O3259,0),"")</f>
        <v/>
      </c>
      <c r="Q3259" s="18" t="str">
        <f aca="false">IF(N3259&lt;&gt;"Y","",IFERROR(INDEX($D$6:$D$4005,MATCH(B3259&amp;"|"&amp;ROUND(_xlfn.MAXIFS($O$6:$O$4005,$B$6:$B$4005,B3259,$N$6:$N$4005,"N"),0),$P$6:$P$4005,0)),"(tanpa lawan)"))</f>
        <v/>
      </c>
      <c r="R3259" s="44"/>
      <c r="S3259" s="9" t="str">
        <f aca="false">IF(N3259&lt;&gt;"Y","",IF(R3259&lt;&gt;"",R3259,IF(Q3259="(tanpa lawan)","Transfer antar rekening",IFERROR(INDEX(I_COA!$F$6:$F$265,MATCH(Q3259,I_COA!$A$6:$A$265,0)),"?"))))</f>
        <v/>
      </c>
    </row>
    <row r="3260" customFormat="false" ht="15" hidden="false" customHeight="false" outlineLevel="0" collapsed="false">
      <c r="A3260" s="37"/>
      <c r="B3260" s="44"/>
      <c r="C3260" s="44"/>
      <c r="D3260" s="44"/>
      <c r="E3260" s="44"/>
      <c r="F3260" s="44"/>
      <c r="G3260" s="42"/>
      <c r="H3260" s="42"/>
      <c r="I3260" s="44"/>
      <c r="J3260" s="11" t="str">
        <f aca="false">IF(D3260="","",N(G3260)-N(H3260))</f>
        <v/>
      </c>
      <c r="K3260" s="34" t="str">
        <f aca="false">IF(D3260="","",IFERROR(INDEX(I_COA!$C$6:$C$265,MATCH(D3260,I_COA!$A$6:$A$265,0)),"AKUN BARU"))</f>
        <v/>
      </c>
      <c r="L3260" s="34" t="str">
        <f aca="false">IF(K3260="LabaRugi",INDEX(I_COA!$D$6:$D$265,MATCH(D3260,I_COA!$A$6:$A$265,0)),"")</f>
        <v/>
      </c>
      <c r="M3260" s="34" t="str">
        <f aca="false">IF(K3260="Neraca",INDEX(I_COA!$E$6:$E$265,MATCH(D3260,I_COA!$A$6:$A$265,0)),"")</f>
        <v/>
      </c>
      <c r="N3260" s="34" t="str">
        <f aca="false">IF(D3260="","",IFERROR(INDEX(I_COA!$G$6:$G$265,MATCH(D3260,I_COA!$A$6:$A$265,0)),"N"))</f>
        <v/>
      </c>
      <c r="O3260" s="11" t="str">
        <f aca="false">IF(N3260="N",ABS(J3260),"")</f>
        <v/>
      </c>
      <c r="P3260" s="18" t="str">
        <f aca="false">IF(N3260="N",B3260&amp;"|"&amp;ROUND(O3260,0),"")</f>
        <v/>
      </c>
      <c r="Q3260" s="18" t="str">
        <f aca="false">IF(N3260&lt;&gt;"Y","",IFERROR(INDEX($D$6:$D$4005,MATCH(B3260&amp;"|"&amp;ROUND(_xlfn.MAXIFS($O$6:$O$4005,$B$6:$B$4005,B3260,$N$6:$N$4005,"N"),0),$P$6:$P$4005,0)),"(tanpa lawan)"))</f>
        <v/>
      </c>
      <c r="R3260" s="44"/>
      <c r="S3260" s="9" t="str">
        <f aca="false">IF(N3260&lt;&gt;"Y","",IF(R3260&lt;&gt;"",R3260,IF(Q3260="(tanpa lawan)","Transfer antar rekening",IFERROR(INDEX(I_COA!$F$6:$F$265,MATCH(Q3260,I_COA!$A$6:$A$265,0)),"?"))))</f>
        <v/>
      </c>
    </row>
    <row r="3261" customFormat="false" ht="15" hidden="false" customHeight="false" outlineLevel="0" collapsed="false">
      <c r="A3261" s="37"/>
      <c r="B3261" s="44"/>
      <c r="C3261" s="44"/>
      <c r="D3261" s="44"/>
      <c r="E3261" s="44"/>
      <c r="F3261" s="44"/>
      <c r="G3261" s="42"/>
      <c r="H3261" s="42"/>
      <c r="I3261" s="44"/>
      <c r="J3261" s="11" t="str">
        <f aca="false">IF(D3261="","",N(G3261)-N(H3261))</f>
        <v/>
      </c>
      <c r="K3261" s="34" t="str">
        <f aca="false">IF(D3261="","",IFERROR(INDEX(I_COA!$C$6:$C$265,MATCH(D3261,I_COA!$A$6:$A$265,0)),"AKUN BARU"))</f>
        <v/>
      </c>
      <c r="L3261" s="34" t="str">
        <f aca="false">IF(K3261="LabaRugi",INDEX(I_COA!$D$6:$D$265,MATCH(D3261,I_COA!$A$6:$A$265,0)),"")</f>
        <v/>
      </c>
      <c r="M3261" s="34" t="str">
        <f aca="false">IF(K3261="Neraca",INDEX(I_COA!$E$6:$E$265,MATCH(D3261,I_COA!$A$6:$A$265,0)),"")</f>
        <v/>
      </c>
      <c r="N3261" s="34" t="str">
        <f aca="false">IF(D3261="","",IFERROR(INDEX(I_COA!$G$6:$G$265,MATCH(D3261,I_COA!$A$6:$A$265,0)),"N"))</f>
        <v/>
      </c>
      <c r="O3261" s="11" t="str">
        <f aca="false">IF(N3261="N",ABS(J3261),"")</f>
        <v/>
      </c>
      <c r="P3261" s="18" t="str">
        <f aca="false">IF(N3261="N",B3261&amp;"|"&amp;ROUND(O3261,0),"")</f>
        <v/>
      </c>
      <c r="Q3261" s="18" t="str">
        <f aca="false">IF(N3261&lt;&gt;"Y","",IFERROR(INDEX($D$6:$D$4005,MATCH(B3261&amp;"|"&amp;ROUND(_xlfn.MAXIFS($O$6:$O$4005,$B$6:$B$4005,B3261,$N$6:$N$4005,"N"),0),$P$6:$P$4005,0)),"(tanpa lawan)"))</f>
        <v/>
      </c>
      <c r="R3261" s="44"/>
      <c r="S3261" s="9" t="str">
        <f aca="false">IF(N3261&lt;&gt;"Y","",IF(R3261&lt;&gt;"",R3261,IF(Q3261="(tanpa lawan)","Transfer antar rekening",IFERROR(INDEX(I_COA!$F$6:$F$265,MATCH(Q3261,I_COA!$A$6:$A$265,0)),"?"))))</f>
        <v/>
      </c>
    </row>
    <row r="3262" customFormat="false" ht="15" hidden="false" customHeight="false" outlineLevel="0" collapsed="false">
      <c r="A3262" s="37"/>
      <c r="B3262" s="44"/>
      <c r="C3262" s="44"/>
      <c r="D3262" s="44"/>
      <c r="E3262" s="44"/>
      <c r="F3262" s="44"/>
      <c r="G3262" s="42"/>
      <c r="H3262" s="42"/>
      <c r="I3262" s="44"/>
      <c r="J3262" s="11" t="str">
        <f aca="false">IF(D3262="","",N(G3262)-N(H3262))</f>
        <v/>
      </c>
      <c r="K3262" s="34" t="str">
        <f aca="false">IF(D3262="","",IFERROR(INDEX(I_COA!$C$6:$C$265,MATCH(D3262,I_COA!$A$6:$A$265,0)),"AKUN BARU"))</f>
        <v/>
      </c>
      <c r="L3262" s="34" t="str">
        <f aca="false">IF(K3262="LabaRugi",INDEX(I_COA!$D$6:$D$265,MATCH(D3262,I_COA!$A$6:$A$265,0)),"")</f>
        <v/>
      </c>
      <c r="M3262" s="34" t="str">
        <f aca="false">IF(K3262="Neraca",INDEX(I_COA!$E$6:$E$265,MATCH(D3262,I_COA!$A$6:$A$265,0)),"")</f>
        <v/>
      </c>
      <c r="N3262" s="34" t="str">
        <f aca="false">IF(D3262="","",IFERROR(INDEX(I_COA!$G$6:$G$265,MATCH(D3262,I_COA!$A$6:$A$265,0)),"N"))</f>
        <v/>
      </c>
      <c r="O3262" s="11" t="str">
        <f aca="false">IF(N3262="N",ABS(J3262),"")</f>
        <v/>
      </c>
      <c r="P3262" s="18" t="str">
        <f aca="false">IF(N3262="N",B3262&amp;"|"&amp;ROUND(O3262,0),"")</f>
        <v/>
      </c>
      <c r="Q3262" s="18" t="str">
        <f aca="false">IF(N3262&lt;&gt;"Y","",IFERROR(INDEX($D$6:$D$4005,MATCH(B3262&amp;"|"&amp;ROUND(_xlfn.MAXIFS($O$6:$O$4005,$B$6:$B$4005,B3262,$N$6:$N$4005,"N"),0),$P$6:$P$4005,0)),"(tanpa lawan)"))</f>
        <v/>
      </c>
      <c r="R3262" s="44"/>
      <c r="S3262" s="9" t="str">
        <f aca="false">IF(N3262&lt;&gt;"Y","",IF(R3262&lt;&gt;"",R3262,IF(Q3262="(tanpa lawan)","Transfer antar rekening",IFERROR(INDEX(I_COA!$F$6:$F$265,MATCH(Q3262,I_COA!$A$6:$A$265,0)),"?"))))</f>
        <v/>
      </c>
    </row>
    <row r="3263" customFormat="false" ht="15" hidden="false" customHeight="false" outlineLevel="0" collapsed="false">
      <c r="A3263" s="37"/>
      <c r="B3263" s="44"/>
      <c r="C3263" s="44"/>
      <c r="D3263" s="44"/>
      <c r="E3263" s="44"/>
      <c r="F3263" s="44"/>
      <c r="G3263" s="42"/>
      <c r="H3263" s="42"/>
      <c r="I3263" s="44"/>
      <c r="J3263" s="11" t="str">
        <f aca="false">IF(D3263="","",N(G3263)-N(H3263))</f>
        <v/>
      </c>
      <c r="K3263" s="34" t="str">
        <f aca="false">IF(D3263="","",IFERROR(INDEX(I_COA!$C$6:$C$265,MATCH(D3263,I_COA!$A$6:$A$265,0)),"AKUN BARU"))</f>
        <v/>
      </c>
      <c r="L3263" s="34" t="str">
        <f aca="false">IF(K3263="LabaRugi",INDEX(I_COA!$D$6:$D$265,MATCH(D3263,I_COA!$A$6:$A$265,0)),"")</f>
        <v/>
      </c>
      <c r="M3263" s="34" t="str">
        <f aca="false">IF(K3263="Neraca",INDEX(I_COA!$E$6:$E$265,MATCH(D3263,I_COA!$A$6:$A$265,0)),"")</f>
        <v/>
      </c>
      <c r="N3263" s="34" t="str">
        <f aca="false">IF(D3263="","",IFERROR(INDEX(I_COA!$G$6:$G$265,MATCH(D3263,I_COA!$A$6:$A$265,0)),"N"))</f>
        <v/>
      </c>
      <c r="O3263" s="11" t="str">
        <f aca="false">IF(N3263="N",ABS(J3263),"")</f>
        <v/>
      </c>
      <c r="P3263" s="18" t="str">
        <f aca="false">IF(N3263="N",B3263&amp;"|"&amp;ROUND(O3263,0),"")</f>
        <v/>
      </c>
      <c r="Q3263" s="18" t="str">
        <f aca="false">IF(N3263&lt;&gt;"Y","",IFERROR(INDEX($D$6:$D$4005,MATCH(B3263&amp;"|"&amp;ROUND(_xlfn.MAXIFS($O$6:$O$4005,$B$6:$B$4005,B3263,$N$6:$N$4005,"N"),0),$P$6:$P$4005,0)),"(tanpa lawan)"))</f>
        <v/>
      </c>
      <c r="R3263" s="44"/>
      <c r="S3263" s="9" t="str">
        <f aca="false">IF(N3263&lt;&gt;"Y","",IF(R3263&lt;&gt;"",R3263,IF(Q3263="(tanpa lawan)","Transfer antar rekening",IFERROR(INDEX(I_COA!$F$6:$F$265,MATCH(Q3263,I_COA!$A$6:$A$265,0)),"?"))))</f>
        <v/>
      </c>
    </row>
    <row r="3264" customFormat="false" ht="15" hidden="false" customHeight="false" outlineLevel="0" collapsed="false">
      <c r="A3264" s="37"/>
      <c r="B3264" s="44"/>
      <c r="C3264" s="44"/>
      <c r="D3264" s="44"/>
      <c r="E3264" s="44"/>
      <c r="F3264" s="44"/>
      <c r="G3264" s="42"/>
      <c r="H3264" s="42"/>
      <c r="I3264" s="44"/>
      <c r="J3264" s="11" t="str">
        <f aca="false">IF(D3264="","",N(G3264)-N(H3264))</f>
        <v/>
      </c>
      <c r="K3264" s="34" t="str">
        <f aca="false">IF(D3264="","",IFERROR(INDEX(I_COA!$C$6:$C$265,MATCH(D3264,I_COA!$A$6:$A$265,0)),"AKUN BARU"))</f>
        <v/>
      </c>
      <c r="L3264" s="34" t="str">
        <f aca="false">IF(K3264="LabaRugi",INDEX(I_COA!$D$6:$D$265,MATCH(D3264,I_COA!$A$6:$A$265,0)),"")</f>
        <v/>
      </c>
      <c r="M3264" s="34" t="str">
        <f aca="false">IF(K3264="Neraca",INDEX(I_COA!$E$6:$E$265,MATCH(D3264,I_COA!$A$6:$A$265,0)),"")</f>
        <v/>
      </c>
      <c r="N3264" s="34" t="str">
        <f aca="false">IF(D3264="","",IFERROR(INDEX(I_COA!$G$6:$G$265,MATCH(D3264,I_COA!$A$6:$A$265,0)),"N"))</f>
        <v/>
      </c>
      <c r="O3264" s="11" t="str">
        <f aca="false">IF(N3264="N",ABS(J3264),"")</f>
        <v/>
      </c>
      <c r="P3264" s="18" t="str">
        <f aca="false">IF(N3264="N",B3264&amp;"|"&amp;ROUND(O3264,0),"")</f>
        <v/>
      </c>
      <c r="Q3264" s="18" t="str">
        <f aca="false">IF(N3264&lt;&gt;"Y","",IFERROR(INDEX($D$6:$D$4005,MATCH(B3264&amp;"|"&amp;ROUND(_xlfn.MAXIFS($O$6:$O$4005,$B$6:$B$4005,B3264,$N$6:$N$4005,"N"),0),$P$6:$P$4005,0)),"(tanpa lawan)"))</f>
        <v/>
      </c>
      <c r="R3264" s="44"/>
      <c r="S3264" s="9" t="str">
        <f aca="false">IF(N3264&lt;&gt;"Y","",IF(R3264&lt;&gt;"",R3264,IF(Q3264="(tanpa lawan)","Transfer antar rekening",IFERROR(INDEX(I_COA!$F$6:$F$265,MATCH(Q3264,I_COA!$A$6:$A$265,0)),"?"))))</f>
        <v/>
      </c>
    </row>
    <row r="3265" customFormat="false" ht="15" hidden="false" customHeight="false" outlineLevel="0" collapsed="false">
      <c r="A3265" s="37"/>
      <c r="B3265" s="44"/>
      <c r="C3265" s="44"/>
      <c r="D3265" s="44"/>
      <c r="E3265" s="44"/>
      <c r="F3265" s="44"/>
      <c r="G3265" s="42"/>
      <c r="H3265" s="42"/>
      <c r="I3265" s="44"/>
      <c r="J3265" s="11" t="str">
        <f aca="false">IF(D3265="","",N(G3265)-N(H3265))</f>
        <v/>
      </c>
      <c r="K3265" s="34" t="str">
        <f aca="false">IF(D3265="","",IFERROR(INDEX(I_COA!$C$6:$C$265,MATCH(D3265,I_COA!$A$6:$A$265,0)),"AKUN BARU"))</f>
        <v/>
      </c>
      <c r="L3265" s="34" t="str">
        <f aca="false">IF(K3265="LabaRugi",INDEX(I_COA!$D$6:$D$265,MATCH(D3265,I_COA!$A$6:$A$265,0)),"")</f>
        <v/>
      </c>
      <c r="M3265" s="34" t="str">
        <f aca="false">IF(K3265="Neraca",INDEX(I_COA!$E$6:$E$265,MATCH(D3265,I_COA!$A$6:$A$265,0)),"")</f>
        <v/>
      </c>
      <c r="N3265" s="34" t="str">
        <f aca="false">IF(D3265="","",IFERROR(INDEX(I_COA!$G$6:$G$265,MATCH(D3265,I_COA!$A$6:$A$265,0)),"N"))</f>
        <v/>
      </c>
      <c r="O3265" s="11" t="str">
        <f aca="false">IF(N3265="N",ABS(J3265),"")</f>
        <v/>
      </c>
      <c r="P3265" s="18" t="str">
        <f aca="false">IF(N3265="N",B3265&amp;"|"&amp;ROUND(O3265,0),"")</f>
        <v/>
      </c>
      <c r="Q3265" s="18" t="str">
        <f aca="false">IF(N3265&lt;&gt;"Y","",IFERROR(INDEX($D$6:$D$4005,MATCH(B3265&amp;"|"&amp;ROUND(_xlfn.MAXIFS($O$6:$O$4005,$B$6:$B$4005,B3265,$N$6:$N$4005,"N"),0),$P$6:$P$4005,0)),"(tanpa lawan)"))</f>
        <v/>
      </c>
      <c r="R3265" s="44"/>
      <c r="S3265" s="9" t="str">
        <f aca="false">IF(N3265&lt;&gt;"Y","",IF(R3265&lt;&gt;"",R3265,IF(Q3265="(tanpa lawan)","Transfer antar rekening",IFERROR(INDEX(I_COA!$F$6:$F$265,MATCH(Q3265,I_COA!$A$6:$A$265,0)),"?"))))</f>
        <v/>
      </c>
    </row>
    <row r="3266" customFormat="false" ht="15" hidden="false" customHeight="false" outlineLevel="0" collapsed="false">
      <c r="A3266" s="37"/>
      <c r="B3266" s="44"/>
      <c r="C3266" s="44"/>
      <c r="D3266" s="44"/>
      <c r="E3266" s="44"/>
      <c r="F3266" s="44"/>
      <c r="G3266" s="42"/>
      <c r="H3266" s="42"/>
      <c r="I3266" s="44"/>
      <c r="J3266" s="11" t="str">
        <f aca="false">IF(D3266="","",N(G3266)-N(H3266))</f>
        <v/>
      </c>
      <c r="K3266" s="34" t="str">
        <f aca="false">IF(D3266="","",IFERROR(INDEX(I_COA!$C$6:$C$265,MATCH(D3266,I_COA!$A$6:$A$265,0)),"AKUN BARU"))</f>
        <v/>
      </c>
      <c r="L3266" s="34" t="str">
        <f aca="false">IF(K3266="LabaRugi",INDEX(I_COA!$D$6:$D$265,MATCH(D3266,I_COA!$A$6:$A$265,0)),"")</f>
        <v/>
      </c>
      <c r="M3266" s="34" t="str">
        <f aca="false">IF(K3266="Neraca",INDEX(I_COA!$E$6:$E$265,MATCH(D3266,I_COA!$A$6:$A$265,0)),"")</f>
        <v/>
      </c>
      <c r="N3266" s="34" t="str">
        <f aca="false">IF(D3266="","",IFERROR(INDEX(I_COA!$G$6:$G$265,MATCH(D3266,I_COA!$A$6:$A$265,0)),"N"))</f>
        <v/>
      </c>
      <c r="O3266" s="11" t="str">
        <f aca="false">IF(N3266="N",ABS(J3266),"")</f>
        <v/>
      </c>
      <c r="P3266" s="18" t="str">
        <f aca="false">IF(N3266="N",B3266&amp;"|"&amp;ROUND(O3266,0),"")</f>
        <v/>
      </c>
      <c r="Q3266" s="18" t="str">
        <f aca="false">IF(N3266&lt;&gt;"Y","",IFERROR(INDEX($D$6:$D$4005,MATCH(B3266&amp;"|"&amp;ROUND(_xlfn.MAXIFS($O$6:$O$4005,$B$6:$B$4005,B3266,$N$6:$N$4005,"N"),0),$P$6:$P$4005,0)),"(tanpa lawan)"))</f>
        <v/>
      </c>
      <c r="R3266" s="44"/>
      <c r="S3266" s="9" t="str">
        <f aca="false">IF(N3266&lt;&gt;"Y","",IF(R3266&lt;&gt;"",R3266,IF(Q3266="(tanpa lawan)","Transfer antar rekening",IFERROR(INDEX(I_COA!$F$6:$F$265,MATCH(Q3266,I_COA!$A$6:$A$265,0)),"?"))))</f>
        <v/>
      </c>
    </row>
    <row r="3267" customFormat="false" ht="15" hidden="false" customHeight="false" outlineLevel="0" collapsed="false">
      <c r="A3267" s="37"/>
      <c r="B3267" s="44"/>
      <c r="C3267" s="44"/>
      <c r="D3267" s="44"/>
      <c r="E3267" s="44"/>
      <c r="F3267" s="44"/>
      <c r="G3267" s="42"/>
      <c r="H3267" s="42"/>
      <c r="I3267" s="44"/>
      <c r="J3267" s="11" t="str">
        <f aca="false">IF(D3267="","",N(G3267)-N(H3267))</f>
        <v/>
      </c>
      <c r="K3267" s="34" t="str">
        <f aca="false">IF(D3267="","",IFERROR(INDEX(I_COA!$C$6:$C$265,MATCH(D3267,I_COA!$A$6:$A$265,0)),"AKUN BARU"))</f>
        <v/>
      </c>
      <c r="L3267" s="34" t="str">
        <f aca="false">IF(K3267="LabaRugi",INDEX(I_COA!$D$6:$D$265,MATCH(D3267,I_COA!$A$6:$A$265,0)),"")</f>
        <v/>
      </c>
      <c r="M3267" s="34" t="str">
        <f aca="false">IF(K3267="Neraca",INDEX(I_COA!$E$6:$E$265,MATCH(D3267,I_COA!$A$6:$A$265,0)),"")</f>
        <v/>
      </c>
      <c r="N3267" s="34" t="str">
        <f aca="false">IF(D3267="","",IFERROR(INDEX(I_COA!$G$6:$G$265,MATCH(D3267,I_COA!$A$6:$A$265,0)),"N"))</f>
        <v/>
      </c>
      <c r="O3267" s="11" t="str">
        <f aca="false">IF(N3267="N",ABS(J3267),"")</f>
        <v/>
      </c>
      <c r="P3267" s="18" t="str">
        <f aca="false">IF(N3267="N",B3267&amp;"|"&amp;ROUND(O3267,0),"")</f>
        <v/>
      </c>
      <c r="Q3267" s="18" t="str">
        <f aca="false">IF(N3267&lt;&gt;"Y","",IFERROR(INDEX($D$6:$D$4005,MATCH(B3267&amp;"|"&amp;ROUND(_xlfn.MAXIFS($O$6:$O$4005,$B$6:$B$4005,B3267,$N$6:$N$4005,"N"),0),$P$6:$P$4005,0)),"(tanpa lawan)"))</f>
        <v/>
      </c>
      <c r="R3267" s="44"/>
      <c r="S3267" s="9" t="str">
        <f aca="false">IF(N3267&lt;&gt;"Y","",IF(R3267&lt;&gt;"",R3267,IF(Q3267="(tanpa lawan)","Transfer antar rekening",IFERROR(INDEX(I_COA!$F$6:$F$265,MATCH(Q3267,I_COA!$A$6:$A$265,0)),"?"))))</f>
        <v/>
      </c>
    </row>
    <row r="3268" customFormat="false" ht="15" hidden="false" customHeight="false" outlineLevel="0" collapsed="false">
      <c r="A3268" s="37"/>
      <c r="B3268" s="44"/>
      <c r="C3268" s="44"/>
      <c r="D3268" s="44"/>
      <c r="E3268" s="44"/>
      <c r="F3268" s="44"/>
      <c r="G3268" s="42"/>
      <c r="H3268" s="42"/>
      <c r="I3268" s="44"/>
      <c r="J3268" s="11" t="str">
        <f aca="false">IF(D3268="","",N(G3268)-N(H3268))</f>
        <v/>
      </c>
      <c r="K3268" s="34" t="str">
        <f aca="false">IF(D3268="","",IFERROR(INDEX(I_COA!$C$6:$C$265,MATCH(D3268,I_COA!$A$6:$A$265,0)),"AKUN BARU"))</f>
        <v/>
      </c>
      <c r="L3268" s="34" t="str">
        <f aca="false">IF(K3268="LabaRugi",INDEX(I_COA!$D$6:$D$265,MATCH(D3268,I_COA!$A$6:$A$265,0)),"")</f>
        <v/>
      </c>
      <c r="M3268" s="34" t="str">
        <f aca="false">IF(K3268="Neraca",INDEX(I_COA!$E$6:$E$265,MATCH(D3268,I_COA!$A$6:$A$265,0)),"")</f>
        <v/>
      </c>
      <c r="N3268" s="34" t="str">
        <f aca="false">IF(D3268="","",IFERROR(INDEX(I_COA!$G$6:$G$265,MATCH(D3268,I_COA!$A$6:$A$265,0)),"N"))</f>
        <v/>
      </c>
      <c r="O3268" s="11" t="str">
        <f aca="false">IF(N3268="N",ABS(J3268),"")</f>
        <v/>
      </c>
      <c r="P3268" s="18" t="str">
        <f aca="false">IF(N3268="N",B3268&amp;"|"&amp;ROUND(O3268,0),"")</f>
        <v/>
      </c>
      <c r="Q3268" s="18" t="str">
        <f aca="false">IF(N3268&lt;&gt;"Y","",IFERROR(INDEX($D$6:$D$4005,MATCH(B3268&amp;"|"&amp;ROUND(_xlfn.MAXIFS($O$6:$O$4005,$B$6:$B$4005,B3268,$N$6:$N$4005,"N"),0),$P$6:$P$4005,0)),"(tanpa lawan)"))</f>
        <v/>
      </c>
      <c r="R3268" s="44"/>
      <c r="S3268" s="9" t="str">
        <f aca="false">IF(N3268&lt;&gt;"Y","",IF(R3268&lt;&gt;"",R3268,IF(Q3268="(tanpa lawan)","Transfer antar rekening",IFERROR(INDEX(I_COA!$F$6:$F$265,MATCH(Q3268,I_COA!$A$6:$A$265,0)),"?"))))</f>
        <v/>
      </c>
    </row>
    <row r="3269" customFormat="false" ht="15" hidden="false" customHeight="false" outlineLevel="0" collapsed="false">
      <c r="A3269" s="37"/>
      <c r="B3269" s="44"/>
      <c r="C3269" s="44"/>
      <c r="D3269" s="44"/>
      <c r="E3269" s="44"/>
      <c r="F3269" s="44"/>
      <c r="G3269" s="42"/>
      <c r="H3269" s="42"/>
      <c r="I3269" s="44"/>
      <c r="J3269" s="11" t="str">
        <f aca="false">IF(D3269="","",N(G3269)-N(H3269))</f>
        <v/>
      </c>
      <c r="K3269" s="34" t="str">
        <f aca="false">IF(D3269="","",IFERROR(INDEX(I_COA!$C$6:$C$265,MATCH(D3269,I_COA!$A$6:$A$265,0)),"AKUN BARU"))</f>
        <v/>
      </c>
      <c r="L3269" s="34" t="str">
        <f aca="false">IF(K3269="LabaRugi",INDEX(I_COA!$D$6:$D$265,MATCH(D3269,I_COA!$A$6:$A$265,0)),"")</f>
        <v/>
      </c>
      <c r="M3269" s="34" t="str">
        <f aca="false">IF(K3269="Neraca",INDEX(I_COA!$E$6:$E$265,MATCH(D3269,I_COA!$A$6:$A$265,0)),"")</f>
        <v/>
      </c>
      <c r="N3269" s="34" t="str">
        <f aca="false">IF(D3269="","",IFERROR(INDEX(I_COA!$G$6:$G$265,MATCH(D3269,I_COA!$A$6:$A$265,0)),"N"))</f>
        <v/>
      </c>
      <c r="O3269" s="11" t="str">
        <f aca="false">IF(N3269="N",ABS(J3269),"")</f>
        <v/>
      </c>
      <c r="P3269" s="18" t="str">
        <f aca="false">IF(N3269="N",B3269&amp;"|"&amp;ROUND(O3269,0),"")</f>
        <v/>
      </c>
      <c r="Q3269" s="18" t="str">
        <f aca="false">IF(N3269&lt;&gt;"Y","",IFERROR(INDEX($D$6:$D$4005,MATCH(B3269&amp;"|"&amp;ROUND(_xlfn.MAXIFS($O$6:$O$4005,$B$6:$B$4005,B3269,$N$6:$N$4005,"N"),0),$P$6:$P$4005,0)),"(tanpa lawan)"))</f>
        <v/>
      </c>
      <c r="R3269" s="44"/>
      <c r="S3269" s="9" t="str">
        <f aca="false">IF(N3269&lt;&gt;"Y","",IF(R3269&lt;&gt;"",R3269,IF(Q3269="(tanpa lawan)","Transfer antar rekening",IFERROR(INDEX(I_COA!$F$6:$F$265,MATCH(Q3269,I_COA!$A$6:$A$265,0)),"?"))))</f>
        <v/>
      </c>
    </row>
    <row r="3270" customFormat="false" ht="15" hidden="false" customHeight="false" outlineLevel="0" collapsed="false">
      <c r="A3270" s="37"/>
      <c r="B3270" s="44"/>
      <c r="C3270" s="44"/>
      <c r="D3270" s="44"/>
      <c r="E3270" s="44"/>
      <c r="F3270" s="44"/>
      <c r="G3270" s="42"/>
      <c r="H3270" s="42"/>
      <c r="I3270" s="44"/>
      <c r="J3270" s="11" t="str">
        <f aca="false">IF(D3270="","",N(G3270)-N(H3270))</f>
        <v/>
      </c>
      <c r="K3270" s="34" t="str">
        <f aca="false">IF(D3270="","",IFERROR(INDEX(I_COA!$C$6:$C$265,MATCH(D3270,I_COA!$A$6:$A$265,0)),"AKUN BARU"))</f>
        <v/>
      </c>
      <c r="L3270" s="34" t="str">
        <f aca="false">IF(K3270="LabaRugi",INDEX(I_COA!$D$6:$D$265,MATCH(D3270,I_COA!$A$6:$A$265,0)),"")</f>
        <v/>
      </c>
      <c r="M3270" s="34" t="str">
        <f aca="false">IF(K3270="Neraca",INDEX(I_COA!$E$6:$E$265,MATCH(D3270,I_COA!$A$6:$A$265,0)),"")</f>
        <v/>
      </c>
      <c r="N3270" s="34" t="str">
        <f aca="false">IF(D3270="","",IFERROR(INDEX(I_COA!$G$6:$G$265,MATCH(D3270,I_COA!$A$6:$A$265,0)),"N"))</f>
        <v/>
      </c>
      <c r="O3270" s="11" t="str">
        <f aca="false">IF(N3270="N",ABS(J3270),"")</f>
        <v/>
      </c>
      <c r="P3270" s="18" t="str">
        <f aca="false">IF(N3270="N",B3270&amp;"|"&amp;ROUND(O3270,0),"")</f>
        <v/>
      </c>
      <c r="Q3270" s="18" t="str">
        <f aca="false">IF(N3270&lt;&gt;"Y","",IFERROR(INDEX($D$6:$D$4005,MATCH(B3270&amp;"|"&amp;ROUND(_xlfn.MAXIFS($O$6:$O$4005,$B$6:$B$4005,B3270,$N$6:$N$4005,"N"),0),$P$6:$P$4005,0)),"(tanpa lawan)"))</f>
        <v/>
      </c>
      <c r="R3270" s="44"/>
      <c r="S3270" s="9" t="str">
        <f aca="false">IF(N3270&lt;&gt;"Y","",IF(R3270&lt;&gt;"",R3270,IF(Q3270="(tanpa lawan)","Transfer antar rekening",IFERROR(INDEX(I_COA!$F$6:$F$265,MATCH(Q3270,I_COA!$A$6:$A$265,0)),"?"))))</f>
        <v/>
      </c>
    </row>
    <row r="3271" customFormat="false" ht="15" hidden="false" customHeight="false" outlineLevel="0" collapsed="false">
      <c r="A3271" s="37"/>
      <c r="B3271" s="44"/>
      <c r="C3271" s="44"/>
      <c r="D3271" s="44"/>
      <c r="E3271" s="44"/>
      <c r="F3271" s="44"/>
      <c r="G3271" s="42"/>
      <c r="H3271" s="42"/>
      <c r="I3271" s="44"/>
      <c r="J3271" s="11" t="str">
        <f aca="false">IF(D3271="","",N(G3271)-N(H3271))</f>
        <v/>
      </c>
      <c r="K3271" s="34" t="str">
        <f aca="false">IF(D3271="","",IFERROR(INDEX(I_COA!$C$6:$C$265,MATCH(D3271,I_COA!$A$6:$A$265,0)),"AKUN BARU"))</f>
        <v/>
      </c>
      <c r="L3271" s="34" t="str">
        <f aca="false">IF(K3271="LabaRugi",INDEX(I_COA!$D$6:$D$265,MATCH(D3271,I_COA!$A$6:$A$265,0)),"")</f>
        <v/>
      </c>
      <c r="M3271" s="34" t="str">
        <f aca="false">IF(K3271="Neraca",INDEX(I_COA!$E$6:$E$265,MATCH(D3271,I_COA!$A$6:$A$265,0)),"")</f>
        <v/>
      </c>
      <c r="N3271" s="34" t="str">
        <f aca="false">IF(D3271="","",IFERROR(INDEX(I_COA!$G$6:$G$265,MATCH(D3271,I_COA!$A$6:$A$265,0)),"N"))</f>
        <v/>
      </c>
      <c r="O3271" s="11" t="str">
        <f aca="false">IF(N3271="N",ABS(J3271),"")</f>
        <v/>
      </c>
      <c r="P3271" s="18" t="str">
        <f aca="false">IF(N3271="N",B3271&amp;"|"&amp;ROUND(O3271,0),"")</f>
        <v/>
      </c>
      <c r="Q3271" s="18" t="str">
        <f aca="false">IF(N3271&lt;&gt;"Y","",IFERROR(INDEX($D$6:$D$4005,MATCH(B3271&amp;"|"&amp;ROUND(_xlfn.MAXIFS($O$6:$O$4005,$B$6:$B$4005,B3271,$N$6:$N$4005,"N"),0),$P$6:$P$4005,0)),"(tanpa lawan)"))</f>
        <v/>
      </c>
      <c r="R3271" s="44"/>
      <c r="S3271" s="9" t="str">
        <f aca="false">IF(N3271&lt;&gt;"Y","",IF(R3271&lt;&gt;"",R3271,IF(Q3271="(tanpa lawan)","Transfer antar rekening",IFERROR(INDEX(I_COA!$F$6:$F$265,MATCH(Q3271,I_COA!$A$6:$A$265,0)),"?"))))</f>
        <v/>
      </c>
    </row>
    <row r="3272" customFormat="false" ht="15" hidden="false" customHeight="false" outlineLevel="0" collapsed="false">
      <c r="A3272" s="37"/>
      <c r="B3272" s="44"/>
      <c r="C3272" s="44"/>
      <c r="D3272" s="44"/>
      <c r="E3272" s="44"/>
      <c r="F3272" s="44"/>
      <c r="G3272" s="42"/>
      <c r="H3272" s="42"/>
      <c r="I3272" s="44"/>
      <c r="J3272" s="11" t="str">
        <f aca="false">IF(D3272="","",N(G3272)-N(H3272))</f>
        <v/>
      </c>
      <c r="K3272" s="34" t="str">
        <f aca="false">IF(D3272="","",IFERROR(INDEX(I_COA!$C$6:$C$265,MATCH(D3272,I_COA!$A$6:$A$265,0)),"AKUN BARU"))</f>
        <v/>
      </c>
      <c r="L3272" s="34" t="str">
        <f aca="false">IF(K3272="LabaRugi",INDEX(I_COA!$D$6:$D$265,MATCH(D3272,I_COA!$A$6:$A$265,0)),"")</f>
        <v/>
      </c>
      <c r="M3272" s="34" t="str">
        <f aca="false">IF(K3272="Neraca",INDEX(I_COA!$E$6:$E$265,MATCH(D3272,I_COA!$A$6:$A$265,0)),"")</f>
        <v/>
      </c>
      <c r="N3272" s="34" t="str">
        <f aca="false">IF(D3272="","",IFERROR(INDEX(I_COA!$G$6:$G$265,MATCH(D3272,I_COA!$A$6:$A$265,0)),"N"))</f>
        <v/>
      </c>
      <c r="O3272" s="11" t="str">
        <f aca="false">IF(N3272="N",ABS(J3272),"")</f>
        <v/>
      </c>
      <c r="P3272" s="18" t="str">
        <f aca="false">IF(N3272="N",B3272&amp;"|"&amp;ROUND(O3272,0),"")</f>
        <v/>
      </c>
      <c r="Q3272" s="18" t="str">
        <f aca="false">IF(N3272&lt;&gt;"Y","",IFERROR(INDEX($D$6:$D$4005,MATCH(B3272&amp;"|"&amp;ROUND(_xlfn.MAXIFS($O$6:$O$4005,$B$6:$B$4005,B3272,$N$6:$N$4005,"N"),0),$P$6:$P$4005,0)),"(tanpa lawan)"))</f>
        <v/>
      </c>
      <c r="R3272" s="44"/>
      <c r="S3272" s="9" t="str">
        <f aca="false">IF(N3272&lt;&gt;"Y","",IF(R3272&lt;&gt;"",R3272,IF(Q3272="(tanpa lawan)","Transfer antar rekening",IFERROR(INDEX(I_COA!$F$6:$F$265,MATCH(Q3272,I_COA!$A$6:$A$265,0)),"?"))))</f>
        <v/>
      </c>
    </row>
    <row r="3273" customFormat="false" ht="15" hidden="false" customHeight="false" outlineLevel="0" collapsed="false">
      <c r="A3273" s="37"/>
      <c r="B3273" s="44"/>
      <c r="C3273" s="44"/>
      <c r="D3273" s="44"/>
      <c r="E3273" s="44"/>
      <c r="F3273" s="44"/>
      <c r="G3273" s="42"/>
      <c r="H3273" s="42"/>
      <c r="I3273" s="44"/>
      <c r="J3273" s="11" t="str">
        <f aca="false">IF(D3273="","",N(G3273)-N(H3273))</f>
        <v/>
      </c>
      <c r="K3273" s="34" t="str">
        <f aca="false">IF(D3273="","",IFERROR(INDEX(I_COA!$C$6:$C$265,MATCH(D3273,I_COA!$A$6:$A$265,0)),"AKUN BARU"))</f>
        <v/>
      </c>
      <c r="L3273" s="34" t="str">
        <f aca="false">IF(K3273="LabaRugi",INDEX(I_COA!$D$6:$D$265,MATCH(D3273,I_COA!$A$6:$A$265,0)),"")</f>
        <v/>
      </c>
      <c r="M3273" s="34" t="str">
        <f aca="false">IF(K3273="Neraca",INDEX(I_COA!$E$6:$E$265,MATCH(D3273,I_COA!$A$6:$A$265,0)),"")</f>
        <v/>
      </c>
      <c r="N3273" s="34" t="str">
        <f aca="false">IF(D3273="","",IFERROR(INDEX(I_COA!$G$6:$G$265,MATCH(D3273,I_COA!$A$6:$A$265,0)),"N"))</f>
        <v/>
      </c>
      <c r="O3273" s="11" t="str">
        <f aca="false">IF(N3273="N",ABS(J3273),"")</f>
        <v/>
      </c>
      <c r="P3273" s="18" t="str">
        <f aca="false">IF(N3273="N",B3273&amp;"|"&amp;ROUND(O3273,0),"")</f>
        <v/>
      </c>
      <c r="Q3273" s="18" t="str">
        <f aca="false">IF(N3273&lt;&gt;"Y","",IFERROR(INDEX($D$6:$D$4005,MATCH(B3273&amp;"|"&amp;ROUND(_xlfn.MAXIFS($O$6:$O$4005,$B$6:$B$4005,B3273,$N$6:$N$4005,"N"),0),$P$6:$P$4005,0)),"(tanpa lawan)"))</f>
        <v/>
      </c>
      <c r="R3273" s="44"/>
      <c r="S3273" s="9" t="str">
        <f aca="false">IF(N3273&lt;&gt;"Y","",IF(R3273&lt;&gt;"",R3273,IF(Q3273="(tanpa lawan)","Transfer antar rekening",IFERROR(INDEX(I_COA!$F$6:$F$265,MATCH(Q3273,I_COA!$A$6:$A$265,0)),"?"))))</f>
        <v/>
      </c>
    </row>
    <row r="3274" customFormat="false" ht="15" hidden="false" customHeight="false" outlineLevel="0" collapsed="false">
      <c r="A3274" s="37"/>
      <c r="B3274" s="44"/>
      <c r="C3274" s="44"/>
      <c r="D3274" s="44"/>
      <c r="E3274" s="44"/>
      <c r="F3274" s="44"/>
      <c r="G3274" s="42"/>
      <c r="H3274" s="42"/>
      <c r="I3274" s="44"/>
      <c r="J3274" s="11" t="str">
        <f aca="false">IF(D3274="","",N(G3274)-N(H3274))</f>
        <v/>
      </c>
      <c r="K3274" s="34" t="str">
        <f aca="false">IF(D3274="","",IFERROR(INDEX(I_COA!$C$6:$C$265,MATCH(D3274,I_COA!$A$6:$A$265,0)),"AKUN BARU"))</f>
        <v/>
      </c>
      <c r="L3274" s="34" t="str">
        <f aca="false">IF(K3274="LabaRugi",INDEX(I_COA!$D$6:$D$265,MATCH(D3274,I_COA!$A$6:$A$265,0)),"")</f>
        <v/>
      </c>
      <c r="M3274" s="34" t="str">
        <f aca="false">IF(K3274="Neraca",INDEX(I_COA!$E$6:$E$265,MATCH(D3274,I_COA!$A$6:$A$265,0)),"")</f>
        <v/>
      </c>
      <c r="N3274" s="34" t="str">
        <f aca="false">IF(D3274="","",IFERROR(INDEX(I_COA!$G$6:$G$265,MATCH(D3274,I_COA!$A$6:$A$265,0)),"N"))</f>
        <v/>
      </c>
      <c r="O3274" s="11" t="str">
        <f aca="false">IF(N3274="N",ABS(J3274),"")</f>
        <v/>
      </c>
      <c r="P3274" s="18" t="str">
        <f aca="false">IF(N3274="N",B3274&amp;"|"&amp;ROUND(O3274,0),"")</f>
        <v/>
      </c>
      <c r="Q3274" s="18" t="str">
        <f aca="false">IF(N3274&lt;&gt;"Y","",IFERROR(INDEX($D$6:$D$4005,MATCH(B3274&amp;"|"&amp;ROUND(_xlfn.MAXIFS($O$6:$O$4005,$B$6:$B$4005,B3274,$N$6:$N$4005,"N"),0),$P$6:$P$4005,0)),"(tanpa lawan)"))</f>
        <v/>
      </c>
      <c r="R3274" s="44"/>
      <c r="S3274" s="9" t="str">
        <f aca="false">IF(N3274&lt;&gt;"Y","",IF(R3274&lt;&gt;"",R3274,IF(Q3274="(tanpa lawan)","Transfer antar rekening",IFERROR(INDEX(I_COA!$F$6:$F$265,MATCH(Q3274,I_COA!$A$6:$A$265,0)),"?"))))</f>
        <v/>
      </c>
    </row>
    <row r="3275" customFormat="false" ht="15" hidden="false" customHeight="false" outlineLevel="0" collapsed="false">
      <c r="A3275" s="37"/>
      <c r="B3275" s="44"/>
      <c r="C3275" s="44"/>
      <c r="D3275" s="44"/>
      <c r="E3275" s="44"/>
      <c r="F3275" s="44"/>
      <c r="G3275" s="42"/>
      <c r="H3275" s="42"/>
      <c r="I3275" s="44"/>
      <c r="J3275" s="11" t="str">
        <f aca="false">IF(D3275="","",N(G3275)-N(H3275))</f>
        <v/>
      </c>
      <c r="K3275" s="34" t="str">
        <f aca="false">IF(D3275="","",IFERROR(INDEX(I_COA!$C$6:$C$265,MATCH(D3275,I_COA!$A$6:$A$265,0)),"AKUN BARU"))</f>
        <v/>
      </c>
      <c r="L3275" s="34" t="str">
        <f aca="false">IF(K3275="LabaRugi",INDEX(I_COA!$D$6:$D$265,MATCH(D3275,I_COA!$A$6:$A$265,0)),"")</f>
        <v/>
      </c>
      <c r="M3275" s="34" t="str">
        <f aca="false">IF(K3275="Neraca",INDEX(I_COA!$E$6:$E$265,MATCH(D3275,I_COA!$A$6:$A$265,0)),"")</f>
        <v/>
      </c>
      <c r="N3275" s="34" t="str">
        <f aca="false">IF(D3275="","",IFERROR(INDEX(I_COA!$G$6:$G$265,MATCH(D3275,I_COA!$A$6:$A$265,0)),"N"))</f>
        <v/>
      </c>
      <c r="O3275" s="11" t="str">
        <f aca="false">IF(N3275="N",ABS(J3275),"")</f>
        <v/>
      </c>
      <c r="P3275" s="18" t="str">
        <f aca="false">IF(N3275="N",B3275&amp;"|"&amp;ROUND(O3275,0),"")</f>
        <v/>
      </c>
      <c r="Q3275" s="18" t="str">
        <f aca="false">IF(N3275&lt;&gt;"Y","",IFERROR(INDEX($D$6:$D$4005,MATCH(B3275&amp;"|"&amp;ROUND(_xlfn.MAXIFS($O$6:$O$4005,$B$6:$B$4005,B3275,$N$6:$N$4005,"N"),0),$P$6:$P$4005,0)),"(tanpa lawan)"))</f>
        <v/>
      </c>
      <c r="R3275" s="44"/>
      <c r="S3275" s="9" t="str">
        <f aca="false">IF(N3275&lt;&gt;"Y","",IF(R3275&lt;&gt;"",R3275,IF(Q3275="(tanpa lawan)","Transfer antar rekening",IFERROR(INDEX(I_COA!$F$6:$F$265,MATCH(Q3275,I_COA!$A$6:$A$265,0)),"?"))))</f>
        <v/>
      </c>
    </row>
    <row r="3276" customFormat="false" ht="15" hidden="false" customHeight="false" outlineLevel="0" collapsed="false">
      <c r="A3276" s="37"/>
      <c r="B3276" s="44"/>
      <c r="C3276" s="44"/>
      <c r="D3276" s="44"/>
      <c r="E3276" s="44"/>
      <c r="F3276" s="44"/>
      <c r="G3276" s="42"/>
      <c r="H3276" s="42"/>
      <c r="I3276" s="44"/>
      <c r="J3276" s="11" t="str">
        <f aca="false">IF(D3276="","",N(G3276)-N(H3276))</f>
        <v/>
      </c>
      <c r="K3276" s="34" t="str">
        <f aca="false">IF(D3276="","",IFERROR(INDEX(I_COA!$C$6:$C$265,MATCH(D3276,I_COA!$A$6:$A$265,0)),"AKUN BARU"))</f>
        <v/>
      </c>
      <c r="L3276" s="34" t="str">
        <f aca="false">IF(K3276="LabaRugi",INDEX(I_COA!$D$6:$D$265,MATCH(D3276,I_COA!$A$6:$A$265,0)),"")</f>
        <v/>
      </c>
      <c r="M3276" s="34" t="str">
        <f aca="false">IF(K3276="Neraca",INDEX(I_COA!$E$6:$E$265,MATCH(D3276,I_COA!$A$6:$A$265,0)),"")</f>
        <v/>
      </c>
      <c r="N3276" s="34" t="str">
        <f aca="false">IF(D3276="","",IFERROR(INDEX(I_COA!$G$6:$G$265,MATCH(D3276,I_COA!$A$6:$A$265,0)),"N"))</f>
        <v/>
      </c>
      <c r="O3276" s="11" t="str">
        <f aca="false">IF(N3276="N",ABS(J3276),"")</f>
        <v/>
      </c>
      <c r="P3276" s="18" t="str">
        <f aca="false">IF(N3276="N",B3276&amp;"|"&amp;ROUND(O3276,0),"")</f>
        <v/>
      </c>
      <c r="Q3276" s="18" t="str">
        <f aca="false">IF(N3276&lt;&gt;"Y","",IFERROR(INDEX($D$6:$D$4005,MATCH(B3276&amp;"|"&amp;ROUND(_xlfn.MAXIFS($O$6:$O$4005,$B$6:$B$4005,B3276,$N$6:$N$4005,"N"),0),$P$6:$P$4005,0)),"(tanpa lawan)"))</f>
        <v/>
      </c>
      <c r="R3276" s="44"/>
      <c r="S3276" s="9" t="str">
        <f aca="false">IF(N3276&lt;&gt;"Y","",IF(R3276&lt;&gt;"",R3276,IF(Q3276="(tanpa lawan)","Transfer antar rekening",IFERROR(INDEX(I_COA!$F$6:$F$265,MATCH(Q3276,I_COA!$A$6:$A$265,0)),"?"))))</f>
        <v/>
      </c>
    </row>
    <row r="3277" customFormat="false" ht="15" hidden="false" customHeight="false" outlineLevel="0" collapsed="false">
      <c r="A3277" s="37"/>
      <c r="B3277" s="44"/>
      <c r="C3277" s="44"/>
      <c r="D3277" s="44"/>
      <c r="E3277" s="44"/>
      <c r="F3277" s="44"/>
      <c r="G3277" s="42"/>
      <c r="H3277" s="42"/>
      <c r="I3277" s="44"/>
      <c r="J3277" s="11" t="str">
        <f aca="false">IF(D3277="","",N(G3277)-N(H3277))</f>
        <v/>
      </c>
      <c r="K3277" s="34" t="str">
        <f aca="false">IF(D3277="","",IFERROR(INDEX(I_COA!$C$6:$C$265,MATCH(D3277,I_COA!$A$6:$A$265,0)),"AKUN BARU"))</f>
        <v/>
      </c>
      <c r="L3277" s="34" t="str">
        <f aca="false">IF(K3277="LabaRugi",INDEX(I_COA!$D$6:$D$265,MATCH(D3277,I_COA!$A$6:$A$265,0)),"")</f>
        <v/>
      </c>
      <c r="M3277" s="34" t="str">
        <f aca="false">IF(K3277="Neraca",INDEX(I_COA!$E$6:$E$265,MATCH(D3277,I_COA!$A$6:$A$265,0)),"")</f>
        <v/>
      </c>
      <c r="N3277" s="34" t="str">
        <f aca="false">IF(D3277="","",IFERROR(INDEX(I_COA!$G$6:$G$265,MATCH(D3277,I_COA!$A$6:$A$265,0)),"N"))</f>
        <v/>
      </c>
      <c r="O3277" s="11" t="str">
        <f aca="false">IF(N3277="N",ABS(J3277),"")</f>
        <v/>
      </c>
      <c r="P3277" s="18" t="str">
        <f aca="false">IF(N3277="N",B3277&amp;"|"&amp;ROUND(O3277,0),"")</f>
        <v/>
      </c>
      <c r="Q3277" s="18" t="str">
        <f aca="false">IF(N3277&lt;&gt;"Y","",IFERROR(INDEX($D$6:$D$4005,MATCH(B3277&amp;"|"&amp;ROUND(_xlfn.MAXIFS($O$6:$O$4005,$B$6:$B$4005,B3277,$N$6:$N$4005,"N"),0),$P$6:$P$4005,0)),"(tanpa lawan)"))</f>
        <v/>
      </c>
      <c r="R3277" s="44"/>
      <c r="S3277" s="9" t="str">
        <f aca="false">IF(N3277&lt;&gt;"Y","",IF(R3277&lt;&gt;"",R3277,IF(Q3277="(tanpa lawan)","Transfer antar rekening",IFERROR(INDEX(I_COA!$F$6:$F$265,MATCH(Q3277,I_COA!$A$6:$A$265,0)),"?"))))</f>
        <v/>
      </c>
    </row>
    <row r="3278" customFormat="false" ht="15" hidden="false" customHeight="false" outlineLevel="0" collapsed="false">
      <c r="A3278" s="37"/>
      <c r="B3278" s="44"/>
      <c r="C3278" s="44"/>
      <c r="D3278" s="44"/>
      <c r="E3278" s="44"/>
      <c r="F3278" s="44"/>
      <c r="G3278" s="42"/>
      <c r="H3278" s="42"/>
      <c r="I3278" s="44"/>
      <c r="J3278" s="11" t="str">
        <f aca="false">IF(D3278="","",N(G3278)-N(H3278))</f>
        <v/>
      </c>
      <c r="K3278" s="34" t="str">
        <f aca="false">IF(D3278="","",IFERROR(INDEX(I_COA!$C$6:$C$265,MATCH(D3278,I_COA!$A$6:$A$265,0)),"AKUN BARU"))</f>
        <v/>
      </c>
      <c r="L3278" s="34" t="str">
        <f aca="false">IF(K3278="LabaRugi",INDEX(I_COA!$D$6:$D$265,MATCH(D3278,I_COA!$A$6:$A$265,0)),"")</f>
        <v/>
      </c>
      <c r="M3278" s="34" t="str">
        <f aca="false">IF(K3278="Neraca",INDEX(I_COA!$E$6:$E$265,MATCH(D3278,I_COA!$A$6:$A$265,0)),"")</f>
        <v/>
      </c>
      <c r="N3278" s="34" t="str">
        <f aca="false">IF(D3278="","",IFERROR(INDEX(I_COA!$G$6:$G$265,MATCH(D3278,I_COA!$A$6:$A$265,0)),"N"))</f>
        <v/>
      </c>
      <c r="O3278" s="11" t="str">
        <f aca="false">IF(N3278="N",ABS(J3278),"")</f>
        <v/>
      </c>
      <c r="P3278" s="18" t="str">
        <f aca="false">IF(N3278="N",B3278&amp;"|"&amp;ROUND(O3278,0),"")</f>
        <v/>
      </c>
      <c r="Q3278" s="18" t="str">
        <f aca="false">IF(N3278&lt;&gt;"Y","",IFERROR(INDEX($D$6:$D$4005,MATCH(B3278&amp;"|"&amp;ROUND(_xlfn.MAXIFS($O$6:$O$4005,$B$6:$B$4005,B3278,$N$6:$N$4005,"N"),0),$P$6:$P$4005,0)),"(tanpa lawan)"))</f>
        <v/>
      </c>
      <c r="R3278" s="44"/>
      <c r="S3278" s="9" t="str">
        <f aca="false">IF(N3278&lt;&gt;"Y","",IF(R3278&lt;&gt;"",R3278,IF(Q3278="(tanpa lawan)","Transfer antar rekening",IFERROR(INDEX(I_COA!$F$6:$F$265,MATCH(Q3278,I_COA!$A$6:$A$265,0)),"?"))))</f>
        <v/>
      </c>
    </row>
    <row r="3279" customFormat="false" ht="15" hidden="false" customHeight="false" outlineLevel="0" collapsed="false">
      <c r="A3279" s="37"/>
      <c r="B3279" s="44"/>
      <c r="C3279" s="44"/>
      <c r="D3279" s="44"/>
      <c r="E3279" s="44"/>
      <c r="F3279" s="44"/>
      <c r="G3279" s="42"/>
      <c r="H3279" s="42"/>
      <c r="I3279" s="44"/>
      <c r="J3279" s="11" t="str">
        <f aca="false">IF(D3279="","",N(G3279)-N(H3279))</f>
        <v/>
      </c>
      <c r="K3279" s="34" t="str">
        <f aca="false">IF(D3279="","",IFERROR(INDEX(I_COA!$C$6:$C$265,MATCH(D3279,I_COA!$A$6:$A$265,0)),"AKUN BARU"))</f>
        <v/>
      </c>
      <c r="L3279" s="34" t="str">
        <f aca="false">IF(K3279="LabaRugi",INDEX(I_COA!$D$6:$D$265,MATCH(D3279,I_COA!$A$6:$A$265,0)),"")</f>
        <v/>
      </c>
      <c r="M3279" s="34" t="str">
        <f aca="false">IF(K3279="Neraca",INDEX(I_COA!$E$6:$E$265,MATCH(D3279,I_COA!$A$6:$A$265,0)),"")</f>
        <v/>
      </c>
      <c r="N3279" s="34" t="str">
        <f aca="false">IF(D3279="","",IFERROR(INDEX(I_COA!$G$6:$G$265,MATCH(D3279,I_COA!$A$6:$A$265,0)),"N"))</f>
        <v/>
      </c>
      <c r="O3279" s="11" t="str">
        <f aca="false">IF(N3279="N",ABS(J3279),"")</f>
        <v/>
      </c>
      <c r="P3279" s="18" t="str">
        <f aca="false">IF(N3279="N",B3279&amp;"|"&amp;ROUND(O3279,0),"")</f>
        <v/>
      </c>
      <c r="Q3279" s="18" t="str">
        <f aca="false">IF(N3279&lt;&gt;"Y","",IFERROR(INDEX($D$6:$D$4005,MATCH(B3279&amp;"|"&amp;ROUND(_xlfn.MAXIFS($O$6:$O$4005,$B$6:$B$4005,B3279,$N$6:$N$4005,"N"),0),$P$6:$P$4005,0)),"(tanpa lawan)"))</f>
        <v/>
      </c>
      <c r="R3279" s="44"/>
      <c r="S3279" s="9" t="str">
        <f aca="false">IF(N3279&lt;&gt;"Y","",IF(R3279&lt;&gt;"",R3279,IF(Q3279="(tanpa lawan)","Transfer antar rekening",IFERROR(INDEX(I_COA!$F$6:$F$265,MATCH(Q3279,I_COA!$A$6:$A$265,0)),"?"))))</f>
        <v/>
      </c>
    </row>
    <row r="3280" customFormat="false" ht="15" hidden="false" customHeight="false" outlineLevel="0" collapsed="false">
      <c r="A3280" s="37"/>
      <c r="B3280" s="44"/>
      <c r="C3280" s="44"/>
      <c r="D3280" s="44"/>
      <c r="E3280" s="44"/>
      <c r="F3280" s="44"/>
      <c r="G3280" s="42"/>
      <c r="H3280" s="42"/>
      <c r="I3280" s="44"/>
      <c r="J3280" s="11" t="str">
        <f aca="false">IF(D3280="","",N(G3280)-N(H3280))</f>
        <v/>
      </c>
      <c r="K3280" s="34" t="str">
        <f aca="false">IF(D3280="","",IFERROR(INDEX(I_COA!$C$6:$C$265,MATCH(D3280,I_COA!$A$6:$A$265,0)),"AKUN BARU"))</f>
        <v/>
      </c>
      <c r="L3280" s="34" t="str">
        <f aca="false">IF(K3280="LabaRugi",INDEX(I_COA!$D$6:$D$265,MATCH(D3280,I_COA!$A$6:$A$265,0)),"")</f>
        <v/>
      </c>
      <c r="M3280" s="34" t="str">
        <f aca="false">IF(K3280="Neraca",INDEX(I_COA!$E$6:$E$265,MATCH(D3280,I_COA!$A$6:$A$265,0)),"")</f>
        <v/>
      </c>
      <c r="N3280" s="34" t="str">
        <f aca="false">IF(D3280="","",IFERROR(INDEX(I_COA!$G$6:$G$265,MATCH(D3280,I_COA!$A$6:$A$265,0)),"N"))</f>
        <v/>
      </c>
      <c r="O3280" s="11" t="str">
        <f aca="false">IF(N3280="N",ABS(J3280),"")</f>
        <v/>
      </c>
      <c r="P3280" s="18" t="str">
        <f aca="false">IF(N3280="N",B3280&amp;"|"&amp;ROUND(O3280,0),"")</f>
        <v/>
      </c>
      <c r="Q3280" s="18" t="str">
        <f aca="false">IF(N3280&lt;&gt;"Y","",IFERROR(INDEX($D$6:$D$4005,MATCH(B3280&amp;"|"&amp;ROUND(_xlfn.MAXIFS($O$6:$O$4005,$B$6:$B$4005,B3280,$N$6:$N$4005,"N"),0),$P$6:$P$4005,0)),"(tanpa lawan)"))</f>
        <v/>
      </c>
      <c r="R3280" s="44"/>
      <c r="S3280" s="9" t="str">
        <f aca="false">IF(N3280&lt;&gt;"Y","",IF(R3280&lt;&gt;"",R3280,IF(Q3280="(tanpa lawan)","Transfer antar rekening",IFERROR(INDEX(I_COA!$F$6:$F$265,MATCH(Q3280,I_COA!$A$6:$A$265,0)),"?"))))</f>
        <v/>
      </c>
    </row>
    <row r="3281" customFormat="false" ht="15" hidden="false" customHeight="false" outlineLevel="0" collapsed="false">
      <c r="A3281" s="37"/>
      <c r="B3281" s="44"/>
      <c r="C3281" s="44"/>
      <c r="D3281" s="44"/>
      <c r="E3281" s="44"/>
      <c r="F3281" s="44"/>
      <c r="G3281" s="42"/>
      <c r="H3281" s="42"/>
      <c r="I3281" s="44"/>
      <c r="J3281" s="11" t="str">
        <f aca="false">IF(D3281="","",N(G3281)-N(H3281))</f>
        <v/>
      </c>
      <c r="K3281" s="34" t="str">
        <f aca="false">IF(D3281="","",IFERROR(INDEX(I_COA!$C$6:$C$265,MATCH(D3281,I_COA!$A$6:$A$265,0)),"AKUN BARU"))</f>
        <v/>
      </c>
      <c r="L3281" s="34" t="str">
        <f aca="false">IF(K3281="LabaRugi",INDEX(I_COA!$D$6:$D$265,MATCH(D3281,I_COA!$A$6:$A$265,0)),"")</f>
        <v/>
      </c>
      <c r="M3281" s="34" t="str">
        <f aca="false">IF(K3281="Neraca",INDEX(I_COA!$E$6:$E$265,MATCH(D3281,I_COA!$A$6:$A$265,0)),"")</f>
        <v/>
      </c>
      <c r="N3281" s="34" t="str">
        <f aca="false">IF(D3281="","",IFERROR(INDEX(I_COA!$G$6:$G$265,MATCH(D3281,I_COA!$A$6:$A$265,0)),"N"))</f>
        <v/>
      </c>
      <c r="O3281" s="11" t="str">
        <f aca="false">IF(N3281="N",ABS(J3281),"")</f>
        <v/>
      </c>
      <c r="P3281" s="18" t="str">
        <f aca="false">IF(N3281="N",B3281&amp;"|"&amp;ROUND(O3281,0),"")</f>
        <v/>
      </c>
      <c r="Q3281" s="18" t="str">
        <f aca="false">IF(N3281&lt;&gt;"Y","",IFERROR(INDEX($D$6:$D$4005,MATCH(B3281&amp;"|"&amp;ROUND(_xlfn.MAXIFS($O$6:$O$4005,$B$6:$B$4005,B3281,$N$6:$N$4005,"N"),0),$P$6:$P$4005,0)),"(tanpa lawan)"))</f>
        <v/>
      </c>
      <c r="R3281" s="44"/>
      <c r="S3281" s="9" t="str">
        <f aca="false">IF(N3281&lt;&gt;"Y","",IF(R3281&lt;&gt;"",R3281,IF(Q3281="(tanpa lawan)","Transfer antar rekening",IFERROR(INDEX(I_COA!$F$6:$F$265,MATCH(Q3281,I_COA!$A$6:$A$265,0)),"?"))))</f>
        <v/>
      </c>
    </row>
    <row r="3282" customFormat="false" ht="15" hidden="false" customHeight="false" outlineLevel="0" collapsed="false">
      <c r="A3282" s="37"/>
      <c r="B3282" s="44"/>
      <c r="C3282" s="44"/>
      <c r="D3282" s="44"/>
      <c r="E3282" s="44"/>
      <c r="F3282" s="44"/>
      <c r="G3282" s="42"/>
      <c r="H3282" s="42"/>
      <c r="I3282" s="44"/>
      <c r="J3282" s="11" t="str">
        <f aca="false">IF(D3282="","",N(G3282)-N(H3282))</f>
        <v/>
      </c>
      <c r="K3282" s="34" t="str">
        <f aca="false">IF(D3282="","",IFERROR(INDEX(I_COA!$C$6:$C$265,MATCH(D3282,I_COA!$A$6:$A$265,0)),"AKUN BARU"))</f>
        <v/>
      </c>
      <c r="L3282" s="34" t="str">
        <f aca="false">IF(K3282="LabaRugi",INDEX(I_COA!$D$6:$D$265,MATCH(D3282,I_COA!$A$6:$A$265,0)),"")</f>
        <v/>
      </c>
      <c r="M3282" s="34" t="str">
        <f aca="false">IF(K3282="Neraca",INDEX(I_COA!$E$6:$E$265,MATCH(D3282,I_COA!$A$6:$A$265,0)),"")</f>
        <v/>
      </c>
      <c r="N3282" s="34" t="str">
        <f aca="false">IF(D3282="","",IFERROR(INDEX(I_COA!$G$6:$G$265,MATCH(D3282,I_COA!$A$6:$A$265,0)),"N"))</f>
        <v/>
      </c>
      <c r="O3282" s="11" t="str">
        <f aca="false">IF(N3282="N",ABS(J3282),"")</f>
        <v/>
      </c>
      <c r="P3282" s="18" t="str">
        <f aca="false">IF(N3282="N",B3282&amp;"|"&amp;ROUND(O3282,0),"")</f>
        <v/>
      </c>
      <c r="Q3282" s="18" t="str">
        <f aca="false">IF(N3282&lt;&gt;"Y","",IFERROR(INDEX($D$6:$D$4005,MATCH(B3282&amp;"|"&amp;ROUND(_xlfn.MAXIFS($O$6:$O$4005,$B$6:$B$4005,B3282,$N$6:$N$4005,"N"),0),$P$6:$P$4005,0)),"(tanpa lawan)"))</f>
        <v/>
      </c>
      <c r="R3282" s="44"/>
      <c r="S3282" s="9" t="str">
        <f aca="false">IF(N3282&lt;&gt;"Y","",IF(R3282&lt;&gt;"",R3282,IF(Q3282="(tanpa lawan)","Transfer antar rekening",IFERROR(INDEX(I_COA!$F$6:$F$265,MATCH(Q3282,I_COA!$A$6:$A$265,0)),"?"))))</f>
        <v/>
      </c>
    </row>
    <row r="3283" customFormat="false" ht="15" hidden="false" customHeight="false" outlineLevel="0" collapsed="false">
      <c r="A3283" s="37"/>
      <c r="B3283" s="44"/>
      <c r="C3283" s="44"/>
      <c r="D3283" s="44"/>
      <c r="E3283" s="44"/>
      <c r="F3283" s="44"/>
      <c r="G3283" s="42"/>
      <c r="H3283" s="42"/>
      <c r="I3283" s="44"/>
      <c r="J3283" s="11" t="str">
        <f aca="false">IF(D3283="","",N(G3283)-N(H3283))</f>
        <v/>
      </c>
      <c r="K3283" s="34" t="str">
        <f aca="false">IF(D3283="","",IFERROR(INDEX(I_COA!$C$6:$C$265,MATCH(D3283,I_COA!$A$6:$A$265,0)),"AKUN BARU"))</f>
        <v/>
      </c>
      <c r="L3283" s="34" t="str">
        <f aca="false">IF(K3283="LabaRugi",INDEX(I_COA!$D$6:$D$265,MATCH(D3283,I_COA!$A$6:$A$265,0)),"")</f>
        <v/>
      </c>
      <c r="M3283" s="34" t="str">
        <f aca="false">IF(K3283="Neraca",INDEX(I_COA!$E$6:$E$265,MATCH(D3283,I_COA!$A$6:$A$265,0)),"")</f>
        <v/>
      </c>
      <c r="N3283" s="34" t="str">
        <f aca="false">IF(D3283="","",IFERROR(INDEX(I_COA!$G$6:$G$265,MATCH(D3283,I_COA!$A$6:$A$265,0)),"N"))</f>
        <v/>
      </c>
      <c r="O3283" s="11" t="str">
        <f aca="false">IF(N3283="N",ABS(J3283),"")</f>
        <v/>
      </c>
      <c r="P3283" s="18" t="str">
        <f aca="false">IF(N3283="N",B3283&amp;"|"&amp;ROUND(O3283,0),"")</f>
        <v/>
      </c>
      <c r="Q3283" s="18" t="str">
        <f aca="false">IF(N3283&lt;&gt;"Y","",IFERROR(INDEX($D$6:$D$4005,MATCH(B3283&amp;"|"&amp;ROUND(_xlfn.MAXIFS($O$6:$O$4005,$B$6:$B$4005,B3283,$N$6:$N$4005,"N"),0),$P$6:$P$4005,0)),"(tanpa lawan)"))</f>
        <v/>
      </c>
      <c r="R3283" s="44"/>
      <c r="S3283" s="9" t="str">
        <f aca="false">IF(N3283&lt;&gt;"Y","",IF(R3283&lt;&gt;"",R3283,IF(Q3283="(tanpa lawan)","Transfer antar rekening",IFERROR(INDEX(I_COA!$F$6:$F$265,MATCH(Q3283,I_COA!$A$6:$A$265,0)),"?"))))</f>
        <v/>
      </c>
    </row>
    <row r="3284" customFormat="false" ht="15" hidden="false" customHeight="false" outlineLevel="0" collapsed="false">
      <c r="A3284" s="37"/>
      <c r="B3284" s="44"/>
      <c r="C3284" s="44"/>
      <c r="D3284" s="44"/>
      <c r="E3284" s="44"/>
      <c r="F3284" s="44"/>
      <c r="G3284" s="42"/>
      <c r="H3284" s="42"/>
      <c r="I3284" s="44"/>
      <c r="J3284" s="11" t="str">
        <f aca="false">IF(D3284="","",N(G3284)-N(H3284))</f>
        <v/>
      </c>
      <c r="K3284" s="34" t="str">
        <f aca="false">IF(D3284="","",IFERROR(INDEX(I_COA!$C$6:$C$265,MATCH(D3284,I_COA!$A$6:$A$265,0)),"AKUN BARU"))</f>
        <v/>
      </c>
      <c r="L3284" s="34" t="str">
        <f aca="false">IF(K3284="LabaRugi",INDEX(I_COA!$D$6:$D$265,MATCH(D3284,I_COA!$A$6:$A$265,0)),"")</f>
        <v/>
      </c>
      <c r="M3284" s="34" t="str">
        <f aca="false">IF(K3284="Neraca",INDEX(I_COA!$E$6:$E$265,MATCH(D3284,I_COA!$A$6:$A$265,0)),"")</f>
        <v/>
      </c>
      <c r="N3284" s="34" t="str">
        <f aca="false">IF(D3284="","",IFERROR(INDEX(I_COA!$G$6:$G$265,MATCH(D3284,I_COA!$A$6:$A$265,0)),"N"))</f>
        <v/>
      </c>
      <c r="O3284" s="11" t="str">
        <f aca="false">IF(N3284="N",ABS(J3284),"")</f>
        <v/>
      </c>
      <c r="P3284" s="18" t="str">
        <f aca="false">IF(N3284="N",B3284&amp;"|"&amp;ROUND(O3284,0),"")</f>
        <v/>
      </c>
      <c r="Q3284" s="18" t="str">
        <f aca="false">IF(N3284&lt;&gt;"Y","",IFERROR(INDEX($D$6:$D$4005,MATCH(B3284&amp;"|"&amp;ROUND(_xlfn.MAXIFS($O$6:$O$4005,$B$6:$B$4005,B3284,$N$6:$N$4005,"N"),0),$P$6:$P$4005,0)),"(tanpa lawan)"))</f>
        <v/>
      </c>
      <c r="R3284" s="44"/>
      <c r="S3284" s="9" t="str">
        <f aca="false">IF(N3284&lt;&gt;"Y","",IF(R3284&lt;&gt;"",R3284,IF(Q3284="(tanpa lawan)","Transfer antar rekening",IFERROR(INDEX(I_COA!$F$6:$F$265,MATCH(Q3284,I_COA!$A$6:$A$265,0)),"?"))))</f>
        <v/>
      </c>
    </row>
    <row r="3285" customFormat="false" ht="15" hidden="false" customHeight="false" outlineLevel="0" collapsed="false">
      <c r="A3285" s="37"/>
      <c r="B3285" s="44"/>
      <c r="C3285" s="44"/>
      <c r="D3285" s="44"/>
      <c r="E3285" s="44"/>
      <c r="F3285" s="44"/>
      <c r="G3285" s="42"/>
      <c r="H3285" s="42"/>
      <c r="I3285" s="44"/>
      <c r="J3285" s="11" t="str">
        <f aca="false">IF(D3285="","",N(G3285)-N(H3285))</f>
        <v/>
      </c>
      <c r="K3285" s="34" t="str">
        <f aca="false">IF(D3285="","",IFERROR(INDEX(I_COA!$C$6:$C$265,MATCH(D3285,I_COA!$A$6:$A$265,0)),"AKUN BARU"))</f>
        <v/>
      </c>
      <c r="L3285" s="34" t="str">
        <f aca="false">IF(K3285="LabaRugi",INDEX(I_COA!$D$6:$D$265,MATCH(D3285,I_COA!$A$6:$A$265,0)),"")</f>
        <v/>
      </c>
      <c r="M3285" s="34" t="str">
        <f aca="false">IF(K3285="Neraca",INDEX(I_COA!$E$6:$E$265,MATCH(D3285,I_COA!$A$6:$A$265,0)),"")</f>
        <v/>
      </c>
      <c r="N3285" s="34" t="str">
        <f aca="false">IF(D3285="","",IFERROR(INDEX(I_COA!$G$6:$G$265,MATCH(D3285,I_COA!$A$6:$A$265,0)),"N"))</f>
        <v/>
      </c>
      <c r="O3285" s="11" t="str">
        <f aca="false">IF(N3285="N",ABS(J3285),"")</f>
        <v/>
      </c>
      <c r="P3285" s="18" t="str">
        <f aca="false">IF(N3285="N",B3285&amp;"|"&amp;ROUND(O3285,0),"")</f>
        <v/>
      </c>
      <c r="Q3285" s="18" t="str">
        <f aca="false">IF(N3285&lt;&gt;"Y","",IFERROR(INDEX($D$6:$D$4005,MATCH(B3285&amp;"|"&amp;ROUND(_xlfn.MAXIFS($O$6:$O$4005,$B$6:$B$4005,B3285,$N$6:$N$4005,"N"),0),$P$6:$P$4005,0)),"(tanpa lawan)"))</f>
        <v/>
      </c>
      <c r="R3285" s="44"/>
      <c r="S3285" s="9" t="str">
        <f aca="false">IF(N3285&lt;&gt;"Y","",IF(R3285&lt;&gt;"",R3285,IF(Q3285="(tanpa lawan)","Transfer antar rekening",IFERROR(INDEX(I_COA!$F$6:$F$265,MATCH(Q3285,I_COA!$A$6:$A$265,0)),"?"))))</f>
        <v/>
      </c>
    </row>
    <row r="3286" customFormat="false" ht="15" hidden="false" customHeight="false" outlineLevel="0" collapsed="false">
      <c r="A3286" s="37"/>
      <c r="B3286" s="44"/>
      <c r="C3286" s="44"/>
      <c r="D3286" s="44"/>
      <c r="E3286" s="44"/>
      <c r="F3286" s="44"/>
      <c r="G3286" s="42"/>
      <c r="H3286" s="42"/>
      <c r="I3286" s="44"/>
      <c r="J3286" s="11" t="str">
        <f aca="false">IF(D3286="","",N(G3286)-N(H3286))</f>
        <v/>
      </c>
      <c r="K3286" s="34" t="str">
        <f aca="false">IF(D3286="","",IFERROR(INDEX(I_COA!$C$6:$C$265,MATCH(D3286,I_COA!$A$6:$A$265,0)),"AKUN BARU"))</f>
        <v/>
      </c>
      <c r="L3286" s="34" t="str">
        <f aca="false">IF(K3286="LabaRugi",INDEX(I_COA!$D$6:$D$265,MATCH(D3286,I_COA!$A$6:$A$265,0)),"")</f>
        <v/>
      </c>
      <c r="M3286" s="34" t="str">
        <f aca="false">IF(K3286="Neraca",INDEX(I_COA!$E$6:$E$265,MATCH(D3286,I_COA!$A$6:$A$265,0)),"")</f>
        <v/>
      </c>
      <c r="N3286" s="34" t="str">
        <f aca="false">IF(D3286="","",IFERROR(INDEX(I_COA!$G$6:$G$265,MATCH(D3286,I_COA!$A$6:$A$265,0)),"N"))</f>
        <v/>
      </c>
      <c r="O3286" s="11" t="str">
        <f aca="false">IF(N3286="N",ABS(J3286),"")</f>
        <v/>
      </c>
      <c r="P3286" s="18" t="str">
        <f aca="false">IF(N3286="N",B3286&amp;"|"&amp;ROUND(O3286,0),"")</f>
        <v/>
      </c>
      <c r="Q3286" s="18" t="str">
        <f aca="false">IF(N3286&lt;&gt;"Y","",IFERROR(INDEX($D$6:$D$4005,MATCH(B3286&amp;"|"&amp;ROUND(_xlfn.MAXIFS($O$6:$O$4005,$B$6:$B$4005,B3286,$N$6:$N$4005,"N"),0),$P$6:$P$4005,0)),"(tanpa lawan)"))</f>
        <v/>
      </c>
      <c r="R3286" s="44"/>
      <c r="S3286" s="9" t="str">
        <f aca="false">IF(N3286&lt;&gt;"Y","",IF(R3286&lt;&gt;"",R3286,IF(Q3286="(tanpa lawan)","Transfer antar rekening",IFERROR(INDEX(I_COA!$F$6:$F$265,MATCH(Q3286,I_COA!$A$6:$A$265,0)),"?"))))</f>
        <v/>
      </c>
    </row>
    <row r="3287" customFormat="false" ht="15" hidden="false" customHeight="false" outlineLevel="0" collapsed="false">
      <c r="A3287" s="37"/>
      <c r="B3287" s="44"/>
      <c r="C3287" s="44"/>
      <c r="D3287" s="44"/>
      <c r="E3287" s="44"/>
      <c r="F3287" s="44"/>
      <c r="G3287" s="42"/>
      <c r="H3287" s="42"/>
      <c r="I3287" s="44"/>
      <c r="J3287" s="11" t="str">
        <f aca="false">IF(D3287="","",N(G3287)-N(H3287))</f>
        <v/>
      </c>
      <c r="K3287" s="34" t="str">
        <f aca="false">IF(D3287="","",IFERROR(INDEX(I_COA!$C$6:$C$265,MATCH(D3287,I_COA!$A$6:$A$265,0)),"AKUN BARU"))</f>
        <v/>
      </c>
      <c r="L3287" s="34" t="str">
        <f aca="false">IF(K3287="LabaRugi",INDEX(I_COA!$D$6:$D$265,MATCH(D3287,I_COA!$A$6:$A$265,0)),"")</f>
        <v/>
      </c>
      <c r="M3287" s="34" t="str">
        <f aca="false">IF(K3287="Neraca",INDEX(I_COA!$E$6:$E$265,MATCH(D3287,I_COA!$A$6:$A$265,0)),"")</f>
        <v/>
      </c>
      <c r="N3287" s="34" t="str">
        <f aca="false">IF(D3287="","",IFERROR(INDEX(I_COA!$G$6:$G$265,MATCH(D3287,I_COA!$A$6:$A$265,0)),"N"))</f>
        <v/>
      </c>
      <c r="O3287" s="11" t="str">
        <f aca="false">IF(N3287="N",ABS(J3287),"")</f>
        <v/>
      </c>
      <c r="P3287" s="18" t="str">
        <f aca="false">IF(N3287="N",B3287&amp;"|"&amp;ROUND(O3287,0),"")</f>
        <v/>
      </c>
      <c r="Q3287" s="18" t="str">
        <f aca="false">IF(N3287&lt;&gt;"Y","",IFERROR(INDEX($D$6:$D$4005,MATCH(B3287&amp;"|"&amp;ROUND(_xlfn.MAXIFS($O$6:$O$4005,$B$6:$B$4005,B3287,$N$6:$N$4005,"N"),0),$P$6:$P$4005,0)),"(tanpa lawan)"))</f>
        <v/>
      </c>
      <c r="R3287" s="44"/>
      <c r="S3287" s="9" t="str">
        <f aca="false">IF(N3287&lt;&gt;"Y","",IF(R3287&lt;&gt;"",R3287,IF(Q3287="(tanpa lawan)","Transfer antar rekening",IFERROR(INDEX(I_COA!$F$6:$F$265,MATCH(Q3287,I_COA!$A$6:$A$265,0)),"?"))))</f>
        <v/>
      </c>
    </row>
    <row r="3288" customFormat="false" ht="15" hidden="false" customHeight="false" outlineLevel="0" collapsed="false">
      <c r="A3288" s="37"/>
      <c r="B3288" s="44"/>
      <c r="C3288" s="44"/>
      <c r="D3288" s="44"/>
      <c r="E3288" s="44"/>
      <c r="F3288" s="44"/>
      <c r="G3288" s="42"/>
      <c r="H3288" s="42"/>
      <c r="I3288" s="44"/>
      <c r="J3288" s="11" t="str">
        <f aca="false">IF(D3288="","",N(G3288)-N(H3288))</f>
        <v/>
      </c>
      <c r="K3288" s="34" t="str">
        <f aca="false">IF(D3288="","",IFERROR(INDEX(I_COA!$C$6:$C$265,MATCH(D3288,I_COA!$A$6:$A$265,0)),"AKUN BARU"))</f>
        <v/>
      </c>
      <c r="L3288" s="34" t="str">
        <f aca="false">IF(K3288="LabaRugi",INDEX(I_COA!$D$6:$D$265,MATCH(D3288,I_COA!$A$6:$A$265,0)),"")</f>
        <v/>
      </c>
      <c r="M3288" s="34" t="str">
        <f aca="false">IF(K3288="Neraca",INDEX(I_COA!$E$6:$E$265,MATCH(D3288,I_COA!$A$6:$A$265,0)),"")</f>
        <v/>
      </c>
      <c r="N3288" s="34" t="str">
        <f aca="false">IF(D3288="","",IFERROR(INDEX(I_COA!$G$6:$G$265,MATCH(D3288,I_COA!$A$6:$A$265,0)),"N"))</f>
        <v/>
      </c>
      <c r="O3288" s="11" t="str">
        <f aca="false">IF(N3288="N",ABS(J3288),"")</f>
        <v/>
      </c>
      <c r="P3288" s="18" t="str">
        <f aca="false">IF(N3288="N",B3288&amp;"|"&amp;ROUND(O3288,0),"")</f>
        <v/>
      </c>
      <c r="Q3288" s="18" t="str">
        <f aca="false">IF(N3288&lt;&gt;"Y","",IFERROR(INDEX($D$6:$D$4005,MATCH(B3288&amp;"|"&amp;ROUND(_xlfn.MAXIFS($O$6:$O$4005,$B$6:$B$4005,B3288,$N$6:$N$4005,"N"),0),$P$6:$P$4005,0)),"(tanpa lawan)"))</f>
        <v/>
      </c>
      <c r="R3288" s="44"/>
      <c r="S3288" s="9" t="str">
        <f aca="false">IF(N3288&lt;&gt;"Y","",IF(R3288&lt;&gt;"",R3288,IF(Q3288="(tanpa lawan)","Transfer antar rekening",IFERROR(INDEX(I_COA!$F$6:$F$265,MATCH(Q3288,I_COA!$A$6:$A$265,0)),"?"))))</f>
        <v/>
      </c>
    </row>
    <row r="3289" customFormat="false" ht="15" hidden="false" customHeight="false" outlineLevel="0" collapsed="false">
      <c r="A3289" s="37"/>
      <c r="B3289" s="44"/>
      <c r="C3289" s="44"/>
      <c r="D3289" s="44"/>
      <c r="E3289" s="44"/>
      <c r="F3289" s="44"/>
      <c r="G3289" s="42"/>
      <c r="H3289" s="42"/>
      <c r="I3289" s="44"/>
      <c r="J3289" s="11" t="str">
        <f aca="false">IF(D3289="","",N(G3289)-N(H3289))</f>
        <v/>
      </c>
      <c r="K3289" s="34" t="str">
        <f aca="false">IF(D3289="","",IFERROR(INDEX(I_COA!$C$6:$C$265,MATCH(D3289,I_COA!$A$6:$A$265,0)),"AKUN BARU"))</f>
        <v/>
      </c>
      <c r="L3289" s="34" t="str">
        <f aca="false">IF(K3289="LabaRugi",INDEX(I_COA!$D$6:$D$265,MATCH(D3289,I_COA!$A$6:$A$265,0)),"")</f>
        <v/>
      </c>
      <c r="M3289" s="34" t="str">
        <f aca="false">IF(K3289="Neraca",INDEX(I_COA!$E$6:$E$265,MATCH(D3289,I_COA!$A$6:$A$265,0)),"")</f>
        <v/>
      </c>
      <c r="N3289" s="34" t="str">
        <f aca="false">IF(D3289="","",IFERROR(INDEX(I_COA!$G$6:$G$265,MATCH(D3289,I_COA!$A$6:$A$265,0)),"N"))</f>
        <v/>
      </c>
      <c r="O3289" s="11" t="str">
        <f aca="false">IF(N3289="N",ABS(J3289),"")</f>
        <v/>
      </c>
      <c r="P3289" s="18" t="str">
        <f aca="false">IF(N3289="N",B3289&amp;"|"&amp;ROUND(O3289,0),"")</f>
        <v/>
      </c>
      <c r="Q3289" s="18" t="str">
        <f aca="false">IF(N3289&lt;&gt;"Y","",IFERROR(INDEX($D$6:$D$4005,MATCH(B3289&amp;"|"&amp;ROUND(_xlfn.MAXIFS($O$6:$O$4005,$B$6:$B$4005,B3289,$N$6:$N$4005,"N"),0),$P$6:$P$4005,0)),"(tanpa lawan)"))</f>
        <v/>
      </c>
      <c r="R3289" s="44"/>
      <c r="S3289" s="9" t="str">
        <f aca="false">IF(N3289&lt;&gt;"Y","",IF(R3289&lt;&gt;"",R3289,IF(Q3289="(tanpa lawan)","Transfer antar rekening",IFERROR(INDEX(I_COA!$F$6:$F$265,MATCH(Q3289,I_COA!$A$6:$A$265,0)),"?"))))</f>
        <v/>
      </c>
    </row>
    <row r="3290" customFormat="false" ht="15" hidden="false" customHeight="false" outlineLevel="0" collapsed="false">
      <c r="A3290" s="37"/>
      <c r="B3290" s="44"/>
      <c r="C3290" s="44"/>
      <c r="D3290" s="44"/>
      <c r="E3290" s="44"/>
      <c r="F3290" s="44"/>
      <c r="G3290" s="42"/>
      <c r="H3290" s="42"/>
      <c r="I3290" s="44"/>
      <c r="J3290" s="11" t="str">
        <f aca="false">IF(D3290="","",N(G3290)-N(H3290))</f>
        <v/>
      </c>
      <c r="K3290" s="34" t="str">
        <f aca="false">IF(D3290="","",IFERROR(INDEX(I_COA!$C$6:$C$265,MATCH(D3290,I_COA!$A$6:$A$265,0)),"AKUN BARU"))</f>
        <v/>
      </c>
      <c r="L3290" s="34" t="str">
        <f aca="false">IF(K3290="LabaRugi",INDEX(I_COA!$D$6:$D$265,MATCH(D3290,I_COA!$A$6:$A$265,0)),"")</f>
        <v/>
      </c>
      <c r="M3290" s="34" t="str">
        <f aca="false">IF(K3290="Neraca",INDEX(I_COA!$E$6:$E$265,MATCH(D3290,I_COA!$A$6:$A$265,0)),"")</f>
        <v/>
      </c>
      <c r="N3290" s="34" t="str">
        <f aca="false">IF(D3290="","",IFERROR(INDEX(I_COA!$G$6:$G$265,MATCH(D3290,I_COA!$A$6:$A$265,0)),"N"))</f>
        <v/>
      </c>
      <c r="O3290" s="11" t="str">
        <f aca="false">IF(N3290="N",ABS(J3290),"")</f>
        <v/>
      </c>
      <c r="P3290" s="18" t="str">
        <f aca="false">IF(N3290="N",B3290&amp;"|"&amp;ROUND(O3290,0),"")</f>
        <v/>
      </c>
      <c r="Q3290" s="18" t="str">
        <f aca="false">IF(N3290&lt;&gt;"Y","",IFERROR(INDEX($D$6:$D$4005,MATCH(B3290&amp;"|"&amp;ROUND(_xlfn.MAXIFS($O$6:$O$4005,$B$6:$B$4005,B3290,$N$6:$N$4005,"N"),0),$P$6:$P$4005,0)),"(tanpa lawan)"))</f>
        <v/>
      </c>
      <c r="R3290" s="44"/>
      <c r="S3290" s="9" t="str">
        <f aca="false">IF(N3290&lt;&gt;"Y","",IF(R3290&lt;&gt;"",R3290,IF(Q3290="(tanpa lawan)","Transfer antar rekening",IFERROR(INDEX(I_COA!$F$6:$F$265,MATCH(Q3290,I_COA!$A$6:$A$265,0)),"?"))))</f>
        <v/>
      </c>
    </row>
    <row r="3291" customFormat="false" ht="15" hidden="false" customHeight="false" outlineLevel="0" collapsed="false">
      <c r="A3291" s="37"/>
      <c r="B3291" s="44"/>
      <c r="C3291" s="44"/>
      <c r="D3291" s="44"/>
      <c r="E3291" s="44"/>
      <c r="F3291" s="44"/>
      <c r="G3291" s="42"/>
      <c r="H3291" s="42"/>
      <c r="I3291" s="44"/>
      <c r="J3291" s="11" t="str">
        <f aca="false">IF(D3291="","",N(G3291)-N(H3291))</f>
        <v/>
      </c>
      <c r="K3291" s="34" t="str">
        <f aca="false">IF(D3291="","",IFERROR(INDEX(I_COA!$C$6:$C$265,MATCH(D3291,I_COA!$A$6:$A$265,0)),"AKUN BARU"))</f>
        <v/>
      </c>
      <c r="L3291" s="34" t="str">
        <f aca="false">IF(K3291="LabaRugi",INDEX(I_COA!$D$6:$D$265,MATCH(D3291,I_COA!$A$6:$A$265,0)),"")</f>
        <v/>
      </c>
      <c r="M3291" s="34" t="str">
        <f aca="false">IF(K3291="Neraca",INDEX(I_COA!$E$6:$E$265,MATCH(D3291,I_COA!$A$6:$A$265,0)),"")</f>
        <v/>
      </c>
      <c r="N3291" s="34" t="str">
        <f aca="false">IF(D3291="","",IFERROR(INDEX(I_COA!$G$6:$G$265,MATCH(D3291,I_COA!$A$6:$A$265,0)),"N"))</f>
        <v/>
      </c>
      <c r="O3291" s="11" t="str">
        <f aca="false">IF(N3291="N",ABS(J3291),"")</f>
        <v/>
      </c>
      <c r="P3291" s="18" t="str">
        <f aca="false">IF(N3291="N",B3291&amp;"|"&amp;ROUND(O3291,0),"")</f>
        <v/>
      </c>
      <c r="Q3291" s="18" t="str">
        <f aca="false">IF(N3291&lt;&gt;"Y","",IFERROR(INDEX($D$6:$D$4005,MATCH(B3291&amp;"|"&amp;ROUND(_xlfn.MAXIFS($O$6:$O$4005,$B$6:$B$4005,B3291,$N$6:$N$4005,"N"),0),$P$6:$P$4005,0)),"(tanpa lawan)"))</f>
        <v/>
      </c>
      <c r="R3291" s="44"/>
      <c r="S3291" s="9" t="str">
        <f aca="false">IF(N3291&lt;&gt;"Y","",IF(R3291&lt;&gt;"",R3291,IF(Q3291="(tanpa lawan)","Transfer antar rekening",IFERROR(INDEX(I_COA!$F$6:$F$265,MATCH(Q3291,I_COA!$A$6:$A$265,0)),"?"))))</f>
        <v/>
      </c>
    </row>
    <row r="3292" customFormat="false" ht="15" hidden="false" customHeight="false" outlineLevel="0" collapsed="false">
      <c r="A3292" s="37"/>
      <c r="B3292" s="44"/>
      <c r="C3292" s="44"/>
      <c r="D3292" s="44"/>
      <c r="E3292" s="44"/>
      <c r="F3292" s="44"/>
      <c r="G3292" s="42"/>
      <c r="H3292" s="42"/>
      <c r="I3292" s="44"/>
      <c r="J3292" s="11" t="str">
        <f aca="false">IF(D3292="","",N(G3292)-N(H3292))</f>
        <v/>
      </c>
      <c r="K3292" s="34" t="str">
        <f aca="false">IF(D3292="","",IFERROR(INDEX(I_COA!$C$6:$C$265,MATCH(D3292,I_COA!$A$6:$A$265,0)),"AKUN BARU"))</f>
        <v/>
      </c>
      <c r="L3292" s="34" t="str">
        <f aca="false">IF(K3292="LabaRugi",INDEX(I_COA!$D$6:$D$265,MATCH(D3292,I_COA!$A$6:$A$265,0)),"")</f>
        <v/>
      </c>
      <c r="M3292" s="34" t="str">
        <f aca="false">IF(K3292="Neraca",INDEX(I_COA!$E$6:$E$265,MATCH(D3292,I_COA!$A$6:$A$265,0)),"")</f>
        <v/>
      </c>
      <c r="N3292" s="34" t="str">
        <f aca="false">IF(D3292="","",IFERROR(INDEX(I_COA!$G$6:$G$265,MATCH(D3292,I_COA!$A$6:$A$265,0)),"N"))</f>
        <v/>
      </c>
      <c r="O3292" s="11" t="str">
        <f aca="false">IF(N3292="N",ABS(J3292),"")</f>
        <v/>
      </c>
      <c r="P3292" s="18" t="str">
        <f aca="false">IF(N3292="N",B3292&amp;"|"&amp;ROUND(O3292,0),"")</f>
        <v/>
      </c>
      <c r="Q3292" s="18" t="str">
        <f aca="false">IF(N3292&lt;&gt;"Y","",IFERROR(INDEX($D$6:$D$4005,MATCH(B3292&amp;"|"&amp;ROUND(_xlfn.MAXIFS($O$6:$O$4005,$B$6:$B$4005,B3292,$N$6:$N$4005,"N"),0),$P$6:$P$4005,0)),"(tanpa lawan)"))</f>
        <v/>
      </c>
      <c r="R3292" s="44"/>
      <c r="S3292" s="9" t="str">
        <f aca="false">IF(N3292&lt;&gt;"Y","",IF(R3292&lt;&gt;"",R3292,IF(Q3292="(tanpa lawan)","Transfer antar rekening",IFERROR(INDEX(I_COA!$F$6:$F$265,MATCH(Q3292,I_COA!$A$6:$A$265,0)),"?"))))</f>
        <v/>
      </c>
    </row>
    <row r="3293" customFormat="false" ht="15" hidden="false" customHeight="false" outlineLevel="0" collapsed="false">
      <c r="A3293" s="37"/>
      <c r="B3293" s="44"/>
      <c r="C3293" s="44"/>
      <c r="D3293" s="44"/>
      <c r="E3293" s="44"/>
      <c r="F3293" s="44"/>
      <c r="G3293" s="42"/>
      <c r="H3293" s="42"/>
      <c r="I3293" s="44"/>
      <c r="J3293" s="11" t="str">
        <f aca="false">IF(D3293="","",N(G3293)-N(H3293))</f>
        <v/>
      </c>
      <c r="K3293" s="34" t="str">
        <f aca="false">IF(D3293="","",IFERROR(INDEX(I_COA!$C$6:$C$265,MATCH(D3293,I_COA!$A$6:$A$265,0)),"AKUN BARU"))</f>
        <v/>
      </c>
      <c r="L3293" s="34" t="str">
        <f aca="false">IF(K3293="LabaRugi",INDEX(I_COA!$D$6:$D$265,MATCH(D3293,I_COA!$A$6:$A$265,0)),"")</f>
        <v/>
      </c>
      <c r="M3293" s="34" t="str">
        <f aca="false">IF(K3293="Neraca",INDEX(I_COA!$E$6:$E$265,MATCH(D3293,I_COA!$A$6:$A$265,0)),"")</f>
        <v/>
      </c>
      <c r="N3293" s="34" t="str">
        <f aca="false">IF(D3293="","",IFERROR(INDEX(I_COA!$G$6:$G$265,MATCH(D3293,I_COA!$A$6:$A$265,0)),"N"))</f>
        <v/>
      </c>
      <c r="O3293" s="11" t="str">
        <f aca="false">IF(N3293="N",ABS(J3293),"")</f>
        <v/>
      </c>
      <c r="P3293" s="18" t="str">
        <f aca="false">IF(N3293="N",B3293&amp;"|"&amp;ROUND(O3293,0),"")</f>
        <v/>
      </c>
      <c r="Q3293" s="18" t="str">
        <f aca="false">IF(N3293&lt;&gt;"Y","",IFERROR(INDEX($D$6:$D$4005,MATCH(B3293&amp;"|"&amp;ROUND(_xlfn.MAXIFS($O$6:$O$4005,$B$6:$B$4005,B3293,$N$6:$N$4005,"N"),0),$P$6:$P$4005,0)),"(tanpa lawan)"))</f>
        <v/>
      </c>
      <c r="R3293" s="44"/>
      <c r="S3293" s="9" t="str">
        <f aca="false">IF(N3293&lt;&gt;"Y","",IF(R3293&lt;&gt;"",R3293,IF(Q3293="(tanpa lawan)","Transfer antar rekening",IFERROR(INDEX(I_COA!$F$6:$F$265,MATCH(Q3293,I_COA!$A$6:$A$265,0)),"?"))))</f>
        <v/>
      </c>
    </row>
    <row r="3294" customFormat="false" ht="15" hidden="false" customHeight="false" outlineLevel="0" collapsed="false">
      <c r="A3294" s="37"/>
      <c r="B3294" s="44"/>
      <c r="C3294" s="44"/>
      <c r="D3294" s="44"/>
      <c r="E3294" s="44"/>
      <c r="F3294" s="44"/>
      <c r="G3294" s="42"/>
      <c r="H3294" s="42"/>
      <c r="I3294" s="44"/>
      <c r="J3294" s="11" t="str">
        <f aca="false">IF(D3294="","",N(G3294)-N(H3294))</f>
        <v/>
      </c>
      <c r="K3294" s="34" t="str">
        <f aca="false">IF(D3294="","",IFERROR(INDEX(I_COA!$C$6:$C$265,MATCH(D3294,I_COA!$A$6:$A$265,0)),"AKUN BARU"))</f>
        <v/>
      </c>
      <c r="L3294" s="34" t="str">
        <f aca="false">IF(K3294="LabaRugi",INDEX(I_COA!$D$6:$D$265,MATCH(D3294,I_COA!$A$6:$A$265,0)),"")</f>
        <v/>
      </c>
      <c r="M3294" s="34" t="str">
        <f aca="false">IF(K3294="Neraca",INDEX(I_COA!$E$6:$E$265,MATCH(D3294,I_COA!$A$6:$A$265,0)),"")</f>
        <v/>
      </c>
      <c r="N3294" s="34" t="str">
        <f aca="false">IF(D3294="","",IFERROR(INDEX(I_COA!$G$6:$G$265,MATCH(D3294,I_COA!$A$6:$A$265,0)),"N"))</f>
        <v/>
      </c>
      <c r="O3294" s="11" t="str">
        <f aca="false">IF(N3294="N",ABS(J3294),"")</f>
        <v/>
      </c>
      <c r="P3294" s="18" t="str">
        <f aca="false">IF(N3294="N",B3294&amp;"|"&amp;ROUND(O3294,0),"")</f>
        <v/>
      </c>
      <c r="Q3294" s="18" t="str">
        <f aca="false">IF(N3294&lt;&gt;"Y","",IFERROR(INDEX($D$6:$D$4005,MATCH(B3294&amp;"|"&amp;ROUND(_xlfn.MAXIFS($O$6:$O$4005,$B$6:$B$4005,B3294,$N$6:$N$4005,"N"),0),$P$6:$P$4005,0)),"(tanpa lawan)"))</f>
        <v/>
      </c>
      <c r="R3294" s="44"/>
      <c r="S3294" s="9" t="str">
        <f aca="false">IF(N3294&lt;&gt;"Y","",IF(R3294&lt;&gt;"",R3294,IF(Q3294="(tanpa lawan)","Transfer antar rekening",IFERROR(INDEX(I_COA!$F$6:$F$265,MATCH(Q3294,I_COA!$A$6:$A$265,0)),"?"))))</f>
        <v/>
      </c>
    </row>
    <row r="3295" customFormat="false" ht="15" hidden="false" customHeight="false" outlineLevel="0" collapsed="false">
      <c r="A3295" s="37"/>
      <c r="B3295" s="44"/>
      <c r="C3295" s="44"/>
      <c r="D3295" s="44"/>
      <c r="E3295" s="44"/>
      <c r="F3295" s="44"/>
      <c r="G3295" s="42"/>
      <c r="H3295" s="42"/>
      <c r="I3295" s="44"/>
      <c r="J3295" s="11" t="str">
        <f aca="false">IF(D3295="","",N(G3295)-N(H3295))</f>
        <v/>
      </c>
      <c r="K3295" s="34" t="str">
        <f aca="false">IF(D3295="","",IFERROR(INDEX(I_COA!$C$6:$C$265,MATCH(D3295,I_COA!$A$6:$A$265,0)),"AKUN BARU"))</f>
        <v/>
      </c>
      <c r="L3295" s="34" t="str">
        <f aca="false">IF(K3295="LabaRugi",INDEX(I_COA!$D$6:$D$265,MATCH(D3295,I_COA!$A$6:$A$265,0)),"")</f>
        <v/>
      </c>
      <c r="M3295" s="34" t="str">
        <f aca="false">IF(K3295="Neraca",INDEX(I_COA!$E$6:$E$265,MATCH(D3295,I_COA!$A$6:$A$265,0)),"")</f>
        <v/>
      </c>
      <c r="N3295" s="34" t="str">
        <f aca="false">IF(D3295="","",IFERROR(INDEX(I_COA!$G$6:$G$265,MATCH(D3295,I_COA!$A$6:$A$265,0)),"N"))</f>
        <v/>
      </c>
      <c r="O3295" s="11" t="str">
        <f aca="false">IF(N3295="N",ABS(J3295),"")</f>
        <v/>
      </c>
      <c r="P3295" s="18" t="str">
        <f aca="false">IF(N3295="N",B3295&amp;"|"&amp;ROUND(O3295,0),"")</f>
        <v/>
      </c>
      <c r="Q3295" s="18" t="str">
        <f aca="false">IF(N3295&lt;&gt;"Y","",IFERROR(INDEX($D$6:$D$4005,MATCH(B3295&amp;"|"&amp;ROUND(_xlfn.MAXIFS($O$6:$O$4005,$B$6:$B$4005,B3295,$N$6:$N$4005,"N"),0),$P$6:$P$4005,0)),"(tanpa lawan)"))</f>
        <v/>
      </c>
      <c r="R3295" s="44"/>
      <c r="S3295" s="9" t="str">
        <f aca="false">IF(N3295&lt;&gt;"Y","",IF(R3295&lt;&gt;"",R3295,IF(Q3295="(tanpa lawan)","Transfer antar rekening",IFERROR(INDEX(I_COA!$F$6:$F$265,MATCH(Q3295,I_COA!$A$6:$A$265,0)),"?"))))</f>
        <v/>
      </c>
    </row>
    <row r="3296" customFormat="false" ht="15" hidden="false" customHeight="false" outlineLevel="0" collapsed="false">
      <c r="A3296" s="37"/>
      <c r="B3296" s="44"/>
      <c r="C3296" s="44"/>
      <c r="D3296" s="44"/>
      <c r="E3296" s="44"/>
      <c r="F3296" s="44"/>
      <c r="G3296" s="42"/>
      <c r="H3296" s="42"/>
      <c r="I3296" s="44"/>
      <c r="J3296" s="11" t="str">
        <f aca="false">IF(D3296="","",N(G3296)-N(H3296))</f>
        <v/>
      </c>
      <c r="K3296" s="34" t="str">
        <f aca="false">IF(D3296="","",IFERROR(INDEX(I_COA!$C$6:$C$265,MATCH(D3296,I_COA!$A$6:$A$265,0)),"AKUN BARU"))</f>
        <v/>
      </c>
      <c r="L3296" s="34" t="str">
        <f aca="false">IF(K3296="LabaRugi",INDEX(I_COA!$D$6:$D$265,MATCH(D3296,I_COA!$A$6:$A$265,0)),"")</f>
        <v/>
      </c>
      <c r="M3296" s="34" t="str">
        <f aca="false">IF(K3296="Neraca",INDEX(I_COA!$E$6:$E$265,MATCH(D3296,I_COA!$A$6:$A$265,0)),"")</f>
        <v/>
      </c>
      <c r="N3296" s="34" t="str">
        <f aca="false">IF(D3296="","",IFERROR(INDEX(I_COA!$G$6:$G$265,MATCH(D3296,I_COA!$A$6:$A$265,0)),"N"))</f>
        <v/>
      </c>
      <c r="O3296" s="11" t="str">
        <f aca="false">IF(N3296="N",ABS(J3296),"")</f>
        <v/>
      </c>
      <c r="P3296" s="18" t="str">
        <f aca="false">IF(N3296="N",B3296&amp;"|"&amp;ROUND(O3296,0),"")</f>
        <v/>
      </c>
      <c r="Q3296" s="18" t="str">
        <f aca="false">IF(N3296&lt;&gt;"Y","",IFERROR(INDEX($D$6:$D$4005,MATCH(B3296&amp;"|"&amp;ROUND(_xlfn.MAXIFS($O$6:$O$4005,$B$6:$B$4005,B3296,$N$6:$N$4005,"N"),0),$P$6:$P$4005,0)),"(tanpa lawan)"))</f>
        <v/>
      </c>
      <c r="R3296" s="44"/>
      <c r="S3296" s="9" t="str">
        <f aca="false">IF(N3296&lt;&gt;"Y","",IF(R3296&lt;&gt;"",R3296,IF(Q3296="(tanpa lawan)","Transfer antar rekening",IFERROR(INDEX(I_COA!$F$6:$F$265,MATCH(Q3296,I_COA!$A$6:$A$265,0)),"?"))))</f>
        <v/>
      </c>
    </row>
    <row r="3297" customFormat="false" ht="15" hidden="false" customHeight="false" outlineLevel="0" collapsed="false">
      <c r="A3297" s="37"/>
      <c r="B3297" s="44"/>
      <c r="C3297" s="44"/>
      <c r="D3297" s="44"/>
      <c r="E3297" s="44"/>
      <c r="F3297" s="44"/>
      <c r="G3297" s="42"/>
      <c r="H3297" s="42"/>
      <c r="I3297" s="44"/>
      <c r="J3297" s="11" t="str">
        <f aca="false">IF(D3297="","",N(G3297)-N(H3297))</f>
        <v/>
      </c>
      <c r="K3297" s="34" t="str">
        <f aca="false">IF(D3297="","",IFERROR(INDEX(I_COA!$C$6:$C$265,MATCH(D3297,I_COA!$A$6:$A$265,0)),"AKUN BARU"))</f>
        <v/>
      </c>
      <c r="L3297" s="34" t="str">
        <f aca="false">IF(K3297="LabaRugi",INDEX(I_COA!$D$6:$D$265,MATCH(D3297,I_COA!$A$6:$A$265,0)),"")</f>
        <v/>
      </c>
      <c r="M3297" s="34" t="str">
        <f aca="false">IF(K3297="Neraca",INDEX(I_COA!$E$6:$E$265,MATCH(D3297,I_COA!$A$6:$A$265,0)),"")</f>
        <v/>
      </c>
      <c r="N3297" s="34" t="str">
        <f aca="false">IF(D3297="","",IFERROR(INDEX(I_COA!$G$6:$G$265,MATCH(D3297,I_COA!$A$6:$A$265,0)),"N"))</f>
        <v/>
      </c>
      <c r="O3297" s="11" t="str">
        <f aca="false">IF(N3297="N",ABS(J3297),"")</f>
        <v/>
      </c>
      <c r="P3297" s="18" t="str">
        <f aca="false">IF(N3297="N",B3297&amp;"|"&amp;ROUND(O3297,0),"")</f>
        <v/>
      </c>
      <c r="Q3297" s="18" t="str">
        <f aca="false">IF(N3297&lt;&gt;"Y","",IFERROR(INDEX($D$6:$D$4005,MATCH(B3297&amp;"|"&amp;ROUND(_xlfn.MAXIFS($O$6:$O$4005,$B$6:$B$4005,B3297,$N$6:$N$4005,"N"),0),$P$6:$P$4005,0)),"(tanpa lawan)"))</f>
        <v/>
      </c>
      <c r="R3297" s="44"/>
      <c r="S3297" s="9" t="str">
        <f aca="false">IF(N3297&lt;&gt;"Y","",IF(R3297&lt;&gt;"",R3297,IF(Q3297="(tanpa lawan)","Transfer antar rekening",IFERROR(INDEX(I_COA!$F$6:$F$265,MATCH(Q3297,I_COA!$A$6:$A$265,0)),"?"))))</f>
        <v/>
      </c>
    </row>
    <row r="3298" customFormat="false" ht="15" hidden="false" customHeight="false" outlineLevel="0" collapsed="false">
      <c r="A3298" s="37"/>
      <c r="B3298" s="44"/>
      <c r="C3298" s="44"/>
      <c r="D3298" s="44"/>
      <c r="E3298" s="44"/>
      <c r="F3298" s="44"/>
      <c r="G3298" s="42"/>
      <c r="H3298" s="42"/>
      <c r="I3298" s="44"/>
      <c r="J3298" s="11" t="str">
        <f aca="false">IF(D3298="","",N(G3298)-N(H3298))</f>
        <v/>
      </c>
      <c r="K3298" s="34" t="str">
        <f aca="false">IF(D3298="","",IFERROR(INDEX(I_COA!$C$6:$C$265,MATCH(D3298,I_COA!$A$6:$A$265,0)),"AKUN BARU"))</f>
        <v/>
      </c>
      <c r="L3298" s="34" t="str">
        <f aca="false">IF(K3298="LabaRugi",INDEX(I_COA!$D$6:$D$265,MATCH(D3298,I_COA!$A$6:$A$265,0)),"")</f>
        <v/>
      </c>
      <c r="M3298" s="34" t="str">
        <f aca="false">IF(K3298="Neraca",INDEX(I_COA!$E$6:$E$265,MATCH(D3298,I_COA!$A$6:$A$265,0)),"")</f>
        <v/>
      </c>
      <c r="N3298" s="34" t="str">
        <f aca="false">IF(D3298="","",IFERROR(INDEX(I_COA!$G$6:$G$265,MATCH(D3298,I_COA!$A$6:$A$265,0)),"N"))</f>
        <v/>
      </c>
      <c r="O3298" s="11" t="str">
        <f aca="false">IF(N3298="N",ABS(J3298),"")</f>
        <v/>
      </c>
      <c r="P3298" s="18" t="str">
        <f aca="false">IF(N3298="N",B3298&amp;"|"&amp;ROUND(O3298,0),"")</f>
        <v/>
      </c>
      <c r="Q3298" s="18" t="str">
        <f aca="false">IF(N3298&lt;&gt;"Y","",IFERROR(INDEX($D$6:$D$4005,MATCH(B3298&amp;"|"&amp;ROUND(_xlfn.MAXIFS($O$6:$O$4005,$B$6:$B$4005,B3298,$N$6:$N$4005,"N"),0),$P$6:$P$4005,0)),"(tanpa lawan)"))</f>
        <v/>
      </c>
      <c r="R3298" s="44"/>
      <c r="S3298" s="9" t="str">
        <f aca="false">IF(N3298&lt;&gt;"Y","",IF(R3298&lt;&gt;"",R3298,IF(Q3298="(tanpa lawan)","Transfer antar rekening",IFERROR(INDEX(I_COA!$F$6:$F$265,MATCH(Q3298,I_COA!$A$6:$A$265,0)),"?"))))</f>
        <v/>
      </c>
    </row>
    <row r="3299" customFormat="false" ht="15" hidden="false" customHeight="false" outlineLevel="0" collapsed="false">
      <c r="A3299" s="37"/>
      <c r="B3299" s="44"/>
      <c r="C3299" s="44"/>
      <c r="D3299" s="44"/>
      <c r="E3299" s="44"/>
      <c r="F3299" s="44"/>
      <c r="G3299" s="42"/>
      <c r="H3299" s="42"/>
      <c r="I3299" s="44"/>
      <c r="J3299" s="11" t="str">
        <f aca="false">IF(D3299="","",N(G3299)-N(H3299))</f>
        <v/>
      </c>
      <c r="K3299" s="34" t="str">
        <f aca="false">IF(D3299="","",IFERROR(INDEX(I_COA!$C$6:$C$265,MATCH(D3299,I_COA!$A$6:$A$265,0)),"AKUN BARU"))</f>
        <v/>
      </c>
      <c r="L3299" s="34" t="str">
        <f aca="false">IF(K3299="LabaRugi",INDEX(I_COA!$D$6:$D$265,MATCH(D3299,I_COA!$A$6:$A$265,0)),"")</f>
        <v/>
      </c>
      <c r="M3299" s="34" t="str">
        <f aca="false">IF(K3299="Neraca",INDEX(I_COA!$E$6:$E$265,MATCH(D3299,I_COA!$A$6:$A$265,0)),"")</f>
        <v/>
      </c>
      <c r="N3299" s="34" t="str">
        <f aca="false">IF(D3299="","",IFERROR(INDEX(I_COA!$G$6:$G$265,MATCH(D3299,I_COA!$A$6:$A$265,0)),"N"))</f>
        <v/>
      </c>
      <c r="O3299" s="11" t="str">
        <f aca="false">IF(N3299="N",ABS(J3299),"")</f>
        <v/>
      </c>
      <c r="P3299" s="18" t="str">
        <f aca="false">IF(N3299="N",B3299&amp;"|"&amp;ROUND(O3299,0),"")</f>
        <v/>
      </c>
      <c r="Q3299" s="18" t="str">
        <f aca="false">IF(N3299&lt;&gt;"Y","",IFERROR(INDEX($D$6:$D$4005,MATCH(B3299&amp;"|"&amp;ROUND(_xlfn.MAXIFS($O$6:$O$4005,$B$6:$B$4005,B3299,$N$6:$N$4005,"N"),0),$P$6:$P$4005,0)),"(tanpa lawan)"))</f>
        <v/>
      </c>
      <c r="R3299" s="44"/>
      <c r="S3299" s="9" t="str">
        <f aca="false">IF(N3299&lt;&gt;"Y","",IF(R3299&lt;&gt;"",R3299,IF(Q3299="(tanpa lawan)","Transfer antar rekening",IFERROR(INDEX(I_COA!$F$6:$F$265,MATCH(Q3299,I_COA!$A$6:$A$265,0)),"?"))))</f>
        <v/>
      </c>
    </row>
    <row r="3300" customFormat="false" ht="15" hidden="false" customHeight="false" outlineLevel="0" collapsed="false">
      <c r="A3300" s="37"/>
      <c r="B3300" s="44"/>
      <c r="C3300" s="44"/>
      <c r="D3300" s="44"/>
      <c r="E3300" s="44"/>
      <c r="F3300" s="44"/>
      <c r="G3300" s="42"/>
      <c r="H3300" s="42"/>
      <c r="I3300" s="44"/>
      <c r="J3300" s="11" t="str">
        <f aca="false">IF(D3300="","",N(G3300)-N(H3300))</f>
        <v/>
      </c>
      <c r="K3300" s="34" t="str">
        <f aca="false">IF(D3300="","",IFERROR(INDEX(I_COA!$C$6:$C$265,MATCH(D3300,I_COA!$A$6:$A$265,0)),"AKUN BARU"))</f>
        <v/>
      </c>
      <c r="L3300" s="34" t="str">
        <f aca="false">IF(K3300="LabaRugi",INDEX(I_COA!$D$6:$D$265,MATCH(D3300,I_COA!$A$6:$A$265,0)),"")</f>
        <v/>
      </c>
      <c r="M3300" s="34" t="str">
        <f aca="false">IF(K3300="Neraca",INDEX(I_COA!$E$6:$E$265,MATCH(D3300,I_COA!$A$6:$A$265,0)),"")</f>
        <v/>
      </c>
      <c r="N3300" s="34" t="str">
        <f aca="false">IF(D3300="","",IFERROR(INDEX(I_COA!$G$6:$G$265,MATCH(D3300,I_COA!$A$6:$A$265,0)),"N"))</f>
        <v/>
      </c>
      <c r="O3300" s="11" t="str">
        <f aca="false">IF(N3300="N",ABS(J3300),"")</f>
        <v/>
      </c>
      <c r="P3300" s="18" t="str">
        <f aca="false">IF(N3300="N",B3300&amp;"|"&amp;ROUND(O3300,0),"")</f>
        <v/>
      </c>
      <c r="Q3300" s="18" t="str">
        <f aca="false">IF(N3300&lt;&gt;"Y","",IFERROR(INDEX($D$6:$D$4005,MATCH(B3300&amp;"|"&amp;ROUND(_xlfn.MAXIFS($O$6:$O$4005,$B$6:$B$4005,B3300,$N$6:$N$4005,"N"),0),$P$6:$P$4005,0)),"(tanpa lawan)"))</f>
        <v/>
      </c>
      <c r="R3300" s="44"/>
      <c r="S3300" s="9" t="str">
        <f aca="false">IF(N3300&lt;&gt;"Y","",IF(R3300&lt;&gt;"",R3300,IF(Q3300="(tanpa lawan)","Transfer antar rekening",IFERROR(INDEX(I_COA!$F$6:$F$265,MATCH(Q3300,I_COA!$A$6:$A$265,0)),"?"))))</f>
        <v/>
      </c>
    </row>
    <row r="3301" customFormat="false" ht="15" hidden="false" customHeight="false" outlineLevel="0" collapsed="false">
      <c r="A3301" s="37"/>
      <c r="B3301" s="44"/>
      <c r="C3301" s="44"/>
      <c r="D3301" s="44"/>
      <c r="E3301" s="44"/>
      <c r="F3301" s="44"/>
      <c r="G3301" s="42"/>
      <c r="H3301" s="42"/>
      <c r="I3301" s="44"/>
      <c r="J3301" s="11" t="str">
        <f aca="false">IF(D3301="","",N(G3301)-N(H3301))</f>
        <v/>
      </c>
      <c r="K3301" s="34" t="str">
        <f aca="false">IF(D3301="","",IFERROR(INDEX(I_COA!$C$6:$C$265,MATCH(D3301,I_COA!$A$6:$A$265,0)),"AKUN BARU"))</f>
        <v/>
      </c>
      <c r="L3301" s="34" t="str">
        <f aca="false">IF(K3301="LabaRugi",INDEX(I_COA!$D$6:$D$265,MATCH(D3301,I_COA!$A$6:$A$265,0)),"")</f>
        <v/>
      </c>
      <c r="M3301" s="34" t="str">
        <f aca="false">IF(K3301="Neraca",INDEX(I_COA!$E$6:$E$265,MATCH(D3301,I_COA!$A$6:$A$265,0)),"")</f>
        <v/>
      </c>
      <c r="N3301" s="34" t="str">
        <f aca="false">IF(D3301="","",IFERROR(INDEX(I_COA!$G$6:$G$265,MATCH(D3301,I_COA!$A$6:$A$265,0)),"N"))</f>
        <v/>
      </c>
      <c r="O3301" s="11" t="str">
        <f aca="false">IF(N3301="N",ABS(J3301),"")</f>
        <v/>
      </c>
      <c r="P3301" s="18" t="str">
        <f aca="false">IF(N3301="N",B3301&amp;"|"&amp;ROUND(O3301,0),"")</f>
        <v/>
      </c>
      <c r="Q3301" s="18" t="str">
        <f aca="false">IF(N3301&lt;&gt;"Y","",IFERROR(INDEX($D$6:$D$4005,MATCH(B3301&amp;"|"&amp;ROUND(_xlfn.MAXIFS($O$6:$O$4005,$B$6:$B$4005,B3301,$N$6:$N$4005,"N"),0),$P$6:$P$4005,0)),"(tanpa lawan)"))</f>
        <v/>
      </c>
      <c r="R3301" s="44"/>
      <c r="S3301" s="9" t="str">
        <f aca="false">IF(N3301&lt;&gt;"Y","",IF(R3301&lt;&gt;"",R3301,IF(Q3301="(tanpa lawan)","Transfer antar rekening",IFERROR(INDEX(I_COA!$F$6:$F$265,MATCH(Q3301,I_COA!$A$6:$A$265,0)),"?"))))</f>
        <v/>
      </c>
    </row>
    <row r="3302" customFormat="false" ht="15" hidden="false" customHeight="false" outlineLevel="0" collapsed="false">
      <c r="A3302" s="37"/>
      <c r="B3302" s="44"/>
      <c r="C3302" s="44"/>
      <c r="D3302" s="44"/>
      <c r="E3302" s="44"/>
      <c r="F3302" s="44"/>
      <c r="G3302" s="42"/>
      <c r="H3302" s="42"/>
      <c r="I3302" s="44"/>
      <c r="J3302" s="11" t="str">
        <f aca="false">IF(D3302="","",N(G3302)-N(H3302))</f>
        <v/>
      </c>
      <c r="K3302" s="34" t="str">
        <f aca="false">IF(D3302="","",IFERROR(INDEX(I_COA!$C$6:$C$265,MATCH(D3302,I_COA!$A$6:$A$265,0)),"AKUN BARU"))</f>
        <v/>
      </c>
      <c r="L3302" s="34" t="str">
        <f aca="false">IF(K3302="LabaRugi",INDEX(I_COA!$D$6:$D$265,MATCH(D3302,I_COA!$A$6:$A$265,0)),"")</f>
        <v/>
      </c>
      <c r="M3302" s="34" t="str">
        <f aca="false">IF(K3302="Neraca",INDEX(I_COA!$E$6:$E$265,MATCH(D3302,I_COA!$A$6:$A$265,0)),"")</f>
        <v/>
      </c>
      <c r="N3302" s="34" t="str">
        <f aca="false">IF(D3302="","",IFERROR(INDEX(I_COA!$G$6:$G$265,MATCH(D3302,I_COA!$A$6:$A$265,0)),"N"))</f>
        <v/>
      </c>
      <c r="O3302" s="11" t="str">
        <f aca="false">IF(N3302="N",ABS(J3302),"")</f>
        <v/>
      </c>
      <c r="P3302" s="18" t="str">
        <f aca="false">IF(N3302="N",B3302&amp;"|"&amp;ROUND(O3302,0),"")</f>
        <v/>
      </c>
      <c r="Q3302" s="18" t="str">
        <f aca="false">IF(N3302&lt;&gt;"Y","",IFERROR(INDEX($D$6:$D$4005,MATCH(B3302&amp;"|"&amp;ROUND(_xlfn.MAXIFS($O$6:$O$4005,$B$6:$B$4005,B3302,$N$6:$N$4005,"N"),0),$P$6:$P$4005,0)),"(tanpa lawan)"))</f>
        <v/>
      </c>
      <c r="R3302" s="44"/>
      <c r="S3302" s="9" t="str">
        <f aca="false">IF(N3302&lt;&gt;"Y","",IF(R3302&lt;&gt;"",R3302,IF(Q3302="(tanpa lawan)","Transfer antar rekening",IFERROR(INDEX(I_COA!$F$6:$F$265,MATCH(Q3302,I_COA!$A$6:$A$265,0)),"?"))))</f>
        <v/>
      </c>
    </row>
    <row r="3303" customFormat="false" ht="15" hidden="false" customHeight="false" outlineLevel="0" collapsed="false">
      <c r="A3303" s="37"/>
      <c r="B3303" s="44"/>
      <c r="C3303" s="44"/>
      <c r="D3303" s="44"/>
      <c r="E3303" s="44"/>
      <c r="F3303" s="44"/>
      <c r="G3303" s="42"/>
      <c r="H3303" s="42"/>
      <c r="I3303" s="44"/>
      <c r="J3303" s="11" t="str">
        <f aca="false">IF(D3303="","",N(G3303)-N(H3303))</f>
        <v/>
      </c>
      <c r="K3303" s="34" t="str">
        <f aca="false">IF(D3303="","",IFERROR(INDEX(I_COA!$C$6:$C$265,MATCH(D3303,I_COA!$A$6:$A$265,0)),"AKUN BARU"))</f>
        <v/>
      </c>
      <c r="L3303" s="34" t="str">
        <f aca="false">IF(K3303="LabaRugi",INDEX(I_COA!$D$6:$D$265,MATCH(D3303,I_COA!$A$6:$A$265,0)),"")</f>
        <v/>
      </c>
      <c r="M3303" s="34" t="str">
        <f aca="false">IF(K3303="Neraca",INDEX(I_COA!$E$6:$E$265,MATCH(D3303,I_COA!$A$6:$A$265,0)),"")</f>
        <v/>
      </c>
      <c r="N3303" s="34" t="str">
        <f aca="false">IF(D3303="","",IFERROR(INDEX(I_COA!$G$6:$G$265,MATCH(D3303,I_COA!$A$6:$A$265,0)),"N"))</f>
        <v/>
      </c>
      <c r="O3303" s="11" t="str">
        <f aca="false">IF(N3303="N",ABS(J3303),"")</f>
        <v/>
      </c>
      <c r="P3303" s="18" t="str">
        <f aca="false">IF(N3303="N",B3303&amp;"|"&amp;ROUND(O3303,0),"")</f>
        <v/>
      </c>
      <c r="Q3303" s="18" t="str">
        <f aca="false">IF(N3303&lt;&gt;"Y","",IFERROR(INDEX($D$6:$D$4005,MATCH(B3303&amp;"|"&amp;ROUND(_xlfn.MAXIFS($O$6:$O$4005,$B$6:$B$4005,B3303,$N$6:$N$4005,"N"),0),$P$6:$P$4005,0)),"(tanpa lawan)"))</f>
        <v/>
      </c>
      <c r="R3303" s="44"/>
      <c r="S3303" s="9" t="str">
        <f aca="false">IF(N3303&lt;&gt;"Y","",IF(R3303&lt;&gt;"",R3303,IF(Q3303="(tanpa lawan)","Transfer antar rekening",IFERROR(INDEX(I_COA!$F$6:$F$265,MATCH(Q3303,I_COA!$A$6:$A$265,0)),"?"))))</f>
        <v/>
      </c>
    </row>
    <row r="3304" customFormat="false" ht="15" hidden="false" customHeight="false" outlineLevel="0" collapsed="false">
      <c r="A3304" s="37"/>
      <c r="B3304" s="44"/>
      <c r="C3304" s="44"/>
      <c r="D3304" s="44"/>
      <c r="E3304" s="44"/>
      <c r="F3304" s="44"/>
      <c r="G3304" s="42"/>
      <c r="H3304" s="42"/>
      <c r="I3304" s="44"/>
      <c r="J3304" s="11" t="str">
        <f aca="false">IF(D3304="","",N(G3304)-N(H3304))</f>
        <v/>
      </c>
      <c r="K3304" s="34" t="str">
        <f aca="false">IF(D3304="","",IFERROR(INDEX(I_COA!$C$6:$C$265,MATCH(D3304,I_COA!$A$6:$A$265,0)),"AKUN BARU"))</f>
        <v/>
      </c>
      <c r="L3304" s="34" t="str">
        <f aca="false">IF(K3304="LabaRugi",INDEX(I_COA!$D$6:$D$265,MATCH(D3304,I_COA!$A$6:$A$265,0)),"")</f>
        <v/>
      </c>
      <c r="M3304" s="34" t="str">
        <f aca="false">IF(K3304="Neraca",INDEX(I_COA!$E$6:$E$265,MATCH(D3304,I_COA!$A$6:$A$265,0)),"")</f>
        <v/>
      </c>
      <c r="N3304" s="34" t="str">
        <f aca="false">IF(D3304="","",IFERROR(INDEX(I_COA!$G$6:$G$265,MATCH(D3304,I_COA!$A$6:$A$265,0)),"N"))</f>
        <v/>
      </c>
      <c r="O3304" s="11" t="str">
        <f aca="false">IF(N3304="N",ABS(J3304),"")</f>
        <v/>
      </c>
      <c r="P3304" s="18" t="str">
        <f aca="false">IF(N3304="N",B3304&amp;"|"&amp;ROUND(O3304,0),"")</f>
        <v/>
      </c>
      <c r="Q3304" s="18" t="str">
        <f aca="false">IF(N3304&lt;&gt;"Y","",IFERROR(INDEX($D$6:$D$4005,MATCH(B3304&amp;"|"&amp;ROUND(_xlfn.MAXIFS($O$6:$O$4005,$B$6:$B$4005,B3304,$N$6:$N$4005,"N"),0),$P$6:$P$4005,0)),"(tanpa lawan)"))</f>
        <v/>
      </c>
      <c r="R3304" s="44"/>
      <c r="S3304" s="9" t="str">
        <f aca="false">IF(N3304&lt;&gt;"Y","",IF(R3304&lt;&gt;"",R3304,IF(Q3304="(tanpa lawan)","Transfer antar rekening",IFERROR(INDEX(I_COA!$F$6:$F$265,MATCH(Q3304,I_COA!$A$6:$A$265,0)),"?"))))</f>
        <v/>
      </c>
    </row>
    <row r="3305" customFormat="false" ht="15" hidden="false" customHeight="false" outlineLevel="0" collapsed="false">
      <c r="A3305" s="37"/>
      <c r="B3305" s="44"/>
      <c r="C3305" s="44"/>
      <c r="D3305" s="44"/>
      <c r="E3305" s="44"/>
      <c r="F3305" s="44"/>
      <c r="G3305" s="42"/>
      <c r="H3305" s="42"/>
      <c r="I3305" s="44"/>
      <c r="J3305" s="11" t="str">
        <f aca="false">IF(D3305="","",N(G3305)-N(H3305))</f>
        <v/>
      </c>
      <c r="K3305" s="34" t="str">
        <f aca="false">IF(D3305="","",IFERROR(INDEX(I_COA!$C$6:$C$265,MATCH(D3305,I_COA!$A$6:$A$265,0)),"AKUN BARU"))</f>
        <v/>
      </c>
      <c r="L3305" s="34" t="str">
        <f aca="false">IF(K3305="LabaRugi",INDEX(I_COA!$D$6:$D$265,MATCH(D3305,I_COA!$A$6:$A$265,0)),"")</f>
        <v/>
      </c>
      <c r="M3305" s="34" t="str">
        <f aca="false">IF(K3305="Neraca",INDEX(I_COA!$E$6:$E$265,MATCH(D3305,I_COA!$A$6:$A$265,0)),"")</f>
        <v/>
      </c>
      <c r="N3305" s="34" t="str">
        <f aca="false">IF(D3305="","",IFERROR(INDEX(I_COA!$G$6:$G$265,MATCH(D3305,I_COA!$A$6:$A$265,0)),"N"))</f>
        <v/>
      </c>
      <c r="O3305" s="11" t="str">
        <f aca="false">IF(N3305="N",ABS(J3305),"")</f>
        <v/>
      </c>
      <c r="P3305" s="18" t="str">
        <f aca="false">IF(N3305="N",B3305&amp;"|"&amp;ROUND(O3305,0),"")</f>
        <v/>
      </c>
      <c r="Q3305" s="18" t="str">
        <f aca="false">IF(N3305&lt;&gt;"Y","",IFERROR(INDEX($D$6:$D$4005,MATCH(B3305&amp;"|"&amp;ROUND(_xlfn.MAXIFS($O$6:$O$4005,$B$6:$B$4005,B3305,$N$6:$N$4005,"N"),0),$P$6:$P$4005,0)),"(tanpa lawan)"))</f>
        <v/>
      </c>
      <c r="R3305" s="44"/>
      <c r="S3305" s="9" t="str">
        <f aca="false">IF(N3305&lt;&gt;"Y","",IF(R3305&lt;&gt;"",R3305,IF(Q3305="(tanpa lawan)","Transfer antar rekening",IFERROR(INDEX(I_COA!$F$6:$F$265,MATCH(Q3305,I_COA!$A$6:$A$265,0)),"?"))))</f>
        <v/>
      </c>
    </row>
    <row r="3306" customFormat="false" ht="15" hidden="false" customHeight="false" outlineLevel="0" collapsed="false">
      <c r="A3306" s="37"/>
      <c r="B3306" s="44"/>
      <c r="C3306" s="44"/>
      <c r="D3306" s="44"/>
      <c r="E3306" s="44"/>
      <c r="F3306" s="44"/>
      <c r="G3306" s="42"/>
      <c r="H3306" s="42"/>
      <c r="I3306" s="44"/>
      <c r="J3306" s="11" t="str">
        <f aca="false">IF(D3306="","",N(G3306)-N(H3306))</f>
        <v/>
      </c>
      <c r="K3306" s="34" t="str">
        <f aca="false">IF(D3306="","",IFERROR(INDEX(I_COA!$C$6:$C$265,MATCH(D3306,I_COA!$A$6:$A$265,0)),"AKUN BARU"))</f>
        <v/>
      </c>
      <c r="L3306" s="34" t="str">
        <f aca="false">IF(K3306="LabaRugi",INDEX(I_COA!$D$6:$D$265,MATCH(D3306,I_COA!$A$6:$A$265,0)),"")</f>
        <v/>
      </c>
      <c r="M3306" s="34" t="str">
        <f aca="false">IF(K3306="Neraca",INDEX(I_COA!$E$6:$E$265,MATCH(D3306,I_COA!$A$6:$A$265,0)),"")</f>
        <v/>
      </c>
      <c r="N3306" s="34" t="str">
        <f aca="false">IF(D3306="","",IFERROR(INDEX(I_COA!$G$6:$G$265,MATCH(D3306,I_COA!$A$6:$A$265,0)),"N"))</f>
        <v/>
      </c>
      <c r="O3306" s="11" t="str">
        <f aca="false">IF(N3306="N",ABS(J3306),"")</f>
        <v/>
      </c>
      <c r="P3306" s="18" t="str">
        <f aca="false">IF(N3306="N",B3306&amp;"|"&amp;ROUND(O3306,0),"")</f>
        <v/>
      </c>
      <c r="Q3306" s="18" t="str">
        <f aca="false">IF(N3306&lt;&gt;"Y","",IFERROR(INDEX($D$6:$D$4005,MATCH(B3306&amp;"|"&amp;ROUND(_xlfn.MAXIFS($O$6:$O$4005,$B$6:$B$4005,B3306,$N$6:$N$4005,"N"),0),$P$6:$P$4005,0)),"(tanpa lawan)"))</f>
        <v/>
      </c>
      <c r="R3306" s="44"/>
      <c r="S3306" s="9" t="str">
        <f aca="false">IF(N3306&lt;&gt;"Y","",IF(R3306&lt;&gt;"",R3306,IF(Q3306="(tanpa lawan)","Transfer antar rekening",IFERROR(INDEX(I_COA!$F$6:$F$265,MATCH(Q3306,I_COA!$A$6:$A$265,0)),"?"))))</f>
        <v/>
      </c>
    </row>
    <row r="3307" customFormat="false" ht="15" hidden="false" customHeight="false" outlineLevel="0" collapsed="false">
      <c r="A3307" s="37"/>
      <c r="B3307" s="44"/>
      <c r="C3307" s="44"/>
      <c r="D3307" s="44"/>
      <c r="E3307" s="44"/>
      <c r="F3307" s="44"/>
      <c r="G3307" s="42"/>
      <c r="H3307" s="42"/>
      <c r="I3307" s="44"/>
      <c r="J3307" s="11" t="str">
        <f aca="false">IF(D3307="","",N(G3307)-N(H3307))</f>
        <v/>
      </c>
      <c r="K3307" s="34" t="str">
        <f aca="false">IF(D3307="","",IFERROR(INDEX(I_COA!$C$6:$C$265,MATCH(D3307,I_COA!$A$6:$A$265,0)),"AKUN BARU"))</f>
        <v/>
      </c>
      <c r="L3307" s="34" t="str">
        <f aca="false">IF(K3307="LabaRugi",INDEX(I_COA!$D$6:$D$265,MATCH(D3307,I_COA!$A$6:$A$265,0)),"")</f>
        <v/>
      </c>
      <c r="M3307" s="34" t="str">
        <f aca="false">IF(K3307="Neraca",INDEX(I_COA!$E$6:$E$265,MATCH(D3307,I_COA!$A$6:$A$265,0)),"")</f>
        <v/>
      </c>
      <c r="N3307" s="34" t="str">
        <f aca="false">IF(D3307="","",IFERROR(INDEX(I_COA!$G$6:$G$265,MATCH(D3307,I_COA!$A$6:$A$265,0)),"N"))</f>
        <v/>
      </c>
      <c r="O3307" s="11" t="str">
        <f aca="false">IF(N3307="N",ABS(J3307),"")</f>
        <v/>
      </c>
      <c r="P3307" s="18" t="str">
        <f aca="false">IF(N3307="N",B3307&amp;"|"&amp;ROUND(O3307,0),"")</f>
        <v/>
      </c>
      <c r="Q3307" s="18" t="str">
        <f aca="false">IF(N3307&lt;&gt;"Y","",IFERROR(INDEX($D$6:$D$4005,MATCH(B3307&amp;"|"&amp;ROUND(_xlfn.MAXIFS($O$6:$O$4005,$B$6:$B$4005,B3307,$N$6:$N$4005,"N"),0),$P$6:$P$4005,0)),"(tanpa lawan)"))</f>
        <v/>
      </c>
      <c r="R3307" s="44"/>
      <c r="S3307" s="9" t="str">
        <f aca="false">IF(N3307&lt;&gt;"Y","",IF(R3307&lt;&gt;"",R3307,IF(Q3307="(tanpa lawan)","Transfer antar rekening",IFERROR(INDEX(I_COA!$F$6:$F$265,MATCH(Q3307,I_COA!$A$6:$A$265,0)),"?"))))</f>
        <v/>
      </c>
    </row>
    <row r="3308" customFormat="false" ht="15" hidden="false" customHeight="false" outlineLevel="0" collapsed="false">
      <c r="A3308" s="37"/>
      <c r="B3308" s="44"/>
      <c r="C3308" s="44"/>
      <c r="D3308" s="44"/>
      <c r="E3308" s="44"/>
      <c r="F3308" s="44"/>
      <c r="G3308" s="42"/>
      <c r="H3308" s="42"/>
      <c r="I3308" s="44"/>
      <c r="J3308" s="11" t="str">
        <f aca="false">IF(D3308="","",N(G3308)-N(H3308))</f>
        <v/>
      </c>
      <c r="K3308" s="34" t="str">
        <f aca="false">IF(D3308="","",IFERROR(INDEX(I_COA!$C$6:$C$265,MATCH(D3308,I_COA!$A$6:$A$265,0)),"AKUN BARU"))</f>
        <v/>
      </c>
      <c r="L3308" s="34" t="str">
        <f aca="false">IF(K3308="LabaRugi",INDEX(I_COA!$D$6:$D$265,MATCH(D3308,I_COA!$A$6:$A$265,0)),"")</f>
        <v/>
      </c>
      <c r="M3308" s="34" t="str">
        <f aca="false">IF(K3308="Neraca",INDEX(I_COA!$E$6:$E$265,MATCH(D3308,I_COA!$A$6:$A$265,0)),"")</f>
        <v/>
      </c>
      <c r="N3308" s="34" t="str">
        <f aca="false">IF(D3308="","",IFERROR(INDEX(I_COA!$G$6:$G$265,MATCH(D3308,I_COA!$A$6:$A$265,0)),"N"))</f>
        <v/>
      </c>
      <c r="O3308" s="11" t="str">
        <f aca="false">IF(N3308="N",ABS(J3308),"")</f>
        <v/>
      </c>
      <c r="P3308" s="18" t="str">
        <f aca="false">IF(N3308="N",B3308&amp;"|"&amp;ROUND(O3308,0),"")</f>
        <v/>
      </c>
      <c r="Q3308" s="18" t="str">
        <f aca="false">IF(N3308&lt;&gt;"Y","",IFERROR(INDEX($D$6:$D$4005,MATCH(B3308&amp;"|"&amp;ROUND(_xlfn.MAXIFS($O$6:$O$4005,$B$6:$B$4005,B3308,$N$6:$N$4005,"N"),0),$P$6:$P$4005,0)),"(tanpa lawan)"))</f>
        <v/>
      </c>
      <c r="R3308" s="44"/>
      <c r="S3308" s="9" t="str">
        <f aca="false">IF(N3308&lt;&gt;"Y","",IF(R3308&lt;&gt;"",R3308,IF(Q3308="(tanpa lawan)","Transfer antar rekening",IFERROR(INDEX(I_COA!$F$6:$F$265,MATCH(Q3308,I_COA!$A$6:$A$265,0)),"?"))))</f>
        <v/>
      </c>
    </row>
    <row r="3309" customFormat="false" ht="15" hidden="false" customHeight="false" outlineLevel="0" collapsed="false">
      <c r="A3309" s="37"/>
      <c r="B3309" s="44"/>
      <c r="C3309" s="44"/>
      <c r="D3309" s="44"/>
      <c r="E3309" s="44"/>
      <c r="F3309" s="44"/>
      <c r="G3309" s="42"/>
      <c r="H3309" s="42"/>
      <c r="I3309" s="44"/>
      <c r="J3309" s="11" t="str">
        <f aca="false">IF(D3309="","",N(G3309)-N(H3309))</f>
        <v/>
      </c>
      <c r="K3309" s="34" t="str">
        <f aca="false">IF(D3309="","",IFERROR(INDEX(I_COA!$C$6:$C$265,MATCH(D3309,I_COA!$A$6:$A$265,0)),"AKUN BARU"))</f>
        <v/>
      </c>
      <c r="L3309" s="34" t="str">
        <f aca="false">IF(K3309="LabaRugi",INDEX(I_COA!$D$6:$D$265,MATCH(D3309,I_COA!$A$6:$A$265,0)),"")</f>
        <v/>
      </c>
      <c r="M3309" s="34" t="str">
        <f aca="false">IF(K3309="Neraca",INDEX(I_COA!$E$6:$E$265,MATCH(D3309,I_COA!$A$6:$A$265,0)),"")</f>
        <v/>
      </c>
      <c r="N3309" s="34" t="str">
        <f aca="false">IF(D3309="","",IFERROR(INDEX(I_COA!$G$6:$G$265,MATCH(D3309,I_COA!$A$6:$A$265,0)),"N"))</f>
        <v/>
      </c>
      <c r="O3309" s="11" t="str">
        <f aca="false">IF(N3309="N",ABS(J3309),"")</f>
        <v/>
      </c>
      <c r="P3309" s="18" t="str">
        <f aca="false">IF(N3309="N",B3309&amp;"|"&amp;ROUND(O3309,0),"")</f>
        <v/>
      </c>
      <c r="Q3309" s="18" t="str">
        <f aca="false">IF(N3309&lt;&gt;"Y","",IFERROR(INDEX($D$6:$D$4005,MATCH(B3309&amp;"|"&amp;ROUND(_xlfn.MAXIFS($O$6:$O$4005,$B$6:$B$4005,B3309,$N$6:$N$4005,"N"),0),$P$6:$P$4005,0)),"(tanpa lawan)"))</f>
        <v/>
      </c>
      <c r="R3309" s="44"/>
      <c r="S3309" s="9" t="str">
        <f aca="false">IF(N3309&lt;&gt;"Y","",IF(R3309&lt;&gt;"",R3309,IF(Q3309="(tanpa lawan)","Transfer antar rekening",IFERROR(INDEX(I_COA!$F$6:$F$265,MATCH(Q3309,I_COA!$A$6:$A$265,0)),"?"))))</f>
        <v/>
      </c>
    </row>
    <row r="3310" customFormat="false" ht="15" hidden="false" customHeight="false" outlineLevel="0" collapsed="false">
      <c r="A3310" s="37"/>
      <c r="B3310" s="44"/>
      <c r="C3310" s="44"/>
      <c r="D3310" s="44"/>
      <c r="E3310" s="44"/>
      <c r="F3310" s="44"/>
      <c r="G3310" s="42"/>
      <c r="H3310" s="42"/>
      <c r="I3310" s="44"/>
      <c r="J3310" s="11" t="str">
        <f aca="false">IF(D3310="","",N(G3310)-N(H3310))</f>
        <v/>
      </c>
      <c r="K3310" s="34" t="str">
        <f aca="false">IF(D3310="","",IFERROR(INDEX(I_COA!$C$6:$C$265,MATCH(D3310,I_COA!$A$6:$A$265,0)),"AKUN BARU"))</f>
        <v/>
      </c>
      <c r="L3310" s="34" t="str">
        <f aca="false">IF(K3310="LabaRugi",INDEX(I_COA!$D$6:$D$265,MATCH(D3310,I_COA!$A$6:$A$265,0)),"")</f>
        <v/>
      </c>
      <c r="M3310" s="34" t="str">
        <f aca="false">IF(K3310="Neraca",INDEX(I_COA!$E$6:$E$265,MATCH(D3310,I_COA!$A$6:$A$265,0)),"")</f>
        <v/>
      </c>
      <c r="N3310" s="34" t="str">
        <f aca="false">IF(D3310="","",IFERROR(INDEX(I_COA!$G$6:$G$265,MATCH(D3310,I_COA!$A$6:$A$265,0)),"N"))</f>
        <v/>
      </c>
      <c r="O3310" s="11" t="str">
        <f aca="false">IF(N3310="N",ABS(J3310),"")</f>
        <v/>
      </c>
      <c r="P3310" s="18" t="str">
        <f aca="false">IF(N3310="N",B3310&amp;"|"&amp;ROUND(O3310,0),"")</f>
        <v/>
      </c>
      <c r="Q3310" s="18" t="str">
        <f aca="false">IF(N3310&lt;&gt;"Y","",IFERROR(INDEX($D$6:$D$4005,MATCH(B3310&amp;"|"&amp;ROUND(_xlfn.MAXIFS($O$6:$O$4005,$B$6:$B$4005,B3310,$N$6:$N$4005,"N"),0),$P$6:$P$4005,0)),"(tanpa lawan)"))</f>
        <v/>
      </c>
      <c r="R3310" s="44"/>
      <c r="S3310" s="9" t="str">
        <f aca="false">IF(N3310&lt;&gt;"Y","",IF(R3310&lt;&gt;"",R3310,IF(Q3310="(tanpa lawan)","Transfer antar rekening",IFERROR(INDEX(I_COA!$F$6:$F$265,MATCH(Q3310,I_COA!$A$6:$A$265,0)),"?"))))</f>
        <v/>
      </c>
    </row>
    <row r="3311" customFormat="false" ht="15" hidden="false" customHeight="false" outlineLevel="0" collapsed="false">
      <c r="A3311" s="37"/>
      <c r="B3311" s="44"/>
      <c r="C3311" s="44"/>
      <c r="D3311" s="44"/>
      <c r="E3311" s="44"/>
      <c r="F3311" s="44"/>
      <c r="G3311" s="42"/>
      <c r="H3311" s="42"/>
      <c r="I3311" s="44"/>
      <c r="J3311" s="11" t="str">
        <f aca="false">IF(D3311="","",N(G3311)-N(H3311))</f>
        <v/>
      </c>
      <c r="K3311" s="34" t="str">
        <f aca="false">IF(D3311="","",IFERROR(INDEX(I_COA!$C$6:$C$265,MATCH(D3311,I_COA!$A$6:$A$265,0)),"AKUN BARU"))</f>
        <v/>
      </c>
      <c r="L3311" s="34" t="str">
        <f aca="false">IF(K3311="LabaRugi",INDEX(I_COA!$D$6:$D$265,MATCH(D3311,I_COA!$A$6:$A$265,0)),"")</f>
        <v/>
      </c>
      <c r="M3311" s="34" t="str">
        <f aca="false">IF(K3311="Neraca",INDEX(I_COA!$E$6:$E$265,MATCH(D3311,I_COA!$A$6:$A$265,0)),"")</f>
        <v/>
      </c>
      <c r="N3311" s="34" t="str">
        <f aca="false">IF(D3311="","",IFERROR(INDEX(I_COA!$G$6:$G$265,MATCH(D3311,I_COA!$A$6:$A$265,0)),"N"))</f>
        <v/>
      </c>
      <c r="O3311" s="11" t="str">
        <f aca="false">IF(N3311="N",ABS(J3311),"")</f>
        <v/>
      </c>
      <c r="P3311" s="18" t="str">
        <f aca="false">IF(N3311="N",B3311&amp;"|"&amp;ROUND(O3311,0),"")</f>
        <v/>
      </c>
      <c r="Q3311" s="18" t="str">
        <f aca="false">IF(N3311&lt;&gt;"Y","",IFERROR(INDEX($D$6:$D$4005,MATCH(B3311&amp;"|"&amp;ROUND(_xlfn.MAXIFS($O$6:$O$4005,$B$6:$B$4005,B3311,$N$6:$N$4005,"N"),0),$P$6:$P$4005,0)),"(tanpa lawan)"))</f>
        <v/>
      </c>
      <c r="R3311" s="44"/>
      <c r="S3311" s="9" t="str">
        <f aca="false">IF(N3311&lt;&gt;"Y","",IF(R3311&lt;&gt;"",R3311,IF(Q3311="(tanpa lawan)","Transfer antar rekening",IFERROR(INDEX(I_COA!$F$6:$F$265,MATCH(Q3311,I_COA!$A$6:$A$265,0)),"?"))))</f>
        <v/>
      </c>
    </row>
    <row r="3312" customFormat="false" ht="15" hidden="false" customHeight="false" outlineLevel="0" collapsed="false">
      <c r="A3312" s="37"/>
      <c r="B3312" s="44"/>
      <c r="C3312" s="44"/>
      <c r="D3312" s="44"/>
      <c r="E3312" s="44"/>
      <c r="F3312" s="44"/>
      <c r="G3312" s="42"/>
      <c r="H3312" s="42"/>
      <c r="I3312" s="44"/>
      <c r="J3312" s="11" t="str">
        <f aca="false">IF(D3312="","",N(G3312)-N(H3312))</f>
        <v/>
      </c>
      <c r="K3312" s="34" t="str">
        <f aca="false">IF(D3312="","",IFERROR(INDEX(I_COA!$C$6:$C$265,MATCH(D3312,I_COA!$A$6:$A$265,0)),"AKUN BARU"))</f>
        <v/>
      </c>
      <c r="L3312" s="34" t="str">
        <f aca="false">IF(K3312="LabaRugi",INDEX(I_COA!$D$6:$D$265,MATCH(D3312,I_COA!$A$6:$A$265,0)),"")</f>
        <v/>
      </c>
      <c r="M3312" s="34" t="str">
        <f aca="false">IF(K3312="Neraca",INDEX(I_COA!$E$6:$E$265,MATCH(D3312,I_COA!$A$6:$A$265,0)),"")</f>
        <v/>
      </c>
      <c r="N3312" s="34" t="str">
        <f aca="false">IF(D3312="","",IFERROR(INDEX(I_COA!$G$6:$G$265,MATCH(D3312,I_COA!$A$6:$A$265,0)),"N"))</f>
        <v/>
      </c>
      <c r="O3312" s="11" t="str">
        <f aca="false">IF(N3312="N",ABS(J3312),"")</f>
        <v/>
      </c>
      <c r="P3312" s="18" t="str">
        <f aca="false">IF(N3312="N",B3312&amp;"|"&amp;ROUND(O3312,0),"")</f>
        <v/>
      </c>
      <c r="Q3312" s="18" t="str">
        <f aca="false">IF(N3312&lt;&gt;"Y","",IFERROR(INDEX($D$6:$D$4005,MATCH(B3312&amp;"|"&amp;ROUND(_xlfn.MAXIFS($O$6:$O$4005,$B$6:$B$4005,B3312,$N$6:$N$4005,"N"),0),$P$6:$P$4005,0)),"(tanpa lawan)"))</f>
        <v/>
      </c>
      <c r="R3312" s="44"/>
      <c r="S3312" s="9" t="str">
        <f aca="false">IF(N3312&lt;&gt;"Y","",IF(R3312&lt;&gt;"",R3312,IF(Q3312="(tanpa lawan)","Transfer antar rekening",IFERROR(INDEX(I_COA!$F$6:$F$265,MATCH(Q3312,I_COA!$A$6:$A$265,0)),"?"))))</f>
        <v/>
      </c>
    </row>
    <row r="3313" customFormat="false" ht="15" hidden="false" customHeight="false" outlineLevel="0" collapsed="false">
      <c r="A3313" s="37"/>
      <c r="B3313" s="44"/>
      <c r="C3313" s="44"/>
      <c r="D3313" s="44"/>
      <c r="E3313" s="44"/>
      <c r="F3313" s="44"/>
      <c r="G3313" s="42"/>
      <c r="H3313" s="42"/>
      <c r="I3313" s="44"/>
      <c r="J3313" s="11" t="str">
        <f aca="false">IF(D3313="","",N(G3313)-N(H3313))</f>
        <v/>
      </c>
      <c r="K3313" s="34" t="str">
        <f aca="false">IF(D3313="","",IFERROR(INDEX(I_COA!$C$6:$C$265,MATCH(D3313,I_COA!$A$6:$A$265,0)),"AKUN BARU"))</f>
        <v/>
      </c>
      <c r="L3313" s="34" t="str">
        <f aca="false">IF(K3313="LabaRugi",INDEX(I_COA!$D$6:$D$265,MATCH(D3313,I_COA!$A$6:$A$265,0)),"")</f>
        <v/>
      </c>
      <c r="M3313" s="34" t="str">
        <f aca="false">IF(K3313="Neraca",INDEX(I_COA!$E$6:$E$265,MATCH(D3313,I_COA!$A$6:$A$265,0)),"")</f>
        <v/>
      </c>
      <c r="N3313" s="34" t="str">
        <f aca="false">IF(D3313="","",IFERROR(INDEX(I_COA!$G$6:$G$265,MATCH(D3313,I_COA!$A$6:$A$265,0)),"N"))</f>
        <v/>
      </c>
      <c r="O3313" s="11" t="str">
        <f aca="false">IF(N3313="N",ABS(J3313),"")</f>
        <v/>
      </c>
      <c r="P3313" s="18" t="str">
        <f aca="false">IF(N3313="N",B3313&amp;"|"&amp;ROUND(O3313,0),"")</f>
        <v/>
      </c>
      <c r="Q3313" s="18" t="str">
        <f aca="false">IF(N3313&lt;&gt;"Y","",IFERROR(INDEX($D$6:$D$4005,MATCH(B3313&amp;"|"&amp;ROUND(_xlfn.MAXIFS($O$6:$O$4005,$B$6:$B$4005,B3313,$N$6:$N$4005,"N"),0),$P$6:$P$4005,0)),"(tanpa lawan)"))</f>
        <v/>
      </c>
      <c r="R3313" s="44"/>
      <c r="S3313" s="9" t="str">
        <f aca="false">IF(N3313&lt;&gt;"Y","",IF(R3313&lt;&gt;"",R3313,IF(Q3313="(tanpa lawan)","Transfer antar rekening",IFERROR(INDEX(I_COA!$F$6:$F$265,MATCH(Q3313,I_COA!$A$6:$A$265,0)),"?"))))</f>
        <v/>
      </c>
    </row>
    <row r="3314" customFormat="false" ht="15" hidden="false" customHeight="false" outlineLevel="0" collapsed="false">
      <c r="A3314" s="37"/>
      <c r="B3314" s="44"/>
      <c r="C3314" s="44"/>
      <c r="D3314" s="44"/>
      <c r="E3314" s="44"/>
      <c r="F3314" s="44"/>
      <c r="G3314" s="42"/>
      <c r="H3314" s="42"/>
      <c r="I3314" s="44"/>
      <c r="J3314" s="11" t="str">
        <f aca="false">IF(D3314="","",N(G3314)-N(H3314))</f>
        <v/>
      </c>
      <c r="K3314" s="34" t="str">
        <f aca="false">IF(D3314="","",IFERROR(INDEX(I_COA!$C$6:$C$265,MATCH(D3314,I_COA!$A$6:$A$265,0)),"AKUN BARU"))</f>
        <v/>
      </c>
      <c r="L3314" s="34" t="str">
        <f aca="false">IF(K3314="LabaRugi",INDEX(I_COA!$D$6:$D$265,MATCH(D3314,I_COA!$A$6:$A$265,0)),"")</f>
        <v/>
      </c>
      <c r="M3314" s="34" t="str">
        <f aca="false">IF(K3314="Neraca",INDEX(I_COA!$E$6:$E$265,MATCH(D3314,I_COA!$A$6:$A$265,0)),"")</f>
        <v/>
      </c>
      <c r="N3314" s="34" t="str">
        <f aca="false">IF(D3314="","",IFERROR(INDEX(I_COA!$G$6:$G$265,MATCH(D3314,I_COA!$A$6:$A$265,0)),"N"))</f>
        <v/>
      </c>
      <c r="O3314" s="11" t="str">
        <f aca="false">IF(N3314="N",ABS(J3314),"")</f>
        <v/>
      </c>
      <c r="P3314" s="18" t="str">
        <f aca="false">IF(N3314="N",B3314&amp;"|"&amp;ROUND(O3314,0),"")</f>
        <v/>
      </c>
      <c r="Q3314" s="18" t="str">
        <f aca="false">IF(N3314&lt;&gt;"Y","",IFERROR(INDEX($D$6:$D$4005,MATCH(B3314&amp;"|"&amp;ROUND(_xlfn.MAXIFS($O$6:$O$4005,$B$6:$B$4005,B3314,$N$6:$N$4005,"N"),0),$P$6:$P$4005,0)),"(tanpa lawan)"))</f>
        <v/>
      </c>
      <c r="R3314" s="44"/>
      <c r="S3314" s="9" t="str">
        <f aca="false">IF(N3314&lt;&gt;"Y","",IF(R3314&lt;&gt;"",R3314,IF(Q3314="(tanpa lawan)","Transfer antar rekening",IFERROR(INDEX(I_COA!$F$6:$F$265,MATCH(Q3314,I_COA!$A$6:$A$265,0)),"?"))))</f>
        <v/>
      </c>
    </row>
    <row r="3315" customFormat="false" ht="15" hidden="false" customHeight="false" outlineLevel="0" collapsed="false">
      <c r="A3315" s="37"/>
      <c r="B3315" s="44"/>
      <c r="C3315" s="44"/>
      <c r="D3315" s="44"/>
      <c r="E3315" s="44"/>
      <c r="F3315" s="44"/>
      <c r="G3315" s="42"/>
      <c r="H3315" s="42"/>
      <c r="I3315" s="44"/>
      <c r="J3315" s="11" t="str">
        <f aca="false">IF(D3315="","",N(G3315)-N(H3315))</f>
        <v/>
      </c>
      <c r="K3315" s="34" t="str">
        <f aca="false">IF(D3315="","",IFERROR(INDEX(I_COA!$C$6:$C$265,MATCH(D3315,I_COA!$A$6:$A$265,0)),"AKUN BARU"))</f>
        <v/>
      </c>
      <c r="L3315" s="34" t="str">
        <f aca="false">IF(K3315="LabaRugi",INDEX(I_COA!$D$6:$D$265,MATCH(D3315,I_COA!$A$6:$A$265,0)),"")</f>
        <v/>
      </c>
      <c r="M3315" s="34" t="str">
        <f aca="false">IF(K3315="Neraca",INDEX(I_COA!$E$6:$E$265,MATCH(D3315,I_COA!$A$6:$A$265,0)),"")</f>
        <v/>
      </c>
      <c r="N3315" s="34" t="str">
        <f aca="false">IF(D3315="","",IFERROR(INDEX(I_COA!$G$6:$G$265,MATCH(D3315,I_COA!$A$6:$A$265,0)),"N"))</f>
        <v/>
      </c>
      <c r="O3315" s="11" t="str">
        <f aca="false">IF(N3315="N",ABS(J3315),"")</f>
        <v/>
      </c>
      <c r="P3315" s="18" t="str">
        <f aca="false">IF(N3315="N",B3315&amp;"|"&amp;ROUND(O3315,0),"")</f>
        <v/>
      </c>
      <c r="Q3315" s="18" t="str">
        <f aca="false">IF(N3315&lt;&gt;"Y","",IFERROR(INDEX($D$6:$D$4005,MATCH(B3315&amp;"|"&amp;ROUND(_xlfn.MAXIFS($O$6:$O$4005,$B$6:$B$4005,B3315,$N$6:$N$4005,"N"),0),$P$6:$P$4005,0)),"(tanpa lawan)"))</f>
        <v/>
      </c>
      <c r="R3315" s="44"/>
      <c r="S3315" s="9" t="str">
        <f aca="false">IF(N3315&lt;&gt;"Y","",IF(R3315&lt;&gt;"",R3315,IF(Q3315="(tanpa lawan)","Transfer antar rekening",IFERROR(INDEX(I_COA!$F$6:$F$265,MATCH(Q3315,I_COA!$A$6:$A$265,0)),"?"))))</f>
        <v/>
      </c>
    </row>
    <row r="3316" customFormat="false" ht="15" hidden="false" customHeight="false" outlineLevel="0" collapsed="false">
      <c r="A3316" s="37"/>
      <c r="B3316" s="44"/>
      <c r="C3316" s="44"/>
      <c r="D3316" s="44"/>
      <c r="E3316" s="44"/>
      <c r="F3316" s="44"/>
      <c r="G3316" s="42"/>
      <c r="H3316" s="42"/>
      <c r="I3316" s="44"/>
      <c r="J3316" s="11" t="str">
        <f aca="false">IF(D3316="","",N(G3316)-N(H3316))</f>
        <v/>
      </c>
      <c r="K3316" s="34" t="str">
        <f aca="false">IF(D3316="","",IFERROR(INDEX(I_COA!$C$6:$C$265,MATCH(D3316,I_COA!$A$6:$A$265,0)),"AKUN BARU"))</f>
        <v/>
      </c>
      <c r="L3316" s="34" t="str">
        <f aca="false">IF(K3316="LabaRugi",INDEX(I_COA!$D$6:$D$265,MATCH(D3316,I_COA!$A$6:$A$265,0)),"")</f>
        <v/>
      </c>
      <c r="M3316" s="34" t="str">
        <f aca="false">IF(K3316="Neraca",INDEX(I_COA!$E$6:$E$265,MATCH(D3316,I_COA!$A$6:$A$265,0)),"")</f>
        <v/>
      </c>
      <c r="N3316" s="34" t="str">
        <f aca="false">IF(D3316="","",IFERROR(INDEX(I_COA!$G$6:$G$265,MATCH(D3316,I_COA!$A$6:$A$265,0)),"N"))</f>
        <v/>
      </c>
      <c r="O3316" s="11" t="str">
        <f aca="false">IF(N3316="N",ABS(J3316),"")</f>
        <v/>
      </c>
      <c r="P3316" s="18" t="str">
        <f aca="false">IF(N3316="N",B3316&amp;"|"&amp;ROUND(O3316,0),"")</f>
        <v/>
      </c>
      <c r="Q3316" s="18" t="str">
        <f aca="false">IF(N3316&lt;&gt;"Y","",IFERROR(INDEX($D$6:$D$4005,MATCH(B3316&amp;"|"&amp;ROUND(_xlfn.MAXIFS($O$6:$O$4005,$B$6:$B$4005,B3316,$N$6:$N$4005,"N"),0),$P$6:$P$4005,0)),"(tanpa lawan)"))</f>
        <v/>
      </c>
      <c r="R3316" s="44"/>
      <c r="S3316" s="9" t="str">
        <f aca="false">IF(N3316&lt;&gt;"Y","",IF(R3316&lt;&gt;"",R3316,IF(Q3316="(tanpa lawan)","Transfer antar rekening",IFERROR(INDEX(I_COA!$F$6:$F$265,MATCH(Q3316,I_COA!$A$6:$A$265,0)),"?"))))</f>
        <v/>
      </c>
    </row>
    <row r="3317" customFormat="false" ht="15" hidden="false" customHeight="false" outlineLevel="0" collapsed="false">
      <c r="A3317" s="37"/>
      <c r="B3317" s="44"/>
      <c r="C3317" s="44"/>
      <c r="D3317" s="44"/>
      <c r="E3317" s="44"/>
      <c r="F3317" s="44"/>
      <c r="G3317" s="42"/>
      <c r="H3317" s="42"/>
      <c r="I3317" s="44"/>
      <c r="J3317" s="11" t="str">
        <f aca="false">IF(D3317="","",N(G3317)-N(H3317))</f>
        <v/>
      </c>
      <c r="K3317" s="34" t="str">
        <f aca="false">IF(D3317="","",IFERROR(INDEX(I_COA!$C$6:$C$265,MATCH(D3317,I_COA!$A$6:$A$265,0)),"AKUN BARU"))</f>
        <v/>
      </c>
      <c r="L3317" s="34" t="str">
        <f aca="false">IF(K3317="LabaRugi",INDEX(I_COA!$D$6:$D$265,MATCH(D3317,I_COA!$A$6:$A$265,0)),"")</f>
        <v/>
      </c>
      <c r="M3317" s="34" t="str">
        <f aca="false">IF(K3317="Neraca",INDEX(I_COA!$E$6:$E$265,MATCH(D3317,I_COA!$A$6:$A$265,0)),"")</f>
        <v/>
      </c>
      <c r="N3317" s="34" t="str">
        <f aca="false">IF(D3317="","",IFERROR(INDEX(I_COA!$G$6:$G$265,MATCH(D3317,I_COA!$A$6:$A$265,0)),"N"))</f>
        <v/>
      </c>
      <c r="O3317" s="11" t="str">
        <f aca="false">IF(N3317="N",ABS(J3317),"")</f>
        <v/>
      </c>
      <c r="P3317" s="18" t="str">
        <f aca="false">IF(N3317="N",B3317&amp;"|"&amp;ROUND(O3317,0),"")</f>
        <v/>
      </c>
      <c r="Q3317" s="18" t="str">
        <f aca="false">IF(N3317&lt;&gt;"Y","",IFERROR(INDEX($D$6:$D$4005,MATCH(B3317&amp;"|"&amp;ROUND(_xlfn.MAXIFS($O$6:$O$4005,$B$6:$B$4005,B3317,$N$6:$N$4005,"N"),0),$P$6:$P$4005,0)),"(tanpa lawan)"))</f>
        <v/>
      </c>
      <c r="R3317" s="44"/>
      <c r="S3317" s="9" t="str">
        <f aca="false">IF(N3317&lt;&gt;"Y","",IF(R3317&lt;&gt;"",R3317,IF(Q3317="(tanpa lawan)","Transfer antar rekening",IFERROR(INDEX(I_COA!$F$6:$F$265,MATCH(Q3317,I_COA!$A$6:$A$265,0)),"?"))))</f>
        <v/>
      </c>
    </row>
    <row r="3318" customFormat="false" ht="15" hidden="false" customHeight="false" outlineLevel="0" collapsed="false">
      <c r="A3318" s="37"/>
      <c r="B3318" s="44"/>
      <c r="C3318" s="44"/>
      <c r="D3318" s="44"/>
      <c r="E3318" s="44"/>
      <c r="F3318" s="44"/>
      <c r="G3318" s="42"/>
      <c r="H3318" s="42"/>
      <c r="I3318" s="44"/>
      <c r="J3318" s="11" t="str">
        <f aca="false">IF(D3318="","",N(G3318)-N(H3318))</f>
        <v/>
      </c>
      <c r="K3318" s="34" t="str">
        <f aca="false">IF(D3318="","",IFERROR(INDEX(I_COA!$C$6:$C$265,MATCH(D3318,I_COA!$A$6:$A$265,0)),"AKUN BARU"))</f>
        <v/>
      </c>
      <c r="L3318" s="34" t="str">
        <f aca="false">IF(K3318="LabaRugi",INDEX(I_COA!$D$6:$D$265,MATCH(D3318,I_COA!$A$6:$A$265,0)),"")</f>
        <v/>
      </c>
      <c r="M3318" s="34" t="str">
        <f aca="false">IF(K3318="Neraca",INDEX(I_COA!$E$6:$E$265,MATCH(D3318,I_COA!$A$6:$A$265,0)),"")</f>
        <v/>
      </c>
      <c r="N3318" s="34" t="str">
        <f aca="false">IF(D3318="","",IFERROR(INDEX(I_COA!$G$6:$G$265,MATCH(D3318,I_COA!$A$6:$A$265,0)),"N"))</f>
        <v/>
      </c>
      <c r="O3318" s="11" t="str">
        <f aca="false">IF(N3318="N",ABS(J3318),"")</f>
        <v/>
      </c>
      <c r="P3318" s="18" t="str">
        <f aca="false">IF(N3318="N",B3318&amp;"|"&amp;ROUND(O3318,0),"")</f>
        <v/>
      </c>
      <c r="Q3318" s="18" t="str">
        <f aca="false">IF(N3318&lt;&gt;"Y","",IFERROR(INDEX($D$6:$D$4005,MATCH(B3318&amp;"|"&amp;ROUND(_xlfn.MAXIFS($O$6:$O$4005,$B$6:$B$4005,B3318,$N$6:$N$4005,"N"),0),$P$6:$P$4005,0)),"(tanpa lawan)"))</f>
        <v/>
      </c>
      <c r="R3318" s="44"/>
      <c r="S3318" s="9" t="str">
        <f aca="false">IF(N3318&lt;&gt;"Y","",IF(R3318&lt;&gt;"",R3318,IF(Q3318="(tanpa lawan)","Transfer antar rekening",IFERROR(INDEX(I_COA!$F$6:$F$265,MATCH(Q3318,I_COA!$A$6:$A$265,0)),"?"))))</f>
        <v/>
      </c>
    </row>
    <row r="3319" customFormat="false" ht="15" hidden="false" customHeight="false" outlineLevel="0" collapsed="false">
      <c r="A3319" s="37"/>
      <c r="B3319" s="44"/>
      <c r="C3319" s="44"/>
      <c r="D3319" s="44"/>
      <c r="E3319" s="44"/>
      <c r="F3319" s="44"/>
      <c r="G3319" s="42"/>
      <c r="H3319" s="42"/>
      <c r="I3319" s="44"/>
      <c r="J3319" s="11" t="str">
        <f aca="false">IF(D3319="","",N(G3319)-N(H3319))</f>
        <v/>
      </c>
      <c r="K3319" s="34" t="str">
        <f aca="false">IF(D3319="","",IFERROR(INDEX(I_COA!$C$6:$C$265,MATCH(D3319,I_COA!$A$6:$A$265,0)),"AKUN BARU"))</f>
        <v/>
      </c>
      <c r="L3319" s="34" t="str">
        <f aca="false">IF(K3319="LabaRugi",INDEX(I_COA!$D$6:$D$265,MATCH(D3319,I_COA!$A$6:$A$265,0)),"")</f>
        <v/>
      </c>
      <c r="M3319" s="34" t="str">
        <f aca="false">IF(K3319="Neraca",INDEX(I_COA!$E$6:$E$265,MATCH(D3319,I_COA!$A$6:$A$265,0)),"")</f>
        <v/>
      </c>
      <c r="N3319" s="34" t="str">
        <f aca="false">IF(D3319="","",IFERROR(INDEX(I_COA!$G$6:$G$265,MATCH(D3319,I_COA!$A$6:$A$265,0)),"N"))</f>
        <v/>
      </c>
      <c r="O3319" s="11" t="str">
        <f aca="false">IF(N3319="N",ABS(J3319),"")</f>
        <v/>
      </c>
      <c r="P3319" s="18" t="str">
        <f aca="false">IF(N3319="N",B3319&amp;"|"&amp;ROUND(O3319,0),"")</f>
        <v/>
      </c>
      <c r="Q3319" s="18" t="str">
        <f aca="false">IF(N3319&lt;&gt;"Y","",IFERROR(INDEX($D$6:$D$4005,MATCH(B3319&amp;"|"&amp;ROUND(_xlfn.MAXIFS($O$6:$O$4005,$B$6:$B$4005,B3319,$N$6:$N$4005,"N"),0),$P$6:$P$4005,0)),"(tanpa lawan)"))</f>
        <v/>
      </c>
      <c r="R3319" s="44"/>
      <c r="S3319" s="9" t="str">
        <f aca="false">IF(N3319&lt;&gt;"Y","",IF(R3319&lt;&gt;"",R3319,IF(Q3319="(tanpa lawan)","Transfer antar rekening",IFERROR(INDEX(I_COA!$F$6:$F$265,MATCH(Q3319,I_COA!$A$6:$A$265,0)),"?"))))</f>
        <v/>
      </c>
    </row>
    <row r="3320" customFormat="false" ht="15" hidden="false" customHeight="false" outlineLevel="0" collapsed="false">
      <c r="A3320" s="37"/>
      <c r="B3320" s="44"/>
      <c r="C3320" s="44"/>
      <c r="D3320" s="44"/>
      <c r="E3320" s="44"/>
      <c r="F3320" s="44"/>
      <c r="G3320" s="42"/>
      <c r="H3320" s="42"/>
      <c r="I3320" s="44"/>
      <c r="J3320" s="11" t="str">
        <f aca="false">IF(D3320="","",N(G3320)-N(H3320))</f>
        <v/>
      </c>
      <c r="K3320" s="34" t="str">
        <f aca="false">IF(D3320="","",IFERROR(INDEX(I_COA!$C$6:$C$265,MATCH(D3320,I_COA!$A$6:$A$265,0)),"AKUN BARU"))</f>
        <v/>
      </c>
      <c r="L3320" s="34" t="str">
        <f aca="false">IF(K3320="LabaRugi",INDEX(I_COA!$D$6:$D$265,MATCH(D3320,I_COA!$A$6:$A$265,0)),"")</f>
        <v/>
      </c>
      <c r="M3320" s="34" t="str">
        <f aca="false">IF(K3320="Neraca",INDEX(I_COA!$E$6:$E$265,MATCH(D3320,I_COA!$A$6:$A$265,0)),"")</f>
        <v/>
      </c>
      <c r="N3320" s="34" t="str">
        <f aca="false">IF(D3320="","",IFERROR(INDEX(I_COA!$G$6:$G$265,MATCH(D3320,I_COA!$A$6:$A$265,0)),"N"))</f>
        <v/>
      </c>
      <c r="O3320" s="11" t="str">
        <f aca="false">IF(N3320="N",ABS(J3320),"")</f>
        <v/>
      </c>
      <c r="P3320" s="18" t="str">
        <f aca="false">IF(N3320="N",B3320&amp;"|"&amp;ROUND(O3320,0),"")</f>
        <v/>
      </c>
      <c r="Q3320" s="18" t="str">
        <f aca="false">IF(N3320&lt;&gt;"Y","",IFERROR(INDEX($D$6:$D$4005,MATCH(B3320&amp;"|"&amp;ROUND(_xlfn.MAXIFS($O$6:$O$4005,$B$6:$B$4005,B3320,$N$6:$N$4005,"N"),0),$P$6:$P$4005,0)),"(tanpa lawan)"))</f>
        <v/>
      </c>
      <c r="R3320" s="44"/>
      <c r="S3320" s="9" t="str">
        <f aca="false">IF(N3320&lt;&gt;"Y","",IF(R3320&lt;&gt;"",R3320,IF(Q3320="(tanpa lawan)","Transfer antar rekening",IFERROR(INDEX(I_COA!$F$6:$F$265,MATCH(Q3320,I_COA!$A$6:$A$265,0)),"?"))))</f>
        <v/>
      </c>
    </row>
    <row r="3321" customFormat="false" ht="15" hidden="false" customHeight="false" outlineLevel="0" collapsed="false">
      <c r="A3321" s="37"/>
      <c r="B3321" s="44"/>
      <c r="C3321" s="44"/>
      <c r="D3321" s="44"/>
      <c r="E3321" s="44"/>
      <c r="F3321" s="44"/>
      <c r="G3321" s="42"/>
      <c r="H3321" s="42"/>
      <c r="I3321" s="44"/>
      <c r="J3321" s="11" t="str">
        <f aca="false">IF(D3321="","",N(G3321)-N(H3321))</f>
        <v/>
      </c>
      <c r="K3321" s="34" t="str">
        <f aca="false">IF(D3321="","",IFERROR(INDEX(I_COA!$C$6:$C$265,MATCH(D3321,I_COA!$A$6:$A$265,0)),"AKUN BARU"))</f>
        <v/>
      </c>
      <c r="L3321" s="34" t="str">
        <f aca="false">IF(K3321="LabaRugi",INDEX(I_COA!$D$6:$D$265,MATCH(D3321,I_COA!$A$6:$A$265,0)),"")</f>
        <v/>
      </c>
      <c r="M3321" s="34" t="str">
        <f aca="false">IF(K3321="Neraca",INDEX(I_COA!$E$6:$E$265,MATCH(D3321,I_COA!$A$6:$A$265,0)),"")</f>
        <v/>
      </c>
      <c r="N3321" s="34" t="str">
        <f aca="false">IF(D3321="","",IFERROR(INDEX(I_COA!$G$6:$G$265,MATCH(D3321,I_COA!$A$6:$A$265,0)),"N"))</f>
        <v/>
      </c>
      <c r="O3321" s="11" t="str">
        <f aca="false">IF(N3321="N",ABS(J3321),"")</f>
        <v/>
      </c>
      <c r="P3321" s="18" t="str">
        <f aca="false">IF(N3321="N",B3321&amp;"|"&amp;ROUND(O3321,0),"")</f>
        <v/>
      </c>
      <c r="Q3321" s="18" t="str">
        <f aca="false">IF(N3321&lt;&gt;"Y","",IFERROR(INDEX($D$6:$D$4005,MATCH(B3321&amp;"|"&amp;ROUND(_xlfn.MAXIFS($O$6:$O$4005,$B$6:$B$4005,B3321,$N$6:$N$4005,"N"),0),$P$6:$P$4005,0)),"(tanpa lawan)"))</f>
        <v/>
      </c>
      <c r="R3321" s="44"/>
      <c r="S3321" s="9" t="str">
        <f aca="false">IF(N3321&lt;&gt;"Y","",IF(R3321&lt;&gt;"",R3321,IF(Q3321="(tanpa lawan)","Transfer antar rekening",IFERROR(INDEX(I_COA!$F$6:$F$265,MATCH(Q3321,I_COA!$A$6:$A$265,0)),"?"))))</f>
        <v/>
      </c>
    </row>
    <row r="3322" customFormat="false" ht="15" hidden="false" customHeight="false" outlineLevel="0" collapsed="false">
      <c r="A3322" s="37"/>
      <c r="B3322" s="44"/>
      <c r="C3322" s="44"/>
      <c r="D3322" s="44"/>
      <c r="E3322" s="44"/>
      <c r="F3322" s="44"/>
      <c r="G3322" s="42"/>
      <c r="H3322" s="42"/>
      <c r="I3322" s="44"/>
      <c r="J3322" s="11" t="str">
        <f aca="false">IF(D3322="","",N(G3322)-N(H3322))</f>
        <v/>
      </c>
      <c r="K3322" s="34" t="str">
        <f aca="false">IF(D3322="","",IFERROR(INDEX(I_COA!$C$6:$C$265,MATCH(D3322,I_COA!$A$6:$A$265,0)),"AKUN BARU"))</f>
        <v/>
      </c>
      <c r="L3322" s="34" t="str">
        <f aca="false">IF(K3322="LabaRugi",INDEX(I_COA!$D$6:$D$265,MATCH(D3322,I_COA!$A$6:$A$265,0)),"")</f>
        <v/>
      </c>
      <c r="M3322" s="34" t="str">
        <f aca="false">IF(K3322="Neraca",INDEX(I_COA!$E$6:$E$265,MATCH(D3322,I_COA!$A$6:$A$265,0)),"")</f>
        <v/>
      </c>
      <c r="N3322" s="34" t="str">
        <f aca="false">IF(D3322="","",IFERROR(INDEX(I_COA!$G$6:$G$265,MATCH(D3322,I_COA!$A$6:$A$265,0)),"N"))</f>
        <v/>
      </c>
      <c r="O3322" s="11" t="str">
        <f aca="false">IF(N3322="N",ABS(J3322),"")</f>
        <v/>
      </c>
      <c r="P3322" s="18" t="str">
        <f aca="false">IF(N3322="N",B3322&amp;"|"&amp;ROUND(O3322,0),"")</f>
        <v/>
      </c>
      <c r="Q3322" s="18" t="str">
        <f aca="false">IF(N3322&lt;&gt;"Y","",IFERROR(INDEX($D$6:$D$4005,MATCH(B3322&amp;"|"&amp;ROUND(_xlfn.MAXIFS($O$6:$O$4005,$B$6:$B$4005,B3322,$N$6:$N$4005,"N"),0),$P$6:$P$4005,0)),"(tanpa lawan)"))</f>
        <v/>
      </c>
      <c r="R3322" s="44"/>
      <c r="S3322" s="9" t="str">
        <f aca="false">IF(N3322&lt;&gt;"Y","",IF(R3322&lt;&gt;"",R3322,IF(Q3322="(tanpa lawan)","Transfer antar rekening",IFERROR(INDEX(I_COA!$F$6:$F$265,MATCH(Q3322,I_COA!$A$6:$A$265,0)),"?"))))</f>
        <v/>
      </c>
    </row>
    <row r="3323" customFormat="false" ht="15" hidden="false" customHeight="false" outlineLevel="0" collapsed="false">
      <c r="A3323" s="37"/>
      <c r="B3323" s="44"/>
      <c r="C3323" s="44"/>
      <c r="D3323" s="44"/>
      <c r="E3323" s="44"/>
      <c r="F3323" s="44"/>
      <c r="G3323" s="42"/>
      <c r="H3323" s="42"/>
      <c r="I3323" s="44"/>
      <c r="J3323" s="11" t="str">
        <f aca="false">IF(D3323="","",N(G3323)-N(H3323))</f>
        <v/>
      </c>
      <c r="K3323" s="34" t="str">
        <f aca="false">IF(D3323="","",IFERROR(INDEX(I_COA!$C$6:$C$265,MATCH(D3323,I_COA!$A$6:$A$265,0)),"AKUN BARU"))</f>
        <v/>
      </c>
      <c r="L3323" s="34" t="str">
        <f aca="false">IF(K3323="LabaRugi",INDEX(I_COA!$D$6:$D$265,MATCH(D3323,I_COA!$A$6:$A$265,0)),"")</f>
        <v/>
      </c>
      <c r="M3323" s="34" t="str">
        <f aca="false">IF(K3323="Neraca",INDEX(I_COA!$E$6:$E$265,MATCH(D3323,I_COA!$A$6:$A$265,0)),"")</f>
        <v/>
      </c>
      <c r="N3323" s="34" t="str">
        <f aca="false">IF(D3323="","",IFERROR(INDEX(I_COA!$G$6:$G$265,MATCH(D3323,I_COA!$A$6:$A$265,0)),"N"))</f>
        <v/>
      </c>
      <c r="O3323" s="11" t="str">
        <f aca="false">IF(N3323="N",ABS(J3323),"")</f>
        <v/>
      </c>
      <c r="P3323" s="18" t="str">
        <f aca="false">IF(N3323="N",B3323&amp;"|"&amp;ROUND(O3323,0),"")</f>
        <v/>
      </c>
      <c r="Q3323" s="18" t="str">
        <f aca="false">IF(N3323&lt;&gt;"Y","",IFERROR(INDEX($D$6:$D$4005,MATCH(B3323&amp;"|"&amp;ROUND(_xlfn.MAXIFS($O$6:$O$4005,$B$6:$B$4005,B3323,$N$6:$N$4005,"N"),0),$P$6:$P$4005,0)),"(tanpa lawan)"))</f>
        <v/>
      </c>
      <c r="R3323" s="44"/>
      <c r="S3323" s="9" t="str">
        <f aca="false">IF(N3323&lt;&gt;"Y","",IF(R3323&lt;&gt;"",R3323,IF(Q3323="(tanpa lawan)","Transfer antar rekening",IFERROR(INDEX(I_COA!$F$6:$F$265,MATCH(Q3323,I_COA!$A$6:$A$265,0)),"?"))))</f>
        <v/>
      </c>
    </row>
    <row r="3324" customFormat="false" ht="15" hidden="false" customHeight="false" outlineLevel="0" collapsed="false">
      <c r="A3324" s="37"/>
      <c r="B3324" s="44"/>
      <c r="C3324" s="44"/>
      <c r="D3324" s="44"/>
      <c r="E3324" s="44"/>
      <c r="F3324" s="44"/>
      <c r="G3324" s="42"/>
      <c r="H3324" s="42"/>
      <c r="I3324" s="44"/>
      <c r="J3324" s="11" t="str">
        <f aca="false">IF(D3324="","",N(G3324)-N(H3324))</f>
        <v/>
      </c>
      <c r="K3324" s="34" t="str">
        <f aca="false">IF(D3324="","",IFERROR(INDEX(I_COA!$C$6:$C$265,MATCH(D3324,I_COA!$A$6:$A$265,0)),"AKUN BARU"))</f>
        <v/>
      </c>
      <c r="L3324" s="34" t="str">
        <f aca="false">IF(K3324="LabaRugi",INDEX(I_COA!$D$6:$D$265,MATCH(D3324,I_COA!$A$6:$A$265,0)),"")</f>
        <v/>
      </c>
      <c r="M3324" s="34" t="str">
        <f aca="false">IF(K3324="Neraca",INDEX(I_COA!$E$6:$E$265,MATCH(D3324,I_COA!$A$6:$A$265,0)),"")</f>
        <v/>
      </c>
      <c r="N3324" s="34" t="str">
        <f aca="false">IF(D3324="","",IFERROR(INDEX(I_COA!$G$6:$G$265,MATCH(D3324,I_COA!$A$6:$A$265,0)),"N"))</f>
        <v/>
      </c>
      <c r="O3324" s="11" t="str">
        <f aca="false">IF(N3324="N",ABS(J3324),"")</f>
        <v/>
      </c>
      <c r="P3324" s="18" t="str">
        <f aca="false">IF(N3324="N",B3324&amp;"|"&amp;ROUND(O3324,0),"")</f>
        <v/>
      </c>
      <c r="Q3324" s="18" t="str">
        <f aca="false">IF(N3324&lt;&gt;"Y","",IFERROR(INDEX($D$6:$D$4005,MATCH(B3324&amp;"|"&amp;ROUND(_xlfn.MAXIFS($O$6:$O$4005,$B$6:$B$4005,B3324,$N$6:$N$4005,"N"),0),$P$6:$P$4005,0)),"(tanpa lawan)"))</f>
        <v/>
      </c>
      <c r="R3324" s="44"/>
      <c r="S3324" s="9" t="str">
        <f aca="false">IF(N3324&lt;&gt;"Y","",IF(R3324&lt;&gt;"",R3324,IF(Q3324="(tanpa lawan)","Transfer antar rekening",IFERROR(INDEX(I_COA!$F$6:$F$265,MATCH(Q3324,I_COA!$A$6:$A$265,0)),"?"))))</f>
        <v/>
      </c>
    </row>
    <row r="3325" customFormat="false" ht="15" hidden="false" customHeight="false" outlineLevel="0" collapsed="false">
      <c r="A3325" s="37"/>
      <c r="B3325" s="44"/>
      <c r="C3325" s="44"/>
      <c r="D3325" s="44"/>
      <c r="E3325" s="44"/>
      <c r="F3325" s="44"/>
      <c r="G3325" s="42"/>
      <c r="H3325" s="42"/>
      <c r="I3325" s="44"/>
      <c r="J3325" s="11" t="str">
        <f aca="false">IF(D3325="","",N(G3325)-N(H3325))</f>
        <v/>
      </c>
      <c r="K3325" s="34" t="str">
        <f aca="false">IF(D3325="","",IFERROR(INDEX(I_COA!$C$6:$C$265,MATCH(D3325,I_COA!$A$6:$A$265,0)),"AKUN BARU"))</f>
        <v/>
      </c>
      <c r="L3325" s="34" t="str">
        <f aca="false">IF(K3325="LabaRugi",INDEX(I_COA!$D$6:$D$265,MATCH(D3325,I_COA!$A$6:$A$265,0)),"")</f>
        <v/>
      </c>
      <c r="M3325" s="34" t="str">
        <f aca="false">IF(K3325="Neraca",INDEX(I_COA!$E$6:$E$265,MATCH(D3325,I_COA!$A$6:$A$265,0)),"")</f>
        <v/>
      </c>
      <c r="N3325" s="34" t="str">
        <f aca="false">IF(D3325="","",IFERROR(INDEX(I_COA!$G$6:$G$265,MATCH(D3325,I_COA!$A$6:$A$265,0)),"N"))</f>
        <v/>
      </c>
      <c r="O3325" s="11" t="str">
        <f aca="false">IF(N3325="N",ABS(J3325),"")</f>
        <v/>
      </c>
      <c r="P3325" s="18" t="str">
        <f aca="false">IF(N3325="N",B3325&amp;"|"&amp;ROUND(O3325,0),"")</f>
        <v/>
      </c>
      <c r="Q3325" s="18" t="str">
        <f aca="false">IF(N3325&lt;&gt;"Y","",IFERROR(INDEX($D$6:$D$4005,MATCH(B3325&amp;"|"&amp;ROUND(_xlfn.MAXIFS($O$6:$O$4005,$B$6:$B$4005,B3325,$N$6:$N$4005,"N"),0),$P$6:$P$4005,0)),"(tanpa lawan)"))</f>
        <v/>
      </c>
      <c r="R3325" s="44"/>
      <c r="S3325" s="9" t="str">
        <f aca="false">IF(N3325&lt;&gt;"Y","",IF(R3325&lt;&gt;"",R3325,IF(Q3325="(tanpa lawan)","Transfer antar rekening",IFERROR(INDEX(I_COA!$F$6:$F$265,MATCH(Q3325,I_COA!$A$6:$A$265,0)),"?"))))</f>
        <v/>
      </c>
    </row>
    <row r="3326" customFormat="false" ht="15" hidden="false" customHeight="false" outlineLevel="0" collapsed="false">
      <c r="A3326" s="37"/>
      <c r="B3326" s="44"/>
      <c r="C3326" s="44"/>
      <c r="D3326" s="44"/>
      <c r="E3326" s="44"/>
      <c r="F3326" s="44"/>
      <c r="G3326" s="42"/>
      <c r="H3326" s="42"/>
      <c r="I3326" s="44"/>
      <c r="J3326" s="11" t="str">
        <f aca="false">IF(D3326="","",N(G3326)-N(H3326))</f>
        <v/>
      </c>
      <c r="K3326" s="34" t="str">
        <f aca="false">IF(D3326="","",IFERROR(INDEX(I_COA!$C$6:$C$265,MATCH(D3326,I_COA!$A$6:$A$265,0)),"AKUN BARU"))</f>
        <v/>
      </c>
      <c r="L3326" s="34" t="str">
        <f aca="false">IF(K3326="LabaRugi",INDEX(I_COA!$D$6:$D$265,MATCH(D3326,I_COA!$A$6:$A$265,0)),"")</f>
        <v/>
      </c>
      <c r="M3326" s="34" t="str">
        <f aca="false">IF(K3326="Neraca",INDEX(I_COA!$E$6:$E$265,MATCH(D3326,I_COA!$A$6:$A$265,0)),"")</f>
        <v/>
      </c>
      <c r="N3326" s="34" t="str">
        <f aca="false">IF(D3326="","",IFERROR(INDEX(I_COA!$G$6:$G$265,MATCH(D3326,I_COA!$A$6:$A$265,0)),"N"))</f>
        <v/>
      </c>
      <c r="O3326" s="11" t="str">
        <f aca="false">IF(N3326="N",ABS(J3326),"")</f>
        <v/>
      </c>
      <c r="P3326" s="18" t="str">
        <f aca="false">IF(N3326="N",B3326&amp;"|"&amp;ROUND(O3326,0),"")</f>
        <v/>
      </c>
      <c r="Q3326" s="18" t="str">
        <f aca="false">IF(N3326&lt;&gt;"Y","",IFERROR(INDEX($D$6:$D$4005,MATCH(B3326&amp;"|"&amp;ROUND(_xlfn.MAXIFS($O$6:$O$4005,$B$6:$B$4005,B3326,$N$6:$N$4005,"N"),0),$P$6:$P$4005,0)),"(tanpa lawan)"))</f>
        <v/>
      </c>
      <c r="R3326" s="44"/>
      <c r="S3326" s="9" t="str">
        <f aca="false">IF(N3326&lt;&gt;"Y","",IF(R3326&lt;&gt;"",R3326,IF(Q3326="(tanpa lawan)","Transfer antar rekening",IFERROR(INDEX(I_COA!$F$6:$F$265,MATCH(Q3326,I_COA!$A$6:$A$265,0)),"?"))))</f>
        <v/>
      </c>
    </row>
    <row r="3327" customFormat="false" ht="15" hidden="false" customHeight="false" outlineLevel="0" collapsed="false">
      <c r="A3327" s="37"/>
      <c r="B3327" s="44"/>
      <c r="C3327" s="44"/>
      <c r="D3327" s="44"/>
      <c r="E3327" s="44"/>
      <c r="F3327" s="44"/>
      <c r="G3327" s="42"/>
      <c r="H3327" s="42"/>
      <c r="I3327" s="44"/>
      <c r="J3327" s="11" t="str">
        <f aca="false">IF(D3327="","",N(G3327)-N(H3327))</f>
        <v/>
      </c>
      <c r="K3327" s="34" t="str">
        <f aca="false">IF(D3327="","",IFERROR(INDEX(I_COA!$C$6:$C$265,MATCH(D3327,I_COA!$A$6:$A$265,0)),"AKUN BARU"))</f>
        <v/>
      </c>
      <c r="L3327" s="34" t="str">
        <f aca="false">IF(K3327="LabaRugi",INDEX(I_COA!$D$6:$D$265,MATCH(D3327,I_COA!$A$6:$A$265,0)),"")</f>
        <v/>
      </c>
      <c r="M3327" s="34" t="str">
        <f aca="false">IF(K3327="Neraca",INDEX(I_COA!$E$6:$E$265,MATCH(D3327,I_COA!$A$6:$A$265,0)),"")</f>
        <v/>
      </c>
      <c r="N3327" s="34" t="str">
        <f aca="false">IF(D3327="","",IFERROR(INDEX(I_COA!$G$6:$G$265,MATCH(D3327,I_COA!$A$6:$A$265,0)),"N"))</f>
        <v/>
      </c>
      <c r="O3327" s="11" t="str">
        <f aca="false">IF(N3327="N",ABS(J3327),"")</f>
        <v/>
      </c>
      <c r="P3327" s="18" t="str">
        <f aca="false">IF(N3327="N",B3327&amp;"|"&amp;ROUND(O3327,0),"")</f>
        <v/>
      </c>
      <c r="Q3327" s="18" t="str">
        <f aca="false">IF(N3327&lt;&gt;"Y","",IFERROR(INDEX($D$6:$D$4005,MATCH(B3327&amp;"|"&amp;ROUND(_xlfn.MAXIFS($O$6:$O$4005,$B$6:$B$4005,B3327,$N$6:$N$4005,"N"),0),$P$6:$P$4005,0)),"(tanpa lawan)"))</f>
        <v/>
      </c>
      <c r="R3327" s="44"/>
      <c r="S3327" s="9" t="str">
        <f aca="false">IF(N3327&lt;&gt;"Y","",IF(R3327&lt;&gt;"",R3327,IF(Q3327="(tanpa lawan)","Transfer antar rekening",IFERROR(INDEX(I_COA!$F$6:$F$265,MATCH(Q3327,I_COA!$A$6:$A$265,0)),"?"))))</f>
        <v/>
      </c>
    </row>
    <row r="3328" customFormat="false" ht="15" hidden="false" customHeight="false" outlineLevel="0" collapsed="false">
      <c r="A3328" s="37"/>
      <c r="B3328" s="44"/>
      <c r="C3328" s="44"/>
      <c r="D3328" s="44"/>
      <c r="E3328" s="44"/>
      <c r="F3328" s="44"/>
      <c r="G3328" s="42"/>
      <c r="H3328" s="42"/>
      <c r="I3328" s="44"/>
      <c r="J3328" s="11" t="str">
        <f aca="false">IF(D3328="","",N(G3328)-N(H3328))</f>
        <v/>
      </c>
      <c r="K3328" s="34" t="str">
        <f aca="false">IF(D3328="","",IFERROR(INDEX(I_COA!$C$6:$C$265,MATCH(D3328,I_COA!$A$6:$A$265,0)),"AKUN BARU"))</f>
        <v/>
      </c>
      <c r="L3328" s="34" t="str">
        <f aca="false">IF(K3328="LabaRugi",INDEX(I_COA!$D$6:$D$265,MATCH(D3328,I_COA!$A$6:$A$265,0)),"")</f>
        <v/>
      </c>
      <c r="M3328" s="34" t="str">
        <f aca="false">IF(K3328="Neraca",INDEX(I_COA!$E$6:$E$265,MATCH(D3328,I_COA!$A$6:$A$265,0)),"")</f>
        <v/>
      </c>
      <c r="N3328" s="34" t="str">
        <f aca="false">IF(D3328="","",IFERROR(INDEX(I_COA!$G$6:$G$265,MATCH(D3328,I_COA!$A$6:$A$265,0)),"N"))</f>
        <v/>
      </c>
      <c r="O3328" s="11" t="str">
        <f aca="false">IF(N3328="N",ABS(J3328),"")</f>
        <v/>
      </c>
      <c r="P3328" s="18" t="str">
        <f aca="false">IF(N3328="N",B3328&amp;"|"&amp;ROUND(O3328,0),"")</f>
        <v/>
      </c>
      <c r="Q3328" s="18" t="str">
        <f aca="false">IF(N3328&lt;&gt;"Y","",IFERROR(INDEX($D$6:$D$4005,MATCH(B3328&amp;"|"&amp;ROUND(_xlfn.MAXIFS($O$6:$O$4005,$B$6:$B$4005,B3328,$N$6:$N$4005,"N"),0),$P$6:$P$4005,0)),"(tanpa lawan)"))</f>
        <v/>
      </c>
      <c r="R3328" s="44"/>
      <c r="S3328" s="9" t="str">
        <f aca="false">IF(N3328&lt;&gt;"Y","",IF(R3328&lt;&gt;"",R3328,IF(Q3328="(tanpa lawan)","Transfer antar rekening",IFERROR(INDEX(I_COA!$F$6:$F$265,MATCH(Q3328,I_COA!$A$6:$A$265,0)),"?"))))</f>
        <v/>
      </c>
    </row>
    <row r="3329" customFormat="false" ht="15" hidden="false" customHeight="false" outlineLevel="0" collapsed="false">
      <c r="A3329" s="37"/>
      <c r="B3329" s="44"/>
      <c r="C3329" s="44"/>
      <c r="D3329" s="44"/>
      <c r="E3329" s="44"/>
      <c r="F3329" s="44"/>
      <c r="G3329" s="42"/>
      <c r="H3329" s="42"/>
      <c r="I3329" s="44"/>
      <c r="J3329" s="11" t="str">
        <f aca="false">IF(D3329="","",N(G3329)-N(H3329))</f>
        <v/>
      </c>
      <c r="K3329" s="34" t="str">
        <f aca="false">IF(D3329="","",IFERROR(INDEX(I_COA!$C$6:$C$265,MATCH(D3329,I_COA!$A$6:$A$265,0)),"AKUN BARU"))</f>
        <v/>
      </c>
      <c r="L3329" s="34" t="str">
        <f aca="false">IF(K3329="LabaRugi",INDEX(I_COA!$D$6:$D$265,MATCH(D3329,I_COA!$A$6:$A$265,0)),"")</f>
        <v/>
      </c>
      <c r="M3329" s="34" t="str">
        <f aca="false">IF(K3329="Neraca",INDEX(I_COA!$E$6:$E$265,MATCH(D3329,I_COA!$A$6:$A$265,0)),"")</f>
        <v/>
      </c>
      <c r="N3329" s="34" t="str">
        <f aca="false">IF(D3329="","",IFERROR(INDEX(I_COA!$G$6:$G$265,MATCH(D3329,I_COA!$A$6:$A$265,0)),"N"))</f>
        <v/>
      </c>
      <c r="O3329" s="11" t="str">
        <f aca="false">IF(N3329="N",ABS(J3329),"")</f>
        <v/>
      </c>
      <c r="P3329" s="18" t="str">
        <f aca="false">IF(N3329="N",B3329&amp;"|"&amp;ROUND(O3329,0),"")</f>
        <v/>
      </c>
      <c r="Q3329" s="18" t="str">
        <f aca="false">IF(N3329&lt;&gt;"Y","",IFERROR(INDEX($D$6:$D$4005,MATCH(B3329&amp;"|"&amp;ROUND(_xlfn.MAXIFS($O$6:$O$4005,$B$6:$B$4005,B3329,$N$6:$N$4005,"N"),0),$P$6:$P$4005,0)),"(tanpa lawan)"))</f>
        <v/>
      </c>
      <c r="R3329" s="44"/>
      <c r="S3329" s="9" t="str">
        <f aca="false">IF(N3329&lt;&gt;"Y","",IF(R3329&lt;&gt;"",R3329,IF(Q3329="(tanpa lawan)","Transfer antar rekening",IFERROR(INDEX(I_COA!$F$6:$F$265,MATCH(Q3329,I_COA!$A$6:$A$265,0)),"?"))))</f>
        <v/>
      </c>
    </row>
    <row r="3330" customFormat="false" ht="15" hidden="false" customHeight="false" outlineLevel="0" collapsed="false">
      <c r="A3330" s="37"/>
      <c r="B3330" s="44"/>
      <c r="C3330" s="44"/>
      <c r="D3330" s="44"/>
      <c r="E3330" s="44"/>
      <c r="F3330" s="44"/>
      <c r="G3330" s="42"/>
      <c r="H3330" s="42"/>
      <c r="I3330" s="44"/>
      <c r="J3330" s="11" t="str">
        <f aca="false">IF(D3330="","",N(G3330)-N(H3330))</f>
        <v/>
      </c>
      <c r="K3330" s="34" t="str">
        <f aca="false">IF(D3330="","",IFERROR(INDEX(I_COA!$C$6:$C$265,MATCH(D3330,I_COA!$A$6:$A$265,0)),"AKUN BARU"))</f>
        <v/>
      </c>
      <c r="L3330" s="34" t="str">
        <f aca="false">IF(K3330="LabaRugi",INDEX(I_COA!$D$6:$D$265,MATCH(D3330,I_COA!$A$6:$A$265,0)),"")</f>
        <v/>
      </c>
      <c r="M3330" s="34" t="str">
        <f aca="false">IF(K3330="Neraca",INDEX(I_COA!$E$6:$E$265,MATCH(D3330,I_COA!$A$6:$A$265,0)),"")</f>
        <v/>
      </c>
      <c r="N3330" s="34" t="str">
        <f aca="false">IF(D3330="","",IFERROR(INDEX(I_COA!$G$6:$G$265,MATCH(D3330,I_COA!$A$6:$A$265,0)),"N"))</f>
        <v/>
      </c>
      <c r="O3330" s="11" t="str">
        <f aca="false">IF(N3330="N",ABS(J3330),"")</f>
        <v/>
      </c>
      <c r="P3330" s="18" t="str">
        <f aca="false">IF(N3330="N",B3330&amp;"|"&amp;ROUND(O3330,0),"")</f>
        <v/>
      </c>
      <c r="Q3330" s="18" t="str">
        <f aca="false">IF(N3330&lt;&gt;"Y","",IFERROR(INDEX($D$6:$D$4005,MATCH(B3330&amp;"|"&amp;ROUND(_xlfn.MAXIFS($O$6:$O$4005,$B$6:$B$4005,B3330,$N$6:$N$4005,"N"),0),$P$6:$P$4005,0)),"(tanpa lawan)"))</f>
        <v/>
      </c>
      <c r="R3330" s="44"/>
      <c r="S3330" s="9" t="str">
        <f aca="false">IF(N3330&lt;&gt;"Y","",IF(R3330&lt;&gt;"",R3330,IF(Q3330="(tanpa lawan)","Transfer antar rekening",IFERROR(INDEX(I_COA!$F$6:$F$265,MATCH(Q3330,I_COA!$A$6:$A$265,0)),"?"))))</f>
        <v/>
      </c>
    </row>
    <row r="3331" customFormat="false" ht="15" hidden="false" customHeight="false" outlineLevel="0" collapsed="false">
      <c r="A3331" s="37"/>
      <c r="B3331" s="44"/>
      <c r="C3331" s="44"/>
      <c r="D3331" s="44"/>
      <c r="E3331" s="44"/>
      <c r="F3331" s="44"/>
      <c r="G3331" s="42"/>
      <c r="H3331" s="42"/>
      <c r="I3331" s="44"/>
      <c r="J3331" s="11" t="str">
        <f aca="false">IF(D3331="","",N(G3331)-N(H3331))</f>
        <v/>
      </c>
      <c r="K3331" s="34" t="str">
        <f aca="false">IF(D3331="","",IFERROR(INDEX(I_COA!$C$6:$C$265,MATCH(D3331,I_COA!$A$6:$A$265,0)),"AKUN BARU"))</f>
        <v/>
      </c>
      <c r="L3331" s="34" t="str">
        <f aca="false">IF(K3331="LabaRugi",INDEX(I_COA!$D$6:$D$265,MATCH(D3331,I_COA!$A$6:$A$265,0)),"")</f>
        <v/>
      </c>
      <c r="M3331" s="34" t="str">
        <f aca="false">IF(K3331="Neraca",INDEX(I_COA!$E$6:$E$265,MATCH(D3331,I_COA!$A$6:$A$265,0)),"")</f>
        <v/>
      </c>
      <c r="N3331" s="34" t="str">
        <f aca="false">IF(D3331="","",IFERROR(INDEX(I_COA!$G$6:$G$265,MATCH(D3331,I_COA!$A$6:$A$265,0)),"N"))</f>
        <v/>
      </c>
      <c r="O3331" s="11" t="str">
        <f aca="false">IF(N3331="N",ABS(J3331),"")</f>
        <v/>
      </c>
      <c r="P3331" s="18" t="str">
        <f aca="false">IF(N3331="N",B3331&amp;"|"&amp;ROUND(O3331,0),"")</f>
        <v/>
      </c>
      <c r="Q3331" s="18" t="str">
        <f aca="false">IF(N3331&lt;&gt;"Y","",IFERROR(INDEX($D$6:$D$4005,MATCH(B3331&amp;"|"&amp;ROUND(_xlfn.MAXIFS($O$6:$O$4005,$B$6:$B$4005,B3331,$N$6:$N$4005,"N"),0),$P$6:$P$4005,0)),"(tanpa lawan)"))</f>
        <v/>
      </c>
      <c r="R3331" s="44"/>
      <c r="S3331" s="9" t="str">
        <f aca="false">IF(N3331&lt;&gt;"Y","",IF(R3331&lt;&gt;"",R3331,IF(Q3331="(tanpa lawan)","Transfer antar rekening",IFERROR(INDEX(I_COA!$F$6:$F$265,MATCH(Q3331,I_COA!$A$6:$A$265,0)),"?"))))</f>
        <v/>
      </c>
    </row>
    <row r="3332" customFormat="false" ht="15" hidden="false" customHeight="false" outlineLevel="0" collapsed="false">
      <c r="A3332" s="37"/>
      <c r="B3332" s="44"/>
      <c r="C3332" s="44"/>
      <c r="D3332" s="44"/>
      <c r="E3332" s="44"/>
      <c r="F3332" s="44"/>
      <c r="G3332" s="42"/>
      <c r="H3332" s="42"/>
      <c r="I3332" s="44"/>
      <c r="J3332" s="11" t="str">
        <f aca="false">IF(D3332="","",N(G3332)-N(H3332))</f>
        <v/>
      </c>
      <c r="K3332" s="34" t="str">
        <f aca="false">IF(D3332="","",IFERROR(INDEX(I_COA!$C$6:$C$265,MATCH(D3332,I_COA!$A$6:$A$265,0)),"AKUN BARU"))</f>
        <v/>
      </c>
      <c r="L3332" s="34" t="str">
        <f aca="false">IF(K3332="LabaRugi",INDEX(I_COA!$D$6:$D$265,MATCH(D3332,I_COA!$A$6:$A$265,0)),"")</f>
        <v/>
      </c>
      <c r="M3332" s="34" t="str">
        <f aca="false">IF(K3332="Neraca",INDEX(I_COA!$E$6:$E$265,MATCH(D3332,I_COA!$A$6:$A$265,0)),"")</f>
        <v/>
      </c>
      <c r="N3332" s="34" t="str">
        <f aca="false">IF(D3332="","",IFERROR(INDEX(I_COA!$G$6:$G$265,MATCH(D3332,I_COA!$A$6:$A$265,0)),"N"))</f>
        <v/>
      </c>
      <c r="O3332" s="11" t="str">
        <f aca="false">IF(N3332="N",ABS(J3332),"")</f>
        <v/>
      </c>
      <c r="P3332" s="18" t="str">
        <f aca="false">IF(N3332="N",B3332&amp;"|"&amp;ROUND(O3332,0),"")</f>
        <v/>
      </c>
      <c r="Q3332" s="18" t="str">
        <f aca="false">IF(N3332&lt;&gt;"Y","",IFERROR(INDEX($D$6:$D$4005,MATCH(B3332&amp;"|"&amp;ROUND(_xlfn.MAXIFS($O$6:$O$4005,$B$6:$B$4005,B3332,$N$6:$N$4005,"N"),0),$P$6:$P$4005,0)),"(tanpa lawan)"))</f>
        <v/>
      </c>
      <c r="R3332" s="44"/>
      <c r="S3332" s="9" t="str">
        <f aca="false">IF(N3332&lt;&gt;"Y","",IF(R3332&lt;&gt;"",R3332,IF(Q3332="(tanpa lawan)","Transfer antar rekening",IFERROR(INDEX(I_COA!$F$6:$F$265,MATCH(Q3332,I_COA!$A$6:$A$265,0)),"?"))))</f>
        <v/>
      </c>
    </row>
    <row r="3333" customFormat="false" ht="15" hidden="false" customHeight="false" outlineLevel="0" collapsed="false">
      <c r="A3333" s="37"/>
      <c r="B3333" s="44"/>
      <c r="C3333" s="44"/>
      <c r="D3333" s="44"/>
      <c r="E3333" s="44"/>
      <c r="F3333" s="44"/>
      <c r="G3333" s="42"/>
      <c r="H3333" s="42"/>
      <c r="I3333" s="44"/>
      <c r="J3333" s="11" t="str">
        <f aca="false">IF(D3333="","",N(G3333)-N(H3333))</f>
        <v/>
      </c>
      <c r="K3333" s="34" t="str">
        <f aca="false">IF(D3333="","",IFERROR(INDEX(I_COA!$C$6:$C$265,MATCH(D3333,I_COA!$A$6:$A$265,0)),"AKUN BARU"))</f>
        <v/>
      </c>
      <c r="L3333" s="34" t="str">
        <f aca="false">IF(K3333="LabaRugi",INDEX(I_COA!$D$6:$D$265,MATCH(D3333,I_COA!$A$6:$A$265,0)),"")</f>
        <v/>
      </c>
      <c r="M3333" s="34" t="str">
        <f aca="false">IF(K3333="Neraca",INDEX(I_COA!$E$6:$E$265,MATCH(D3333,I_COA!$A$6:$A$265,0)),"")</f>
        <v/>
      </c>
      <c r="N3333" s="34" t="str">
        <f aca="false">IF(D3333="","",IFERROR(INDEX(I_COA!$G$6:$G$265,MATCH(D3333,I_COA!$A$6:$A$265,0)),"N"))</f>
        <v/>
      </c>
      <c r="O3333" s="11" t="str">
        <f aca="false">IF(N3333="N",ABS(J3333),"")</f>
        <v/>
      </c>
      <c r="P3333" s="18" t="str">
        <f aca="false">IF(N3333="N",B3333&amp;"|"&amp;ROUND(O3333,0),"")</f>
        <v/>
      </c>
      <c r="Q3333" s="18" t="str">
        <f aca="false">IF(N3333&lt;&gt;"Y","",IFERROR(INDEX($D$6:$D$4005,MATCH(B3333&amp;"|"&amp;ROUND(_xlfn.MAXIFS($O$6:$O$4005,$B$6:$B$4005,B3333,$N$6:$N$4005,"N"),0),$P$6:$P$4005,0)),"(tanpa lawan)"))</f>
        <v/>
      </c>
      <c r="R3333" s="44"/>
      <c r="S3333" s="9" t="str">
        <f aca="false">IF(N3333&lt;&gt;"Y","",IF(R3333&lt;&gt;"",R3333,IF(Q3333="(tanpa lawan)","Transfer antar rekening",IFERROR(INDEX(I_COA!$F$6:$F$265,MATCH(Q3333,I_COA!$A$6:$A$265,0)),"?"))))</f>
        <v/>
      </c>
    </row>
    <row r="3334" customFormat="false" ht="15" hidden="false" customHeight="false" outlineLevel="0" collapsed="false">
      <c r="A3334" s="37"/>
      <c r="B3334" s="44"/>
      <c r="C3334" s="44"/>
      <c r="D3334" s="44"/>
      <c r="E3334" s="44"/>
      <c r="F3334" s="44"/>
      <c r="G3334" s="42"/>
      <c r="H3334" s="42"/>
      <c r="I3334" s="44"/>
      <c r="J3334" s="11" t="str">
        <f aca="false">IF(D3334="","",N(G3334)-N(H3334))</f>
        <v/>
      </c>
      <c r="K3334" s="34" t="str">
        <f aca="false">IF(D3334="","",IFERROR(INDEX(I_COA!$C$6:$C$265,MATCH(D3334,I_COA!$A$6:$A$265,0)),"AKUN BARU"))</f>
        <v/>
      </c>
      <c r="L3334" s="34" t="str">
        <f aca="false">IF(K3334="LabaRugi",INDEX(I_COA!$D$6:$D$265,MATCH(D3334,I_COA!$A$6:$A$265,0)),"")</f>
        <v/>
      </c>
      <c r="M3334" s="34" t="str">
        <f aca="false">IF(K3334="Neraca",INDEX(I_COA!$E$6:$E$265,MATCH(D3334,I_COA!$A$6:$A$265,0)),"")</f>
        <v/>
      </c>
      <c r="N3334" s="34" t="str">
        <f aca="false">IF(D3334="","",IFERROR(INDEX(I_COA!$G$6:$G$265,MATCH(D3334,I_COA!$A$6:$A$265,0)),"N"))</f>
        <v/>
      </c>
      <c r="O3334" s="11" t="str">
        <f aca="false">IF(N3334="N",ABS(J3334),"")</f>
        <v/>
      </c>
      <c r="P3334" s="18" t="str">
        <f aca="false">IF(N3334="N",B3334&amp;"|"&amp;ROUND(O3334,0),"")</f>
        <v/>
      </c>
      <c r="Q3334" s="18" t="str">
        <f aca="false">IF(N3334&lt;&gt;"Y","",IFERROR(INDEX($D$6:$D$4005,MATCH(B3334&amp;"|"&amp;ROUND(_xlfn.MAXIFS($O$6:$O$4005,$B$6:$B$4005,B3334,$N$6:$N$4005,"N"),0),$P$6:$P$4005,0)),"(tanpa lawan)"))</f>
        <v/>
      </c>
      <c r="R3334" s="44"/>
      <c r="S3334" s="9" t="str">
        <f aca="false">IF(N3334&lt;&gt;"Y","",IF(R3334&lt;&gt;"",R3334,IF(Q3334="(tanpa lawan)","Transfer antar rekening",IFERROR(INDEX(I_COA!$F$6:$F$265,MATCH(Q3334,I_COA!$A$6:$A$265,0)),"?"))))</f>
        <v/>
      </c>
    </row>
    <row r="3335" customFormat="false" ht="15" hidden="false" customHeight="false" outlineLevel="0" collapsed="false">
      <c r="A3335" s="37"/>
      <c r="B3335" s="44"/>
      <c r="C3335" s="44"/>
      <c r="D3335" s="44"/>
      <c r="E3335" s="44"/>
      <c r="F3335" s="44"/>
      <c r="G3335" s="42"/>
      <c r="H3335" s="42"/>
      <c r="I3335" s="44"/>
      <c r="J3335" s="11" t="str">
        <f aca="false">IF(D3335="","",N(G3335)-N(H3335))</f>
        <v/>
      </c>
      <c r="K3335" s="34" t="str">
        <f aca="false">IF(D3335="","",IFERROR(INDEX(I_COA!$C$6:$C$265,MATCH(D3335,I_COA!$A$6:$A$265,0)),"AKUN BARU"))</f>
        <v/>
      </c>
      <c r="L3335" s="34" t="str">
        <f aca="false">IF(K3335="LabaRugi",INDEX(I_COA!$D$6:$D$265,MATCH(D3335,I_COA!$A$6:$A$265,0)),"")</f>
        <v/>
      </c>
      <c r="M3335" s="34" t="str">
        <f aca="false">IF(K3335="Neraca",INDEX(I_COA!$E$6:$E$265,MATCH(D3335,I_COA!$A$6:$A$265,0)),"")</f>
        <v/>
      </c>
      <c r="N3335" s="34" t="str">
        <f aca="false">IF(D3335="","",IFERROR(INDEX(I_COA!$G$6:$G$265,MATCH(D3335,I_COA!$A$6:$A$265,0)),"N"))</f>
        <v/>
      </c>
      <c r="O3335" s="11" t="str">
        <f aca="false">IF(N3335="N",ABS(J3335),"")</f>
        <v/>
      </c>
      <c r="P3335" s="18" t="str">
        <f aca="false">IF(N3335="N",B3335&amp;"|"&amp;ROUND(O3335,0),"")</f>
        <v/>
      </c>
      <c r="Q3335" s="18" t="str">
        <f aca="false">IF(N3335&lt;&gt;"Y","",IFERROR(INDEX($D$6:$D$4005,MATCH(B3335&amp;"|"&amp;ROUND(_xlfn.MAXIFS($O$6:$O$4005,$B$6:$B$4005,B3335,$N$6:$N$4005,"N"),0),$P$6:$P$4005,0)),"(tanpa lawan)"))</f>
        <v/>
      </c>
      <c r="R3335" s="44"/>
      <c r="S3335" s="9" t="str">
        <f aca="false">IF(N3335&lt;&gt;"Y","",IF(R3335&lt;&gt;"",R3335,IF(Q3335="(tanpa lawan)","Transfer antar rekening",IFERROR(INDEX(I_COA!$F$6:$F$265,MATCH(Q3335,I_COA!$A$6:$A$265,0)),"?"))))</f>
        <v/>
      </c>
    </row>
    <row r="3336" customFormat="false" ht="15" hidden="false" customHeight="false" outlineLevel="0" collapsed="false">
      <c r="A3336" s="37"/>
      <c r="B3336" s="44"/>
      <c r="C3336" s="44"/>
      <c r="D3336" s="44"/>
      <c r="E3336" s="44"/>
      <c r="F3336" s="44"/>
      <c r="G3336" s="42"/>
      <c r="H3336" s="42"/>
      <c r="I3336" s="44"/>
      <c r="J3336" s="11" t="str">
        <f aca="false">IF(D3336="","",N(G3336)-N(H3336))</f>
        <v/>
      </c>
      <c r="K3336" s="34" t="str">
        <f aca="false">IF(D3336="","",IFERROR(INDEX(I_COA!$C$6:$C$265,MATCH(D3336,I_COA!$A$6:$A$265,0)),"AKUN BARU"))</f>
        <v/>
      </c>
      <c r="L3336" s="34" t="str">
        <f aca="false">IF(K3336="LabaRugi",INDEX(I_COA!$D$6:$D$265,MATCH(D3336,I_COA!$A$6:$A$265,0)),"")</f>
        <v/>
      </c>
      <c r="M3336" s="34" t="str">
        <f aca="false">IF(K3336="Neraca",INDEX(I_COA!$E$6:$E$265,MATCH(D3336,I_COA!$A$6:$A$265,0)),"")</f>
        <v/>
      </c>
      <c r="N3336" s="34" t="str">
        <f aca="false">IF(D3336="","",IFERROR(INDEX(I_COA!$G$6:$G$265,MATCH(D3336,I_COA!$A$6:$A$265,0)),"N"))</f>
        <v/>
      </c>
      <c r="O3336" s="11" t="str">
        <f aca="false">IF(N3336="N",ABS(J3336),"")</f>
        <v/>
      </c>
      <c r="P3336" s="18" t="str">
        <f aca="false">IF(N3336="N",B3336&amp;"|"&amp;ROUND(O3336,0),"")</f>
        <v/>
      </c>
      <c r="Q3336" s="18" t="str">
        <f aca="false">IF(N3336&lt;&gt;"Y","",IFERROR(INDEX($D$6:$D$4005,MATCH(B3336&amp;"|"&amp;ROUND(_xlfn.MAXIFS($O$6:$O$4005,$B$6:$B$4005,B3336,$N$6:$N$4005,"N"),0),$P$6:$P$4005,0)),"(tanpa lawan)"))</f>
        <v/>
      </c>
      <c r="R3336" s="44"/>
      <c r="S3336" s="9" t="str">
        <f aca="false">IF(N3336&lt;&gt;"Y","",IF(R3336&lt;&gt;"",R3336,IF(Q3336="(tanpa lawan)","Transfer antar rekening",IFERROR(INDEX(I_COA!$F$6:$F$265,MATCH(Q3336,I_COA!$A$6:$A$265,0)),"?"))))</f>
        <v/>
      </c>
    </row>
    <row r="3337" customFormat="false" ht="15" hidden="false" customHeight="false" outlineLevel="0" collapsed="false">
      <c r="A3337" s="37"/>
      <c r="B3337" s="44"/>
      <c r="C3337" s="44"/>
      <c r="D3337" s="44"/>
      <c r="E3337" s="44"/>
      <c r="F3337" s="44"/>
      <c r="G3337" s="42"/>
      <c r="H3337" s="42"/>
      <c r="I3337" s="44"/>
      <c r="J3337" s="11" t="str">
        <f aca="false">IF(D3337="","",N(G3337)-N(H3337))</f>
        <v/>
      </c>
      <c r="K3337" s="34" t="str">
        <f aca="false">IF(D3337="","",IFERROR(INDEX(I_COA!$C$6:$C$265,MATCH(D3337,I_COA!$A$6:$A$265,0)),"AKUN BARU"))</f>
        <v/>
      </c>
      <c r="L3337" s="34" t="str">
        <f aca="false">IF(K3337="LabaRugi",INDEX(I_COA!$D$6:$D$265,MATCH(D3337,I_COA!$A$6:$A$265,0)),"")</f>
        <v/>
      </c>
      <c r="M3337" s="34" t="str">
        <f aca="false">IF(K3337="Neraca",INDEX(I_COA!$E$6:$E$265,MATCH(D3337,I_COA!$A$6:$A$265,0)),"")</f>
        <v/>
      </c>
      <c r="N3337" s="34" t="str">
        <f aca="false">IF(D3337="","",IFERROR(INDEX(I_COA!$G$6:$G$265,MATCH(D3337,I_COA!$A$6:$A$265,0)),"N"))</f>
        <v/>
      </c>
      <c r="O3337" s="11" t="str">
        <f aca="false">IF(N3337="N",ABS(J3337),"")</f>
        <v/>
      </c>
      <c r="P3337" s="18" t="str">
        <f aca="false">IF(N3337="N",B3337&amp;"|"&amp;ROUND(O3337,0),"")</f>
        <v/>
      </c>
      <c r="Q3337" s="18" t="str">
        <f aca="false">IF(N3337&lt;&gt;"Y","",IFERROR(INDEX($D$6:$D$4005,MATCH(B3337&amp;"|"&amp;ROUND(_xlfn.MAXIFS($O$6:$O$4005,$B$6:$B$4005,B3337,$N$6:$N$4005,"N"),0),$P$6:$P$4005,0)),"(tanpa lawan)"))</f>
        <v/>
      </c>
      <c r="R3337" s="44"/>
      <c r="S3337" s="9" t="str">
        <f aca="false">IF(N3337&lt;&gt;"Y","",IF(R3337&lt;&gt;"",R3337,IF(Q3337="(tanpa lawan)","Transfer antar rekening",IFERROR(INDEX(I_COA!$F$6:$F$265,MATCH(Q3337,I_COA!$A$6:$A$265,0)),"?"))))</f>
        <v/>
      </c>
    </row>
    <row r="3338" customFormat="false" ht="15" hidden="false" customHeight="false" outlineLevel="0" collapsed="false">
      <c r="A3338" s="37"/>
      <c r="B3338" s="44"/>
      <c r="C3338" s="44"/>
      <c r="D3338" s="44"/>
      <c r="E3338" s="44"/>
      <c r="F3338" s="44"/>
      <c r="G3338" s="42"/>
      <c r="H3338" s="42"/>
      <c r="I3338" s="44"/>
      <c r="J3338" s="11" t="str">
        <f aca="false">IF(D3338="","",N(G3338)-N(H3338))</f>
        <v/>
      </c>
      <c r="K3338" s="34" t="str">
        <f aca="false">IF(D3338="","",IFERROR(INDEX(I_COA!$C$6:$C$265,MATCH(D3338,I_COA!$A$6:$A$265,0)),"AKUN BARU"))</f>
        <v/>
      </c>
      <c r="L3338" s="34" t="str">
        <f aca="false">IF(K3338="LabaRugi",INDEX(I_COA!$D$6:$D$265,MATCH(D3338,I_COA!$A$6:$A$265,0)),"")</f>
        <v/>
      </c>
      <c r="M3338" s="34" t="str">
        <f aca="false">IF(K3338="Neraca",INDEX(I_COA!$E$6:$E$265,MATCH(D3338,I_COA!$A$6:$A$265,0)),"")</f>
        <v/>
      </c>
      <c r="N3338" s="34" t="str">
        <f aca="false">IF(D3338="","",IFERROR(INDEX(I_COA!$G$6:$G$265,MATCH(D3338,I_COA!$A$6:$A$265,0)),"N"))</f>
        <v/>
      </c>
      <c r="O3338" s="11" t="str">
        <f aca="false">IF(N3338="N",ABS(J3338),"")</f>
        <v/>
      </c>
      <c r="P3338" s="18" t="str">
        <f aca="false">IF(N3338="N",B3338&amp;"|"&amp;ROUND(O3338,0),"")</f>
        <v/>
      </c>
      <c r="Q3338" s="18" t="str">
        <f aca="false">IF(N3338&lt;&gt;"Y","",IFERROR(INDEX($D$6:$D$4005,MATCH(B3338&amp;"|"&amp;ROUND(_xlfn.MAXIFS($O$6:$O$4005,$B$6:$B$4005,B3338,$N$6:$N$4005,"N"),0),$P$6:$P$4005,0)),"(tanpa lawan)"))</f>
        <v/>
      </c>
      <c r="R3338" s="44"/>
      <c r="S3338" s="9" t="str">
        <f aca="false">IF(N3338&lt;&gt;"Y","",IF(R3338&lt;&gt;"",R3338,IF(Q3338="(tanpa lawan)","Transfer antar rekening",IFERROR(INDEX(I_COA!$F$6:$F$265,MATCH(Q3338,I_COA!$A$6:$A$265,0)),"?"))))</f>
        <v/>
      </c>
    </row>
    <row r="3339" customFormat="false" ht="15" hidden="false" customHeight="false" outlineLevel="0" collapsed="false">
      <c r="A3339" s="37"/>
      <c r="B3339" s="44"/>
      <c r="C3339" s="44"/>
      <c r="D3339" s="44"/>
      <c r="E3339" s="44"/>
      <c r="F3339" s="44"/>
      <c r="G3339" s="42"/>
      <c r="H3339" s="42"/>
      <c r="I3339" s="44"/>
      <c r="J3339" s="11" t="str">
        <f aca="false">IF(D3339="","",N(G3339)-N(H3339))</f>
        <v/>
      </c>
      <c r="K3339" s="34" t="str">
        <f aca="false">IF(D3339="","",IFERROR(INDEX(I_COA!$C$6:$C$265,MATCH(D3339,I_COA!$A$6:$A$265,0)),"AKUN BARU"))</f>
        <v/>
      </c>
      <c r="L3339" s="34" t="str">
        <f aca="false">IF(K3339="LabaRugi",INDEX(I_COA!$D$6:$D$265,MATCH(D3339,I_COA!$A$6:$A$265,0)),"")</f>
        <v/>
      </c>
      <c r="M3339" s="34" t="str">
        <f aca="false">IF(K3339="Neraca",INDEX(I_COA!$E$6:$E$265,MATCH(D3339,I_COA!$A$6:$A$265,0)),"")</f>
        <v/>
      </c>
      <c r="N3339" s="34" t="str">
        <f aca="false">IF(D3339="","",IFERROR(INDEX(I_COA!$G$6:$G$265,MATCH(D3339,I_COA!$A$6:$A$265,0)),"N"))</f>
        <v/>
      </c>
      <c r="O3339" s="11" t="str">
        <f aca="false">IF(N3339="N",ABS(J3339),"")</f>
        <v/>
      </c>
      <c r="P3339" s="18" t="str">
        <f aca="false">IF(N3339="N",B3339&amp;"|"&amp;ROUND(O3339,0),"")</f>
        <v/>
      </c>
      <c r="Q3339" s="18" t="str">
        <f aca="false">IF(N3339&lt;&gt;"Y","",IFERROR(INDEX($D$6:$D$4005,MATCH(B3339&amp;"|"&amp;ROUND(_xlfn.MAXIFS($O$6:$O$4005,$B$6:$B$4005,B3339,$N$6:$N$4005,"N"),0),$P$6:$P$4005,0)),"(tanpa lawan)"))</f>
        <v/>
      </c>
      <c r="R3339" s="44"/>
      <c r="S3339" s="9" t="str">
        <f aca="false">IF(N3339&lt;&gt;"Y","",IF(R3339&lt;&gt;"",R3339,IF(Q3339="(tanpa lawan)","Transfer antar rekening",IFERROR(INDEX(I_COA!$F$6:$F$265,MATCH(Q3339,I_COA!$A$6:$A$265,0)),"?"))))</f>
        <v/>
      </c>
    </row>
    <row r="3340" customFormat="false" ht="15" hidden="false" customHeight="false" outlineLevel="0" collapsed="false">
      <c r="A3340" s="37"/>
      <c r="B3340" s="44"/>
      <c r="C3340" s="44"/>
      <c r="D3340" s="44"/>
      <c r="E3340" s="44"/>
      <c r="F3340" s="44"/>
      <c r="G3340" s="42"/>
      <c r="H3340" s="42"/>
      <c r="I3340" s="44"/>
      <c r="J3340" s="11" t="str">
        <f aca="false">IF(D3340="","",N(G3340)-N(H3340))</f>
        <v/>
      </c>
      <c r="K3340" s="34" t="str">
        <f aca="false">IF(D3340="","",IFERROR(INDEX(I_COA!$C$6:$C$265,MATCH(D3340,I_COA!$A$6:$A$265,0)),"AKUN BARU"))</f>
        <v/>
      </c>
      <c r="L3340" s="34" t="str">
        <f aca="false">IF(K3340="LabaRugi",INDEX(I_COA!$D$6:$D$265,MATCH(D3340,I_COA!$A$6:$A$265,0)),"")</f>
        <v/>
      </c>
      <c r="M3340" s="34" t="str">
        <f aca="false">IF(K3340="Neraca",INDEX(I_COA!$E$6:$E$265,MATCH(D3340,I_COA!$A$6:$A$265,0)),"")</f>
        <v/>
      </c>
      <c r="N3340" s="34" t="str">
        <f aca="false">IF(D3340="","",IFERROR(INDEX(I_COA!$G$6:$G$265,MATCH(D3340,I_COA!$A$6:$A$265,0)),"N"))</f>
        <v/>
      </c>
      <c r="O3340" s="11" t="str">
        <f aca="false">IF(N3340="N",ABS(J3340),"")</f>
        <v/>
      </c>
      <c r="P3340" s="18" t="str">
        <f aca="false">IF(N3340="N",B3340&amp;"|"&amp;ROUND(O3340,0),"")</f>
        <v/>
      </c>
      <c r="Q3340" s="18" t="str">
        <f aca="false">IF(N3340&lt;&gt;"Y","",IFERROR(INDEX($D$6:$D$4005,MATCH(B3340&amp;"|"&amp;ROUND(_xlfn.MAXIFS($O$6:$O$4005,$B$6:$B$4005,B3340,$N$6:$N$4005,"N"),0),$P$6:$P$4005,0)),"(tanpa lawan)"))</f>
        <v/>
      </c>
      <c r="R3340" s="44"/>
      <c r="S3340" s="9" t="str">
        <f aca="false">IF(N3340&lt;&gt;"Y","",IF(R3340&lt;&gt;"",R3340,IF(Q3340="(tanpa lawan)","Transfer antar rekening",IFERROR(INDEX(I_COA!$F$6:$F$265,MATCH(Q3340,I_COA!$A$6:$A$265,0)),"?"))))</f>
        <v/>
      </c>
    </row>
    <row r="3341" customFormat="false" ht="15" hidden="false" customHeight="false" outlineLevel="0" collapsed="false">
      <c r="A3341" s="37"/>
      <c r="B3341" s="44"/>
      <c r="C3341" s="44"/>
      <c r="D3341" s="44"/>
      <c r="E3341" s="44"/>
      <c r="F3341" s="44"/>
      <c r="G3341" s="42"/>
      <c r="H3341" s="42"/>
      <c r="I3341" s="44"/>
      <c r="J3341" s="11" t="str">
        <f aca="false">IF(D3341="","",N(G3341)-N(H3341))</f>
        <v/>
      </c>
      <c r="K3341" s="34" t="str">
        <f aca="false">IF(D3341="","",IFERROR(INDEX(I_COA!$C$6:$C$265,MATCH(D3341,I_COA!$A$6:$A$265,0)),"AKUN BARU"))</f>
        <v/>
      </c>
      <c r="L3341" s="34" t="str">
        <f aca="false">IF(K3341="LabaRugi",INDEX(I_COA!$D$6:$D$265,MATCH(D3341,I_COA!$A$6:$A$265,0)),"")</f>
        <v/>
      </c>
      <c r="M3341" s="34" t="str">
        <f aca="false">IF(K3341="Neraca",INDEX(I_COA!$E$6:$E$265,MATCH(D3341,I_COA!$A$6:$A$265,0)),"")</f>
        <v/>
      </c>
      <c r="N3341" s="34" t="str">
        <f aca="false">IF(D3341="","",IFERROR(INDEX(I_COA!$G$6:$G$265,MATCH(D3341,I_COA!$A$6:$A$265,0)),"N"))</f>
        <v/>
      </c>
      <c r="O3341" s="11" t="str">
        <f aca="false">IF(N3341="N",ABS(J3341),"")</f>
        <v/>
      </c>
      <c r="P3341" s="18" t="str">
        <f aca="false">IF(N3341="N",B3341&amp;"|"&amp;ROUND(O3341,0),"")</f>
        <v/>
      </c>
      <c r="Q3341" s="18" t="str">
        <f aca="false">IF(N3341&lt;&gt;"Y","",IFERROR(INDEX($D$6:$D$4005,MATCH(B3341&amp;"|"&amp;ROUND(_xlfn.MAXIFS($O$6:$O$4005,$B$6:$B$4005,B3341,$N$6:$N$4005,"N"),0),$P$6:$P$4005,0)),"(tanpa lawan)"))</f>
        <v/>
      </c>
      <c r="R3341" s="44"/>
      <c r="S3341" s="9" t="str">
        <f aca="false">IF(N3341&lt;&gt;"Y","",IF(R3341&lt;&gt;"",R3341,IF(Q3341="(tanpa lawan)","Transfer antar rekening",IFERROR(INDEX(I_COA!$F$6:$F$265,MATCH(Q3341,I_COA!$A$6:$A$265,0)),"?"))))</f>
        <v/>
      </c>
    </row>
    <row r="3342" customFormat="false" ht="15" hidden="false" customHeight="false" outlineLevel="0" collapsed="false">
      <c r="A3342" s="37"/>
      <c r="B3342" s="44"/>
      <c r="C3342" s="44"/>
      <c r="D3342" s="44"/>
      <c r="E3342" s="44"/>
      <c r="F3342" s="44"/>
      <c r="G3342" s="42"/>
      <c r="H3342" s="42"/>
      <c r="I3342" s="44"/>
      <c r="J3342" s="11" t="str">
        <f aca="false">IF(D3342="","",N(G3342)-N(H3342))</f>
        <v/>
      </c>
      <c r="K3342" s="34" t="str">
        <f aca="false">IF(D3342="","",IFERROR(INDEX(I_COA!$C$6:$C$265,MATCH(D3342,I_COA!$A$6:$A$265,0)),"AKUN BARU"))</f>
        <v/>
      </c>
      <c r="L3342" s="34" t="str">
        <f aca="false">IF(K3342="LabaRugi",INDEX(I_COA!$D$6:$D$265,MATCH(D3342,I_COA!$A$6:$A$265,0)),"")</f>
        <v/>
      </c>
      <c r="M3342" s="34" t="str">
        <f aca="false">IF(K3342="Neraca",INDEX(I_COA!$E$6:$E$265,MATCH(D3342,I_COA!$A$6:$A$265,0)),"")</f>
        <v/>
      </c>
      <c r="N3342" s="34" t="str">
        <f aca="false">IF(D3342="","",IFERROR(INDEX(I_COA!$G$6:$G$265,MATCH(D3342,I_COA!$A$6:$A$265,0)),"N"))</f>
        <v/>
      </c>
      <c r="O3342" s="11" t="str">
        <f aca="false">IF(N3342="N",ABS(J3342),"")</f>
        <v/>
      </c>
      <c r="P3342" s="18" t="str">
        <f aca="false">IF(N3342="N",B3342&amp;"|"&amp;ROUND(O3342,0),"")</f>
        <v/>
      </c>
      <c r="Q3342" s="18" t="str">
        <f aca="false">IF(N3342&lt;&gt;"Y","",IFERROR(INDEX($D$6:$D$4005,MATCH(B3342&amp;"|"&amp;ROUND(_xlfn.MAXIFS($O$6:$O$4005,$B$6:$B$4005,B3342,$N$6:$N$4005,"N"),0),$P$6:$P$4005,0)),"(tanpa lawan)"))</f>
        <v/>
      </c>
      <c r="R3342" s="44"/>
      <c r="S3342" s="9" t="str">
        <f aca="false">IF(N3342&lt;&gt;"Y","",IF(R3342&lt;&gt;"",R3342,IF(Q3342="(tanpa lawan)","Transfer antar rekening",IFERROR(INDEX(I_COA!$F$6:$F$265,MATCH(Q3342,I_COA!$A$6:$A$265,0)),"?"))))</f>
        <v/>
      </c>
    </row>
    <row r="3343" customFormat="false" ht="15" hidden="false" customHeight="false" outlineLevel="0" collapsed="false">
      <c r="A3343" s="37"/>
      <c r="B3343" s="44"/>
      <c r="C3343" s="44"/>
      <c r="D3343" s="44"/>
      <c r="E3343" s="44"/>
      <c r="F3343" s="44"/>
      <c r="G3343" s="42"/>
      <c r="H3343" s="42"/>
      <c r="I3343" s="44"/>
      <c r="J3343" s="11" t="str">
        <f aca="false">IF(D3343="","",N(G3343)-N(H3343))</f>
        <v/>
      </c>
      <c r="K3343" s="34" t="str">
        <f aca="false">IF(D3343="","",IFERROR(INDEX(I_COA!$C$6:$C$265,MATCH(D3343,I_COA!$A$6:$A$265,0)),"AKUN BARU"))</f>
        <v/>
      </c>
      <c r="L3343" s="34" t="str">
        <f aca="false">IF(K3343="LabaRugi",INDEX(I_COA!$D$6:$D$265,MATCH(D3343,I_COA!$A$6:$A$265,0)),"")</f>
        <v/>
      </c>
      <c r="M3343" s="34" t="str">
        <f aca="false">IF(K3343="Neraca",INDEX(I_COA!$E$6:$E$265,MATCH(D3343,I_COA!$A$6:$A$265,0)),"")</f>
        <v/>
      </c>
      <c r="N3343" s="34" t="str">
        <f aca="false">IF(D3343="","",IFERROR(INDEX(I_COA!$G$6:$G$265,MATCH(D3343,I_COA!$A$6:$A$265,0)),"N"))</f>
        <v/>
      </c>
      <c r="O3343" s="11" t="str">
        <f aca="false">IF(N3343="N",ABS(J3343),"")</f>
        <v/>
      </c>
      <c r="P3343" s="18" t="str">
        <f aca="false">IF(N3343="N",B3343&amp;"|"&amp;ROUND(O3343,0),"")</f>
        <v/>
      </c>
      <c r="Q3343" s="18" t="str">
        <f aca="false">IF(N3343&lt;&gt;"Y","",IFERROR(INDEX($D$6:$D$4005,MATCH(B3343&amp;"|"&amp;ROUND(_xlfn.MAXIFS($O$6:$O$4005,$B$6:$B$4005,B3343,$N$6:$N$4005,"N"),0),$P$6:$P$4005,0)),"(tanpa lawan)"))</f>
        <v/>
      </c>
      <c r="R3343" s="44"/>
      <c r="S3343" s="9" t="str">
        <f aca="false">IF(N3343&lt;&gt;"Y","",IF(R3343&lt;&gt;"",R3343,IF(Q3343="(tanpa lawan)","Transfer antar rekening",IFERROR(INDEX(I_COA!$F$6:$F$265,MATCH(Q3343,I_COA!$A$6:$A$265,0)),"?"))))</f>
        <v/>
      </c>
    </row>
    <row r="3344" customFormat="false" ht="15" hidden="false" customHeight="false" outlineLevel="0" collapsed="false">
      <c r="A3344" s="37"/>
      <c r="B3344" s="44"/>
      <c r="C3344" s="44"/>
      <c r="D3344" s="44"/>
      <c r="E3344" s="44"/>
      <c r="F3344" s="44"/>
      <c r="G3344" s="42"/>
      <c r="H3344" s="42"/>
      <c r="I3344" s="44"/>
      <c r="J3344" s="11" t="str">
        <f aca="false">IF(D3344="","",N(G3344)-N(H3344))</f>
        <v/>
      </c>
      <c r="K3344" s="34" t="str">
        <f aca="false">IF(D3344="","",IFERROR(INDEX(I_COA!$C$6:$C$265,MATCH(D3344,I_COA!$A$6:$A$265,0)),"AKUN BARU"))</f>
        <v/>
      </c>
      <c r="L3344" s="34" t="str">
        <f aca="false">IF(K3344="LabaRugi",INDEX(I_COA!$D$6:$D$265,MATCH(D3344,I_COA!$A$6:$A$265,0)),"")</f>
        <v/>
      </c>
      <c r="M3344" s="34" t="str">
        <f aca="false">IF(K3344="Neraca",INDEX(I_COA!$E$6:$E$265,MATCH(D3344,I_COA!$A$6:$A$265,0)),"")</f>
        <v/>
      </c>
      <c r="N3344" s="34" t="str">
        <f aca="false">IF(D3344="","",IFERROR(INDEX(I_COA!$G$6:$G$265,MATCH(D3344,I_COA!$A$6:$A$265,0)),"N"))</f>
        <v/>
      </c>
      <c r="O3344" s="11" t="str">
        <f aca="false">IF(N3344="N",ABS(J3344),"")</f>
        <v/>
      </c>
      <c r="P3344" s="18" t="str">
        <f aca="false">IF(N3344="N",B3344&amp;"|"&amp;ROUND(O3344,0),"")</f>
        <v/>
      </c>
      <c r="Q3344" s="18" t="str">
        <f aca="false">IF(N3344&lt;&gt;"Y","",IFERROR(INDEX($D$6:$D$4005,MATCH(B3344&amp;"|"&amp;ROUND(_xlfn.MAXIFS($O$6:$O$4005,$B$6:$B$4005,B3344,$N$6:$N$4005,"N"),0),$P$6:$P$4005,0)),"(tanpa lawan)"))</f>
        <v/>
      </c>
      <c r="R3344" s="44"/>
      <c r="S3344" s="9" t="str">
        <f aca="false">IF(N3344&lt;&gt;"Y","",IF(R3344&lt;&gt;"",R3344,IF(Q3344="(tanpa lawan)","Transfer antar rekening",IFERROR(INDEX(I_COA!$F$6:$F$265,MATCH(Q3344,I_COA!$A$6:$A$265,0)),"?"))))</f>
        <v/>
      </c>
    </row>
    <row r="3345" customFormat="false" ht="15" hidden="false" customHeight="false" outlineLevel="0" collapsed="false">
      <c r="A3345" s="37"/>
      <c r="B3345" s="44"/>
      <c r="C3345" s="44"/>
      <c r="D3345" s="44"/>
      <c r="E3345" s="44"/>
      <c r="F3345" s="44"/>
      <c r="G3345" s="42"/>
      <c r="H3345" s="42"/>
      <c r="I3345" s="44"/>
      <c r="J3345" s="11" t="str">
        <f aca="false">IF(D3345="","",N(G3345)-N(H3345))</f>
        <v/>
      </c>
      <c r="K3345" s="34" t="str">
        <f aca="false">IF(D3345="","",IFERROR(INDEX(I_COA!$C$6:$C$265,MATCH(D3345,I_COA!$A$6:$A$265,0)),"AKUN BARU"))</f>
        <v/>
      </c>
      <c r="L3345" s="34" t="str">
        <f aca="false">IF(K3345="LabaRugi",INDEX(I_COA!$D$6:$D$265,MATCH(D3345,I_COA!$A$6:$A$265,0)),"")</f>
        <v/>
      </c>
      <c r="M3345" s="34" t="str">
        <f aca="false">IF(K3345="Neraca",INDEX(I_COA!$E$6:$E$265,MATCH(D3345,I_COA!$A$6:$A$265,0)),"")</f>
        <v/>
      </c>
      <c r="N3345" s="34" t="str">
        <f aca="false">IF(D3345="","",IFERROR(INDEX(I_COA!$G$6:$G$265,MATCH(D3345,I_COA!$A$6:$A$265,0)),"N"))</f>
        <v/>
      </c>
      <c r="O3345" s="11" t="str">
        <f aca="false">IF(N3345="N",ABS(J3345),"")</f>
        <v/>
      </c>
      <c r="P3345" s="18" t="str">
        <f aca="false">IF(N3345="N",B3345&amp;"|"&amp;ROUND(O3345,0),"")</f>
        <v/>
      </c>
      <c r="Q3345" s="18" t="str">
        <f aca="false">IF(N3345&lt;&gt;"Y","",IFERROR(INDEX($D$6:$D$4005,MATCH(B3345&amp;"|"&amp;ROUND(_xlfn.MAXIFS($O$6:$O$4005,$B$6:$B$4005,B3345,$N$6:$N$4005,"N"),0),$P$6:$P$4005,0)),"(tanpa lawan)"))</f>
        <v/>
      </c>
      <c r="R3345" s="44"/>
      <c r="S3345" s="9" t="str">
        <f aca="false">IF(N3345&lt;&gt;"Y","",IF(R3345&lt;&gt;"",R3345,IF(Q3345="(tanpa lawan)","Transfer antar rekening",IFERROR(INDEX(I_COA!$F$6:$F$265,MATCH(Q3345,I_COA!$A$6:$A$265,0)),"?"))))</f>
        <v/>
      </c>
    </row>
    <row r="3346" customFormat="false" ht="15" hidden="false" customHeight="false" outlineLevel="0" collapsed="false">
      <c r="A3346" s="37"/>
      <c r="B3346" s="44"/>
      <c r="C3346" s="44"/>
      <c r="D3346" s="44"/>
      <c r="E3346" s="44"/>
      <c r="F3346" s="44"/>
      <c r="G3346" s="42"/>
      <c r="H3346" s="42"/>
      <c r="I3346" s="44"/>
      <c r="J3346" s="11" t="str">
        <f aca="false">IF(D3346="","",N(G3346)-N(H3346))</f>
        <v/>
      </c>
      <c r="K3346" s="34" t="str">
        <f aca="false">IF(D3346="","",IFERROR(INDEX(I_COA!$C$6:$C$265,MATCH(D3346,I_COA!$A$6:$A$265,0)),"AKUN BARU"))</f>
        <v/>
      </c>
      <c r="L3346" s="34" t="str">
        <f aca="false">IF(K3346="LabaRugi",INDEX(I_COA!$D$6:$D$265,MATCH(D3346,I_COA!$A$6:$A$265,0)),"")</f>
        <v/>
      </c>
      <c r="M3346" s="34" t="str">
        <f aca="false">IF(K3346="Neraca",INDEX(I_COA!$E$6:$E$265,MATCH(D3346,I_COA!$A$6:$A$265,0)),"")</f>
        <v/>
      </c>
      <c r="N3346" s="34" t="str">
        <f aca="false">IF(D3346="","",IFERROR(INDEX(I_COA!$G$6:$G$265,MATCH(D3346,I_COA!$A$6:$A$265,0)),"N"))</f>
        <v/>
      </c>
      <c r="O3346" s="11" t="str">
        <f aca="false">IF(N3346="N",ABS(J3346),"")</f>
        <v/>
      </c>
      <c r="P3346" s="18" t="str">
        <f aca="false">IF(N3346="N",B3346&amp;"|"&amp;ROUND(O3346,0),"")</f>
        <v/>
      </c>
      <c r="Q3346" s="18" t="str">
        <f aca="false">IF(N3346&lt;&gt;"Y","",IFERROR(INDEX($D$6:$D$4005,MATCH(B3346&amp;"|"&amp;ROUND(_xlfn.MAXIFS($O$6:$O$4005,$B$6:$B$4005,B3346,$N$6:$N$4005,"N"),0),$P$6:$P$4005,0)),"(tanpa lawan)"))</f>
        <v/>
      </c>
      <c r="R3346" s="44"/>
      <c r="S3346" s="9" t="str">
        <f aca="false">IF(N3346&lt;&gt;"Y","",IF(R3346&lt;&gt;"",R3346,IF(Q3346="(tanpa lawan)","Transfer antar rekening",IFERROR(INDEX(I_COA!$F$6:$F$265,MATCH(Q3346,I_COA!$A$6:$A$265,0)),"?"))))</f>
        <v/>
      </c>
    </row>
    <row r="3347" customFormat="false" ht="15" hidden="false" customHeight="false" outlineLevel="0" collapsed="false">
      <c r="A3347" s="37"/>
      <c r="B3347" s="44"/>
      <c r="C3347" s="44"/>
      <c r="D3347" s="44"/>
      <c r="E3347" s="44"/>
      <c r="F3347" s="44"/>
      <c r="G3347" s="42"/>
      <c r="H3347" s="42"/>
      <c r="I3347" s="44"/>
      <c r="J3347" s="11" t="str">
        <f aca="false">IF(D3347="","",N(G3347)-N(H3347))</f>
        <v/>
      </c>
      <c r="K3347" s="34" t="str">
        <f aca="false">IF(D3347="","",IFERROR(INDEX(I_COA!$C$6:$C$265,MATCH(D3347,I_COA!$A$6:$A$265,0)),"AKUN BARU"))</f>
        <v/>
      </c>
      <c r="L3347" s="34" t="str">
        <f aca="false">IF(K3347="LabaRugi",INDEX(I_COA!$D$6:$D$265,MATCH(D3347,I_COA!$A$6:$A$265,0)),"")</f>
        <v/>
      </c>
      <c r="M3347" s="34" t="str">
        <f aca="false">IF(K3347="Neraca",INDEX(I_COA!$E$6:$E$265,MATCH(D3347,I_COA!$A$6:$A$265,0)),"")</f>
        <v/>
      </c>
      <c r="N3347" s="34" t="str">
        <f aca="false">IF(D3347="","",IFERROR(INDEX(I_COA!$G$6:$G$265,MATCH(D3347,I_COA!$A$6:$A$265,0)),"N"))</f>
        <v/>
      </c>
      <c r="O3347" s="11" t="str">
        <f aca="false">IF(N3347="N",ABS(J3347),"")</f>
        <v/>
      </c>
      <c r="P3347" s="18" t="str">
        <f aca="false">IF(N3347="N",B3347&amp;"|"&amp;ROUND(O3347,0),"")</f>
        <v/>
      </c>
      <c r="Q3347" s="18" t="str">
        <f aca="false">IF(N3347&lt;&gt;"Y","",IFERROR(INDEX($D$6:$D$4005,MATCH(B3347&amp;"|"&amp;ROUND(_xlfn.MAXIFS($O$6:$O$4005,$B$6:$B$4005,B3347,$N$6:$N$4005,"N"),0),$P$6:$P$4005,0)),"(tanpa lawan)"))</f>
        <v/>
      </c>
      <c r="R3347" s="44"/>
      <c r="S3347" s="9" t="str">
        <f aca="false">IF(N3347&lt;&gt;"Y","",IF(R3347&lt;&gt;"",R3347,IF(Q3347="(tanpa lawan)","Transfer antar rekening",IFERROR(INDEX(I_COA!$F$6:$F$265,MATCH(Q3347,I_COA!$A$6:$A$265,0)),"?"))))</f>
        <v/>
      </c>
    </row>
    <row r="3348" customFormat="false" ht="15" hidden="false" customHeight="false" outlineLevel="0" collapsed="false">
      <c r="A3348" s="37"/>
      <c r="B3348" s="44"/>
      <c r="C3348" s="44"/>
      <c r="D3348" s="44"/>
      <c r="E3348" s="44"/>
      <c r="F3348" s="44"/>
      <c r="G3348" s="42"/>
      <c r="H3348" s="42"/>
      <c r="I3348" s="44"/>
      <c r="J3348" s="11" t="str">
        <f aca="false">IF(D3348="","",N(G3348)-N(H3348))</f>
        <v/>
      </c>
      <c r="K3348" s="34" t="str">
        <f aca="false">IF(D3348="","",IFERROR(INDEX(I_COA!$C$6:$C$265,MATCH(D3348,I_COA!$A$6:$A$265,0)),"AKUN BARU"))</f>
        <v/>
      </c>
      <c r="L3348" s="34" t="str">
        <f aca="false">IF(K3348="LabaRugi",INDEX(I_COA!$D$6:$D$265,MATCH(D3348,I_COA!$A$6:$A$265,0)),"")</f>
        <v/>
      </c>
      <c r="M3348" s="34" t="str">
        <f aca="false">IF(K3348="Neraca",INDEX(I_COA!$E$6:$E$265,MATCH(D3348,I_COA!$A$6:$A$265,0)),"")</f>
        <v/>
      </c>
      <c r="N3348" s="34" t="str">
        <f aca="false">IF(D3348="","",IFERROR(INDEX(I_COA!$G$6:$G$265,MATCH(D3348,I_COA!$A$6:$A$265,0)),"N"))</f>
        <v/>
      </c>
      <c r="O3348" s="11" t="str">
        <f aca="false">IF(N3348="N",ABS(J3348),"")</f>
        <v/>
      </c>
      <c r="P3348" s="18" t="str">
        <f aca="false">IF(N3348="N",B3348&amp;"|"&amp;ROUND(O3348,0),"")</f>
        <v/>
      </c>
      <c r="Q3348" s="18" t="str">
        <f aca="false">IF(N3348&lt;&gt;"Y","",IFERROR(INDEX($D$6:$D$4005,MATCH(B3348&amp;"|"&amp;ROUND(_xlfn.MAXIFS($O$6:$O$4005,$B$6:$B$4005,B3348,$N$6:$N$4005,"N"),0),$P$6:$P$4005,0)),"(tanpa lawan)"))</f>
        <v/>
      </c>
      <c r="R3348" s="44"/>
      <c r="S3348" s="9" t="str">
        <f aca="false">IF(N3348&lt;&gt;"Y","",IF(R3348&lt;&gt;"",R3348,IF(Q3348="(tanpa lawan)","Transfer antar rekening",IFERROR(INDEX(I_COA!$F$6:$F$265,MATCH(Q3348,I_COA!$A$6:$A$265,0)),"?"))))</f>
        <v/>
      </c>
    </row>
    <row r="3349" customFormat="false" ht="15" hidden="false" customHeight="false" outlineLevel="0" collapsed="false">
      <c r="A3349" s="37"/>
      <c r="B3349" s="44"/>
      <c r="C3349" s="44"/>
      <c r="D3349" s="44"/>
      <c r="E3349" s="44"/>
      <c r="F3349" s="44"/>
      <c r="G3349" s="42"/>
      <c r="H3349" s="42"/>
      <c r="I3349" s="44"/>
      <c r="J3349" s="11" t="str">
        <f aca="false">IF(D3349="","",N(G3349)-N(H3349))</f>
        <v/>
      </c>
      <c r="K3349" s="34" t="str">
        <f aca="false">IF(D3349="","",IFERROR(INDEX(I_COA!$C$6:$C$265,MATCH(D3349,I_COA!$A$6:$A$265,0)),"AKUN BARU"))</f>
        <v/>
      </c>
      <c r="L3349" s="34" t="str">
        <f aca="false">IF(K3349="LabaRugi",INDEX(I_COA!$D$6:$D$265,MATCH(D3349,I_COA!$A$6:$A$265,0)),"")</f>
        <v/>
      </c>
      <c r="M3349" s="34" t="str">
        <f aca="false">IF(K3349="Neraca",INDEX(I_COA!$E$6:$E$265,MATCH(D3349,I_COA!$A$6:$A$265,0)),"")</f>
        <v/>
      </c>
      <c r="N3349" s="34" t="str">
        <f aca="false">IF(D3349="","",IFERROR(INDEX(I_COA!$G$6:$G$265,MATCH(D3349,I_COA!$A$6:$A$265,0)),"N"))</f>
        <v/>
      </c>
      <c r="O3349" s="11" t="str">
        <f aca="false">IF(N3349="N",ABS(J3349),"")</f>
        <v/>
      </c>
      <c r="P3349" s="18" t="str">
        <f aca="false">IF(N3349="N",B3349&amp;"|"&amp;ROUND(O3349,0),"")</f>
        <v/>
      </c>
      <c r="Q3349" s="18" t="str">
        <f aca="false">IF(N3349&lt;&gt;"Y","",IFERROR(INDEX($D$6:$D$4005,MATCH(B3349&amp;"|"&amp;ROUND(_xlfn.MAXIFS($O$6:$O$4005,$B$6:$B$4005,B3349,$N$6:$N$4005,"N"),0),$P$6:$P$4005,0)),"(tanpa lawan)"))</f>
        <v/>
      </c>
      <c r="R3349" s="44"/>
      <c r="S3349" s="9" t="str">
        <f aca="false">IF(N3349&lt;&gt;"Y","",IF(R3349&lt;&gt;"",R3349,IF(Q3349="(tanpa lawan)","Transfer antar rekening",IFERROR(INDEX(I_COA!$F$6:$F$265,MATCH(Q3349,I_COA!$A$6:$A$265,0)),"?"))))</f>
        <v/>
      </c>
    </row>
    <row r="3350" customFormat="false" ht="15" hidden="false" customHeight="false" outlineLevel="0" collapsed="false">
      <c r="A3350" s="37"/>
      <c r="B3350" s="44"/>
      <c r="C3350" s="44"/>
      <c r="D3350" s="44"/>
      <c r="E3350" s="44"/>
      <c r="F3350" s="44"/>
      <c r="G3350" s="42"/>
      <c r="H3350" s="42"/>
      <c r="I3350" s="44"/>
      <c r="J3350" s="11" t="str">
        <f aca="false">IF(D3350="","",N(G3350)-N(H3350))</f>
        <v/>
      </c>
      <c r="K3350" s="34" t="str">
        <f aca="false">IF(D3350="","",IFERROR(INDEX(I_COA!$C$6:$C$265,MATCH(D3350,I_COA!$A$6:$A$265,0)),"AKUN BARU"))</f>
        <v/>
      </c>
      <c r="L3350" s="34" t="str">
        <f aca="false">IF(K3350="LabaRugi",INDEX(I_COA!$D$6:$D$265,MATCH(D3350,I_COA!$A$6:$A$265,0)),"")</f>
        <v/>
      </c>
      <c r="M3350" s="34" t="str">
        <f aca="false">IF(K3350="Neraca",INDEX(I_COA!$E$6:$E$265,MATCH(D3350,I_COA!$A$6:$A$265,0)),"")</f>
        <v/>
      </c>
      <c r="N3350" s="34" t="str">
        <f aca="false">IF(D3350="","",IFERROR(INDEX(I_COA!$G$6:$G$265,MATCH(D3350,I_COA!$A$6:$A$265,0)),"N"))</f>
        <v/>
      </c>
      <c r="O3350" s="11" t="str">
        <f aca="false">IF(N3350="N",ABS(J3350),"")</f>
        <v/>
      </c>
      <c r="P3350" s="18" t="str">
        <f aca="false">IF(N3350="N",B3350&amp;"|"&amp;ROUND(O3350,0),"")</f>
        <v/>
      </c>
      <c r="Q3350" s="18" t="str">
        <f aca="false">IF(N3350&lt;&gt;"Y","",IFERROR(INDEX($D$6:$D$4005,MATCH(B3350&amp;"|"&amp;ROUND(_xlfn.MAXIFS($O$6:$O$4005,$B$6:$B$4005,B3350,$N$6:$N$4005,"N"),0),$P$6:$P$4005,0)),"(tanpa lawan)"))</f>
        <v/>
      </c>
      <c r="R3350" s="44"/>
      <c r="S3350" s="9" t="str">
        <f aca="false">IF(N3350&lt;&gt;"Y","",IF(R3350&lt;&gt;"",R3350,IF(Q3350="(tanpa lawan)","Transfer antar rekening",IFERROR(INDEX(I_COA!$F$6:$F$265,MATCH(Q3350,I_COA!$A$6:$A$265,0)),"?"))))</f>
        <v/>
      </c>
    </row>
    <row r="3351" customFormat="false" ht="15" hidden="false" customHeight="false" outlineLevel="0" collapsed="false">
      <c r="A3351" s="37"/>
      <c r="B3351" s="44"/>
      <c r="C3351" s="44"/>
      <c r="D3351" s="44"/>
      <c r="E3351" s="44"/>
      <c r="F3351" s="44"/>
      <c r="G3351" s="42"/>
      <c r="H3351" s="42"/>
      <c r="I3351" s="44"/>
      <c r="J3351" s="11" t="str">
        <f aca="false">IF(D3351="","",N(G3351)-N(H3351))</f>
        <v/>
      </c>
      <c r="K3351" s="34" t="str">
        <f aca="false">IF(D3351="","",IFERROR(INDEX(I_COA!$C$6:$C$265,MATCH(D3351,I_COA!$A$6:$A$265,0)),"AKUN BARU"))</f>
        <v/>
      </c>
      <c r="L3351" s="34" t="str">
        <f aca="false">IF(K3351="LabaRugi",INDEX(I_COA!$D$6:$D$265,MATCH(D3351,I_COA!$A$6:$A$265,0)),"")</f>
        <v/>
      </c>
      <c r="M3351" s="34" t="str">
        <f aca="false">IF(K3351="Neraca",INDEX(I_COA!$E$6:$E$265,MATCH(D3351,I_COA!$A$6:$A$265,0)),"")</f>
        <v/>
      </c>
      <c r="N3351" s="34" t="str">
        <f aca="false">IF(D3351="","",IFERROR(INDEX(I_COA!$G$6:$G$265,MATCH(D3351,I_COA!$A$6:$A$265,0)),"N"))</f>
        <v/>
      </c>
      <c r="O3351" s="11" t="str">
        <f aca="false">IF(N3351="N",ABS(J3351),"")</f>
        <v/>
      </c>
      <c r="P3351" s="18" t="str">
        <f aca="false">IF(N3351="N",B3351&amp;"|"&amp;ROUND(O3351,0),"")</f>
        <v/>
      </c>
      <c r="Q3351" s="18" t="str">
        <f aca="false">IF(N3351&lt;&gt;"Y","",IFERROR(INDEX($D$6:$D$4005,MATCH(B3351&amp;"|"&amp;ROUND(_xlfn.MAXIFS($O$6:$O$4005,$B$6:$B$4005,B3351,$N$6:$N$4005,"N"),0),$P$6:$P$4005,0)),"(tanpa lawan)"))</f>
        <v/>
      </c>
      <c r="R3351" s="44"/>
      <c r="S3351" s="9" t="str">
        <f aca="false">IF(N3351&lt;&gt;"Y","",IF(R3351&lt;&gt;"",R3351,IF(Q3351="(tanpa lawan)","Transfer antar rekening",IFERROR(INDEX(I_COA!$F$6:$F$265,MATCH(Q3351,I_COA!$A$6:$A$265,0)),"?"))))</f>
        <v/>
      </c>
    </row>
    <row r="3352" customFormat="false" ht="15" hidden="false" customHeight="false" outlineLevel="0" collapsed="false">
      <c r="A3352" s="37"/>
      <c r="B3352" s="44"/>
      <c r="C3352" s="44"/>
      <c r="D3352" s="44"/>
      <c r="E3352" s="44"/>
      <c r="F3352" s="44"/>
      <c r="G3352" s="42"/>
      <c r="H3352" s="42"/>
      <c r="I3352" s="44"/>
      <c r="J3352" s="11" t="str">
        <f aca="false">IF(D3352="","",N(G3352)-N(H3352))</f>
        <v/>
      </c>
      <c r="K3352" s="34" t="str">
        <f aca="false">IF(D3352="","",IFERROR(INDEX(I_COA!$C$6:$C$265,MATCH(D3352,I_COA!$A$6:$A$265,0)),"AKUN BARU"))</f>
        <v/>
      </c>
      <c r="L3352" s="34" t="str">
        <f aca="false">IF(K3352="LabaRugi",INDEX(I_COA!$D$6:$D$265,MATCH(D3352,I_COA!$A$6:$A$265,0)),"")</f>
        <v/>
      </c>
      <c r="M3352" s="34" t="str">
        <f aca="false">IF(K3352="Neraca",INDEX(I_COA!$E$6:$E$265,MATCH(D3352,I_COA!$A$6:$A$265,0)),"")</f>
        <v/>
      </c>
      <c r="N3352" s="34" t="str">
        <f aca="false">IF(D3352="","",IFERROR(INDEX(I_COA!$G$6:$G$265,MATCH(D3352,I_COA!$A$6:$A$265,0)),"N"))</f>
        <v/>
      </c>
      <c r="O3352" s="11" t="str">
        <f aca="false">IF(N3352="N",ABS(J3352),"")</f>
        <v/>
      </c>
      <c r="P3352" s="18" t="str">
        <f aca="false">IF(N3352="N",B3352&amp;"|"&amp;ROUND(O3352,0),"")</f>
        <v/>
      </c>
      <c r="Q3352" s="18" t="str">
        <f aca="false">IF(N3352&lt;&gt;"Y","",IFERROR(INDEX($D$6:$D$4005,MATCH(B3352&amp;"|"&amp;ROUND(_xlfn.MAXIFS($O$6:$O$4005,$B$6:$B$4005,B3352,$N$6:$N$4005,"N"),0),$P$6:$P$4005,0)),"(tanpa lawan)"))</f>
        <v/>
      </c>
      <c r="R3352" s="44"/>
      <c r="S3352" s="9" t="str">
        <f aca="false">IF(N3352&lt;&gt;"Y","",IF(R3352&lt;&gt;"",R3352,IF(Q3352="(tanpa lawan)","Transfer antar rekening",IFERROR(INDEX(I_COA!$F$6:$F$265,MATCH(Q3352,I_COA!$A$6:$A$265,0)),"?"))))</f>
        <v/>
      </c>
    </row>
    <row r="3353" customFormat="false" ht="15" hidden="false" customHeight="false" outlineLevel="0" collapsed="false">
      <c r="A3353" s="37"/>
      <c r="B3353" s="44"/>
      <c r="C3353" s="44"/>
      <c r="D3353" s="44"/>
      <c r="E3353" s="44"/>
      <c r="F3353" s="44"/>
      <c r="G3353" s="42"/>
      <c r="H3353" s="42"/>
      <c r="I3353" s="44"/>
      <c r="J3353" s="11" t="str">
        <f aca="false">IF(D3353="","",N(G3353)-N(H3353))</f>
        <v/>
      </c>
      <c r="K3353" s="34" t="str">
        <f aca="false">IF(D3353="","",IFERROR(INDEX(I_COA!$C$6:$C$265,MATCH(D3353,I_COA!$A$6:$A$265,0)),"AKUN BARU"))</f>
        <v/>
      </c>
      <c r="L3353" s="34" t="str">
        <f aca="false">IF(K3353="LabaRugi",INDEX(I_COA!$D$6:$D$265,MATCH(D3353,I_COA!$A$6:$A$265,0)),"")</f>
        <v/>
      </c>
      <c r="M3353" s="34" t="str">
        <f aca="false">IF(K3353="Neraca",INDEX(I_COA!$E$6:$E$265,MATCH(D3353,I_COA!$A$6:$A$265,0)),"")</f>
        <v/>
      </c>
      <c r="N3353" s="34" t="str">
        <f aca="false">IF(D3353="","",IFERROR(INDEX(I_COA!$G$6:$G$265,MATCH(D3353,I_COA!$A$6:$A$265,0)),"N"))</f>
        <v/>
      </c>
      <c r="O3353" s="11" t="str">
        <f aca="false">IF(N3353="N",ABS(J3353),"")</f>
        <v/>
      </c>
      <c r="P3353" s="18" t="str">
        <f aca="false">IF(N3353="N",B3353&amp;"|"&amp;ROUND(O3353,0),"")</f>
        <v/>
      </c>
      <c r="Q3353" s="18" t="str">
        <f aca="false">IF(N3353&lt;&gt;"Y","",IFERROR(INDEX($D$6:$D$4005,MATCH(B3353&amp;"|"&amp;ROUND(_xlfn.MAXIFS($O$6:$O$4005,$B$6:$B$4005,B3353,$N$6:$N$4005,"N"),0),$P$6:$P$4005,0)),"(tanpa lawan)"))</f>
        <v/>
      </c>
      <c r="R3353" s="44"/>
      <c r="S3353" s="9" t="str">
        <f aca="false">IF(N3353&lt;&gt;"Y","",IF(R3353&lt;&gt;"",R3353,IF(Q3353="(tanpa lawan)","Transfer antar rekening",IFERROR(INDEX(I_COA!$F$6:$F$265,MATCH(Q3353,I_COA!$A$6:$A$265,0)),"?"))))</f>
        <v/>
      </c>
    </row>
    <row r="3354" customFormat="false" ht="15" hidden="false" customHeight="false" outlineLevel="0" collapsed="false">
      <c r="A3354" s="37"/>
      <c r="B3354" s="44"/>
      <c r="C3354" s="44"/>
      <c r="D3354" s="44"/>
      <c r="E3354" s="44"/>
      <c r="F3354" s="44"/>
      <c r="G3354" s="42"/>
      <c r="H3354" s="42"/>
      <c r="I3354" s="44"/>
      <c r="J3354" s="11" t="str">
        <f aca="false">IF(D3354="","",N(G3354)-N(H3354))</f>
        <v/>
      </c>
      <c r="K3354" s="34" t="str">
        <f aca="false">IF(D3354="","",IFERROR(INDEX(I_COA!$C$6:$C$265,MATCH(D3354,I_COA!$A$6:$A$265,0)),"AKUN BARU"))</f>
        <v/>
      </c>
      <c r="L3354" s="34" t="str">
        <f aca="false">IF(K3354="LabaRugi",INDEX(I_COA!$D$6:$D$265,MATCH(D3354,I_COA!$A$6:$A$265,0)),"")</f>
        <v/>
      </c>
      <c r="M3354" s="34" t="str">
        <f aca="false">IF(K3354="Neraca",INDEX(I_COA!$E$6:$E$265,MATCH(D3354,I_COA!$A$6:$A$265,0)),"")</f>
        <v/>
      </c>
      <c r="N3354" s="34" t="str">
        <f aca="false">IF(D3354="","",IFERROR(INDEX(I_COA!$G$6:$G$265,MATCH(D3354,I_COA!$A$6:$A$265,0)),"N"))</f>
        <v/>
      </c>
      <c r="O3354" s="11" t="str">
        <f aca="false">IF(N3354="N",ABS(J3354),"")</f>
        <v/>
      </c>
      <c r="P3354" s="18" t="str">
        <f aca="false">IF(N3354="N",B3354&amp;"|"&amp;ROUND(O3354,0),"")</f>
        <v/>
      </c>
      <c r="Q3354" s="18" t="str">
        <f aca="false">IF(N3354&lt;&gt;"Y","",IFERROR(INDEX($D$6:$D$4005,MATCH(B3354&amp;"|"&amp;ROUND(_xlfn.MAXIFS($O$6:$O$4005,$B$6:$B$4005,B3354,$N$6:$N$4005,"N"),0),$P$6:$P$4005,0)),"(tanpa lawan)"))</f>
        <v/>
      </c>
      <c r="R3354" s="44"/>
      <c r="S3354" s="9" t="str">
        <f aca="false">IF(N3354&lt;&gt;"Y","",IF(R3354&lt;&gt;"",R3354,IF(Q3354="(tanpa lawan)","Transfer antar rekening",IFERROR(INDEX(I_COA!$F$6:$F$265,MATCH(Q3354,I_COA!$A$6:$A$265,0)),"?"))))</f>
        <v/>
      </c>
    </row>
    <row r="3355" customFormat="false" ht="15" hidden="false" customHeight="false" outlineLevel="0" collapsed="false">
      <c r="A3355" s="37"/>
      <c r="B3355" s="44"/>
      <c r="C3355" s="44"/>
      <c r="D3355" s="44"/>
      <c r="E3355" s="44"/>
      <c r="F3355" s="44"/>
      <c r="G3355" s="42"/>
      <c r="H3355" s="42"/>
      <c r="I3355" s="44"/>
      <c r="J3355" s="11" t="str">
        <f aca="false">IF(D3355="","",N(G3355)-N(H3355))</f>
        <v/>
      </c>
      <c r="K3355" s="34" t="str">
        <f aca="false">IF(D3355="","",IFERROR(INDEX(I_COA!$C$6:$C$265,MATCH(D3355,I_COA!$A$6:$A$265,0)),"AKUN BARU"))</f>
        <v/>
      </c>
      <c r="L3355" s="34" t="str">
        <f aca="false">IF(K3355="LabaRugi",INDEX(I_COA!$D$6:$D$265,MATCH(D3355,I_COA!$A$6:$A$265,0)),"")</f>
        <v/>
      </c>
      <c r="M3355" s="34" t="str">
        <f aca="false">IF(K3355="Neraca",INDEX(I_COA!$E$6:$E$265,MATCH(D3355,I_COA!$A$6:$A$265,0)),"")</f>
        <v/>
      </c>
      <c r="N3355" s="34" t="str">
        <f aca="false">IF(D3355="","",IFERROR(INDEX(I_COA!$G$6:$G$265,MATCH(D3355,I_COA!$A$6:$A$265,0)),"N"))</f>
        <v/>
      </c>
      <c r="O3355" s="11" t="str">
        <f aca="false">IF(N3355="N",ABS(J3355),"")</f>
        <v/>
      </c>
      <c r="P3355" s="18" t="str">
        <f aca="false">IF(N3355="N",B3355&amp;"|"&amp;ROUND(O3355,0),"")</f>
        <v/>
      </c>
      <c r="Q3355" s="18" t="str">
        <f aca="false">IF(N3355&lt;&gt;"Y","",IFERROR(INDEX($D$6:$D$4005,MATCH(B3355&amp;"|"&amp;ROUND(_xlfn.MAXIFS($O$6:$O$4005,$B$6:$B$4005,B3355,$N$6:$N$4005,"N"),0),$P$6:$P$4005,0)),"(tanpa lawan)"))</f>
        <v/>
      </c>
      <c r="R3355" s="44"/>
      <c r="S3355" s="9" t="str">
        <f aca="false">IF(N3355&lt;&gt;"Y","",IF(R3355&lt;&gt;"",R3355,IF(Q3355="(tanpa lawan)","Transfer antar rekening",IFERROR(INDEX(I_COA!$F$6:$F$265,MATCH(Q3355,I_COA!$A$6:$A$265,0)),"?"))))</f>
        <v/>
      </c>
    </row>
    <row r="3356" customFormat="false" ht="15" hidden="false" customHeight="false" outlineLevel="0" collapsed="false">
      <c r="A3356" s="37"/>
      <c r="B3356" s="44"/>
      <c r="C3356" s="44"/>
      <c r="D3356" s="44"/>
      <c r="E3356" s="44"/>
      <c r="F3356" s="44"/>
      <c r="G3356" s="42"/>
      <c r="H3356" s="42"/>
      <c r="I3356" s="44"/>
      <c r="J3356" s="11" t="str">
        <f aca="false">IF(D3356="","",N(G3356)-N(H3356))</f>
        <v/>
      </c>
      <c r="K3356" s="34" t="str">
        <f aca="false">IF(D3356="","",IFERROR(INDEX(I_COA!$C$6:$C$265,MATCH(D3356,I_COA!$A$6:$A$265,0)),"AKUN BARU"))</f>
        <v/>
      </c>
      <c r="L3356" s="34" t="str">
        <f aca="false">IF(K3356="LabaRugi",INDEX(I_COA!$D$6:$D$265,MATCH(D3356,I_COA!$A$6:$A$265,0)),"")</f>
        <v/>
      </c>
      <c r="M3356" s="34" t="str">
        <f aca="false">IF(K3356="Neraca",INDEX(I_COA!$E$6:$E$265,MATCH(D3356,I_COA!$A$6:$A$265,0)),"")</f>
        <v/>
      </c>
      <c r="N3356" s="34" t="str">
        <f aca="false">IF(D3356="","",IFERROR(INDEX(I_COA!$G$6:$G$265,MATCH(D3356,I_COA!$A$6:$A$265,0)),"N"))</f>
        <v/>
      </c>
      <c r="O3356" s="11" t="str">
        <f aca="false">IF(N3356="N",ABS(J3356),"")</f>
        <v/>
      </c>
      <c r="P3356" s="18" t="str">
        <f aca="false">IF(N3356="N",B3356&amp;"|"&amp;ROUND(O3356,0),"")</f>
        <v/>
      </c>
      <c r="Q3356" s="18" t="str">
        <f aca="false">IF(N3356&lt;&gt;"Y","",IFERROR(INDEX($D$6:$D$4005,MATCH(B3356&amp;"|"&amp;ROUND(_xlfn.MAXIFS($O$6:$O$4005,$B$6:$B$4005,B3356,$N$6:$N$4005,"N"),0),$P$6:$P$4005,0)),"(tanpa lawan)"))</f>
        <v/>
      </c>
      <c r="R3356" s="44"/>
      <c r="S3356" s="9" t="str">
        <f aca="false">IF(N3356&lt;&gt;"Y","",IF(R3356&lt;&gt;"",R3356,IF(Q3356="(tanpa lawan)","Transfer antar rekening",IFERROR(INDEX(I_COA!$F$6:$F$265,MATCH(Q3356,I_COA!$A$6:$A$265,0)),"?"))))</f>
        <v/>
      </c>
    </row>
    <row r="3357" customFormat="false" ht="15" hidden="false" customHeight="false" outlineLevel="0" collapsed="false">
      <c r="A3357" s="37"/>
      <c r="B3357" s="44"/>
      <c r="C3357" s="44"/>
      <c r="D3357" s="44"/>
      <c r="E3357" s="44"/>
      <c r="F3357" s="44"/>
      <c r="G3357" s="42"/>
      <c r="H3357" s="42"/>
      <c r="I3357" s="44"/>
      <c r="J3357" s="11" t="str">
        <f aca="false">IF(D3357="","",N(G3357)-N(H3357))</f>
        <v/>
      </c>
      <c r="K3357" s="34" t="str">
        <f aca="false">IF(D3357="","",IFERROR(INDEX(I_COA!$C$6:$C$265,MATCH(D3357,I_COA!$A$6:$A$265,0)),"AKUN BARU"))</f>
        <v/>
      </c>
      <c r="L3357" s="34" t="str">
        <f aca="false">IF(K3357="LabaRugi",INDEX(I_COA!$D$6:$D$265,MATCH(D3357,I_COA!$A$6:$A$265,0)),"")</f>
        <v/>
      </c>
      <c r="M3357" s="34" t="str">
        <f aca="false">IF(K3357="Neraca",INDEX(I_COA!$E$6:$E$265,MATCH(D3357,I_COA!$A$6:$A$265,0)),"")</f>
        <v/>
      </c>
      <c r="N3357" s="34" t="str">
        <f aca="false">IF(D3357="","",IFERROR(INDEX(I_COA!$G$6:$G$265,MATCH(D3357,I_COA!$A$6:$A$265,0)),"N"))</f>
        <v/>
      </c>
      <c r="O3357" s="11" t="str">
        <f aca="false">IF(N3357="N",ABS(J3357),"")</f>
        <v/>
      </c>
      <c r="P3357" s="18" t="str">
        <f aca="false">IF(N3357="N",B3357&amp;"|"&amp;ROUND(O3357,0),"")</f>
        <v/>
      </c>
      <c r="Q3357" s="18" t="str">
        <f aca="false">IF(N3357&lt;&gt;"Y","",IFERROR(INDEX($D$6:$D$4005,MATCH(B3357&amp;"|"&amp;ROUND(_xlfn.MAXIFS($O$6:$O$4005,$B$6:$B$4005,B3357,$N$6:$N$4005,"N"),0),$P$6:$P$4005,0)),"(tanpa lawan)"))</f>
        <v/>
      </c>
      <c r="R3357" s="44"/>
      <c r="S3357" s="9" t="str">
        <f aca="false">IF(N3357&lt;&gt;"Y","",IF(R3357&lt;&gt;"",R3357,IF(Q3357="(tanpa lawan)","Transfer antar rekening",IFERROR(INDEX(I_COA!$F$6:$F$265,MATCH(Q3357,I_COA!$A$6:$A$265,0)),"?"))))</f>
        <v/>
      </c>
    </row>
    <row r="3358" customFormat="false" ht="15" hidden="false" customHeight="false" outlineLevel="0" collapsed="false">
      <c r="A3358" s="37"/>
      <c r="B3358" s="44"/>
      <c r="C3358" s="44"/>
      <c r="D3358" s="44"/>
      <c r="E3358" s="44"/>
      <c r="F3358" s="44"/>
      <c r="G3358" s="42"/>
      <c r="H3358" s="42"/>
      <c r="I3358" s="44"/>
      <c r="J3358" s="11" t="str">
        <f aca="false">IF(D3358="","",N(G3358)-N(H3358))</f>
        <v/>
      </c>
      <c r="K3358" s="34" t="str">
        <f aca="false">IF(D3358="","",IFERROR(INDEX(I_COA!$C$6:$C$265,MATCH(D3358,I_COA!$A$6:$A$265,0)),"AKUN BARU"))</f>
        <v/>
      </c>
      <c r="L3358" s="34" t="str">
        <f aca="false">IF(K3358="LabaRugi",INDEX(I_COA!$D$6:$D$265,MATCH(D3358,I_COA!$A$6:$A$265,0)),"")</f>
        <v/>
      </c>
      <c r="M3358" s="34" t="str">
        <f aca="false">IF(K3358="Neraca",INDEX(I_COA!$E$6:$E$265,MATCH(D3358,I_COA!$A$6:$A$265,0)),"")</f>
        <v/>
      </c>
      <c r="N3358" s="34" t="str">
        <f aca="false">IF(D3358="","",IFERROR(INDEX(I_COA!$G$6:$G$265,MATCH(D3358,I_COA!$A$6:$A$265,0)),"N"))</f>
        <v/>
      </c>
      <c r="O3358" s="11" t="str">
        <f aca="false">IF(N3358="N",ABS(J3358),"")</f>
        <v/>
      </c>
      <c r="P3358" s="18" t="str">
        <f aca="false">IF(N3358="N",B3358&amp;"|"&amp;ROUND(O3358,0),"")</f>
        <v/>
      </c>
      <c r="Q3358" s="18" t="str">
        <f aca="false">IF(N3358&lt;&gt;"Y","",IFERROR(INDEX($D$6:$D$4005,MATCH(B3358&amp;"|"&amp;ROUND(_xlfn.MAXIFS($O$6:$O$4005,$B$6:$B$4005,B3358,$N$6:$N$4005,"N"),0),$P$6:$P$4005,0)),"(tanpa lawan)"))</f>
        <v/>
      </c>
      <c r="R3358" s="44"/>
      <c r="S3358" s="9" t="str">
        <f aca="false">IF(N3358&lt;&gt;"Y","",IF(R3358&lt;&gt;"",R3358,IF(Q3358="(tanpa lawan)","Transfer antar rekening",IFERROR(INDEX(I_COA!$F$6:$F$265,MATCH(Q3358,I_COA!$A$6:$A$265,0)),"?"))))</f>
        <v/>
      </c>
    </row>
    <row r="3359" customFormat="false" ht="15" hidden="false" customHeight="false" outlineLevel="0" collapsed="false">
      <c r="A3359" s="37"/>
      <c r="B3359" s="44"/>
      <c r="C3359" s="44"/>
      <c r="D3359" s="44"/>
      <c r="E3359" s="44"/>
      <c r="F3359" s="44"/>
      <c r="G3359" s="42"/>
      <c r="H3359" s="42"/>
      <c r="I3359" s="44"/>
      <c r="J3359" s="11" t="str">
        <f aca="false">IF(D3359="","",N(G3359)-N(H3359))</f>
        <v/>
      </c>
      <c r="K3359" s="34" t="str">
        <f aca="false">IF(D3359="","",IFERROR(INDEX(I_COA!$C$6:$C$265,MATCH(D3359,I_COA!$A$6:$A$265,0)),"AKUN BARU"))</f>
        <v/>
      </c>
      <c r="L3359" s="34" t="str">
        <f aca="false">IF(K3359="LabaRugi",INDEX(I_COA!$D$6:$D$265,MATCH(D3359,I_COA!$A$6:$A$265,0)),"")</f>
        <v/>
      </c>
      <c r="M3359" s="34" t="str">
        <f aca="false">IF(K3359="Neraca",INDEX(I_COA!$E$6:$E$265,MATCH(D3359,I_COA!$A$6:$A$265,0)),"")</f>
        <v/>
      </c>
      <c r="N3359" s="34" t="str">
        <f aca="false">IF(D3359="","",IFERROR(INDEX(I_COA!$G$6:$G$265,MATCH(D3359,I_COA!$A$6:$A$265,0)),"N"))</f>
        <v/>
      </c>
      <c r="O3359" s="11" t="str">
        <f aca="false">IF(N3359="N",ABS(J3359),"")</f>
        <v/>
      </c>
      <c r="P3359" s="18" t="str">
        <f aca="false">IF(N3359="N",B3359&amp;"|"&amp;ROUND(O3359,0),"")</f>
        <v/>
      </c>
      <c r="Q3359" s="18" t="str">
        <f aca="false">IF(N3359&lt;&gt;"Y","",IFERROR(INDEX($D$6:$D$4005,MATCH(B3359&amp;"|"&amp;ROUND(_xlfn.MAXIFS($O$6:$O$4005,$B$6:$B$4005,B3359,$N$6:$N$4005,"N"),0),$P$6:$P$4005,0)),"(tanpa lawan)"))</f>
        <v/>
      </c>
      <c r="R3359" s="44"/>
      <c r="S3359" s="9" t="str">
        <f aca="false">IF(N3359&lt;&gt;"Y","",IF(R3359&lt;&gt;"",R3359,IF(Q3359="(tanpa lawan)","Transfer antar rekening",IFERROR(INDEX(I_COA!$F$6:$F$265,MATCH(Q3359,I_COA!$A$6:$A$265,0)),"?"))))</f>
        <v/>
      </c>
    </row>
    <row r="3360" customFormat="false" ht="15" hidden="false" customHeight="false" outlineLevel="0" collapsed="false">
      <c r="A3360" s="37"/>
      <c r="B3360" s="44"/>
      <c r="C3360" s="44"/>
      <c r="D3360" s="44"/>
      <c r="E3360" s="44"/>
      <c r="F3360" s="44"/>
      <c r="G3360" s="42"/>
      <c r="H3360" s="42"/>
      <c r="I3360" s="44"/>
      <c r="J3360" s="11" t="str">
        <f aca="false">IF(D3360="","",N(G3360)-N(H3360))</f>
        <v/>
      </c>
      <c r="K3360" s="34" t="str">
        <f aca="false">IF(D3360="","",IFERROR(INDEX(I_COA!$C$6:$C$265,MATCH(D3360,I_COA!$A$6:$A$265,0)),"AKUN BARU"))</f>
        <v/>
      </c>
      <c r="L3360" s="34" t="str">
        <f aca="false">IF(K3360="LabaRugi",INDEX(I_COA!$D$6:$D$265,MATCH(D3360,I_COA!$A$6:$A$265,0)),"")</f>
        <v/>
      </c>
      <c r="M3360" s="34" t="str">
        <f aca="false">IF(K3360="Neraca",INDEX(I_COA!$E$6:$E$265,MATCH(D3360,I_COA!$A$6:$A$265,0)),"")</f>
        <v/>
      </c>
      <c r="N3360" s="34" t="str">
        <f aca="false">IF(D3360="","",IFERROR(INDEX(I_COA!$G$6:$G$265,MATCH(D3360,I_COA!$A$6:$A$265,0)),"N"))</f>
        <v/>
      </c>
      <c r="O3360" s="11" t="str">
        <f aca="false">IF(N3360="N",ABS(J3360),"")</f>
        <v/>
      </c>
      <c r="P3360" s="18" t="str">
        <f aca="false">IF(N3360="N",B3360&amp;"|"&amp;ROUND(O3360,0),"")</f>
        <v/>
      </c>
      <c r="Q3360" s="18" t="str">
        <f aca="false">IF(N3360&lt;&gt;"Y","",IFERROR(INDEX($D$6:$D$4005,MATCH(B3360&amp;"|"&amp;ROUND(_xlfn.MAXIFS($O$6:$O$4005,$B$6:$B$4005,B3360,$N$6:$N$4005,"N"),0),$P$6:$P$4005,0)),"(tanpa lawan)"))</f>
        <v/>
      </c>
      <c r="R3360" s="44"/>
      <c r="S3360" s="9" t="str">
        <f aca="false">IF(N3360&lt;&gt;"Y","",IF(R3360&lt;&gt;"",R3360,IF(Q3360="(tanpa lawan)","Transfer antar rekening",IFERROR(INDEX(I_COA!$F$6:$F$265,MATCH(Q3360,I_COA!$A$6:$A$265,0)),"?"))))</f>
        <v/>
      </c>
    </row>
    <row r="3361" customFormat="false" ht="15" hidden="false" customHeight="false" outlineLevel="0" collapsed="false">
      <c r="A3361" s="37"/>
      <c r="B3361" s="44"/>
      <c r="C3361" s="44"/>
      <c r="D3361" s="44"/>
      <c r="E3361" s="44"/>
      <c r="F3361" s="44"/>
      <c r="G3361" s="42"/>
      <c r="H3361" s="42"/>
      <c r="I3361" s="44"/>
      <c r="J3361" s="11" t="str">
        <f aca="false">IF(D3361="","",N(G3361)-N(H3361))</f>
        <v/>
      </c>
      <c r="K3361" s="34" t="str">
        <f aca="false">IF(D3361="","",IFERROR(INDEX(I_COA!$C$6:$C$265,MATCH(D3361,I_COA!$A$6:$A$265,0)),"AKUN BARU"))</f>
        <v/>
      </c>
      <c r="L3361" s="34" t="str">
        <f aca="false">IF(K3361="LabaRugi",INDEX(I_COA!$D$6:$D$265,MATCH(D3361,I_COA!$A$6:$A$265,0)),"")</f>
        <v/>
      </c>
      <c r="M3361" s="34" t="str">
        <f aca="false">IF(K3361="Neraca",INDEX(I_COA!$E$6:$E$265,MATCH(D3361,I_COA!$A$6:$A$265,0)),"")</f>
        <v/>
      </c>
      <c r="N3361" s="34" t="str">
        <f aca="false">IF(D3361="","",IFERROR(INDEX(I_COA!$G$6:$G$265,MATCH(D3361,I_COA!$A$6:$A$265,0)),"N"))</f>
        <v/>
      </c>
      <c r="O3361" s="11" t="str">
        <f aca="false">IF(N3361="N",ABS(J3361),"")</f>
        <v/>
      </c>
      <c r="P3361" s="18" t="str">
        <f aca="false">IF(N3361="N",B3361&amp;"|"&amp;ROUND(O3361,0),"")</f>
        <v/>
      </c>
      <c r="Q3361" s="18" t="str">
        <f aca="false">IF(N3361&lt;&gt;"Y","",IFERROR(INDEX($D$6:$D$4005,MATCH(B3361&amp;"|"&amp;ROUND(_xlfn.MAXIFS($O$6:$O$4005,$B$6:$B$4005,B3361,$N$6:$N$4005,"N"),0),$P$6:$P$4005,0)),"(tanpa lawan)"))</f>
        <v/>
      </c>
      <c r="R3361" s="44"/>
      <c r="S3361" s="9" t="str">
        <f aca="false">IF(N3361&lt;&gt;"Y","",IF(R3361&lt;&gt;"",R3361,IF(Q3361="(tanpa lawan)","Transfer antar rekening",IFERROR(INDEX(I_COA!$F$6:$F$265,MATCH(Q3361,I_COA!$A$6:$A$265,0)),"?"))))</f>
        <v/>
      </c>
    </row>
    <row r="3362" customFormat="false" ht="15" hidden="false" customHeight="false" outlineLevel="0" collapsed="false">
      <c r="A3362" s="37"/>
      <c r="B3362" s="44"/>
      <c r="C3362" s="44"/>
      <c r="D3362" s="44"/>
      <c r="E3362" s="44"/>
      <c r="F3362" s="44"/>
      <c r="G3362" s="42"/>
      <c r="H3362" s="42"/>
      <c r="I3362" s="44"/>
      <c r="J3362" s="11" t="str">
        <f aca="false">IF(D3362="","",N(G3362)-N(H3362))</f>
        <v/>
      </c>
      <c r="K3362" s="34" t="str">
        <f aca="false">IF(D3362="","",IFERROR(INDEX(I_COA!$C$6:$C$265,MATCH(D3362,I_COA!$A$6:$A$265,0)),"AKUN BARU"))</f>
        <v/>
      </c>
      <c r="L3362" s="34" t="str">
        <f aca="false">IF(K3362="LabaRugi",INDEX(I_COA!$D$6:$D$265,MATCH(D3362,I_COA!$A$6:$A$265,0)),"")</f>
        <v/>
      </c>
      <c r="M3362" s="34" t="str">
        <f aca="false">IF(K3362="Neraca",INDEX(I_COA!$E$6:$E$265,MATCH(D3362,I_COA!$A$6:$A$265,0)),"")</f>
        <v/>
      </c>
      <c r="N3362" s="34" t="str">
        <f aca="false">IF(D3362="","",IFERROR(INDEX(I_COA!$G$6:$G$265,MATCH(D3362,I_COA!$A$6:$A$265,0)),"N"))</f>
        <v/>
      </c>
      <c r="O3362" s="11" t="str">
        <f aca="false">IF(N3362="N",ABS(J3362),"")</f>
        <v/>
      </c>
      <c r="P3362" s="18" t="str">
        <f aca="false">IF(N3362="N",B3362&amp;"|"&amp;ROUND(O3362,0),"")</f>
        <v/>
      </c>
      <c r="Q3362" s="18" t="str">
        <f aca="false">IF(N3362&lt;&gt;"Y","",IFERROR(INDEX($D$6:$D$4005,MATCH(B3362&amp;"|"&amp;ROUND(_xlfn.MAXIFS($O$6:$O$4005,$B$6:$B$4005,B3362,$N$6:$N$4005,"N"),0),$P$6:$P$4005,0)),"(tanpa lawan)"))</f>
        <v/>
      </c>
      <c r="R3362" s="44"/>
      <c r="S3362" s="9" t="str">
        <f aca="false">IF(N3362&lt;&gt;"Y","",IF(R3362&lt;&gt;"",R3362,IF(Q3362="(tanpa lawan)","Transfer antar rekening",IFERROR(INDEX(I_COA!$F$6:$F$265,MATCH(Q3362,I_COA!$A$6:$A$265,0)),"?"))))</f>
        <v/>
      </c>
    </row>
    <row r="3363" customFormat="false" ht="15" hidden="false" customHeight="false" outlineLevel="0" collapsed="false">
      <c r="A3363" s="37"/>
      <c r="B3363" s="44"/>
      <c r="C3363" s="44"/>
      <c r="D3363" s="44"/>
      <c r="E3363" s="44"/>
      <c r="F3363" s="44"/>
      <c r="G3363" s="42"/>
      <c r="H3363" s="42"/>
      <c r="I3363" s="44"/>
      <c r="J3363" s="11" t="str">
        <f aca="false">IF(D3363="","",N(G3363)-N(H3363))</f>
        <v/>
      </c>
      <c r="K3363" s="34" t="str">
        <f aca="false">IF(D3363="","",IFERROR(INDEX(I_COA!$C$6:$C$265,MATCH(D3363,I_COA!$A$6:$A$265,0)),"AKUN BARU"))</f>
        <v/>
      </c>
      <c r="L3363" s="34" t="str">
        <f aca="false">IF(K3363="LabaRugi",INDEX(I_COA!$D$6:$D$265,MATCH(D3363,I_COA!$A$6:$A$265,0)),"")</f>
        <v/>
      </c>
      <c r="M3363" s="34" t="str">
        <f aca="false">IF(K3363="Neraca",INDEX(I_COA!$E$6:$E$265,MATCH(D3363,I_COA!$A$6:$A$265,0)),"")</f>
        <v/>
      </c>
      <c r="N3363" s="34" t="str">
        <f aca="false">IF(D3363="","",IFERROR(INDEX(I_COA!$G$6:$G$265,MATCH(D3363,I_COA!$A$6:$A$265,0)),"N"))</f>
        <v/>
      </c>
      <c r="O3363" s="11" t="str">
        <f aca="false">IF(N3363="N",ABS(J3363),"")</f>
        <v/>
      </c>
      <c r="P3363" s="18" t="str">
        <f aca="false">IF(N3363="N",B3363&amp;"|"&amp;ROUND(O3363,0),"")</f>
        <v/>
      </c>
      <c r="Q3363" s="18" t="str">
        <f aca="false">IF(N3363&lt;&gt;"Y","",IFERROR(INDEX($D$6:$D$4005,MATCH(B3363&amp;"|"&amp;ROUND(_xlfn.MAXIFS($O$6:$O$4005,$B$6:$B$4005,B3363,$N$6:$N$4005,"N"),0),$P$6:$P$4005,0)),"(tanpa lawan)"))</f>
        <v/>
      </c>
      <c r="R3363" s="44"/>
      <c r="S3363" s="9" t="str">
        <f aca="false">IF(N3363&lt;&gt;"Y","",IF(R3363&lt;&gt;"",R3363,IF(Q3363="(tanpa lawan)","Transfer antar rekening",IFERROR(INDEX(I_COA!$F$6:$F$265,MATCH(Q3363,I_COA!$A$6:$A$265,0)),"?"))))</f>
        <v/>
      </c>
    </row>
    <row r="3364" customFormat="false" ht="15" hidden="false" customHeight="false" outlineLevel="0" collapsed="false">
      <c r="A3364" s="37"/>
      <c r="B3364" s="44"/>
      <c r="C3364" s="44"/>
      <c r="D3364" s="44"/>
      <c r="E3364" s="44"/>
      <c r="F3364" s="44"/>
      <c r="G3364" s="42"/>
      <c r="H3364" s="42"/>
      <c r="I3364" s="44"/>
      <c r="J3364" s="11" t="str">
        <f aca="false">IF(D3364="","",N(G3364)-N(H3364))</f>
        <v/>
      </c>
      <c r="K3364" s="34" t="str">
        <f aca="false">IF(D3364="","",IFERROR(INDEX(I_COA!$C$6:$C$265,MATCH(D3364,I_COA!$A$6:$A$265,0)),"AKUN BARU"))</f>
        <v/>
      </c>
      <c r="L3364" s="34" t="str">
        <f aca="false">IF(K3364="LabaRugi",INDEX(I_COA!$D$6:$D$265,MATCH(D3364,I_COA!$A$6:$A$265,0)),"")</f>
        <v/>
      </c>
      <c r="M3364" s="34" t="str">
        <f aca="false">IF(K3364="Neraca",INDEX(I_COA!$E$6:$E$265,MATCH(D3364,I_COA!$A$6:$A$265,0)),"")</f>
        <v/>
      </c>
      <c r="N3364" s="34" t="str">
        <f aca="false">IF(D3364="","",IFERROR(INDEX(I_COA!$G$6:$G$265,MATCH(D3364,I_COA!$A$6:$A$265,0)),"N"))</f>
        <v/>
      </c>
      <c r="O3364" s="11" t="str">
        <f aca="false">IF(N3364="N",ABS(J3364),"")</f>
        <v/>
      </c>
      <c r="P3364" s="18" t="str">
        <f aca="false">IF(N3364="N",B3364&amp;"|"&amp;ROUND(O3364,0),"")</f>
        <v/>
      </c>
      <c r="Q3364" s="18" t="str">
        <f aca="false">IF(N3364&lt;&gt;"Y","",IFERROR(INDEX($D$6:$D$4005,MATCH(B3364&amp;"|"&amp;ROUND(_xlfn.MAXIFS($O$6:$O$4005,$B$6:$B$4005,B3364,$N$6:$N$4005,"N"),0),$P$6:$P$4005,0)),"(tanpa lawan)"))</f>
        <v/>
      </c>
      <c r="R3364" s="44"/>
      <c r="S3364" s="9" t="str">
        <f aca="false">IF(N3364&lt;&gt;"Y","",IF(R3364&lt;&gt;"",R3364,IF(Q3364="(tanpa lawan)","Transfer antar rekening",IFERROR(INDEX(I_COA!$F$6:$F$265,MATCH(Q3364,I_COA!$A$6:$A$265,0)),"?"))))</f>
        <v/>
      </c>
    </row>
    <row r="3365" customFormat="false" ht="15" hidden="false" customHeight="false" outlineLevel="0" collapsed="false">
      <c r="A3365" s="37"/>
      <c r="B3365" s="44"/>
      <c r="C3365" s="44"/>
      <c r="D3365" s="44"/>
      <c r="E3365" s="44"/>
      <c r="F3365" s="44"/>
      <c r="G3365" s="42"/>
      <c r="H3365" s="42"/>
      <c r="I3365" s="44"/>
      <c r="J3365" s="11" t="str">
        <f aca="false">IF(D3365="","",N(G3365)-N(H3365))</f>
        <v/>
      </c>
      <c r="K3365" s="34" t="str">
        <f aca="false">IF(D3365="","",IFERROR(INDEX(I_COA!$C$6:$C$265,MATCH(D3365,I_COA!$A$6:$A$265,0)),"AKUN BARU"))</f>
        <v/>
      </c>
      <c r="L3365" s="34" t="str">
        <f aca="false">IF(K3365="LabaRugi",INDEX(I_COA!$D$6:$D$265,MATCH(D3365,I_COA!$A$6:$A$265,0)),"")</f>
        <v/>
      </c>
      <c r="M3365" s="34" t="str">
        <f aca="false">IF(K3365="Neraca",INDEX(I_COA!$E$6:$E$265,MATCH(D3365,I_COA!$A$6:$A$265,0)),"")</f>
        <v/>
      </c>
      <c r="N3365" s="34" t="str">
        <f aca="false">IF(D3365="","",IFERROR(INDEX(I_COA!$G$6:$G$265,MATCH(D3365,I_COA!$A$6:$A$265,0)),"N"))</f>
        <v/>
      </c>
      <c r="O3365" s="11" t="str">
        <f aca="false">IF(N3365="N",ABS(J3365),"")</f>
        <v/>
      </c>
      <c r="P3365" s="18" t="str">
        <f aca="false">IF(N3365="N",B3365&amp;"|"&amp;ROUND(O3365,0),"")</f>
        <v/>
      </c>
      <c r="Q3365" s="18" t="str">
        <f aca="false">IF(N3365&lt;&gt;"Y","",IFERROR(INDEX($D$6:$D$4005,MATCH(B3365&amp;"|"&amp;ROUND(_xlfn.MAXIFS($O$6:$O$4005,$B$6:$B$4005,B3365,$N$6:$N$4005,"N"),0),$P$6:$P$4005,0)),"(tanpa lawan)"))</f>
        <v/>
      </c>
      <c r="R3365" s="44"/>
      <c r="S3365" s="9" t="str">
        <f aca="false">IF(N3365&lt;&gt;"Y","",IF(R3365&lt;&gt;"",R3365,IF(Q3365="(tanpa lawan)","Transfer antar rekening",IFERROR(INDEX(I_COA!$F$6:$F$265,MATCH(Q3365,I_COA!$A$6:$A$265,0)),"?"))))</f>
        <v/>
      </c>
    </row>
    <row r="3366" customFormat="false" ht="15" hidden="false" customHeight="false" outlineLevel="0" collapsed="false">
      <c r="A3366" s="37"/>
      <c r="B3366" s="44"/>
      <c r="C3366" s="44"/>
      <c r="D3366" s="44"/>
      <c r="E3366" s="44"/>
      <c r="F3366" s="44"/>
      <c r="G3366" s="42"/>
      <c r="H3366" s="42"/>
      <c r="I3366" s="44"/>
      <c r="J3366" s="11" t="str">
        <f aca="false">IF(D3366="","",N(G3366)-N(H3366))</f>
        <v/>
      </c>
      <c r="K3366" s="34" t="str">
        <f aca="false">IF(D3366="","",IFERROR(INDEX(I_COA!$C$6:$C$265,MATCH(D3366,I_COA!$A$6:$A$265,0)),"AKUN BARU"))</f>
        <v/>
      </c>
      <c r="L3366" s="34" t="str">
        <f aca="false">IF(K3366="LabaRugi",INDEX(I_COA!$D$6:$D$265,MATCH(D3366,I_COA!$A$6:$A$265,0)),"")</f>
        <v/>
      </c>
      <c r="M3366" s="34" t="str">
        <f aca="false">IF(K3366="Neraca",INDEX(I_COA!$E$6:$E$265,MATCH(D3366,I_COA!$A$6:$A$265,0)),"")</f>
        <v/>
      </c>
      <c r="N3366" s="34" t="str">
        <f aca="false">IF(D3366="","",IFERROR(INDEX(I_COA!$G$6:$G$265,MATCH(D3366,I_COA!$A$6:$A$265,0)),"N"))</f>
        <v/>
      </c>
      <c r="O3366" s="11" t="str">
        <f aca="false">IF(N3366="N",ABS(J3366),"")</f>
        <v/>
      </c>
      <c r="P3366" s="18" t="str">
        <f aca="false">IF(N3366="N",B3366&amp;"|"&amp;ROUND(O3366,0),"")</f>
        <v/>
      </c>
      <c r="Q3366" s="18" t="str">
        <f aca="false">IF(N3366&lt;&gt;"Y","",IFERROR(INDEX($D$6:$D$4005,MATCH(B3366&amp;"|"&amp;ROUND(_xlfn.MAXIFS($O$6:$O$4005,$B$6:$B$4005,B3366,$N$6:$N$4005,"N"),0),$P$6:$P$4005,0)),"(tanpa lawan)"))</f>
        <v/>
      </c>
      <c r="R3366" s="44"/>
      <c r="S3366" s="9" t="str">
        <f aca="false">IF(N3366&lt;&gt;"Y","",IF(R3366&lt;&gt;"",R3366,IF(Q3366="(tanpa lawan)","Transfer antar rekening",IFERROR(INDEX(I_COA!$F$6:$F$265,MATCH(Q3366,I_COA!$A$6:$A$265,0)),"?"))))</f>
        <v/>
      </c>
    </row>
    <row r="3367" customFormat="false" ht="15" hidden="false" customHeight="false" outlineLevel="0" collapsed="false">
      <c r="A3367" s="37"/>
      <c r="B3367" s="44"/>
      <c r="C3367" s="44"/>
      <c r="D3367" s="44"/>
      <c r="E3367" s="44"/>
      <c r="F3367" s="44"/>
      <c r="G3367" s="42"/>
      <c r="H3367" s="42"/>
      <c r="I3367" s="44"/>
      <c r="J3367" s="11" t="str">
        <f aca="false">IF(D3367="","",N(G3367)-N(H3367))</f>
        <v/>
      </c>
      <c r="K3367" s="34" t="str">
        <f aca="false">IF(D3367="","",IFERROR(INDEX(I_COA!$C$6:$C$265,MATCH(D3367,I_COA!$A$6:$A$265,0)),"AKUN BARU"))</f>
        <v/>
      </c>
      <c r="L3367" s="34" t="str">
        <f aca="false">IF(K3367="LabaRugi",INDEX(I_COA!$D$6:$D$265,MATCH(D3367,I_COA!$A$6:$A$265,0)),"")</f>
        <v/>
      </c>
      <c r="M3367" s="34" t="str">
        <f aca="false">IF(K3367="Neraca",INDEX(I_COA!$E$6:$E$265,MATCH(D3367,I_COA!$A$6:$A$265,0)),"")</f>
        <v/>
      </c>
      <c r="N3367" s="34" t="str">
        <f aca="false">IF(D3367="","",IFERROR(INDEX(I_COA!$G$6:$G$265,MATCH(D3367,I_COA!$A$6:$A$265,0)),"N"))</f>
        <v/>
      </c>
      <c r="O3367" s="11" t="str">
        <f aca="false">IF(N3367="N",ABS(J3367),"")</f>
        <v/>
      </c>
      <c r="P3367" s="18" t="str">
        <f aca="false">IF(N3367="N",B3367&amp;"|"&amp;ROUND(O3367,0),"")</f>
        <v/>
      </c>
      <c r="Q3367" s="18" t="str">
        <f aca="false">IF(N3367&lt;&gt;"Y","",IFERROR(INDEX($D$6:$D$4005,MATCH(B3367&amp;"|"&amp;ROUND(_xlfn.MAXIFS($O$6:$O$4005,$B$6:$B$4005,B3367,$N$6:$N$4005,"N"),0),$P$6:$P$4005,0)),"(tanpa lawan)"))</f>
        <v/>
      </c>
      <c r="R3367" s="44"/>
      <c r="S3367" s="9" t="str">
        <f aca="false">IF(N3367&lt;&gt;"Y","",IF(R3367&lt;&gt;"",R3367,IF(Q3367="(tanpa lawan)","Transfer antar rekening",IFERROR(INDEX(I_COA!$F$6:$F$265,MATCH(Q3367,I_COA!$A$6:$A$265,0)),"?"))))</f>
        <v/>
      </c>
    </row>
    <row r="3368" customFormat="false" ht="15" hidden="false" customHeight="false" outlineLevel="0" collapsed="false">
      <c r="A3368" s="37"/>
      <c r="B3368" s="44"/>
      <c r="C3368" s="44"/>
      <c r="D3368" s="44"/>
      <c r="E3368" s="44"/>
      <c r="F3368" s="44"/>
      <c r="G3368" s="42"/>
      <c r="H3368" s="42"/>
      <c r="I3368" s="44"/>
      <c r="J3368" s="11" t="str">
        <f aca="false">IF(D3368="","",N(G3368)-N(H3368))</f>
        <v/>
      </c>
      <c r="K3368" s="34" t="str">
        <f aca="false">IF(D3368="","",IFERROR(INDEX(I_COA!$C$6:$C$265,MATCH(D3368,I_COA!$A$6:$A$265,0)),"AKUN BARU"))</f>
        <v/>
      </c>
      <c r="L3368" s="34" t="str">
        <f aca="false">IF(K3368="LabaRugi",INDEX(I_COA!$D$6:$D$265,MATCH(D3368,I_COA!$A$6:$A$265,0)),"")</f>
        <v/>
      </c>
      <c r="M3368" s="34" t="str">
        <f aca="false">IF(K3368="Neraca",INDEX(I_COA!$E$6:$E$265,MATCH(D3368,I_COA!$A$6:$A$265,0)),"")</f>
        <v/>
      </c>
      <c r="N3368" s="34" t="str">
        <f aca="false">IF(D3368="","",IFERROR(INDEX(I_COA!$G$6:$G$265,MATCH(D3368,I_COA!$A$6:$A$265,0)),"N"))</f>
        <v/>
      </c>
      <c r="O3368" s="11" t="str">
        <f aca="false">IF(N3368="N",ABS(J3368),"")</f>
        <v/>
      </c>
      <c r="P3368" s="18" t="str">
        <f aca="false">IF(N3368="N",B3368&amp;"|"&amp;ROUND(O3368,0),"")</f>
        <v/>
      </c>
      <c r="Q3368" s="18" t="str">
        <f aca="false">IF(N3368&lt;&gt;"Y","",IFERROR(INDEX($D$6:$D$4005,MATCH(B3368&amp;"|"&amp;ROUND(_xlfn.MAXIFS($O$6:$O$4005,$B$6:$B$4005,B3368,$N$6:$N$4005,"N"),0),$P$6:$P$4005,0)),"(tanpa lawan)"))</f>
        <v/>
      </c>
      <c r="R3368" s="44"/>
      <c r="S3368" s="9" t="str">
        <f aca="false">IF(N3368&lt;&gt;"Y","",IF(R3368&lt;&gt;"",R3368,IF(Q3368="(tanpa lawan)","Transfer antar rekening",IFERROR(INDEX(I_COA!$F$6:$F$265,MATCH(Q3368,I_COA!$A$6:$A$265,0)),"?"))))</f>
        <v/>
      </c>
    </row>
    <row r="3369" customFormat="false" ht="15" hidden="false" customHeight="false" outlineLevel="0" collapsed="false">
      <c r="A3369" s="37"/>
      <c r="B3369" s="44"/>
      <c r="C3369" s="44"/>
      <c r="D3369" s="44"/>
      <c r="E3369" s="44"/>
      <c r="F3369" s="44"/>
      <c r="G3369" s="42"/>
      <c r="H3369" s="42"/>
      <c r="I3369" s="44"/>
      <c r="J3369" s="11" t="str">
        <f aca="false">IF(D3369="","",N(G3369)-N(H3369))</f>
        <v/>
      </c>
      <c r="K3369" s="34" t="str">
        <f aca="false">IF(D3369="","",IFERROR(INDEX(I_COA!$C$6:$C$265,MATCH(D3369,I_COA!$A$6:$A$265,0)),"AKUN BARU"))</f>
        <v/>
      </c>
      <c r="L3369" s="34" t="str">
        <f aca="false">IF(K3369="LabaRugi",INDEX(I_COA!$D$6:$D$265,MATCH(D3369,I_COA!$A$6:$A$265,0)),"")</f>
        <v/>
      </c>
      <c r="M3369" s="34" t="str">
        <f aca="false">IF(K3369="Neraca",INDEX(I_COA!$E$6:$E$265,MATCH(D3369,I_COA!$A$6:$A$265,0)),"")</f>
        <v/>
      </c>
      <c r="N3369" s="34" t="str">
        <f aca="false">IF(D3369="","",IFERROR(INDEX(I_COA!$G$6:$G$265,MATCH(D3369,I_COA!$A$6:$A$265,0)),"N"))</f>
        <v/>
      </c>
      <c r="O3369" s="11" t="str">
        <f aca="false">IF(N3369="N",ABS(J3369),"")</f>
        <v/>
      </c>
      <c r="P3369" s="18" t="str">
        <f aca="false">IF(N3369="N",B3369&amp;"|"&amp;ROUND(O3369,0),"")</f>
        <v/>
      </c>
      <c r="Q3369" s="18" t="str">
        <f aca="false">IF(N3369&lt;&gt;"Y","",IFERROR(INDEX($D$6:$D$4005,MATCH(B3369&amp;"|"&amp;ROUND(_xlfn.MAXIFS($O$6:$O$4005,$B$6:$B$4005,B3369,$N$6:$N$4005,"N"),0),$P$6:$P$4005,0)),"(tanpa lawan)"))</f>
        <v/>
      </c>
      <c r="R3369" s="44"/>
      <c r="S3369" s="9" t="str">
        <f aca="false">IF(N3369&lt;&gt;"Y","",IF(R3369&lt;&gt;"",R3369,IF(Q3369="(tanpa lawan)","Transfer antar rekening",IFERROR(INDEX(I_COA!$F$6:$F$265,MATCH(Q3369,I_COA!$A$6:$A$265,0)),"?"))))</f>
        <v/>
      </c>
    </row>
    <row r="3370" customFormat="false" ht="15" hidden="false" customHeight="false" outlineLevel="0" collapsed="false">
      <c r="A3370" s="37"/>
      <c r="B3370" s="44"/>
      <c r="C3370" s="44"/>
      <c r="D3370" s="44"/>
      <c r="E3370" s="44"/>
      <c r="F3370" s="44"/>
      <c r="G3370" s="42"/>
      <c r="H3370" s="42"/>
      <c r="I3370" s="44"/>
      <c r="J3370" s="11" t="str">
        <f aca="false">IF(D3370="","",N(G3370)-N(H3370))</f>
        <v/>
      </c>
      <c r="K3370" s="34" t="str">
        <f aca="false">IF(D3370="","",IFERROR(INDEX(I_COA!$C$6:$C$265,MATCH(D3370,I_COA!$A$6:$A$265,0)),"AKUN BARU"))</f>
        <v/>
      </c>
      <c r="L3370" s="34" t="str">
        <f aca="false">IF(K3370="LabaRugi",INDEX(I_COA!$D$6:$D$265,MATCH(D3370,I_COA!$A$6:$A$265,0)),"")</f>
        <v/>
      </c>
      <c r="M3370" s="34" t="str">
        <f aca="false">IF(K3370="Neraca",INDEX(I_COA!$E$6:$E$265,MATCH(D3370,I_COA!$A$6:$A$265,0)),"")</f>
        <v/>
      </c>
      <c r="N3370" s="34" t="str">
        <f aca="false">IF(D3370="","",IFERROR(INDEX(I_COA!$G$6:$G$265,MATCH(D3370,I_COA!$A$6:$A$265,0)),"N"))</f>
        <v/>
      </c>
      <c r="O3370" s="11" t="str">
        <f aca="false">IF(N3370="N",ABS(J3370),"")</f>
        <v/>
      </c>
      <c r="P3370" s="18" t="str">
        <f aca="false">IF(N3370="N",B3370&amp;"|"&amp;ROUND(O3370,0),"")</f>
        <v/>
      </c>
      <c r="Q3370" s="18" t="str">
        <f aca="false">IF(N3370&lt;&gt;"Y","",IFERROR(INDEX($D$6:$D$4005,MATCH(B3370&amp;"|"&amp;ROUND(_xlfn.MAXIFS($O$6:$O$4005,$B$6:$B$4005,B3370,$N$6:$N$4005,"N"),0),$P$6:$P$4005,0)),"(tanpa lawan)"))</f>
        <v/>
      </c>
      <c r="R3370" s="44"/>
      <c r="S3370" s="9" t="str">
        <f aca="false">IF(N3370&lt;&gt;"Y","",IF(R3370&lt;&gt;"",R3370,IF(Q3370="(tanpa lawan)","Transfer antar rekening",IFERROR(INDEX(I_COA!$F$6:$F$265,MATCH(Q3370,I_COA!$A$6:$A$265,0)),"?"))))</f>
        <v/>
      </c>
    </row>
    <row r="3371" customFormat="false" ht="15" hidden="false" customHeight="false" outlineLevel="0" collapsed="false">
      <c r="A3371" s="37"/>
      <c r="B3371" s="44"/>
      <c r="C3371" s="44"/>
      <c r="D3371" s="44"/>
      <c r="E3371" s="44"/>
      <c r="F3371" s="44"/>
      <c r="G3371" s="42"/>
      <c r="H3371" s="42"/>
      <c r="I3371" s="44"/>
      <c r="J3371" s="11" t="str">
        <f aca="false">IF(D3371="","",N(G3371)-N(H3371))</f>
        <v/>
      </c>
      <c r="K3371" s="34" t="str">
        <f aca="false">IF(D3371="","",IFERROR(INDEX(I_COA!$C$6:$C$265,MATCH(D3371,I_COA!$A$6:$A$265,0)),"AKUN BARU"))</f>
        <v/>
      </c>
      <c r="L3371" s="34" t="str">
        <f aca="false">IF(K3371="LabaRugi",INDEX(I_COA!$D$6:$D$265,MATCH(D3371,I_COA!$A$6:$A$265,0)),"")</f>
        <v/>
      </c>
      <c r="M3371" s="34" t="str">
        <f aca="false">IF(K3371="Neraca",INDEX(I_COA!$E$6:$E$265,MATCH(D3371,I_COA!$A$6:$A$265,0)),"")</f>
        <v/>
      </c>
      <c r="N3371" s="34" t="str">
        <f aca="false">IF(D3371="","",IFERROR(INDEX(I_COA!$G$6:$G$265,MATCH(D3371,I_COA!$A$6:$A$265,0)),"N"))</f>
        <v/>
      </c>
      <c r="O3371" s="11" t="str">
        <f aca="false">IF(N3371="N",ABS(J3371),"")</f>
        <v/>
      </c>
      <c r="P3371" s="18" t="str">
        <f aca="false">IF(N3371="N",B3371&amp;"|"&amp;ROUND(O3371,0),"")</f>
        <v/>
      </c>
      <c r="Q3371" s="18" t="str">
        <f aca="false">IF(N3371&lt;&gt;"Y","",IFERROR(INDEX($D$6:$D$4005,MATCH(B3371&amp;"|"&amp;ROUND(_xlfn.MAXIFS($O$6:$O$4005,$B$6:$B$4005,B3371,$N$6:$N$4005,"N"),0),$P$6:$P$4005,0)),"(tanpa lawan)"))</f>
        <v/>
      </c>
      <c r="R3371" s="44"/>
      <c r="S3371" s="9" t="str">
        <f aca="false">IF(N3371&lt;&gt;"Y","",IF(R3371&lt;&gt;"",R3371,IF(Q3371="(tanpa lawan)","Transfer antar rekening",IFERROR(INDEX(I_COA!$F$6:$F$265,MATCH(Q3371,I_COA!$A$6:$A$265,0)),"?"))))</f>
        <v/>
      </c>
    </row>
    <row r="3372" customFormat="false" ht="15" hidden="false" customHeight="false" outlineLevel="0" collapsed="false">
      <c r="A3372" s="37"/>
      <c r="B3372" s="44"/>
      <c r="C3372" s="44"/>
      <c r="D3372" s="44"/>
      <c r="E3372" s="44"/>
      <c r="F3372" s="44"/>
      <c r="G3372" s="42"/>
      <c r="H3372" s="42"/>
      <c r="I3372" s="44"/>
      <c r="J3372" s="11" t="str">
        <f aca="false">IF(D3372="","",N(G3372)-N(H3372))</f>
        <v/>
      </c>
      <c r="K3372" s="34" t="str">
        <f aca="false">IF(D3372="","",IFERROR(INDEX(I_COA!$C$6:$C$265,MATCH(D3372,I_COA!$A$6:$A$265,0)),"AKUN BARU"))</f>
        <v/>
      </c>
      <c r="L3372" s="34" t="str">
        <f aca="false">IF(K3372="LabaRugi",INDEX(I_COA!$D$6:$D$265,MATCH(D3372,I_COA!$A$6:$A$265,0)),"")</f>
        <v/>
      </c>
      <c r="M3372" s="34" t="str">
        <f aca="false">IF(K3372="Neraca",INDEX(I_COA!$E$6:$E$265,MATCH(D3372,I_COA!$A$6:$A$265,0)),"")</f>
        <v/>
      </c>
      <c r="N3372" s="34" t="str">
        <f aca="false">IF(D3372="","",IFERROR(INDEX(I_COA!$G$6:$G$265,MATCH(D3372,I_COA!$A$6:$A$265,0)),"N"))</f>
        <v/>
      </c>
      <c r="O3372" s="11" t="str">
        <f aca="false">IF(N3372="N",ABS(J3372),"")</f>
        <v/>
      </c>
      <c r="P3372" s="18" t="str">
        <f aca="false">IF(N3372="N",B3372&amp;"|"&amp;ROUND(O3372,0),"")</f>
        <v/>
      </c>
      <c r="Q3372" s="18" t="str">
        <f aca="false">IF(N3372&lt;&gt;"Y","",IFERROR(INDEX($D$6:$D$4005,MATCH(B3372&amp;"|"&amp;ROUND(_xlfn.MAXIFS($O$6:$O$4005,$B$6:$B$4005,B3372,$N$6:$N$4005,"N"),0),$P$6:$P$4005,0)),"(tanpa lawan)"))</f>
        <v/>
      </c>
      <c r="R3372" s="44"/>
      <c r="S3372" s="9" t="str">
        <f aca="false">IF(N3372&lt;&gt;"Y","",IF(R3372&lt;&gt;"",R3372,IF(Q3372="(tanpa lawan)","Transfer antar rekening",IFERROR(INDEX(I_COA!$F$6:$F$265,MATCH(Q3372,I_COA!$A$6:$A$265,0)),"?"))))</f>
        <v/>
      </c>
    </row>
    <row r="3373" customFormat="false" ht="15" hidden="false" customHeight="false" outlineLevel="0" collapsed="false">
      <c r="A3373" s="37"/>
      <c r="B3373" s="44"/>
      <c r="C3373" s="44"/>
      <c r="D3373" s="44"/>
      <c r="E3373" s="44"/>
      <c r="F3373" s="44"/>
      <c r="G3373" s="42"/>
      <c r="H3373" s="42"/>
      <c r="I3373" s="44"/>
      <c r="J3373" s="11" t="str">
        <f aca="false">IF(D3373="","",N(G3373)-N(H3373))</f>
        <v/>
      </c>
      <c r="K3373" s="34" t="str">
        <f aca="false">IF(D3373="","",IFERROR(INDEX(I_COA!$C$6:$C$265,MATCH(D3373,I_COA!$A$6:$A$265,0)),"AKUN BARU"))</f>
        <v/>
      </c>
      <c r="L3373" s="34" t="str">
        <f aca="false">IF(K3373="LabaRugi",INDEX(I_COA!$D$6:$D$265,MATCH(D3373,I_COA!$A$6:$A$265,0)),"")</f>
        <v/>
      </c>
      <c r="M3373" s="34" t="str">
        <f aca="false">IF(K3373="Neraca",INDEX(I_COA!$E$6:$E$265,MATCH(D3373,I_COA!$A$6:$A$265,0)),"")</f>
        <v/>
      </c>
      <c r="N3373" s="34" t="str">
        <f aca="false">IF(D3373="","",IFERROR(INDEX(I_COA!$G$6:$G$265,MATCH(D3373,I_COA!$A$6:$A$265,0)),"N"))</f>
        <v/>
      </c>
      <c r="O3373" s="11" t="str">
        <f aca="false">IF(N3373="N",ABS(J3373),"")</f>
        <v/>
      </c>
      <c r="P3373" s="18" t="str">
        <f aca="false">IF(N3373="N",B3373&amp;"|"&amp;ROUND(O3373,0),"")</f>
        <v/>
      </c>
      <c r="Q3373" s="18" t="str">
        <f aca="false">IF(N3373&lt;&gt;"Y","",IFERROR(INDEX($D$6:$D$4005,MATCH(B3373&amp;"|"&amp;ROUND(_xlfn.MAXIFS($O$6:$O$4005,$B$6:$B$4005,B3373,$N$6:$N$4005,"N"),0),$P$6:$P$4005,0)),"(tanpa lawan)"))</f>
        <v/>
      </c>
      <c r="R3373" s="44"/>
      <c r="S3373" s="9" t="str">
        <f aca="false">IF(N3373&lt;&gt;"Y","",IF(R3373&lt;&gt;"",R3373,IF(Q3373="(tanpa lawan)","Transfer antar rekening",IFERROR(INDEX(I_COA!$F$6:$F$265,MATCH(Q3373,I_COA!$A$6:$A$265,0)),"?"))))</f>
        <v/>
      </c>
    </row>
    <row r="3374" customFormat="false" ht="15" hidden="false" customHeight="false" outlineLevel="0" collapsed="false">
      <c r="A3374" s="37"/>
      <c r="B3374" s="44"/>
      <c r="C3374" s="44"/>
      <c r="D3374" s="44"/>
      <c r="E3374" s="44"/>
      <c r="F3374" s="44"/>
      <c r="G3374" s="42"/>
      <c r="H3374" s="42"/>
      <c r="I3374" s="44"/>
      <c r="J3374" s="11" t="str">
        <f aca="false">IF(D3374="","",N(G3374)-N(H3374))</f>
        <v/>
      </c>
      <c r="K3374" s="34" t="str">
        <f aca="false">IF(D3374="","",IFERROR(INDEX(I_COA!$C$6:$C$265,MATCH(D3374,I_COA!$A$6:$A$265,0)),"AKUN BARU"))</f>
        <v/>
      </c>
      <c r="L3374" s="34" t="str">
        <f aca="false">IF(K3374="LabaRugi",INDEX(I_COA!$D$6:$D$265,MATCH(D3374,I_COA!$A$6:$A$265,0)),"")</f>
        <v/>
      </c>
      <c r="M3374" s="34" t="str">
        <f aca="false">IF(K3374="Neraca",INDEX(I_COA!$E$6:$E$265,MATCH(D3374,I_COA!$A$6:$A$265,0)),"")</f>
        <v/>
      </c>
      <c r="N3374" s="34" t="str">
        <f aca="false">IF(D3374="","",IFERROR(INDEX(I_COA!$G$6:$G$265,MATCH(D3374,I_COA!$A$6:$A$265,0)),"N"))</f>
        <v/>
      </c>
      <c r="O3374" s="11" t="str">
        <f aca="false">IF(N3374="N",ABS(J3374),"")</f>
        <v/>
      </c>
      <c r="P3374" s="18" t="str">
        <f aca="false">IF(N3374="N",B3374&amp;"|"&amp;ROUND(O3374,0),"")</f>
        <v/>
      </c>
      <c r="Q3374" s="18" t="str">
        <f aca="false">IF(N3374&lt;&gt;"Y","",IFERROR(INDEX($D$6:$D$4005,MATCH(B3374&amp;"|"&amp;ROUND(_xlfn.MAXIFS($O$6:$O$4005,$B$6:$B$4005,B3374,$N$6:$N$4005,"N"),0),$P$6:$P$4005,0)),"(tanpa lawan)"))</f>
        <v/>
      </c>
      <c r="R3374" s="44"/>
      <c r="S3374" s="9" t="str">
        <f aca="false">IF(N3374&lt;&gt;"Y","",IF(R3374&lt;&gt;"",R3374,IF(Q3374="(tanpa lawan)","Transfer antar rekening",IFERROR(INDEX(I_COA!$F$6:$F$265,MATCH(Q3374,I_COA!$A$6:$A$265,0)),"?"))))</f>
        <v/>
      </c>
    </row>
    <row r="3375" customFormat="false" ht="15" hidden="false" customHeight="false" outlineLevel="0" collapsed="false">
      <c r="A3375" s="37"/>
      <c r="B3375" s="44"/>
      <c r="C3375" s="44"/>
      <c r="D3375" s="44"/>
      <c r="E3375" s="44"/>
      <c r="F3375" s="44"/>
      <c r="G3375" s="42"/>
      <c r="H3375" s="42"/>
      <c r="I3375" s="44"/>
      <c r="J3375" s="11" t="str">
        <f aca="false">IF(D3375="","",N(G3375)-N(H3375))</f>
        <v/>
      </c>
      <c r="K3375" s="34" t="str">
        <f aca="false">IF(D3375="","",IFERROR(INDEX(I_COA!$C$6:$C$265,MATCH(D3375,I_COA!$A$6:$A$265,0)),"AKUN BARU"))</f>
        <v/>
      </c>
      <c r="L3375" s="34" t="str">
        <f aca="false">IF(K3375="LabaRugi",INDEX(I_COA!$D$6:$D$265,MATCH(D3375,I_COA!$A$6:$A$265,0)),"")</f>
        <v/>
      </c>
      <c r="M3375" s="34" t="str">
        <f aca="false">IF(K3375="Neraca",INDEX(I_COA!$E$6:$E$265,MATCH(D3375,I_COA!$A$6:$A$265,0)),"")</f>
        <v/>
      </c>
      <c r="N3375" s="34" t="str">
        <f aca="false">IF(D3375="","",IFERROR(INDEX(I_COA!$G$6:$G$265,MATCH(D3375,I_COA!$A$6:$A$265,0)),"N"))</f>
        <v/>
      </c>
      <c r="O3375" s="11" t="str">
        <f aca="false">IF(N3375="N",ABS(J3375),"")</f>
        <v/>
      </c>
      <c r="P3375" s="18" t="str">
        <f aca="false">IF(N3375="N",B3375&amp;"|"&amp;ROUND(O3375,0),"")</f>
        <v/>
      </c>
      <c r="Q3375" s="18" t="str">
        <f aca="false">IF(N3375&lt;&gt;"Y","",IFERROR(INDEX($D$6:$D$4005,MATCH(B3375&amp;"|"&amp;ROUND(_xlfn.MAXIFS($O$6:$O$4005,$B$6:$B$4005,B3375,$N$6:$N$4005,"N"),0),$P$6:$P$4005,0)),"(tanpa lawan)"))</f>
        <v/>
      </c>
      <c r="R3375" s="44"/>
      <c r="S3375" s="9" t="str">
        <f aca="false">IF(N3375&lt;&gt;"Y","",IF(R3375&lt;&gt;"",R3375,IF(Q3375="(tanpa lawan)","Transfer antar rekening",IFERROR(INDEX(I_COA!$F$6:$F$265,MATCH(Q3375,I_COA!$A$6:$A$265,0)),"?"))))</f>
        <v/>
      </c>
    </row>
    <row r="3376" customFormat="false" ht="15" hidden="false" customHeight="false" outlineLevel="0" collapsed="false">
      <c r="A3376" s="37"/>
      <c r="B3376" s="44"/>
      <c r="C3376" s="44"/>
      <c r="D3376" s="44"/>
      <c r="E3376" s="44"/>
      <c r="F3376" s="44"/>
      <c r="G3376" s="42"/>
      <c r="H3376" s="42"/>
      <c r="I3376" s="44"/>
      <c r="J3376" s="11" t="str">
        <f aca="false">IF(D3376="","",N(G3376)-N(H3376))</f>
        <v/>
      </c>
      <c r="K3376" s="34" t="str">
        <f aca="false">IF(D3376="","",IFERROR(INDEX(I_COA!$C$6:$C$265,MATCH(D3376,I_COA!$A$6:$A$265,0)),"AKUN BARU"))</f>
        <v/>
      </c>
      <c r="L3376" s="34" t="str">
        <f aca="false">IF(K3376="LabaRugi",INDEX(I_COA!$D$6:$D$265,MATCH(D3376,I_COA!$A$6:$A$265,0)),"")</f>
        <v/>
      </c>
      <c r="M3376" s="34" t="str">
        <f aca="false">IF(K3376="Neraca",INDEX(I_COA!$E$6:$E$265,MATCH(D3376,I_COA!$A$6:$A$265,0)),"")</f>
        <v/>
      </c>
      <c r="N3376" s="34" t="str">
        <f aca="false">IF(D3376="","",IFERROR(INDEX(I_COA!$G$6:$G$265,MATCH(D3376,I_COA!$A$6:$A$265,0)),"N"))</f>
        <v/>
      </c>
      <c r="O3376" s="11" t="str">
        <f aca="false">IF(N3376="N",ABS(J3376),"")</f>
        <v/>
      </c>
      <c r="P3376" s="18" t="str">
        <f aca="false">IF(N3376="N",B3376&amp;"|"&amp;ROUND(O3376,0),"")</f>
        <v/>
      </c>
      <c r="Q3376" s="18" t="str">
        <f aca="false">IF(N3376&lt;&gt;"Y","",IFERROR(INDEX($D$6:$D$4005,MATCH(B3376&amp;"|"&amp;ROUND(_xlfn.MAXIFS($O$6:$O$4005,$B$6:$B$4005,B3376,$N$6:$N$4005,"N"),0),$P$6:$P$4005,0)),"(tanpa lawan)"))</f>
        <v/>
      </c>
      <c r="R3376" s="44"/>
      <c r="S3376" s="9" t="str">
        <f aca="false">IF(N3376&lt;&gt;"Y","",IF(R3376&lt;&gt;"",R3376,IF(Q3376="(tanpa lawan)","Transfer antar rekening",IFERROR(INDEX(I_COA!$F$6:$F$265,MATCH(Q3376,I_COA!$A$6:$A$265,0)),"?"))))</f>
        <v/>
      </c>
    </row>
    <row r="3377" customFormat="false" ht="15" hidden="false" customHeight="false" outlineLevel="0" collapsed="false">
      <c r="A3377" s="37"/>
      <c r="B3377" s="44"/>
      <c r="C3377" s="44"/>
      <c r="D3377" s="44"/>
      <c r="E3377" s="44"/>
      <c r="F3377" s="44"/>
      <c r="G3377" s="42"/>
      <c r="H3377" s="42"/>
      <c r="I3377" s="44"/>
      <c r="J3377" s="11" t="str">
        <f aca="false">IF(D3377="","",N(G3377)-N(H3377))</f>
        <v/>
      </c>
      <c r="K3377" s="34" t="str">
        <f aca="false">IF(D3377="","",IFERROR(INDEX(I_COA!$C$6:$C$265,MATCH(D3377,I_COA!$A$6:$A$265,0)),"AKUN BARU"))</f>
        <v/>
      </c>
      <c r="L3377" s="34" t="str">
        <f aca="false">IF(K3377="LabaRugi",INDEX(I_COA!$D$6:$D$265,MATCH(D3377,I_COA!$A$6:$A$265,0)),"")</f>
        <v/>
      </c>
      <c r="M3377" s="34" t="str">
        <f aca="false">IF(K3377="Neraca",INDEX(I_COA!$E$6:$E$265,MATCH(D3377,I_COA!$A$6:$A$265,0)),"")</f>
        <v/>
      </c>
      <c r="N3377" s="34" t="str">
        <f aca="false">IF(D3377="","",IFERROR(INDEX(I_COA!$G$6:$G$265,MATCH(D3377,I_COA!$A$6:$A$265,0)),"N"))</f>
        <v/>
      </c>
      <c r="O3377" s="11" t="str">
        <f aca="false">IF(N3377="N",ABS(J3377),"")</f>
        <v/>
      </c>
      <c r="P3377" s="18" t="str">
        <f aca="false">IF(N3377="N",B3377&amp;"|"&amp;ROUND(O3377,0),"")</f>
        <v/>
      </c>
      <c r="Q3377" s="18" t="str">
        <f aca="false">IF(N3377&lt;&gt;"Y","",IFERROR(INDEX($D$6:$D$4005,MATCH(B3377&amp;"|"&amp;ROUND(_xlfn.MAXIFS($O$6:$O$4005,$B$6:$B$4005,B3377,$N$6:$N$4005,"N"),0),$P$6:$P$4005,0)),"(tanpa lawan)"))</f>
        <v/>
      </c>
      <c r="R3377" s="44"/>
      <c r="S3377" s="9" t="str">
        <f aca="false">IF(N3377&lt;&gt;"Y","",IF(R3377&lt;&gt;"",R3377,IF(Q3377="(tanpa lawan)","Transfer antar rekening",IFERROR(INDEX(I_COA!$F$6:$F$265,MATCH(Q3377,I_COA!$A$6:$A$265,0)),"?"))))</f>
        <v/>
      </c>
    </row>
    <row r="3378" customFormat="false" ht="15" hidden="false" customHeight="false" outlineLevel="0" collapsed="false">
      <c r="A3378" s="37"/>
      <c r="B3378" s="44"/>
      <c r="C3378" s="44"/>
      <c r="D3378" s="44"/>
      <c r="E3378" s="44"/>
      <c r="F3378" s="44"/>
      <c r="G3378" s="42"/>
      <c r="H3378" s="42"/>
      <c r="I3378" s="44"/>
      <c r="J3378" s="11" t="str">
        <f aca="false">IF(D3378="","",N(G3378)-N(H3378))</f>
        <v/>
      </c>
      <c r="K3378" s="34" t="str">
        <f aca="false">IF(D3378="","",IFERROR(INDEX(I_COA!$C$6:$C$265,MATCH(D3378,I_COA!$A$6:$A$265,0)),"AKUN BARU"))</f>
        <v/>
      </c>
      <c r="L3378" s="34" t="str">
        <f aca="false">IF(K3378="LabaRugi",INDEX(I_COA!$D$6:$D$265,MATCH(D3378,I_COA!$A$6:$A$265,0)),"")</f>
        <v/>
      </c>
      <c r="M3378" s="34" t="str">
        <f aca="false">IF(K3378="Neraca",INDEX(I_COA!$E$6:$E$265,MATCH(D3378,I_COA!$A$6:$A$265,0)),"")</f>
        <v/>
      </c>
      <c r="N3378" s="34" t="str">
        <f aca="false">IF(D3378="","",IFERROR(INDEX(I_COA!$G$6:$G$265,MATCH(D3378,I_COA!$A$6:$A$265,0)),"N"))</f>
        <v/>
      </c>
      <c r="O3378" s="11" t="str">
        <f aca="false">IF(N3378="N",ABS(J3378),"")</f>
        <v/>
      </c>
      <c r="P3378" s="18" t="str">
        <f aca="false">IF(N3378="N",B3378&amp;"|"&amp;ROUND(O3378,0),"")</f>
        <v/>
      </c>
      <c r="Q3378" s="18" t="str">
        <f aca="false">IF(N3378&lt;&gt;"Y","",IFERROR(INDEX($D$6:$D$4005,MATCH(B3378&amp;"|"&amp;ROUND(_xlfn.MAXIFS($O$6:$O$4005,$B$6:$B$4005,B3378,$N$6:$N$4005,"N"),0),$P$6:$P$4005,0)),"(tanpa lawan)"))</f>
        <v/>
      </c>
      <c r="R3378" s="44"/>
      <c r="S3378" s="9" t="str">
        <f aca="false">IF(N3378&lt;&gt;"Y","",IF(R3378&lt;&gt;"",R3378,IF(Q3378="(tanpa lawan)","Transfer antar rekening",IFERROR(INDEX(I_COA!$F$6:$F$265,MATCH(Q3378,I_COA!$A$6:$A$265,0)),"?"))))</f>
        <v/>
      </c>
    </row>
    <row r="3379" customFormat="false" ht="15" hidden="false" customHeight="false" outlineLevel="0" collapsed="false">
      <c r="A3379" s="37"/>
      <c r="B3379" s="44"/>
      <c r="C3379" s="44"/>
      <c r="D3379" s="44"/>
      <c r="E3379" s="44"/>
      <c r="F3379" s="44"/>
      <c r="G3379" s="42"/>
      <c r="H3379" s="42"/>
      <c r="I3379" s="44"/>
      <c r="J3379" s="11" t="str">
        <f aca="false">IF(D3379="","",N(G3379)-N(H3379))</f>
        <v/>
      </c>
      <c r="K3379" s="34" t="str">
        <f aca="false">IF(D3379="","",IFERROR(INDEX(I_COA!$C$6:$C$265,MATCH(D3379,I_COA!$A$6:$A$265,0)),"AKUN BARU"))</f>
        <v/>
      </c>
      <c r="L3379" s="34" t="str">
        <f aca="false">IF(K3379="LabaRugi",INDEX(I_COA!$D$6:$D$265,MATCH(D3379,I_COA!$A$6:$A$265,0)),"")</f>
        <v/>
      </c>
      <c r="M3379" s="34" t="str">
        <f aca="false">IF(K3379="Neraca",INDEX(I_COA!$E$6:$E$265,MATCH(D3379,I_COA!$A$6:$A$265,0)),"")</f>
        <v/>
      </c>
      <c r="N3379" s="34" t="str">
        <f aca="false">IF(D3379="","",IFERROR(INDEX(I_COA!$G$6:$G$265,MATCH(D3379,I_COA!$A$6:$A$265,0)),"N"))</f>
        <v/>
      </c>
      <c r="O3379" s="11" t="str">
        <f aca="false">IF(N3379="N",ABS(J3379),"")</f>
        <v/>
      </c>
      <c r="P3379" s="18" t="str">
        <f aca="false">IF(N3379="N",B3379&amp;"|"&amp;ROUND(O3379,0),"")</f>
        <v/>
      </c>
      <c r="Q3379" s="18" t="str">
        <f aca="false">IF(N3379&lt;&gt;"Y","",IFERROR(INDEX($D$6:$D$4005,MATCH(B3379&amp;"|"&amp;ROUND(_xlfn.MAXIFS($O$6:$O$4005,$B$6:$B$4005,B3379,$N$6:$N$4005,"N"),0),$P$6:$P$4005,0)),"(tanpa lawan)"))</f>
        <v/>
      </c>
      <c r="R3379" s="44"/>
      <c r="S3379" s="9" t="str">
        <f aca="false">IF(N3379&lt;&gt;"Y","",IF(R3379&lt;&gt;"",R3379,IF(Q3379="(tanpa lawan)","Transfer antar rekening",IFERROR(INDEX(I_COA!$F$6:$F$265,MATCH(Q3379,I_COA!$A$6:$A$265,0)),"?"))))</f>
        <v/>
      </c>
    </row>
    <row r="3380" customFormat="false" ht="15" hidden="false" customHeight="false" outlineLevel="0" collapsed="false">
      <c r="A3380" s="37"/>
      <c r="B3380" s="44"/>
      <c r="C3380" s="44"/>
      <c r="D3380" s="44"/>
      <c r="E3380" s="44"/>
      <c r="F3380" s="44"/>
      <c r="G3380" s="42"/>
      <c r="H3380" s="42"/>
      <c r="I3380" s="44"/>
      <c r="J3380" s="11" t="str">
        <f aca="false">IF(D3380="","",N(G3380)-N(H3380))</f>
        <v/>
      </c>
      <c r="K3380" s="34" t="str">
        <f aca="false">IF(D3380="","",IFERROR(INDEX(I_COA!$C$6:$C$265,MATCH(D3380,I_COA!$A$6:$A$265,0)),"AKUN BARU"))</f>
        <v/>
      </c>
      <c r="L3380" s="34" t="str">
        <f aca="false">IF(K3380="LabaRugi",INDEX(I_COA!$D$6:$D$265,MATCH(D3380,I_COA!$A$6:$A$265,0)),"")</f>
        <v/>
      </c>
      <c r="M3380" s="34" t="str">
        <f aca="false">IF(K3380="Neraca",INDEX(I_COA!$E$6:$E$265,MATCH(D3380,I_COA!$A$6:$A$265,0)),"")</f>
        <v/>
      </c>
      <c r="N3380" s="34" t="str">
        <f aca="false">IF(D3380="","",IFERROR(INDEX(I_COA!$G$6:$G$265,MATCH(D3380,I_COA!$A$6:$A$265,0)),"N"))</f>
        <v/>
      </c>
      <c r="O3380" s="11" t="str">
        <f aca="false">IF(N3380="N",ABS(J3380),"")</f>
        <v/>
      </c>
      <c r="P3380" s="18" t="str">
        <f aca="false">IF(N3380="N",B3380&amp;"|"&amp;ROUND(O3380,0),"")</f>
        <v/>
      </c>
      <c r="Q3380" s="18" t="str">
        <f aca="false">IF(N3380&lt;&gt;"Y","",IFERROR(INDEX($D$6:$D$4005,MATCH(B3380&amp;"|"&amp;ROUND(_xlfn.MAXIFS($O$6:$O$4005,$B$6:$B$4005,B3380,$N$6:$N$4005,"N"),0),$P$6:$P$4005,0)),"(tanpa lawan)"))</f>
        <v/>
      </c>
      <c r="R3380" s="44"/>
      <c r="S3380" s="9" t="str">
        <f aca="false">IF(N3380&lt;&gt;"Y","",IF(R3380&lt;&gt;"",R3380,IF(Q3380="(tanpa lawan)","Transfer antar rekening",IFERROR(INDEX(I_COA!$F$6:$F$265,MATCH(Q3380,I_COA!$A$6:$A$265,0)),"?"))))</f>
        <v/>
      </c>
    </row>
    <row r="3381" customFormat="false" ht="15" hidden="false" customHeight="false" outlineLevel="0" collapsed="false">
      <c r="A3381" s="37"/>
      <c r="B3381" s="44"/>
      <c r="C3381" s="44"/>
      <c r="D3381" s="44"/>
      <c r="E3381" s="44"/>
      <c r="F3381" s="44"/>
      <c r="G3381" s="42"/>
      <c r="H3381" s="42"/>
      <c r="I3381" s="44"/>
      <c r="J3381" s="11" t="str">
        <f aca="false">IF(D3381="","",N(G3381)-N(H3381))</f>
        <v/>
      </c>
      <c r="K3381" s="34" t="str">
        <f aca="false">IF(D3381="","",IFERROR(INDEX(I_COA!$C$6:$C$265,MATCH(D3381,I_COA!$A$6:$A$265,0)),"AKUN BARU"))</f>
        <v/>
      </c>
      <c r="L3381" s="34" t="str">
        <f aca="false">IF(K3381="LabaRugi",INDEX(I_COA!$D$6:$D$265,MATCH(D3381,I_COA!$A$6:$A$265,0)),"")</f>
        <v/>
      </c>
      <c r="M3381" s="34" t="str">
        <f aca="false">IF(K3381="Neraca",INDEX(I_COA!$E$6:$E$265,MATCH(D3381,I_COA!$A$6:$A$265,0)),"")</f>
        <v/>
      </c>
      <c r="N3381" s="34" t="str">
        <f aca="false">IF(D3381="","",IFERROR(INDEX(I_COA!$G$6:$G$265,MATCH(D3381,I_COA!$A$6:$A$265,0)),"N"))</f>
        <v/>
      </c>
      <c r="O3381" s="11" t="str">
        <f aca="false">IF(N3381="N",ABS(J3381),"")</f>
        <v/>
      </c>
      <c r="P3381" s="18" t="str">
        <f aca="false">IF(N3381="N",B3381&amp;"|"&amp;ROUND(O3381,0),"")</f>
        <v/>
      </c>
      <c r="Q3381" s="18" t="str">
        <f aca="false">IF(N3381&lt;&gt;"Y","",IFERROR(INDEX($D$6:$D$4005,MATCH(B3381&amp;"|"&amp;ROUND(_xlfn.MAXIFS($O$6:$O$4005,$B$6:$B$4005,B3381,$N$6:$N$4005,"N"),0),$P$6:$P$4005,0)),"(tanpa lawan)"))</f>
        <v/>
      </c>
      <c r="R3381" s="44"/>
      <c r="S3381" s="9" t="str">
        <f aca="false">IF(N3381&lt;&gt;"Y","",IF(R3381&lt;&gt;"",R3381,IF(Q3381="(tanpa lawan)","Transfer antar rekening",IFERROR(INDEX(I_COA!$F$6:$F$265,MATCH(Q3381,I_COA!$A$6:$A$265,0)),"?"))))</f>
        <v/>
      </c>
    </row>
    <row r="3382" customFormat="false" ht="15" hidden="false" customHeight="false" outlineLevel="0" collapsed="false">
      <c r="A3382" s="37"/>
      <c r="B3382" s="44"/>
      <c r="C3382" s="44"/>
      <c r="D3382" s="44"/>
      <c r="E3382" s="44"/>
      <c r="F3382" s="44"/>
      <c r="G3382" s="42"/>
      <c r="H3382" s="42"/>
      <c r="I3382" s="44"/>
      <c r="J3382" s="11" t="str">
        <f aca="false">IF(D3382="","",N(G3382)-N(H3382))</f>
        <v/>
      </c>
      <c r="K3382" s="34" t="str">
        <f aca="false">IF(D3382="","",IFERROR(INDEX(I_COA!$C$6:$C$265,MATCH(D3382,I_COA!$A$6:$A$265,0)),"AKUN BARU"))</f>
        <v/>
      </c>
      <c r="L3382" s="34" t="str">
        <f aca="false">IF(K3382="LabaRugi",INDEX(I_COA!$D$6:$D$265,MATCH(D3382,I_COA!$A$6:$A$265,0)),"")</f>
        <v/>
      </c>
      <c r="M3382" s="34" t="str">
        <f aca="false">IF(K3382="Neraca",INDEX(I_COA!$E$6:$E$265,MATCH(D3382,I_COA!$A$6:$A$265,0)),"")</f>
        <v/>
      </c>
      <c r="N3382" s="34" t="str">
        <f aca="false">IF(D3382="","",IFERROR(INDEX(I_COA!$G$6:$G$265,MATCH(D3382,I_COA!$A$6:$A$265,0)),"N"))</f>
        <v/>
      </c>
      <c r="O3382" s="11" t="str">
        <f aca="false">IF(N3382="N",ABS(J3382),"")</f>
        <v/>
      </c>
      <c r="P3382" s="18" t="str">
        <f aca="false">IF(N3382="N",B3382&amp;"|"&amp;ROUND(O3382,0),"")</f>
        <v/>
      </c>
      <c r="Q3382" s="18" t="str">
        <f aca="false">IF(N3382&lt;&gt;"Y","",IFERROR(INDEX($D$6:$D$4005,MATCH(B3382&amp;"|"&amp;ROUND(_xlfn.MAXIFS($O$6:$O$4005,$B$6:$B$4005,B3382,$N$6:$N$4005,"N"),0),$P$6:$P$4005,0)),"(tanpa lawan)"))</f>
        <v/>
      </c>
      <c r="R3382" s="44"/>
      <c r="S3382" s="9" t="str">
        <f aca="false">IF(N3382&lt;&gt;"Y","",IF(R3382&lt;&gt;"",R3382,IF(Q3382="(tanpa lawan)","Transfer antar rekening",IFERROR(INDEX(I_COA!$F$6:$F$265,MATCH(Q3382,I_COA!$A$6:$A$265,0)),"?"))))</f>
        <v/>
      </c>
    </row>
    <row r="3383" customFormat="false" ht="15" hidden="false" customHeight="false" outlineLevel="0" collapsed="false">
      <c r="A3383" s="37"/>
      <c r="B3383" s="44"/>
      <c r="C3383" s="44"/>
      <c r="D3383" s="44"/>
      <c r="E3383" s="44"/>
      <c r="F3383" s="44"/>
      <c r="G3383" s="42"/>
      <c r="H3383" s="42"/>
      <c r="I3383" s="44"/>
      <c r="J3383" s="11" t="str">
        <f aca="false">IF(D3383="","",N(G3383)-N(H3383))</f>
        <v/>
      </c>
      <c r="K3383" s="34" t="str">
        <f aca="false">IF(D3383="","",IFERROR(INDEX(I_COA!$C$6:$C$265,MATCH(D3383,I_COA!$A$6:$A$265,0)),"AKUN BARU"))</f>
        <v/>
      </c>
      <c r="L3383" s="34" t="str">
        <f aca="false">IF(K3383="LabaRugi",INDEX(I_COA!$D$6:$D$265,MATCH(D3383,I_COA!$A$6:$A$265,0)),"")</f>
        <v/>
      </c>
      <c r="M3383" s="34" t="str">
        <f aca="false">IF(K3383="Neraca",INDEX(I_COA!$E$6:$E$265,MATCH(D3383,I_COA!$A$6:$A$265,0)),"")</f>
        <v/>
      </c>
      <c r="N3383" s="34" t="str">
        <f aca="false">IF(D3383="","",IFERROR(INDEX(I_COA!$G$6:$G$265,MATCH(D3383,I_COA!$A$6:$A$265,0)),"N"))</f>
        <v/>
      </c>
      <c r="O3383" s="11" t="str">
        <f aca="false">IF(N3383="N",ABS(J3383),"")</f>
        <v/>
      </c>
      <c r="P3383" s="18" t="str">
        <f aca="false">IF(N3383="N",B3383&amp;"|"&amp;ROUND(O3383,0),"")</f>
        <v/>
      </c>
      <c r="Q3383" s="18" t="str">
        <f aca="false">IF(N3383&lt;&gt;"Y","",IFERROR(INDEX($D$6:$D$4005,MATCH(B3383&amp;"|"&amp;ROUND(_xlfn.MAXIFS($O$6:$O$4005,$B$6:$B$4005,B3383,$N$6:$N$4005,"N"),0),$P$6:$P$4005,0)),"(tanpa lawan)"))</f>
        <v/>
      </c>
      <c r="R3383" s="44"/>
      <c r="S3383" s="9" t="str">
        <f aca="false">IF(N3383&lt;&gt;"Y","",IF(R3383&lt;&gt;"",R3383,IF(Q3383="(tanpa lawan)","Transfer antar rekening",IFERROR(INDEX(I_COA!$F$6:$F$265,MATCH(Q3383,I_COA!$A$6:$A$265,0)),"?"))))</f>
        <v/>
      </c>
    </row>
    <row r="3384" customFormat="false" ht="15" hidden="false" customHeight="false" outlineLevel="0" collapsed="false">
      <c r="A3384" s="37"/>
      <c r="B3384" s="44"/>
      <c r="C3384" s="44"/>
      <c r="D3384" s="44"/>
      <c r="E3384" s="44"/>
      <c r="F3384" s="44"/>
      <c r="G3384" s="42"/>
      <c r="H3384" s="42"/>
      <c r="I3384" s="44"/>
      <c r="J3384" s="11" t="str">
        <f aca="false">IF(D3384="","",N(G3384)-N(H3384))</f>
        <v/>
      </c>
      <c r="K3384" s="34" t="str">
        <f aca="false">IF(D3384="","",IFERROR(INDEX(I_COA!$C$6:$C$265,MATCH(D3384,I_COA!$A$6:$A$265,0)),"AKUN BARU"))</f>
        <v/>
      </c>
      <c r="L3384" s="34" t="str">
        <f aca="false">IF(K3384="LabaRugi",INDEX(I_COA!$D$6:$D$265,MATCH(D3384,I_COA!$A$6:$A$265,0)),"")</f>
        <v/>
      </c>
      <c r="M3384" s="34" t="str">
        <f aca="false">IF(K3384="Neraca",INDEX(I_COA!$E$6:$E$265,MATCH(D3384,I_COA!$A$6:$A$265,0)),"")</f>
        <v/>
      </c>
      <c r="N3384" s="34" t="str">
        <f aca="false">IF(D3384="","",IFERROR(INDEX(I_COA!$G$6:$G$265,MATCH(D3384,I_COA!$A$6:$A$265,0)),"N"))</f>
        <v/>
      </c>
      <c r="O3384" s="11" t="str">
        <f aca="false">IF(N3384="N",ABS(J3384),"")</f>
        <v/>
      </c>
      <c r="P3384" s="18" t="str">
        <f aca="false">IF(N3384="N",B3384&amp;"|"&amp;ROUND(O3384,0),"")</f>
        <v/>
      </c>
      <c r="Q3384" s="18" t="str">
        <f aca="false">IF(N3384&lt;&gt;"Y","",IFERROR(INDEX($D$6:$D$4005,MATCH(B3384&amp;"|"&amp;ROUND(_xlfn.MAXIFS($O$6:$O$4005,$B$6:$B$4005,B3384,$N$6:$N$4005,"N"),0),$P$6:$P$4005,0)),"(tanpa lawan)"))</f>
        <v/>
      </c>
      <c r="R3384" s="44"/>
      <c r="S3384" s="9" t="str">
        <f aca="false">IF(N3384&lt;&gt;"Y","",IF(R3384&lt;&gt;"",R3384,IF(Q3384="(tanpa lawan)","Transfer antar rekening",IFERROR(INDEX(I_COA!$F$6:$F$265,MATCH(Q3384,I_COA!$A$6:$A$265,0)),"?"))))</f>
        <v/>
      </c>
    </row>
    <row r="3385" customFormat="false" ht="15" hidden="false" customHeight="false" outlineLevel="0" collapsed="false">
      <c r="A3385" s="37"/>
      <c r="B3385" s="44"/>
      <c r="C3385" s="44"/>
      <c r="D3385" s="44"/>
      <c r="E3385" s="44"/>
      <c r="F3385" s="44"/>
      <c r="G3385" s="42"/>
      <c r="H3385" s="42"/>
      <c r="I3385" s="44"/>
      <c r="J3385" s="11" t="str">
        <f aca="false">IF(D3385="","",N(G3385)-N(H3385))</f>
        <v/>
      </c>
      <c r="K3385" s="34" t="str">
        <f aca="false">IF(D3385="","",IFERROR(INDEX(I_COA!$C$6:$C$265,MATCH(D3385,I_COA!$A$6:$A$265,0)),"AKUN BARU"))</f>
        <v/>
      </c>
      <c r="L3385" s="34" t="str">
        <f aca="false">IF(K3385="LabaRugi",INDEX(I_COA!$D$6:$D$265,MATCH(D3385,I_COA!$A$6:$A$265,0)),"")</f>
        <v/>
      </c>
      <c r="M3385" s="34" t="str">
        <f aca="false">IF(K3385="Neraca",INDEX(I_COA!$E$6:$E$265,MATCH(D3385,I_COA!$A$6:$A$265,0)),"")</f>
        <v/>
      </c>
      <c r="N3385" s="34" t="str">
        <f aca="false">IF(D3385="","",IFERROR(INDEX(I_COA!$G$6:$G$265,MATCH(D3385,I_COA!$A$6:$A$265,0)),"N"))</f>
        <v/>
      </c>
      <c r="O3385" s="11" t="str">
        <f aca="false">IF(N3385="N",ABS(J3385),"")</f>
        <v/>
      </c>
      <c r="P3385" s="18" t="str">
        <f aca="false">IF(N3385="N",B3385&amp;"|"&amp;ROUND(O3385,0),"")</f>
        <v/>
      </c>
      <c r="Q3385" s="18" t="str">
        <f aca="false">IF(N3385&lt;&gt;"Y","",IFERROR(INDEX($D$6:$D$4005,MATCH(B3385&amp;"|"&amp;ROUND(_xlfn.MAXIFS($O$6:$O$4005,$B$6:$B$4005,B3385,$N$6:$N$4005,"N"),0),$P$6:$P$4005,0)),"(tanpa lawan)"))</f>
        <v/>
      </c>
      <c r="R3385" s="44"/>
      <c r="S3385" s="9" t="str">
        <f aca="false">IF(N3385&lt;&gt;"Y","",IF(R3385&lt;&gt;"",R3385,IF(Q3385="(tanpa lawan)","Transfer antar rekening",IFERROR(INDEX(I_COA!$F$6:$F$265,MATCH(Q3385,I_COA!$A$6:$A$265,0)),"?"))))</f>
        <v/>
      </c>
    </row>
    <row r="3386" customFormat="false" ht="15" hidden="false" customHeight="false" outlineLevel="0" collapsed="false">
      <c r="A3386" s="37"/>
      <c r="B3386" s="44"/>
      <c r="C3386" s="44"/>
      <c r="D3386" s="44"/>
      <c r="E3386" s="44"/>
      <c r="F3386" s="44"/>
      <c r="G3386" s="42"/>
      <c r="H3386" s="42"/>
      <c r="I3386" s="44"/>
      <c r="J3386" s="11" t="str">
        <f aca="false">IF(D3386="","",N(G3386)-N(H3386))</f>
        <v/>
      </c>
      <c r="K3386" s="34" t="str">
        <f aca="false">IF(D3386="","",IFERROR(INDEX(I_COA!$C$6:$C$265,MATCH(D3386,I_COA!$A$6:$A$265,0)),"AKUN BARU"))</f>
        <v/>
      </c>
      <c r="L3386" s="34" t="str">
        <f aca="false">IF(K3386="LabaRugi",INDEX(I_COA!$D$6:$D$265,MATCH(D3386,I_COA!$A$6:$A$265,0)),"")</f>
        <v/>
      </c>
      <c r="M3386" s="34" t="str">
        <f aca="false">IF(K3386="Neraca",INDEX(I_COA!$E$6:$E$265,MATCH(D3386,I_COA!$A$6:$A$265,0)),"")</f>
        <v/>
      </c>
      <c r="N3386" s="34" t="str">
        <f aca="false">IF(D3386="","",IFERROR(INDEX(I_COA!$G$6:$G$265,MATCH(D3386,I_COA!$A$6:$A$265,0)),"N"))</f>
        <v/>
      </c>
      <c r="O3386" s="11" t="str">
        <f aca="false">IF(N3386="N",ABS(J3386),"")</f>
        <v/>
      </c>
      <c r="P3386" s="18" t="str">
        <f aca="false">IF(N3386="N",B3386&amp;"|"&amp;ROUND(O3386,0),"")</f>
        <v/>
      </c>
      <c r="Q3386" s="18" t="str">
        <f aca="false">IF(N3386&lt;&gt;"Y","",IFERROR(INDEX($D$6:$D$4005,MATCH(B3386&amp;"|"&amp;ROUND(_xlfn.MAXIFS($O$6:$O$4005,$B$6:$B$4005,B3386,$N$6:$N$4005,"N"),0),$P$6:$P$4005,0)),"(tanpa lawan)"))</f>
        <v/>
      </c>
      <c r="R3386" s="44"/>
      <c r="S3386" s="9" t="str">
        <f aca="false">IF(N3386&lt;&gt;"Y","",IF(R3386&lt;&gt;"",R3386,IF(Q3386="(tanpa lawan)","Transfer antar rekening",IFERROR(INDEX(I_COA!$F$6:$F$265,MATCH(Q3386,I_COA!$A$6:$A$265,0)),"?"))))</f>
        <v/>
      </c>
    </row>
    <row r="3387" customFormat="false" ht="15" hidden="false" customHeight="false" outlineLevel="0" collapsed="false">
      <c r="A3387" s="37"/>
      <c r="B3387" s="44"/>
      <c r="C3387" s="44"/>
      <c r="D3387" s="44"/>
      <c r="E3387" s="44"/>
      <c r="F3387" s="44"/>
      <c r="G3387" s="42"/>
      <c r="H3387" s="42"/>
      <c r="I3387" s="44"/>
      <c r="J3387" s="11" t="str">
        <f aca="false">IF(D3387="","",N(G3387)-N(H3387))</f>
        <v/>
      </c>
      <c r="K3387" s="34" t="str">
        <f aca="false">IF(D3387="","",IFERROR(INDEX(I_COA!$C$6:$C$265,MATCH(D3387,I_COA!$A$6:$A$265,0)),"AKUN BARU"))</f>
        <v/>
      </c>
      <c r="L3387" s="34" t="str">
        <f aca="false">IF(K3387="LabaRugi",INDEX(I_COA!$D$6:$D$265,MATCH(D3387,I_COA!$A$6:$A$265,0)),"")</f>
        <v/>
      </c>
      <c r="M3387" s="34" t="str">
        <f aca="false">IF(K3387="Neraca",INDEX(I_COA!$E$6:$E$265,MATCH(D3387,I_COA!$A$6:$A$265,0)),"")</f>
        <v/>
      </c>
      <c r="N3387" s="34" t="str">
        <f aca="false">IF(D3387="","",IFERROR(INDEX(I_COA!$G$6:$G$265,MATCH(D3387,I_COA!$A$6:$A$265,0)),"N"))</f>
        <v/>
      </c>
      <c r="O3387" s="11" t="str">
        <f aca="false">IF(N3387="N",ABS(J3387),"")</f>
        <v/>
      </c>
      <c r="P3387" s="18" t="str">
        <f aca="false">IF(N3387="N",B3387&amp;"|"&amp;ROUND(O3387,0),"")</f>
        <v/>
      </c>
      <c r="Q3387" s="18" t="str">
        <f aca="false">IF(N3387&lt;&gt;"Y","",IFERROR(INDEX($D$6:$D$4005,MATCH(B3387&amp;"|"&amp;ROUND(_xlfn.MAXIFS($O$6:$O$4005,$B$6:$B$4005,B3387,$N$6:$N$4005,"N"),0),$P$6:$P$4005,0)),"(tanpa lawan)"))</f>
        <v/>
      </c>
      <c r="R3387" s="44"/>
      <c r="S3387" s="9" t="str">
        <f aca="false">IF(N3387&lt;&gt;"Y","",IF(R3387&lt;&gt;"",R3387,IF(Q3387="(tanpa lawan)","Transfer antar rekening",IFERROR(INDEX(I_COA!$F$6:$F$265,MATCH(Q3387,I_COA!$A$6:$A$265,0)),"?"))))</f>
        <v/>
      </c>
    </row>
    <row r="3388" customFormat="false" ht="15" hidden="false" customHeight="false" outlineLevel="0" collapsed="false">
      <c r="A3388" s="37"/>
      <c r="B3388" s="44"/>
      <c r="C3388" s="44"/>
      <c r="D3388" s="44"/>
      <c r="E3388" s="44"/>
      <c r="F3388" s="44"/>
      <c r="G3388" s="42"/>
      <c r="H3388" s="42"/>
      <c r="I3388" s="44"/>
      <c r="J3388" s="11" t="str">
        <f aca="false">IF(D3388="","",N(G3388)-N(H3388))</f>
        <v/>
      </c>
      <c r="K3388" s="34" t="str">
        <f aca="false">IF(D3388="","",IFERROR(INDEX(I_COA!$C$6:$C$265,MATCH(D3388,I_COA!$A$6:$A$265,0)),"AKUN BARU"))</f>
        <v/>
      </c>
      <c r="L3388" s="34" t="str">
        <f aca="false">IF(K3388="LabaRugi",INDEX(I_COA!$D$6:$D$265,MATCH(D3388,I_COA!$A$6:$A$265,0)),"")</f>
        <v/>
      </c>
      <c r="M3388" s="34" t="str">
        <f aca="false">IF(K3388="Neraca",INDEX(I_COA!$E$6:$E$265,MATCH(D3388,I_COA!$A$6:$A$265,0)),"")</f>
        <v/>
      </c>
      <c r="N3388" s="34" t="str">
        <f aca="false">IF(D3388="","",IFERROR(INDEX(I_COA!$G$6:$G$265,MATCH(D3388,I_COA!$A$6:$A$265,0)),"N"))</f>
        <v/>
      </c>
      <c r="O3388" s="11" t="str">
        <f aca="false">IF(N3388="N",ABS(J3388),"")</f>
        <v/>
      </c>
      <c r="P3388" s="18" t="str">
        <f aca="false">IF(N3388="N",B3388&amp;"|"&amp;ROUND(O3388,0),"")</f>
        <v/>
      </c>
      <c r="Q3388" s="18" t="str">
        <f aca="false">IF(N3388&lt;&gt;"Y","",IFERROR(INDEX($D$6:$D$4005,MATCH(B3388&amp;"|"&amp;ROUND(_xlfn.MAXIFS($O$6:$O$4005,$B$6:$B$4005,B3388,$N$6:$N$4005,"N"),0),$P$6:$P$4005,0)),"(tanpa lawan)"))</f>
        <v/>
      </c>
      <c r="R3388" s="44"/>
      <c r="S3388" s="9" t="str">
        <f aca="false">IF(N3388&lt;&gt;"Y","",IF(R3388&lt;&gt;"",R3388,IF(Q3388="(tanpa lawan)","Transfer antar rekening",IFERROR(INDEX(I_COA!$F$6:$F$265,MATCH(Q3388,I_COA!$A$6:$A$265,0)),"?"))))</f>
        <v/>
      </c>
    </row>
    <row r="3389" customFormat="false" ht="15" hidden="false" customHeight="false" outlineLevel="0" collapsed="false">
      <c r="A3389" s="37"/>
      <c r="B3389" s="44"/>
      <c r="C3389" s="44"/>
      <c r="D3389" s="44"/>
      <c r="E3389" s="44"/>
      <c r="F3389" s="44"/>
      <c r="G3389" s="42"/>
      <c r="H3389" s="42"/>
      <c r="I3389" s="44"/>
      <c r="J3389" s="11" t="str">
        <f aca="false">IF(D3389="","",N(G3389)-N(H3389))</f>
        <v/>
      </c>
      <c r="K3389" s="34" t="str">
        <f aca="false">IF(D3389="","",IFERROR(INDEX(I_COA!$C$6:$C$265,MATCH(D3389,I_COA!$A$6:$A$265,0)),"AKUN BARU"))</f>
        <v/>
      </c>
      <c r="L3389" s="34" t="str">
        <f aca="false">IF(K3389="LabaRugi",INDEX(I_COA!$D$6:$D$265,MATCH(D3389,I_COA!$A$6:$A$265,0)),"")</f>
        <v/>
      </c>
      <c r="M3389" s="34" t="str">
        <f aca="false">IF(K3389="Neraca",INDEX(I_COA!$E$6:$E$265,MATCH(D3389,I_COA!$A$6:$A$265,0)),"")</f>
        <v/>
      </c>
      <c r="N3389" s="34" t="str">
        <f aca="false">IF(D3389="","",IFERROR(INDEX(I_COA!$G$6:$G$265,MATCH(D3389,I_COA!$A$6:$A$265,0)),"N"))</f>
        <v/>
      </c>
      <c r="O3389" s="11" t="str">
        <f aca="false">IF(N3389="N",ABS(J3389),"")</f>
        <v/>
      </c>
      <c r="P3389" s="18" t="str">
        <f aca="false">IF(N3389="N",B3389&amp;"|"&amp;ROUND(O3389,0),"")</f>
        <v/>
      </c>
      <c r="Q3389" s="18" t="str">
        <f aca="false">IF(N3389&lt;&gt;"Y","",IFERROR(INDEX($D$6:$D$4005,MATCH(B3389&amp;"|"&amp;ROUND(_xlfn.MAXIFS($O$6:$O$4005,$B$6:$B$4005,B3389,$N$6:$N$4005,"N"),0),$P$6:$P$4005,0)),"(tanpa lawan)"))</f>
        <v/>
      </c>
      <c r="R3389" s="44"/>
      <c r="S3389" s="9" t="str">
        <f aca="false">IF(N3389&lt;&gt;"Y","",IF(R3389&lt;&gt;"",R3389,IF(Q3389="(tanpa lawan)","Transfer antar rekening",IFERROR(INDEX(I_COA!$F$6:$F$265,MATCH(Q3389,I_COA!$A$6:$A$265,0)),"?"))))</f>
        <v/>
      </c>
    </row>
    <row r="3390" customFormat="false" ht="15" hidden="false" customHeight="false" outlineLevel="0" collapsed="false">
      <c r="A3390" s="37"/>
      <c r="B3390" s="44"/>
      <c r="C3390" s="44"/>
      <c r="D3390" s="44"/>
      <c r="E3390" s="44"/>
      <c r="F3390" s="44"/>
      <c r="G3390" s="42"/>
      <c r="H3390" s="42"/>
      <c r="I3390" s="44"/>
      <c r="J3390" s="11" t="str">
        <f aca="false">IF(D3390="","",N(G3390)-N(H3390))</f>
        <v/>
      </c>
      <c r="K3390" s="34" t="str">
        <f aca="false">IF(D3390="","",IFERROR(INDEX(I_COA!$C$6:$C$265,MATCH(D3390,I_COA!$A$6:$A$265,0)),"AKUN BARU"))</f>
        <v/>
      </c>
      <c r="L3390" s="34" t="str">
        <f aca="false">IF(K3390="LabaRugi",INDEX(I_COA!$D$6:$D$265,MATCH(D3390,I_COA!$A$6:$A$265,0)),"")</f>
        <v/>
      </c>
      <c r="M3390" s="34" t="str">
        <f aca="false">IF(K3390="Neraca",INDEX(I_COA!$E$6:$E$265,MATCH(D3390,I_COA!$A$6:$A$265,0)),"")</f>
        <v/>
      </c>
      <c r="N3390" s="34" t="str">
        <f aca="false">IF(D3390="","",IFERROR(INDEX(I_COA!$G$6:$G$265,MATCH(D3390,I_COA!$A$6:$A$265,0)),"N"))</f>
        <v/>
      </c>
      <c r="O3390" s="11" t="str">
        <f aca="false">IF(N3390="N",ABS(J3390),"")</f>
        <v/>
      </c>
      <c r="P3390" s="18" t="str">
        <f aca="false">IF(N3390="N",B3390&amp;"|"&amp;ROUND(O3390,0),"")</f>
        <v/>
      </c>
      <c r="Q3390" s="18" t="str">
        <f aca="false">IF(N3390&lt;&gt;"Y","",IFERROR(INDEX($D$6:$D$4005,MATCH(B3390&amp;"|"&amp;ROUND(_xlfn.MAXIFS($O$6:$O$4005,$B$6:$B$4005,B3390,$N$6:$N$4005,"N"),0),$P$6:$P$4005,0)),"(tanpa lawan)"))</f>
        <v/>
      </c>
      <c r="R3390" s="44"/>
      <c r="S3390" s="9" t="str">
        <f aca="false">IF(N3390&lt;&gt;"Y","",IF(R3390&lt;&gt;"",R3390,IF(Q3390="(tanpa lawan)","Transfer antar rekening",IFERROR(INDEX(I_COA!$F$6:$F$265,MATCH(Q3390,I_COA!$A$6:$A$265,0)),"?"))))</f>
        <v/>
      </c>
    </row>
    <row r="3391" customFormat="false" ht="15" hidden="false" customHeight="false" outlineLevel="0" collapsed="false">
      <c r="A3391" s="37"/>
      <c r="B3391" s="44"/>
      <c r="C3391" s="44"/>
      <c r="D3391" s="44"/>
      <c r="E3391" s="44"/>
      <c r="F3391" s="44"/>
      <c r="G3391" s="42"/>
      <c r="H3391" s="42"/>
      <c r="I3391" s="44"/>
      <c r="J3391" s="11" t="str">
        <f aca="false">IF(D3391="","",N(G3391)-N(H3391))</f>
        <v/>
      </c>
      <c r="K3391" s="34" t="str">
        <f aca="false">IF(D3391="","",IFERROR(INDEX(I_COA!$C$6:$C$265,MATCH(D3391,I_COA!$A$6:$A$265,0)),"AKUN BARU"))</f>
        <v/>
      </c>
      <c r="L3391" s="34" t="str">
        <f aca="false">IF(K3391="LabaRugi",INDEX(I_COA!$D$6:$D$265,MATCH(D3391,I_COA!$A$6:$A$265,0)),"")</f>
        <v/>
      </c>
      <c r="M3391" s="34" t="str">
        <f aca="false">IF(K3391="Neraca",INDEX(I_COA!$E$6:$E$265,MATCH(D3391,I_COA!$A$6:$A$265,0)),"")</f>
        <v/>
      </c>
      <c r="N3391" s="34" t="str">
        <f aca="false">IF(D3391="","",IFERROR(INDEX(I_COA!$G$6:$G$265,MATCH(D3391,I_COA!$A$6:$A$265,0)),"N"))</f>
        <v/>
      </c>
      <c r="O3391" s="11" t="str">
        <f aca="false">IF(N3391="N",ABS(J3391),"")</f>
        <v/>
      </c>
      <c r="P3391" s="18" t="str">
        <f aca="false">IF(N3391="N",B3391&amp;"|"&amp;ROUND(O3391,0),"")</f>
        <v/>
      </c>
      <c r="Q3391" s="18" t="str">
        <f aca="false">IF(N3391&lt;&gt;"Y","",IFERROR(INDEX($D$6:$D$4005,MATCH(B3391&amp;"|"&amp;ROUND(_xlfn.MAXIFS($O$6:$O$4005,$B$6:$B$4005,B3391,$N$6:$N$4005,"N"),0),$P$6:$P$4005,0)),"(tanpa lawan)"))</f>
        <v/>
      </c>
      <c r="R3391" s="44"/>
      <c r="S3391" s="9" t="str">
        <f aca="false">IF(N3391&lt;&gt;"Y","",IF(R3391&lt;&gt;"",R3391,IF(Q3391="(tanpa lawan)","Transfer antar rekening",IFERROR(INDEX(I_COA!$F$6:$F$265,MATCH(Q3391,I_COA!$A$6:$A$265,0)),"?"))))</f>
        <v/>
      </c>
    </row>
    <row r="3392" customFormat="false" ht="15" hidden="false" customHeight="false" outlineLevel="0" collapsed="false">
      <c r="A3392" s="37"/>
      <c r="B3392" s="44"/>
      <c r="C3392" s="44"/>
      <c r="D3392" s="44"/>
      <c r="E3392" s="44"/>
      <c r="F3392" s="44"/>
      <c r="G3392" s="42"/>
      <c r="H3392" s="42"/>
      <c r="I3392" s="44"/>
      <c r="J3392" s="11" t="str">
        <f aca="false">IF(D3392="","",N(G3392)-N(H3392))</f>
        <v/>
      </c>
      <c r="K3392" s="34" t="str">
        <f aca="false">IF(D3392="","",IFERROR(INDEX(I_COA!$C$6:$C$265,MATCH(D3392,I_COA!$A$6:$A$265,0)),"AKUN BARU"))</f>
        <v/>
      </c>
      <c r="L3392" s="34" t="str">
        <f aca="false">IF(K3392="LabaRugi",INDEX(I_COA!$D$6:$D$265,MATCH(D3392,I_COA!$A$6:$A$265,0)),"")</f>
        <v/>
      </c>
      <c r="M3392" s="34" t="str">
        <f aca="false">IF(K3392="Neraca",INDEX(I_COA!$E$6:$E$265,MATCH(D3392,I_COA!$A$6:$A$265,0)),"")</f>
        <v/>
      </c>
      <c r="N3392" s="34" t="str">
        <f aca="false">IF(D3392="","",IFERROR(INDEX(I_COA!$G$6:$G$265,MATCH(D3392,I_COA!$A$6:$A$265,0)),"N"))</f>
        <v/>
      </c>
      <c r="O3392" s="11" t="str">
        <f aca="false">IF(N3392="N",ABS(J3392),"")</f>
        <v/>
      </c>
      <c r="P3392" s="18" t="str">
        <f aca="false">IF(N3392="N",B3392&amp;"|"&amp;ROUND(O3392,0),"")</f>
        <v/>
      </c>
      <c r="Q3392" s="18" t="str">
        <f aca="false">IF(N3392&lt;&gt;"Y","",IFERROR(INDEX($D$6:$D$4005,MATCH(B3392&amp;"|"&amp;ROUND(_xlfn.MAXIFS($O$6:$O$4005,$B$6:$B$4005,B3392,$N$6:$N$4005,"N"),0),$P$6:$P$4005,0)),"(tanpa lawan)"))</f>
        <v/>
      </c>
      <c r="R3392" s="44"/>
      <c r="S3392" s="9" t="str">
        <f aca="false">IF(N3392&lt;&gt;"Y","",IF(R3392&lt;&gt;"",R3392,IF(Q3392="(tanpa lawan)","Transfer antar rekening",IFERROR(INDEX(I_COA!$F$6:$F$265,MATCH(Q3392,I_COA!$A$6:$A$265,0)),"?"))))</f>
        <v/>
      </c>
    </row>
    <row r="3393" customFormat="false" ht="15" hidden="false" customHeight="false" outlineLevel="0" collapsed="false">
      <c r="A3393" s="37"/>
      <c r="B3393" s="44"/>
      <c r="C3393" s="44"/>
      <c r="D3393" s="44"/>
      <c r="E3393" s="44"/>
      <c r="F3393" s="44"/>
      <c r="G3393" s="42"/>
      <c r="H3393" s="42"/>
      <c r="I3393" s="44"/>
      <c r="J3393" s="11" t="str">
        <f aca="false">IF(D3393="","",N(G3393)-N(H3393))</f>
        <v/>
      </c>
      <c r="K3393" s="34" t="str">
        <f aca="false">IF(D3393="","",IFERROR(INDEX(I_COA!$C$6:$C$265,MATCH(D3393,I_COA!$A$6:$A$265,0)),"AKUN BARU"))</f>
        <v/>
      </c>
      <c r="L3393" s="34" t="str">
        <f aca="false">IF(K3393="LabaRugi",INDEX(I_COA!$D$6:$D$265,MATCH(D3393,I_COA!$A$6:$A$265,0)),"")</f>
        <v/>
      </c>
      <c r="M3393" s="34" t="str">
        <f aca="false">IF(K3393="Neraca",INDEX(I_COA!$E$6:$E$265,MATCH(D3393,I_COA!$A$6:$A$265,0)),"")</f>
        <v/>
      </c>
      <c r="N3393" s="34" t="str">
        <f aca="false">IF(D3393="","",IFERROR(INDEX(I_COA!$G$6:$G$265,MATCH(D3393,I_COA!$A$6:$A$265,0)),"N"))</f>
        <v/>
      </c>
      <c r="O3393" s="11" t="str">
        <f aca="false">IF(N3393="N",ABS(J3393),"")</f>
        <v/>
      </c>
      <c r="P3393" s="18" t="str">
        <f aca="false">IF(N3393="N",B3393&amp;"|"&amp;ROUND(O3393,0),"")</f>
        <v/>
      </c>
      <c r="Q3393" s="18" t="str">
        <f aca="false">IF(N3393&lt;&gt;"Y","",IFERROR(INDEX($D$6:$D$4005,MATCH(B3393&amp;"|"&amp;ROUND(_xlfn.MAXIFS($O$6:$O$4005,$B$6:$B$4005,B3393,$N$6:$N$4005,"N"),0),$P$6:$P$4005,0)),"(tanpa lawan)"))</f>
        <v/>
      </c>
      <c r="R3393" s="44"/>
      <c r="S3393" s="9" t="str">
        <f aca="false">IF(N3393&lt;&gt;"Y","",IF(R3393&lt;&gt;"",R3393,IF(Q3393="(tanpa lawan)","Transfer antar rekening",IFERROR(INDEX(I_COA!$F$6:$F$265,MATCH(Q3393,I_COA!$A$6:$A$265,0)),"?"))))</f>
        <v/>
      </c>
    </row>
    <row r="3394" customFormat="false" ht="15" hidden="false" customHeight="false" outlineLevel="0" collapsed="false">
      <c r="A3394" s="37"/>
      <c r="B3394" s="44"/>
      <c r="C3394" s="44"/>
      <c r="D3394" s="44"/>
      <c r="E3394" s="44"/>
      <c r="F3394" s="44"/>
      <c r="G3394" s="42"/>
      <c r="H3394" s="42"/>
      <c r="I3394" s="44"/>
      <c r="J3394" s="11" t="str">
        <f aca="false">IF(D3394="","",N(G3394)-N(H3394))</f>
        <v/>
      </c>
      <c r="K3394" s="34" t="str">
        <f aca="false">IF(D3394="","",IFERROR(INDEX(I_COA!$C$6:$C$265,MATCH(D3394,I_COA!$A$6:$A$265,0)),"AKUN BARU"))</f>
        <v/>
      </c>
      <c r="L3394" s="34" t="str">
        <f aca="false">IF(K3394="LabaRugi",INDEX(I_COA!$D$6:$D$265,MATCH(D3394,I_COA!$A$6:$A$265,0)),"")</f>
        <v/>
      </c>
      <c r="M3394" s="34" t="str">
        <f aca="false">IF(K3394="Neraca",INDEX(I_COA!$E$6:$E$265,MATCH(D3394,I_COA!$A$6:$A$265,0)),"")</f>
        <v/>
      </c>
      <c r="N3394" s="34" t="str">
        <f aca="false">IF(D3394="","",IFERROR(INDEX(I_COA!$G$6:$G$265,MATCH(D3394,I_COA!$A$6:$A$265,0)),"N"))</f>
        <v/>
      </c>
      <c r="O3394" s="11" t="str">
        <f aca="false">IF(N3394="N",ABS(J3394),"")</f>
        <v/>
      </c>
      <c r="P3394" s="18" t="str">
        <f aca="false">IF(N3394="N",B3394&amp;"|"&amp;ROUND(O3394,0),"")</f>
        <v/>
      </c>
      <c r="Q3394" s="18" t="str">
        <f aca="false">IF(N3394&lt;&gt;"Y","",IFERROR(INDEX($D$6:$D$4005,MATCH(B3394&amp;"|"&amp;ROUND(_xlfn.MAXIFS($O$6:$O$4005,$B$6:$B$4005,B3394,$N$6:$N$4005,"N"),0),$P$6:$P$4005,0)),"(tanpa lawan)"))</f>
        <v/>
      </c>
      <c r="R3394" s="44"/>
      <c r="S3394" s="9" t="str">
        <f aca="false">IF(N3394&lt;&gt;"Y","",IF(R3394&lt;&gt;"",R3394,IF(Q3394="(tanpa lawan)","Transfer antar rekening",IFERROR(INDEX(I_COA!$F$6:$F$265,MATCH(Q3394,I_COA!$A$6:$A$265,0)),"?"))))</f>
        <v/>
      </c>
    </row>
    <row r="3395" customFormat="false" ht="15" hidden="false" customHeight="false" outlineLevel="0" collapsed="false">
      <c r="A3395" s="37"/>
      <c r="B3395" s="44"/>
      <c r="C3395" s="44"/>
      <c r="D3395" s="44"/>
      <c r="E3395" s="44"/>
      <c r="F3395" s="44"/>
      <c r="G3395" s="42"/>
      <c r="H3395" s="42"/>
      <c r="I3395" s="44"/>
      <c r="J3395" s="11" t="str">
        <f aca="false">IF(D3395="","",N(G3395)-N(H3395))</f>
        <v/>
      </c>
      <c r="K3395" s="34" t="str">
        <f aca="false">IF(D3395="","",IFERROR(INDEX(I_COA!$C$6:$C$265,MATCH(D3395,I_COA!$A$6:$A$265,0)),"AKUN BARU"))</f>
        <v/>
      </c>
      <c r="L3395" s="34" t="str">
        <f aca="false">IF(K3395="LabaRugi",INDEX(I_COA!$D$6:$D$265,MATCH(D3395,I_COA!$A$6:$A$265,0)),"")</f>
        <v/>
      </c>
      <c r="M3395" s="34" t="str">
        <f aca="false">IF(K3395="Neraca",INDEX(I_COA!$E$6:$E$265,MATCH(D3395,I_COA!$A$6:$A$265,0)),"")</f>
        <v/>
      </c>
      <c r="N3395" s="34" t="str">
        <f aca="false">IF(D3395="","",IFERROR(INDEX(I_COA!$G$6:$G$265,MATCH(D3395,I_COA!$A$6:$A$265,0)),"N"))</f>
        <v/>
      </c>
      <c r="O3395" s="11" t="str">
        <f aca="false">IF(N3395="N",ABS(J3395),"")</f>
        <v/>
      </c>
      <c r="P3395" s="18" t="str">
        <f aca="false">IF(N3395="N",B3395&amp;"|"&amp;ROUND(O3395,0),"")</f>
        <v/>
      </c>
      <c r="Q3395" s="18" t="str">
        <f aca="false">IF(N3395&lt;&gt;"Y","",IFERROR(INDEX($D$6:$D$4005,MATCH(B3395&amp;"|"&amp;ROUND(_xlfn.MAXIFS($O$6:$O$4005,$B$6:$B$4005,B3395,$N$6:$N$4005,"N"),0),$P$6:$P$4005,0)),"(tanpa lawan)"))</f>
        <v/>
      </c>
      <c r="R3395" s="44"/>
      <c r="S3395" s="9" t="str">
        <f aca="false">IF(N3395&lt;&gt;"Y","",IF(R3395&lt;&gt;"",R3395,IF(Q3395="(tanpa lawan)","Transfer antar rekening",IFERROR(INDEX(I_COA!$F$6:$F$265,MATCH(Q3395,I_COA!$A$6:$A$265,0)),"?"))))</f>
        <v/>
      </c>
    </row>
    <row r="3396" customFormat="false" ht="15" hidden="false" customHeight="false" outlineLevel="0" collapsed="false">
      <c r="A3396" s="37"/>
      <c r="B3396" s="44"/>
      <c r="C3396" s="44"/>
      <c r="D3396" s="44"/>
      <c r="E3396" s="44"/>
      <c r="F3396" s="44"/>
      <c r="G3396" s="42"/>
      <c r="H3396" s="42"/>
      <c r="I3396" s="44"/>
      <c r="J3396" s="11" t="str">
        <f aca="false">IF(D3396="","",N(G3396)-N(H3396))</f>
        <v/>
      </c>
      <c r="K3396" s="34" t="str">
        <f aca="false">IF(D3396="","",IFERROR(INDEX(I_COA!$C$6:$C$265,MATCH(D3396,I_COA!$A$6:$A$265,0)),"AKUN BARU"))</f>
        <v/>
      </c>
      <c r="L3396" s="34" t="str">
        <f aca="false">IF(K3396="LabaRugi",INDEX(I_COA!$D$6:$D$265,MATCH(D3396,I_COA!$A$6:$A$265,0)),"")</f>
        <v/>
      </c>
      <c r="M3396" s="34" t="str">
        <f aca="false">IF(K3396="Neraca",INDEX(I_COA!$E$6:$E$265,MATCH(D3396,I_COA!$A$6:$A$265,0)),"")</f>
        <v/>
      </c>
      <c r="N3396" s="34" t="str">
        <f aca="false">IF(D3396="","",IFERROR(INDEX(I_COA!$G$6:$G$265,MATCH(D3396,I_COA!$A$6:$A$265,0)),"N"))</f>
        <v/>
      </c>
      <c r="O3396" s="11" t="str">
        <f aca="false">IF(N3396="N",ABS(J3396),"")</f>
        <v/>
      </c>
      <c r="P3396" s="18" t="str">
        <f aca="false">IF(N3396="N",B3396&amp;"|"&amp;ROUND(O3396,0),"")</f>
        <v/>
      </c>
      <c r="Q3396" s="18" t="str">
        <f aca="false">IF(N3396&lt;&gt;"Y","",IFERROR(INDEX($D$6:$D$4005,MATCH(B3396&amp;"|"&amp;ROUND(_xlfn.MAXIFS($O$6:$O$4005,$B$6:$B$4005,B3396,$N$6:$N$4005,"N"),0),$P$6:$P$4005,0)),"(tanpa lawan)"))</f>
        <v/>
      </c>
      <c r="R3396" s="44"/>
      <c r="S3396" s="9" t="str">
        <f aca="false">IF(N3396&lt;&gt;"Y","",IF(R3396&lt;&gt;"",R3396,IF(Q3396="(tanpa lawan)","Transfer antar rekening",IFERROR(INDEX(I_COA!$F$6:$F$265,MATCH(Q3396,I_COA!$A$6:$A$265,0)),"?"))))</f>
        <v/>
      </c>
    </row>
    <row r="3397" customFormat="false" ht="15" hidden="false" customHeight="false" outlineLevel="0" collapsed="false">
      <c r="A3397" s="37"/>
      <c r="B3397" s="44"/>
      <c r="C3397" s="44"/>
      <c r="D3397" s="44"/>
      <c r="E3397" s="44"/>
      <c r="F3397" s="44"/>
      <c r="G3397" s="42"/>
      <c r="H3397" s="42"/>
      <c r="I3397" s="44"/>
      <c r="J3397" s="11" t="str">
        <f aca="false">IF(D3397="","",N(G3397)-N(H3397))</f>
        <v/>
      </c>
      <c r="K3397" s="34" t="str">
        <f aca="false">IF(D3397="","",IFERROR(INDEX(I_COA!$C$6:$C$265,MATCH(D3397,I_COA!$A$6:$A$265,0)),"AKUN BARU"))</f>
        <v/>
      </c>
      <c r="L3397" s="34" t="str">
        <f aca="false">IF(K3397="LabaRugi",INDEX(I_COA!$D$6:$D$265,MATCH(D3397,I_COA!$A$6:$A$265,0)),"")</f>
        <v/>
      </c>
      <c r="M3397" s="34" t="str">
        <f aca="false">IF(K3397="Neraca",INDEX(I_COA!$E$6:$E$265,MATCH(D3397,I_COA!$A$6:$A$265,0)),"")</f>
        <v/>
      </c>
      <c r="N3397" s="34" t="str">
        <f aca="false">IF(D3397="","",IFERROR(INDEX(I_COA!$G$6:$G$265,MATCH(D3397,I_COA!$A$6:$A$265,0)),"N"))</f>
        <v/>
      </c>
      <c r="O3397" s="11" t="str">
        <f aca="false">IF(N3397="N",ABS(J3397),"")</f>
        <v/>
      </c>
      <c r="P3397" s="18" t="str">
        <f aca="false">IF(N3397="N",B3397&amp;"|"&amp;ROUND(O3397,0),"")</f>
        <v/>
      </c>
      <c r="Q3397" s="18" t="str">
        <f aca="false">IF(N3397&lt;&gt;"Y","",IFERROR(INDEX($D$6:$D$4005,MATCH(B3397&amp;"|"&amp;ROUND(_xlfn.MAXIFS($O$6:$O$4005,$B$6:$B$4005,B3397,$N$6:$N$4005,"N"),0),$P$6:$P$4005,0)),"(tanpa lawan)"))</f>
        <v/>
      </c>
      <c r="R3397" s="44"/>
      <c r="S3397" s="9" t="str">
        <f aca="false">IF(N3397&lt;&gt;"Y","",IF(R3397&lt;&gt;"",R3397,IF(Q3397="(tanpa lawan)","Transfer antar rekening",IFERROR(INDEX(I_COA!$F$6:$F$265,MATCH(Q3397,I_COA!$A$6:$A$265,0)),"?"))))</f>
        <v/>
      </c>
    </row>
    <row r="3398" customFormat="false" ht="15" hidden="false" customHeight="false" outlineLevel="0" collapsed="false">
      <c r="A3398" s="37"/>
      <c r="B3398" s="44"/>
      <c r="C3398" s="44"/>
      <c r="D3398" s="44"/>
      <c r="E3398" s="44"/>
      <c r="F3398" s="44"/>
      <c r="G3398" s="42"/>
      <c r="H3398" s="42"/>
      <c r="I3398" s="44"/>
      <c r="J3398" s="11" t="str">
        <f aca="false">IF(D3398="","",N(G3398)-N(H3398))</f>
        <v/>
      </c>
      <c r="K3398" s="34" t="str">
        <f aca="false">IF(D3398="","",IFERROR(INDEX(I_COA!$C$6:$C$265,MATCH(D3398,I_COA!$A$6:$A$265,0)),"AKUN BARU"))</f>
        <v/>
      </c>
      <c r="L3398" s="34" t="str">
        <f aca="false">IF(K3398="LabaRugi",INDEX(I_COA!$D$6:$D$265,MATCH(D3398,I_COA!$A$6:$A$265,0)),"")</f>
        <v/>
      </c>
      <c r="M3398" s="34" t="str">
        <f aca="false">IF(K3398="Neraca",INDEX(I_COA!$E$6:$E$265,MATCH(D3398,I_COA!$A$6:$A$265,0)),"")</f>
        <v/>
      </c>
      <c r="N3398" s="34" t="str">
        <f aca="false">IF(D3398="","",IFERROR(INDEX(I_COA!$G$6:$G$265,MATCH(D3398,I_COA!$A$6:$A$265,0)),"N"))</f>
        <v/>
      </c>
      <c r="O3398" s="11" t="str">
        <f aca="false">IF(N3398="N",ABS(J3398),"")</f>
        <v/>
      </c>
      <c r="P3398" s="18" t="str">
        <f aca="false">IF(N3398="N",B3398&amp;"|"&amp;ROUND(O3398,0),"")</f>
        <v/>
      </c>
      <c r="Q3398" s="18" t="str">
        <f aca="false">IF(N3398&lt;&gt;"Y","",IFERROR(INDEX($D$6:$D$4005,MATCH(B3398&amp;"|"&amp;ROUND(_xlfn.MAXIFS($O$6:$O$4005,$B$6:$B$4005,B3398,$N$6:$N$4005,"N"),0),$P$6:$P$4005,0)),"(tanpa lawan)"))</f>
        <v/>
      </c>
      <c r="R3398" s="44"/>
      <c r="S3398" s="9" t="str">
        <f aca="false">IF(N3398&lt;&gt;"Y","",IF(R3398&lt;&gt;"",R3398,IF(Q3398="(tanpa lawan)","Transfer antar rekening",IFERROR(INDEX(I_COA!$F$6:$F$265,MATCH(Q3398,I_COA!$A$6:$A$265,0)),"?"))))</f>
        <v/>
      </c>
    </row>
    <row r="3399" customFormat="false" ht="15" hidden="false" customHeight="false" outlineLevel="0" collapsed="false">
      <c r="A3399" s="37"/>
      <c r="B3399" s="44"/>
      <c r="C3399" s="44"/>
      <c r="D3399" s="44"/>
      <c r="E3399" s="44"/>
      <c r="F3399" s="44"/>
      <c r="G3399" s="42"/>
      <c r="H3399" s="42"/>
      <c r="I3399" s="44"/>
      <c r="J3399" s="11" t="str">
        <f aca="false">IF(D3399="","",N(G3399)-N(H3399))</f>
        <v/>
      </c>
      <c r="K3399" s="34" t="str">
        <f aca="false">IF(D3399="","",IFERROR(INDEX(I_COA!$C$6:$C$265,MATCH(D3399,I_COA!$A$6:$A$265,0)),"AKUN BARU"))</f>
        <v/>
      </c>
      <c r="L3399" s="34" t="str">
        <f aca="false">IF(K3399="LabaRugi",INDEX(I_COA!$D$6:$D$265,MATCH(D3399,I_COA!$A$6:$A$265,0)),"")</f>
        <v/>
      </c>
      <c r="M3399" s="34" t="str">
        <f aca="false">IF(K3399="Neraca",INDEX(I_COA!$E$6:$E$265,MATCH(D3399,I_COA!$A$6:$A$265,0)),"")</f>
        <v/>
      </c>
      <c r="N3399" s="34" t="str">
        <f aca="false">IF(D3399="","",IFERROR(INDEX(I_COA!$G$6:$G$265,MATCH(D3399,I_COA!$A$6:$A$265,0)),"N"))</f>
        <v/>
      </c>
      <c r="O3399" s="11" t="str">
        <f aca="false">IF(N3399="N",ABS(J3399),"")</f>
        <v/>
      </c>
      <c r="P3399" s="18" t="str">
        <f aca="false">IF(N3399="N",B3399&amp;"|"&amp;ROUND(O3399,0),"")</f>
        <v/>
      </c>
      <c r="Q3399" s="18" t="str">
        <f aca="false">IF(N3399&lt;&gt;"Y","",IFERROR(INDEX($D$6:$D$4005,MATCH(B3399&amp;"|"&amp;ROUND(_xlfn.MAXIFS($O$6:$O$4005,$B$6:$B$4005,B3399,$N$6:$N$4005,"N"),0),$P$6:$P$4005,0)),"(tanpa lawan)"))</f>
        <v/>
      </c>
      <c r="R3399" s="44"/>
      <c r="S3399" s="9" t="str">
        <f aca="false">IF(N3399&lt;&gt;"Y","",IF(R3399&lt;&gt;"",R3399,IF(Q3399="(tanpa lawan)","Transfer antar rekening",IFERROR(INDEX(I_COA!$F$6:$F$265,MATCH(Q3399,I_COA!$A$6:$A$265,0)),"?"))))</f>
        <v/>
      </c>
    </row>
    <row r="3400" customFormat="false" ht="15" hidden="false" customHeight="false" outlineLevel="0" collapsed="false">
      <c r="A3400" s="37"/>
      <c r="B3400" s="44"/>
      <c r="C3400" s="44"/>
      <c r="D3400" s="44"/>
      <c r="E3400" s="44"/>
      <c r="F3400" s="44"/>
      <c r="G3400" s="42"/>
      <c r="H3400" s="42"/>
      <c r="I3400" s="44"/>
      <c r="J3400" s="11" t="str">
        <f aca="false">IF(D3400="","",N(G3400)-N(H3400))</f>
        <v/>
      </c>
      <c r="K3400" s="34" t="str">
        <f aca="false">IF(D3400="","",IFERROR(INDEX(I_COA!$C$6:$C$265,MATCH(D3400,I_COA!$A$6:$A$265,0)),"AKUN BARU"))</f>
        <v/>
      </c>
      <c r="L3400" s="34" t="str">
        <f aca="false">IF(K3400="LabaRugi",INDEX(I_COA!$D$6:$D$265,MATCH(D3400,I_COA!$A$6:$A$265,0)),"")</f>
        <v/>
      </c>
      <c r="M3400" s="34" t="str">
        <f aca="false">IF(K3400="Neraca",INDEX(I_COA!$E$6:$E$265,MATCH(D3400,I_COA!$A$6:$A$265,0)),"")</f>
        <v/>
      </c>
      <c r="N3400" s="34" t="str">
        <f aca="false">IF(D3400="","",IFERROR(INDEX(I_COA!$G$6:$G$265,MATCH(D3400,I_COA!$A$6:$A$265,0)),"N"))</f>
        <v/>
      </c>
      <c r="O3400" s="11" t="str">
        <f aca="false">IF(N3400="N",ABS(J3400),"")</f>
        <v/>
      </c>
      <c r="P3400" s="18" t="str">
        <f aca="false">IF(N3400="N",B3400&amp;"|"&amp;ROUND(O3400,0),"")</f>
        <v/>
      </c>
      <c r="Q3400" s="18" t="str">
        <f aca="false">IF(N3400&lt;&gt;"Y","",IFERROR(INDEX($D$6:$D$4005,MATCH(B3400&amp;"|"&amp;ROUND(_xlfn.MAXIFS($O$6:$O$4005,$B$6:$B$4005,B3400,$N$6:$N$4005,"N"),0),$P$6:$P$4005,0)),"(tanpa lawan)"))</f>
        <v/>
      </c>
      <c r="R3400" s="44"/>
      <c r="S3400" s="9" t="str">
        <f aca="false">IF(N3400&lt;&gt;"Y","",IF(R3400&lt;&gt;"",R3400,IF(Q3400="(tanpa lawan)","Transfer antar rekening",IFERROR(INDEX(I_COA!$F$6:$F$265,MATCH(Q3400,I_COA!$A$6:$A$265,0)),"?"))))</f>
        <v/>
      </c>
    </row>
    <row r="3401" customFormat="false" ht="15" hidden="false" customHeight="false" outlineLevel="0" collapsed="false">
      <c r="A3401" s="37"/>
      <c r="B3401" s="44"/>
      <c r="C3401" s="44"/>
      <c r="D3401" s="44"/>
      <c r="E3401" s="44"/>
      <c r="F3401" s="44"/>
      <c r="G3401" s="42"/>
      <c r="H3401" s="42"/>
      <c r="I3401" s="44"/>
      <c r="J3401" s="11" t="str">
        <f aca="false">IF(D3401="","",N(G3401)-N(H3401))</f>
        <v/>
      </c>
      <c r="K3401" s="34" t="str">
        <f aca="false">IF(D3401="","",IFERROR(INDEX(I_COA!$C$6:$C$265,MATCH(D3401,I_COA!$A$6:$A$265,0)),"AKUN BARU"))</f>
        <v/>
      </c>
      <c r="L3401" s="34" t="str">
        <f aca="false">IF(K3401="LabaRugi",INDEX(I_COA!$D$6:$D$265,MATCH(D3401,I_COA!$A$6:$A$265,0)),"")</f>
        <v/>
      </c>
      <c r="M3401" s="34" t="str">
        <f aca="false">IF(K3401="Neraca",INDEX(I_COA!$E$6:$E$265,MATCH(D3401,I_COA!$A$6:$A$265,0)),"")</f>
        <v/>
      </c>
      <c r="N3401" s="34" t="str">
        <f aca="false">IF(D3401="","",IFERROR(INDEX(I_COA!$G$6:$G$265,MATCH(D3401,I_COA!$A$6:$A$265,0)),"N"))</f>
        <v/>
      </c>
      <c r="O3401" s="11" t="str">
        <f aca="false">IF(N3401="N",ABS(J3401),"")</f>
        <v/>
      </c>
      <c r="P3401" s="18" t="str">
        <f aca="false">IF(N3401="N",B3401&amp;"|"&amp;ROUND(O3401,0),"")</f>
        <v/>
      </c>
      <c r="Q3401" s="18" t="str">
        <f aca="false">IF(N3401&lt;&gt;"Y","",IFERROR(INDEX($D$6:$D$4005,MATCH(B3401&amp;"|"&amp;ROUND(_xlfn.MAXIFS($O$6:$O$4005,$B$6:$B$4005,B3401,$N$6:$N$4005,"N"),0),$P$6:$P$4005,0)),"(tanpa lawan)"))</f>
        <v/>
      </c>
      <c r="R3401" s="44"/>
      <c r="S3401" s="9" t="str">
        <f aca="false">IF(N3401&lt;&gt;"Y","",IF(R3401&lt;&gt;"",R3401,IF(Q3401="(tanpa lawan)","Transfer antar rekening",IFERROR(INDEX(I_COA!$F$6:$F$265,MATCH(Q3401,I_COA!$A$6:$A$265,0)),"?"))))</f>
        <v/>
      </c>
    </row>
    <row r="3402" customFormat="false" ht="15" hidden="false" customHeight="false" outlineLevel="0" collapsed="false">
      <c r="A3402" s="37"/>
      <c r="B3402" s="44"/>
      <c r="C3402" s="44"/>
      <c r="D3402" s="44"/>
      <c r="E3402" s="44"/>
      <c r="F3402" s="44"/>
      <c r="G3402" s="42"/>
      <c r="H3402" s="42"/>
      <c r="I3402" s="44"/>
      <c r="J3402" s="11" t="str">
        <f aca="false">IF(D3402="","",N(G3402)-N(H3402))</f>
        <v/>
      </c>
      <c r="K3402" s="34" t="str">
        <f aca="false">IF(D3402="","",IFERROR(INDEX(I_COA!$C$6:$C$265,MATCH(D3402,I_COA!$A$6:$A$265,0)),"AKUN BARU"))</f>
        <v/>
      </c>
      <c r="L3402" s="34" t="str">
        <f aca="false">IF(K3402="LabaRugi",INDEX(I_COA!$D$6:$D$265,MATCH(D3402,I_COA!$A$6:$A$265,0)),"")</f>
        <v/>
      </c>
      <c r="M3402" s="34" t="str">
        <f aca="false">IF(K3402="Neraca",INDEX(I_COA!$E$6:$E$265,MATCH(D3402,I_COA!$A$6:$A$265,0)),"")</f>
        <v/>
      </c>
      <c r="N3402" s="34" t="str">
        <f aca="false">IF(D3402="","",IFERROR(INDEX(I_COA!$G$6:$G$265,MATCH(D3402,I_COA!$A$6:$A$265,0)),"N"))</f>
        <v/>
      </c>
      <c r="O3402" s="11" t="str">
        <f aca="false">IF(N3402="N",ABS(J3402),"")</f>
        <v/>
      </c>
      <c r="P3402" s="18" t="str">
        <f aca="false">IF(N3402="N",B3402&amp;"|"&amp;ROUND(O3402,0),"")</f>
        <v/>
      </c>
      <c r="Q3402" s="18" t="str">
        <f aca="false">IF(N3402&lt;&gt;"Y","",IFERROR(INDEX($D$6:$D$4005,MATCH(B3402&amp;"|"&amp;ROUND(_xlfn.MAXIFS($O$6:$O$4005,$B$6:$B$4005,B3402,$N$6:$N$4005,"N"),0),$P$6:$P$4005,0)),"(tanpa lawan)"))</f>
        <v/>
      </c>
      <c r="R3402" s="44"/>
      <c r="S3402" s="9" t="str">
        <f aca="false">IF(N3402&lt;&gt;"Y","",IF(R3402&lt;&gt;"",R3402,IF(Q3402="(tanpa lawan)","Transfer antar rekening",IFERROR(INDEX(I_COA!$F$6:$F$265,MATCH(Q3402,I_COA!$A$6:$A$265,0)),"?"))))</f>
        <v/>
      </c>
    </row>
    <row r="3403" customFormat="false" ht="15" hidden="false" customHeight="false" outlineLevel="0" collapsed="false">
      <c r="A3403" s="37"/>
      <c r="B3403" s="44"/>
      <c r="C3403" s="44"/>
      <c r="D3403" s="44"/>
      <c r="E3403" s="44"/>
      <c r="F3403" s="44"/>
      <c r="G3403" s="42"/>
      <c r="H3403" s="42"/>
      <c r="I3403" s="44"/>
      <c r="J3403" s="11" t="str">
        <f aca="false">IF(D3403="","",N(G3403)-N(H3403))</f>
        <v/>
      </c>
      <c r="K3403" s="34" t="str">
        <f aca="false">IF(D3403="","",IFERROR(INDEX(I_COA!$C$6:$C$265,MATCH(D3403,I_COA!$A$6:$A$265,0)),"AKUN BARU"))</f>
        <v/>
      </c>
      <c r="L3403" s="34" t="str">
        <f aca="false">IF(K3403="LabaRugi",INDEX(I_COA!$D$6:$D$265,MATCH(D3403,I_COA!$A$6:$A$265,0)),"")</f>
        <v/>
      </c>
      <c r="M3403" s="34" t="str">
        <f aca="false">IF(K3403="Neraca",INDEX(I_COA!$E$6:$E$265,MATCH(D3403,I_COA!$A$6:$A$265,0)),"")</f>
        <v/>
      </c>
      <c r="N3403" s="34" t="str">
        <f aca="false">IF(D3403="","",IFERROR(INDEX(I_COA!$G$6:$G$265,MATCH(D3403,I_COA!$A$6:$A$265,0)),"N"))</f>
        <v/>
      </c>
      <c r="O3403" s="11" t="str">
        <f aca="false">IF(N3403="N",ABS(J3403),"")</f>
        <v/>
      </c>
      <c r="P3403" s="18" t="str">
        <f aca="false">IF(N3403="N",B3403&amp;"|"&amp;ROUND(O3403,0),"")</f>
        <v/>
      </c>
      <c r="Q3403" s="18" t="str">
        <f aca="false">IF(N3403&lt;&gt;"Y","",IFERROR(INDEX($D$6:$D$4005,MATCH(B3403&amp;"|"&amp;ROUND(_xlfn.MAXIFS($O$6:$O$4005,$B$6:$B$4005,B3403,$N$6:$N$4005,"N"),0),$P$6:$P$4005,0)),"(tanpa lawan)"))</f>
        <v/>
      </c>
      <c r="R3403" s="44"/>
      <c r="S3403" s="9" t="str">
        <f aca="false">IF(N3403&lt;&gt;"Y","",IF(R3403&lt;&gt;"",R3403,IF(Q3403="(tanpa lawan)","Transfer antar rekening",IFERROR(INDEX(I_COA!$F$6:$F$265,MATCH(Q3403,I_COA!$A$6:$A$265,0)),"?"))))</f>
        <v/>
      </c>
    </row>
    <row r="3404" customFormat="false" ht="15" hidden="false" customHeight="false" outlineLevel="0" collapsed="false">
      <c r="A3404" s="37"/>
      <c r="B3404" s="44"/>
      <c r="C3404" s="44"/>
      <c r="D3404" s="44"/>
      <c r="E3404" s="44"/>
      <c r="F3404" s="44"/>
      <c r="G3404" s="42"/>
      <c r="H3404" s="42"/>
      <c r="I3404" s="44"/>
      <c r="J3404" s="11" t="str">
        <f aca="false">IF(D3404="","",N(G3404)-N(H3404))</f>
        <v/>
      </c>
      <c r="K3404" s="34" t="str">
        <f aca="false">IF(D3404="","",IFERROR(INDEX(I_COA!$C$6:$C$265,MATCH(D3404,I_COA!$A$6:$A$265,0)),"AKUN BARU"))</f>
        <v/>
      </c>
      <c r="L3404" s="34" t="str">
        <f aca="false">IF(K3404="LabaRugi",INDEX(I_COA!$D$6:$D$265,MATCH(D3404,I_COA!$A$6:$A$265,0)),"")</f>
        <v/>
      </c>
      <c r="M3404" s="34" t="str">
        <f aca="false">IF(K3404="Neraca",INDEX(I_COA!$E$6:$E$265,MATCH(D3404,I_COA!$A$6:$A$265,0)),"")</f>
        <v/>
      </c>
      <c r="N3404" s="34" t="str">
        <f aca="false">IF(D3404="","",IFERROR(INDEX(I_COA!$G$6:$G$265,MATCH(D3404,I_COA!$A$6:$A$265,0)),"N"))</f>
        <v/>
      </c>
      <c r="O3404" s="11" t="str">
        <f aca="false">IF(N3404="N",ABS(J3404),"")</f>
        <v/>
      </c>
      <c r="P3404" s="18" t="str">
        <f aca="false">IF(N3404="N",B3404&amp;"|"&amp;ROUND(O3404,0),"")</f>
        <v/>
      </c>
      <c r="Q3404" s="18" t="str">
        <f aca="false">IF(N3404&lt;&gt;"Y","",IFERROR(INDEX($D$6:$D$4005,MATCH(B3404&amp;"|"&amp;ROUND(_xlfn.MAXIFS($O$6:$O$4005,$B$6:$B$4005,B3404,$N$6:$N$4005,"N"),0),$P$6:$P$4005,0)),"(tanpa lawan)"))</f>
        <v/>
      </c>
      <c r="R3404" s="44"/>
      <c r="S3404" s="9" t="str">
        <f aca="false">IF(N3404&lt;&gt;"Y","",IF(R3404&lt;&gt;"",R3404,IF(Q3404="(tanpa lawan)","Transfer antar rekening",IFERROR(INDEX(I_COA!$F$6:$F$265,MATCH(Q3404,I_COA!$A$6:$A$265,0)),"?"))))</f>
        <v/>
      </c>
    </row>
    <row r="3405" customFormat="false" ht="15" hidden="false" customHeight="false" outlineLevel="0" collapsed="false">
      <c r="A3405" s="37"/>
      <c r="B3405" s="44"/>
      <c r="C3405" s="44"/>
      <c r="D3405" s="44"/>
      <c r="E3405" s="44"/>
      <c r="F3405" s="44"/>
      <c r="G3405" s="42"/>
      <c r="H3405" s="42"/>
      <c r="I3405" s="44"/>
      <c r="J3405" s="11" t="str">
        <f aca="false">IF(D3405="","",N(G3405)-N(H3405))</f>
        <v/>
      </c>
      <c r="K3405" s="34" t="str">
        <f aca="false">IF(D3405="","",IFERROR(INDEX(I_COA!$C$6:$C$265,MATCH(D3405,I_COA!$A$6:$A$265,0)),"AKUN BARU"))</f>
        <v/>
      </c>
      <c r="L3405" s="34" t="str">
        <f aca="false">IF(K3405="LabaRugi",INDEX(I_COA!$D$6:$D$265,MATCH(D3405,I_COA!$A$6:$A$265,0)),"")</f>
        <v/>
      </c>
      <c r="M3405" s="34" t="str">
        <f aca="false">IF(K3405="Neraca",INDEX(I_COA!$E$6:$E$265,MATCH(D3405,I_COA!$A$6:$A$265,0)),"")</f>
        <v/>
      </c>
      <c r="N3405" s="34" t="str">
        <f aca="false">IF(D3405="","",IFERROR(INDEX(I_COA!$G$6:$G$265,MATCH(D3405,I_COA!$A$6:$A$265,0)),"N"))</f>
        <v/>
      </c>
      <c r="O3405" s="11" t="str">
        <f aca="false">IF(N3405="N",ABS(J3405),"")</f>
        <v/>
      </c>
      <c r="P3405" s="18" t="str">
        <f aca="false">IF(N3405="N",B3405&amp;"|"&amp;ROUND(O3405,0),"")</f>
        <v/>
      </c>
      <c r="Q3405" s="18" t="str">
        <f aca="false">IF(N3405&lt;&gt;"Y","",IFERROR(INDEX($D$6:$D$4005,MATCH(B3405&amp;"|"&amp;ROUND(_xlfn.MAXIFS($O$6:$O$4005,$B$6:$B$4005,B3405,$N$6:$N$4005,"N"),0),$P$6:$P$4005,0)),"(tanpa lawan)"))</f>
        <v/>
      </c>
      <c r="R3405" s="44"/>
      <c r="S3405" s="9" t="str">
        <f aca="false">IF(N3405&lt;&gt;"Y","",IF(R3405&lt;&gt;"",R3405,IF(Q3405="(tanpa lawan)","Transfer antar rekening",IFERROR(INDEX(I_COA!$F$6:$F$265,MATCH(Q3405,I_COA!$A$6:$A$265,0)),"?"))))</f>
        <v/>
      </c>
    </row>
    <row r="3406" customFormat="false" ht="15" hidden="false" customHeight="false" outlineLevel="0" collapsed="false">
      <c r="A3406" s="37"/>
      <c r="B3406" s="44"/>
      <c r="C3406" s="44"/>
      <c r="D3406" s="44"/>
      <c r="E3406" s="44"/>
      <c r="F3406" s="44"/>
      <c r="G3406" s="42"/>
      <c r="H3406" s="42"/>
      <c r="I3406" s="44"/>
      <c r="J3406" s="11" t="str">
        <f aca="false">IF(D3406="","",N(G3406)-N(H3406))</f>
        <v/>
      </c>
      <c r="K3406" s="34" t="str">
        <f aca="false">IF(D3406="","",IFERROR(INDEX(I_COA!$C$6:$C$265,MATCH(D3406,I_COA!$A$6:$A$265,0)),"AKUN BARU"))</f>
        <v/>
      </c>
      <c r="L3406" s="34" t="str">
        <f aca="false">IF(K3406="LabaRugi",INDEX(I_COA!$D$6:$D$265,MATCH(D3406,I_COA!$A$6:$A$265,0)),"")</f>
        <v/>
      </c>
      <c r="M3406" s="34" t="str">
        <f aca="false">IF(K3406="Neraca",INDEX(I_COA!$E$6:$E$265,MATCH(D3406,I_COA!$A$6:$A$265,0)),"")</f>
        <v/>
      </c>
      <c r="N3406" s="34" t="str">
        <f aca="false">IF(D3406="","",IFERROR(INDEX(I_COA!$G$6:$G$265,MATCH(D3406,I_COA!$A$6:$A$265,0)),"N"))</f>
        <v/>
      </c>
      <c r="O3406" s="11" t="str">
        <f aca="false">IF(N3406="N",ABS(J3406),"")</f>
        <v/>
      </c>
      <c r="P3406" s="18" t="str">
        <f aca="false">IF(N3406="N",B3406&amp;"|"&amp;ROUND(O3406,0),"")</f>
        <v/>
      </c>
      <c r="Q3406" s="18" t="str">
        <f aca="false">IF(N3406&lt;&gt;"Y","",IFERROR(INDEX($D$6:$D$4005,MATCH(B3406&amp;"|"&amp;ROUND(_xlfn.MAXIFS($O$6:$O$4005,$B$6:$B$4005,B3406,$N$6:$N$4005,"N"),0),$P$6:$P$4005,0)),"(tanpa lawan)"))</f>
        <v/>
      </c>
      <c r="R3406" s="44"/>
      <c r="S3406" s="9" t="str">
        <f aca="false">IF(N3406&lt;&gt;"Y","",IF(R3406&lt;&gt;"",R3406,IF(Q3406="(tanpa lawan)","Transfer antar rekening",IFERROR(INDEX(I_COA!$F$6:$F$265,MATCH(Q3406,I_COA!$A$6:$A$265,0)),"?"))))</f>
        <v/>
      </c>
    </row>
    <row r="3407" customFormat="false" ht="15" hidden="false" customHeight="false" outlineLevel="0" collapsed="false">
      <c r="A3407" s="37"/>
      <c r="B3407" s="44"/>
      <c r="C3407" s="44"/>
      <c r="D3407" s="44"/>
      <c r="E3407" s="44"/>
      <c r="F3407" s="44"/>
      <c r="G3407" s="42"/>
      <c r="H3407" s="42"/>
      <c r="I3407" s="44"/>
      <c r="J3407" s="11" t="str">
        <f aca="false">IF(D3407="","",N(G3407)-N(H3407))</f>
        <v/>
      </c>
      <c r="K3407" s="34" t="str">
        <f aca="false">IF(D3407="","",IFERROR(INDEX(I_COA!$C$6:$C$265,MATCH(D3407,I_COA!$A$6:$A$265,0)),"AKUN BARU"))</f>
        <v/>
      </c>
      <c r="L3407" s="34" t="str">
        <f aca="false">IF(K3407="LabaRugi",INDEX(I_COA!$D$6:$D$265,MATCH(D3407,I_COA!$A$6:$A$265,0)),"")</f>
        <v/>
      </c>
      <c r="M3407" s="34" t="str">
        <f aca="false">IF(K3407="Neraca",INDEX(I_COA!$E$6:$E$265,MATCH(D3407,I_COA!$A$6:$A$265,0)),"")</f>
        <v/>
      </c>
      <c r="N3407" s="34" t="str">
        <f aca="false">IF(D3407="","",IFERROR(INDEX(I_COA!$G$6:$G$265,MATCH(D3407,I_COA!$A$6:$A$265,0)),"N"))</f>
        <v/>
      </c>
      <c r="O3407" s="11" t="str">
        <f aca="false">IF(N3407="N",ABS(J3407),"")</f>
        <v/>
      </c>
      <c r="P3407" s="18" t="str">
        <f aca="false">IF(N3407="N",B3407&amp;"|"&amp;ROUND(O3407,0),"")</f>
        <v/>
      </c>
      <c r="Q3407" s="18" t="str">
        <f aca="false">IF(N3407&lt;&gt;"Y","",IFERROR(INDEX($D$6:$D$4005,MATCH(B3407&amp;"|"&amp;ROUND(_xlfn.MAXIFS($O$6:$O$4005,$B$6:$B$4005,B3407,$N$6:$N$4005,"N"),0),$P$6:$P$4005,0)),"(tanpa lawan)"))</f>
        <v/>
      </c>
      <c r="R3407" s="44"/>
      <c r="S3407" s="9" t="str">
        <f aca="false">IF(N3407&lt;&gt;"Y","",IF(R3407&lt;&gt;"",R3407,IF(Q3407="(tanpa lawan)","Transfer antar rekening",IFERROR(INDEX(I_COA!$F$6:$F$265,MATCH(Q3407,I_COA!$A$6:$A$265,0)),"?"))))</f>
        <v/>
      </c>
    </row>
    <row r="3408" customFormat="false" ht="15" hidden="false" customHeight="false" outlineLevel="0" collapsed="false">
      <c r="A3408" s="37"/>
      <c r="B3408" s="44"/>
      <c r="C3408" s="44"/>
      <c r="D3408" s="44"/>
      <c r="E3408" s="44"/>
      <c r="F3408" s="44"/>
      <c r="G3408" s="42"/>
      <c r="H3408" s="42"/>
      <c r="I3408" s="44"/>
      <c r="J3408" s="11" t="str">
        <f aca="false">IF(D3408="","",N(G3408)-N(H3408))</f>
        <v/>
      </c>
      <c r="K3408" s="34" t="str">
        <f aca="false">IF(D3408="","",IFERROR(INDEX(I_COA!$C$6:$C$265,MATCH(D3408,I_COA!$A$6:$A$265,0)),"AKUN BARU"))</f>
        <v/>
      </c>
      <c r="L3408" s="34" t="str">
        <f aca="false">IF(K3408="LabaRugi",INDEX(I_COA!$D$6:$D$265,MATCH(D3408,I_COA!$A$6:$A$265,0)),"")</f>
        <v/>
      </c>
      <c r="M3408" s="34" t="str">
        <f aca="false">IF(K3408="Neraca",INDEX(I_COA!$E$6:$E$265,MATCH(D3408,I_COA!$A$6:$A$265,0)),"")</f>
        <v/>
      </c>
      <c r="N3408" s="34" t="str">
        <f aca="false">IF(D3408="","",IFERROR(INDEX(I_COA!$G$6:$G$265,MATCH(D3408,I_COA!$A$6:$A$265,0)),"N"))</f>
        <v/>
      </c>
      <c r="O3408" s="11" t="str">
        <f aca="false">IF(N3408="N",ABS(J3408),"")</f>
        <v/>
      </c>
      <c r="P3408" s="18" t="str">
        <f aca="false">IF(N3408="N",B3408&amp;"|"&amp;ROUND(O3408,0),"")</f>
        <v/>
      </c>
      <c r="Q3408" s="18" t="str">
        <f aca="false">IF(N3408&lt;&gt;"Y","",IFERROR(INDEX($D$6:$D$4005,MATCH(B3408&amp;"|"&amp;ROUND(_xlfn.MAXIFS($O$6:$O$4005,$B$6:$B$4005,B3408,$N$6:$N$4005,"N"),0),$P$6:$P$4005,0)),"(tanpa lawan)"))</f>
        <v/>
      </c>
      <c r="R3408" s="44"/>
      <c r="S3408" s="9" t="str">
        <f aca="false">IF(N3408&lt;&gt;"Y","",IF(R3408&lt;&gt;"",R3408,IF(Q3408="(tanpa lawan)","Transfer antar rekening",IFERROR(INDEX(I_COA!$F$6:$F$265,MATCH(Q3408,I_COA!$A$6:$A$265,0)),"?"))))</f>
        <v/>
      </c>
    </row>
    <row r="3409" customFormat="false" ht="15" hidden="false" customHeight="false" outlineLevel="0" collapsed="false">
      <c r="A3409" s="37"/>
      <c r="B3409" s="44"/>
      <c r="C3409" s="44"/>
      <c r="D3409" s="44"/>
      <c r="E3409" s="44"/>
      <c r="F3409" s="44"/>
      <c r="G3409" s="42"/>
      <c r="H3409" s="42"/>
      <c r="I3409" s="44"/>
      <c r="J3409" s="11" t="str">
        <f aca="false">IF(D3409="","",N(G3409)-N(H3409))</f>
        <v/>
      </c>
      <c r="K3409" s="34" t="str">
        <f aca="false">IF(D3409="","",IFERROR(INDEX(I_COA!$C$6:$C$265,MATCH(D3409,I_COA!$A$6:$A$265,0)),"AKUN BARU"))</f>
        <v/>
      </c>
      <c r="L3409" s="34" t="str">
        <f aca="false">IF(K3409="LabaRugi",INDEX(I_COA!$D$6:$D$265,MATCH(D3409,I_COA!$A$6:$A$265,0)),"")</f>
        <v/>
      </c>
      <c r="M3409" s="34" t="str">
        <f aca="false">IF(K3409="Neraca",INDEX(I_COA!$E$6:$E$265,MATCH(D3409,I_COA!$A$6:$A$265,0)),"")</f>
        <v/>
      </c>
      <c r="N3409" s="34" t="str">
        <f aca="false">IF(D3409="","",IFERROR(INDEX(I_COA!$G$6:$G$265,MATCH(D3409,I_COA!$A$6:$A$265,0)),"N"))</f>
        <v/>
      </c>
      <c r="O3409" s="11" t="str">
        <f aca="false">IF(N3409="N",ABS(J3409),"")</f>
        <v/>
      </c>
      <c r="P3409" s="18" t="str">
        <f aca="false">IF(N3409="N",B3409&amp;"|"&amp;ROUND(O3409,0),"")</f>
        <v/>
      </c>
      <c r="Q3409" s="18" t="str">
        <f aca="false">IF(N3409&lt;&gt;"Y","",IFERROR(INDEX($D$6:$D$4005,MATCH(B3409&amp;"|"&amp;ROUND(_xlfn.MAXIFS($O$6:$O$4005,$B$6:$B$4005,B3409,$N$6:$N$4005,"N"),0),$P$6:$P$4005,0)),"(tanpa lawan)"))</f>
        <v/>
      </c>
      <c r="R3409" s="44"/>
      <c r="S3409" s="9" t="str">
        <f aca="false">IF(N3409&lt;&gt;"Y","",IF(R3409&lt;&gt;"",R3409,IF(Q3409="(tanpa lawan)","Transfer antar rekening",IFERROR(INDEX(I_COA!$F$6:$F$265,MATCH(Q3409,I_COA!$A$6:$A$265,0)),"?"))))</f>
        <v/>
      </c>
    </row>
    <row r="3410" customFormat="false" ht="15" hidden="false" customHeight="false" outlineLevel="0" collapsed="false">
      <c r="A3410" s="37"/>
      <c r="B3410" s="44"/>
      <c r="C3410" s="44"/>
      <c r="D3410" s="44"/>
      <c r="E3410" s="44"/>
      <c r="F3410" s="44"/>
      <c r="G3410" s="42"/>
      <c r="H3410" s="42"/>
      <c r="I3410" s="44"/>
      <c r="J3410" s="11" t="str">
        <f aca="false">IF(D3410="","",N(G3410)-N(H3410))</f>
        <v/>
      </c>
      <c r="K3410" s="34" t="str">
        <f aca="false">IF(D3410="","",IFERROR(INDEX(I_COA!$C$6:$C$265,MATCH(D3410,I_COA!$A$6:$A$265,0)),"AKUN BARU"))</f>
        <v/>
      </c>
      <c r="L3410" s="34" t="str">
        <f aca="false">IF(K3410="LabaRugi",INDEX(I_COA!$D$6:$D$265,MATCH(D3410,I_COA!$A$6:$A$265,0)),"")</f>
        <v/>
      </c>
      <c r="M3410" s="34" t="str">
        <f aca="false">IF(K3410="Neraca",INDEX(I_COA!$E$6:$E$265,MATCH(D3410,I_COA!$A$6:$A$265,0)),"")</f>
        <v/>
      </c>
      <c r="N3410" s="34" t="str">
        <f aca="false">IF(D3410="","",IFERROR(INDEX(I_COA!$G$6:$G$265,MATCH(D3410,I_COA!$A$6:$A$265,0)),"N"))</f>
        <v/>
      </c>
      <c r="O3410" s="11" t="str">
        <f aca="false">IF(N3410="N",ABS(J3410),"")</f>
        <v/>
      </c>
      <c r="P3410" s="18" t="str">
        <f aca="false">IF(N3410="N",B3410&amp;"|"&amp;ROUND(O3410,0),"")</f>
        <v/>
      </c>
      <c r="Q3410" s="18" t="str">
        <f aca="false">IF(N3410&lt;&gt;"Y","",IFERROR(INDEX($D$6:$D$4005,MATCH(B3410&amp;"|"&amp;ROUND(_xlfn.MAXIFS($O$6:$O$4005,$B$6:$B$4005,B3410,$N$6:$N$4005,"N"),0),$P$6:$P$4005,0)),"(tanpa lawan)"))</f>
        <v/>
      </c>
      <c r="R3410" s="44"/>
      <c r="S3410" s="9" t="str">
        <f aca="false">IF(N3410&lt;&gt;"Y","",IF(R3410&lt;&gt;"",R3410,IF(Q3410="(tanpa lawan)","Transfer antar rekening",IFERROR(INDEX(I_COA!$F$6:$F$265,MATCH(Q3410,I_COA!$A$6:$A$265,0)),"?"))))</f>
        <v/>
      </c>
    </row>
    <row r="3411" customFormat="false" ht="15" hidden="false" customHeight="false" outlineLevel="0" collapsed="false">
      <c r="A3411" s="37"/>
      <c r="B3411" s="44"/>
      <c r="C3411" s="44"/>
      <c r="D3411" s="44"/>
      <c r="E3411" s="44"/>
      <c r="F3411" s="44"/>
      <c r="G3411" s="42"/>
      <c r="H3411" s="42"/>
      <c r="I3411" s="44"/>
      <c r="J3411" s="11" t="str">
        <f aca="false">IF(D3411="","",N(G3411)-N(H3411))</f>
        <v/>
      </c>
      <c r="K3411" s="34" t="str">
        <f aca="false">IF(D3411="","",IFERROR(INDEX(I_COA!$C$6:$C$265,MATCH(D3411,I_COA!$A$6:$A$265,0)),"AKUN BARU"))</f>
        <v/>
      </c>
      <c r="L3411" s="34" t="str">
        <f aca="false">IF(K3411="LabaRugi",INDEX(I_COA!$D$6:$D$265,MATCH(D3411,I_COA!$A$6:$A$265,0)),"")</f>
        <v/>
      </c>
      <c r="M3411" s="34" t="str">
        <f aca="false">IF(K3411="Neraca",INDEX(I_COA!$E$6:$E$265,MATCH(D3411,I_COA!$A$6:$A$265,0)),"")</f>
        <v/>
      </c>
      <c r="N3411" s="34" t="str">
        <f aca="false">IF(D3411="","",IFERROR(INDEX(I_COA!$G$6:$G$265,MATCH(D3411,I_COA!$A$6:$A$265,0)),"N"))</f>
        <v/>
      </c>
      <c r="O3411" s="11" t="str">
        <f aca="false">IF(N3411="N",ABS(J3411),"")</f>
        <v/>
      </c>
      <c r="P3411" s="18" t="str">
        <f aca="false">IF(N3411="N",B3411&amp;"|"&amp;ROUND(O3411,0),"")</f>
        <v/>
      </c>
      <c r="Q3411" s="18" t="str">
        <f aca="false">IF(N3411&lt;&gt;"Y","",IFERROR(INDEX($D$6:$D$4005,MATCH(B3411&amp;"|"&amp;ROUND(_xlfn.MAXIFS($O$6:$O$4005,$B$6:$B$4005,B3411,$N$6:$N$4005,"N"),0),$P$6:$P$4005,0)),"(tanpa lawan)"))</f>
        <v/>
      </c>
      <c r="R3411" s="44"/>
      <c r="S3411" s="9" t="str">
        <f aca="false">IF(N3411&lt;&gt;"Y","",IF(R3411&lt;&gt;"",R3411,IF(Q3411="(tanpa lawan)","Transfer antar rekening",IFERROR(INDEX(I_COA!$F$6:$F$265,MATCH(Q3411,I_COA!$A$6:$A$265,0)),"?"))))</f>
        <v/>
      </c>
    </row>
    <row r="3412" customFormat="false" ht="15" hidden="false" customHeight="false" outlineLevel="0" collapsed="false">
      <c r="A3412" s="37"/>
      <c r="B3412" s="44"/>
      <c r="C3412" s="44"/>
      <c r="D3412" s="44"/>
      <c r="E3412" s="44"/>
      <c r="F3412" s="44"/>
      <c r="G3412" s="42"/>
      <c r="H3412" s="42"/>
      <c r="I3412" s="44"/>
      <c r="J3412" s="11" t="str">
        <f aca="false">IF(D3412="","",N(G3412)-N(H3412))</f>
        <v/>
      </c>
      <c r="K3412" s="34" t="str">
        <f aca="false">IF(D3412="","",IFERROR(INDEX(I_COA!$C$6:$C$265,MATCH(D3412,I_COA!$A$6:$A$265,0)),"AKUN BARU"))</f>
        <v/>
      </c>
      <c r="L3412" s="34" t="str">
        <f aca="false">IF(K3412="LabaRugi",INDEX(I_COA!$D$6:$D$265,MATCH(D3412,I_COA!$A$6:$A$265,0)),"")</f>
        <v/>
      </c>
      <c r="M3412" s="34" t="str">
        <f aca="false">IF(K3412="Neraca",INDEX(I_COA!$E$6:$E$265,MATCH(D3412,I_COA!$A$6:$A$265,0)),"")</f>
        <v/>
      </c>
      <c r="N3412" s="34" t="str">
        <f aca="false">IF(D3412="","",IFERROR(INDEX(I_COA!$G$6:$G$265,MATCH(D3412,I_COA!$A$6:$A$265,0)),"N"))</f>
        <v/>
      </c>
      <c r="O3412" s="11" t="str">
        <f aca="false">IF(N3412="N",ABS(J3412),"")</f>
        <v/>
      </c>
      <c r="P3412" s="18" t="str">
        <f aca="false">IF(N3412="N",B3412&amp;"|"&amp;ROUND(O3412,0),"")</f>
        <v/>
      </c>
      <c r="Q3412" s="18" t="str">
        <f aca="false">IF(N3412&lt;&gt;"Y","",IFERROR(INDEX($D$6:$D$4005,MATCH(B3412&amp;"|"&amp;ROUND(_xlfn.MAXIFS($O$6:$O$4005,$B$6:$B$4005,B3412,$N$6:$N$4005,"N"),0),$P$6:$P$4005,0)),"(tanpa lawan)"))</f>
        <v/>
      </c>
      <c r="R3412" s="44"/>
      <c r="S3412" s="9" t="str">
        <f aca="false">IF(N3412&lt;&gt;"Y","",IF(R3412&lt;&gt;"",R3412,IF(Q3412="(tanpa lawan)","Transfer antar rekening",IFERROR(INDEX(I_COA!$F$6:$F$265,MATCH(Q3412,I_COA!$A$6:$A$265,0)),"?"))))</f>
        <v/>
      </c>
    </row>
    <row r="3413" customFormat="false" ht="15" hidden="false" customHeight="false" outlineLevel="0" collapsed="false">
      <c r="A3413" s="37"/>
      <c r="B3413" s="44"/>
      <c r="C3413" s="44"/>
      <c r="D3413" s="44"/>
      <c r="E3413" s="44"/>
      <c r="F3413" s="44"/>
      <c r="G3413" s="42"/>
      <c r="H3413" s="42"/>
      <c r="I3413" s="44"/>
      <c r="J3413" s="11" t="str">
        <f aca="false">IF(D3413="","",N(G3413)-N(H3413))</f>
        <v/>
      </c>
      <c r="K3413" s="34" t="str">
        <f aca="false">IF(D3413="","",IFERROR(INDEX(I_COA!$C$6:$C$265,MATCH(D3413,I_COA!$A$6:$A$265,0)),"AKUN BARU"))</f>
        <v/>
      </c>
      <c r="L3413" s="34" t="str">
        <f aca="false">IF(K3413="LabaRugi",INDEX(I_COA!$D$6:$D$265,MATCH(D3413,I_COA!$A$6:$A$265,0)),"")</f>
        <v/>
      </c>
      <c r="M3413" s="34" t="str">
        <f aca="false">IF(K3413="Neraca",INDEX(I_COA!$E$6:$E$265,MATCH(D3413,I_COA!$A$6:$A$265,0)),"")</f>
        <v/>
      </c>
      <c r="N3413" s="34" t="str">
        <f aca="false">IF(D3413="","",IFERROR(INDEX(I_COA!$G$6:$G$265,MATCH(D3413,I_COA!$A$6:$A$265,0)),"N"))</f>
        <v/>
      </c>
      <c r="O3413" s="11" t="str">
        <f aca="false">IF(N3413="N",ABS(J3413),"")</f>
        <v/>
      </c>
      <c r="P3413" s="18" t="str">
        <f aca="false">IF(N3413="N",B3413&amp;"|"&amp;ROUND(O3413,0),"")</f>
        <v/>
      </c>
      <c r="Q3413" s="18" t="str">
        <f aca="false">IF(N3413&lt;&gt;"Y","",IFERROR(INDEX($D$6:$D$4005,MATCH(B3413&amp;"|"&amp;ROUND(_xlfn.MAXIFS($O$6:$O$4005,$B$6:$B$4005,B3413,$N$6:$N$4005,"N"),0),$P$6:$P$4005,0)),"(tanpa lawan)"))</f>
        <v/>
      </c>
      <c r="R3413" s="44"/>
      <c r="S3413" s="9" t="str">
        <f aca="false">IF(N3413&lt;&gt;"Y","",IF(R3413&lt;&gt;"",R3413,IF(Q3413="(tanpa lawan)","Transfer antar rekening",IFERROR(INDEX(I_COA!$F$6:$F$265,MATCH(Q3413,I_COA!$A$6:$A$265,0)),"?"))))</f>
        <v/>
      </c>
    </row>
    <row r="3414" customFormat="false" ht="15" hidden="false" customHeight="false" outlineLevel="0" collapsed="false">
      <c r="A3414" s="37"/>
      <c r="B3414" s="44"/>
      <c r="C3414" s="44"/>
      <c r="D3414" s="44"/>
      <c r="E3414" s="44"/>
      <c r="F3414" s="44"/>
      <c r="G3414" s="42"/>
      <c r="H3414" s="42"/>
      <c r="I3414" s="44"/>
      <c r="J3414" s="11" t="str">
        <f aca="false">IF(D3414="","",N(G3414)-N(H3414))</f>
        <v/>
      </c>
      <c r="K3414" s="34" t="str">
        <f aca="false">IF(D3414="","",IFERROR(INDEX(I_COA!$C$6:$C$265,MATCH(D3414,I_COA!$A$6:$A$265,0)),"AKUN BARU"))</f>
        <v/>
      </c>
      <c r="L3414" s="34" t="str">
        <f aca="false">IF(K3414="LabaRugi",INDEX(I_COA!$D$6:$D$265,MATCH(D3414,I_COA!$A$6:$A$265,0)),"")</f>
        <v/>
      </c>
      <c r="M3414" s="34" t="str">
        <f aca="false">IF(K3414="Neraca",INDEX(I_COA!$E$6:$E$265,MATCH(D3414,I_COA!$A$6:$A$265,0)),"")</f>
        <v/>
      </c>
      <c r="N3414" s="34" t="str">
        <f aca="false">IF(D3414="","",IFERROR(INDEX(I_COA!$G$6:$G$265,MATCH(D3414,I_COA!$A$6:$A$265,0)),"N"))</f>
        <v/>
      </c>
      <c r="O3414" s="11" t="str">
        <f aca="false">IF(N3414="N",ABS(J3414),"")</f>
        <v/>
      </c>
      <c r="P3414" s="18" t="str">
        <f aca="false">IF(N3414="N",B3414&amp;"|"&amp;ROUND(O3414,0),"")</f>
        <v/>
      </c>
      <c r="Q3414" s="18" t="str">
        <f aca="false">IF(N3414&lt;&gt;"Y","",IFERROR(INDEX($D$6:$D$4005,MATCH(B3414&amp;"|"&amp;ROUND(_xlfn.MAXIFS($O$6:$O$4005,$B$6:$B$4005,B3414,$N$6:$N$4005,"N"),0),$P$6:$P$4005,0)),"(tanpa lawan)"))</f>
        <v/>
      </c>
      <c r="R3414" s="44"/>
      <c r="S3414" s="9" t="str">
        <f aca="false">IF(N3414&lt;&gt;"Y","",IF(R3414&lt;&gt;"",R3414,IF(Q3414="(tanpa lawan)","Transfer antar rekening",IFERROR(INDEX(I_COA!$F$6:$F$265,MATCH(Q3414,I_COA!$A$6:$A$265,0)),"?"))))</f>
        <v/>
      </c>
    </row>
    <row r="3415" customFormat="false" ht="15" hidden="false" customHeight="false" outlineLevel="0" collapsed="false">
      <c r="A3415" s="37"/>
      <c r="B3415" s="44"/>
      <c r="C3415" s="44"/>
      <c r="D3415" s="44"/>
      <c r="E3415" s="44"/>
      <c r="F3415" s="44"/>
      <c r="G3415" s="42"/>
      <c r="H3415" s="42"/>
      <c r="I3415" s="44"/>
      <c r="J3415" s="11" t="str">
        <f aca="false">IF(D3415="","",N(G3415)-N(H3415))</f>
        <v/>
      </c>
      <c r="K3415" s="34" t="str">
        <f aca="false">IF(D3415="","",IFERROR(INDEX(I_COA!$C$6:$C$265,MATCH(D3415,I_COA!$A$6:$A$265,0)),"AKUN BARU"))</f>
        <v/>
      </c>
      <c r="L3415" s="34" t="str">
        <f aca="false">IF(K3415="LabaRugi",INDEX(I_COA!$D$6:$D$265,MATCH(D3415,I_COA!$A$6:$A$265,0)),"")</f>
        <v/>
      </c>
      <c r="M3415" s="34" t="str">
        <f aca="false">IF(K3415="Neraca",INDEX(I_COA!$E$6:$E$265,MATCH(D3415,I_COA!$A$6:$A$265,0)),"")</f>
        <v/>
      </c>
      <c r="N3415" s="34" t="str">
        <f aca="false">IF(D3415="","",IFERROR(INDEX(I_COA!$G$6:$G$265,MATCH(D3415,I_COA!$A$6:$A$265,0)),"N"))</f>
        <v/>
      </c>
      <c r="O3415" s="11" t="str">
        <f aca="false">IF(N3415="N",ABS(J3415),"")</f>
        <v/>
      </c>
      <c r="P3415" s="18" t="str">
        <f aca="false">IF(N3415="N",B3415&amp;"|"&amp;ROUND(O3415,0),"")</f>
        <v/>
      </c>
      <c r="Q3415" s="18" t="str">
        <f aca="false">IF(N3415&lt;&gt;"Y","",IFERROR(INDEX($D$6:$D$4005,MATCH(B3415&amp;"|"&amp;ROUND(_xlfn.MAXIFS($O$6:$O$4005,$B$6:$B$4005,B3415,$N$6:$N$4005,"N"),0),$P$6:$P$4005,0)),"(tanpa lawan)"))</f>
        <v/>
      </c>
      <c r="R3415" s="44"/>
      <c r="S3415" s="9" t="str">
        <f aca="false">IF(N3415&lt;&gt;"Y","",IF(R3415&lt;&gt;"",R3415,IF(Q3415="(tanpa lawan)","Transfer antar rekening",IFERROR(INDEX(I_COA!$F$6:$F$265,MATCH(Q3415,I_COA!$A$6:$A$265,0)),"?"))))</f>
        <v/>
      </c>
    </row>
    <row r="3416" customFormat="false" ht="15" hidden="false" customHeight="false" outlineLevel="0" collapsed="false">
      <c r="A3416" s="37"/>
      <c r="B3416" s="44"/>
      <c r="C3416" s="44"/>
      <c r="D3416" s="44"/>
      <c r="E3416" s="44"/>
      <c r="F3416" s="44"/>
      <c r="G3416" s="42"/>
      <c r="H3416" s="42"/>
      <c r="I3416" s="44"/>
      <c r="J3416" s="11" t="str">
        <f aca="false">IF(D3416="","",N(G3416)-N(H3416))</f>
        <v/>
      </c>
      <c r="K3416" s="34" t="str">
        <f aca="false">IF(D3416="","",IFERROR(INDEX(I_COA!$C$6:$C$265,MATCH(D3416,I_COA!$A$6:$A$265,0)),"AKUN BARU"))</f>
        <v/>
      </c>
      <c r="L3416" s="34" t="str">
        <f aca="false">IF(K3416="LabaRugi",INDEX(I_COA!$D$6:$D$265,MATCH(D3416,I_COA!$A$6:$A$265,0)),"")</f>
        <v/>
      </c>
      <c r="M3416" s="34" t="str">
        <f aca="false">IF(K3416="Neraca",INDEX(I_COA!$E$6:$E$265,MATCH(D3416,I_COA!$A$6:$A$265,0)),"")</f>
        <v/>
      </c>
      <c r="N3416" s="34" t="str">
        <f aca="false">IF(D3416="","",IFERROR(INDEX(I_COA!$G$6:$G$265,MATCH(D3416,I_COA!$A$6:$A$265,0)),"N"))</f>
        <v/>
      </c>
      <c r="O3416" s="11" t="str">
        <f aca="false">IF(N3416="N",ABS(J3416),"")</f>
        <v/>
      </c>
      <c r="P3416" s="18" t="str">
        <f aca="false">IF(N3416="N",B3416&amp;"|"&amp;ROUND(O3416,0),"")</f>
        <v/>
      </c>
      <c r="Q3416" s="18" t="str">
        <f aca="false">IF(N3416&lt;&gt;"Y","",IFERROR(INDEX($D$6:$D$4005,MATCH(B3416&amp;"|"&amp;ROUND(_xlfn.MAXIFS($O$6:$O$4005,$B$6:$B$4005,B3416,$N$6:$N$4005,"N"),0),$P$6:$P$4005,0)),"(tanpa lawan)"))</f>
        <v/>
      </c>
      <c r="R3416" s="44"/>
      <c r="S3416" s="9" t="str">
        <f aca="false">IF(N3416&lt;&gt;"Y","",IF(R3416&lt;&gt;"",R3416,IF(Q3416="(tanpa lawan)","Transfer antar rekening",IFERROR(INDEX(I_COA!$F$6:$F$265,MATCH(Q3416,I_COA!$A$6:$A$265,0)),"?"))))</f>
        <v/>
      </c>
    </row>
    <row r="3417" customFormat="false" ht="15" hidden="false" customHeight="false" outlineLevel="0" collapsed="false">
      <c r="A3417" s="37"/>
      <c r="B3417" s="44"/>
      <c r="C3417" s="44"/>
      <c r="D3417" s="44"/>
      <c r="E3417" s="44"/>
      <c r="F3417" s="44"/>
      <c r="G3417" s="42"/>
      <c r="H3417" s="42"/>
      <c r="I3417" s="44"/>
      <c r="J3417" s="11" t="str">
        <f aca="false">IF(D3417="","",N(G3417)-N(H3417))</f>
        <v/>
      </c>
      <c r="K3417" s="34" t="str">
        <f aca="false">IF(D3417="","",IFERROR(INDEX(I_COA!$C$6:$C$265,MATCH(D3417,I_COA!$A$6:$A$265,0)),"AKUN BARU"))</f>
        <v/>
      </c>
      <c r="L3417" s="34" t="str">
        <f aca="false">IF(K3417="LabaRugi",INDEX(I_COA!$D$6:$D$265,MATCH(D3417,I_COA!$A$6:$A$265,0)),"")</f>
        <v/>
      </c>
      <c r="M3417" s="34" t="str">
        <f aca="false">IF(K3417="Neraca",INDEX(I_COA!$E$6:$E$265,MATCH(D3417,I_COA!$A$6:$A$265,0)),"")</f>
        <v/>
      </c>
      <c r="N3417" s="34" t="str">
        <f aca="false">IF(D3417="","",IFERROR(INDEX(I_COA!$G$6:$G$265,MATCH(D3417,I_COA!$A$6:$A$265,0)),"N"))</f>
        <v/>
      </c>
      <c r="O3417" s="11" t="str">
        <f aca="false">IF(N3417="N",ABS(J3417),"")</f>
        <v/>
      </c>
      <c r="P3417" s="18" t="str">
        <f aca="false">IF(N3417="N",B3417&amp;"|"&amp;ROUND(O3417,0),"")</f>
        <v/>
      </c>
      <c r="Q3417" s="18" t="str">
        <f aca="false">IF(N3417&lt;&gt;"Y","",IFERROR(INDEX($D$6:$D$4005,MATCH(B3417&amp;"|"&amp;ROUND(_xlfn.MAXIFS($O$6:$O$4005,$B$6:$B$4005,B3417,$N$6:$N$4005,"N"),0),$P$6:$P$4005,0)),"(tanpa lawan)"))</f>
        <v/>
      </c>
      <c r="R3417" s="44"/>
      <c r="S3417" s="9" t="str">
        <f aca="false">IF(N3417&lt;&gt;"Y","",IF(R3417&lt;&gt;"",R3417,IF(Q3417="(tanpa lawan)","Transfer antar rekening",IFERROR(INDEX(I_COA!$F$6:$F$265,MATCH(Q3417,I_COA!$A$6:$A$265,0)),"?"))))</f>
        <v/>
      </c>
    </row>
    <row r="3418" customFormat="false" ht="15" hidden="false" customHeight="false" outlineLevel="0" collapsed="false">
      <c r="A3418" s="37"/>
      <c r="B3418" s="44"/>
      <c r="C3418" s="44"/>
      <c r="D3418" s="44"/>
      <c r="E3418" s="44"/>
      <c r="F3418" s="44"/>
      <c r="G3418" s="42"/>
      <c r="H3418" s="42"/>
      <c r="I3418" s="44"/>
      <c r="J3418" s="11" t="str">
        <f aca="false">IF(D3418="","",N(G3418)-N(H3418))</f>
        <v/>
      </c>
      <c r="K3418" s="34" t="str">
        <f aca="false">IF(D3418="","",IFERROR(INDEX(I_COA!$C$6:$C$265,MATCH(D3418,I_COA!$A$6:$A$265,0)),"AKUN BARU"))</f>
        <v/>
      </c>
      <c r="L3418" s="34" t="str">
        <f aca="false">IF(K3418="LabaRugi",INDEX(I_COA!$D$6:$D$265,MATCH(D3418,I_COA!$A$6:$A$265,0)),"")</f>
        <v/>
      </c>
      <c r="M3418" s="34" t="str">
        <f aca="false">IF(K3418="Neraca",INDEX(I_COA!$E$6:$E$265,MATCH(D3418,I_COA!$A$6:$A$265,0)),"")</f>
        <v/>
      </c>
      <c r="N3418" s="34" t="str">
        <f aca="false">IF(D3418="","",IFERROR(INDEX(I_COA!$G$6:$G$265,MATCH(D3418,I_COA!$A$6:$A$265,0)),"N"))</f>
        <v/>
      </c>
      <c r="O3418" s="11" t="str">
        <f aca="false">IF(N3418="N",ABS(J3418),"")</f>
        <v/>
      </c>
      <c r="P3418" s="18" t="str">
        <f aca="false">IF(N3418="N",B3418&amp;"|"&amp;ROUND(O3418,0),"")</f>
        <v/>
      </c>
      <c r="Q3418" s="18" t="str">
        <f aca="false">IF(N3418&lt;&gt;"Y","",IFERROR(INDEX($D$6:$D$4005,MATCH(B3418&amp;"|"&amp;ROUND(_xlfn.MAXIFS($O$6:$O$4005,$B$6:$B$4005,B3418,$N$6:$N$4005,"N"),0),$P$6:$P$4005,0)),"(tanpa lawan)"))</f>
        <v/>
      </c>
      <c r="R3418" s="44"/>
      <c r="S3418" s="9" t="str">
        <f aca="false">IF(N3418&lt;&gt;"Y","",IF(R3418&lt;&gt;"",R3418,IF(Q3418="(tanpa lawan)","Transfer antar rekening",IFERROR(INDEX(I_COA!$F$6:$F$265,MATCH(Q3418,I_COA!$A$6:$A$265,0)),"?"))))</f>
        <v/>
      </c>
    </row>
    <row r="3419" customFormat="false" ht="15" hidden="false" customHeight="false" outlineLevel="0" collapsed="false">
      <c r="A3419" s="37"/>
      <c r="B3419" s="44"/>
      <c r="C3419" s="44"/>
      <c r="D3419" s="44"/>
      <c r="E3419" s="44"/>
      <c r="F3419" s="44"/>
      <c r="G3419" s="42"/>
      <c r="H3419" s="42"/>
      <c r="I3419" s="44"/>
      <c r="J3419" s="11" t="str">
        <f aca="false">IF(D3419="","",N(G3419)-N(H3419))</f>
        <v/>
      </c>
      <c r="K3419" s="34" t="str">
        <f aca="false">IF(D3419="","",IFERROR(INDEX(I_COA!$C$6:$C$265,MATCH(D3419,I_COA!$A$6:$A$265,0)),"AKUN BARU"))</f>
        <v/>
      </c>
      <c r="L3419" s="34" t="str">
        <f aca="false">IF(K3419="LabaRugi",INDEX(I_COA!$D$6:$D$265,MATCH(D3419,I_COA!$A$6:$A$265,0)),"")</f>
        <v/>
      </c>
      <c r="M3419" s="34" t="str">
        <f aca="false">IF(K3419="Neraca",INDEX(I_COA!$E$6:$E$265,MATCH(D3419,I_COA!$A$6:$A$265,0)),"")</f>
        <v/>
      </c>
      <c r="N3419" s="34" t="str">
        <f aca="false">IF(D3419="","",IFERROR(INDEX(I_COA!$G$6:$G$265,MATCH(D3419,I_COA!$A$6:$A$265,0)),"N"))</f>
        <v/>
      </c>
      <c r="O3419" s="11" t="str">
        <f aca="false">IF(N3419="N",ABS(J3419),"")</f>
        <v/>
      </c>
      <c r="P3419" s="18" t="str">
        <f aca="false">IF(N3419="N",B3419&amp;"|"&amp;ROUND(O3419,0),"")</f>
        <v/>
      </c>
      <c r="Q3419" s="18" t="str">
        <f aca="false">IF(N3419&lt;&gt;"Y","",IFERROR(INDEX($D$6:$D$4005,MATCH(B3419&amp;"|"&amp;ROUND(_xlfn.MAXIFS($O$6:$O$4005,$B$6:$B$4005,B3419,$N$6:$N$4005,"N"),0),$P$6:$P$4005,0)),"(tanpa lawan)"))</f>
        <v/>
      </c>
      <c r="R3419" s="44"/>
      <c r="S3419" s="9" t="str">
        <f aca="false">IF(N3419&lt;&gt;"Y","",IF(R3419&lt;&gt;"",R3419,IF(Q3419="(tanpa lawan)","Transfer antar rekening",IFERROR(INDEX(I_COA!$F$6:$F$265,MATCH(Q3419,I_COA!$A$6:$A$265,0)),"?"))))</f>
        <v/>
      </c>
    </row>
    <row r="3420" customFormat="false" ht="15" hidden="false" customHeight="false" outlineLevel="0" collapsed="false">
      <c r="A3420" s="37"/>
      <c r="B3420" s="44"/>
      <c r="C3420" s="44"/>
      <c r="D3420" s="44"/>
      <c r="E3420" s="44"/>
      <c r="F3420" s="44"/>
      <c r="G3420" s="42"/>
      <c r="H3420" s="42"/>
      <c r="I3420" s="44"/>
      <c r="J3420" s="11" t="str">
        <f aca="false">IF(D3420="","",N(G3420)-N(H3420))</f>
        <v/>
      </c>
      <c r="K3420" s="34" t="str">
        <f aca="false">IF(D3420="","",IFERROR(INDEX(I_COA!$C$6:$C$265,MATCH(D3420,I_COA!$A$6:$A$265,0)),"AKUN BARU"))</f>
        <v/>
      </c>
      <c r="L3420" s="34" t="str">
        <f aca="false">IF(K3420="LabaRugi",INDEX(I_COA!$D$6:$D$265,MATCH(D3420,I_COA!$A$6:$A$265,0)),"")</f>
        <v/>
      </c>
      <c r="M3420" s="34" t="str">
        <f aca="false">IF(K3420="Neraca",INDEX(I_COA!$E$6:$E$265,MATCH(D3420,I_COA!$A$6:$A$265,0)),"")</f>
        <v/>
      </c>
      <c r="N3420" s="34" t="str">
        <f aca="false">IF(D3420="","",IFERROR(INDEX(I_COA!$G$6:$G$265,MATCH(D3420,I_COA!$A$6:$A$265,0)),"N"))</f>
        <v/>
      </c>
      <c r="O3420" s="11" t="str">
        <f aca="false">IF(N3420="N",ABS(J3420),"")</f>
        <v/>
      </c>
      <c r="P3420" s="18" t="str">
        <f aca="false">IF(N3420="N",B3420&amp;"|"&amp;ROUND(O3420,0),"")</f>
        <v/>
      </c>
      <c r="Q3420" s="18" t="str">
        <f aca="false">IF(N3420&lt;&gt;"Y","",IFERROR(INDEX($D$6:$D$4005,MATCH(B3420&amp;"|"&amp;ROUND(_xlfn.MAXIFS($O$6:$O$4005,$B$6:$B$4005,B3420,$N$6:$N$4005,"N"),0),$P$6:$P$4005,0)),"(tanpa lawan)"))</f>
        <v/>
      </c>
      <c r="R3420" s="44"/>
      <c r="S3420" s="9" t="str">
        <f aca="false">IF(N3420&lt;&gt;"Y","",IF(R3420&lt;&gt;"",R3420,IF(Q3420="(tanpa lawan)","Transfer antar rekening",IFERROR(INDEX(I_COA!$F$6:$F$265,MATCH(Q3420,I_COA!$A$6:$A$265,0)),"?"))))</f>
        <v/>
      </c>
    </row>
    <row r="3421" customFormat="false" ht="15" hidden="false" customHeight="false" outlineLevel="0" collapsed="false">
      <c r="A3421" s="37"/>
      <c r="B3421" s="44"/>
      <c r="C3421" s="44"/>
      <c r="D3421" s="44"/>
      <c r="E3421" s="44"/>
      <c r="F3421" s="44"/>
      <c r="G3421" s="42"/>
      <c r="H3421" s="42"/>
      <c r="I3421" s="44"/>
      <c r="J3421" s="11" t="str">
        <f aca="false">IF(D3421="","",N(G3421)-N(H3421))</f>
        <v/>
      </c>
      <c r="K3421" s="34" t="str">
        <f aca="false">IF(D3421="","",IFERROR(INDEX(I_COA!$C$6:$C$265,MATCH(D3421,I_COA!$A$6:$A$265,0)),"AKUN BARU"))</f>
        <v/>
      </c>
      <c r="L3421" s="34" t="str">
        <f aca="false">IF(K3421="LabaRugi",INDEX(I_COA!$D$6:$D$265,MATCH(D3421,I_COA!$A$6:$A$265,0)),"")</f>
        <v/>
      </c>
      <c r="M3421" s="34" t="str">
        <f aca="false">IF(K3421="Neraca",INDEX(I_COA!$E$6:$E$265,MATCH(D3421,I_COA!$A$6:$A$265,0)),"")</f>
        <v/>
      </c>
      <c r="N3421" s="34" t="str">
        <f aca="false">IF(D3421="","",IFERROR(INDEX(I_COA!$G$6:$G$265,MATCH(D3421,I_COA!$A$6:$A$265,0)),"N"))</f>
        <v/>
      </c>
      <c r="O3421" s="11" t="str">
        <f aca="false">IF(N3421="N",ABS(J3421),"")</f>
        <v/>
      </c>
      <c r="P3421" s="18" t="str">
        <f aca="false">IF(N3421="N",B3421&amp;"|"&amp;ROUND(O3421,0),"")</f>
        <v/>
      </c>
      <c r="Q3421" s="18" t="str">
        <f aca="false">IF(N3421&lt;&gt;"Y","",IFERROR(INDEX($D$6:$D$4005,MATCH(B3421&amp;"|"&amp;ROUND(_xlfn.MAXIFS($O$6:$O$4005,$B$6:$B$4005,B3421,$N$6:$N$4005,"N"),0),$P$6:$P$4005,0)),"(tanpa lawan)"))</f>
        <v/>
      </c>
      <c r="R3421" s="44"/>
      <c r="S3421" s="9" t="str">
        <f aca="false">IF(N3421&lt;&gt;"Y","",IF(R3421&lt;&gt;"",R3421,IF(Q3421="(tanpa lawan)","Transfer antar rekening",IFERROR(INDEX(I_COA!$F$6:$F$265,MATCH(Q3421,I_COA!$A$6:$A$265,0)),"?"))))</f>
        <v/>
      </c>
    </row>
    <row r="3422" customFormat="false" ht="15" hidden="false" customHeight="false" outlineLevel="0" collapsed="false">
      <c r="A3422" s="37"/>
      <c r="B3422" s="44"/>
      <c r="C3422" s="44"/>
      <c r="D3422" s="44"/>
      <c r="E3422" s="44"/>
      <c r="F3422" s="44"/>
      <c r="G3422" s="42"/>
      <c r="H3422" s="42"/>
      <c r="I3422" s="44"/>
      <c r="J3422" s="11" t="str">
        <f aca="false">IF(D3422="","",N(G3422)-N(H3422))</f>
        <v/>
      </c>
      <c r="K3422" s="34" t="str">
        <f aca="false">IF(D3422="","",IFERROR(INDEX(I_COA!$C$6:$C$265,MATCH(D3422,I_COA!$A$6:$A$265,0)),"AKUN BARU"))</f>
        <v/>
      </c>
      <c r="L3422" s="34" t="str">
        <f aca="false">IF(K3422="LabaRugi",INDEX(I_COA!$D$6:$D$265,MATCH(D3422,I_COA!$A$6:$A$265,0)),"")</f>
        <v/>
      </c>
      <c r="M3422" s="34" t="str">
        <f aca="false">IF(K3422="Neraca",INDEX(I_COA!$E$6:$E$265,MATCH(D3422,I_COA!$A$6:$A$265,0)),"")</f>
        <v/>
      </c>
      <c r="N3422" s="34" t="str">
        <f aca="false">IF(D3422="","",IFERROR(INDEX(I_COA!$G$6:$G$265,MATCH(D3422,I_COA!$A$6:$A$265,0)),"N"))</f>
        <v/>
      </c>
      <c r="O3422" s="11" t="str">
        <f aca="false">IF(N3422="N",ABS(J3422),"")</f>
        <v/>
      </c>
      <c r="P3422" s="18" t="str">
        <f aca="false">IF(N3422="N",B3422&amp;"|"&amp;ROUND(O3422,0),"")</f>
        <v/>
      </c>
      <c r="Q3422" s="18" t="str">
        <f aca="false">IF(N3422&lt;&gt;"Y","",IFERROR(INDEX($D$6:$D$4005,MATCH(B3422&amp;"|"&amp;ROUND(_xlfn.MAXIFS($O$6:$O$4005,$B$6:$B$4005,B3422,$N$6:$N$4005,"N"),0),$P$6:$P$4005,0)),"(tanpa lawan)"))</f>
        <v/>
      </c>
      <c r="R3422" s="44"/>
      <c r="S3422" s="9" t="str">
        <f aca="false">IF(N3422&lt;&gt;"Y","",IF(R3422&lt;&gt;"",R3422,IF(Q3422="(tanpa lawan)","Transfer antar rekening",IFERROR(INDEX(I_COA!$F$6:$F$265,MATCH(Q3422,I_COA!$A$6:$A$265,0)),"?"))))</f>
        <v/>
      </c>
    </row>
    <row r="3423" customFormat="false" ht="15" hidden="false" customHeight="false" outlineLevel="0" collapsed="false">
      <c r="A3423" s="37"/>
      <c r="B3423" s="44"/>
      <c r="C3423" s="44"/>
      <c r="D3423" s="44"/>
      <c r="E3423" s="44"/>
      <c r="F3423" s="44"/>
      <c r="G3423" s="42"/>
      <c r="H3423" s="42"/>
      <c r="I3423" s="44"/>
      <c r="J3423" s="11" t="str">
        <f aca="false">IF(D3423="","",N(G3423)-N(H3423))</f>
        <v/>
      </c>
      <c r="K3423" s="34" t="str">
        <f aca="false">IF(D3423="","",IFERROR(INDEX(I_COA!$C$6:$C$265,MATCH(D3423,I_COA!$A$6:$A$265,0)),"AKUN BARU"))</f>
        <v/>
      </c>
      <c r="L3423" s="34" t="str">
        <f aca="false">IF(K3423="LabaRugi",INDEX(I_COA!$D$6:$D$265,MATCH(D3423,I_COA!$A$6:$A$265,0)),"")</f>
        <v/>
      </c>
      <c r="M3423" s="34" t="str">
        <f aca="false">IF(K3423="Neraca",INDEX(I_COA!$E$6:$E$265,MATCH(D3423,I_COA!$A$6:$A$265,0)),"")</f>
        <v/>
      </c>
      <c r="N3423" s="34" t="str">
        <f aca="false">IF(D3423="","",IFERROR(INDEX(I_COA!$G$6:$G$265,MATCH(D3423,I_COA!$A$6:$A$265,0)),"N"))</f>
        <v/>
      </c>
      <c r="O3423" s="11" t="str">
        <f aca="false">IF(N3423="N",ABS(J3423),"")</f>
        <v/>
      </c>
      <c r="P3423" s="18" t="str">
        <f aca="false">IF(N3423="N",B3423&amp;"|"&amp;ROUND(O3423,0),"")</f>
        <v/>
      </c>
      <c r="Q3423" s="18" t="str">
        <f aca="false">IF(N3423&lt;&gt;"Y","",IFERROR(INDEX($D$6:$D$4005,MATCH(B3423&amp;"|"&amp;ROUND(_xlfn.MAXIFS($O$6:$O$4005,$B$6:$B$4005,B3423,$N$6:$N$4005,"N"),0),$P$6:$P$4005,0)),"(tanpa lawan)"))</f>
        <v/>
      </c>
      <c r="R3423" s="44"/>
      <c r="S3423" s="9" t="str">
        <f aca="false">IF(N3423&lt;&gt;"Y","",IF(R3423&lt;&gt;"",R3423,IF(Q3423="(tanpa lawan)","Transfer antar rekening",IFERROR(INDEX(I_COA!$F$6:$F$265,MATCH(Q3423,I_COA!$A$6:$A$265,0)),"?"))))</f>
        <v/>
      </c>
    </row>
    <row r="3424" customFormat="false" ht="15" hidden="false" customHeight="false" outlineLevel="0" collapsed="false">
      <c r="A3424" s="37"/>
      <c r="B3424" s="44"/>
      <c r="C3424" s="44"/>
      <c r="D3424" s="44"/>
      <c r="E3424" s="44"/>
      <c r="F3424" s="44"/>
      <c r="G3424" s="42"/>
      <c r="H3424" s="42"/>
      <c r="I3424" s="44"/>
      <c r="J3424" s="11" t="str">
        <f aca="false">IF(D3424="","",N(G3424)-N(H3424))</f>
        <v/>
      </c>
      <c r="K3424" s="34" t="str">
        <f aca="false">IF(D3424="","",IFERROR(INDEX(I_COA!$C$6:$C$265,MATCH(D3424,I_COA!$A$6:$A$265,0)),"AKUN BARU"))</f>
        <v/>
      </c>
      <c r="L3424" s="34" t="str">
        <f aca="false">IF(K3424="LabaRugi",INDEX(I_COA!$D$6:$D$265,MATCH(D3424,I_COA!$A$6:$A$265,0)),"")</f>
        <v/>
      </c>
      <c r="M3424" s="34" t="str">
        <f aca="false">IF(K3424="Neraca",INDEX(I_COA!$E$6:$E$265,MATCH(D3424,I_COA!$A$6:$A$265,0)),"")</f>
        <v/>
      </c>
      <c r="N3424" s="34" t="str">
        <f aca="false">IF(D3424="","",IFERROR(INDEX(I_COA!$G$6:$G$265,MATCH(D3424,I_COA!$A$6:$A$265,0)),"N"))</f>
        <v/>
      </c>
      <c r="O3424" s="11" t="str">
        <f aca="false">IF(N3424="N",ABS(J3424),"")</f>
        <v/>
      </c>
      <c r="P3424" s="18" t="str">
        <f aca="false">IF(N3424="N",B3424&amp;"|"&amp;ROUND(O3424,0),"")</f>
        <v/>
      </c>
      <c r="Q3424" s="18" t="str">
        <f aca="false">IF(N3424&lt;&gt;"Y","",IFERROR(INDEX($D$6:$D$4005,MATCH(B3424&amp;"|"&amp;ROUND(_xlfn.MAXIFS($O$6:$O$4005,$B$6:$B$4005,B3424,$N$6:$N$4005,"N"),0),$P$6:$P$4005,0)),"(tanpa lawan)"))</f>
        <v/>
      </c>
      <c r="R3424" s="44"/>
      <c r="S3424" s="9" t="str">
        <f aca="false">IF(N3424&lt;&gt;"Y","",IF(R3424&lt;&gt;"",R3424,IF(Q3424="(tanpa lawan)","Transfer antar rekening",IFERROR(INDEX(I_COA!$F$6:$F$265,MATCH(Q3424,I_COA!$A$6:$A$265,0)),"?"))))</f>
        <v/>
      </c>
    </row>
    <row r="3425" customFormat="false" ht="15" hidden="false" customHeight="false" outlineLevel="0" collapsed="false">
      <c r="A3425" s="37"/>
      <c r="B3425" s="44"/>
      <c r="C3425" s="44"/>
      <c r="D3425" s="44"/>
      <c r="E3425" s="44"/>
      <c r="F3425" s="44"/>
      <c r="G3425" s="42"/>
      <c r="H3425" s="42"/>
      <c r="I3425" s="44"/>
      <c r="J3425" s="11" t="str">
        <f aca="false">IF(D3425="","",N(G3425)-N(H3425))</f>
        <v/>
      </c>
      <c r="K3425" s="34" t="str">
        <f aca="false">IF(D3425="","",IFERROR(INDEX(I_COA!$C$6:$C$265,MATCH(D3425,I_COA!$A$6:$A$265,0)),"AKUN BARU"))</f>
        <v/>
      </c>
      <c r="L3425" s="34" t="str">
        <f aca="false">IF(K3425="LabaRugi",INDEX(I_COA!$D$6:$D$265,MATCH(D3425,I_COA!$A$6:$A$265,0)),"")</f>
        <v/>
      </c>
      <c r="M3425" s="34" t="str">
        <f aca="false">IF(K3425="Neraca",INDEX(I_COA!$E$6:$E$265,MATCH(D3425,I_COA!$A$6:$A$265,0)),"")</f>
        <v/>
      </c>
      <c r="N3425" s="34" t="str">
        <f aca="false">IF(D3425="","",IFERROR(INDEX(I_COA!$G$6:$G$265,MATCH(D3425,I_COA!$A$6:$A$265,0)),"N"))</f>
        <v/>
      </c>
      <c r="O3425" s="11" t="str">
        <f aca="false">IF(N3425="N",ABS(J3425),"")</f>
        <v/>
      </c>
      <c r="P3425" s="18" t="str">
        <f aca="false">IF(N3425="N",B3425&amp;"|"&amp;ROUND(O3425,0),"")</f>
        <v/>
      </c>
      <c r="Q3425" s="18" t="str">
        <f aca="false">IF(N3425&lt;&gt;"Y","",IFERROR(INDEX($D$6:$D$4005,MATCH(B3425&amp;"|"&amp;ROUND(_xlfn.MAXIFS($O$6:$O$4005,$B$6:$B$4005,B3425,$N$6:$N$4005,"N"),0),$P$6:$P$4005,0)),"(tanpa lawan)"))</f>
        <v/>
      </c>
      <c r="R3425" s="44"/>
      <c r="S3425" s="9" t="str">
        <f aca="false">IF(N3425&lt;&gt;"Y","",IF(R3425&lt;&gt;"",R3425,IF(Q3425="(tanpa lawan)","Transfer antar rekening",IFERROR(INDEX(I_COA!$F$6:$F$265,MATCH(Q3425,I_COA!$A$6:$A$265,0)),"?"))))</f>
        <v/>
      </c>
    </row>
    <row r="3426" customFormat="false" ht="15" hidden="false" customHeight="false" outlineLevel="0" collapsed="false">
      <c r="A3426" s="37"/>
      <c r="B3426" s="44"/>
      <c r="C3426" s="44"/>
      <c r="D3426" s="44"/>
      <c r="E3426" s="44"/>
      <c r="F3426" s="44"/>
      <c r="G3426" s="42"/>
      <c r="H3426" s="42"/>
      <c r="I3426" s="44"/>
      <c r="J3426" s="11" t="str">
        <f aca="false">IF(D3426="","",N(G3426)-N(H3426))</f>
        <v/>
      </c>
      <c r="K3426" s="34" t="str">
        <f aca="false">IF(D3426="","",IFERROR(INDEX(I_COA!$C$6:$C$265,MATCH(D3426,I_COA!$A$6:$A$265,0)),"AKUN BARU"))</f>
        <v/>
      </c>
      <c r="L3426" s="34" t="str">
        <f aca="false">IF(K3426="LabaRugi",INDEX(I_COA!$D$6:$D$265,MATCH(D3426,I_COA!$A$6:$A$265,0)),"")</f>
        <v/>
      </c>
      <c r="M3426" s="34" t="str">
        <f aca="false">IF(K3426="Neraca",INDEX(I_COA!$E$6:$E$265,MATCH(D3426,I_COA!$A$6:$A$265,0)),"")</f>
        <v/>
      </c>
      <c r="N3426" s="34" t="str">
        <f aca="false">IF(D3426="","",IFERROR(INDEX(I_COA!$G$6:$G$265,MATCH(D3426,I_COA!$A$6:$A$265,0)),"N"))</f>
        <v/>
      </c>
      <c r="O3426" s="11" t="str">
        <f aca="false">IF(N3426="N",ABS(J3426),"")</f>
        <v/>
      </c>
      <c r="P3426" s="18" t="str">
        <f aca="false">IF(N3426="N",B3426&amp;"|"&amp;ROUND(O3426,0),"")</f>
        <v/>
      </c>
      <c r="Q3426" s="18" t="str">
        <f aca="false">IF(N3426&lt;&gt;"Y","",IFERROR(INDEX($D$6:$D$4005,MATCH(B3426&amp;"|"&amp;ROUND(_xlfn.MAXIFS($O$6:$O$4005,$B$6:$B$4005,B3426,$N$6:$N$4005,"N"),0),$P$6:$P$4005,0)),"(tanpa lawan)"))</f>
        <v/>
      </c>
      <c r="R3426" s="44"/>
      <c r="S3426" s="9" t="str">
        <f aca="false">IF(N3426&lt;&gt;"Y","",IF(R3426&lt;&gt;"",R3426,IF(Q3426="(tanpa lawan)","Transfer antar rekening",IFERROR(INDEX(I_COA!$F$6:$F$265,MATCH(Q3426,I_COA!$A$6:$A$265,0)),"?"))))</f>
        <v/>
      </c>
    </row>
    <row r="3427" customFormat="false" ht="15" hidden="false" customHeight="false" outlineLevel="0" collapsed="false">
      <c r="A3427" s="37"/>
      <c r="B3427" s="44"/>
      <c r="C3427" s="44"/>
      <c r="D3427" s="44"/>
      <c r="E3427" s="44"/>
      <c r="F3427" s="44"/>
      <c r="G3427" s="42"/>
      <c r="H3427" s="42"/>
      <c r="I3427" s="44"/>
      <c r="J3427" s="11" t="str">
        <f aca="false">IF(D3427="","",N(G3427)-N(H3427))</f>
        <v/>
      </c>
      <c r="K3427" s="34" t="str">
        <f aca="false">IF(D3427="","",IFERROR(INDEX(I_COA!$C$6:$C$265,MATCH(D3427,I_COA!$A$6:$A$265,0)),"AKUN BARU"))</f>
        <v/>
      </c>
      <c r="L3427" s="34" t="str">
        <f aca="false">IF(K3427="LabaRugi",INDEX(I_COA!$D$6:$D$265,MATCH(D3427,I_COA!$A$6:$A$265,0)),"")</f>
        <v/>
      </c>
      <c r="M3427" s="34" t="str">
        <f aca="false">IF(K3427="Neraca",INDEX(I_COA!$E$6:$E$265,MATCH(D3427,I_COA!$A$6:$A$265,0)),"")</f>
        <v/>
      </c>
      <c r="N3427" s="34" t="str">
        <f aca="false">IF(D3427="","",IFERROR(INDEX(I_COA!$G$6:$G$265,MATCH(D3427,I_COA!$A$6:$A$265,0)),"N"))</f>
        <v/>
      </c>
      <c r="O3427" s="11" t="str">
        <f aca="false">IF(N3427="N",ABS(J3427),"")</f>
        <v/>
      </c>
      <c r="P3427" s="18" t="str">
        <f aca="false">IF(N3427="N",B3427&amp;"|"&amp;ROUND(O3427,0),"")</f>
        <v/>
      </c>
      <c r="Q3427" s="18" t="str">
        <f aca="false">IF(N3427&lt;&gt;"Y","",IFERROR(INDEX($D$6:$D$4005,MATCH(B3427&amp;"|"&amp;ROUND(_xlfn.MAXIFS($O$6:$O$4005,$B$6:$B$4005,B3427,$N$6:$N$4005,"N"),0),$P$6:$P$4005,0)),"(tanpa lawan)"))</f>
        <v/>
      </c>
      <c r="R3427" s="44"/>
      <c r="S3427" s="9" t="str">
        <f aca="false">IF(N3427&lt;&gt;"Y","",IF(R3427&lt;&gt;"",R3427,IF(Q3427="(tanpa lawan)","Transfer antar rekening",IFERROR(INDEX(I_COA!$F$6:$F$265,MATCH(Q3427,I_COA!$A$6:$A$265,0)),"?"))))</f>
        <v/>
      </c>
    </row>
    <row r="3428" customFormat="false" ht="15" hidden="false" customHeight="false" outlineLevel="0" collapsed="false">
      <c r="A3428" s="37"/>
      <c r="B3428" s="44"/>
      <c r="C3428" s="44"/>
      <c r="D3428" s="44"/>
      <c r="E3428" s="44"/>
      <c r="F3428" s="44"/>
      <c r="G3428" s="42"/>
      <c r="H3428" s="42"/>
      <c r="I3428" s="44"/>
      <c r="J3428" s="11" t="str">
        <f aca="false">IF(D3428="","",N(G3428)-N(H3428))</f>
        <v/>
      </c>
      <c r="K3428" s="34" t="str">
        <f aca="false">IF(D3428="","",IFERROR(INDEX(I_COA!$C$6:$C$265,MATCH(D3428,I_COA!$A$6:$A$265,0)),"AKUN BARU"))</f>
        <v/>
      </c>
      <c r="L3428" s="34" t="str">
        <f aca="false">IF(K3428="LabaRugi",INDEX(I_COA!$D$6:$D$265,MATCH(D3428,I_COA!$A$6:$A$265,0)),"")</f>
        <v/>
      </c>
      <c r="M3428" s="34" t="str">
        <f aca="false">IF(K3428="Neraca",INDEX(I_COA!$E$6:$E$265,MATCH(D3428,I_COA!$A$6:$A$265,0)),"")</f>
        <v/>
      </c>
      <c r="N3428" s="34" t="str">
        <f aca="false">IF(D3428="","",IFERROR(INDEX(I_COA!$G$6:$G$265,MATCH(D3428,I_COA!$A$6:$A$265,0)),"N"))</f>
        <v/>
      </c>
      <c r="O3428" s="11" t="str">
        <f aca="false">IF(N3428="N",ABS(J3428),"")</f>
        <v/>
      </c>
      <c r="P3428" s="18" t="str">
        <f aca="false">IF(N3428="N",B3428&amp;"|"&amp;ROUND(O3428,0),"")</f>
        <v/>
      </c>
      <c r="Q3428" s="18" t="str">
        <f aca="false">IF(N3428&lt;&gt;"Y","",IFERROR(INDEX($D$6:$D$4005,MATCH(B3428&amp;"|"&amp;ROUND(_xlfn.MAXIFS($O$6:$O$4005,$B$6:$B$4005,B3428,$N$6:$N$4005,"N"),0),$P$6:$P$4005,0)),"(tanpa lawan)"))</f>
        <v/>
      </c>
      <c r="R3428" s="44"/>
      <c r="S3428" s="9" t="str">
        <f aca="false">IF(N3428&lt;&gt;"Y","",IF(R3428&lt;&gt;"",R3428,IF(Q3428="(tanpa lawan)","Transfer antar rekening",IFERROR(INDEX(I_COA!$F$6:$F$265,MATCH(Q3428,I_COA!$A$6:$A$265,0)),"?"))))</f>
        <v/>
      </c>
    </row>
    <row r="3429" customFormat="false" ht="15" hidden="false" customHeight="false" outlineLevel="0" collapsed="false">
      <c r="A3429" s="37"/>
      <c r="B3429" s="44"/>
      <c r="C3429" s="44"/>
      <c r="D3429" s="44"/>
      <c r="E3429" s="44"/>
      <c r="F3429" s="44"/>
      <c r="G3429" s="42"/>
      <c r="H3429" s="42"/>
      <c r="I3429" s="44"/>
      <c r="J3429" s="11" t="str">
        <f aca="false">IF(D3429="","",N(G3429)-N(H3429))</f>
        <v/>
      </c>
      <c r="K3429" s="34" t="str">
        <f aca="false">IF(D3429="","",IFERROR(INDEX(I_COA!$C$6:$C$265,MATCH(D3429,I_COA!$A$6:$A$265,0)),"AKUN BARU"))</f>
        <v/>
      </c>
      <c r="L3429" s="34" t="str">
        <f aca="false">IF(K3429="LabaRugi",INDEX(I_COA!$D$6:$D$265,MATCH(D3429,I_COA!$A$6:$A$265,0)),"")</f>
        <v/>
      </c>
      <c r="M3429" s="34" t="str">
        <f aca="false">IF(K3429="Neraca",INDEX(I_COA!$E$6:$E$265,MATCH(D3429,I_COA!$A$6:$A$265,0)),"")</f>
        <v/>
      </c>
      <c r="N3429" s="34" t="str">
        <f aca="false">IF(D3429="","",IFERROR(INDEX(I_COA!$G$6:$G$265,MATCH(D3429,I_COA!$A$6:$A$265,0)),"N"))</f>
        <v/>
      </c>
      <c r="O3429" s="11" t="str">
        <f aca="false">IF(N3429="N",ABS(J3429),"")</f>
        <v/>
      </c>
      <c r="P3429" s="18" t="str">
        <f aca="false">IF(N3429="N",B3429&amp;"|"&amp;ROUND(O3429,0),"")</f>
        <v/>
      </c>
      <c r="Q3429" s="18" t="str">
        <f aca="false">IF(N3429&lt;&gt;"Y","",IFERROR(INDEX($D$6:$D$4005,MATCH(B3429&amp;"|"&amp;ROUND(_xlfn.MAXIFS($O$6:$O$4005,$B$6:$B$4005,B3429,$N$6:$N$4005,"N"),0),$P$6:$P$4005,0)),"(tanpa lawan)"))</f>
        <v/>
      </c>
      <c r="R3429" s="44"/>
      <c r="S3429" s="9" t="str">
        <f aca="false">IF(N3429&lt;&gt;"Y","",IF(R3429&lt;&gt;"",R3429,IF(Q3429="(tanpa lawan)","Transfer antar rekening",IFERROR(INDEX(I_COA!$F$6:$F$265,MATCH(Q3429,I_COA!$A$6:$A$265,0)),"?"))))</f>
        <v/>
      </c>
    </row>
    <row r="3430" customFormat="false" ht="15" hidden="false" customHeight="false" outlineLevel="0" collapsed="false">
      <c r="A3430" s="37"/>
      <c r="B3430" s="44"/>
      <c r="C3430" s="44"/>
      <c r="D3430" s="44"/>
      <c r="E3430" s="44"/>
      <c r="F3430" s="44"/>
      <c r="G3430" s="42"/>
      <c r="H3430" s="42"/>
      <c r="I3430" s="44"/>
      <c r="J3430" s="11" t="str">
        <f aca="false">IF(D3430="","",N(G3430)-N(H3430))</f>
        <v/>
      </c>
      <c r="K3430" s="34" t="str">
        <f aca="false">IF(D3430="","",IFERROR(INDEX(I_COA!$C$6:$C$265,MATCH(D3430,I_COA!$A$6:$A$265,0)),"AKUN BARU"))</f>
        <v/>
      </c>
      <c r="L3430" s="34" t="str">
        <f aca="false">IF(K3430="LabaRugi",INDEX(I_COA!$D$6:$D$265,MATCH(D3430,I_COA!$A$6:$A$265,0)),"")</f>
        <v/>
      </c>
      <c r="M3430" s="34" t="str">
        <f aca="false">IF(K3430="Neraca",INDEX(I_COA!$E$6:$E$265,MATCH(D3430,I_COA!$A$6:$A$265,0)),"")</f>
        <v/>
      </c>
      <c r="N3430" s="34" t="str">
        <f aca="false">IF(D3430="","",IFERROR(INDEX(I_COA!$G$6:$G$265,MATCH(D3430,I_COA!$A$6:$A$265,0)),"N"))</f>
        <v/>
      </c>
      <c r="O3430" s="11" t="str">
        <f aca="false">IF(N3430="N",ABS(J3430),"")</f>
        <v/>
      </c>
      <c r="P3430" s="18" t="str">
        <f aca="false">IF(N3430="N",B3430&amp;"|"&amp;ROUND(O3430,0),"")</f>
        <v/>
      </c>
      <c r="Q3430" s="18" t="str">
        <f aca="false">IF(N3430&lt;&gt;"Y","",IFERROR(INDEX($D$6:$D$4005,MATCH(B3430&amp;"|"&amp;ROUND(_xlfn.MAXIFS($O$6:$O$4005,$B$6:$B$4005,B3430,$N$6:$N$4005,"N"),0),$P$6:$P$4005,0)),"(tanpa lawan)"))</f>
        <v/>
      </c>
      <c r="R3430" s="44"/>
      <c r="S3430" s="9" t="str">
        <f aca="false">IF(N3430&lt;&gt;"Y","",IF(R3430&lt;&gt;"",R3430,IF(Q3430="(tanpa lawan)","Transfer antar rekening",IFERROR(INDEX(I_COA!$F$6:$F$265,MATCH(Q3430,I_COA!$A$6:$A$265,0)),"?"))))</f>
        <v/>
      </c>
    </row>
    <row r="3431" customFormat="false" ht="15" hidden="false" customHeight="false" outlineLevel="0" collapsed="false">
      <c r="A3431" s="37"/>
      <c r="B3431" s="44"/>
      <c r="C3431" s="44"/>
      <c r="D3431" s="44"/>
      <c r="E3431" s="44"/>
      <c r="F3431" s="44"/>
      <c r="G3431" s="42"/>
      <c r="H3431" s="42"/>
      <c r="I3431" s="44"/>
      <c r="J3431" s="11" t="str">
        <f aca="false">IF(D3431="","",N(G3431)-N(H3431))</f>
        <v/>
      </c>
      <c r="K3431" s="34" t="str">
        <f aca="false">IF(D3431="","",IFERROR(INDEX(I_COA!$C$6:$C$265,MATCH(D3431,I_COA!$A$6:$A$265,0)),"AKUN BARU"))</f>
        <v/>
      </c>
      <c r="L3431" s="34" t="str">
        <f aca="false">IF(K3431="LabaRugi",INDEX(I_COA!$D$6:$D$265,MATCH(D3431,I_COA!$A$6:$A$265,0)),"")</f>
        <v/>
      </c>
      <c r="M3431" s="34" t="str">
        <f aca="false">IF(K3431="Neraca",INDEX(I_COA!$E$6:$E$265,MATCH(D3431,I_COA!$A$6:$A$265,0)),"")</f>
        <v/>
      </c>
      <c r="N3431" s="34" t="str">
        <f aca="false">IF(D3431="","",IFERROR(INDEX(I_COA!$G$6:$G$265,MATCH(D3431,I_COA!$A$6:$A$265,0)),"N"))</f>
        <v/>
      </c>
      <c r="O3431" s="11" t="str">
        <f aca="false">IF(N3431="N",ABS(J3431),"")</f>
        <v/>
      </c>
      <c r="P3431" s="18" t="str">
        <f aca="false">IF(N3431="N",B3431&amp;"|"&amp;ROUND(O3431,0),"")</f>
        <v/>
      </c>
      <c r="Q3431" s="18" t="str">
        <f aca="false">IF(N3431&lt;&gt;"Y","",IFERROR(INDEX($D$6:$D$4005,MATCH(B3431&amp;"|"&amp;ROUND(_xlfn.MAXIFS($O$6:$O$4005,$B$6:$B$4005,B3431,$N$6:$N$4005,"N"),0),$P$6:$P$4005,0)),"(tanpa lawan)"))</f>
        <v/>
      </c>
      <c r="R3431" s="44"/>
      <c r="S3431" s="9" t="str">
        <f aca="false">IF(N3431&lt;&gt;"Y","",IF(R3431&lt;&gt;"",R3431,IF(Q3431="(tanpa lawan)","Transfer antar rekening",IFERROR(INDEX(I_COA!$F$6:$F$265,MATCH(Q3431,I_COA!$A$6:$A$265,0)),"?"))))</f>
        <v/>
      </c>
    </row>
    <row r="3432" customFormat="false" ht="15" hidden="false" customHeight="false" outlineLevel="0" collapsed="false">
      <c r="A3432" s="37"/>
      <c r="B3432" s="44"/>
      <c r="C3432" s="44"/>
      <c r="D3432" s="44"/>
      <c r="E3432" s="44"/>
      <c r="F3432" s="44"/>
      <c r="G3432" s="42"/>
      <c r="H3432" s="42"/>
      <c r="I3432" s="44"/>
      <c r="J3432" s="11" t="str">
        <f aca="false">IF(D3432="","",N(G3432)-N(H3432))</f>
        <v/>
      </c>
      <c r="K3432" s="34" t="str">
        <f aca="false">IF(D3432="","",IFERROR(INDEX(I_COA!$C$6:$C$265,MATCH(D3432,I_COA!$A$6:$A$265,0)),"AKUN BARU"))</f>
        <v/>
      </c>
      <c r="L3432" s="34" t="str">
        <f aca="false">IF(K3432="LabaRugi",INDEX(I_COA!$D$6:$D$265,MATCH(D3432,I_COA!$A$6:$A$265,0)),"")</f>
        <v/>
      </c>
      <c r="M3432" s="34" t="str">
        <f aca="false">IF(K3432="Neraca",INDEX(I_COA!$E$6:$E$265,MATCH(D3432,I_COA!$A$6:$A$265,0)),"")</f>
        <v/>
      </c>
      <c r="N3432" s="34" t="str">
        <f aca="false">IF(D3432="","",IFERROR(INDEX(I_COA!$G$6:$G$265,MATCH(D3432,I_COA!$A$6:$A$265,0)),"N"))</f>
        <v/>
      </c>
      <c r="O3432" s="11" t="str">
        <f aca="false">IF(N3432="N",ABS(J3432),"")</f>
        <v/>
      </c>
      <c r="P3432" s="18" t="str">
        <f aca="false">IF(N3432="N",B3432&amp;"|"&amp;ROUND(O3432,0),"")</f>
        <v/>
      </c>
      <c r="Q3432" s="18" t="str">
        <f aca="false">IF(N3432&lt;&gt;"Y","",IFERROR(INDEX($D$6:$D$4005,MATCH(B3432&amp;"|"&amp;ROUND(_xlfn.MAXIFS($O$6:$O$4005,$B$6:$B$4005,B3432,$N$6:$N$4005,"N"),0),$P$6:$P$4005,0)),"(tanpa lawan)"))</f>
        <v/>
      </c>
      <c r="R3432" s="44"/>
      <c r="S3432" s="9" t="str">
        <f aca="false">IF(N3432&lt;&gt;"Y","",IF(R3432&lt;&gt;"",R3432,IF(Q3432="(tanpa lawan)","Transfer antar rekening",IFERROR(INDEX(I_COA!$F$6:$F$265,MATCH(Q3432,I_COA!$A$6:$A$265,0)),"?"))))</f>
        <v/>
      </c>
    </row>
    <row r="3433" customFormat="false" ht="15" hidden="false" customHeight="false" outlineLevel="0" collapsed="false">
      <c r="A3433" s="37"/>
      <c r="B3433" s="44"/>
      <c r="C3433" s="44"/>
      <c r="D3433" s="44"/>
      <c r="E3433" s="44"/>
      <c r="F3433" s="44"/>
      <c r="G3433" s="42"/>
      <c r="H3433" s="42"/>
      <c r="I3433" s="44"/>
      <c r="J3433" s="11" t="str">
        <f aca="false">IF(D3433="","",N(G3433)-N(H3433))</f>
        <v/>
      </c>
      <c r="K3433" s="34" t="str">
        <f aca="false">IF(D3433="","",IFERROR(INDEX(I_COA!$C$6:$C$265,MATCH(D3433,I_COA!$A$6:$A$265,0)),"AKUN BARU"))</f>
        <v/>
      </c>
      <c r="L3433" s="34" t="str">
        <f aca="false">IF(K3433="LabaRugi",INDEX(I_COA!$D$6:$D$265,MATCH(D3433,I_COA!$A$6:$A$265,0)),"")</f>
        <v/>
      </c>
      <c r="M3433" s="34" t="str">
        <f aca="false">IF(K3433="Neraca",INDEX(I_COA!$E$6:$E$265,MATCH(D3433,I_COA!$A$6:$A$265,0)),"")</f>
        <v/>
      </c>
      <c r="N3433" s="34" t="str">
        <f aca="false">IF(D3433="","",IFERROR(INDEX(I_COA!$G$6:$G$265,MATCH(D3433,I_COA!$A$6:$A$265,0)),"N"))</f>
        <v/>
      </c>
      <c r="O3433" s="11" t="str">
        <f aca="false">IF(N3433="N",ABS(J3433),"")</f>
        <v/>
      </c>
      <c r="P3433" s="18" t="str">
        <f aca="false">IF(N3433="N",B3433&amp;"|"&amp;ROUND(O3433,0),"")</f>
        <v/>
      </c>
      <c r="Q3433" s="18" t="str">
        <f aca="false">IF(N3433&lt;&gt;"Y","",IFERROR(INDEX($D$6:$D$4005,MATCH(B3433&amp;"|"&amp;ROUND(_xlfn.MAXIFS($O$6:$O$4005,$B$6:$B$4005,B3433,$N$6:$N$4005,"N"),0),$P$6:$P$4005,0)),"(tanpa lawan)"))</f>
        <v/>
      </c>
      <c r="R3433" s="44"/>
      <c r="S3433" s="9" t="str">
        <f aca="false">IF(N3433&lt;&gt;"Y","",IF(R3433&lt;&gt;"",R3433,IF(Q3433="(tanpa lawan)","Transfer antar rekening",IFERROR(INDEX(I_COA!$F$6:$F$265,MATCH(Q3433,I_COA!$A$6:$A$265,0)),"?"))))</f>
        <v/>
      </c>
    </row>
    <row r="3434" customFormat="false" ht="15" hidden="false" customHeight="false" outlineLevel="0" collapsed="false">
      <c r="A3434" s="37"/>
      <c r="B3434" s="44"/>
      <c r="C3434" s="44"/>
      <c r="D3434" s="44"/>
      <c r="E3434" s="44"/>
      <c r="F3434" s="44"/>
      <c r="G3434" s="42"/>
      <c r="H3434" s="42"/>
      <c r="I3434" s="44"/>
      <c r="J3434" s="11" t="str">
        <f aca="false">IF(D3434="","",N(G3434)-N(H3434))</f>
        <v/>
      </c>
      <c r="K3434" s="34" t="str">
        <f aca="false">IF(D3434="","",IFERROR(INDEX(I_COA!$C$6:$C$265,MATCH(D3434,I_COA!$A$6:$A$265,0)),"AKUN BARU"))</f>
        <v/>
      </c>
      <c r="L3434" s="34" t="str">
        <f aca="false">IF(K3434="LabaRugi",INDEX(I_COA!$D$6:$D$265,MATCH(D3434,I_COA!$A$6:$A$265,0)),"")</f>
        <v/>
      </c>
      <c r="M3434" s="34" t="str">
        <f aca="false">IF(K3434="Neraca",INDEX(I_COA!$E$6:$E$265,MATCH(D3434,I_COA!$A$6:$A$265,0)),"")</f>
        <v/>
      </c>
      <c r="N3434" s="34" t="str">
        <f aca="false">IF(D3434="","",IFERROR(INDEX(I_COA!$G$6:$G$265,MATCH(D3434,I_COA!$A$6:$A$265,0)),"N"))</f>
        <v/>
      </c>
      <c r="O3434" s="11" t="str">
        <f aca="false">IF(N3434="N",ABS(J3434),"")</f>
        <v/>
      </c>
      <c r="P3434" s="18" t="str">
        <f aca="false">IF(N3434="N",B3434&amp;"|"&amp;ROUND(O3434,0),"")</f>
        <v/>
      </c>
      <c r="Q3434" s="18" t="str">
        <f aca="false">IF(N3434&lt;&gt;"Y","",IFERROR(INDEX($D$6:$D$4005,MATCH(B3434&amp;"|"&amp;ROUND(_xlfn.MAXIFS($O$6:$O$4005,$B$6:$B$4005,B3434,$N$6:$N$4005,"N"),0),$P$6:$P$4005,0)),"(tanpa lawan)"))</f>
        <v/>
      </c>
      <c r="R3434" s="44"/>
      <c r="S3434" s="9" t="str">
        <f aca="false">IF(N3434&lt;&gt;"Y","",IF(R3434&lt;&gt;"",R3434,IF(Q3434="(tanpa lawan)","Transfer antar rekening",IFERROR(INDEX(I_COA!$F$6:$F$265,MATCH(Q3434,I_COA!$A$6:$A$265,0)),"?"))))</f>
        <v/>
      </c>
    </row>
    <row r="3435" customFormat="false" ht="15" hidden="false" customHeight="false" outlineLevel="0" collapsed="false">
      <c r="A3435" s="37"/>
      <c r="B3435" s="44"/>
      <c r="C3435" s="44"/>
      <c r="D3435" s="44"/>
      <c r="E3435" s="44"/>
      <c r="F3435" s="44"/>
      <c r="G3435" s="42"/>
      <c r="H3435" s="42"/>
      <c r="I3435" s="44"/>
      <c r="J3435" s="11" t="str">
        <f aca="false">IF(D3435="","",N(G3435)-N(H3435))</f>
        <v/>
      </c>
      <c r="K3435" s="34" t="str">
        <f aca="false">IF(D3435="","",IFERROR(INDEX(I_COA!$C$6:$C$265,MATCH(D3435,I_COA!$A$6:$A$265,0)),"AKUN BARU"))</f>
        <v/>
      </c>
      <c r="L3435" s="34" t="str">
        <f aca="false">IF(K3435="LabaRugi",INDEX(I_COA!$D$6:$D$265,MATCH(D3435,I_COA!$A$6:$A$265,0)),"")</f>
        <v/>
      </c>
      <c r="M3435" s="34" t="str">
        <f aca="false">IF(K3435="Neraca",INDEX(I_COA!$E$6:$E$265,MATCH(D3435,I_COA!$A$6:$A$265,0)),"")</f>
        <v/>
      </c>
      <c r="N3435" s="34" t="str">
        <f aca="false">IF(D3435="","",IFERROR(INDEX(I_COA!$G$6:$G$265,MATCH(D3435,I_COA!$A$6:$A$265,0)),"N"))</f>
        <v/>
      </c>
      <c r="O3435" s="11" t="str">
        <f aca="false">IF(N3435="N",ABS(J3435),"")</f>
        <v/>
      </c>
      <c r="P3435" s="18" t="str">
        <f aca="false">IF(N3435="N",B3435&amp;"|"&amp;ROUND(O3435,0),"")</f>
        <v/>
      </c>
      <c r="Q3435" s="18" t="str">
        <f aca="false">IF(N3435&lt;&gt;"Y","",IFERROR(INDEX($D$6:$D$4005,MATCH(B3435&amp;"|"&amp;ROUND(_xlfn.MAXIFS($O$6:$O$4005,$B$6:$B$4005,B3435,$N$6:$N$4005,"N"),0),$P$6:$P$4005,0)),"(tanpa lawan)"))</f>
        <v/>
      </c>
      <c r="R3435" s="44"/>
      <c r="S3435" s="9" t="str">
        <f aca="false">IF(N3435&lt;&gt;"Y","",IF(R3435&lt;&gt;"",R3435,IF(Q3435="(tanpa lawan)","Transfer antar rekening",IFERROR(INDEX(I_COA!$F$6:$F$265,MATCH(Q3435,I_COA!$A$6:$A$265,0)),"?"))))</f>
        <v/>
      </c>
    </row>
    <row r="3436" customFormat="false" ht="15" hidden="false" customHeight="false" outlineLevel="0" collapsed="false">
      <c r="A3436" s="37"/>
      <c r="B3436" s="44"/>
      <c r="C3436" s="44"/>
      <c r="D3436" s="44"/>
      <c r="E3436" s="44"/>
      <c r="F3436" s="44"/>
      <c r="G3436" s="42"/>
      <c r="H3436" s="42"/>
      <c r="I3436" s="44"/>
      <c r="J3436" s="11" t="str">
        <f aca="false">IF(D3436="","",N(G3436)-N(H3436))</f>
        <v/>
      </c>
      <c r="K3436" s="34" t="str">
        <f aca="false">IF(D3436="","",IFERROR(INDEX(I_COA!$C$6:$C$265,MATCH(D3436,I_COA!$A$6:$A$265,0)),"AKUN BARU"))</f>
        <v/>
      </c>
      <c r="L3436" s="34" t="str">
        <f aca="false">IF(K3436="LabaRugi",INDEX(I_COA!$D$6:$D$265,MATCH(D3436,I_COA!$A$6:$A$265,0)),"")</f>
        <v/>
      </c>
      <c r="M3436" s="34" t="str">
        <f aca="false">IF(K3436="Neraca",INDEX(I_COA!$E$6:$E$265,MATCH(D3436,I_COA!$A$6:$A$265,0)),"")</f>
        <v/>
      </c>
      <c r="N3436" s="34" t="str">
        <f aca="false">IF(D3436="","",IFERROR(INDEX(I_COA!$G$6:$G$265,MATCH(D3436,I_COA!$A$6:$A$265,0)),"N"))</f>
        <v/>
      </c>
      <c r="O3436" s="11" t="str">
        <f aca="false">IF(N3436="N",ABS(J3436),"")</f>
        <v/>
      </c>
      <c r="P3436" s="18" t="str">
        <f aca="false">IF(N3436="N",B3436&amp;"|"&amp;ROUND(O3436,0),"")</f>
        <v/>
      </c>
      <c r="Q3436" s="18" t="str">
        <f aca="false">IF(N3436&lt;&gt;"Y","",IFERROR(INDEX($D$6:$D$4005,MATCH(B3436&amp;"|"&amp;ROUND(_xlfn.MAXIFS($O$6:$O$4005,$B$6:$B$4005,B3436,$N$6:$N$4005,"N"),0),$P$6:$P$4005,0)),"(tanpa lawan)"))</f>
        <v/>
      </c>
      <c r="R3436" s="44"/>
      <c r="S3436" s="9" t="str">
        <f aca="false">IF(N3436&lt;&gt;"Y","",IF(R3436&lt;&gt;"",R3436,IF(Q3436="(tanpa lawan)","Transfer antar rekening",IFERROR(INDEX(I_COA!$F$6:$F$265,MATCH(Q3436,I_COA!$A$6:$A$265,0)),"?"))))</f>
        <v/>
      </c>
    </row>
    <row r="3437" customFormat="false" ht="15" hidden="false" customHeight="false" outlineLevel="0" collapsed="false">
      <c r="A3437" s="37"/>
      <c r="B3437" s="44"/>
      <c r="C3437" s="44"/>
      <c r="D3437" s="44"/>
      <c r="E3437" s="44"/>
      <c r="F3437" s="44"/>
      <c r="G3437" s="42"/>
      <c r="H3437" s="42"/>
      <c r="I3437" s="44"/>
      <c r="J3437" s="11" t="str">
        <f aca="false">IF(D3437="","",N(G3437)-N(H3437))</f>
        <v/>
      </c>
      <c r="K3437" s="34" t="str">
        <f aca="false">IF(D3437="","",IFERROR(INDEX(I_COA!$C$6:$C$265,MATCH(D3437,I_COA!$A$6:$A$265,0)),"AKUN BARU"))</f>
        <v/>
      </c>
      <c r="L3437" s="34" t="str">
        <f aca="false">IF(K3437="LabaRugi",INDEX(I_COA!$D$6:$D$265,MATCH(D3437,I_COA!$A$6:$A$265,0)),"")</f>
        <v/>
      </c>
      <c r="M3437" s="34" t="str">
        <f aca="false">IF(K3437="Neraca",INDEX(I_COA!$E$6:$E$265,MATCH(D3437,I_COA!$A$6:$A$265,0)),"")</f>
        <v/>
      </c>
      <c r="N3437" s="34" t="str">
        <f aca="false">IF(D3437="","",IFERROR(INDEX(I_COA!$G$6:$G$265,MATCH(D3437,I_COA!$A$6:$A$265,0)),"N"))</f>
        <v/>
      </c>
      <c r="O3437" s="11" t="str">
        <f aca="false">IF(N3437="N",ABS(J3437),"")</f>
        <v/>
      </c>
      <c r="P3437" s="18" t="str">
        <f aca="false">IF(N3437="N",B3437&amp;"|"&amp;ROUND(O3437,0),"")</f>
        <v/>
      </c>
      <c r="Q3437" s="18" t="str">
        <f aca="false">IF(N3437&lt;&gt;"Y","",IFERROR(INDEX($D$6:$D$4005,MATCH(B3437&amp;"|"&amp;ROUND(_xlfn.MAXIFS($O$6:$O$4005,$B$6:$B$4005,B3437,$N$6:$N$4005,"N"),0),$P$6:$P$4005,0)),"(tanpa lawan)"))</f>
        <v/>
      </c>
      <c r="R3437" s="44"/>
      <c r="S3437" s="9" t="str">
        <f aca="false">IF(N3437&lt;&gt;"Y","",IF(R3437&lt;&gt;"",R3437,IF(Q3437="(tanpa lawan)","Transfer antar rekening",IFERROR(INDEX(I_COA!$F$6:$F$265,MATCH(Q3437,I_COA!$A$6:$A$265,0)),"?"))))</f>
        <v/>
      </c>
    </row>
    <row r="3438" customFormat="false" ht="15" hidden="false" customHeight="false" outlineLevel="0" collapsed="false">
      <c r="A3438" s="37"/>
      <c r="B3438" s="44"/>
      <c r="C3438" s="44"/>
      <c r="D3438" s="44"/>
      <c r="E3438" s="44"/>
      <c r="F3438" s="44"/>
      <c r="G3438" s="42"/>
      <c r="H3438" s="42"/>
      <c r="I3438" s="44"/>
      <c r="J3438" s="11" t="str">
        <f aca="false">IF(D3438="","",N(G3438)-N(H3438))</f>
        <v/>
      </c>
      <c r="K3438" s="34" t="str">
        <f aca="false">IF(D3438="","",IFERROR(INDEX(I_COA!$C$6:$C$265,MATCH(D3438,I_COA!$A$6:$A$265,0)),"AKUN BARU"))</f>
        <v/>
      </c>
      <c r="L3438" s="34" t="str">
        <f aca="false">IF(K3438="LabaRugi",INDEX(I_COA!$D$6:$D$265,MATCH(D3438,I_COA!$A$6:$A$265,0)),"")</f>
        <v/>
      </c>
      <c r="M3438" s="34" t="str">
        <f aca="false">IF(K3438="Neraca",INDEX(I_COA!$E$6:$E$265,MATCH(D3438,I_COA!$A$6:$A$265,0)),"")</f>
        <v/>
      </c>
      <c r="N3438" s="34" t="str">
        <f aca="false">IF(D3438="","",IFERROR(INDEX(I_COA!$G$6:$G$265,MATCH(D3438,I_COA!$A$6:$A$265,0)),"N"))</f>
        <v/>
      </c>
      <c r="O3438" s="11" t="str">
        <f aca="false">IF(N3438="N",ABS(J3438),"")</f>
        <v/>
      </c>
      <c r="P3438" s="18" t="str">
        <f aca="false">IF(N3438="N",B3438&amp;"|"&amp;ROUND(O3438,0),"")</f>
        <v/>
      </c>
      <c r="Q3438" s="18" t="str">
        <f aca="false">IF(N3438&lt;&gt;"Y","",IFERROR(INDEX($D$6:$D$4005,MATCH(B3438&amp;"|"&amp;ROUND(_xlfn.MAXIFS($O$6:$O$4005,$B$6:$B$4005,B3438,$N$6:$N$4005,"N"),0),$P$6:$P$4005,0)),"(tanpa lawan)"))</f>
        <v/>
      </c>
      <c r="R3438" s="44"/>
      <c r="S3438" s="9" t="str">
        <f aca="false">IF(N3438&lt;&gt;"Y","",IF(R3438&lt;&gt;"",R3438,IF(Q3438="(tanpa lawan)","Transfer antar rekening",IFERROR(INDEX(I_COA!$F$6:$F$265,MATCH(Q3438,I_COA!$A$6:$A$265,0)),"?"))))</f>
        <v/>
      </c>
    </row>
    <row r="3439" customFormat="false" ht="15" hidden="false" customHeight="false" outlineLevel="0" collapsed="false">
      <c r="A3439" s="37"/>
      <c r="B3439" s="44"/>
      <c r="C3439" s="44"/>
      <c r="D3439" s="44"/>
      <c r="E3439" s="44"/>
      <c r="F3439" s="44"/>
      <c r="G3439" s="42"/>
      <c r="H3439" s="42"/>
      <c r="I3439" s="44"/>
      <c r="J3439" s="11" t="str">
        <f aca="false">IF(D3439="","",N(G3439)-N(H3439))</f>
        <v/>
      </c>
      <c r="K3439" s="34" t="str">
        <f aca="false">IF(D3439="","",IFERROR(INDEX(I_COA!$C$6:$C$265,MATCH(D3439,I_COA!$A$6:$A$265,0)),"AKUN BARU"))</f>
        <v/>
      </c>
      <c r="L3439" s="34" t="str">
        <f aca="false">IF(K3439="LabaRugi",INDEX(I_COA!$D$6:$D$265,MATCH(D3439,I_COA!$A$6:$A$265,0)),"")</f>
        <v/>
      </c>
      <c r="M3439" s="34" t="str">
        <f aca="false">IF(K3439="Neraca",INDEX(I_COA!$E$6:$E$265,MATCH(D3439,I_COA!$A$6:$A$265,0)),"")</f>
        <v/>
      </c>
      <c r="N3439" s="34" t="str">
        <f aca="false">IF(D3439="","",IFERROR(INDEX(I_COA!$G$6:$G$265,MATCH(D3439,I_COA!$A$6:$A$265,0)),"N"))</f>
        <v/>
      </c>
      <c r="O3439" s="11" t="str">
        <f aca="false">IF(N3439="N",ABS(J3439),"")</f>
        <v/>
      </c>
      <c r="P3439" s="18" t="str">
        <f aca="false">IF(N3439="N",B3439&amp;"|"&amp;ROUND(O3439,0),"")</f>
        <v/>
      </c>
      <c r="Q3439" s="18" t="str">
        <f aca="false">IF(N3439&lt;&gt;"Y","",IFERROR(INDEX($D$6:$D$4005,MATCH(B3439&amp;"|"&amp;ROUND(_xlfn.MAXIFS($O$6:$O$4005,$B$6:$B$4005,B3439,$N$6:$N$4005,"N"),0),$P$6:$P$4005,0)),"(tanpa lawan)"))</f>
        <v/>
      </c>
      <c r="R3439" s="44"/>
      <c r="S3439" s="9" t="str">
        <f aca="false">IF(N3439&lt;&gt;"Y","",IF(R3439&lt;&gt;"",R3439,IF(Q3439="(tanpa lawan)","Transfer antar rekening",IFERROR(INDEX(I_COA!$F$6:$F$265,MATCH(Q3439,I_COA!$A$6:$A$265,0)),"?"))))</f>
        <v/>
      </c>
    </row>
    <row r="3440" customFormat="false" ht="15" hidden="false" customHeight="false" outlineLevel="0" collapsed="false">
      <c r="A3440" s="37"/>
      <c r="B3440" s="44"/>
      <c r="C3440" s="44"/>
      <c r="D3440" s="44"/>
      <c r="E3440" s="44"/>
      <c r="F3440" s="44"/>
      <c r="G3440" s="42"/>
      <c r="H3440" s="42"/>
      <c r="I3440" s="44"/>
      <c r="J3440" s="11" t="str">
        <f aca="false">IF(D3440="","",N(G3440)-N(H3440))</f>
        <v/>
      </c>
      <c r="K3440" s="34" t="str">
        <f aca="false">IF(D3440="","",IFERROR(INDEX(I_COA!$C$6:$C$265,MATCH(D3440,I_COA!$A$6:$A$265,0)),"AKUN BARU"))</f>
        <v/>
      </c>
      <c r="L3440" s="34" t="str">
        <f aca="false">IF(K3440="LabaRugi",INDEX(I_COA!$D$6:$D$265,MATCH(D3440,I_COA!$A$6:$A$265,0)),"")</f>
        <v/>
      </c>
      <c r="M3440" s="34" t="str">
        <f aca="false">IF(K3440="Neraca",INDEX(I_COA!$E$6:$E$265,MATCH(D3440,I_COA!$A$6:$A$265,0)),"")</f>
        <v/>
      </c>
      <c r="N3440" s="34" t="str">
        <f aca="false">IF(D3440="","",IFERROR(INDEX(I_COA!$G$6:$G$265,MATCH(D3440,I_COA!$A$6:$A$265,0)),"N"))</f>
        <v/>
      </c>
      <c r="O3440" s="11" t="str">
        <f aca="false">IF(N3440="N",ABS(J3440),"")</f>
        <v/>
      </c>
      <c r="P3440" s="18" t="str">
        <f aca="false">IF(N3440="N",B3440&amp;"|"&amp;ROUND(O3440,0),"")</f>
        <v/>
      </c>
      <c r="Q3440" s="18" t="str">
        <f aca="false">IF(N3440&lt;&gt;"Y","",IFERROR(INDEX($D$6:$D$4005,MATCH(B3440&amp;"|"&amp;ROUND(_xlfn.MAXIFS($O$6:$O$4005,$B$6:$B$4005,B3440,$N$6:$N$4005,"N"),0),$P$6:$P$4005,0)),"(tanpa lawan)"))</f>
        <v/>
      </c>
      <c r="R3440" s="44"/>
      <c r="S3440" s="9" t="str">
        <f aca="false">IF(N3440&lt;&gt;"Y","",IF(R3440&lt;&gt;"",R3440,IF(Q3440="(tanpa lawan)","Transfer antar rekening",IFERROR(INDEX(I_COA!$F$6:$F$265,MATCH(Q3440,I_COA!$A$6:$A$265,0)),"?"))))</f>
        <v/>
      </c>
    </row>
    <row r="3441" customFormat="false" ht="15" hidden="false" customHeight="false" outlineLevel="0" collapsed="false">
      <c r="A3441" s="37"/>
      <c r="B3441" s="44"/>
      <c r="C3441" s="44"/>
      <c r="D3441" s="44"/>
      <c r="E3441" s="44"/>
      <c r="F3441" s="44"/>
      <c r="G3441" s="42"/>
      <c r="H3441" s="42"/>
      <c r="I3441" s="44"/>
      <c r="J3441" s="11" t="str">
        <f aca="false">IF(D3441="","",N(G3441)-N(H3441))</f>
        <v/>
      </c>
      <c r="K3441" s="34" t="str">
        <f aca="false">IF(D3441="","",IFERROR(INDEX(I_COA!$C$6:$C$265,MATCH(D3441,I_COA!$A$6:$A$265,0)),"AKUN BARU"))</f>
        <v/>
      </c>
      <c r="L3441" s="34" t="str">
        <f aca="false">IF(K3441="LabaRugi",INDEX(I_COA!$D$6:$D$265,MATCH(D3441,I_COA!$A$6:$A$265,0)),"")</f>
        <v/>
      </c>
      <c r="M3441" s="34" t="str">
        <f aca="false">IF(K3441="Neraca",INDEX(I_COA!$E$6:$E$265,MATCH(D3441,I_COA!$A$6:$A$265,0)),"")</f>
        <v/>
      </c>
      <c r="N3441" s="34" t="str">
        <f aca="false">IF(D3441="","",IFERROR(INDEX(I_COA!$G$6:$G$265,MATCH(D3441,I_COA!$A$6:$A$265,0)),"N"))</f>
        <v/>
      </c>
      <c r="O3441" s="11" t="str">
        <f aca="false">IF(N3441="N",ABS(J3441),"")</f>
        <v/>
      </c>
      <c r="P3441" s="18" t="str">
        <f aca="false">IF(N3441="N",B3441&amp;"|"&amp;ROUND(O3441,0),"")</f>
        <v/>
      </c>
      <c r="Q3441" s="18" t="str">
        <f aca="false">IF(N3441&lt;&gt;"Y","",IFERROR(INDEX($D$6:$D$4005,MATCH(B3441&amp;"|"&amp;ROUND(_xlfn.MAXIFS($O$6:$O$4005,$B$6:$B$4005,B3441,$N$6:$N$4005,"N"),0),$P$6:$P$4005,0)),"(tanpa lawan)"))</f>
        <v/>
      </c>
      <c r="R3441" s="44"/>
      <c r="S3441" s="9" t="str">
        <f aca="false">IF(N3441&lt;&gt;"Y","",IF(R3441&lt;&gt;"",R3441,IF(Q3441="(tanpa lawan)","Transfer antar rekening",IFERROR(INDEX(I_COA!$F$6:$F$265,MATCH(Q3441,I_COA!$A$6:$A$265,0)),"?"))))</f>
        <v/>
      </c>
    </row>
    <row r="3442" customFormat="false" ht="15" hidden="false" customHeight="false" outlineLevel="0" collapsed="false">
      <c r="A3442" s="37"/>
      <c r="B3442" s="44"/>
      <c r="C3442" s="44"/>
      <c r="D3442" s="44"/>
      <c r="E3442" s="44"/>
      <c r="F3442" s="44"/>
      <c r="G3442" s="42"/>
      <c r="H3442" s="42"/>
      <c r="I3442" s="44"/>
      <c r="J3442" s="11" t="str">
        <f aca="false">IF(D3442="","",N(G3442)-N(H3442))</f>
        <v/>
      </c>
      <c r="K3442" s="34" t="str">
        <f aca="false">IF(D3442="","",IFERROR(INDEX(I_COA!$C$6:$C$265,MATCH(D3442,I_COA!$A$6:$A$265,0)),"AKUN BARU"))</f>
        <v/>
      </c>
      <c r="L3442" s="34" t="str">
        <f aca="false">IF(K3442="LabaRugi",INDEX(I_COA!$D$6:$D$265,MATCH(D3442,I_COA!$A$6:$A$265,0)),"")</f>
        <v/>
      </c>
      <c r="M3442" s="34" t="str">
        <f aca="false">IF(K3442="Neraca",INDEX(I_COA!$E$6:$E$265,MATCH(D3442,I_COA!$A$6:$A$265,0)),"")</f>
        <v/>
      </c>
      <c r="N3442" s="34" t="str">
        <f aca="false">IF(D3442="","",IFERROR(INDEX(I_COA!$G$6:$G$265,MATCH(D3442,I_COA!$A$6:$A$265,0)),"N"))</f>
        <v/>
      </c>
      <c r="O3442" s="11" t="str">
        <f aca="false">IF(N3442="N",ABS(J3442),"")</f>
        <v/>
      </c>
      <c r="P3442" s="18" t="str">
        <f aca="false">IF(N3442="N",B3442&amp;"|"&amp;ROUND(O3442,0),"")</f>
        <v/>
      </c>
      <c r="Q3442" s="18" t="str">
        <f aca="false">IF(N3442&lt;&gt;"Y","",IFERROR(INDEX($D$6:$D$4005,MATCH(B3442&amp;"|"&amp;ROUND(_xlfn.MAXIFS($O$6:$O$4005,$B$6:$B$4005,B3442,$N$6:$N$4005,"N"),0),$P$6:$P$4005,0)),"(tanpa lawan)"))</f>
        <v/>
      </c>
      <c r="R3442" s="44"/>
      <c r="S3442" s="9" t="str">
        <f aca="false">IF(N3442&lt;&gt;"Y","",IF(R3442&lt;&gt;"",R3442,IF(Q3442="(tanpa lawan)","Transfer antar rekening",IFERROR(INDEX(I_COA!$F$6:$F$265,MATCH(Q3442,I_COA!$A$6:$A$265,0)),"?"))))</f>
        <v/>
      </c>
    </row>
    <row r="3443" customFormat="false" ht="15" hidden="false" customHeight="false" outlineLevel="0" collapsed="false">
      <c r="A3443" s="37"/>
      <c r="B3443" s="44"/>
      <c r="C3443" s="44"/>
      <c r="D3443" s="44"/>
      <c r="E3443" s="44"/>
      <c r="F3443" s="44"/>
      <c r="G3443" s="42"/>
      <c r="H3443" s="42"/>
      <c r="I3443" s="44"/>
      <c r="J3443" s="11" t="str">
        <f aca="false">IF(D3443="","",N(G3443)-N(H3443))</f>
        <v/>
      </c>
      <c r="K3443" s="34" t="str">
        <f aca="false">IF(D3443="","",IFERROR(INDEX(I_COA!$C$6:$C$265,MATCH(D3443,I_COA!$A$6:$A$265,0)),"AKUN BARU"))</f>
        <v/>
      </c>
      <c r="L3443" s="34" t="str">
        <f aca="false">IF(K3443="LabaRugi",INDEX(I_COA!$D$6:$D$265,MATCH(D3443,I_COA!$A$6:$A$265,0)),"")</f>
        <v/>
      </c>
      <c r="M3443" s="34" t="str">
        <f aca="false">IF(K3443="Neraca",INDEX(I_COA!$E$6:$E$265,MATCH(D3443,I_COA!$A$6:$A$265,0)),"")</f>
        <v/>
      </c>
      <c r="N3443" s="34" t="str">
        <f aca="false">IF(D3443="","",IFERROR(INDEX(I_COA!$G$6:$G$265,MATCH(D3443,I_COA!$A$6:$A$265,0)),"N"))</f>
        <v/>
      </c>
      <c r="O3443" s="11" t="str">
        <f aca="false">IF(N3443="N",ABS(J3443),"")</f>
        <v/>
      </c>
      <c r="P3443" s="18" t="str">
        <f aca="false">IF(N3443="N",B3443&amp;"|"&amp;ROUND(O3443,0),"")</f>
        <v/>
      </c>
      <c r="Q3443" s="18" t="str">
        <f aca="false">IF(N3443&lt;&gt;"Y","",IFERROR(INDEX($D$6:$D$4005,MATCH(B3443&amp;"|"&amp;ROUND(_xlfn.MAXIFS($O$6:$O$4005,$B$6:$B$4005,B3443,$N$6:$N$4005,"N"),0),$P$6:$P$4005,0)),"(tanpa lawan)"))</f>
        <v/>
      </c>
      <c r="R3443" s="44"/>
      <c r="S3443" s="9" t="str">
        <f aca="false">IF(N3443&lt;&gt;"Y","",IF(R3443&lt;&gt;"",R3443,IF(Q3443="(tanpa lawan)","Transfer antar rekening",IFERROR(INDEX(I_COA!$F$6:$F$265,MATCH(Q3443,I_COA!$A$6:$A$265,0)),"?"))))</f>
        <v/>
      </c>
    </row>
    <row r="3444" customFormat="false" ht="15" hidden="false" customHeight="false" outlineLevel="0" collapsed="false">
      <c r="A3444" s="37"/>
      <c r="B3444" s="44"/>
      <c r="C3444" s="44"/>
      <c r="D3444" s="44"/>
      <c r="E3444" s="44"/>
      <c r="F3444" s="44"/>
      <c r="G3444" s="42"/>
      <c r="H3444" s="42"/>
      <c r="I3444" s="44"/>
      <c r="J3444" s="11" t="str">
        <f aca="false">IF(D3444="","",N(G3444)-N(H3444))</f>
        <v/>
      </c>
      <c r="K3444" s="34" t="str">
        <f aca="false">IF(D3444="","",IFERROR(INDEX(I_COA!$C$6:$C$265,MATCH(D3444,I_COA!$A$6:$A$265,0)),"AKUN BARU"))</f>
        <v/>
      </c>
      <c r="L3444" s="34" t="str">
        <f aca="false">IF(K3444="LabaRugi",INDEX(I_COA!$D$6:$D$265,MATCH(D3444,I_COA!$A$6:$A$265,0)),"")</f>
        <v/>
      </c>
      <c r="M3444" s="34" t="str">
        <f aca="false">IF(K3444="Neraca",INDEX(I_COA!$E$6:$E$265,MATCH(D3444,I_COA!$A$6:$A$265,0)),"")</f>
        <v/>
      </c>
      <c r="N3444" s="34" t="str">
        <f aca="false">IF(D3444="","",IFERROR(INDEX(I_COA!$G$6:$G$265,MATCH(D3444,I_COA!$A$6:$A$265,0)),"N"))</f>
        <v/>
      </c>
      <c r="O3444" s="11" t="str">
        <f aca="false">IF(N3444="N",ABS(J3444),"")</f>
        <v/>
      </c>
      <c r="P3444" s="18" t="str">
        <f aca="false">IF(N3444="N",B3444&amp;"|"&amp;ROUND(O3444,0),"")</f>
        <v/>
      </c>
      <c r="Q3444" s="18" t="str">
        <f aca="false">IF(N3444&lt;&gt;"Y","",IFERROR(INDEX($D$6:$D$4005,MATCH(B3444&amp;"|"&amp;ROUND(_xlfn.MAXIFS($O$6:$O$4005,$B$6:$B$4005,B3444,$N$6:$N$4005,"N"),0),$P$6:$P$4005,0)),"(tanpa lawan)"))</f>
        <v/>
      </c>
      <c r="R3444" s="44"/>
      <c r="S3444" s="9" t="str">
        <f aca="false">IF(N3444&lt;&gt;"Y","",IF(R3444&lt;&gt;"",R3444,IF(Q3444="(tanpa lawan)","Transfer antar rekening",IFERROR(INDEX(I_COA!$F$6:$F$265,MATCH(Q3444,I_COA!$A$6:$A$265,0)),"?"))))</f>
        <v/>
      </c>
    </row>
    <row r="3445" customFormat="false" ht="15" hidden="false" customHeight="false" outlineLevel="0" collapsed="false">
      <c r="A3445" s="37"/>
      <c r="B3445" s="44"/>
      <c r="C3445" s="44"/>
      <c r="D3445" s="44"/>
      <c r="E3445" s="44"/>
      <c r="F3445" s="44"/>
      <c r="G3445" s="42"/>
      <c r="H3445" s="42"/>
      <c r="I3445" s="44"/>
      <c r="J3445" s="11" t="str">
        <f aca="false">IF(D3445="","",N(G3445)-N(H3445))</f>
        <v/>
      </c>
      <c r="K3445" s="34" t="str">
        <f aca="false">IF(D3445="","",IFERROR(INDEX(I_COA!$C$6:$C$265,MATCH(D3445,I_COA!$A$6:$A$265,0)),"AKUN BARU"))</f>
        <v/>
      </c>
      <c r="L3445" s="34" t="str">
        <f aca="false">IF(K3445="LabaRugi",INDEX(I_COA!$D$6:$D$265,MATCH(D3445,I_COA!$A$6:$A$265,0)),"")</f>
        <v/>
      </c>
      <c r="M3445" s="34" t="str">
        <f aca="false">IF(K3445="Neraca",INDEX(I_COA!$E$6:$E$265,MATCH(D3445,I_COA!$A$6:$A$265,0)),"")</f>
        <v/>
      </c>
      <c r="N3445" s="34" t="str">
        <f aca="false">IF(D3445="","",IFERROR(INDEX(I_COA!$G$6:$G$265,MATCH(D3445,I_COA!$A$6:$A$265,0)),"N"))</f>
        <v/>
      </c>
      <c r="O3445" s="11" t="str">
        <f aca="false">IF(N3445="N",ABS(J3445),"")</f>
        <v/>
      </c>
      <c r="P3445" s="18" t="str">
        <f aca="false">IF(N3445="N",B3445&amp;"|"&amp;ROUND(O3445,0),"")</f>
        <v/>
      </c>
      <c r="Q3445" s="18" t="str">
        <f aca="false">IF(N3445&lt;&gt;"Y","",IFERROR(INDEX($D$6:$D$4005,MATCH(B3445&amp;"|"&amp;ROUND(_xlfn.MAXIFS($O$6:$O$4005,$B$6:$B$4005,B3445,$N$6:$N$4005,"N"),0),$P$6:$P$4005,0)),"(tanpa lawan)"))</f>
        <v/>
      </c>
      <c r="R3445" s="44"/>
      <c r="S3445" s="9" t="str">
        <f aca="false">IF(N3445&lt;&gt;"Y","",IF(R3445&lt;&gt;"",R3445,IF(Q3445="(tanpa lawan)","Transfer antar rekening",IFERROR(INDEX(I_COA!$F$6:$F$265,MATCH(Q3445,I_COA!$A$6:$A$265,0)),"?"))))</f>
        <v/>
      </c>
    </row>
    <row r="3446" customFormat="false" ht="15" hidden="false" customHeight="false" outlineLevel="0" collapsed="false">
      <c r="A3446" s="37"/>
      <c r="B3446" s="44"/>
      <c r="C3446" s="44"/>
      <c r="D3446" s="44"/>
      <c r="E3446" s="44"/>
      <c r="F3446" s="44"/>
      <c r="G3446" s="42"/>
      <c r="H3446" s="42"/>
      <c r="I3446" s="44"/>
      <c r="J3446" s="11" t="str">
        <f aca="false">IF(D3446="","",N(G3446)-N(H3446))</f>
        <v/>
      </c>
      <c r="K3446" s="34" t="str">
        <f aca="false">IF(D3446="","",IFERROR(INDEX(I_COA!$C$6:$C$265,MATCH(D3446,I_COA!$A$6:$A$265,0)),"AKUN BARU"))</f>
        <v/>
      </c>
      <c r="L3446" s="34" t="str">
        <f aca="false">IF(K3446="LabaRugi",INDEX(I_COA!$D$6:$D$265,MATCH(D3446,I_COA!$A$6:$A$265,0)),"")</f>
        <v/>
      </c>
      <c r="M3446" s="34" t="str">
        <f aca="false">IF(K3446="Neraca",INDEX(I_COA!$E$6:$E$265,MATCH(D3446,I_COA!$A$6:$A$265,0)),"")</f>
        <v/>
      </c>
      <c r="N3446" s="34" t="str">
        <f aca="false">IF(D3446="","",IFERROR(INDEX(I_COA!$G$6:$G$265,MATCH(D3446,I_COA!$A$6:$A$265,0)),"N"))</f>
        <v/>
      </c>
      <c r="O3446" s="11" t="str">
        <f aca="false">IF(N3446="N",ABS(J3446),"")</f>
        <v/>
      </c>
      <c r="P3446" s="18" t="str">
        <f aca="false">IF(N3446="N",B3446&amp;"|"&amp;ROUND(O3446,0),"")</f>
        <v/>
      </c>
      <c r="Q3446" s="18" t="str">
        <f aca="false">IF(N3446&lt;&gt;"Y","",IFERROR(INDEX($D$6:$D$4005,MATCH(B3446&amp;"|"&amp;ROUND(_xlfn.MAXIFS($O$6:$O$4005,$B$6:$B$4005,B3446,$N$6:$N$4005,"N"),0),$P$6:$P$4005,0)),"(tanpa lawan)"))</f>
        <v/>
      </c>
      <c r="R3446" s="44"/>
      <c r="S3446" s="9" t="str">
        <f aca="false">IF(N3446&lt;&gt;"Y","",IF(R3446&lt;&gt;"",R3446,IF(Q3446="(tanpa lawan)","Transfer antar rekening",IFERROR(INDEX(I_COA!$F$6:$F$265,MATCH(Q3446,I_COA!$A$6:$A$265,0)),"?"))))</f>
        <v/>
      </c>
    </row>
    <row r="3447" customFormat="false" ht="15" hidden="false" customHeight="false" outlineLevel="0" collapsed="false">
      <c r="A3447" s="37"/>
      <c r="B3447" s="44"/>
      <c r="C3447" s="44"/>
      <c r="D3447" s="44"/>
      <c r="E3447" s="44"/>
      <c r="F3447" s="44"/>
      <c r="G3447" s="42"/>
      <c r="H3447" s="42"/>
      <c r="I3447" s="44"/>
      <c r="J3447" s="11" t="str">
        <f aca="false">IF(D3447="","",N(G3447)-N(H3447))</f>
        <v/>
      </c>
      <c r="K3447" s="34" t="str">
        <f aca="false">IF(D3447="","",IFERROR(INDEX(I_COA!$C$6:$C$265,MATCH(D3447,I_COA!$A$6:$A$265,0)),"AKUN BARU"))</f>
        <v/>
      </c>
      <c r="L3447" s="34" t="str">
        <f aca="false">IF(K3447="LabaRugi",INDEX(I_COA!$D$6:$D$265,MATCH(D3447,I_COA!$A$6:$A$265,0)),"")</f>
        <v/>
      </c>
      <c r="M3447" s="34" t="str">
        <f aca="false">IF(K3447="Neraca",INDEX(I_COA!$E$6:$E$265,MATCH(D3447,I_COA!$A$6:$A$265,0)),"")</f>
        <v/>
      </c>
      <c r="N3447" s="34" t="str">
        <f aca="false">IF(D3447="","",IFERROR(INDEX(I_COA!$G$6:$G$265,MATCH(D3447,I_COA!$A$6:$A$265,0)),"N"))</f>
        <v/>
      </c>
      <c r="O3447" s="11" t="str">
        <f aca="false">IF(N3447="N",ABS(J3447),"")</f>
        <v/>
      </c>
      <c r="P3447" s="18" t="str">
        <f aca="false">IF(N3447="N",B3447&amp;"|"&amp;ROUND(O3447,0),"")</f>
        <v/>
      </c>
      <c r="Q3447" s="18" t="str">
        <f aca="false">IF(N3447&lt;&gt;"Y","",IFERROR(INDEX($D$6:$D$4005,MATCH(B3447&amp;"|"&amp;ROUND(_xlfn.MAXIFS($O$6:$O$4005,$B$6:$B$4005,B3447,$N$6:$N$4005,"N"),0),$P$6:$P$4005,0)),"(tanpa lawan)"))</f>
        <v/>
      </c>
      <c r="R3447" s="44"/>
      <c r="S3447" s="9" t="str">
        <f aca="false">IF(N3447&lt;&gt;"Y","",IF(R3447&lt;&gt;"",R3447,IF(Q3447="(tanpa lawan)","Transfer antar rekening",IFERROR(INDEX(I_COA!$F$6:$F$265,MATCH(Q3447,I_COA!$A$6:$A$265,0)),"?"))))</f>
        <v/>
      </c>
    </row>
    <row r="3448" customFormat="false" ht="15" hidden="false" customHeight="false" outlineLevel="0" collapsed="false">
      <c r="A3448" s="37"/>
      <c r="B3448" s="44"/>
      <c r="C3448" s="44"/>
      <c r="D3448" s="44"/>
      <c r="E3448" s="44"/>
      <c r="F3448" s="44"/>
      <c r="G3448" s="42"/>
      <c r="H3448" s="42"/>
      <c r="I3448" s="44"/>
      <c r="J3448" s="11" t="str">
        <f aca="false">IF(D3448="","",N(G3448)-N(H3448))</f>
        <v/>
      </c>
      <c r="K3448" s="34" t="str">
        <f aca="false">IF(D3448="","",IFERROR(INDEX(I_COA!$C$6:$C$265,MATCH(D3448,I_COA!$A$6:$A$265,0)),"AKUN BARU"))</f>
        <v/>
      </c>
      <c r="L3448" s="34" t="str">
        <f aca="false">IF(K3448="LabaRugi",INDEX(I_COA!$D$6:$D$265,MATCH(D3448,I_COA!$A$6:$A$265,0)),"")</f>
        <v/>
      </c>
      <c r="M3448" s="34" t="str">
        <f aca="false">IF(K3448="Neraca",INDEX(I_COA!$E$6:$E$265,MATCH(D3448,I_COA!$A$6:$A$265,0)),"")</f>
        <v/>
      </c>
      <c r="N3448" s="34" t="str">
        <f aca="false">IF(D3448="","",IFERROR(INDEX(I_COA!$G$6:$G$265,MATCH(D3448,I_COA!$A$6:$A$265,0)),"N"))</f>
        <v/>
      </c>
      <c r="O3448" s="11" t="str">
        <f aca="false">IF(N3448="N",ABS(J3448),"")</f>
        <v/>
      </c>
      <c r="P3448" s="18" t="str">
        <f aca="false">IF(N3448="N",B3448&amp;"|"&amp;ROUND(O3448,0),"")</f>
        <v/>
      </c>
      <c r="Q3448" s="18" t="str">
        <f aca="false">IF(N3448&lt;&gt;"Y","",IFERROR(INDEX($D$6:$D$4005,MATCH(B3448&amp;"|"&amp;ROUND(_xlfn.MAXIFS($O$6:$O$4005,$B$6:$B$4005,B3448,$N$6:$N$4005,"N"),0),$P$6:$P$4005,0)),"(tanpa lawan)"))</f>
        <v/>
      </c>
      <c r="R3448" s="44"/>
      <c r="S3448" s="9" t="str">
        <f aca="false">IF(N3448&lt;&gt;"Y","",IF(R3448&lt;&gt;"",R3448,IF(Q3448="(tanpa lawan)","Transfer antar rekening",IFERROR(INDEX(I_COA!$F$6:$F$265,MATCH(Q3448,I_COA!$A$6:$A$265,0)),"?"))))</f>
        <v/>
      </c>
    </row>
    <row r="3449" customFormat="false" ht="15" hidden="false" customHeight="false" outlineLevel="0" collapsed="false">
      <c r="A3449" s="37"/>
      <c r="B3449" s="44"/>
      <c r="C3449" s="44"/>
      <c r="D3449" s="44"/>
      <c r="E3449" s="44"/>
      <c r="F3449" s="44"/>
      <c r="G3449" s="42"/>
      <c r="H3449" s="42"/>
      <c r="I3449" s="44"/>
      <c r="J3449" s="11" t="str">
        <f aca="false">IF(D3449="","",N(G3449)-N(H3449))</f>
        <v/>
      </c>
      <c r="K3449" s="34" t="str">
        <f aca="false">IF(D3449="","",IFERROR(INDEX(I_COA!$C$6:$C$265,MATCH(D3449,I_COA!$A$6:$A$265,0)),"AKUN BARU"))</f>
        <v/>
      </c>
      <c r="L3449" s="34" t="str">
        <f aca="false">IF(K3449="LabaRugi",INDEX(I_COA!$D$6:$D$265,MATCH(D3449,I_COA!$A$6:$A$265,0)),"")</f>
        <v/>
      </c>
      <c r="M3449" s="34" t="str">
        <f aca="false">IF(K3449="Neraca",INDEX(I_COA!$E$6:$E$265,MATCH(D3449,I_COA!$A$6:$A$265,0)),"")</f>
        <v/>
      </c>
      <c r="N3449" s="34" t="str">
        <f aca="false">IF(D3449="","",IFERROR(INDEX(I_COA!$G$6:$G$265,MATCH(D3449,I_COA!$A$6:$A$265,0)),"N"))</f>
        <v/>
      </c>
      <c r="O3449" s="11" t="str">
        <f aca="false">IF(N3449="N",ABS(J3449),"")</f>
        <v/>
      </c>
      <c r="P3449" s="18" t="str">
        <f aca="false">IF(N3449="N",B3449&amp;"|"&amp;ROUND(O3449,0),"")</f>
        <v/>
      </c>
      <c r="Q3449" s="18" t="str">
        <f aca="false">IF(N3449&lt;&gt;"Y","",IFERROR(INDEX($D$6:$D$4005,MATCH(B3449&amp;"|"&amp;ROUND(_xlfn.MAXIFS($O$6:$O$4005,$B$6:$B$4005,B3449,$N$6:$N$4005,"N"),0),$P$6:$P$4005,0)),"(tanpa lawan)"))</f>
        <v/>
      </c>
      <c r="R3449" s="44"/>
      <c r="S3449" s="9" t="str">
        <f aca="false">IF(N3449&lt;&gt;"Y","",IF(R3449&lt;&gt;"",R3449,IF(Q3449="(tanpa lawan)","Transfer antar rekening",IFERROR(INDEX(I_COA!$F$6:$F$265,MATCH(Q3449,I_COA!$A$6:$A$265,0)),"?"))))</f>
        <v/>
      </c>
    </row>
    <row r="3450" customFormat="false" ht="15" hidden="false" customHeight="false" outlineLevel="0" collapsed="false">
      <c r="A3450" s="37"/>
      <c r="B3450" s="44"/>
      <c r="C3450" s="44"/>
      <c r="D3450" s="44"/>
      <c r="E3450" s="44"/>
      <c r="F3450" s="44"/>
      <c r="G3450" s="42"/>
      <c r="H3450" s="42"/>
      <c r="I3450" s="44"/>
      <c r="J3450" s="11" t="str">
        <f aca="false">IF(D3450="","",N(G3450)-N(H3450))</f>
        <v/>
      </c>
      <c r="K3450" s="34" t="str">
        <f aca="false">IF(D3450="","",IFERROR(INDEX(I_COA!$C$6:$C$265,MATCH(D3450,I_COA!$A$6:$A$265,0)),"AKUN BARU"))</f>
        <v/>
      </c>
      <c r="L3450" s="34" t="str">
        <f aca="false">IF(K3450="LabaRugi",INDEX(I_COA!$D$6:$D$265,MATCH(D3450,I_COA!$A$6:$A$265,0)),"")</f>
        <v/>
      </c>
      <c r="M3450" s="34" t="str">
        <f aca="false">IF(K3450="Neraca",INDEX(I_COA!$E$6:$E$265,MATCH(D3450,I_COA!$A$6:$A$265,0)),"")</f>
        <v/>
      </c>
      <c r="N3450" s="34" t="str">
        <f aca="false">IF(D3450="","",IFERROR(INDEX(I_COA!$G$6:$G$265,MATCH(D3450,I_COA!$A$6:$A$265,0)),"N"))</f>
        <v/>
      </c>
      <c r="O3450" s="11" t="str">
        <f aca="false">IF(N3450="N",ABS(J3450),"")</f>
        <v/>
      </c>
      <c r="P3450" s="18" t="str">
        <f aca="false">IF(N3450="N",B3450&amp;"|"&amp;ROUND(O3450,0),"")</f>
        <v/>
      </c>
      <c r="Q3450" s="18" t="str">
        <f aca="false">IF(N3450&lt;&gt;"Y","",IFERROR(INDEX($D$6:$D$4005,MATCH(B3450&amp;"|"&amp;ROUND(_xlfn.MAXIFS($O$6:$O$4005,$B$6:$B$4005,B3450,$N$6:$N$4005,"N"),0),$P$6:$P$4005,0)),"(tanpa lawan)"))</f>
        <v/>
      </c>
      <c r="R3450" s="44"/>
      <c r="S3450" s="9" t="str">
        <f aca="false">IF(N3450&lt;&gt;"Y","",IF(R3450&lt;&gt;"",R3450,IF(Q3450="(tanpa lawan)","Transfer antar rekening",IFERROR(INDEX(I_COA!$F$6:$F$265,MATCH(Q3450,I_COA!$A$6:$A$265,0)),"?"))))</f>
        <v/>
      </c>
    </row>
    <row r="3451" customFormat="false" ht="15" hidden="false" customHeight="false" outlineLevel="0" collapsed="false">
      <c r="A3451" s="37"/>
      <c r="B3451" s="44"/>
      <c r="C3451" s="44"/>
      <c r="D3451" s="44"/>
      <c r="E3451" s="44"/>
      <c r="F3451" s="44"/>
      <c r="G3451" s="42"/>
      <c r="H3451" s="42"/>
      <c r="I3451" s="44"/>
      <c r="J3451" s="11" t="str">
        <f aca="false">IF(D3451="","",N(G3451)-N(H3451))</f>
        <v/>
      </c>
      <c r="K3451" s="34" t="str">
        <f aca="false">IF(D3451="","",IFERROR(INDEX(I_COA!$C$6:$C$265,MATCH(D3451,I_COA!$A$6:$A$265,0)),"AKUN BARU"))</f>
        <v/>
      </c>
      <c r="L3451" s="34" t="str">
        <f aca="false">IF(K3451="LabaRugi",INDEX(I_COA!$D$6:$D$265,MATCH(D3451,I_COA!$A$6:$A$265,0)),"")</f>
        <v/>
      </c>
      <c r="M3451" s="34" t="str">
        <f aca="false">IF(K3451="Neraca",INDEX(I_COA!$E$6:$E$265,MATCH(D3451,I_COA!$A$6:$A$265,0)),"")</f>
        <v/>
      </c>
      <c r="N3451" s="34" t="str">
        <f aca="false">IF(D3451="","",IFERROR(INDEX(I_COA!$G$6:$G$265,MATCH(D3451,I_COA!$A$6:$A$265,0)),"N"))</f>
        <v/>
      </c>
      <c r="O3451" s="11" t="str">
        <f aca="false">IF(N3451="N",ABS(J3451),"")</f>
        <v/>
      </c>
      <c r="P3451" s="18" t="str">
        <f aca="false">IF(N3451="N",B3451&amp;"|"&amp;ROUND(O3451,0),"")</f>
        <v/>
      </c>
      <c r="Q3451" s="18" t="str">
        <f aca="false">IF(N3451&lt;&gt;"Y","",IFERROR(INDEX($D$6:$D$4005,MATCH(B3451&amp;"|"&amp;ROUND(_xlfn.MAXIFS($O$6:$O$4005,$B$6:$B$4005,B3451,$N$6:$N$4005,"N"),0),$P$6:$P$4005,0)),"(tanpa lawan)"))</f>
        <v/>
      </c>
      <c r="R3451" s="44"/>
      <c r="S3451" s="9" t="str">
        <f aca="false">IF(N3451&lt;&gt;"Y","",IF(R3451&lt;&gt;"",R3451,IF(Q3451="(tanpa lawan)","Transfer antar rekening",IFERROR(INDEX(I_COA!$F$6:$F$265,MATCH(Q3451,I_COA!$A$6:$A$265,0)),"?"))))</f>
        <v/>
      </c>
    </row>
    <row r="3452" customFormat="false" ht="15" hidden="false" customHeight="false" outlineLevel="0" collapsed="false">
      <c r="A3452" s="37"/>
      <c r="B3452" s="44"/>
      <c r="C3452" s="44"/>
      <c r="D3452" s="44"/>
      <c r="E3452" s="44"/>
      <c r="F3452" s="44"/>
      <c r="G3452" s="42"/>
      <c r="H3452" s="42"/>
      <c r="I3452" s="44"/>
      <c r="J3452" s="11" t="str">
        <f aca="false">IF(D3452="","",N(G3452)-N(H3452))</f>
        <v/>
      </c>
      <c r="K3452" s="34" t="str">
        <f aca="false">IF(D3452="","",IFERROR(INDEX(I_COA!$C$6:$C$265,MATCH(D3452,I_COA!$A$6:$A$265,0)),"AKUN BARU"))</f>
        <v/>
      </c>
      <c r="L3452" s="34" t="str">
        <f aca="false">IF(K3452="LabaRugi",INDEX(I_COA!$D$6:$D$265,MATCH(D3452,I_COA!$A$6:$A$265,0)),"")</f>
        <v/>
      </c>
      <c r="M3452" s="34" t="str">
        <f aca="false">IF(K3452="Neraca",INDEX(I_COA!$E$6:$E$265,MATCH(D3452,I_COA!$A$6:$A$265,0)),"")</f>
        <v/>
      </c>
      <c r="N3452" s="34" t="str">
        <f aca="false">IF(D3452="","",IFERROR(INDEX(I_COA!$G$6:$G$265,MATCH(D3452,I_COA!$A$6:$A$265,0)),"N"))</f>
        <v/>
      </c>
      <c r="O3452" s="11" t="str">
        <f aca="false">IF(N3452="N",ABS(J3452),"")</f>
        <v/>
      </c>
      <c r="P3452" s="18" t="str">
        <f aca="false">IF(N3452="N",B3452&amp;"|"&amp;ROUND(O3452,0),"")</f>
        <v/>
      </c>
      <c r="Q3452" s="18" t="str">
        <f aca="false">IF(N3452&lt;&gt;"Y","",IFERROR(INDEX($D$6:$D$4005,MATCH(B3452&amp;"|"&amp;ROUND(_xlfn.MAXIFS($O$6:$O$4005,$B$6:$B$4005,B3452,$N$6:$N$4005,"N"),0),$P$6:$P$4005,0)),"(tanpa lawan)"))</f>
        <v/>
      </c>
      <c r="R3452" s="44"/>
      <c r="S3452" s="9" t="str">
        <f aca="false">IF(N3452&lt;&gt;"Y","",IF(R3452&lt;&gt;"",R3452,IF(Q3452="(tanpa lawan)","Transfer antar rekening",IFERROR(INDEX(I_COA!$F$6:$F$265,MATCH(Q3452,I_COA!$A$6:$A$265,0)),"?"))))</f>
        <v/>
      </c>
    </row>
    <row r="3453" customFormat="false" ht="15" hidden="false" customHeight="false" outlineLevel="0" collapsed="false">
      <c r="A3453" s="37"/>
      <c r="B3453" s="44"/>
      <c r="C3453" s="44"/>
      <c r="D3453" s="44"/>
      <c r="E3453" s="44"/>
      <c r="F3453" s="44"/>
      <c r="G3453" s="42"/>
      <c r="H3453" s="42"/>
      <c r="I3453" s="44"/>
      <c r="J3453" s="11" t="str">
        <f aca="false">IF(D3453="","",N(G3453)-N(H3453))</f>
        <v/>
      </c>
      <c r="K3453" s="34" t="str">
        <f aca="false">IF(D3453="","",IFERROR(INDEX(I_COA!$C$6:$C$265,MATCH(D3453,I_COA!$A$6:$A$265,0)),"AKUN BARU"))</f>
        <v/>
      </c>
      <c r="L3453" s="34" t="str">
        <f aca="false">IF(K3453="LabaRugi",INDEX(I_COA!$D$6:$D$265,MATCH(D3453,I_COA!$A$6:$A$265,0)),"")</f>
        <v/>
      </c>
      <c r="M3453" s="34" t="str">
        <f aca="false">IF(K3453="Neraca",INDEX(I_COA!$E$6:$E$265,MATCH(D3453,I_COA!$A$6:$A$265,0)),"")</f>
        <v/>
      </c>
      <c r="N3453" s="34" t="str">
        <f aca="false">IF(D3453="","",IFERROR(INDEX(I_COA!$G$6:$G$265,MATCH(D3453,I_COA!$A$6:$A$265,0)),"N"))</f>
        <v/>
      </c>
      <c r="O3453" s="11" t="str">
        <f aca="false">IF(N3453="N",ABS(J3453),"")</f>
        <v/>
      </c>
      <c r="P3453" s="18" t="str">
        <f aca="false">IF(N3453="N",B3453&amp;"|"&amp;ROUND(O3453,0),"")</f>
        <v/>
      </c>
      <c r="Q3453" s="18" t="str">
        <f aca="false">IF(N3453&lt;&gt;"Y","",IFERROR(INDEX($D$6:$D$4005,MATCH(B3453&amp;"|"&amp;ROUND(_xlfn.MAXIFS($O$6:$O$4005,$B$6:$B$4005,B3453,$N$6:$N$4005,"N"),0),$P$6:$P$4005,0)),"(tanpa lawan)"))</f>
        <v/>
      </c>
      <c r="R3453" s="44"/>
      <c r="S3453" s="9" t="str">
        <f aca="false">IF(N3453&lt;&gt;"Y","",IF(R3453&lt;&gt;"",R3453,IF(Q3453="(tanpa lawan)","Transfer antar rekening",IFERROR(INDEX(I_COA!$F$6:$F$265,MATCH(Q3453,I_COA!$A$6:$A$265,0)),"?"))))</f>
        <v/>
      </c>
    </row>
    <row r="3454" customFormat="false" ht="15" hidden="false" customHeight="false" outlineLevel="0" collapsed="false">
      <c r="A3454" s="37"/>
      <c r="B3454" s="44"/>
      <c r="C3454" s="44"/>
      <c r="D3454" s="44"/>
      <c r="E3454" s="44"/>
      <c r="F3454" s="44"/>
      <c r="G3454" s="42"/>
      <c r="H3454" s="42"/>
      <c r="I3454" s="44"/>
      <c r="J3454" s="11" t="str">
        <f aca="false">IF(D3454="","",N(G3454)-N(H3454))</f>
        <v/>
      </c>
      <c r="K3454" s="34" t="str">
        <f aca="false">IF(D3454="","",IFERROR(INDEX(I_COA!$C$6:$C$265,MATCH(D3454,I_COA!$A$6:$A$265,0)),"AKUN BARU"))</f>
        <v/>
      </c>
      <c r="L3454" s="34" t="str">
        <f aca="false">IF(K3454="LabaRugi",INDEX(I_COA!$D$6:$D$265,MATCH(D3454,I_COA!$A$6:$A$265,0)),"")</f>
        <v/>
      </c>
      <c r="M3454" s="34" t="str">
        <f aca="false">IF(K3454="Neraca",INDEX(I_COA!$E$6:$E$265,MATCH(D3454,I_COA!$A$6:$A$265,0)),"")</f>
        <v/>
      </c>
      <c r="N3454" s="34" t="str">
        <f aca="false">IF(D3454="","",IFERROR(INDEX(I_COA!$G$6:$G$265,MATCH(D3454,I_COA!$A$6:$A$265,0)),"N"))</f>
        <v/>
      </c>
      <c r="O3454" s="11" t="str">
        <f aca="false">IF(N3454="N",ABS(J3454),"")</f>
        <v/>
      </c>
      <c r="P3454" s="18" t="str">
        <f aca="false">IF(N3454="N",B3454&amp;"|"&amp;ROUND(O3454,0),"")</f>
        <v/>
      </c>
      <c r="Q3454" s="18" t="str">
        <f aca="false">IF(N3454&lt;&gt;"Y","",IFERROR(INDEX($D$6:$D$4005,MATCH(B3454&amp;"|"&amp;ROUND(_xlfn.MAXIFS($O$6:$O$4005,$B$6:$B$4005,B3454,$N$6:$N$4005,"N"),0),$P$6:$P$4005,0)),"(tanpa lawan)"))</f>
        <v/>
      </c>
      <c r="R3454" s="44"/>
      <c r="S3454" s="9" t="str">
        <f aca="false">IF(N3454&lt;&gt;"Y","",IF(R3454&lt;&gt;"",R3454,IF(Q3454="(tanpa lawan)","Transfer antar rekening",IFERROR(INDEX(I_COA!$F$6:$F$265,MATCH(Q3454,I_COA!$A$6:$A$265,0)),"?"))))</f>
        <v/>
      </c>
    </row>
    <row r="3455" customFormat="false" ht="15" hidden="false" customHeight="false" outlineLevel="0" collapsed="false">
      <c r="A3455" s="37"/>
      <c r="B3455" s="44"/>
      <c r="C3455" s="44"/>
      <c r="D3455" s="44"/>
      <c r="E3455" s="44"/>
      <c r="F3455" s="44"/>
      <c r="G3455" s="42"/>
      <c r="H3455" s="42"/>
      <c r="I3455" s="44"/>
      <c r="J3455" s="11" t="str">
        <f aca="false">IF(D3455="","",N(G3455)-N(H3455))</f>
        <v/>
      </c>
      <c r="K3455" s="34" t="str">
        <f aca="false">IF(D3455="","",IFERROR(INDEX(I_COA!$C$6:$C$265,MATCH(D3455,I_COA!$A$6:$A$265,0)),"AKUN BARU"))</f>
        <v/>
      </c>
      <c r="L3455" s="34" t="str">
        <f aca="false">IF(K3455="LabaRugi",INDEX(I_COA!$D$6:$D$265,MATCH(D3455,I_COA!$A$6:$A$265,0)),"")</f>
        <v/>
      </c>
      <c r="M3455" s="34" t="str">
        <f aca="false">IF(K3455="Neraca",INDEX(I_COA!$E$6:$E$265,MATCH(D3455,I_COA!$A$6:$A$265,0)),"")</f>
        <v/>
      </c>
      <c r="N3455" s="34" t="str">
        <f aca="false">IF(D3455="","",IFERROR(INDEX(I_COA!$G$6:$G$265,MATCH(D3455,I_COA!$A$6:$A$265,0)),"N"))</f>
        <v/>
      </c>
      <c r="O3455" s="11" t="str">
        <f aca="false">IF(N3455="N",ABS(J3455),"")</f>
        <v/>
      </c>
      <c r="P3455" s="18" t="str">
        <f aca="false">IF(N3455="N",B3455&amp;"|"&amp;ROUND(O3455,0),"")</f>
        <v/>
      </c>
      <c r="Q3455" s="18" t="str">
        <f aca="false">IF(N3455&lt;&gt;"Y","",IFERROR(INDEX($D$6:$D$4005,MATCH(B3455&amp;"|"&amp;ROUND(_xlfn.MAXIFS($O$6:$O$4005,$B$6:$B$4005,B3455,$N$6:$N$4005,"N"),0),$P$6:$P$4005,0)),"(tanpa lawan)"))</f>
        <v/>
      </c>
      <c r="R3455" s="44"/>
      <c r="S3455" s="9" t="str">
        <f aca="false">IF(N3455&lt;&gt;"Y","",IF(R3455&lt;&gt;"",R3455,IF(Q3455="(tanpa lawan)","Transfer antar rekening",IFERROR(INDEX(I_COA!$F$6:$F$265,MATCH(Q3455,I_COA!$A$6:$A$265,0)),"?"))))</f>
        <v/>
      </c>
    </row>
    <row r="3456" customFormat="false" ht="15" hidden="false" customHeight="false" outlineLevel="0" collapsed="false">
      <c r="A3456" s="37"/>
      <c r="B3456" s="44"/>
      <c r="C3456" s="44"/>
      <c r="D3456" s="44"/>
      <c r="E3456" s="44"/>
      <c r="F3456" s="44"/>
      <c r="G3456" s="42"/>
      <c r="H3456" s="42"/>
      <c r="I3456" s="44"/>
      <c r="J3456" s="11" t="str">
        <f aca="false">IF(D3456="","",N(G3456)-N(H3456))</f>
        <v/>
      </c>
      <c r="K3456" s="34" t="str">
        <f aca="false">IF(D3456="","",IFERROR(INDEX(I_COA!$C$6:$C$265,MATCH(D3456,I_COA!$A$6:$A$265,0)),"AKUN BARU"))</f>
        <v/>
      </c>
      <c r="L3456" s="34" t="str">
        <f aca="false">IF(K3456="LabaRugi",INDEX(I_COA!$D$6:$D$265,MATCH(D3456,I_COA!$A$6:$A$265,0)),"")</f>
        <v/>
      </c>
      <c r="M3456" s="34" t="str">
        <f aca="false">IF(K3456="Neraca",INDEX(I_COA!$E$6:$E$265,MATCH(D3456,I_COA!$A$6:$A$265,0)),"")</f>
        <v/>
      </c>
      <c r="N3456" s="34" t="str">
        <f aca="false">IF(D3456="","",IFERROR(INDEX(I_COA!$G$6:$G$265,MATCH(D3456,I_COA!$A$6:$A$265,0)),"N"))</f>
        <v/>
      </c>
      <c r="O3456" s="11" t="str">
        <f aca="false">IF(N3456="N",ABS(J3456),"")</f>
        <v/>
      </c>
      <c r="P3456" s="18" t="str">
        <f aca="false">IF(N3456="N",B3456&amp;"|"&amp;ROUND(O3456,0),"")</f>
        <v/>
      </c>
      <c r="Q3456" s="18" t="str">
        <f aca="false">IF(N3456&lt;&gt;"Y","",IFERROR(INDEX($D$6:$D$4005,MATCH(B3456&amp;"|"&amp;ROUND(_xlfn.MAXIFS($O$6:$O$4005,$B$6:$B$4005,B3456,$N$6:$N$4005,"N"),0),$P$6:$P$4005,0)),"(tanpa lawan)"))</f>
        <v/>
      </c>
      <c r="R3456" s="44"/>
      <c r="S3456" s="9" t="str">
        <f aca="false">IF(N3456&lt;&gt;"Y","",IF(R3456&lt;&gt;"",R3456,IF(Q3456="(tanpa lawan)","Transfer antar rekening",IFERROR(INDEX(I_COA!$F$6:$F$265,MATCH(Q3456,I_COA!$A$6:$A$265,0)),"?"))))</f>
        <v/>
      </c>
    </row>
    <row r="3457" customFormat="false" ht="15" hidden="false" customHeight="false" outlineLevel="0" collapsed="false">
      <c r="A3457" s="37"/>
      <c r="B3457" s="44"/>
      <c r="C3457" s="44"/>
      <c r="D3457" s="44"/>
      <c r="E3457" s="44"/>
      <c r="F3457" s="44"/>
      <c r="G3457" s="42"/>
      <c r="H3457" s="42"/>
      <c r="I3457" s="44"/>
      <c r="J3457" s="11" t="str">
        <f aca="false">IF(D3457="","",N(G3457)-N(H3457))</f>
        <v/>
      </c>
      <c r="K3457" s="34" t="str">
        <f aca="false">IF(D3457="","",IFERROR(INDEX(I_COA!$C$6:$C$265,MATCH(D3457,I_COA!$A$6:$A$265,0)),"AKUN BARU"))</f>
        <v/>
      </c>
      <c r="L3457" s="34" t="str">
        <f aca="false">IF(K3457="LabaRugi",INDEX(I_COA!$D$6:$D$265,MATCH(D3457,I_COA!$A$6:$A$265,0)),"")</f>
        <v/>
      </c>
      <c r="M3457" s="34" t="str">
        <f aca="false">IF(K3457="Neraca",INDEX(I_COA!$E$6:$E$265,MATCH(D3457,I_COA!$A$6:$A$265,0)),"")</f>
        <v/>
      </c>
      <c r="N3457" s="34" t="str">
        <f aca="false">IF(D3457="","",IFERROR(INDEX(I_COA!$G$6:$G$265,MATCH(D3457,I_COA!$A$6:$A$265,0)),"N"))</f>
        <v/>
      </c>
      <c r="O3457" s="11" t="str">
        <f aca="false">IF(N3457="N",ABS(J3457),"")</f>
        <v/>
      </c>
      <c r="P3457" s="18" t="str">
        <f aca="false">IF(N3457="N",B3457&amp;"|"&amp;ROUND(O3457,0),"")</f>
        <v/>
      </c>
      <c r="Q3457" s="18" t="str">
        <f aca="false">IF(N3457&lt;&gt;"Y","",IFERROR(INDEX($D$6:$D$4005,MATCH(B3457&amp;"|"&amp;ROUND(_xlfn.MAXIFS($O$6:$O$4005,$B$6:$B$4005,B3457,$N$6:$N$4005,"N"),0),$P$6:$P$4005,0)),"(tanpa lawan)"))</f>
        <v/>
      </c>
      <c r="R3457" s="44"/>
      <c r="S3457" s="9" t="str">
        <f aca="false">IF(N3457&lt;&gt;"Y","",IF(R3457&lt;&gt;"",R3457,IF(Q3457="(tanpa lawan)","Transfer antar rekening",IFERROR(INDEX(I_COA!$F$6:$F$265,MATCH(Q3457,I_COA!$A$6:$A$265,0)),"?"))))</f>
        <v/>
      </c>
    </row>
    <row r="3458" customFormat="false" ht="15" hidden="false" customHeight="false" outlineLevel="0" collapsed="false">
      <c r="A3458" s="37"/>
      <c r="B3458" s="44"/>
      <c r="C3458" s="44"/>
      <c r="D3458" s="44"/>
      <c r="E3458" s="44"/>
      <c r="F3458" s="44"/>
      <c r="G3458" s="42"/>
      <c r="H3458" s="42"/>
      <c r="I3458" s="44"/>
      <c r="J3458" s="11" t="str">
        <f aca="false">IF(D3458="","",N(G3458)-N(H3458))</f>
        <v/>
      </c>
      <c r="K3458" s="34" t="str">
        <f aca="false">IF(D3458="","",IFERROR(INDEX(I_COA!$C$6:$C$265,MATCH(D3458,I_COA!$A$6:$A$265,0)),"AKUN BARU"))</f>
        <v/>
      </c>
      <c r="L3458" s="34" t="str">
        <f aca="false">IF(K3458="LabaRugi",INDEX(I_COA!$D$6:$D$265,MATCH(D3458,I_COA!$A$6:$A$265,0)),"")</f>
        <v/>
      </c>
      <c r="M3458" s="34" t="str">
        <f aca="false">IF(K3458="Neraca",INDEX(I_COA!$E$6:$E$265,MATCH(D3458,I_COA!$A$6:$A$265,0)),"")</f>
        <v/>
      </c>
      <c r="N3458" s="34" t="str">
        <f aca="false">IF(D3458="","",IFERROR(INDEX(I_COA!$G$6:$G$265,MATCH(D3458,I_COA!$A$6:$A$265,0)),"N"))</f>
        <v/>
      </c>
      <c r="O3458" s="11" t="str">
        <f aca="false">IF(N3458="N",ABS(J3458),"")</f>
        <v/>
      </c>
      <c r="P3458" s="18" t="str">
        <f aca="false">IF(N3458="N",B3458&amp;"|"&amp;ROUND(O3458,0),"")</f>
        <v/>
      </c>
      <c r="Q3458" s="18" t="str">
        <f aca="false">IF(N3458&lt;&gt;"Y","",IFERROR(INDEX($D$6:$D$4005,MATCH(B3458&amp;"|"&amp;ROUND(_xlfn.MAXIFS($O$6:$O$4005,$B$6:$B$4005,B3458,$N$6:$N$4005,"N"),0),$P$6:$P$4005,0)),"(tanpa lawan)"))</f>
        <v/>
      </c>
      <c r="R3458" s="44"/>
      <c r="S3458" s="9" t="str">
        <f aca="false">IF(N3458&lt;&gt;"Y","",IF(R3458&lt;&gt;"",R3458,IF(Q3458="(tanpa lawan)","Transfer antar rekening",IFERROR(INDEX(I_COA!$F$6:$F$265,MATCH(Q3458,I_COA!$A$6:$A$265,0)),"?"))))</f>
        <v/>
      </c>
    </row>
    <row r="3459" customFormat="false" ht="15" hidden="false" customHeight="false" outlineLevel="0" collapsed="false">
      <c r="A3459" s="37"/>
      <c r="B3459" s="44"/>
      <c r="C3459" s="44"/>
      <c r="D3459" s="44"/>
      <c r="E3459" s="44"/>
      <c r="F3459" s="44"/>
      <c r="G3459" s="42"/>
      <c r="H3459" s="42"/>
      <c r="I3459" s="44"/>
      <c r="J3459" s="11" t="str">
        <f aca="false">IF(D3459="","",N(G3459)-N(H3459))</f>
        <v/>
      </c>
      <c r="K3459" s="34" t="str">
        <f aca="false">IF(D3459="","",IFERROR(INDEX(I_COA!$C$6:$C$265,MATCH(D3459,I_COA!$A$6:$A$265,0)),"AKUN BARU"))</f>
        <v/>
      </c>
      <c r="L3459" s="34" t="str">
        <f aca="false">IF(K3459="LabaRugi",INDEX(I_COA!$D$6:$D$265,MATCH(D3459,I_COA!$A$6:$A$265,0)),"")</f>
        <v/>
      </c>
      <c r="M3459" s="34" t="str">
        <f aca="false">IF(K3459="Neraca",INDEX(I_COA!$E$6:$E$265,MATCH(D3459,I_COA!$A$6:$A$265,0)),"")</f>
        <v/>
      </c>
      <c r="N3459" s="34" t="str">
        <f aca="false">IF(D3459="","",IFERROR(INDEX(I_COA!$G$6:$G$265,MATCH(D3459,I_COA!$A$6:$A$265,0)),"N"))</f>
        <v/>
      </c>
      <c r="O3459" s="11" t="str">
        <f aca="false">IF(N3459="N",ABS(J3459),"")</f>
        <v/>
      </c>
      <c r="P3459" s="18" t="str">
        <f aca="false">IF(N3459="N",B3459&amp;"|"&amp;ROUND(O3459,0),"")</f>
        <v/>
      </c>
      <c r="Q3459" s="18" t="str">
        <f aca="false">IF(N3459&lt;&gt;"Y","",IFERROR(INDEX($D$6:$D$4005,MATCH(B3459&amp;"|"&amp;ROUND(_xlfn.MAXIFS($O$6:$O$4005,$B$6:$B$4005,B3459,$N$6:$N$4005,"N"),0),$P$6:$P$4005,0)),"(tanpa lawan)"))</f>
        <v/>
      </c>
      <c r="R3459" s="44"/>
      <c r="S3459" s="9" t="str">
        <f aca="false">IF(N3459&lt;&gt;"Y","",IF(R3459&lt;&gt;"",R3459,IF(Q3459="(tanpa lawan)","Transfer antar rekening",IFERROR(INDEX(I_COA!$F$6:$F$265,MATCH(Q3459,I_COA!$A$6:$A$265,0)),"?"))))</f>
        <v/>
      </c>
    </row>
    <row r="3460" customFormat="false" ht="15" hidden="false" customHeight="false" outlineLevel="0" collapsed="false">
      <c r="A3460" s="37"/>
      <c r="B3460" s="44"/>
      <c r="C3460" s="44"/>
      <c r="D3460" s="44"/>
      <c r="E3460" s="44"/>
      <c r="F3460" s="44"/>
      <c r="G3460" s="42"/>
      <c r="H3460" s="42"/>
      <c r="I3460" s="44"/>
      <c r="J3460" s="11" t="str">
        <f aca="false">IF(D3460="","",N(G3460)-N(H3460))</f>
        <v/>
      </c>
      <c r="K3460" s="34" t="str">
        <f aca="false">IF(D3460="","",IFERROR(INDEX(I_COA!$C$6:$C$265,MATCH(D3460,I_COA!$A$6:$A$265,0)),"AKUN BARU"))</f>
        <v/>
      </c>
      <c r="L3460" s="34" t="str">
        <f aca="false">IF(K3460="LabaRugi",INDEX(I_COA!$D$6:$D$265,MATCH(D3460,I_COA!$A$6:$A$265,0)),"")</f>
        <v/>
      </c>
      <c r="M3460" s="34" t="str">
        <f aca="false">IF(K3460="Neraca",INDEX(I_COA!$E$6:$E$265,MATCH(D3460,I_COA!$A$6:$A$265,0)),"")</f>
        <v/>
      </c>
      <c r="N3460" s="34" t="str">
        <f aca="false">IF(D3460="","",IFERROR(INDEX(I_COA!$G$6:$G$265,MATCH(D3460,I_COA!$A$6:$A$265,0)),"N"))</f>
        <v/>
      </c>
      <c r="O3460" s="11" t="str">
        <f aca="false">IF(N3460="N",ABS(J3460),"")</f>
        <v/>
      </c>
      <c r="P3460" s="18" t="str">
        <f aca="false">IF(N3460="N",B3460&amp;"|"&amp;ROUND(O3460,0),"")</f>
        <v/>
      </c>
      <c r="Q3460" s="18" t="str">
        <f aca="false">IF(N3460&lt;&gt;"Y","",IFERROR(INDEX($D$6:$D$4005,MATCH(B3460&amp;"|"&amp;ROUND(_xlfn.MAXIFS($O$6:$O$4005,$B$6:$B$4005,B3460,$N$6:$N$4005,"N"),0),$P$6:$P$4005,0)),"(tanpa lawan)"))</f>
        <v/>
      </c>
      <c r="R3460" s="44"/>
      <c r="S3460" s="9" t="str">
        <f aca="false">IF(N3460&lt;&gt;"Y","",IF(R3460&lt;&gt;"",R3460,IF(Q3460="(tanpa lawan)","Transfer antar rekening",IFERROR(INDEX(I_COA!$F$6:$F$265,MATCH(Q3460,I_COA!$A$6:$A$265,0)),"?"))))</f>
        <v/>
      </c>
    </row>
    <row r="3461" customFormat="false" ht="15" hidden="false" customHeight="false" outlineLevel="0" collapsed="false">
      <c r="A3461" s="37"/>
      <c r="B3461" s="44"/>
      <c r="C3461" s="44"/>
      <c r="D3461" s="44"/>
      <c r="E3461" s="44"/>
      <c r="F3461" s="44"/>
      <c r="G3461" s="42"/>
      <c r="H3461" s="42"/>
      <c r="I3461" s="44"/>
      <c r="J3461" s="11" t="str">
        <f aca="false">IF(D3461="","",N(G3461)-N(H3461))</f>
        <v/>
      </c>
      <c r="K3461" s="34" t="str">
        <f aca="false">IF(D3461="","",IFERROR(INDEX(I_COA!$C$6:$C$265,MATCH(D3461,I_COA!$A$6:$A$265,0)),"AKUN BARU"))</f>
        <v/>
      </c>
      <c r="L3461" s="34" t="str">
        <f aca="false">IF(K3461="LabaRugi",INDEX(I_COA!$D$6:$D$265,MATCH(D3461,I_COA!$A$6:$A$265,0)),"")</f>
        <v/>
      </c>
      <c r="M3461" s="34" t="str">
        <f aca="false">IF(K3461="Neraca",INDEX(I_COA!$E$6:$E$265,MATCH(D3461,I_COA!$A$6:$A$265,0)),"")</f>
        <v/>
      </c>
      <c r="N3461" s="34" t="str">
        <f aca="false">IF(D3461="","",IFERROR(INDEX(I_COA!$G$6:$G$265,MATCH(D3461,I_COA!$A$6:$A$265,0)),"N"))</f>
        <v/>
      </c>
      <c r="O3461" s="11" t="str">
        <f aca="false">IF(N3461="N",ABS(J3461),"")</f>
        <v/>
      </c>
      <c r="P3461" s="18" t="str">
        <f aca="false">IF(N3461="N",B3461&amp;"|"&amp;ROUND(O3461,0),"")</f>
        <v/>
      </c>
      <c r="Q3461" s="18" t="str">
        <f aca="false">IF(N3461&lt;&gt;"Y","",IFERROR(INDEX($D$6:$D$4005,MATCH(B3461&amp;"|"&amp;ROUND(_xlfn.MAXIFS($O$6:$O$4005,$B$6:$B$4005,B3461,$N$6:$N$4005,"N"),0),$P$6:$P$4005,0)),"(tanpa lawan)"))</f>
        <v/>
      </c>
      <c r="R3461" s="44"/>
      <c r="S3461" s="9" t="str">
        <f aca="false">IF(N3461&lt;&gt;"Y","",IF(R3461&lt;&gt;"",R3461,IF(Q3461="(tanpa lawan)","Transfer antar rekening",IFERROR(INDEX(I_COA!$F$6:$F$265,MATCH(Q3461,I_COA!$A$6:$A$265,0)),"?"))))</f>
        <v/>
      </c>
    </row>
    <row r="3462" customFormat="false" ht="15" hidden="false" customHeight="false" outlineLevel="0" collapsed="false">
      <c r="A3462" s="37"/>
      <c r="B3462" s="44"/>
      <c r="C3462" s="44"/>
      <c r="D3462" s="44"/>
      <c r="E3462" s="44"/>
      <c r="F3462" s="44"/>
      <c r="G3462" s="42"/>
      <c r="H3462" s="42"/>
      <c r="I3462" s="44"/>
      <c r="J3462" s="11" t="str">
        <f aca="false">IF(D3462="","",N(G3462)-N(H3462))</f>
        <v/>
      </c>
      <c r="K3462" s="34" t="str">
        <f aca="false">IF(D3462="","",IFERROR(INDEX(I_COA!$C$6:$C$265,MATCH(D3462,I_COA!$A$6:$A$265,0)),"AKUN BARU"))</f>
        <v/>
      </c>
      <c r="L3462" s="34" t="str">
        <f aca="false">IF(K3462="LabaRugi",INDEX(I_COA!$D$6:$D$265,MATCH(D3462,I_COA!$A$6:$A$265,0)),"")</f>
        <v/>
      </c>
      <c r="M3462" s="34" t="str">
        <f aca="false">IF(K3462="Neraca",INDEX(I_COA!$E$6:$E$265,MATCH(D3462,I_COA!$A$6:$A$265,0)),"")</f>
        <v/>
      </c>
      <c r="N3462" s="34" t="str">
        <f aca="false">IF(D3462="","",IFERROR(INDEX(I_COA!$G$6:$G$265,MATCH(D3462,I_COA!$A$6:$A$265,0)),"N"))</f>
        <v/>
      </c>
      <c r="O3462" s="11" t="str">
        <f aca="false">IF(N3462="N",ABS(J3462),"")</f>
        <v/>
      </c>
      <c r="P3462" s="18" t="str">
        <f aca="false">IF(N3462="N",B3462&amp;"|"&amp;ROUND(O3462,0),"")</f>
        <v/>
      </c>
      <c r="Q3462" s="18" t="str">
        <f aca="false">IF(N3462&lt;&gt;"Y","",IFERROR(INDEX($D$6:$D$4005,MATCH(B3462&amp;"|"&amp;ROUND(_xlfn.MAXIFS($O$6:$O$4005,$B$6:$B$4005,B3462,$N$6:$N$4005,"N"),0),$P$6:$P$4005,0)),"(tanpa lawan)"))</f>
        <v/>
      </c>
      <c r="R3462" s="44"/>
      <c r="S3462" s="9" t="str">
        <f aca="false">IF(N3462&lt;&gt;"Y","",IF(R3462&lt;&gt;"",R3462,IF(Q3462="(tanpa lawan)","Transfer antar rekening",IFERROR(INDEX(I_COA!$F$6:$F$265,MATCH(Q3462,I_COA!$A$6:$A$265,0)),"?"))))</f>
        <v/>
      </c>
    </row>
    <row r="3463" customFormat="false" ht="15" hidden="false" customHeight="false" outlineLevel="0" collapsed="false">
      <c r="A3463" s="37"/>
      <c r="B3463" s="44"/>
      <c r="C3463" s="44"/>
      <c r="D3463" s="44"/>
      <c r="E3463" s="44"/>
      <c r="F3463" s="44"/>
      <c r="G3463" s="42"/>
      <c r="H3463" s="42"/>
      <c r="I3463" s="44"/>
      <c r="J3463" s="11" t="str">
        <f aca="false">IF(D3463="","",N(G3463)-N(H3463))</f>
        <v/>
      </c>
      <c r="K3463" s="34" t="str">
        <f aca="false">IF(D3463="","",IFERROR(INDEX(I_COA!$C$6:$C$265,MATCH(D3463,I_COA!$A$6:$A$265,0)),"AKUN BARU"))</f>
        <v/>
      </c>
      <c r="L3463" s="34" t="str">
        <f aca="false">IF(K3463="LabaRugi",INDEX(I_COA!$D$6:$D$265,MATCH(D3463,I_COA!$A$6:$A$265,0)),"")</f>
        <v/>
      </c>
      <c r="M3463" s="34" t="str">
        <f aca="false">IF(K3463="Neraca",INDEX(I_COA!$E$6:$E$265,MATCH(D3463,I_COA!$A$6:$A$265,0)),"")</f>
        <v/>
      </c>
      <c r="N3463" s="34" t="str">
        <f aca="false">IF(D3463="","",IFERROR(INDEX(I_COA!$G$6:$G$265,MATCH(D3463,I_COA!$A$6:$A$265,0)),"N"))</f>
        <v/>
      </c>
      <c r="O3463" s="11" t="str">
        <f aca="false">IF(N3463="N",ABS(J3463),"")</f>
        <v/>
      </c>
      <c r="P3463" s="18" t="str">
        <f aca="false">IF(N3463="N",B3463&amp;"|"&amp;ROUND(O3463,0),"")</f>
        <v/>
      </c>
      <c r="Q3463" s="18" t="str">
        <f aca="false">IF(N3463&lt;&gt;"Y","",IFERROR(INDEX($D$6:$D$4005,MATCH(B3463&amp;"|"&amp;ROUND(_xlfn.MAXIFS($O$6:$O$4005,$B$6:$B$4005,B3463,$N$6:$N$4005,"N"),0),$P$6:$P$4005,0)),"(tanpa lawan)"))</f>
        <v/>
      </c>
      <c r="R3463" s="44"/>
      <c r="S3463" s="9" t="str">
        <f aca="false">IF(N3463&lt;&gt;"Y","",IF(R3463&lt;&gt;"",R3463,IF(Q3463="(tanpa lawan)","Transfer antar rekening",IFERROR(INDEX(I_COA!$F$6:$F$265,MATCH(Q3463,I_COA!$A$6:$A$265,0)),"?"))))</f>
        <v/>
      </c>
    </row>
    <row r="3464" customFormat="false" ht="15" hidden="false" customHeight="false" outlineLevel="0" collapsed="false">
      <c r="A3464" s="37"/>
      <c r="B3464" s="44"/>
      <c r="C3464" s="44"/>
      <c r="D3464" s="44"/>
      <c r="E3464" s="44"/>
      <c r="F3464" s="44"/>
      <c r="G3464" s="42"/>
      <c r="H3464" s="42"/>
      <c r="I3464" s="44"/>
      <c r="J3464" s="11" t="str">
        <f aca="false">IF(D3464="","",N(G3464)-N(H3464))</f>
        <v/>
      </c>
      <c r="K3464" s="34" t="str">
        <f aca="false">IF(D3464="","",IFERROR(INDEX(I_COA!$C$6:$C$265,MATCH(D3464,I_COA!$A$6:$A$265,0)),"AKUN BARU"))</f>
        <v/>
      </c>
      <c r="L3464" s="34" t="str">
        <f aca="false">IF(K3464="LabaRugi",INDEX(I_COA!$D$6:$D$265,MATCH(D3464,I_COA!$A$6:$A$265,0)),"")</f>
        <v/>
      </c>
      <c r="M3464" s="34" t="str">
        <f aca="false">IF(K3464="Neraca",INDEX(I_COA!$E$6:$E$265,MATCH(D3464,I_COA!$A$6:$A$265,0)),"")</f>
        <v/>
      </c>
      <c r="N3464" s="34" t="str">
        <f aca="false">IF(D3464="","",IFERROR(INDEX(I_COA!$G$6:$G$265,MATCH(D3464,I_COA!$A$6:$A$265,0)),"N"))</f>
        <v/>
      </c>
      <c r="O3464" s="11" t="str">
        <f aca="false">IF(N3464="N",ABS(J3464),"")</f>
        <v/>
      </c>
      <c r="P3464" s="18" t="str">
        <f aca="false">IF(N3464="N",B3464&amp;"|"&amp;ROUND(O3464,0),"")</f>
        <v/>
      </c>
      <c r="Q3464" s="18" t="str">
        <f aca="false">IF(N3464&lt;&gt;"Y","",IFERROR(INDEX($D$6:$D$4005,MATCH(B3464&amp;"|"&amp;ROUND(_xlfn.MAXIFS($O$6:$O$4005,$B$6:$B$4005,B3464,$N$6:$N$4005,"N"),0),$P$6:$P$4005,0)),"(tanpa lawan)"))</f>
        <v/>
      </c>
      <c r="R3464" s="44"/>
      <c r="S3464" s="9" t="str">
        <f aca="false">IF(N3464&lt;&gt;"Y","",IF(R3464&lt;&gt;"",R3464,IF(Q3464="(tanpa lawan)","Transfer antar rekening",IFERROR(INDEX(I_COA!$F$6:$F$265,MATCH(Q3464,I_COA!$A$6:$A$265,0)),"?"))))</f>
        <v/>
      </c>
    </row>
    <row r="3465" customFormat="false" ht="15" hidden="false" customHeight="false" outlineLevel="0" collapsed="false">
      <c r="A3465" s="37"/>
      <c r="B3465" s="44"/>
      <c r="C3465" s="44"/>
      <c r="D3465" s="44"/>
      <c r="E3465" s="44"/>
      <c r="F3465" s="44"/>
      <c r="G3465" s="42"/>
      <c r="H3465" s="42"/>
      <c r="I3465" s="44"/>
      <c r="J3465" s="11" t="str">
        <f aca="false">IF(D3465="","",N(G3465)-N(H3465))</f>
        <v/>
      </c>
      <c r="K3465" s="34" t="str">
        <f aca="false">IF(D3465="","",IFERROR(INDEX(I_COA!$C$6:$C$265,MATCH(D3465,I_COA!$A$6:$A$265,0)),"AKUN BARU"))</f>
        <v/>
      </c>
      <c r="L3465" s="34" t="str">
        <f aca="false">IF(K3465="LabaRugi",INDEX(I_COA!$D$6:$D$265,MATCH(D3465,I_COA!$A$6:$A$265,0)),"")</f>
        <v/>
      </c>
      <c r="M3465" s="34" t="str">
        <f aca="false">IF(K3465="Neraca",INDEX(I_COA!$E$6:$E$265,MATCH(D3465,I_COA!$A$6:$A$265,0)),"")</f>
        <v/>
      </c>
      <c r="N3465" s="34" t="str">
        <f aca="false">IF(D3465="","",IFERROR(INDEX(I_COA!$G$6:$G$265,MATCH(D3465,I_COA!$A$6:$A$265,0)),"N"))</f>
        <v/>
      </c>
      <c r="O3465" s="11" t="str">
        <f aca="false">IF(N3465="N",ABS(J3465),"")</f>
        <v/>
      </c>
      <c r="P3465" s="18" t="str">
        <f aca="false">IF(N3465="N",B3465&amp;"|"&amp;ROUND(O3465,0),"")</f>
        <v/>
      </c>
      <c r="Q3465" s="18" t="str">
        <f aca="false">IF(N3465&lt;&gt;"Y","",IFERROR(INDEX($D$6:$D$4005,MATCH(B3465&amp;"|"&amp;ROUND(_xlfn.MAXIFS($O$6:$O$4005,$B$6:$B$4005,B3465,$N$6:$N$4005,"N"),0),$P$6:$P$4005,0)),"(tanpa lawan)"))</f>
        <v/>
      </c>
      <c r="R3465" s="44"/>
      <c r="S3465" s="9" t="str">
        <f aca="false">IF(N3465&lt;&gt;"Y","",IF(R3465&lt;&gt;"",R3465,IF(Q3465="(tanpa lawan)","Transfer antar rekening",IFERROR(INDEX(I_COA!$F$6:$F$265,MATCH(Q3465,I_COA!$A$6:$A$265,0)),"?"))))</f>
        <v/>
      </c>
    </row>
    <row r="3466" customFormat="false" ht="15" hidden="false" customHeight="false" outlineLevel="0" collapsed="false">
      <c r="A3466" s="37"/>
      <c r="B3466" s="44"/>
      <c r="C3466" s="44"/>
      <c r="D3466" s="44"/>
      <c r="E3466" s="44"/>
      <c r="F3466" s="44"/>
      <c r="G3466" s="42"/>
      <c r="H3466" s="42"/>
      <c r="I3466" s="44"/>
      <c r="J3466" s="11" t="str">
        <f aca="false">IF(D3466="","",N(G3466)-N(H3466))</f>
        <v/>
      </c>
      <c r="K3466" s="34" t="str">
        <f aca="false">IF(D3466="","",IFERROR(INDEX(I_COA!$C$6:$C$265,MATCH(D3466,I_COA!$A$6:$A$265,0)),"AKUN BARU"))</f>
        <v/>
      </c>
      <c r="L3466" s="34" t="str">
        <f aca="false">IF(K3466="LabaRugi",INDEX(I_COA!$D$6:$D$265,MATCH(D3466,I_COA!$A$6:$A$265,0)),"")</f>
        <v/>
      </c>
      <c r="M3466" s="34" t="str">
        <f aca="false">IF(K3466="Neraca",INDEX(I_COA!$E$6:$E$265,MATCH(D3466,I_COA!$A$6:$A$265,0)),"")</f>
        <v/>
      </c>
      <c r="N3466" s="34" t="str">
        <f aca="false">IF(D3466="","",IFERROR(INDEX(I_COA!$G$6:$G$265,MATCH(D3466,I_COA!$A$6:$A$265,0)),"N"))</f>
        <v/>
      </c>
      <c r="O3466" s="11" t="str">
        <f aca="false">IF(N3466="N",ABS(J3466),"")</f>
        <v/>
      </c>
      <c r="P3466" s="18" t="str">
        <f aca="false">IF(N3466="N",B3466&amp;"|"&amp;ROUND(O3466,0),"")</f>
        <v/>
      </c>
      <c r="Q3466" s="18" t="str">
        <f aca="false">IF(N3466&lt;&gt;"Y","",IFERROR(INDEX($D$6:$D$4005,MATCH(B3466&amp;"|"&amp;ROUND(_xlfn.MAXIFS($O$6:$O$4005,$B$6:$B$4005,B3466,$N$6:$N$4005,"N"),0),$P$6:$P$4005,0)),"(tanpa lawan)"))</f>
        <v/>
      </c>
      <c r="R3466" s="44"/>
      <c r="S3466" s="9" t="str">
        <f aca="false">IF(N3466&lt;&gt;"Y","",IF(R3466&lt;&gt;"",R3466,IF(Q3466="(tanpa lawan)","Transfer antar rekening",IFERROR(INDEX(I_COA!$F$6:$F$265,MATCH(Q3466,I_COA!$A$6:$A$265,0)),"?"))))</f>
        <v/>
      </c>
    </row>
    <row r="3467" customFormat="false" ht="15" hidden="false" customHeight="false" outlineLevel="0" collapsed="false">
      <c r="A3467" s="37"/>
      <c r="B3467" s="44"/>
      <c r="C3467" s="44"/>
      <c r="D3467" s="44"/>
      <c r="E3467" s="44"/>
      <c r="F3467" s="44"/>
      <c r="G3467" s="42"/>
      <c r="H3467" s="42"/>
      <c r="I3467" s="44"/>
      <c r="J3467" s="11" t="str">
        <f aca="false">IF(D3467="","",N(G3467)-N(H3467))</f>
        <v/>
      </c>
      <c r="K3467" s="34" t="str">
        <f aca="false">IF(D3467="","",IFERROR(INDEX(I_COA!$C$6:$C$265,MATCH(D3467,I_COA!$A$6:$A$265,0)),"AKUN BARU"))</f>
        <v/>
      </c>
      <c r="L3467" s="34" t="str">
        <f aca="false">IF(K3467="LabaRugi",INDEX(I_COA!$D$6:$D$265,MATCH(D3467,I_COA!$A$6:$A$265,0)),"")</f>
        <v/>
      </c>
      <c r="M3467" s="34" t="str">
        <f aca="false">IF(K3467="Neraca",INDEX(I_COA!$E$6:$E$265,MATCH(D3467,I_COA!$A$6:$A$265,0)),"")</f>
        <v/>
      </c>
      <c r="N3467" s="34" t="str">
        <f aca="false">IF(D3467="","",IFERROR(INDEX(I_COA!$G$6:$G$265,MATCH(D3467,I_COA!$A$6:$A$265,0)),"N"))</f>
        <v/>
      </c>
      <c r="O3467" s="11" t="str">
        <f aca="false">IF(N3467="N",ABS(J3467),"")</f>
        <v/>
      </c>
      <c r="P3467" s="18" t="str">
        <f aca="false">IF(N3467="N",B3467&amp;"|"&amp;ROUND(O3467,0),"")</f>
        <v/>
      </c>
      <c r="Q3467" s="18" t="str">
        <f aca="false">IF(N3467&lt;&gt;"Y","",IFERROR(INDEX($D$6:$D$4005,MATCH(B3467&amp;"|"&amp;ROUND(_xlfn.MAXIFS($O$6:$O$4005,$B$6:$B$4005,B3467,$N$6:$N$4005,"N"),0),$P$6:$P$4005,0)),"(tanpa lawan)"))</f>
        <v/>
      </c>
      <c r="R3467" s="44"/>
      <c r="S3467" s="9" t="str">
        <f aca="false">IF(N3467&lt;&gt;"Y","",IF(R3467&lt;&gt;"",R3467,IF(Q3467="(tanpa lawan)","Transfer antar rekening",IFERROR(INDEX(I_COA!$F$6:$F$265,MATCH(Q3467,I_COA!$A$6:$A$265,0)),"?"))))</f>
        <v/>
      </c>
    </row>
    <row r="3468" customFormat="false" ht="15" hidden="false" customHeight="false" outlineLevel="0" collapsed="false">
      <c r="A3468" s="37"/>
      <c r="B3468" s="44"/>
      <c r="C3468" s="44"/>
      <c r="D3468" s="44"/>
      <c r="E3468" s="44"/>
      <c r="F3468" s="44"/>
      <c r="G3468" s="42"/>
      <c r="H3468" s="42"/>
      <c r="I3468" s="44"/>
      <c r="J3468" s="11" t="str">
        <f aca="false">IF(D3468="","",N(G3468)-N(H3468))</f>
        <v/>
      </c>
      <c r="K3468" s="34" t="str">
        <f aca="false">IF(D3468="","",IFERROR(INDEX(I_COA!$C$6:$C$265,MATCH(D3468,I_COA!$A$6:$A$265,0)),"AKUN BARU"))</f>
        <v/>
      </c>
      <c r="L3468" s="34" t="str">
        <f aca="false">IF(K3468="LabaRugi",INDEX(I_COA!$D$6:$D$265,MATCH(D3468,I_COA!$A$6:$A$265,0)),"")</f>
        <v/>
      </c>
      <c r="M3468" s="34" t="str">
        <f aca="false">IF(K3468="Neraca",INDEX(I_COA!$E$6:$E$265,MATCH(D3468,I_COA!$A$6:$A$265,0)),"")</f>
        <v/>
      </c>
      <c r="N3468" s="34" t="str">
        <f aca="false">IF(D3468="","",IFERROR(INDEX(I_COA!$G$6:$G$265,MATCH(D3468,I_COA!$A$6:$A$265,0)),"N"))</f>
        <v/>
      </c>
      <c r="O3468" s="11" t="str">
        <f aca="false">IF(N3468="N",ABS(J3468),"")</f>
        <v/>
      </c>
      <c r="P3468" s="18" t="str">
        <f aca="false">IF(N3468="N",B3468&amp;"|"&amp;ROUND(O3468,0),"")</f>
        <v/>
      </c>
      <c r="Q3468" s="18" t="str">
        <f aca="false">IF(N3468&lt;&gt;"Y","",IFERROR(INDEX($D$6:$D$4005,MATCH(B3468&amp;"|"&amp;ROUND(_xlfn.MAXIFS($O$6:$O$4005,$B$6:$B$4005,B3468,$N$6:$N$4005,"N"),0),$P$6:$P$4005,0)),"(tanpa lawan)"))</f>
        <v/>
      </c>
      <c r="R3468" s="44"/>
      <c r="S3468" s="9" t="str">
        <f aca="false">IF(N3468&lt;&gt;"Y","",IF(R3468&lt;&gt;"",R3468,IF(Q3468="(tanpa lawan)","Transfer antar rekening",IFERROR(INDEX(I_COA!$F$6:$F$265,MATCH(Q3468,I_COA!$A$6:$A$265,0)),"?"))))</f>
        <v/>
      </c>
    </row>
    <row r="3469" customFormat="false" ht="15" hidden="false" customHeight="false" outlineLevel="0" collapsed="false">
      <c r="A3469" s="37"/>
      <c r="B3469" s="44"/>
      <c r="C3469" s="44"/>
      <c r="D3469" s="44"/>
      <c r="E3469" s="44"/>
      <c r="F3469" s="44"/>
      <c r="G3469" s="42"/>
      <c r="H3469" s="42"/>
      <c r="I3469" s="44"/>
      <c r="J3469" s="11" t="str">
        <f aca="false">IF(D3469="","",N(G3469)-N(H3469))</f>
        <v/>
      </c>
      <c r="K3469" s="34" t="str">
        <f aca="false">IF(D3469="","",IFERROR(INDEX(I_COA!$C$6:$C$265,MATCH(D3469,I_COA!$A$6:$A$265,0)),"AKUN BARU"))</f>
        <v/>
      </c>
      <c r="L3469" s="34" t="str">
        <f aca="false">IF(K3469="LabaRugi",INDEX(I_COA!$D$6:$D$265,MATCH(D3469,I_COA!$A$6:$A$265,0)),"")</f>
        <v/>
      </c>
      <c r="M3469" s="34" t="str">
        <f aca="false">IF(K3469="Neraca",INDEX(I_COA!$E$6:$E$265,MATCH(D3469,I_COA!$A$6:$A$265,0)),"")</f>
        <v/>
      </c>
      <c r="N3469" s="34" t="str">
        <f aca="false">IF(D3469="","",IFERROR(INDEX(I_COA!$G$6:$G$265,MATCH(D3469,I_COA!$A$6:$A$265,0)),"N"))</f>
        <v/>
      </c>
      <c r="O3469" s="11" t="str">
        <f aca="false">IF(N3469="N",ABS(J3469),"")</f>
        <v/>
      </c>
      <c r="P3469" s="18" t="str">
        <f aca="false">IF(N3469="N",B3469&amp;"|"&amp;ROUND(O3469,0),"")</f>
        <v/>
      </c>
      <c r="Q3469" s="18" t="str">
        <f aca="false">IF(N3469&lt;&gt;"Y","",IFERROR(INDEX($D$6:$D$4005,MATCH(B3469&amp;"|"&amp;ROUND(_xlfn.MAXIFS($O$6:$O$4005,$B$6:$B$4005,B3469,$N$6:$N$4005,"N"),0),$P$6:$P$4005,0)),"(tanpa lawan)"))</f>
        <v/>
      </c>
      <c r="R3469" s="44"/>
      <c r="S3469" s="9" t="str">
        <f aca="false">IF(N3469&lt;&gt;"Y","",IF(R3469&lt;&gt;"",R3469,IF(Q3469="(tanpa lawan)","Transfer antar rekening",IFERROR(INDEX(I_COA!$F$6:$F$265,MATCH(Q3469,I_COA!$A$6:$A$265,0)),"?"))))</f>
        <v/>
      </c>
    </row>
    <row r="3470" customFormat="false" ht="15" hidden="false" customHeight="false" outlineLevel="0" collapsed="false">
      <c r="A3470" s="37"/>
      <c r="B3470" s="44"/>
      <c r="C3470" s="44"/>
      <c r="D3470" s="44"/>
      <c r="E3470" s="44"/>
      <c r="F3470" s="44"/>
      <c r="G3470" s="42"/>
      <c r="H3470" s="42"/>
      <c r="I3470" s="44"/>
      <c r="J3470" s="11" t="str">
        <f aca="false">IF(D3470="","",N(G3470)-N(H3470))</f>
        <v/>
      </c>
      <c r="K3470" s="34" t="str">
        <f aca="false">IF(D3470="","",IFERROR(INDEX(I_COA!$C$6:$C$265,MATCH(D3470,I_COA!$A$6:$A$265,0)),"AKUN BARU"))</f>
        <v/>
      </c>
      <c r="L3470" s="34" t="str">
        <f aca="false">IF(K3470="LabaRugi",INDEX(I_COA!$D$6:$D$265,MATCH(D3470,I_COA!$A$6:$A$265,0)),"")</f>
        <v/>
      </c>
      <c r="M3470" s="34" t="str">
        <f aca="false">IF(K3470="Neraca",INDEX(I_COA!$E$6:$E$265,MATCH(D3470,I_COA!$A$6:$A$265,0)),"")</f>
        <v/>
      </c>
      <c r="N3470" s="34" t="str">
        <f aca="false">IF(D3470="","",IFERROR(INDEX(I_COA!$G$6:$G$265,MATCH(D3470,I_COA!$A$6:$A$265,0)),"N"))</f>
        <v/>
      </c>
      <c r="O3470" s="11" t="str">
        <f aca="false">IF(N3470="N",ABS(J3470),"")</f>
        <v/>
      </c>
      <c r="P3470" s="18" t="str">
        <f aca="false">IF(N3470="N",B3470&amp;"|"&amp;ROUND(O3470,0),"")</f>
        <v/>
      </c>
      <c r="Q3470" s="18" t="str">
        <f aca="false">IF(N3470&lt;&gt;"Y","",IFERROR(INDEX($D$6:$D$4005,MATCH(B3470&amp;"|"&amp;ROUND(_xlfn.MAXIFS($O$6:$O$4005,$B$6:$B$4005,B3470,$N$6:$N$4005,"N"),0),$P$6:$P$4005,0)),"(tanpa lawan)"))</f>
        <v/>
      </c>
      <c r="R3470" s="44"/>
      <c r="S3470" s="9" t="str">
        <f aca="false">IF(N3470&lt;&gt;"Y","",IF(R3470&lt;&gt;"",R3470,IF(Q3470="(tanpa lawan)","Transfer antar rekening",IFERROR(INDEX(I_COA!$F$6:$F$265,MATCH(Q3470,I_COA!$A$6:$A$265,0)),"?"))))</f>
        <v/>
      </c>
    </row>
    <row r="3471" customFormat="false" ht="15" hidden="false" customHeight="false" outlineLevel="0" collapsed="false">
      <c r="A3471" s="37"/>
      <c r="B3471" s="44"/>
      <c r="C3471" s="44"/>
      <c r="D3471" s="44"/>
      <c r="E3471" s="44"/>
      <c r="F3471" s="44"/>
      <c r="G3471" s="42"/>
      <c r="H3471" s="42"/>
      <c r="I3471" s="44"/>
      <c r="J3471" s="11" t="str">
        <f aca="false">IF(D3471="","",N(G3471)-N(H3471))</f>
        <v/>
      </c>
      <c r="K3471" s="34" t="str">
        <f aca="false">IF(D3471="","",IFERROR(INDEX(I_COA!$C$6:$C$265,MATCH(D3471,I_COA!$A$6:$A$265,0)),"AKUN BARU"))</f>
        <v/>
      </c>
      <c r="L3471" s="34" t="str">
        <f aca="false">IF(K3471="LabaRugi",INDEX(I_COA!$D$6:$D$265,MATCH(D3471,I_COA!$A$6:$A$265,0)),"")</f>
        <v/>
      </c>
      <c r="M3471" s="34" t="str">
        <f aca="false">IF(K3471="Neraca",INDEX(I_COA!$E$6:$E$265,MATCH(D3471,I_COA!$A$6:$A$265,0)),"")</f>
        <v/>
      </c>
      <c r="N3471" s="34" t="str">
        <f aca="false">IF(D3471="","",IFERROR(INDEX(I_COA!$G$6:$G$265,MATCH(D3471,I_COA!$A$6:$A$265,0)),"N"))</f>
        <v/>
      </c>
      <c r="O3471" s="11" t="str">
        <f aca="false">IF(N3471="N",ABS(J3471),"")</f>
        <v/>
      </c>
      <c r="P3471" s="18" t="str">
        <f aca="false">IF(N3471="N",B3471&amp;"|"&amp;ROUND(O3471,0),"")</f>
        <v/>
      </c>
      <c r="Q3471" s="18" t="str">
        <f aca="false">IF(N3471&lt;&gt;"Y","",IFERROR(INDEX($D$6:$D$4005,MATCH(B3471&amp;"|"&amp;ROUND(_xlfn.MAXIFS($O$6:$O$4005,$B$6:$B$4005,B3471,$N$6:$N$4005,"N"),0),$P$6:$P$4005,0)),"(tanpa lawan)"))</f>
        <v/>
      </c>
      <c r="R3471" s="44"/>
      <c r="S3471" s="9" t="str">
        <f aca="false">IF(N3471&lt;&gt;"Y","",IF(R3471&lt;&gt;"",R3471,IF(Q3471="(tanpa lawan)","Transfer antar rekening",IFERROR(INDEX(I_COA!$F$6:$F$265,MATCH(Q3471,I_COA!$A$6:$A$265,0)),"?"))))</f>
        <v/>
      </c>
    </row>
    <row r="3472" customFormat="false" ht="15" hidden="false" customHeight="false" outlineLevel="0" collapsed="false">
      <c r="A3472" s="37"/>
      <c r="B3472" s="44"/>
      <c r="C3472" s="44"/>
      <c r="D3472" s="44"/>
      <c r="E3472" s="44"/>
      <c r="F3472" s="44"/>
      <c r="G3472" s="42"/>
      <c r="H3472" s="42"/>
      <c r="I3472" s="44"/>
      <c r="J3472" s="11" t="str">
        <f aca="false">IF(D3472="","",N(G3472)-N(H3472))</f>
        <v/>
      </c>
      <c r="K3472" s="34" t="str">
        <f aca="false">IF(D3472="","",IFERROR(INDEX(I_COA!$C$6:$C$265,MATCH(D3472,I_COA!$A$6:$A$265,0)),"AKUN BARU"))</f>
        <v/>
      </c>
      <c r="L3472" s="34" t="str">
        <f aca="false">IF(K3472="LabaRugi",INDEX(I_COA!$D$6:$D$265,MATCH(D3472,I_COA!$A$6:$A$265,0)),"")</f>
        <v/>
      </c>
      <c r="M3472" s="34" t="str">
        <f aca="false">IF(K3472="Neraca",INDEX(I_COA!$E$6:$E$265,MATCH(D3472,I_COA!$A$6:$A$265,0)),"")</f>
        <v/>
      </c>
      <c r="N3472" s="34" t="str">
        <f aca="false">IF(D3472="","",IFERROR(INDEX(I_COA!$G$6:$G$265,MATCH(D3472,I_COA!$A$6:$A$265,0)),"N"))</f>
        <v/>
      </c>
      <c r="O3472" s="11" t="str">
        <f aca="false">IF(N3472="N",ABS(J3472),"")</f>
        <v/>
      </c>
      <c r="P3472" s="18" t="str">
        <f aca="false">IF(N3472="N",B3472&amp;"|"&amp;ROUND(O3472,0),"")</f>
        <v/>
      </c>
      <c r="Q3472" s="18" t="str">
        <f aca="false">IF(N3472&lt;&gt;"Y","",IFERROR(INDEX($D$6:$D$4005,MATCH(B3472&amp;"|"&amp;ROUND(_xlfn.MAXIFS($O$6:$O$4005,$B$6:$B$4005,B3472,$N$6:$N$4005,"N"),0),$P$6:$P$4005,0)),"(tanpa lawan)"))</f>
        <v/>
      </c>
      <c r="R3472" s="44"/>
      <c r="S3472" s="9" t="str">
        <f aca="false">IF(N3472&lt;&gt;"Y","",IF(R3472&lt;&gt;"",R3472,IF(Q3472="(tanpa lawan)","Transfer antar rekening",IFERROR(INDEX(I_COA!$F$6:$F$265,MATCH(Q3472,I_COA!$A$6:$A$265,0)),"?"))))</f>
        <v/>
      </c>
    </row>
    <row r="3473" customFormat="false" ht="15" hidden="false" customHeight="false" outlineLevel="0" collapsed="false">
      <c r="A3473" s="37"/>
      <c r="B3473" s="44"/>
      <c r="C3473" s="44"/>
      <c r="D3473" s="44"/>
      <c r="E3473" s="44"/>
      <c r="F3473" s="44"/>
      <c r="G3473" s="42"/>
      <c r="H3473" s="42"/>
      <c r="I3473" s="44"/>
      <c r="J3473" s="11" t="str">
        <f aca="false">IF(D3473="","",N(G3473)-N(H3473))</f>
        <v/>
      </c>
      <c r="K3473" s="34" t="str">
        <f aca="false">IF(D3473="","",IFERROR(INDEX(I_COA!$C$6:$C$265,MATCH(D3473,I_COA!$A$6:$A$265,0)),"AKUN BARU"))</f>
        <v/>
      </c>
      <c r="L3473" s="34" t="str">
        <f aca="false">IF(K3473="LabaRugi",INDEX(I_COA!$D$6:$D$265,MATCH(D3473,I_COA!$A$6:$A$265,0)),"")</f>
        <v/>
      </c>
      <c r="M3473" s="34" t="str">
        <f aca="false">IF(K3473="Neraca",INDEX(I_COA!$E$6:$E$265,MATCH(D3473,I_COA!$A$6:$A$265,0)),"")</f>
        <v/>
      </c>
      <c r="N3473" s="34" t="str">
        <f aca="false">IF(D3473="","",IFERROR(INDEX(I_COA!$G$6:$G$265,MATCH(D3473,I_COA!$A$6:$A$265,0)),"N"))</f>
        <v/>
      </c>
      <c r="O3473" s="11" t="str">
        <f aca="false">IF(N3473="N",ABS(J3473),"")</f>
        <v/>
      </c>
      <c r="P3473" s="18" t="str">
        <f aca="false">IF(N3473="N",B3473&amp;"|"&amp;ROUND(O3473,0),"")</f>
        <v/>
      </c>
      <c r="Q3473" s="18" t="str">
        <f aca="false">IF(N3473&lt;&gt;"Y","",IFERROR(INDEX($D$6:$D$4005,MATCH(B3473&amp;"|"&amp;ROUND(_xlfn.MAXIFS($O$6:$O$4005,$B$6:$B$4005,B3473,$N$6:$N$4005,"N"),0),$P$6:$P$4005,0)),"(tanpa lawan)"))</f>
        <v/>
      </c>
      <c r="R3473" s="44"/>
      <c r="S3473" s="9" t="str">
        <f aca="false">IF(N3473&lt;&gt;"Y","",IF(R3473&lt;&gt;"",R3473,IF(Q3473="(tanpa lawan)","Transfer antar rekening",IFERROR(INDEX(I_COA!$F$6:$F$265,MATCH(Q3473,I_COA!$A$6:$A$265,0)),"?"))))</f>
        <v/>
      </c>
    </row>
    <row r="3474" customFormat="false" ht="15" hidden="false" customHeight="false" outlineLevel="0" collapsed="false">
      <c r="A3474" s="37"/>
      <c r="B3474" s="44"/>
      <c r="C3474" s="44"/>
      <c r="D3474" s="44"/>
      <c r="E3474" s="44"/>
      <c r="F3474" s="44"/>
      <c r="G3474" s="42"/>
      <c r="H3474" s="42"/>
      <c r="I3474" s="44"/>
      <c r="J3474" s="11" t="str">
        <f aca="false">IF(D3474="","",N(G3474)-N(H3474))</f>
        <v/>
      </c>
      <c r="K3474" s="34" t="str">
        <f aca="false">IF(D3474="","",IFERROR(INDEX(I_COA!$C$6:$C$265,MATCH(D3474,I_COA!$A$6:$A$265,0)),"AKUN BARU"))</f>
        <v/>
      </c>
      <c r="L3474" s="34" t="str">
        <f aca="false">IF(K3474="LabaRugi",INDEX(I_COA!$D$6:$D$265,MATCH(D3474,I_COA!$A$6:$A$265,0)),"")</f>
        <v/>
      </c>
      <c r="M3474" s="34" t="str">
        <f aca="false">IF(K3474="Neraca",INDEX(I_COA!$E$6:$E$265,MATCH(D3474,I_COA!$A$6:$A$265,0)),"")</f>
        <v/>
      </c>
      <c r="N3474" s="34" t="str">
        <f aca="false">IF(D3474="","",IFERROR(INDEX(I_COA!$G$6:$G$265,MATCH(D3474,I_COA!$A$6:$A$265,0)),"N"))</f>
        <v/>
      </c>
      <c r="O3474" s="11" t="str">
        <f aca="false">IF(N3474="N",ABS(J3474),"")</f>
        <v/>
      </c>
      <c r="P3474" s="18" t="str">
        <f aca="false">IF(N3474="N",B3474&amp;"|"&amp;ROUND(O3474,0),"")</f>
        <v/>
      </c>
      <c r="Q3474" s="18" t="str">
        <f aca="false">IF(N3474&lt;&gt;"Y","",IFERROR(INDEX($D$6:$D$4005,MATCH(B3474&amp;"|"&amp;ROUND(_xlfn.MAXIFS($O$6:$O$4005,$B$6:$B$4005,B3474,$N$6:$N$4005,"N"),0),$P$6:$P$4005,0)),"(tanpa lawan)"))</f>
        <v/>
      </c>
      <c r="R3474" s="44"/>
      <c r="S3474" s="9" t="str">
        <f aca="false">IF(N3474&lt;&gt;"Y","",IF(R3474&lt;&gt;"",R3474,IF(Q3474="(tanpa lawan)","Transfer antar rekening",IFERROR(INDEX(I_COA!$F$6:$F$265,MATCH(Q3474,I_COA!$A$6:$A$265,0)),"?"))))</f>
        <v/>
      </c>
    </row>
    <row r="3475" customFormat="false" ht="15" hidden="false" customHeight="false" outlineLevel="0" collapsed="false">
      <c r="A3475" s="37"/>
      <c r="B3475" s="44"/>
      <c r="C3475" s="44"/>
      <c r="D3475" s="44"/>
      <c r="E3475" s="44"/>
      <c r="F3475" s="44"/>
      <c r="G3475" s="42"/>
      <c r="H3475" s="42"/>
      <c r="I3475" s="44"/>
      <c r="J3475" s="11" t="str">
        <f aca="false">IF(D3475="","",N(G3475)-N(H3475))</f>
        <v/>
      </c>
      <c r="K3475" s="34" t="str">
        <f aca="false">IF(D3475="","",IFERROR(INDEX(I_COA!$C$6:$C$265,MATCH(D3475,I_COA!$A$6:$A$265,0)),"AKUN BARU"))</f>
        <v/>
      </c>
      <c r="L3475" s="34" t="str">
        <f aca="false">IF(K3475="LabaRugi",INDEX(I_COA!$D$6:$D$265,MATCH(D3475,I_COA!$A$6:$A$265,0)),"")</f>
        <v/>
      </c>
      <c r="M3475" s="34" t="str">
        <f aca="false">IF(K3475="Neraca",INDEX(I_COA!$E$6:$E$265,MATCH(D3475,I_COA!$A$6:$A$265,0)),"")</f>
        <v/>
      </c>
      <c r="N3475" s="34" t="str">
        <f aca="false">IF(D3475="","",IFERROR(INDEX(I_COA!$G$6:$G$265,MATCH(D3475,I_COA!$A$6:$A$265,0)),"N"))</f>
        <v/>
      </c>
      <c r="O3475" s="11" t="str">
        <f aca="false">IF(N3475="N",ABS(J3475),"")</f>
        <v/>
      </c>
      <c r="P3475" s="18" t="str">
        <f aca="false">IF(N3475="N",B3475&amp;"|"&amp;ROUND(O3475,0),"")</f>
        <v/>
      </c>
      <c r="Q3475" s="18" t="str">
        <f aca="false">IF(N3475&lt;&gt;"Y","",IFERROR(INDEX($D$6:$D$4005,MATCH(B3475&amp;"|"&amp;ROUND(_xlfn.MAXIFS($O$6:$O$4005,$B$6:$B$4005,B3475,$N$6:$N$4005,"N"),0),$P$6:$P$4005,0)),"(tanpa lawan)"))</f>
        <v/>
      </c>
      <c r="R3475" s="44"/>
      <c r="S3475" s="9" t="str">
        <f aca="false">IF(N3475&lt;&gt;"Y","",IF(R3475&lt;&gt;"",R3475,IF(Q3475="(tanpa lawan)","Transfer antar rekening",IFERROR(INDEX(I_COA!$F$6:$F$265,MATCH(Q3475,I_COA!$A$6:$A$265,0)),"?"))))</f>
        <v/>
      </c>
    </row>
    <row r="3476" customFormat="false" ht="15" hidden="false" customHeight="false" outlineLevel="0" collapsed="false">
      <c r="A3476" s="37"/>
      <c r="B3476" s="44"/>
      <c r="C3476" s="44"/>
      <c r="D3476" s="44"/>
      <c r="E3476" s="44"/>
      <c r="F3476" s="44"/>
      <c r="G3476" s="42"/>
      <c r="H3476" s="42"/>
      <c r="I3476" s="44"/>
      <c r="J3476" s="11" t="str">
        <f aca="false">IF(D3476="","",N(G3476)-N(H3476))</f>
        <v/>
      </c>
      <c r="K3476" s="34" t="str">
        <f aca="false">IF(D3476="","",IFERROR(INDEX(I_COA!$C$6:$C$265,MATCH(D3476,I_COA!$A$6:$A$265,0)),"AKUN BARU"))</f>
        <v/>
      </c>
      <c r="L3476" s="34" t="str">
        <f aca="false">IF(K3476="LabaRugi",INDEX(I_COA!$D$6:$D$265,MATCH(D3476,I_COA!$A$6:$A$265,0)),"")</f>
        <v/>
      </c>
      <c r="M3476" s="34" t="str">
        <f aca="false">IF(K3476="Neraca",INDEX(I_COA!$E$6:$E$265,MATCH(D3476,I_COA!$A$6:$A$265,0)),"")</f>
        <v/>
      </c>
      <c r="N3476" s="34" t="str">
        <f aca="false">IF(D3476="","",IFERROR(INDEX(I_COA!$G$6:$G$265,MATCH(D3476,I_COA!$A$6:$A$265,0)),"N"))</f>
        <v/>
      </c>
      <c r="O3476" s="11" t="str">
        <f aca="false">IF(N3476="N",ABS(J3476),"")</f>
        <v/>
      </c>
      <c r="P3476" s="18" t="str">
        <f aca="false">IF(N3476="N",B3476&amp;"|"&amp;ROUND(O3476,0),"")</f>
        <v/>
      </c>
      <c r="Q3476" s="18" t="str">
        <f aca="false">IF(N3476&lt;&gt;"Y","",IFERROR(INDEX($D$6:$D$4005,MATCH(B3476&amp;"|"&amp;ROUND(_xlfn.MAXIFS($O$6:$O$4005,$B$6:$B$4005,B3476,$N$6:$N$4005,"N"),0),$P$6:$P$4005,0)),"(tanpa lawan)"))</f>
        <v/>
      </c>
      <c r="R3476" s="44"/>
      <c r="S3476" s="9" t="str">
        <f aca="false">IF(N3476&lt;&gt;"Y","",IF(R3476&lt;&gt;"",R3476,IF(Q3476="(tanpa lawan)","Transfer antar rekening",IFERROR(INDEX(I_COA!$F$6:$F$265,MATCH(Q3476,I_COA!$A$6:$A$265,0)),"?"))))</f>
        <v/>
      </c>
    </row>
    <row r="3477" customFormat="false" ht="15" hidden="false" customHeight="false" outlineLevel="0" collapsed="false">
      <c r="A3477" s="37"/>
      <c r="B3477" s="44"/>
      <c r="C3477" s="44"/>
      <c r="D3477" s="44"/>
      <c r="E3477" s="44"/>
      <c r="F3477" s="44"/>
      <c r="G3477" s="42"/>
      <c r="H3477" s="42"/>
      <c r="I3477" s="44"/>
      <c r="J3477" s="11" t="str">
        <f aca="false">IF(D3477="","",N(G3477)-N(H3477))</f>
        <v/>
      </c>
      <c r="K3477" s="34" t="str">
        <f aca="false">IF(D3477="","",IFERROR(INDEX(I_COA!$C$6:$C$265,MATCH(D3477,I_COA!$A$6:$A$265,0)),"AKUN BARU"))</f>
        <v/>
      </c>
      <c r="L3477" s="34" t="str">
        <f aca="false">IF(K3477="LabaRugi",INDEX(I_COA!$D$6:$D$265,MATCH(D3477,I_COA!$A$6:$A$265,0)),"")</f>
        <v/>
      </c>
      <c r="M3477" s="34" t="str">
        <f aca="false">IF(K3477="Neraca",INDEX(I_COA!$E$6:$E$265,MATCH(D3477,I_COA!$A$6:$A$265,0)),"")</f>
        <v/>
      </c>
      <c r="N3477" s="34" t="str">
        <f aca="false">IF(D3477="","",IFERROR(INDEX(I_COA!$G$6:$G$265,MATCH(D3477,I_COA!$A$6:$A$265,0)),"N"))</f>
        <v/>
      </c>
      <c r="O3477" s="11" t="str">
        <f aca="false">IF(N3477="N",ABS(J3477),"")</f>
        <v/>
      </c>
      <c r="P3477" s="18" t="str">
        <f aca="false">IF(N3477="N",B3477&amp;"|"&amp;ROUND(O3477,0),"")</f>
        <v/>
      </c>
      <c r="Q3477" s="18" t="str">
        <f aca="false">IF(N3477&lt;&gt;"Y","",IFERROR(INDEX($D$6:$D$4005,MATCH(B3477&amp;"|"&amp;ROUND(_xlfn.MAXIFS($O$6:$O$4005,$B$6:$B$4005,B3477,$N$6:$N$4005,"N"),0),$P$6:$P$4005,0)),"(tanpa lawan)"))</f>
        <v/>
      </c>
      <c r="R3477" s="44"/>
      <c r="S3477" s="9" t="str">
        <f aca="false">IF(N3477&lt;&gt;"Y","",IF(R3477&lt;&gt;"",R3477,IF(Q3477="(tanpa lawan)","Transfer antar rekening",IFERROR(INDEX(I_COA!$F$6:$F$265,MATCH(Q3477,I_COA!$A$6:$A$265,0)),"?"))))</f>
        <v/>
      </c>
    </row>
    <row r="3478" customFormat="false" ht="15" hidden="false" customHeight="false" outlineLevel="0" collapsed="false">
      <c r="A3478" s="37"/>
      <c r="B3478" s="44"/>
      <c r="C3478" s="44"/>
      <c r="D3478" s="44"/>
      <c r="E3478" s="44"/>
      <c r="F3478" s="44"/>
      <c r="G3478" s="42"/>
      <c r="H3478" s="42"/>
      <c r="I3478" s="44"/>
      <c r="J3478" s="11" t="str">
        <f aca="false">IF(D3478="","",N(G3478)-N(H3478))</f>
        <v/>
      </c>
      <c r="K3478" s="34" t="str">
        <f aca="false">IF(D3478="","",IFERROR(INDEX(I_COA!$C$6:$C$265,MATCH(D3478,I_COA!$A$6:$A$265,0)),"AKUN BARU"))</f>
        <v/>
      </c>
      <c r="L3478" s="34" t="str">
        <f aca="false">IF(K3478="LabaRugi",INDEX(I_COA!$D$6:$D$265,MATCH(D3478,I_COA!$A$6:$A$265,0)),"")</f>
        <v/>
      </c>
      <c r="M3478" s="34" t="str">
        <f aca="false">IF(K3478="Neraca",INDEX(I_COA!$E$6:$E$265,MATCH(D3478,I_COA!$A$6:$A$265,0)),"")</f>
        <v/>
      </c>
      <c r="N3478" s="34" t="str">
        <f aca="false">IF(D3478="","",IFERROR(INDEX(I_COA!$G$6:$G$265,MATCH(D3478,I_COA!$A$6:$A$265,0)),"N"))</f>
        <v/>
      </c>
      <c r="O3478" s="11" t="str">
        <f aca="false">IF(N3478="N",ABS(J3478),"")</f>
        <v/>
      </c>
      <c r="P3478" s="18" t="str">
        <f aca="false">IF(N3478="N",B3478&amp;"|"&amp;ROUND(O3478,0),"")</f>
        <v/>
      </c>
      <c r="Q3478" s="18" t="str">
        <f aca="false">IF(N3478&lt;&gt;"Y","",IFERROR(INDEX($D$6:$D$4005,MATCH(B3478&amp;"|"&amp;ROUND(_xlfn.MAXIFS($O$6:$O$4005,$B$6:$B$4005,B3478,$N$6:$N$4005,"N"),0),$P$6:$P$4005,0)),"(tanpa lawan)"))</f>
        <v/>
      </c>
      <c r="R3478" s="44"/>
      <c r="S3478" s="9" t="str">
        <f aca="false">IF(N3478&lt;&gt;"Y","",IF(R3478&lt;&gt;"",R3478,IF(Q3478="(tanpa lawan)","Transfer antar rekening",IFERROR(INDEX(I_COA!$F$6:$F$265,MATCH(Q3478,I_COA!$A$6:$A$265,0)),"?"))))</f>
        <v/>
      </c>
    </row>
    <row r="3479" customFormat="false" ht="15" hidden="false" customHeight="false" outlineLevel="0" collapsed="false">
      <c r="A3479" s="37"/>
      <c r="B3479" s="44"/>
      <c r="C3479" s="44"/>
      <c r="D3479" s="44"/>
      <c r="E3479" s="44"/>
      <c r="F3479" s="44"/>
      <c r="G3479" s="42"/>
      <c r="H3479" s="42"/>
      <c r="I3479" s="44"/>
      <c r="J3479" s="11" t="str">
        <f aca="false">IF(D3479="","",N(G3479)-N(H3479))</f>
        <v/>
      </c>
      <c r="K3479" s="34" t="str">
        <f aca="false">IF(D3479="","",IFERROR(INDEX(I_COA!$C$6:$C$265,MATCH(D3479,I_COA!$A$6:$A$265,0)),"AKUN BARU"))</f>
        <v/>
      </c>
      <c r="L3479" s="34" t="str">
        <f aca="false">IF(K3479="LabaRugi",INDEX(I_COA!$D$6:$D$265,MATCH(D3479,I_COA!$A$6:$A$265,0)),"")</f>
        <v/>
      </c>
      <c r="M3479" s="34" t="str">
        <f aca="false">IF(K3479="Neraca",INDEX(I_COA!$E$6:$E$265,MATCH(D3479,I_COA!$A$6:$A$265,0)),"")</f>
        <v/>
      </c>
      <c r="N3479" s="34" t="str">
        <f aca="false">IF(D3479="","",IFERROR(INDEX(I_COA!$G$6:$G$265,MATCH(D3479,I_COA!$A$6:$A$265,0)),"N"))</f>
        <v/>
      </c>
      <c r="O3479" s="11" t="str">
        <f aca="false">IF(N3479="N",ABS(J3479),"")</f>
        <v/>
      </c>
      <c r="P3479" s="18" t="str">
        <f aca="false">IF(N3479="N",B3479&amp;"|"&amp;ROUND(O3479,0),"")</f>
        <v/>
      </c>
      <c r="Q3479" s="18" t="str">
        <f aca="false">IF(N3479&lt;&gt;"Y","",IFERROR(INDEX($D$6:$D$4005,MATCH(B3479&amp;"|"&amp;ROUND(_xlfn.MAXIFS($O$6:$O$4005,$B$6:$B$4005,B3479,$N$6:$N$4005,"N"),0),$P$6:$P$4005,0)),"(tanpa lawan)"))</f>
        <v/>
      </c>
      <c r="R3479" s="44"/>
      <c r="S3479" s="9" t="str">
        <f aca="false">IF(N3479&lt;&gt;"Y","",IF(R3479&lt;&gt;"",R3479,IF(Q3479="(tanpa lawan)","Transfer antar rekening",IFERROR(INDEX(I_COA!$F$6:$F$265,MATCH(Q3479,I_COA!$A$6:$A$265,0)),"?"))))</f>
        <v/>
      </c>
    </row>
    <row r="3480" customFormat="false" ht="15" hidden="false" customHeight="false" outlineLevel="0" collapsed="false">
      <c r="A3480" s="37"/>
      <c r="B3480" s="44"/>
      <c r="C3480" s="44"/>
      <c r="D3480" s="44"/>
      <c r="E3480" s="44"/>
      <c r="F3480" s="44"/>
      <c r="G3480" s="42"/>
      <c r="H3480" s="42"/>
      <c r="I3480" s="44"/>
      <c r="J3480" s="11" t="str">
        <f aca="false">IF(D3480="","",N(G3480)-N(H3480))</f>
        <v/>
      </c>
      <c r="K3480" s="34" t="str">
        <f aca="false">IF(D3480="","",IFERROR(INDEX(I_COA!$C$6:$C$265,MATCH(D3480,I_COA!$A$6:$A$265,0)),"AKUN BARU"))</f>
        <v/>
      </c>
      <c r="L3480" s="34" t="str">
        <f aca="false">IF(K3480="LabaRugi",INDEX(I_COA!$D$6:$D$265,MATCH(D3480,I_COA!$A$6:$A$265,0)),"")</f>
        <v/>
      </c>
      <c r="M3480" s="34" t="str">
        <f aca="false">IF(K3480="Neraca",INDEX(I_COA!$E$6:$E$265,MATCH(D3480,I_COA!$A$6:$A$265,0)),"")</f>
        <v/>
      </c>
      <c r="N3480" s="34" t="str">
        <f aca="false">IF(D3480="","",IFERROR(INDEX(I_COA!$G$6:$G$265,MATCH(D3480,I_COA!$A$6:$A$265,0)),"N"))</f>
        <v/>
      </c>
      <c r="O3480" s="11" t="str">
        <f aca="false">IF(N3480="N",ABS(J3480),"")</f>
        <v/>
      </c>
      <c r="P3480" s="18" t="str">
        <f aca="false">IF(N3480="N",B3480&amp;"|"&amp;ROUND(O3480,0),"")</f>
        <v/>
      </c>
      <c r="Q3480" s="18" t="str">
        <f aca="false">IF(N3480&lt;&gt;"Y","",IFERROR(INDEX($D$6:$D$4005,MATCH(B3480&amp;"|"&amp;ROUND(_xlfn.MAXIFS($O$6:$O$4005,$B$6:$B$4005,B3480,$N$6:$N$4005,"N"),0),$P$6:$P$4005,0)),"(tanpa lawan)"))</f>
        <v/>
      </c>
      <c r="R3480" s="44"/>
      <c r="S3480" s="9" t="str">
        <f aca="false">IF(N3480&lt;&gt;"Y","",IF(R3480&lt;&gt;"",R3480,IF(Q3480="(tanpa lawan)","Transfer antar rekening",IFERROR(INDEX(I_COA!$F$6:$F$265,MATCH(Q3480,I_COA!$A$6:$A$265,0)),"?"))))</f>
        <v/>
      </c>
    </row>
    <row r="3481" customFormat="false" ht="15" hidden="false" customHeight="false" outlineLevel="0" collapsed="false">
      <c r="A3481" s="37"/>
      <c r="B3481" s="44"/>
      <c r="C3481" s="44"/>
      <c r="D3481" s="44"/>
      <c r="E3481" s="44"/>
      <c r="F3481" s="44"/>
      <c r="G3481" s="42"/>
      <c r="H3481" s="42"/>
      <c r="I3481" s="44"/>
      <c r="J3481" s="11" t="str">
        <f aca="false">IF(D3481="","",N(G3481)-N(H3481))</f>
        <v/>
      </c>
      <c r="K3481" s="34" t="str">
        <f aca="false">IF(D3481="","",IFERROR(INDEX(I_COA!$C$6:$C$265,MATCH(D3481,I_COA!$A$6:$A$265,0)),"AKUN BARU"))</f>
        <v/>
      </c>
      <c r="L3481" s="34" t="str">
        <f aca="false">IF(K3481="LabaRugi",INDEX(I_COA!$D$6:$D$265,MATCH(D3481,I_COA!$A$6:$A$265,0)),"")</f>
        <v/>
      </c>
      <c r="M3481" s="34" t="str">
        <f aca="false">IF(K3481="Neraca",INDEX(I_COA!$E$6:$E$265,MATCH(D3481,I_COA!$A$6:$A$265,0)),"")</f>
        <v/>
      </c>
      <c r="N3481" s="34" t="str">
        <f aca="false">IF(D3481="","",IFERROR(INDEX(I_COA!$G$6:$G$265,MATCH(D3481,I_COA!$A$6:$A$265,0)),"N"))</f>
        <v/>
      </c>
      <c r="O3481" s="11" t="str">
        <f aca="false">IF(N3481="N",ABS(J3481),"")</f>
        <v/>
      </c>
      <c r="P3481" s="18" t="str">
        <f aca="false">IF(N3481="N",B3481&amp;"|"&amp;ROUND(O3481,0),"")</f>
        <v/>
      </c>
      <c r="Q3481" s="18" t="str">
        <f aca="false">IF(N3481&lt;&gt;"Y","",IFERROR(INDEX($D$6:$D$4005,MATCH(B3481&amp;"|"&amp;ROUND(_xlfn.MAXIFS($O$6:$O$4005,$B$6:$B$4005,B3481,$N$6:$N$4005,"N"),0),$P$6:$P$4005,0)),"(tanpa lawan)"))</f>
        <v/>
      </c>
      <c r="R3481" s="44"/>
      <c r="S3481" s="9" t="str">
        <f aca="false">IF(N3481&lt;&gt;"Y","",IF(R3481&lt;&gt;"",R3481,IF(Q3481="(tanpa lawan)","Transfer antar rekening",IFERROR(INDEX(I_COA!$F$6:$F$265,MATCH(Q3481,I_COA!$A$6:$A$265,0)),"?"))))</f>
        <v/>
      </c>
    </row>
    <row r="3482" customFormat="false" ht="15" hidden="false" customHeight="false" outlineLevel="0" collapsed="false">
      <c r="A3482" s="37"/>
      <c r="B3482" s="44"/>
      <c r="C3482" s="44"/>
      <c r="D3482" s="44"/>
      <c r="E3482" s="44"/>
      <c r="F3482" s="44"/>
      <c r="G3482" s="42"/>
      <c r="H3482" s="42"/>
      <c r="I3482" s="44"/>
      <c r="J3482" s="11" t="str">
        <f aca="false">IF(D3482="","",N(G3482)-N(H3482))</f>
        <v/>
      </c>
      <c r="K3482" s="34" t="str">
        <f aca="false">IF(D3482="","",IFERROR(INDEX(I_COA!$C$6:$C$265,MATCH(D3482,I_COA!$A$6:$A$265,0)),"AKUN BARU"))</f>
        <v/>
      </c>
      <c r="L3482" s="34" t="str">
        <f aca="false">IF(K3482="LabaRugi",INDEX(I_COA!$D$6:$D$265,MATCH(D3482,I_COA!$A$6:$A$265,0)),"")</f>
        <v/>
      </c>
      <c r="M3482" s="34" t="str">
        <f aca="false">IF(K3482="Neraca",INDEX(I_COA!$E$6:$E$265,MATCH(D3482,I_COA!$A$6:$A$265,0)),"")</f>
        <v/>
      </c>
      <c r="N3482" s="34" t="str">
        <f aca="false">IF(D3482="","",IFERROR(INDEX(I_COA!$G$6:$G$265,MATCH(D3482,I_COA!$A$6:$A$265,0)),"N"))</f>
        <v/>
      </c>
      <c r="O3482" s="11" t="str">
        <f aca="false">IF(N3482="N",ABS(J3482),"")</f>
        <v/>
      </c>
      <c r="P3482" s="18" t="str">
        <f aca="false">IF(N3482="N",B3482&amp;"|"&amp;ROUND(O3482,0),"")</f>
        <v/>
      </c>
      <c r="Q3482" s="18" t="str">
        <f aca="false">IF(N3482&lt;&gt;"Y","",IFERROR(INDEX($D$6:$D$4005,MATCH(B3482&amp;"|"&amp;ROUND(_xlfn.MAXIFS($O$6:$O$4005,$B$6:$B$4005,B3482,$N$6:$N$4005,"N"),0),$P$6:$P$4005,0)),"(tanpa lawan)"))</f>
        <v/>
      </c>
      <c r="R3482" s="44"/>
      <c r="S3482" s="9" t="str">
        <f aca="false">IF(N3482&lt;&gt;"Y","",IF(R3482&lt;&gt;"",R3482,IF(Q3482="(tanpa lawan)","Transfer antar rekening",IFERROR(INDEX(I_COA!$F$6:$F$265,MATCH(Q3482,I_COA!$A$6:$A$265,0)),"?"))))</f>
        <v/>
      </c>
    </row>
    <row r="3483" customFormat="false" ht="15" hidden="false" customHeight="false" outlineLevel="0" collapsed="false">
      <c r="A3483" s="37"/>
      <c r="B3483" s="44"/>
      <c r="C3483" s="44"/>
      <c r="D3483" s="44"/>
      <c r="E3483" s="44"/>
      <c r="F3483" s="44"/>
      <c r="G3483" s="42"/>
      <c r="H3483" s="42"/>
      <c r="I3483" s="44"/>
      <c r="J3483" s="11" t="str">
        <f aca="false">IF(D3483="","",N(G3483)-N(H3483))</f>
        <v/>
      </c>
      <c r="K3483" s="34" t="str">
        <f aca="false">IF(D3483="","",IFERROR(INDEX(I_COA!$C$6:$C$265,MATCH(D3483,I_COA!$A$6:$A$265,0)),"AKUN BARU"))</f>
        <v/>
      </c>
      <c r="L3483" s="34" t="str">
        <f aca="false">IF(K3483="LabaRugi",INDEX(I_COA!$D$6:$D$265,MATCH(D3483,I_COA!$A$6:$A$265,0)),"")</f>
        <v/>
      </c>
      <c r="M3483" s="34" t="str">
        <f aca="false">IF(K3483="Neraca",INDEX(I_COA!$E$6:$E$265,MATCH(D3483,I_COA!$A$6:$A$265,0)),"")</f>
        <v/>
      </c>
      <c r="N3483" s="34" t="str">
        <f aca="false">IF(D3483="","",IFERROR(INDEX(I_COA!$G$6:$G$265,MATCH(D3483,I_COA!$A$6:$A$265,0)),"N"))</f>
        <v/>
      </c>
      <c r="O3483" s="11" t="str">
        <f aca="false">IF(N3483="N",ABS(J3483),"")</f>
        <v/>
      </c>
      <c r="P3483" s="18" t="str">
        <f aca="false">IF(N3483="N",B3483&amp;"|"&amp;ROUND(O3483,0),"")</f>
        <v/>
      </c>
      <c r="Q3483" s="18" t="str">
        <f aca="false">IF(N3483&lt;&gt;"Y","",IFERROR(INDEX($D$6:$D$4005,MATCH(B3483&amp;"|"&amp;ROUND(_xlfn.MAXIFS($O$6:$O$4005,$B$6:$B$4005,B3483,$N$6:$N$4005,"N"),0),$P$6:$P$4005,0)),"(tanpa lawan)"))</f>
        <v/>
      </c>
      <c r="R3483" s="44"/>
      <c r="S3483" s="9" t="str">
        <f aca="false">IF(N3483&lt;&gt;"Y","",IF(R3483&lt;&gt;"",R3483,IF(Q3483="(tanpa lawan)","Transfer antar rekening",IFERROR(INDEX(I_COA!$F$6:$F$265,MATCH(Q3483,I_COA!$A$6:$A$265,0)),"?"))))</f>
        <v/>
      </c>
    </row>
    <row r="3484" customFormat="false" ht="15" hidden="false" customHeight="false" outlineLevel="0" collapsed="false">
      <c r="A3484" s="37"/>
      <c r="B3484" s="44"/>
      <c r="C3484" s="44"/>
      <c r="D3484" s="44"/>
      <c r="E3484" s="44"/>
      <c r="F3484" s="44"/>
      <c r="G3484" s="42"/>
      <c r="H3484" s="42"/>
      <c r="I3484" s="44"/>
      <c r="J3484" s="11" t="str">
        <f aca="false">IF(D3484="","",N(G3484)-N(H3484))</f>
        <v/>
      </c>
      <c r="K3484" s="34" t="str">
        <f aca="false">IF(D3484="","",IFERROR(INDEX(I_COA!$C$6:$C$265,MATCH(D3484,I_COA!$A$6:$A$265,0)),"AKUN BARU"))</f>
        <v/>
      </c>
      <c r="L3484" s="34" t="str">
        <f aca="false">IF(K3484="LabaRugi",INDEX(I_COA!$D$6:$D$265,MATCH(D3484,I_COA!$A$6:$A$265,0)),"")</f>
        <v/>
      </c>
      <c r="M3484" s="34" t="str">
        <f aca="false">IF(K3484="Neraca",INDEX(I_COA!$E$6:$E$265,MATCH(D3484,I_COA!$A$6:$A$265,0)),"")</f>
        <v/>
      </c>
      <c r="N3484" s="34" t="str">
        <f aca="false">IF(D3484="","",IFERROR(INDEX(I_COA!$G$6:$G$265,MATCH(D3484,I_COA!$A$6:$A$265,0)),"N"))</f>
        <v/>
      </c>
      <c r="O3484" s="11" t="str">
        <f aca="false">IF(N3484="N",ABS(J3484),"")</f>
        <v/>
      </c>
      <c r="P3484" s="18" t="str">
        <f aca="false">IF(N3484="N",B3484&amp;"|"&amp;ROUND(O3484,0),"")</f>
        <v/>
      </c>
      <c r="Q3484" s="18" t="str">
        <f aca="false">IF(N3484&lt;&gt;"Y","",IFERROR(INDEX($D$6:$D$4005,MATCH(B3484&amp;"|"&amp;ROUND(_xlfn.MAXIFS($O$6:$O$4005,$B$6:$B$4005,B3484,$N$6:$N$4005,"N"),0),$P$6:$P$4005,0)),"(tanpa lawan)"))</f>
        <v/>
      </c>
      <c r="R3484" s="44"/>
      <c r="S3484" s="9" t="str">
        <f aca="false">IF(N3484&lt;&gt;"Y","",IF(R3484&lt;&gt;"",R3484,IF(Q3484="(tanpa lawan)","Transfer antar rekening",IFERROR(INDEX(I_COA!$F$6:$F$265,MATCH(Q3484,I_COA!$A$6:$A$265,0)),"?"))))</f>
        <v/>
      </c>
    </row>
    <row r="3485" customFormat="false" ht="15" hidden="false" customHeight="false" outlineLevel="0" collapsed="false">
      <c r="A3485" s="37"/>
      <c r="B3485" s="44"/>
      <c r="C3485" s="44"/>
      <c r="D3485" s="44"/>
      <c r="E3485" s="44"/>
      <c r="F3485" s="44"/>
      <c r="G3485" s="42"/>
      <c r="H3485" s="42"/>
      <c r="I3485" s="44"/>
      <c r="J3485" s="11" t="str">
        <f aca="false">IF(D3485="","",N(G3485)-N(H3485))</f>
        <v/>
      </c>
      <c r="K3485" s="34" t="str">
        <f aca="false">IF(D3485="","",IFERROR(INDEX(I_COA!$C$6:$C$265,MATCH(D3485,I_COA!$A$6:$A$265,0)),"AKUN BARU"))</f>
        <v/>
      </c>
      <c r="L3485" s="34" t="str">
        <f aca="false">IF(K3485="LabaRugi",INDEX(I_COA!$D$6:$D$265,MATCH(D3485,I_COA!$A$6:$A$265,0)),"")</f>
        <v/>
      </c>
      <c r="M3485" s="34" t="str">
        <f aca="false">IF(K3485="Neraca",INDEX(I_COA!$E$6:$E$265,MATCH(D3485,I_COA!$A$6:$A$265,0)),"")</f>
        <v/>
      </c>
      <c r="N3485" s="34" t="str">
        <f aca="false">IF(D3485="","",IFERROR(INDEX(I_COA!$G$6:$G$265,MATCH(D3485,I_COA!$A$6:$A$265,0)),"N"))</f>
        <v/>
      </c>
      <c r="O3485" s="11" t="str">
        <f aca="false">IF(N3485="N",ABS(J3485),"")</f>
        <v/>
      </c>
      <c r="P3485" s="18" t="str">
        <f aca="false">IF(N3485="N",B3485&amp;"|"&amp;ROUND(O3485,0),"")</f>
        <v/>
      </c>
      <c r="Q3485" s="18" t="str">
        <f aca="false">IF(N3485&lt;&gt;"Y","",IFERROR(INDEX($D$6:$D$4005,MATCH(B3485&amp;"|"&amp;ROUND(_xlfn.MAXIFS($O$6:$O$4005,$B$6:$B$4005,B3485,$N$6:$N$4005,"N"),0),$P$6:$P$4005,0)),"(tanpa lawan)"))</f>
        <v/>
      </c>
      <c r="R3485" s="44"/>
      <c r="S3485" s="9" t="str">
        <f aca="false">IF(N3485&lt;&gt;"Y","",IF(R3485&lt;&gt;"",R3485,IF(Q3485="(tanpa lawan)","Transfer antar rekening",IFERROR(INDEX(I_COA!$F$6:$F$265,MATCH(Q3485,I_COA!$A$6:$A$265,0)),"?"))))</f>
        <v/>
      </c>
    </row>
    <row r="3486" customFormat="false" ht="15" hidden="false" customHeight="false" outlineLevel="0" collapsed="false">
      <c r="A3486" s="37"/>
      <c r="B3486" s="44"/>
      <c r="C3486" s="44"/>
      <c r="D3486" s="44"/>
      <c r="E3486" s="44"/>
      <c r="F3486" s="44"/>
      <c r="G3486" s="42"/>
      <c r="H3486" s="42"/>
      <c r="I3486" s="44"/>
      <c r="J3486" s="11" t="str">
        <f aca="false">IF(D3486="","",N(G3486)-N(H3486))</f>
        <v/>
      </c>
      <c r="K3486" s="34" t="str">
        <f aca="false">IF(D3486="","",IFERROR(INDEX(I_COA!$C$6:$C$265,MATCH(D3486,I_COA!$A$6:$A$265,0)),"AKUN BARU"))</f>
        <v/>
      </c>
      <c r="L3486" s="34" t="str">
        <f aca="false">IF(K3486="LabaRugi",INDEX(I_COA!$D$6:$D$265,MATCH(D3486,I_COA!$A$6:$A$265,0)),"")</f>
        <v/>
      </c>
      <c r="M3486" s="34" t="str">
        <f aca="false">IF(K3486="Neraca",INDEX(I_COA!$E$6:$E$265,MATCH(D3486,I_COA!$A$6:$A$265,0)),"")</f>
        <v/>
      </c>
      <c r="N3486" s="34" t="str">
        <f aca="false">IF(D3486="","",IFERROR(INDEX(I_COA!$G$6:$G$265,MATCH(D3486,I_COA!$A$6:$A$265,0)),"N"))</f>
        <v/>
      </c>
      <c r="O3486" s="11" t="str">
        <f aca="false">IF(N3486="N",ABS(J3486),"")</f>
        <v/>
      </c>
      <c r="P3486" s="18" t="str">
        <f aca="false">IF(N3486="N",B3486&amp;"|"&amp;ROUND(O3486,0),"")</f>
        <v/>
      </c>
      <c r="Q3486" s="18" t="str">
        <f aca="false">IF(N3486&lt;&gt;"Y","",IFERROR(INDEX($D$6:$D$4005,MATCH(B3486&amp;"|"&amp;ROUND(_xlfn.MAXIFS($O$6:$O$4005,$B$6:$B$4005,B3486,$N$6:$N$4005,"N"),0),$P$6:$P$4005,0)),"(tanpa lawan)"))</f>
        <v/>
      </c>
      <c r="R3486" s="44"/>
      <c r="S3486" s="9" t="str">
        <f aca="false">IF(N3486&lt;&gt;"Y","",IF(R3486&lt;&gt;"",R3486,IF(Q3486="(tanpa lawan)","Transfer antar rekening",IFERROR(INDEX(I_COA!$F$6:$F$265,MATCH(Q3486,I_COA!$A$6:$A$265,0)),"?"))))</f>
        <v/>
      </c>
    </row>
    <row r="3487" customFormat="false" ht="15" hidden="false" customHeight="false" outlineLevel="0" collapsed="false">
      <c r="A3487" s="37"/>
      <c r="B3487" s="44"/>
      <c r="C3487" s="44"/>
      <c r="D3487" s="44"/>
      <c r="E3487" s="44"/>
      <c r="F3487" s="44"/>
      <c r="G3487" s="42"/>
      <c r="H3487" s="42"/>
      <c r="I3487" s="44"/>
      <c r="J3487" s="11" t="str">
        <f aca="false">IF(D3487="","",N(G3487)-N(H3487))</f>
        <v/>
      </c>
      <c r="K3487" s="34" t="str">
        <f aca="false">IF(D3487="","",IFERROR(INDEX(I_COA!$C$6:$C$265,MATCH(D3487,I_COA!$A$6:$A$265,0)),"AKUN BARU"))</f>
        <v/>
      </c>
      <c r="L3487" s="34" t="str">
        <f aca="false">IF(K3487="LabaRugi",INDEX(I_COA!$D$6:$D$265,MATCH(D3487,I_COA!$A$6:$A$265,0)),"")</f>
        <v/>
      </c>
      <c r="M3487" s="34" t="str">
        <f aca="false">IF(K3487="Neraca",INDEX(I_COA!$E$6:$E$265,MATCH(D3487,I_COA!$A$6:$A$265,0)),"")</f>
        <v/>
      </c>
      <c r="N3487" s="34" t="str">
        <f aca="false">IF(D3487="","",IFERROR(INDEX(I_COA!$G$6:$G$265,MATCH(D3487,I_COA!$A$6:$A$265,0)),"N"))</f>
        <v/>
      </c>
      <c r="O3487" s="11" t="str">
        <f aca="false">IF(N3487="N",ABS(J3487),"")</f>
        <v/>
      </c>
      <c r="P3487" s="18" t="str">
        <f aca="false">IF(N3487="N",B3487&amp;"|"&amp;ROUND(O3487,0),"")</f>
        <v/>
      </c>
      <c r="Q3487" s="18" t="str">
        <f aca="false">IF(N3487&lt;&gt;"Y","",IFERROR(INDEX($D$6:$D$4005,MATCH(B3487&amp;"|"&amp;ROUND(_xlfn.MAXIFS($O$6:$O$4005,$B$6:$B$4005,B3487,$N$6:$N$4005,"N"),0),$P$6:$P$4005,0)),"(tanpa lawan)"))</f>
        <v/>
      </c>
      <c r="R3487" s="44"/>
      <c r="S3487" s="9" t="str">
        <f aca="false">IF(N3487&lt;&gt;"Y","",IF(R3487&lt;&gt;"",R3487,IF(Q3487="(tanpa lawan)","Transfer antar rekening",IFERROR(INDEX(I_COA!$F$6:$F$265,MATCH(Q3487,I_COA!$A$6:$A$265,0)),"?"))))</f>
        <v/>
      </c>
    </row>
    <row r="3488" customFormat="false" ht="15" hidden="false" customHeight="false" outlineLevel="0" collapsed="false">
      <c r="A3488" s="37"/>
      <c r="B3488" s="44"/>
      <c r="C3488" s="44"/>
      <c r="D3488" s="44"/>
      <c r="E3488" s="44"/>
      <c r="F3488" s="44"/>
      <c r="G3488" s="42"/>
      <c r="H3488" s="42"/>
      <c r="I3488" s="44"/>
      <c r="J3488" s="11" t="str">
        <f aca="false">IF(D3488="","",N(G3488)-N(H3488))</f>
        <v/>
      </c>
      <c r="K3488" s="34" t="str">
        <f aca="false">IF(D3488="","",IFERROR(INDEX(I_COA!$C$6:$C$265,MATCH(D3488,I_COA!$A$6:$A$265,0)),"AKUN BARU"))</f>
        <v/>
      </c>
      <c r="L3488" s="34" t="str">
        <f aca="false">IF(K3488="LabaRugi",INDEX(I_COA!$D$6:$D$265,MATCH(D3488,I_COA!$A$6:$A$265,0)),"")</f>
        <v/>
      </c>
      <c r="M3488" s="34" t="str">
        <f aca="false">IF(K3488="Neraca",INDEX(I_COA!$E$6:$E$265,MATCH(D3488,I_COA!$A$6:$A$265,0)),"")</f>
        <v/>
      </c>
      <c r="N3488" s="34" t="str">
        <f aca="false">IF(D3488="","",IFERROR(INDEX(I_COA!$G$6:$G$265,MATCH(D3488,I_COA!$A$6:$A$265,0)),"N"))</f>
        <v/>
      </c>
      <c r="O3488" s="11" t="str">
        <f aca="false">IF(N3488="N",ABS(J3488),"")</f>
        <v/>
      </c>
      <c r="P3488" s="18" t="str">
        <f aca="false">IF(N3488="N",B3488&amp;"|"&amp;ROUND(O3488,0),"")</f>
        <v/>
      </c>
      <c r="Q3488" s="18" t="str">
        <f aca="false">IF(N3488&lt;&gt;"Y","",IFERROR(INDEX($D$6:$D$4005,MATCH(B3488&amp;"|"&amp;ROUND(_xlfn.MAXIFS($O$6:$O$4005,$B$6:$B$4005,B3488,$N$6:$N$4005,"N"),0),$P$6:$P$4005,0)),"(tanpa lawan)"))</f>
        <v/>
      </c>
      <c r="R3488" s="44"/>
      <c r="S3488" s="9" t="str">
        <f aca="false">IF(N3488&lt;&gt;"Y","",IF(R3488&lt;&gt;"",R3488,IF(Q3488="(tanpa lawan)","Transfer antar rekening",IFERROR(INDEX(I_COA!$F$6:$F$265,MATCH(Q3488,I_COA!$A$6:$A$265,0)),"?"))))</f>
        <v/>
      </c>
    </row>
    <row r="3489" customFormat="false" ht="15" hidden="false" customHeight="false" outlineLevel="0" collapsed="false">
      <c r="A3489" s="37"/>
      <c r="B3489" s="44"/>
      <c r="C3489" s="44"/>
      <c r="D3489" s="44"/>
      <c r="E3489" s="44"/>
      <c r="F3489" s="44"/>
      <c r="G3489" s="42"/>
      <c r="H3489" s="42"/>
      <c r="I3489" s="44"/>
      <c r="J3489" s="11" t="str">
        <f aca="false">IF(D3489="","",N(G3489)-N(H3489))</f>
        <v/>
      </c>
      <c r="K3489" s="34" t="str">
        <f aca="false">IF(D3489="","",IFERROR(INDEX(I_COA!$C$6:$C$265,MATCH(D3489,I_COA!$A$6:$A$265,0)),"AKUN BARU"))</f>
        <v/>
      </c>
      <c r="L3489" s="34" t="str">
        <f aca="false">IF(K3489="LabaRugi",INDEX(I_COA!$D$6:$D$265,MATCH(D3489,I_COA!$A$6:$A$265,0)),"")</f>
        <v/>
      </c>
      <c r="M3489" s="34" t="str">
        <f aca="false">IF(K3489="Neraca",INDEX(I_COA!$E$6:$E$265,MATCH(D3489,I_COA!$A$6:$A$265,0)),"")</f>
        <v/>
      </c>
      <c r="N3489" s="34" t="str">
        <f aca="false">IF(D3489="","",IFERROR(INDEX(I_COA!$G$6:$G$265,MATCH(D3489,I_COA!$A$6:$A$265,0)),"N"))</f>
        <v/>
      </c>
      <c r="O3489" s="11" t="str">
        <f aca="false">IF(N3489="N",ABS(J3489),"")</f>
        <v/>
      </c>
      <c r="P3489" s="18" t="str">
        <f aca="false">IF(N3489="N",B3489&amp;"|"&amp;ROUND(O3489,0),"")</f>
        <v/>
      </c>
      <c r="Q3489" s="18" t="str">
        <f aca="false">IF(N3489&lt;&gt;"Y","",IFERROR(INDEX($D$6:$D$4005,MATCH(B3489&amp;"|"&amp;ROUND(_xlfn.MAXIFS($O$6:$O$4005,$B$6:$B$4005,B3489,$N$6:$N$4005,"N"),0),$P$6:$P$4005,0)),"(tanpa lawan)"))</f>
        <v/>
      </c>
      <c r="R3489" s="44"/>
      <c r="S3489" s="9" t="str">
        <f aca="false">IF(N3489&lt;&gt;"Y","",IF(R3489&lt;&gt;"",R3489,IF(Q3489="(tanpa lawan)","Transfer antar rekening",IFERROR(INDEX(I_COA!$F$6:$F$265,MATCH(Q3489,I_COA!$A$6:$A$265,0)),"?"))))</f>
        <v/>
      </c>
    </row>
    <row r="3490" customFormat="false" ht="15" hidden="false" customHeight="false" outlineLevel="0" collapsed="false">
      <c r="A3490" s="37"/>
      <c r="B3490" s="44"/>
      <c r="C3490" s="44"/>
      <c r="D3490" s="44"/>
      <c r="E3490" s="44"/>
      <c r="F3490" s="44"/>
      <c r="G3490" s="42"/>
      <c r="H3490" s="42"/>
      <c r="I3490" s="44"/>
      <c r="J3490" s="11" t="str">
        <f aca="false">IF(D3490="","",N(G3490)-N(H3490))</f>
        <v/>
      </c>
      <c r="K3490" s="34" t="str">
        <f aca="false">IF(D3490="","",IFERROR(INDEX(I_COA!$C$6:$C$265,MATCH(D3490,I_COA!$A$6:$A$265,0)),"AKUN BARU"))</f>
        <v/>
      </c>
      <c r="L3490" s="34" t="str">
        <f aca="false">IF(K3490="LabaRugi",INDEX(I_COA!$D$6:$D$265,MATCH(D3490,I_COA!$A$6:$A$265,0)),"")</f>
        <v/>
      </c>
      <c r="M3490" s="34" t="str">
        <f aca="false">IF(K3490="Neraca",INDEX(I_COA!$E$6:$E$265,MATCH(D3490,I_COA!$A$6:$A$265,0)),"")</f>
        <v/>
      </c>
      <c r="N3490" s="34" t="str">
        <f aca="false">IF(D3490="","",IFERROR(INDEX(I_COA!$G$6:$G$265,MATCH(D3490,I_COA!$A$6:$A$265,0)),"N"))</f>
        <v/>
      </c>
      <c r="O3490" s="11" t="str">
        <f aca="false">IF(N3490="N",ABS(J3490),"")</f>
        <v/>
      </c>
      <c r="P3490" s="18" t="str">
        <f aca="false">IF(N3490="N",B3490&amp;"|"&amp;ROUND(O3490,0),"")</f>
        <v/>
      </c>
      <c r="Q3490" s="18" t="str">
        <f aca="false">IF(N3490&lt;&gt;"Y","",IFERROR(INDEX($D$6:$D$4005,MATCH(B3490&amp;"|"&amp;ROUND(_xlfn.MAXIFS($O$6:$O$4005,$B$6:$B$4005,B3490,$N$6:$N$4005,"N"),0),$P$6:$P$4005,0)),"(tanpa lawan)"))</f>
        <v/>
      </c>
      <c r="R3490" s="44"/>
      <c r="S3490" s="9" t="str">
        <f aca="false">IF(N3490&lt;&gt;"Y","",IF(R3490&lt;&gt;"",R3490,IF(Q3490="(tanpa lawan)","Transfer antar rekening",IFERROR(INDEX(I_COA!$F$6:$F$265,MATCH(Q3490,I_COA!$A$6:$A$265,0)),"?"))))</f>
        <v/>
      </c>
    </row>
    <row r="3491" customFormat="false" ht="15" hidden="false" customHeight="false" outlineLevel="0" collapsed="false">
      <c r="A3491" s="37"/>
      <c r="B3491" s="44"/>
      <c r="C3491" s="44"/>
      <c r="D3491" s="44"/>
      <c r="E3491" s="44"/>
      <c r="F3491" s="44"/>
      <c r="G3491" s="42"/>
      <c r="H3491" s="42"/>
      <c r="I3491" s="44"/>
      <c r="J3491" s="11" t="str">
        <f aca="false">IF(D3491="","",N(G3491)-N(H3491))</f>
        <v/>
      </c>
      <c r="K3491" s="34" t="str">
        <f aca="false">IF(D3491="","",IFERROR(INDEX(I_COA!$C$6:$C$265,MATCH(D3491,I_COA!$A$6:$A$265,0)),"AKUN BARU"))</f>
        <v/>
      </c>
      <c r="L3491" s="34" t="str">
        <f aca="false">IF(K3491="LabaRugi",INDEX(I_COA!$D$6:$D$265,MATCH(D3491,I_COA!$A$6:$A$265,0)),"")</f>
        <v/>
      </c>
      <c r="M3491" s="34" t="str">
        <f aca="false">IF(K3491="Neraca",INDEX(I_COA!$E$6:$E$265,MATCH(D3491,I_COA!$A$6:$A$265,0)),"")</f>
        <v/>
      </c>
      <c r="N3491" s="34" t="str">
        <f aca="false">IF(D3491="","",IFERROR(INDEX(I_COA!$G$6:$G$265,MATCH(D3491,I_COA!$A$6:$A$265,0)),"N"))</f>
        <v/>
      </c>
      <c r="O3491" s="11" t="str">
        <f aca="false">IF(N3491="N",ABS(J3491),"")</f>
        <v/>
      </c>
      <c r="P3491" s="18" t="str">
        <f aca="false">IF(N3491="N",B3491&amp;"|"&amp;ROUND(O3491,0),"")</f>
        <v/>
      </c>
      <c r="Q3491" s="18" t="str">
        <f aca="false">IF(N3491&lt;&gt;"Y","",IFERROR(INDEX($D$6:$D$4005,MATCH(B3491&amp;"|"&amp;ROUND(_xlfn.MAXIFS($O$6:$O$4005,$B$6:$B$4005,B3491,$N$6:$N$4005,"N"),0),$P$6:$P$4005,0)),"(tanpa lawan)"))</f>
        <v/>
      </c>
      <c r="R3491" s="44"/>
      <c r="S3491" s="9" t="str">
        <f aca="false">IF(N3491&lt;&gt;"Y","",IF(R3491&lt;&gt;"",R3491,IF(Q3491="(tanpa lawan)","Transfer antar rekening",IFERROR(INDEX(I_COA!$F$6:$F$265,MATCH(Q3491,I_COA!$A$6:$A$265,0)),"?"))))</f>
        <v/>
      </c>
    </row>
    <row r="3492" customFormat="false" ht="15" hidden="false" customHeight="false" outlineLevel="0" collapsed="false">
      <c r="A3492" s="37"/>
      <c r="B3492" s="44"/>
      <c r="C3492" s="44"/>
      <c r="D3492" s="44"/>
      <c r="E3492" s="44"/>
      <c r="F3492" s="44"/>
      <c r="G3492" s="42"/>
      <c r="H3492" s="42"/>
      <c r="I3492" s="44"/>
      <c r="J3492" s="11" t="str">
        <f aca="false">IF(D3492="","",N(G3492)-N(H3492))</f>
        <v/>
      </c>
      <c r="K3492" s="34" t="str">
        <f aca="false">IF(D3492="","",IFERROR(INDEX(I_COA!$C$6:$C$265,MATCH(D3492,I_COA!$A$6:$A$265,0)),"AKUN BARU"))</f>
        <v/>
      </c>
      <c r="L3492" s="34" t="str">
        <f aca="false">IF(K3492="LabaRugi",INDEX(I_COA!$D$6:$D$265,MATCH(D3492,I_COA!$A$6:$A$265,0)),"")</f>
        <v/>
      </c>
      <c r="M3492" s="34" t="str">
        <f aca="false">IF(K3492="Neraca",INDEX(I_COA!$E$6:$E$265,MATCH(D3492,I_COA!$A$6:$A$265,0)),"")</f>
        <v/>
      </c>
      <c r="N3492" s="34" t="str">
        <f aca="false">IF(D3492="","",IFERROR(INDEX(I_COA!$G$6:$G$265,MATCH(D3492,I_COA!$A$6:$A$265,0)),"N"))</f>
        <v/>
      </c>
      <c r="O3492" s="11" t="str">
        <f aca="false">IF(N3492="N",ABS(J3492),"")</f>
        <v/>
      </c>
      <c r="P3492" s="18" t="str">
        <f aca="false">IF(N3492="N",B3492&amp;"|"&amp;ROUND(O3492,0),"")</f>
        <v/>
      </c>
      <c r="Q3492" s="18" t="str">
        <f aca="false">IF(N3492&lt;&gt;"Y","",IFERROR(INDEX($D$6:$D$4005,MATCH(B3492&amp;"|"&amp;ROUND(_xlfn.MAXIFS($O$6:$O$4005,$B$6:$B$4005,B3492,$N$6:$N$4005,"N"),0),$P$6:$P$4005,0)),"(tanpa lawan)"))</f>
        <v/>
      </c>
      <c r="R3492" s="44"/>
      <c r="S3492" s="9" t="str">
        <f aca="false">IF(N3492&lt;&gt;"Y","",IF(R3492&lt;&gt;"",R3492,IF(Q3492="(tanpa lawan)","Transfer antar rekening",IFERROR(INDEX(I_COA!$F$6:$F$265,MATCH(Q3492,I_COA!$A$6:$A$265,0)),"?"))))</f>
        <v/>
      </c>
    </row>
    <row r="3493" customFormat="false" ht="15" hidden="false" customHeight="false" outlineLevel="0" collapsed="false">
      <c r="A3493" s="37"/>
      <c r="B3493" s="44"/>
      <c r="C3493" s="44"/>
      <c r="D3493" s="44"/>
      <c r="E3493" s="44"/>
      <c r="F3493" s="44"/>
      <c r="G3493" s="42"/>
      <c r="H3493" s="42"/>
      <c r="I3493" s="44"/>
      <c r="J3493" s="11" t="str">
        <f aca="false">IF(D3493="","",N(G3493)-N(H3493))</f>
        <v/>
      </c>
      <c r="K3493" s="34" t="str">
        <f aca="false">IF(D3493="","",IFERROR(INDEX(I_COA!$C$6:$C$265,MATCH(D3493,I_COA!$A$6:$A$265,0)),"AKUN BARU"))</f>
        <v/>
      </c>
      <c r="L3493" s="34" t="str">
        <f aca="false">IF(K3493="LabaRugi",INDEX(I_COA!$D$6:$D$265,MATCH(D3493,I_COA!$A$6:$A$265,0)),"")</f>
        <v/>
      </c>
      <c r="M3493" s="34" t="str">
        <f aca="false">IF(K3493="Neraca",INDEX(I_COA!$E$6:$E$265,MATCH(D3493,I_COA!$A$6:$A$265,0)),"")</f>
        <v/>
      </c>
      <c r="N3493" s="34" t="str">
        <f aca="false">IF(D3493="","",IFERROR(INDEX(I_COA!$G$6:$G$265,MATCH(D3493,I_COA!$A$6:$A$265,0)),"N"))</f>
        <v/>
      </c>
      <c r="O3493" s="11" t="str">
        <f aca="false">IF(N3493="N",ABS(J3493),"")</f>
        <v/>
      </c>
      <c r="P3493" s="18" t="str">
        <f aca="false">IF(N3493="N",B3493&amp;"|"&amp;ROUND(O3493,0),"")</f>
        <v/>
      </c>
      <c r="Q3493" s="18" t="str">
        <f aca="false">IF(N3493&lt;&gt;"Y","",IFERROR(INDEX($D$6:$D$4005,MATCH(B3493&amp;"|"&amp;ROUND(_xlfn.MAXIFS($O$6:$O$4005,$B$6:$B$4005,B3493,$N$6:$N$4005,"N"),0),$P$6:$P$4005,0)),"(tanpa lawan)"))</f>
        <v/>
      </c>
      <c r="R3493" s="44"/>
      <c r="S3493" s="9" t="str">
        <f aca="false">IF(N3493&lt;&gt;"Y","",IF(R3493&lt;&gt;"",R3493,IF(Q3493="(tanpa lawan)","Transfer antar rekening",IFERROR(INDEX(I_COA!$F$6:$F$265,MATCH(Q3493,I_COA!$A$6:$A$265,0)),"?"))))</f>
        <v/>
      </c>
    </row>
    <row r="3494" customFormat="false" ht="15" hidden="false" customHeight="false" outlineLevel="0" collapsed="false">
      <c r="A3494" s="37"/>
      <c r="B3494" s="44"/>
      <c r="C3494" s="44"/>
      <c r="D3494" s="44"/>
      <c r="E3494" s="44"/>
      <c r="F3494" s="44"/>
      <c r="G3494" s="42"/>
      <c r="H3494" s="42"/>
      <c r="I3494" s="44"/>
      <c r="J3494" s="11" t="str">
        <f aca="false">IF(D3494="","",N(G3494)-N(H3494))</f>
        <v/>
      </c>
      <c r="K3494" s="34" t="str">
        <f aca="false">IF(D3494="","",IFERROR(INDEX(I_COA!$C$6:$C$265,MATCH(D3494,I_COA!$A$6:$A$265,0)),"AKUN BARU"))</f>
        <v/>
      </c>
      <c r="L3494" s="34" t="str">
        <f aca="false">IF(K3494="LabaRugi",INDEX(I_COA!$D$6:$D$265,MATCH(D3494,I_COA!$A$6:$A$265,0)),"")</f>
        <v/>
      </c>
      <c r="M3494" s="34" t="str">
        <f aca="false">IF(K3494="Neraca",INDEX(I_COA!$E$6:$E$265,MATCH(D3494,I_COA!$A$6:$A$265,0)),"")</f>
        <v/>
      </c>
      <c r="N3494" s="34" t="str">
        <f aca="false">IF(D3494="","",IFERROR(INDEX(I_COA!$G$6:$G$265,MATCH(D3494,I_COA!$A$6:$A$265,0)),"N"))</f>
        <v/>
      </c>
      <c r="O3494" s="11" t="str">
        <f aca="false">IF(N3494="N",ABS(J3494),"")</f>
        <v/>
      </c>
      <c r="P3494" s="18" t="str">
        <f aca="false">IF(N3494="N",B3494&amp;"|"&amp;ROUND(O3494,0),"")</f>
        <v/>
      </c>
      <c r="Q3494" s="18" t="str">
        <f aca="false">IF(N3494&lt;&gt;"Y","",IFERROR(INDEX($D$6:$D$4005,MATCH(B3494&amp;"|"&amp;ROUND(_xlfn.MAXIFS($O$6:$O$4005,$B$6:$B$4005,B3494,$N$6:$N$4005,"N"),0),$P$6:$P$4005,0)),"(tanpa lawan)"))</f>
        <v/>
      </c>
      <c r="R3494" s="44"/>
      <c r="S3494" s="9" t="str">
        <f aca="false">IF(N3494&lt;&gt;"Y","",IF(R3494&lt;&gt;"",R3494,IF(Q3494="(tanpa lawan)","Transfer antar rekening",IFERROR(INDEX(I_COA!$F$6:$F$265,MATCH(Q3494,I_COA!$A$6:$A$265,0)),"?"))))</f>
        <v/>
      </c>
    </row>
    <row r="3495" customFormat="false" ht="15" hidden="false" customHeight="false" outlineLevel="0" collapsed="false">
      <c r="A3495" s="37"/>
      <c r="B3495" s="44"/>
      <c r="C3495" s="44"/>
      <c r="D3495" s="44"/>
      <c r="E3495" s="44"/>
      <c r="F3495" s="44"/>
      <c r="G3495" s="42"/>
      <c r="H3495" s="42"/>
      <c r="I3495" s="44"/>
      <c r="J3495" s="11" t="str">
        <f aca="false">IF(D3495="","",N(G3495)-N(H3495))</f>
        <v/>
      </c>
      <c r="K3495" s="34" t="str">
        <f aca="false">IF(D3495="","",IFERROR(INDEX(I_COA!$C$6:$C$265,MATCH(D3495,I_COA!$A$6:$A$265,0)),"AKUN BARU"))</f>
        <v/>
      </c>
      <c r="L3495" s="34" t="str">
        <f aca="false">IF(K3495="LabaRugi",INDEX(I_COA!$D$6:$D$265,MATCH(D3495,I_COA!$A$6:$A$265,0)),"")</f>
        <v/>
      </c>
      <c r="M3495" s="34" t="str">
        <f aca="false">IF(K3495="Neraca",INDEX(I_COA!$E$6:$E$265,MATCH(D3495,I_COA!$A$6:$A$265,0)),"")</f>
        <v/>
      </c>
      <c r="N3495" s="34" t="str">
        <f aca="false">IF(D3495="","",IFERROR(INDEX(I_COA!$G$6:$G$265,MATCH(D3495,I_COA!$A$6:$A$265,0)),"N"))</f>
        <v/>
      </c>
      <c r="O3495" s="11" t="str">
        <f aca="false">IF(N3495="N",ABS(J3495),"")</f>
        <v/>
      </c>
      <c r="P3495" s="18" t="str">
        <f aca="false">IF(N3495="N",B3495&amp;"|"&amp;ROUND(O3495,0),"")</f>
        <v/>
      </c>
      <c r="Q3495" s="18" t="str">
        <f aca="false">IF(N3495&lt;&gt;"Y","",IFERROR(INDEX($D$6:$D$4005,MATCH(B3495&amp;"|"&amp;ROUND(_xlfn.MAXIFS($O$6:$O$4005,$B$6:$B$4005,B3495,$N$6:$N$4005,"N"),0),$P$6:$P$4005,0)),"(tanpa lawan)"))</f>
        <v/>
      </c>
      <c r="R3495" s="44"/>
      <c r="S3495" s="9" t="str">
        <f aca="false">IF(N3495&lt;&gt;"Y","",IF(R3495&lt;&gt;"",R3495,IF(Q3495="(tanpa lawan)","Transfer antar rekening",IFERROR(INDEX(I_COA!$F$6:$F$265,MATCH(Q3495,I_COA!$A$6:$A$265,0)),"?"))))</f>
        <v/>
      </c>
    </row>
    <row r="3496" customFormat="false" ht="15" hidden="false" customHeight="false" outlineLevel="0" collapsed="false">
      <c r="A3496" s="37"/>
      <c r="B3496" s="44"/>
      <c r="C3496" s="44"/>
      <c r="D3496" s="44"/>
      <c r="E3496" s="44"/>
      <c r="F3496" s="44"/>
      <c r="G3496" s="42"/>
      <c r="H3496" s="42"/>
      <c r="I3496" s="44"/>
      <c r="J3496" s="11" t="str">
        <f aca="false">IF(D3496="","",N(G3496)-N(H3496))</f>
        <v/>
      </c>
      <c r="K3496" s="34" t="str">
        <f aca="false">IF(D3496="","",IFERROR(INDEX(I_COA!$C$6:$C$265,MATCH(D3496,I_COA!$A$6:$A$265,0)),"AKUN BARU"))</f>
        <v/>
      </c>
      <c r="L3496" s="34" t="str">
        <f aca="false">IF(K3496="LabaRugi",INDEX(I_COA!$D$6:$D$265,MATCH(D3496,I_COA!$A$6:$A$265,0)),"")</f>
        <v/>
      </c>
      <c r="M3496" s="34" t="str">
        <f aca="false">IF(K3496="Neraca",INDEX(I_COA!$E$6:$E$265,MATCH(D3496,I_COA!$A$6:$A$265,0)),"")</f>
        <v/>
      </c>
      <c r="N3496" s="34" t="str">
        <f aca="false">IF(D3496="","",IFERROR(INDEX(I_COA!$G$6:$G$265,MATCH(D3496,I_COA!$A$6:$A$265,0)),"N"))</f>
        <v/>
      </c>
      <c r="O3496" s="11" t="str">
        <f aca="false">IF(N3496="N",ABS(J3496),"")</f>
        <v/>
      </c>
      <c r="P3496" s="18" t="str">
        <f aca="false">IF(N3496="N",B3496&amp;"|"&amp;ROUND(O3496,0),"")</f>
        <v/>
      </c>
      <c r="Q3496" s="18" t="str">
        <f aca="false">IF(N3496&lt;&gt;"Y","",IFERROR(INDEX($D$6:$D$4005,MATCH(B3496&amp;"|"&amp;ROUND(_xlfn.MAXIFS($O$6:$O$4005,$B$6:$B$4005,B3496,$N$6:$N$4005,"N"),0),$P$6:$P$4005,0)),"(tanpa lawan)"))</f>
        <v/>
      </c>
      <c r="R3496" s="44"/>
      <c r="S3496" s="9" t="str">
        <f aca="false">IF(N3496&lt;&gt;"Y","",IF(R3496&lt;&gt;"",R3496,IF(Q3496="(tanpa lawan)","Transfer antar rekening",IFERROR(INDEX(I_COA!$F$6:$F$265,MATCH(Q3496,I_COA!$A$6:$A$265,0)),"?"))))</f>
        <v/>
      </c>
    </row>
    <row r="3497" customFormat="false" ht="15" hidden="false" customHeight="false" outlineLevel="0" collapsed="false">
      <c r="A3497" s="37"/>
      <c r="B3497" s="44"/>
      <c r="C3497" s="44"/>
      <c r="D3497" s="44"/>
      <c r="E3497" s="44"/>
      <c r="F3497" s="44"/>
      <c r="G3497" s="42"/>
      <c r="H3497" s="42"/>
      <c r="I3497" s="44"/>
      <c r="J3497" s="11" t="str">
        <f aca="false">IF(D3497="","",N(G3497)-N(H3497))</f>
        <v/>
      </c>
      <c r="K3497" s="34" t="str">
        <f aca="false">IF(D3497="","",IFERROR(INDEX(I_COA!$C$6:$C$265,MATCH(D3497,I_COA!$A$6:$A$265,0)),"AKUN BARU"))</f>
        <v/>
      </c>
      <c r="L3497" s="34" t="str">
        <f aca="false">IF(K3497="LabaRugi",INDEX(I_COA!$D$6:$D$265,MATCH(D3497,I_COA!$A$6:$A$265,0)),"")</f>
        <v/>
      </c>
      <c r="M3497" s="34" t="str">
        <f aca="false">IF(K3497="Neraca",INDEX(I_COA!$E$6:$E$265,MATCH(D3497,I_COA!$A$6:$A$265,0)),"")</f>
        <v/>
      </c>
      <c r="N3497" s="34" t="str">
        <f aca="false">IF(D3497="","",IFERROR(INDEX(I_COA!$G$6:$G$265,MATCH(D3497,I_COA!$A$6:$A$265,0)),"N"))</f>
        <v/>
      </c>
      <c r="O3497" s="11" t="str">
        <f aca="false">IF(N3497="N",ABS(J3497),"")</f>
        <v/>
      </c>
      <c r="P3497" s="18" t="str">
        <f aca="false">IF(N3497="N",B3497&amp;"|"&amp;ROUND(O3497,0),"")</f>
        <v/>
      </c>
      <c r="Q3497" s="18" t="str">
        <f aca="false">IF(N3497&lt;&gt;"Y","",IFERROR(INDEX($D$6:$D$4005,MATCH(B3497&amp;"|"&amp;ROUND(_xlfn.MAXIFS($O$6:$O$4005,$B$6:$B$4005,B3497,$N$6:$N$4005,"N"),0),$P$6:$P$4005,0)),"(tanpa lawan)"))</f>
        <v/>
      </c>
      <c r="R3497" s="44"/>
      <c r="S3497" s="9" t="str">
        <f aca="false">IF(N3497&lt;&gt;"Y","",IF(R3497&lt;&gt;"",R3497,IF(Q3497="(tanpa lawan)","Transfer antar rekening",IFERROR(INDEX(I_COA!$F$6:$F$265,MATCH(Q3497,I_COA!$A$6:$A$265,0)),"?"))))</f>
        <v/>
      </c>
    </row>
    <row r="3498" customFormat="false" ht="15" hidden="false" customHeight="false" outlineLevel="0" collapsed="false">
      <c r="A3498" s="37"/>
      <c r="B3498" s="44"/>
      <c r="C3498" s="44"/>
      <c r="D3498" s="44"/>
      <c r="E3498" s="44"/>
      <c r="F3498" s="44"/>
      <c r="G3498" s="42"/>
      <c r="H3498" s="42"/>
      <c r="I3498" s="44"/>
      <c r="J3498" s="11" t="str">
        <f aca="false">IF(D3498="","",N(G3498)-N(H3498))</f>
        <v/>
      </c>
      <c r="K3498" s="34" t="str">
        <f aca="false">IF(D3498="","",IFERROR(INDEX(I_COA!$C$6:$C$265,MATCH(D3498,I_COA!$A$6:$A$265,0)),"AKUN BARU"))</f>
        <v/>
      </c>
      <c r="L3498" s="34" t="str">
        <f aca="false">IF(K3498="LabaRugi",INDEX(I_COA!$D$6:$D$265,MATCH(D3498,I_COA!$A$6:$A$265,0)),"")</f>
        <v/>
      </c>
      <c r="M3498" s="34" t="str">
        <f aca="false">IF(K3498="Neraca",INDEX(I_COA!$E$6:$E$265,MATCH(D3498,I_COA!$A$6:$A$265,0)),"")</f>
        <v/>
      </c>
      <c r="N3498" s="34" t="str">
        <f aca="false">IF(D3498="","",IFERROR(INDEX(I_COA!$G$6:$G$265,MATCH(D3498,I_COA!$A$6:$A$265,0)),"N"))</f>
        <v/>
      </c>
      <c r="O3498" s="11" t="str">
        <f aca="false">IF(N3498="N",ABS(J3498),"")</f>
        <v/>
      </c>
      <c r="P3498" s="18" t="str">
        <f aca="false">IF(N3498="N",B3498&amp;"|"&amp;ROUND(O3498,0),"")</f>
        <v/>
      </c>
      <c r="Q3498" s="18" t="str">
        <f aca="false">IF(N3498&lt;&gt;"Y","",IFERROR(INDEX($D$6:$D$4005,MATCH(B3498&amp;"|"&amp;ROUND(_xlfn.MAXIFS($O$6:$O$4005,$B$6:$B$4005,B3498,$N$6:$N$4005,"N"),0),$P$6:$P$4005,0)),"(tanpa lawan)"))</f>
        <v/>
      </c>
      <c r="R3498" s="44"/>
      <c r="S3498" s="9" t="str">
        <f aca="false">IF(N3498&lt;&gt;"Y","",IF(R3498&lt;&gt;"",R3498,IF(Q3498="(tanpa lawan)","Transfer antar rekening",IFERROR(INDEX(I_COA!$F$6:$F$265,MATCH(Q3498,I_COA!$A$6:$A$265,0)),"?"))))</f>
        <v/>
      </c>
    </row>
    <row r="3499" customFormat="false" ht="15" hidden="false" customHeight="false" outlineLevel="0" collapsed="false">
      <c r="A3499" s="37"/>
      <c r="B3499" s="44"/>
      <c r="C3499" s="44"/>
      <c r="D3499" s="44"/>
      <c r="E3499" s="44"/>
      <c r="F3499" s="44"/>
      <c r="G3499" s="42"/>
      <c r="H3499" s="42"/>
      <c r="I3499" s="44"/>
      <c r="J3499" s="11" t="str">
        <f aca="false">IF(D3499="","",N(G3499)-N(H3499))</f>
        <v/>
      </c>
      <c r="K3499" s="34" t="str">
        <f aca="false">IF(D3499="","",IFERROR(INDEX(I_COA!$C$6:$C$265,MATCH(D3499,I_COA!$A$6:$A$265,0)),"AKUN BARU"))</f>
        <v/>
      </c>
      <c r="L3499" s="34" t="str">
        <f aca="false">IF(K3499="LabaRugi",INDEX(I_COA!$D$6:$D$265,MATCH(D3499,I_COA!$A$6:$A$265,0)),"")</f>
        <v/>
      </c>
      <c r="M3499" s="34" t="str">
        <f aca="false">IF(K3499="Neraca",INDEX(I_COA!$E$6:$E$265,MATCH(D3499,I_COA!$A$6:$A$265,0)),"")</f>
        <v/>
      </c>
      <c r="N3499" s="34" t="str">
        <f aca="false">IF(D3499="","",IFERROR(INDEX(I_COA!$G$6:$G$265,MATCH(D3499,I_COA!$A$6:$A$265,0)),"N"))</f>
        <v/>
      </c>
      <c r="O3499" s="11" t="str">
        <f aca="false">IF(N3499="N",ABS(J3499),"")</f>
        <v/>
      </c>
      <c r="P3499" s="18" t="str">
        <f aca="false">IF(N3499="N",B3499&amp;"|"&amp;ROUND(O3499,0),"")</f>
        <v/>
      </c>
      <c r="Q3499" s="18" t="str">
        <f aca="false">IF(N3499&lt;&gt;"Y","",IFERROR(INDEX($D$6:$D$4005,MATCH(B3499&amp;"|"&amp;ROUND(_xlfn.MAXIFS($O$6:$O$4005,$B$6:$B$4005,B3499,$N$6:$N$4005,"N"),0),$P$6:$P$4005,0)),"(tanpa lawan)"))</f>
        <v/>
      </c>
      <c r="R3499" s="44"/>
      <c r="S3499" s="9" t="str">
        <f aca="false">IF(N3499&lt;&gt;"Y","",IF(R3499&lt;&gt;"",R3499,IF(Q3499="(tanpa lawan)","Transfer antar rekening",IFERROR(INDEX(I_COA!$F$6:$F$265,MATCH(Q3499,I_COA!$A$6:$A$265,0)),"?"))))</f>
        <v/>
      </c>
    </row>
    <row r="3500" customFormat="false" ht="15" hidden="false" customHeight="false" outlineLevel="0" collapsed="false">
      <c r="A3500" s="37"/>
      <c r="B3500" s="44"/>
      <c r="C3500" s="44"/>
      <c r="D3500" s="44"/>
      <c r="E3500" s="44"/>
      <c r="F3500" s="44"/>
      <c r="G3500" s="42"/>
      <c r="H3500" s="42"/>
      <c r="I3500" s="44"/>
      <c r="J3500" s="11" t="str">
        <f aca="false">IF(D3500="","",N(G3500)-N(H3500))</f>
        <v/>
      </c>
      <c r="K3500" s="34" t="str">
        <f aca="false">IF(D3500="","",IFERROR(INDEX(I_COA!$C$6:$C$265,MATCH(D3500,I_COA!$A$6:$A$265,0)),"AKUN BARU"))</f>
        <v/>
      </c>
      <c r="L3500" s="34" t="str">
        <f aca="false">IF(K3500="LabaRugi",INDEX(I_COA!$D$6:$D$265,MATCH(D3500,I_COA!$A$6:$A$265,0)),"")</f>
        <v/>
      </c>
      <c r="M3500" s="34" t="str">
        <f aca="false">IF(K3500="Neraca",INDEX(I_COA!$E$6:$E$265,MATCH(D3500,I_COA!$A$6:$A$265,0)),"")</f>
        <v/>
      </c>
      <c r="N3500" s="34" t="str">
        <f aca="false">IF(D3500="","",IFERROR(INDEX(I_COA!$G$6:$G$265,MATCH(D3500,I_COA!$A$6:$A$265,0)),"N"))</f>
        <v/>
      </c>
      <c r="O3500" s="11" t="str">
        <f aca="false">IF(N3500="N",ABS(J3500),"")</f>
        <v/>
      </c>
      <c r="P3500" s="18" t="str">
        <f aca="false">IF(N3500="N",B3500&amp;"|"&amp;ROUND(O3500,0),"")</f>
        <v/>
      </c>
      <c r="Q3500" s="18" t="str">
        <f aca="false">IF(N3500&lt;&gt;"Y","",IFERROR(INDEX($D$6:$D$4005,MATCH(B3500&amp;"|"&amp;ROUND(_xlfn.MAXIFS($O$6:$O$4005,$B$6:$B$4005,B3500,$N$6:$N$4005,"N"),0),$P$6:$P$4005,0)),"(tanpa lawan)"))</f>
        <v/>
      </c>
      <c r="R3500" s="44"/>
      <c r="S3500" s="9" t="str">
        <f aca="false">IF(N3500&lt;&gt;"Y","",IF(R3500&lt;&gt;"",R3500,IF(Q3500="(tanpa lawan)","Transfer antar rekening",IFERROR(INDEX(I_COA!$F$6:$F$265,MATCH(Q3500,I_COA!$A$6:$A$265,0)),"?"))))</f>
        <v/>
      </c>
    </row>
    <row r="3501" customFormat="false" ht="15" hidden="false" customHeight="false" outlineLevel="0" collapsed="false">
      <c r="A3501" s="37"/>
      <c r="B3501" s="44"/>
      <c r="C3501" s="44"/>
      <c r="D3501" s="44"/>
      <c r="E3501" s="44"/>
      <c r="F3501" s="44"/>
      <c r="G3501" s="42"/>
      <c r="H3501" s="42"/>
      <c r="I3501" s="44"/>
      <c r="J3501" s="11" t="str">
        <f aca="false">IF(D3501="","",N(G3501)-N(H3501))</f>
        <v/>
      </c>
      <c r="K3501" s="34" t="str">
        <f aca="false">IF(D3501="","",IFERROR(INDEX(I_COA!$C$6:$C$265,MATCH(D3501,I_COA!$A$6:$A$265,0)),"AKUN BARU"))</f>
        <v/>
      </c>
      <c r="L3501" s="34" t="str">
        <f aca="false">IF(K3501="LabaRugi",INDEX(I_COA!$D$6:$D$265,MATCH(D3501,I_COA!$A$6:$A$265,0)),"")</f>
        <v/>
      </c>
      <c r="M3501" s="34" t="str">
        <f aca="false">IF(K3501="Neraca",INDEX(I_COA!$E$6:$E$265,MATCH(D3501,I_COA!$A$6:$A$265,0)),"")</f>
        <v/>
      </c>
      <c r="N3501" s="34" t="str">
        <f aca="false">IF(D3501="","",IFERROR(INDEX(I_COA!$G$6:$G$265,MATCH(D3501,I_COA!$A$6:$A$265,0)),"N"))</f>
        <v/>
      </c>
      <c r="O3501" s="11" t="str">
        <f aca="false">IF(N3501="N",ABS(J3501),"")</f>
        <v/>
      </c>
      <c r="P3501" s="18" t="str">
        <f aca="false">IF(N3501="N",B3501&amp;"|"&amp;ROUND(O3501,0),"")</f>
        <v/>
      </c>
      <c r="Q3501" s="18" t="str">
        <f aca="false">IF(N3501&lt;&gt;"Y","",IFERROR(INDEX($D$6:$D$4005,MATCH(B3501&amp;"|"&amp;ROUND(_xlfn.MAXIFS($O$6:$O$4005,$B$6:$B$4005,B3501,$N$6:$N$4005,"N"),0),$P$6:$P$4005,0)),"(tanpa lawan)"))</f>
        <v/>
      </c>
      <c r="R3501" s="44"/>
      <c r="S3501" s="9" t="str">
        <f aca="false">IF(N3501&lt;&gt;"Y","",IF(R3501&lt;&gt;"",R3501,IF(Q3501="(tanpa lawan)","Transfer antar rekening",IFERROR(INDEX(I_COA!$F$6:$F$265,MATCH(Q3501,I_COA!$A$6:$A$265,0)),"?"))))</f>
        <v/>
      </c>
    </row>
    <row r="3502" customFormat="false" ht="15" hidden="false" customHeight="false" outlineLevel="0" collapsed="false">
      <c r="A3502" s="37"/>
      <c r="B3502" s="44"/>
      <c r="C3502" s="44"/>
      <c r="D3502" s="44"/>
      <c r="E3502" s="44"/>
      <c r="F3502" s="44"/>
      <c r="G3502" s="42"/>
      <c r="H3502" s="42"/>
      <c r="I3502" s="44"/>
      <c r="J3502" s="11" t="str">
        <f aca="false">IF(D3502="","",N(G3502)-N(H3502))</f>
        <v/>
      </c>
      <c r="K3502" s="34" t="str">
        <f aca="false">IF(D3502="","",IFERROR(INDEX(I_COA!$C$6:$C$265,MATCH(D3502,I_COA!$A$6:$A$265,0)),"AKUN BARU"))</f>
        <v/>
      </c>
      <c r="L3502" s="34" t="str">
        <f aca="false">IF(K3502="LabaRugi",INDEX(I_COA!$D$6:$D$265,MATCH(D3502,I_COA!$A$6:$A$265,0)),"")</f>
        <v/>
      </c>
      <c r="M3502" s="34" t="str">
        <f aca="false">IF(K3502="Neraca",INDEX(I_COA!$E$6:$E$265,MATCH(D3502,I_COA!$A$6:$A$265,0)),"")</f>
        <v/>
      </c>
      <c r="N3502" s="34" t="str">
        <f aca="false">IF(D3502="","",IFERROR(INDEX(I_COA!$G$6:$G$265,MATCH(D3502,I_COA!$A$6:$A$265,0)),"N"))</f>
        <v/>
      </c>
      <c r="O3502" s="11" t="str">
        <f aca="false">IF(N3502="N",ABS(J3502),"")</f>
        <v/>
      </c>
      <c r="P3502" s="18" t="str">
        <f aca="false">IF(N3502="N",B3502&amp;"|"&amp;ROUND(O3502,0),"")</f>
        <v/>
      </c>
      <c r="Q3502" s="18" t="str">
        <f aca="false">IF(N3502&lt;&gt;"Y","",IFERROR(INDEX($D$6:$D$4005,MATCH(B3502&amp;"|"&amp;ROUND(_xlfn.MAXIFS($O$6:$O$4005,$B$6:$B$4005,B3502,$N$6:$N$4005,"N"),0),$P$6:$P$4005,0)),"(tanpa lawan)"))</f>
        <v/>
      </c>
      <c r="R3502" s="44"/>
      <c r="S3502" s="9" t="str">
        <f aca="false">IF(N3502&lt;&gt;"Y","",IF(R3502&lt;&gt;"",R3502,IF(Q3502="(tanpa lawan)","Transfer antar rekening",IFERROR(INDEX(I_COA!$F$6:$F$265,MATCH(Q3502,I_COA!$A$6:$A$265,0)),"?"))))</f>
        <v/>
      </c>
    </row>
    <row r="3503" customFormat="false" ht="15" hidden="false" customHeight="false" outlineLevel="0" collapsed="false">
      <c r="A3503" s="37"/>
      <c r="B3503" s="44"/>
      <c r="C3503" s="44"/>
      <c r="D3503" s="44"/>
      <c r="E3503" s="44"/>
      <c r="F3503" s="44"/>
      <c r="G3503" s="42"/>
      <c r="H3503" s="42"/>
      <c r="I3503" s="44"/>
      <c r="J3503" s="11" t="str">
        <f aca="false">IF(D3503="","",N(G3503)-N(H3503))</f>
        <v/>
      </c>
      <c r="K3503" s="34" t="str">
        <f aca="false">IF(D3503="","",IFERROR(INDEX(I_COA!$C$6:$C$265,MATCH(D3503,I_COA!$A$6:$A$265,0)),"AKUN BARU"))</f>
        <v/>
      </c>
      <c r="L3503" s="34" t="str">
        <f aca="false">IF(K3503="LabaRugi",INDEX(I_COA!$D$6:$D$265,MATCH(D3503,I_COA!$A$6:$A$265,0)),"")</f>
        <v/>
      </c>
      <c r="M3503" s="34" t="str">
        <f aca="false">IF(K3503="Neraca",INDEX(I_COA!$E$6:$E$265,MATCH(D3503,I_COA!$A$6:$A$265,0)),"")</f>
        <v/>
      </c>
      <c r="N3503" s="34" t="str">
        <f aca="false">IF(D3503="","",IFERROR(INDEX(I_COA!$G$6:$G$265,MATCH(D3503,I_COA!$A$6:$A$265,0)),"N"))</f>
        <v/>
      </c>
      <c r="O3503" s="11" t="str">
        <f aca="false">IF(N3503="N",ABS(J3503),"")</f>
        <v/>
      </c>
      <c r="P3503" s="18" t="str">
        <f aca="false">IF(N3503="N",B3503&amp;"|"&amp;ROUND(O3503,0),"")</f>
        <v/>
      </c>
      <c r="Q3503" s="18" t="str">
        <f aca="false">IF(N3503&lt;&gt;"Y","",IFERROR(INDEX($D$6:$D$4005,MATCH(B3503&amp;"|"&amp;ROUND(_xlfn.MAXIFS($O$6:$O$4005,$B$6:$B$4005,B3503,$N$6:$N$4005,"N"),0),$P$6:$P$4005,0)),"(tanpa lawan)"))</f>
        <v/>
      </c>
      <c r="R3503" s="44"/>
      <c r="S3503" s="9" t="str">
        <f aca="false">IF(N3503&lt;&gt;"Y","",IF(R3503&lt;&gt;"",R3503,IF(Q3503="(tanpa lawan)","Transfer antar rekening",IFERROR(INDEX(I_COA!$F$6:$F$265,MATCH(Q3503,I_COA!$A$6:$A$265,0)),"?"))))</f>
        <v/>
      </c>
    </row>
    <row r="3504" customFormat="false" ht="15" hidden="false" customHeight="false" outlineLevel="0" collapsed="false">
      <c r="A3504" s="37"/>
      <c r="B3504" s="44"/>
      <c r="C3504" s="44"/>
      <c r="D3504" s="44"/>
      <c r="E3504" s="44"/>
      <c r="F3504" s="44"/>
      <c r="G3504" s="42"/>
      <c r="H3504" s="42"/>
      <c r="I3504" s="44"/>
      <c r="J3504" s="11" t="str">
        <f aca="false">IF(D3504="","",N(G3504)-N(H3504))</f>
        <v/>
      </c>
      <c r="K3504" s="34" t="str">
        <f aca="false">IF(D3504="","",IFERROR(INDEX(I_COA!$C$6:$C$265,MATCH(D3504,I_COA!$A$6:$A$265,0)),"AKUN BARU"))</f>
        <v/>
      </c>
      <c r="L3504" s="34" t="str">
        <f aca="false">IF(K3504="LabaRugi",INDEX(I_COA!$D$6:$D$265,MATCH(D3504,I_COA!$A$6:$A$265,0)),"")</f>
        <v/>
      </c>
      <c r="M3504" s="34" t="str">
        <f aca="false">IF(K3504="Neraca",INDEX(I_COA!$E$6:$E$265,MATCH(D3504,I_COA!$A$6:$A$265,0)),"")</f>
        <v/>
      </c>
      <c r="N3504" s="34" t="str">
        <f aca="false">IF(D3504="","",IFERROR(INDEX(I_COA!$G$6:$G$265,MATCH(D3504,I_COA!$A$6:$A$265,0)),"N"))</f>
        <v/>
      </c>
      <c r="O3504" s="11" t="str">
        <f aca="false">IF(N3504="N",ABS(J3504),"")</f>
        <v/>
      </c>
      <c r="P3504" s="18" t="str">
        <f aca="false">IF(N3504="N",B3504&amp;"|"&amp;ROUND(O3504,0),"")</f>
        <v/>
      </c>
      <c r="Q3504" s="18" t="str">
        <f aca="false">IF(N3504&lt;&gt;"Y","",IFERROR(INDEX($D$6:$D$4005,MATCH(B3504&amp;"|"&amp;ROUND(_xlfn.MAXIFS($O$6:$O$4005,$B$6:$B$4005,B3504,$N$6:$N$4005,"N"),0),$P$6:$P$4005,0)),"(tanpa lawan)"))</f>
        <v/>
      </c>
      <c r="R3504" s="44"/>
      <c r="S3504" s="9" t="str">
        <f aca="false">IF(N3504&lt;&gt;"Y","",IF(R3504&lt;&gt;"",R3504,IF(Q3504="(tanpa lawan)","Transfer antar rekening",IFERROR(INDEX(I_COA!$F$6:$F$265,MATCH(Q3504,I_COA!$A$6:$A$265,0)),"?"))))</f>
        <v/>
      </c>
    </row>
    <row r="3505" customFormat="false" ht="15" hidden="false" customHeight="false" outlineLevel="0" collapsed="false">
      <c r="A3505" s="37"/>
      <c r="B3505" s="44"/>
      <c r="C3505" s="44"/>
      <c r="D3505" s="44"/>
      <c r="E3505" s="44"/>
      <c r="F3505" s="44"/>
      <c r="G3505" s="42"/>
      <c r="H3505" s="42"/>
      <c r="I3505" s="44"/>
      <c r="J3505" s="11" t="str">
        <f aca="false">IF(D3505="","",N(G3505)-N(H3505))</f>
        <v/>
      </c>
      <c r="K3505" s="34" t="str">
        <f aca="false">IF(D3505="","",IFERROR(INDEX(I_COA!$C$6:$C$265,MATCH(D3505,I_COA!$A$6:$A$265,0)),"AKUN BARU"))</f>
        <v/>
      </c>
      <c r="L3505" s="34" t="str">
        <f aca="false">IF(K3505="LabaRugi",INDEX(I_COA!$D$6:$D$265,MATCH(D3505,I_COA!$A$6:$A$265,0)),"")</f>
        <v/>
      </c>
      <c r="M3505" s="34" t="str">
        <f aca="false">IF(K3505="Neraca",INDEX(I_COA!$E$6:$E$265,MATCH(D3505,I_COA!$A$6:$A$265,0)),"")</f>
        <v/>
      </c>
      <c r="N3505" s="34" t="str">
        <f aca="false">IF(D3505="","",IFERROR(INDEX(I_COA!$G$6:$G$265,MATCH(D3505,I_COA!$A$6:$A$265,0)),"N"))</f>
        <v/>
      </c>
      <c r="O3505" s="11" t="str">
        <f aca="false">IF(N3505="N",ABS(J3505),"")</f>
        <v/>
      </c>
      <c r="P3505" s="18" t="str">
        <f aca="false">IF(N3505="N",B3505&amp;"|"&amp;ROUND(O3505,0),"")</f>
        <v/>
      </c>
      <c r="Q3505" s="18" t="str">
        <f aca="false">IF(N3505&lt;&gt;"Y","",IFERROR(INDEX($D$6:$D$4005,MATCH(B3505&amp;"|"&amp;ROUND(_xlfn.MAXIFS($O$6:$O$4005,$B$6:$B$4005,B3505,$N$6:$N$4005,"N"),0),$P$6:$P$4005,0)),"(tanpa lawan)"))</f>
        <v/>
      </c>
      <c r="R3505" s="44"/>
      <c r="S3505" s="9" t="str">
        <f aca="false">IF(N3505&lt;&gt;"Y","",IF(R3505&lt;&gt;"",R3505,IF(Q3505="(tanpa lawan)","Transfer antar rekening",IFERROR(INDEX(I_COA!$F$6:$F$265,MATCH(Q3505,I_COA!$A$6:$A$265,0)),"?"))))</f>
        <v/>
      </c>
    </row>
    <row r="3506" customFormat="false" ht="15" hidden="false" customHeight="false" outlineLevel="0" collapsed="false">
      <c r="A3506" s="37"/>
      <c r="B3506" s="44"/>
      <c r="C3506" s="44"/>
      <c r="D3506" s="44"/>
      <c r="E3506" s="44"/>
      <c r="F3506" s="44"/>
      <c r="G3506" s="42"/>
      <c r="H3506" s="42"/>
      <c r="I3506" s="44"/>
      <c r="J3506" s="11" t="str">
        <f aca="false">IF(D3506="","",N(G3506)-N(H3506))</f>
        <v/>
      </c>
      <c r="K3506" s="34" t="str">
        <f aca="false">IF(D3506="","",IFERROR(INDEX(I_COA!$C$6:$C$265,MATCH(D3506,I_COA!$A$6:$A$265,0)),"AKUN BARU"))</f>
        <v/>
      </c>
      <c r="L3506" s="34" t="str">
        <f aca="false">IF(K3506="LabaRugi",INDEX(I_COA!$D$6:$D$265,MATCH(D3506,I_COA!$A$6:$A$265,0)),"")</f>
        <v/>
      </c>
      <c r="M3506" s="34" t="str">
        <f aca="false">IF(K3506="Neraca",INDEX(I_COA!$E$6:$E$265,MATCH(D3506,I_COA!$A$6:$A$265,0)),"")</f>
        <v/>
      </c>
      <c r="N3506" s="34" t="str">
        <f aca="false">IF(D3506="","",IFERROR(INDEX(I_COA!$G$6:$G$265,MATCH(D3506,I_COA!$A$6:$A$265,0)),"N"))</f>
        <v/>
      </c>
      <c r="O3506" s="11" t="str">
        <f aca="false">IF(N3506="N",ABS(J3506),"")</f>
        <v/>
      </c>
      <c r="P3506" s="18" t="str">
        <f aca="false">IF(N3506="N",B3506&amp;"|"&amp;ROUND(O3506,0),"")</f>
        <v/>
      </c>
      <c r="Q3506" s="18" t="str">
        <f aca="false">IF(N3506&lt;&gt;"Y","",IFERROR(INDEX($D$6:$D$4005,MATCH(B3506&amp;"|"&amp;ROUND(_xlfn.MAXIFS($O$6:$O$4005,$B$6:$B$4005,B3506,$N$6:$N$4005,"N"),0),$P$6:$P$4005,0)),"(tanpa lawan)"))</f>
        <v/>
      </c>
      <c r="R3506" s="44"/>
      <c r="S3506" s="9" t="str">
        <f aca="false">IF(N3506&lt;&gt;"Y","",IF(R3506&lt;&gt;"",R3506,IF(Q3506="(tanpa lawan)","Transfer antar rekening",IFERROR(INDEX(I_COA!$F$6:$F$265,MATCH(Q3506,I_COA!$A$6:$A$265,0)),"?"))))</f>
        <v/>
      </c>
    </row>
    <row r="3507" customFormat="false" ht="15" hidden="false" customHeight="false" outlineLevel="0" collapsed="false">
      <c r="A3507" s="37"/>
      <c r="B3507" s="44"/>
      <c r="C3507" s="44"/>
      <c r="D3507" s="44"/>
      <c r="E3507" s="44"/>
      <c r="F3507" s="44"/>
      <c r="G3507" s="42"/>
      <c r="H3507" s="42"/>
      <c r="I3507" s="44"/>
      <c r="J3507" s="11" t="str">
        <f aca="false">IF(D3507="","",N(G3507)-N(H3507))</f>
        <v/>
      </c>
      <c r="K3507" s="34" t="str">
        <f aca="false">IF(D3507="","",IFERROR(INDEX(I_COA!$C$6:$C$265,MATCH(D3507,I_COA!$A$6:$A$265,0)),"AKUN BARU"))</f>
        <v/>
      </c>
      <c r="L3507" s="34" t="str">
        <f aca="false">IF(K3507="LabaRugi",INDEX(I_COA!$D$6:$D$265,MATCH(D3507,I_COA!$A$6:$A$265,0)),"")</f>
        <v/>
      </c>
      <c r="M3507" s="34" t="str">
        <f aca="false">IF(K3507="Neraca",INDEX(I_COA!$E$6:$E$265,MATCH(D3507,I_COA!$A$6:$A$265,0)),"")</f>
        <v/>
      </c>
      <c r="N3507" s="34" t="str">
        <f aca="false">IF(D3507="","",IFERROR(INDEX(I_COA!$G$6:$G$265,MATCH(D3507,I_COA!$A$6:$A$265,0)),"N"))</f>
        <v/>
      </c>
      <c r="O3507" s="11" t="str">
        <f aca="false">IF(N3507="N",ABS(J3507),"")</f>
        <v/>
      </c>
      <c r="P3507" s="18" t="str">
        <f aca="false">IF(N3507="N",B3507&amp;"|"&amp;ROUND(O3507,0),"")</f>
        <v/>
      </c>
      <c r="Q3507" s="18" t="str">
        <f aca="false">IF(N3507&lt;&gt;"Y","",IFERROR(INDEX($D$6:$D$4005,MATCH(B3507&amp;"|"&amp;ROUND(_xlfn.MAXIFS($O$6:$O$4005,$B$6:$B$4005,B3507,$N$6:$N$4005,"N"),0),$P$6:$P$4005,0)),"(tanpa lawan)"))</f>
        <v/>
      </c>
      <c r="R3507" s="44"/>
      <c r="S3507" s="9" t="str">
        <f aca="false">IF(N3507&lt;&gt;"Y","",IF(R3507&lt;&gt;"",R3507,IF(Q3507="(tanpa lawan)","Transfer antar rekening",IFERROR(INDEX(I_COA!$F$6:$F$265,MATCH(Q3507,I_COA!$A$6:$A$265,0)),"?"))))</f>
        <v/>
      </c>
    </row>
    <row r="3508" customFormat="false" ht="15" hidden="false" customHeight="false" outlineLevel="0" collapsed="false">
      <c r="A3508" s="37"/>
      <c r="B3508" s="44"/>
      <c r="C3508" s="44"/>
      <c r="D3508" s="44"/>
      <c r="E3508" s="44"/>
      <c r="F3508" s="44"/>
      <c r="G3508" s="42"/>
      <c r="H3508" s="42"/>
      <c r="I3508" s="44"/>
      <c r="J3508" s="11" t="str">
        <f aca="false">IF(D3508="","",N(G3508)-N(H3508))</f>
        <v/>
      </c>
      <c r="K3508" s="34" t="str">
        <f aca="false">IF(D3508="","",IFERROR(INDEX(I_COA!$C$6:$C$265,MATCH(D3508,I_COA!$A$6:$A$265,0)),"AKUN BARU"))</f>
        <v/>
      </c>
      <c r="L3508" s="34" t="str">
        <f aca="false">IF(K3508="LabaRugi",INDEX(I_COA!$D$6:$D$265,MATCH(D3508,I_COA!$A$6:$A$265,0)),"")</f>
        <v/>
      </c>
      <c r="M3508" s="34" t="str">
        <f aca="false">IF(K3508="Neraca",INDEX(I_COA!$E$6:$E$265,MATCH(D3508,I_COA!$A$6:$A$265,0)),"")</f>
        <v/>
      </c>
      <c r="N3508" s="34" t="str">
        <f aca="false">IF(D3508="","",IFERROR(INDEX(I_COA!$G$6:$G$265,MATCH(D3508,I_COA!$A$6:$A$265,0)),"N"))</f>
        <v/>
      </c>
      <c r="O3508" s="11" t="str">
        <f aca="false">IF(N3508="N",ABS(J3508),"")</f>
        <v/>
      </c>
      <c r="P3508" s="18" t="str">
        <f aca="false">IF(N3508="N",B3508&amp;"|"&amp;ROUND(O3508,0),"")</f>
        <v/>
      </c>
      <c r="Q3508" s="18" t="str">
        <f aca="false">IF(N3508&lt;&gt;"Y","",IFERROR(INDEX($D$6:$D$4005,MATCH(B3508&amp;"|"&amp;ROUND(_xlfn.MAXIFS($O$6:$O$4005,$B$6:$B$4005,B3508,$N$6:$N$4005,"N"),0),$P$6:$P$4005,0)),"(tanpa lawan)"))</f>
        <v/>
      </c>
      <c r="R3508" s="44"/>
      <c r="S3508" s="9" t="str">
        <f aca="false">IF(N3508&lt;&gt;"Y","",IF(R3508&lt;&gt;"",R3508,IF(Q3508="(tanpa lawan)","Transfer antar rekening",IFERROR(INDEX(I_COA!$F$6:$F$265,MATCH(Q3508,I_COA!$A$6:$A$265,0)),"?"))))</f>
        <v/>
      </c>
    </row>
    <row r="3509" customFormat="false" ht="15" hidden="false" customHeight="false" outlineLevel="0" collapsed="false">
      <c r="A3509" s="37"/>
      <c r="B3509" s="44"/>
      <c r="C3509" s="44"/>
      <c r="D3509" s="44"/>
      <c r="E3509" s="44"/>
      <c r="F3509" s="44"/>
      <c r="G3509" s="42"/>
      <c r="H3509" s="42"/>
      <c r="I3509" s="44"/>
      <c r="J3509" s="11" t="str">
        <f aca="false">IF(D3509="","",N(G3509)-N(H3509))</f>
        <v/>
      </c>
      <c r="K3509" s="34" t="str">
        <f aca="false">IF(D3509="","",IFERROR(INDEX(I_COA!$C$6:$C$265,MATCH(D3509,I_COA!$A$6:$A$265,0)),"AKUN BARU"))</f>
        <v/>
      </c>
      <c r="L3509" s="34" t="str">
        <f aca="false">IF(K3509="LabaRugi",INDEX(I_COA!$D$6:$D$265,MATCH(D3509,I_COA!$A$6:$A$265,0)),"")</f>
        <v/>
      </c>
      <c r="M3509" s="34" t="str">
        <f aca="false">IF(K3509="Neraca",INDEX(I_COA!$E$6:$E$265,MATCH(D3509,I_COA!$A$6:$A$265,0)),"")</f>
        <v/>
      </c>
      <c r="N3509" s="34" t="str">
        <f aca="false">IF(D3509="","",IFERROR(INDEX(I_COA!$G$6:$G$265,MATCH(D3509,I_COA!$A$6:$A$265,0)),"N"))</f>
        <v/>
      </c>
      <c r="O3509" s="11" t="str">
        <f aca="false">IF(N3509="N",ABS(J3509),"")</f>
        <v/>
      </c>
      <c r="P3509" s="18" t="str">
        <f aca="false">IF(N3509="N",B3509&amp;"|"&amp;ROUND(O3509,0),"")</f>
        <v/>
      </c>
      <c r="Q3509" s="18" t="str">
        <f aca="false">IF(N3509&lt;&gt;"Y","",IFERROR(INDEX($D$6:$D$4005,MATCH(B3509&amp;"|"&amp;ROUND(_xlfn.MAXIFS($O$6:$O$4005,$B$6:$B$4005,B3509,$N$6:$N$4005,"N"),0),$P$6:$P$4005,0)),"(tanpa lawan)"))</f>
        <v/>
      </c>
      <c r="R3509" s="44"/>
      <c r="S3509" s="9" t="str">
        <f aca="false">IF(N3509&lt;&gt;"Y","",IF(R3509&lt;&gt;"",R3509,IF(Q3509="(tanpa lawan)","Transfer antar rekening",IFERROR(INDEX(I_COA!$F$6:$F$265,MATCH(Q3509,I_COA!$A$6:$A$265,0)),"?"))))</f>
        <v/>
      </c>
    </row>
    <row r="3510" customFormat="false" ht="15" hidden="false" customHeight="false" outlineLevel="0" collapsed="false">
      <c r="A3510" s="37"/>
      <c r="B3510" s="44"/>
      <c r="C3510" s="44"/>
      <c r="D3510" s="44"/>
      <c r="E3510" s="44"/>
      <c r="F3510" s="44"/>
      <c r="G3510" s="42"/>
      <c r="H3510" s="42"/>
      <c r="I3510" s="44"/>
      <c r="J3510" s="11" t="str">
        <f aca="false">IF(D3510="","",N(G3510)-N(H3510))</f>
        <v/>
      </c>
      <c r="K3510" s="34" t="str">
        <f aca="false">IF(D3510="","",IFERROR(INDEX(I_COA!$C$6:$C$265,MATCH(D3510,I_COA!$A$6:$A$265,0)),"AKUN BARU"))</f>
        <v/>
      </c>
      <c r="L3510" s="34" t="str">
        <f aca="false">IF(K3510="LabaRugi",INDEX(I_COA!$D$6:$D$265,MATCH(D3510,I_COA!$A$6:$A$265,0)),"")</f>
        <v/>
      </c>
      <c r="M3510" s="34" t="str">
        <f aca="false">IF(K3510="Neraca",INDEX(I_COA!$E$6:$E$265,MATCH(D3510,I_COA!$A$6:$A$265,0)),"")</f>
        <v/>
      </c>
      <c r="N3510" s="34" t="str">
        <f aca="false">IF(D3510="","",IFERROR(INDEX(I_COA!$G$6:$G$265,MATCH(D3510,I_COA!$A$6:$A$265,0)),"N"))</f>
        <v/>
      </c>
      <c r="O3510" s="11" t="str">
        <f aca="false">IF(N3510="N",ABS(J3510),"")</f>
        <v/>
      </c>
      <c r="P3510" s="18" t="str">
        <f aca="false">IF(N3510="N",B3510&amp;"|"&amp;ROUND(O3510,0),"")</f>
        <v/>
      </c>
      <c r="Q3510" s="18" t="str">
        <f aca="false">IF(N3510&lt;&gt;"Y","",IFERROR(INDEX($D$6:$D$4005,MATCH(B3510&amp;"|"&amp;ROUND(_xlfn.MAXIFS($O$6:$O$4005,$B$6:$B$4005,B3510,$N$6:$N$4005,"N"),0),$P$6:$P$4005,0)),"(tanpa lawan)"))</f>
        <v/>
      </c>
      <c r="R3510" s="44"/>
      <c r="S3510" s="9" t="str">
        <f aca="false">IF(N3510&lt;&gt;"Y","",IF(R3510&lt;&gt;"",R3510,IF(Q3510="(tanpa lawan)","Transfer antar rekening",IFERROR(INDEX(I_COA!$F$6:$F$265,MATCH(Q3510,I_COA!$A$6:$A$265,0)),"?"))))</f>
        <v/>
      </c>
    </row>
    <row r="3511" customFormat="false" ht="15" hidden="false" customHeight="false" outlineLevel="0" collapsed="false">
      <c r="A3511" s="37"/>
      <c r="B3511" s="44"/>
      <c r="C3511" s="44"/>
      <c r="D3511" s="44"/>
      <c r="E3511" s="44"/>
      <c r="F3511" s="44"/>
      <c r="G3511" s="42"/>
      <c r="H3511" s="42"/>
      <c r="I3511" s="44"/>
      <c r="J3511" s="11" t="str">
        <f aca="false">IF(D3511="","",N(G3511)-N(H3511))</f>
        <v/>
      </c>
      <c r="K3511" s="34" t="str">
        <f aca="false">IF(D3511="","",IFERROR(INDEX(I_COA!$C$6:$C$265,MATCH(D3511,I_COA!$A$6:$A$265,0)),"AKUN BARU"))</f>
        <v/>
      </c>
      <c r="L3511" s="34" t="str">
        <f aca="false">IF(K3511="LabaRugi",INDEX(I_COA!$D$6:$D$265,MATCH(D3511,I_COA!$A$6:$A$265,0)),"")</f>
        <v/>
      </c>
      <c r="M3511" s="34" t="str">
        <f aca="false">IF(K3511="Neraca",INDEX(I_COA!$E$6:$E$265,MATCH(D3511,I_COA!$A$6:$A$265,0)),"")</f>
        <v/>
      </c>
      <c r="N3511" s="34" t="str">
        <f aca="false">IF(D3511="","",IFERROR(INDEX(I_COA!$G$6:$G$265,MATCH(D3511,I_COA!$A$6:$A$265,0)),"N"))</f>
        <v/>
      </c>
      <c r="O3511" s="11" t="str">
        <f aca="false">IF(N3511="N",ABS(J3511),"")</f>
        <v/>
      </c>
      <c r="P3511" s="18" t="str">
        <f aca="false">IF(N3511="N",B3511&amp;"|"&amp;ROUND(O3511,0),"")</f>
        <v/>
      </c>
      <c r="Q3511" s="18" t="str">
        <f aca="false">IF(N3511&lt;&gt;"Y","",IFERROR(INDEX($D$6:$D$4005,MATCH(B3511&amp;"|"&amp;ROUND(_xlfn.MAXIFS($O$6:$O$4005,$B$6:$B$4005,B3511,$N$6:$N$4005,"N"),0),$P$6:$P$4005,0)),"(tanpa lawan)"))</f>
        <v/>
      </c>
      <c r="R3511" s="44"/>
      <c r="S3511" s="9" t="str">
        <f aca="false">IF(N3511&lt;&gt;"Y","",IF(R3511&lt;&gt;"",R3511,IF(Q3511="(tanpa lawan)","Transfer antar rekening",IFERROR(INDEX(I_COA!$F$6:$F$265,MATCH(Q3511,I_COA!$A$6:$A$265,0)),"?"))))</f>
        <v/>
      </c>
    </row>
    <row r="3512" customFormat="false" ht="15" hidden="false" customHeight="false" outlineLevel="0" collapsed="false">
      <c r="A3512" s="37"/>
      <c r="B3512" s="44"/>
      <c r="C3512" s="44"/>
      <c r="D3512" s="44"/>
      <c r="E3512" s="44"/>
      <c r="F3512" s="44"/>
      <c r="G3512" s="42"/>
      <c r="H3512" s="42"/>
      <c r="I3512" s="44"/>
      <c r="J3512" s="11" t="str">
        <f aca="false">IF(D3512="","",N(G3512)-N(H3512))</f>
        <v/>
      </c>
      <c r="K3512" s="34" t="str">
        <f aca="false">IF(D3512="","",IFERROR(INDEX(I_COA!$C$6:$C$265,MATCH(D3512,I_COA!$A$6:$A$265,0)),"AKUN BARU"))</f>
        <v/>
      </c>
      <c r="L3512" s="34" t="str">
        <f aca="false">IF(K3512="LabaRugi",INDEX(I_COA!$D$6:$D$265,MATCH(D3512,I_COA!$A$6:$A$265,0)),"")</f>
        <v/>
      </c>
      <c r="M3512" s="34" t="str">
        <f aca="false">IF(K3512="Neraca",INDEX(I_COA!$E$6:$E$265,MATCH(D3512,I_COA!$A$6:$A$265,0)),"")</f>
        <v/>
      </c>
      <c r="N3512" s="34" t="str">
        <f aca="false">IF(D3512="","",IFERROR(INDEX(I_COA!$G$6:$G$265,MATCH(D3512,I_COA!$A$6:$A$265,0)),"N"))</f>
        <v/>
      </c>
      <c r="O3512" s="11" t="str">
        <f aca="false">IF(N3512="N",ABS(J3512),"")</f>
        <v/>
      </c>
      <c r="P3512" s="18" t="str">
        <f aca="false">IF(N3512="N",B3512&amp;"|"&amp;ROUND(O3512,0),"")</f>
        <v/>
      </c>
      <c r="Q3512" s="18" t="str">
        <f aca="false">IF(N3512&lt;&gt;"Y","",IFERROR(INDEX($D$6:$D$4005,MATCH(B3512&amp;"|"&amp;ROUND(_xlfn.MAXIFS($O$6:$O$4005,$B$6:$B$4005,B3512,$N$6:$N$4005,"N"),0),$P$6:$P$4005,0)),"(tanpa lawan)"))</f>
        <v/>
      </c>
      <c r="R3512" s="44"/>
      <c r="S3512" s="9" t="str">
        <f aca="false">IF(N3512&lt;&gt;"Y","",IF(R3512&lt;&gt;"",R3512,IF(Q3512="(tanpa lawan)","Transfer antar rekening",IFERROR(INDEX(I_COA!$F$6:$F$265,MATCH(Q3512,I_COA!$A$6:$A$265,0)),"?"))))</f>
        <v/>
      </c>
    </row>
    <row r="3513" customFormat="false" ht="15" hidden="false" customHeight="false" outlineLevel="0" collapsed="false">
      <c r="A3513" s="37"/>
      <c r="B3513" s="44"/>
      <c r="C3513" s="44"/>
      <c r="D3513" s="44"/>
      <c r="E3513" s="44"/>
      <c r="F3513" s="44"/>
      <c r="G3513" s="42"/>
      <c r="H3513" s="42"/>
      <c r="I3513" s="44"/>
      <c r="J3513" s="11" t="str">
        <f aca="false">IF(D3513="","",N(G3513)-N(H3513))</f>
        <v/>
      </c>
      <c r="K3513" s="34" t="str">
        <f aca="false">IF(D3513="","",IFERROR(INDEX(I_COA!$C$6:$C$265,MATCH(D3513,I_COA!$A$6:$A$265,0)),"AKUN BARU"))</f>
        <v/>
      </c>
      <c r="L3513" s="34" t="str">
        <f aca="false">IF(K3513="LabaRugi",INDEX(I_COA!$D$6:$D$265,MATCH(D3513,I_COA!$A$6:$A$265,0)),"")</f>
        <v/>
      </c>
      <c r="M3513" s="34" t="str">
        <f aca="false">IF(K3513="Neraca",INDEX(I_COA!$E$6:$E$265,MATCH(D3513,I_COA!$A$6:$A$265,0)),"")</f>
        <v/>
      </c>
      <c r="N3513" s="34" t="str">
        <f aca="false">IF(D3513="","",IFERROR(INDEX(I_COA!$G$6:$G$265,MATCH(D3513,I_COA!$A$6:$A$265,0)),"N"))</f>
        <v/>
      </c>
      <c r="O3513" s="11" t="str">
        <f aca="false">IF(N3513="N",ABS(J3513),"")</f>
        <v/>
      </c>
      <c r="P3513" s="18" t="str">
        <f aca="false">IF(N3513="N",B3513&amp;"|"&amp;ROUND(O3513,0),"")</f>
        <v/>
      </c>
      <c r="Q3513" s="18" t="str">
        <f aca="false">IF(N3513&lt;&gt;"Y","",IFERROR(INDEX($D$6:$D$4005,MATCH(B3513&amp;"|"&amp;ROUND(_xlfn.MAXIFS($O$6:$O$4005,$B$6:$B$4005,B3513,$N$6:$N$4005,"N"),0),$P$6:$P$4005,0)),"(tanpa lawan)"))</f>
        <v/>
      </c>
      <c r="R3513" s="44"/>
      <c r="S3513" s="9" t="str">
        <f aca="false">IF(N3513&lt;&gt;"Y","",IF(R3513&lt;&gt;"",R3513,IF(Q3513="(tanpa lawan)","Transfer antar rekening",IFERROR(INDEX(I_COA!$F$6:$F$265,MATCH(Q3513,I_COA!$A$6:$A$265,0)),"?"))))</f>
        <v/>
      </c>
    </row>
    <row r="3514" customFormat="false" ht="15" hidden="false" customHeight="false" outlineLevel="0" collapsed="false">
      <c r="A3514" s="37"/>
      <c r="B3514" s="44"/>
      <c r="C3514" s="44"/>
      <c r="D3514" s="44"/>
      <c r="E3514" s="44"/>
      <c r="F3514" s="44"/>
      <c r="G3514" s="42"/>
      <c r="H3514" s="42"/>
      <c r="I3514" s="44"/>
      <c r="J3514" s="11" t="str">
        <f aca="false">IF(D3514="","",N(G3514)-N(H3514))</f>
        <v/>
      </c>
      <c r="K3514" s="34" t="str">
        <f aca="false">IF(D3514="","",IFERROR(INDEX(I_COA!$C$6:$C$265,MATCH(D3514,I_COA!$A$6:$A$265,0)),"AKUN BARU"))</f>
        <v/>
      </c>
      <c r="L3514" s="34" t="str">
        <f aca="false">IF(K3514="LabaRugi",INDEX(I_COA!$D$6:$D$265,MATCH(D3514,I_COA!$A$6:$A$265,0)),"")</f>
        <v/>
      </c>
      <c r="M3514" s="34" t="str">
        <f aca="false">IF(K3514="Neraca",INDEX(I_COA!$E$6:$E$265,MATCH(D3514,I_COA!$A$6:$A$265,0)),"")</f>
        <v/>
      </c>
      <c r="N3514" s="34" t="str">
        <f aca="false">IF(D3514="","",IFERROR(INDEX(I_COA!$G$6:$G$265,MATCH(D3514,I_COA!$A$6:$A$265,0)),"N"))</f>
        <v/>
      </c>
      <c r="O3514" s="11" t="str">
        <f aca="false">IF(N3514="N",ABS(J3514),"")</f>
        <v/>
      </c>
      <c r="P3514" s="18" t="str">
        <f aca="false">IF(N3514="N",B3514&amp;"|"&amp;ROUND(O3514,0),"")</f>
        <v/>
      </c>
      <c r="Q3514" s="18" t="str">
        <f aca="false">IF(N3514&lt;&gt;"Y","",IFERROR(INDEX($D$6:$D$4005,MATCH(B3514&amp;"|"&amp;ROUND(_xlfn.MAXIFS($O$6:$O$4005,$B$6:$B$4005,B3514,$N$6:$N$4005,"N"),0),$P$6:$P$4005,0)),"(tanpa lawan)"))</f>
        <v/>
      </c>
      <c r="R3514" s="44"/>
      <c r="S3514" s="9" t="str">
        <f aca="false">IF(N3514&lt;&gt;"Y","",IF(R3514&lt;&gt;"",R3514,IF(Q3514="(tanpa lawan)","Transfer antar rekening",IFERROR(INDEX(I_COA!$F$6:$F$265,MATCH(Q3514,I_COA!$A$6:$A$265,0)),"?"))))</f>
        <v/>
      </c>
    </row>
    <row r="3515" customFormat="false" ht="15" hidden="false" customHeight="false" outlineLevel="0" collapsed="false">
      <c r="A3515" s="37"/>
      <c r="B3515" s="44"/>
      <c r="C3515" s="44"/>
      <c r="D3515" s="44"/>
      <c r="E3515" s="44"/>
      <c r="F3515" s="44"/>
      <c r="G3515" s="42"/>
      <c r="H3515" s="42"/>
      <c r="I3515" s="44"/>
      <c r="J3515" s="11" t="str">
        <f aca="false">IF(D3515="","",N(G3515)-N(H3515))</f>
        <v/>
      </c>
      <c r="K3515" s="34" t="str">
        <f aca="false">IF(D3515="","",IFERROR(INDEX(I_COA!$C$6:$C$265,MATCH(D3515,I_COA!$A$6:$A$265,0)),"AKUN BARU"))</f>
        <v/>
      </c>
      <c r="L3515" s="34" t="str">
        <f aca="false">IF(K3515="LabaRugi",INDEX(I_COA!$D$6:$D$265,MATCH(D3515,I_COA!$A$6:$A$265,0)),"")</f>
        <v/>
      </c>
      <c r="M3515" s="34" t="str">
        <f aca="false">IF(K3515="Neraca",INDEX(I_COA!$E$6:$E$265,MATCH(D3515,I_COA!$A$6:$A$265,0)),"")</f>
        <v/>
      </c>
      <c r="N3515" s="34" t="str">
        <f aca="false">IF(D3515="","",IFERROR(INDEX(I_COA!$G$6:$G$265,MATCH(D3515,I_COA!$A$6:$A$265,0)),"N"))</f>
        <v/>
      </c>
      <c r="O3515" s="11" t="str">
        <f aca="false">IF(N3515="N",ABS(J3515),"")</f>
        <v/>
      </c>
      <c r="P3515" s="18" t="str">
        <f aca="false">IF(N3515="N",B3515&amp;"|"&amp;ROUND(O3515,0),"")</f>
        <v/>
      </c>
      <c r="Q3515" s="18" t="str">
        <f aca="false">IF(N3515&lt;&gt;"Y","",IFERROR(INDEX($D$6:$D$4005,MATCH(B3515&amp;"|"&amp;ROUND(_xlfn.MAXIFS($O$6:$O$4005,$B$6:$B$4005,B3515,$N$6:$N$4005,"N"),0),$P$6:$P$4005,0)),"(tanpa lawan)"))</f>
        <v/>
      </c>
      <c r="R3515" s="44"/>
      <c r="S3515" s="9" t="str">
        <f aca="false">IF(N3515&lt;&gt;"Y","",IF(R3515&lt;&gt;"",R3515,IF(Q3515="(tanpa lawan)","Transfer antar rekening",IFERROR(INDEX(I_COA!$F$6:$F$265,MATCH(Q3515,I_COA!$A$6:$A$265,0)),"?"))))</f>
        <v/>
      </c>
    </row>
    <row r="3516" customFormat="false" ht="15" hidden="false" customHeight="false" outlineLevel="0" collapsed="false">
      <c r="A3516" s="37"/>
      <c r="B3516" s="44"/>
      <c r="C3516" s="44"/>
      <c r="D3516" s="44"/>
      <c r="E3516" s="44"/>
      <c r="F3516" s="44"/>
      <c r="G3516" s="42"/>
      <c r="H3516" s="42"/>
      <c r="I3516" s="44"/>
      <c r="J3516" s="11" t="str">
        <f aca="false">IF(D3516="","",N(G3516)-N(H3516))</f>
        <v/>
      </c>
      <c r="K3516" s="34" t="str">
        <f aca="false">IF(D3516="","",IFERROR(INDEX(I_COA!$C$6:$C$265,MATCH(D3516,I_COA!$A$6:$A$265,0)),"AKUN BARU"))</f>
        <v/>
      </c>
      <c r="L3516" s="34" t="str">
        <f aca="false">IF(K3516="LabaRugi",INDEX(I_COA!$D$6:$D$265,MATCH(D3516,I_COA!$A$6:$A$265,0)),"")</f>
        <v/>
      </c>
      <c r="M3516" s="34" t="str">
        <f aca="false">IF(K3516="Neraca",INDEX(I_COA!$E$6:$E$265,MATCH(D3516,I_COA!$A$6:$A$265,0)),"")</f>
        <v/>
      </c>
      <c r="N3516" s="34" t="str">
        <f aca="false">IF(D3516="","",IFERROR(INDEX(I_COA!$G$6:$G$265,MATCH(D3516,I_COA!$A$6:$A$265,0)),"N"))</f>
        <v/>
      </c>
      <c r="O3516" s="11" t="str">
        <f aca="false">IF(N3516="N",ABS(J3516),"")</f>
        <v/>
      </c>
      <c r="P3516" s="18" t="str">
        <f aca="false">IF(N3516="N",B3516&amp;"|"&amp;ROUND(O3516,0),"")</f>
        <v/>
      </c>
      <c r="Q3516" s="18" t="str">
        <f aca="false">IF(N3516&lt;&gt;"Y","",IFERROR(INDEX($D$6:$D$4005,MATCH(B3516&amp;"|"&amp;ROUND(_xlfn.MAXIFS($O$6:$O$4005,$B$6:$B$4005,B3516,$N$6:$N$4005,"N"),0),$P$6:$P$4005,0)),"(tanpa lawan)"))</f>
        <v/>
      </c>
      <c r="R3516" s="44"/>
      <c r="S3516" s="9" t="str">
        <f aca="false">IF(N3516&lt;&gt;"Y","",IF(R3516&lt;&gt;"",R3516,IF(Q3516="(tanpa lawan)","Transfer antar rekening",IFERROR(INDEX(I_COA!$F$6:$F$265,MATCH(Q3516,I_COA!$A$6:$A$265,0)),"?"))))</f>
        <v/>
      </c>
    </row>
    <row r="3517" customFormat="false" ht="15" hidden="false" customHeight="false" outlineLevel="0" collapsed="false">
      <c r="A3517" s="37"/>
      <c r="B3517" s="44"/>
      <c r="C3517" s="44"/>
      <c r="D3517" s="44"/>
      <c r="E3517" s="44"/>
      <c r="F3517" s="44"/>
      <c r="G3517" s="42"/>
      <c r="H3517" s="42"/>
      <c r="I3517" s="44"/>
      <c r="J3517" s="11" t="str">
        <f aca="false">IF(D3517="","",N(G3517)-N(H3517))</f>
        <v/>
      </c>
      <c r="K3517" s="34" t="str">
        <f aca="false">IF(D3517="","",IFERROR(INDEX(I_COA!$C$6:$C$265,MATCH(D3517,I_COA!$A$6:$A$265,0)),"AKUN BARU"))</f>
        <v/>
      </c>
      <c r="L3517" s="34" t="str">
        <f aca="false">IF(K3517="LabaRugi",INDEX(I_COA!$D$6:$D$265,MATCH(D3517,I_COA!$A$6:$A$265,0)),"")</f>
        <v/>
      </c>
      <c r="M3517" s="34" t="str">
        <f aca="false">IF(K3517="Neraca",INDEX(I_COA!$E$6:$E$265,MATCH(D3517,I_COA!$A$6:$A$265,0)),"")</f>
        <v/>
      </c>
      <c r="N3517" s="34" t="str">
        <f aca="false">IF(D3517="","",IFERROR(INDEX(I_COA!$G$6:$G$265,MATCH(D3517,I_COA!$A$6:$A$265,0)),"N"))</f>
        <v/>
      </c>
      <c r="O3517" s="11" t="str">
        <f aca="false">IF(N3517="N",ABS(J3517),"")</f>
        <v/>
      </c>
      <c r="P3517" s="18" t="str">
        <f aca="false">IF(N3517="N",B3517&amp;"|"&amp;ROUND(O3517,0),"")</f>
        <v/>
      </c>
      <c r="Q3517" s="18" t="str">
        <f aca="false">IF(N3517&lt;&gt;"Y","",IFERROR(INDEX($D$6:$D$4005,MATCH(B3517&amp;"|"&amp;ROUND(_xlfn.MAXIFS($O$6:$O$4005,$B$6:$B$4005,B3517,$N$6:$N$4005,"N"),0),$P$6:$P$4005,0)),"(tanpa lawan)"))</f>
        <v/>
      </c>
      <c r="R3517" s="44"/>
      <c r="S3517" s="9" t="str">
        <f aca="false">IF(N3517&lt;&gt;"Y","",IF(R3517&lt;&gt;"",R3517,IF(Q3517="(tanpa lawan)","Transfer antar rekening",IFERROR(INDEX(I_COA!$F$6:$F$265,MATCH(Q3517,I_COA!$A$6:$A$265,0)),"?"))))</f>
        <v/>
      </c>
    </row>
    <row r="3518" customFormat="false" ht="15" hidden="false" customHeight="false" outlineLevel="0" collapsed="false">
      <c r="A3518" s="37"/>
      <c r="B3518" s="44"/>
      <c r="C3518" s="44"/>
      <c r="D3518" s="44"/>
      <c r="E3518" s="44"/>
      <c r="F3518" s="44"/>
      <c r="G3518" s="42"/>
      <c r="H3518" s="42"/>
      <c r="I3518" s="44"/>
      <c r="J3518" s="11" t="str">
        <f aca="false">IF(D3518="","",N(G3518)-N(H3518))</f>
        <v/>
      </c>
      <c r="K3518" s="34" t="str">
        <f aca="false">IF(D3518="","",IFERROR(INDEX(I_COA!$C$6:$C$265,MATCH(D3518,I_COA!$A$6:$A$265,0)),"AKUN BARU"))</f>
        <v/>
      </c>
      <c r="L3518" s="34" t="str">
        <f aca="false">IF(K3518="LabaRugi",INDEX(I_COA!$D$6:$D$265,MATCH(D3518,I_COA!$A$6:$A$265,0)),"")</f>
        <v/>
      </c>
      <c r="M3518" s="34" t="str">
        <f aca="false">IF(K3518="Neraca",INDEX(I_COA!$E$6:$E$265,MATCH(D3518,I_COA!$A$6:$A$265,0)),"")</f>
        <v/>
      </c>
      <c r="N3518" s="34" t="str">
        <f aca="false">IF(D3518="","",IFERROR(INDEX(I_COA!$G$6:$G$265,MATCH(D3518,I_COA!$A$6:$A$265,0)),"N"))</f>
        <v/>
      </c>
      <c r="O3518" s="11" t="str">
        <f aca="false">IF(N3518="N",ABS(J3518),"")</f>
        <v/>
      </c>
      <c r="P3518" s="18" t="str">
        <f aca="false">IF(N3518="N",B3518&amp;"|"&amp;ROUND(O3518,0),"")</f>
        <v/>
      </c>
      <c r="Q3518" s="18" t="str">
        <f aca="false">IF(N3518&lt;&gt;"Y","",IFERROR(INDEX($D$6:$D$4005,MATCH(B3518&amp;"|"&amp;ROUND(_xlfn.MAXIFS($O$6:$O$4005,$B$6:$B$4005,B3518,$N$6:$N$4005,"N"),0),$P$6:$P$4005,0)),"(tanpa lawan)"))</f>
        <v/>
      </c>
      <c r="R3518" s="44"/>
      <c r="S3518" s="9" t="str">
        <f aca="false">IF(N3518&lt;&gt;"Y","",IF(R3518&lt;&gt;"",R3518,IF(Q3518="(tanpa lawan)","Transfer antar rekening",IFERROR(INDEX(I_COA!$F$6:$F$265,MATCH(Q3518,I_COA!$A$6:$A$265,0)),"?"))))</f>
        <v/>
      </c>
    </row>
    <row r="3519" customFormat="false" ht="15" hidden="false" customHeight="false" outlineLevel="0" collapsed="false">
      <c r="A3519" s="37"/>
      <c r="B3519" s="44"/>
      <c r="C3519" s="44"/>
      <c r="D3519" s="44"/>
      <c r="E3519" s="44"/>
      <c r="F3519" s="44"/>
      <c r="G3519" s="42"/>
      <c r="H3519" s="42"/>
      <c r="I3519" s="44"/>
      <c r="J3519" s="11" t="str">
        <f aca="false">IF(D3519="","",N(G3519)-N(H3519))</f>
        <v/>
      </c>
      <c r="K3519" s="34" t="str">
        <f aca="false">IF(D3519="","",IFERROR(INDEX(I_COA!$C$6:$C$265,MATCH(D3519,I_COA!$A$6:$A$265,0)),"AKUN BARU"))</f>
        <v/>
      </c>
      <c r="L3519" s="34" t="str">
        <f aca="false">IF(K3519="LabaRugi",INDEX(I_COA!$D$6:$D$265,MATCH(D3519,I_COA!$A$6:$A$265,0)),"")</f>
        <v/>
      </c>
      <c r="M3519" s="34" t="str">
        <f aca="false">IF(K3519="Neraca",INDEX(I_COA!$E$6:$E$265,MATCH(D3519,I_COA!$A$6:$A$265,0)),"")</f>
        <v/>
      </c>
      <c r="N3519" s="34" t="str">
        <f aca="false">IF(D3519="","",IFERROR(INDEX(I_COA!$G$6:$G$265,MATCH(D3519,I_COA!$A$6:$A$265,0)),"N"))</f>
        <v/>
      </c>
      <c r="O3519" s="11" t="str">
        <f aca="false">IF(N3519="N",ABS(J3519),"")</f>
        <v/>
      </c>
      <c r="P3519" s="18" t="str">
        <f aca="false">IF(N3519="N",B3519&amp;"|"&amp;ROUND(O3519,0),"")</f>
        <v/>
      </c>
      <c r="Q3519" s="18" t="str">
        <f aca="false">IF(N3519&lt;&gt;"Y","",IFERROR(INDEX($D$6:$D$4005,MATCH(B3519&amp;"|"&amp;ROUND(_xlfn.MAXIFS($O$6:$O$4005,$B$6:$B$4005,B3519,$N$6:$N$4005,"N"),0),$P$6:$P$4005,0)),"(tanpa lawan)"))</f>
        <v/>
      </c>
      <c r="R3519" s="44"/>
      <c r="S3519" s="9" t="str">
        <f aca="false">IF(N3519&lt;&gt;"Y","",IF(R3519&lt;&gt;"",R3519,IF(Q3519="(tanpa lawan)","Transfer antar rekening",IFERROR(INDEX(I_COA!$F$6:$F$265,MATCH(Q3519,I_COA!$A$6:$A$265,0)),"?"))))</f>
        <v/>
      </c>
    </row>
    <row r="3520" customFormat="false" ht="15" hidden="false" customHeight="false" outlineLevel="0" collapsed="false">
      <c r="A3520" s="37"/>
      <c r="B3520" s="44"/>
      <c r="C3520" s="44"/>
      <c r="D3520" s="44"/>
      <c r="E3520" s="44"/>
      <c r="F3520" s="44"/>
      <c r="G3520" s="42"/>
      <c r="H3520" s="42"/>
      <c r="I3520" s="44"/>
      <c r="J3520" s="11" t="str">
        <f aca="false">IF(D3520="","",N(G3520)-N(H3520))</f>
        <v/>
      </c>
      <c r="K3520" s="34" t="str">
        <f aca="false">IF(D3520="","",IFERROR(INDEX(I_COA!$C$6:$C$265,MATCH(D3520,I_COA!$A$6:$A$265,0)),"AKUN BARU"))</f>
        <v/>
      </c>
      <c r="L3520" s="34" t="str">
        <f aca="false">IF(K3520="LabaRugi",INDEX(I_COA!$D$6:$D$265,MATCH(D3520,I_COA!$A$6:$A$265,0)),"")</f>
        <v/>
      </c>
      <c r="M3520" s="34" t="str">
        <f aca="false">IF(K3520="Neraca",INDEX(I_COA!$E$6:$E$265,MATCH(D3520,I_COA!$A$6:$A$265,0)),"")</f>
        <v/>
      </c>
      <c r="N3520" s="34" t="str">
        <f aca="false">IF(D3520="","",IFERROR(INDEX(I_COA!$G$6:$G$265,MATCH(D3520,I_COA!$A$6:$A$265,0)),"N"))</f>
        <v/>
      </c>
      <c r="O3520" s="11" t="str">
        <f aca="false">IF(N3520="N",ABS(J3520),"")</f>
        <v/>
      </c>
      <c r="P3520" s="18" t="str">
        <f aca="false">IF(N3520="N",B3520&amp;"|"&amp;ROUND(O3520,0),"")</f>
        <v/>
      </c>
      <c r="Q3520" s="18" t="str">
        <f aca="false">IF(N3520&lt;&gt;"Y","",IFERROR(INDEX($D$6:$D$4005,MATCH(B3520&amp;"|"&amp;ROUND(_xlfn.MAXIFS($O$6:$O$4005,$B$6:$B$4005,B3520,$N$6:$N$4005,"N"),0),$P$6:$P$4005,0)),"(tanpa lawan)"))</f>
        <v/>
      </c>
      <c r="R3520" s="44"/>
      <c r="S3520" s="9" t="str">
        <f aca="false">IF(N3520&lt;&gt;"Y","",IF(R3520&lt;&gt;"",R3520,IF(Q3520="(tanpa lawan)","Transfer antar rekening",IFERROR(INDEX(I_COA!$F$6:$F$265,MATCH(Q3520,I_COA!$A$6:$A$265,0)),"?"))))</f>
        <v/>
      </c>
    </row>
    <row r="3521" customFormat="false" ht="15" hidden="false" customHeight="false" outlineLevel="0" collapsed="false">
      <c r="A3521" s="37"/>
      <c r="B3521" s="44"/>
      <c r="C3521" s="44"/>
      <c r="D3521" s="44"/>
      <c r="E3521" s="44"/>
      <c r="F3521" s="44"/>
      <c r="G3521" s="42"/>
      <c r="H3521" s="42"/>
      <c r="I3521" s="44"/>
      <c r="J3521" s="11" t="str">
        <f aca="false">IF(D3521="","",N(G3521)-N(H3521))</f>
        <v/>
      </c>
      <c r="K3521" s="34" t="str">
        <f aca="false">IF(D3521="","",IFERROR(INDEX(I_COA!$C$6:$C$265,MATCH(D3521,I_COA!$A$6:$A$265,0)),"AKUN BARU"))</f>
        <v/>
      </c>
      <c r="L3521" s="34" t="str">
        <f aca="false">IF(K3521="LabaRugi",INDEX(I_COA!$D$6:$D$265,MATCH(D3521,I_COA!$A$6:$A$265,0)),"")</f>
        <v/>
      </c>
      <c r="M3521" s="34" t="str">
        <f aca="false">IF(K3521="Neraca",INDEX(I_COA!$E$6:$E$265,MATCH(D3521,I_COA!$A$6:$A$265,0)),"")</f>
        <v/>
      </c>
      <c r="N3521" s="34" t="str">
        <f aca="false">IF(D3521="","",IFERROR(INDEX(I_COA!$G$6:$G$265,MATCH(D3521,I_COA!$A$6:$A$265,0)),"N"))</f>
        <v/>
      </c>
      <c r="O3521" s="11" t="str">
        <f aca="false">IF(N3521="N",ABS(J3521),"")</f>
        <v/>
      </c>
      <c r="P3521" s="18" t="str">
        <f aca="false">IF(N3521="N",B3521&amp;"|"&amp;ROUND(O3521,0),"")</f>
        <v/>
      </c>
      <c r="Q3521" s="18" t="str">
        <f aca="false">IF(N3521&lt;&gt;"Y","",IFERROR(INDEX($D$6:$D$4005,MATCH(B3521&amp;"|"&amp;ROUND(_xlfn.MAXIFS($O$6:$O$4005,$B$6:$B$4005,B3521,$N$6:$N$4005,"N"),0),$P$6:$P$4005,0)),"(tanpa lawan)"))</f>
        <v/>
      </c>
      <c r="R3521" s="44"/>
      <c r="S3521" s="9" t="str">
        <f aca="false">IF(N3521&lt;&gt;"Y","",IF(R3521&lt;&gt;"",R3521,IF(Q3521="(tanpa lawan)","Transfer antar rekening",IFERROR(INDEX(I_COA!$F$6:$F$265,MATCH(Q3521,I_COA!$A$6:$A$265,0)),"?"))))</f>
        <v/>
      </c>
    </row>
    <row r="3522" customFormat="false" ht="15" hidden="false" customHeight="false" outlineLevel="0" collapsed="false">
      <c r="A3522" s="37"/>
      <c r="B3522" s="44"/>
      <c r="C3522" s="44"/>
      <c r="D3522" s="44"/>
      <c r="E3522" s="44"/>
      <c r="F3522" s="44"/>
      <c r="G3522" s="42"/>
      <c r="H3522" s="42"/>
      <c r="I3522" s="44"/>
      <c r="J3522" s="11" t="str">
        <f aca="false">IF(D3522="","",N(G3522)-N(H3522))</f>
        <v/>
      </c>
      <c r="K3522" s="34" t="str">
        <f aca="false">IF(D3522="","",IFERROR(INDEX(I_COA!$C$6:$C$265,MATCH(D3522,I_COA!$A$6:$A$265,0)),"AKUN BARU"))</f>
        <v/>
      </c>
      <c r="L3522" s="34" t="str">
        <f aca="false">IF(K3522="LabaRugi",INDEX(I_COA!$D$6:$D$265,MATCH(D3522,I_COA!$A$6:$A$265,0)),"")</f>
        <v/>
      </c>
      <c r="M3522" s="34" t="str">
        <f aca="false">IF(K3522="Neraca",INDEX(I_COA!$E$6:$E$265,MATCH(D3522,I_COA!$A$6:$A$265,0)),"")</f>
        <v/>
      </c>
      <c r="N3522" s="34" t="str">
        <f aca="false">IF(D3522="","",IFERROR(INDEX(I_COA!$G$6:$G$265,MATCH(D3522,I_COA!$A$6:$A$265,0)),"N"))</f>
        <v/>
      </c>
      <c r="O3522" s="11" t="str">
        <f aca="false">IF(N3522="N",ABS(J3522),"")</f>
        <v/>
      </c>
      <c r="P3522" s="18" t="str">
        <f aca="false">IF(N3522="N",B3522&amp;"|"&amp;ROUND(O3522,0),"")</f>
        <v/>
      </c>
      <c r="Q3522" s="18" t="str">
        <f aca="false">IF(N3522&lt;&gt;"Y","",IFERROR(INDEX($D$6:$D$4005,MATCH(B3522&amp;"|"&amp;ROUND(_xlfn.MAXIFS($O$6:$O$4005,$B$6:$B$4005,B3522,$N$6:$N$4005,"N"),0),$P$6:$P$4005,0)),"(tanpa lawan)"))</f>
        <v/>
      </c>
      <c r="R3522" s="44"/>
      <c r="S3522" s="9" t="str">
        <f aca="false">IF(N3522&lt;&gt;"Y","",IF(R3522&lt;&gt;"",R3522,IF(Q3522="(tanpa lawan)","Transfer antar rekening",IFERROR(INDEX(I_COA!$F$6:$F$265,MATCH(Q3522,I_COA!$A$6:$A$265,0)),"?"))))</f>
        <v/>
      </c>
    </row>
    <row r="3523" customFormat="false" ht="15" hidden="false" customHeight="false" outlineLevel="0" collapsed="false">
      <c r="A3523" s="37"/>
      <c r="B3523" s="44"/>
      <c r="C3523" s="44"/>
      <c r="D3523" s="44"/>
      <c r="E3523" s="44"/>
      <c r="F3523" s="44"/>
      <c r="G3523" s="42"/>
      <c r="H3523" s="42"/>
      <c r="I3523" s="44"/>
      <c r="J3523" s="11" t="str">
        <f aca="false">IF(D3523="","",N(G3523)-N(H3523))</f>
        <v/>
      </c>
      <c r="K3523" s="34" t="str">
        <f aca="false">IF(D3523="","",IFERROR(INDEX(I_COA!$C$6:$C$265,MATCH(D3523,I_COA!$A$6:$A$265,0)),"AKUN BARU"))</f>
        <v/>
      </c>
      <c r="L3523" s="34" t="str">
        <f aca="false">IF(K3523="LabaRugi",INDEX(I_COA!$D$6:$D$265,MATCH(D3523,I_COA!$A$6:$A$265,0)),"")</f>
        <v/>
      </c>
      <c r="M3523" s="34" t="str">
        <f aca="false">IF(K3523="Neraca",INDEX(I_COA!$E$6:$E$265,MATCH(D3523,I_COA!$A$6:$A$265,0)),"")</f>
        <v/>
      </c>
      <c r="N3523" s="34" t="str">
        <f aca="false">IF(D3523="","",IFERROR(INDEX(I_COA!$G$6:$G$265,MATCH(D3523,I_COA!$A$6:$A$265,0)),"N"))</f>
        <v/>
      </c>
      <c r="O3523" s="11" t="str">
        <f aca="false">IF(N3523="N",ABS(J3523),"")</f>
        <v/>
      </c>
      <c r="P3523" s="18" t="str">
        <f aca="false">IF(N3523="N",B3523&amp;"|"&amp;ROUND(O3523,0),"")</f>
        <v/>
      </c>
      <c r="Q3523" s="18" t="str">
        <f aca="false">IF(N3523&lt;&gt;"Y","",IFERROR(INDEX($D$6:$D$4005,MATCH(B3523&amp;"|"&amp;ROUND(_xlfn.MAXIFS($O$6:$O$4005,$B$6:$B$4005,B3523,$N$6:$N$4005,"N"),0),$P$6:$P$4005,0)),"(tanpa lawan)"))</f>
        <v/>
      </c>
      <c r="R3523" s="44"/>
      <c r="S3523" s="9" t="str">
        <f aca="false">IF(N3523&lt;&gt;"Y","",IF(R3523&lt;&gt;"",R3523,IF(Q3523="(tanpa lawan)","Transfer antar rekening",IFERROR(INDEX(I_COA!$F$6:$F$265,MATCH(Q3523,I_COA!$A$6:$A$265,0)),"?"))))</f>
        <v/>
      </c>
    </row>
    <row r="3524" customFormat="false" ht="15" hidden="false" customHeight="false" outlineLevel="0" collapsed="false">
      <c r="A3524" s="37"/>
      <c r="B3524" s="44"/>
      <c r="C3524" s="44"/>
      <c r="D3524" s="44"/>
      <c r="E3524" s="44"/>
      <c r="F3524" s="44"/>
      <c r="G3524" s="42"/>
      <c r="H3524" s="42"/>
      <c r="I3524" s="44"/>
      <c r="J3524" s="11" t="str">
        <f aca="false">IF(D3524="","",N(G3524)-N(H3524))</f>
        <v/>
      </c>
      <c r="K3524" s="34" t="str">
        <f aca="false">IF(D3524="","",IFERROR(INDEX(I_COA!$C$6:$C$265,MATCH(D3524,I_COA!$A$6:$A$265,0)),"AKUN BARU"))</f>
        <v/>
      </c>
      <c r="L3524" s="34" t="str">
        <f aca="false">IF(K3524="LabaRugi",INDEX(I_COA!$D$6:$D$265,MATCH(D3524,I_COA!$A$6:$A$265,0)),"")</f>
        <v/>
      </c>
      <c r="M3524" s="34" t="str">
        <f aca="false">IF(K3524="Neraca",INDEX(I_COA!$E$6:$E$265,MATCH(D3524,I_COA!$A$6:$A$265,0)),"")</f>
        <v/>
      </c>
      <c r="N3524" s="34" t="str">
        <f aca="false">IF(D3524="","",IFERROR(INDEX(I_COA!$G$6:$G$265,MATCH(D3524,I_COA!$A$6:$A$265,0)),"N"))</f>
        <v/>
      </c>
      <c r="O3524" s="11" t="str">
        <f aca="false">IF(N3524="N",ABS(J3524),"")</f>
        <v/>
      </c>
      <c r="P3524" s="18" t="str">
        <f aca="false">IF(N3524="N",B3524&amp;"|"&amp;ROUND(O3524,0),"")</f>
        <v/>
      </c>
      <c r="Q3524" s="18" t="str">
        <f aca="false">IF(N3524&lt;&gt;"Y","",IFERROR(INDEX($D$6:$D$4005,MATCH(B3524&amp;"|"&amp;ROUND(_xlfn.MAXIFS($O$6:$O$4005,$B$6:$B$4005,B3524,$N$6:$N$4005,"N"),0),$P$6:$P$4005,0)),"(tanpa lawan)"))</f>
        <v/>
      </c>
      <c r="R3524" s="44"/>
      <c r="S3524" s="9" t="str">
        <f aca="false">IF(N3524&lt;&gt;"Y","",IF(R3524&lt;&gt;"",R3524,IF(Q3524="(tanpa lawan)","Transfer antar rekening",IFERROR(INDEX(I_COA!$F$6:$F$265,MATCH(Q3524,I_COA!$A$6:$A$265,0)),"?"))))</f>
        <v/>
      </c>
    </row>
    <row r="3525" customFormat="false" ht="15" hidden="false" customHeight="false" outlineLevel="0" collapsed="false">
      <c r="A3525" s="37"/>
      <c r="B3525" s="44"/>
      <c r="C3525" s="44"/>
      <c r="D3525" s="44"/>
      <c r="E3525" s="44"/>
      <c r="F3525" s="44"/>
      <c r="G3525" s="42"/>
      <c r="H3525" s="42"/>
      <c r="I3525" s="44"/>
      <c r="J3525" s="11" t="str">
        <f aca="false">IF(D3525="","",N(G3525)-N(H3525))</f>
        <v/>
      </c>
      <c r="K3525" s="34" t="str">
        <f aca="false">IF(D3525="","",IFERROR(INDEX(I_COA!$C$6:$C$265,MATCH(D3525,I_COA!$A$6:$A$265,0)),"AKUN BARU"))</f>
        <v/>
      </c>
      <c r="L3525" s="34" t="str">
        <f aca="false">IF(K3525="LabaRugi",INDEX(I_COA!$D$6:$D$265,MATCH(D3525,I_COA!$A$6:$A$265,0)),"")</f>
        <v/>
      </c>
      <c r="M3525" s="34" t="str">
        <f aca="false">IF(K3525="Neraca",INDEX(I_COA!$E$6:$E$265,MATCH(D3525,I_COA!$A$6:$A$265,0)),"")</f>
        <v/>
      </c>
      <c r="N3525" s="34" t="str">
        <f aca="false">IF(D3525="","",IFERROR(INDEX(I_COA!$G$6:$G$265,MATCH(D3525,I_COA!$A$6:$A$265,0)),"N"))</f>
        <v/>
      </c>
      <c r="O3525" s="11" t="str">
        <f aca="false">IF(N3525="N",ABS(J3525),"")</f>
        <v/>
      </c>
      <c r="P3525" s="18" t="str">
        <f aca="false">IF(N3525="N",B3525&amp;"|"&amp;ROUND(O3525,0),"")</f>
        <v/>
      </c>
      <c r="Q3525" s="18" t="str">
        <f aca="false">IF(N3525&lt;&gt;"Y","",IFERROR(INDEX($D$6:$D$4005,MATCH(B3525&amp;"|"&amp;ROUND(_xlfn.MAXIFS($O$6:$O$4005,$B$6:$B$4005,B3525,$N$6:$N$4005,"N"),0),$P$6:$P$4005,0)),"(tanpa lawan)"))</f>
        <v/>
      </c>
      <c r="R3525" s="44"/>
      <c r="S3525" s="9" t="str">
        <f aca="false">IF(N3525&lt;&gt;"Y","",IF(R3525&lt;&gt;"",R3525,IF(Q3525="(tanpa lawan)","Transfer antar rekening",IFERROR(INDEX(I_COA!$F$6:$F$265,MATCH(Q3525,I_COA!$A$6:$A$265,0)),"?"))))</f>
        <v/>
      </c>
    </row>
    <row r="3526" customFormat="false" ht="15" hidden="false" customHeight="false" outlineLevel="0" collapsed="false">
      <c r="A3526" s="37"/>
      <c r="B3526" s="44"/>
      <c r="C3526" s="44"/>
      <c r="D3526" s="44"/>
      <c r="E3526" s="44"/>
      <c r="F3526" s="44"/>
      <c r="G3526" s="42"/>
      <c r="H3526" s="42"/>
      <c r="I3526" s="44"/>
      <c r="J3526" s="11" t="str">
        <f aca="false">IF(D3526="","",N(G3526)-N(H3526))</f>
        <v/>
      </c>
      <c r="K3526" s="34" t="str">
        <f aca="false">IF(D3526="","",IFERROR(INDEX(I_COA!$C$6:$C$265,MATCH(D3526,I_COA!$A$6:$A$265,0)),"AKUN BARU"))</f>
        <v/>
      </c>
      <c r="L3526" s="34" t="str">
        <f aca="false">IF(K3526="LabaRugi",INDEX(I_COA!$D$6:$D$265,MATCH(D3526,I_COA!$A$6:$A$265,0)),"")</f>
        <v/>
      </c>
      <c r="M3526" s="34" t="str">
        <f aca="false">IF(K3526="Neraca",INDEX(I_COA!$E$6:$E$265,MATCH(D3526,I_COA!$A$6:$A$265,0)),"")</f>
        <v/>
      </c>
      <c r="N3526" s="34" t="str">
        <f aca="false">IF(D3526="","",IFERROR(INDEX(I_COA!$G$6:$G$265,MATCH(D3526,I_COA!$A$6:$A$265,0)),"N"))</f>
        <v/>
      </c>
      <c r="O3526" s="11" t="str">
        <f aca="false">IF(N3526="N",ABS(J3526),"")</f>
        <v/>
      </c>
      <c r="P3526" s="18" t="str">
        <f aca="false">IF(N3526="N",B3526&amp;"|"&amp;ROUND(O3526,0),"")</f>
        <v/>
      </c>
      <c r="Q3526" s="18" t="str">
        <f aca="false">IF(N3526&lt;&gt;"Y","",IFERROR(INDEX($D$6:$D$4005,MATCH(B3526&amp;"|"&amp;ROUND(_xlfn.MAXIFS($O$6:$O$4005,$B$6:$B$4005,B3526,$N$6:$N$4005,"N"),0),$P$6:$P$4005,0)),"(tanpa lawan)"))</f>
        <v/>
      </c>
      <c r="R3526" s="44"/>
      <c r="S3526" s="9" t="str">
        <f aca="false">IF(N3526&lt;&gt;"Y","",IF(R3526&lt;&gt;"",R3526,IF(Q3526="(tanpa lawan)","Transfer antar rekening",IFERROR(INDEX(I_COA!$F$6:$F$265,MATCH(Q3526,I_COA!$A$6:$A$265,0)),"?"))))</f>
        <v/>
      </c>
    </row>
    <row r="3527" customFormat="false" ht="15" hidden="false" customHeight="false" outlineLevel="0" collapsed="false">
      <c r="A3527" s="37"/>
      <c r="B3527" s="44"/>
      <c r="C3527" s="44"/>
      <c r="D3527" s="44"/>
      <c r="E3527" s="44"/>
      <c r="F3527" s="44"/>
      <c r="G3527" s="42"/>
      <c r="H3527" s="42"/>
      <c r="I3527" s="44"/>
      <c r="J3527" s="11" t="str">
        <f aca="false">IF(D3527="","",N(G3527)-N(H3527))</f>
        <v/>
      </c>
      <c r="K3527" s="34" t="str">
        <f aca="false">IF(D3527="","",IFERROR(INDEX(I_COA!$C$6:$C$265,MATCH(D3527,I_COA!$A$6:$A$265,0)),"AKUN BARU"))</f>
        <v/>
      </c>
      <c r="L3527" s="34" t="str">
        <f aca="false">IF(K3527="LabaRugi",INDEX(I_COA!$D$6:$D$265,MATCH(D3527,I_COA!$A$6:$A$265,0)),"")</f>
        <v/>
      </c>
      <c r="M3527" s="34" t="str">
        <f aca="false">IF(K3527="Neraca",INDEX(I_COA!$E$6:$E$265,MATCH(D3527,I_COA!$A$6:$A$265,0)),"")</f>
        <v/>
      </c>
      <c r="N3527" s="34" t="str">
        <f aca="false">IF(D3527="","",IFERROR(INDEX(I_COA!$G$6:$G$265,MATCH(D3527,I_COA!$A$6:$A$265,0)),"N"))</f>
        <v/>
      </c>
      <c r="O3527" s="11" t="str">
        <f aca="false">IF(N3527="N",ABS(J3527),"")</f>
        <v/>
      </c>
      <c r="P3527" s="18" t="str">
        <f aca="false">IF(N3527="N",B3527&amp;"|"&amp;ROUND(O3527,0),"")</f>
        <v/>
      </c>
      <c r="Q3527" s="18" t="str">
        <f aca="false">IF(N3527&lt;&gt;"Y","",IFERROR(INDEX($D$6:$D$4005,MATCH(B3527&amp;"|"&amp;ROUND(_xlfn.MAXIFS($O$6:$O$4005,$B$6:$B$4005,B3527,$N$6:$N$4005,"N"),0),$P$6:$P$4005,0)),"(tanpa lawan)"))</f>
        <v/>
      </c>
      <c r="R3527" s="44"/>
      <c r="S3527" s="9" t="str">
        <f aca="false">IF(N3527&lt;&gt;"Y","",IF(R3527&lt;&gt;"",R3527,IF(Q3527="(tanpa lawan)","Transfer antar rekening",IFERROR(INDEX(I_COA!$F$6:$F$265,MATCH(Q3527,I_COA!$A$6:$A$265,0)),"?"))))</f>
        <v/>
      </c>
    </row>
    <row r="3528" customFormat="false" ht="15" hidden="false" customHeight="false" outlineLevel="0" collapsed="false">
      <c r="A3528" s="37"/>
      <c r="B3528" s="44"/>
      <c r="C3528" s="44"/>
      <c r="D3528" s="44"/>
      <c r="E3528" s="44"/>
      <c r="F3528" s="44"/>
      <c r="G3528" s="42"/>
      <c r="H3528" s="42"/>
      <c r="I3528" s="44"/>
      <c r="J3528" s="11" t="str">
        <f aca="false">IF(D3528="","",N(G3528)-N(H3528))</f>
        <v/>
      </c>
      <c r="K3528" s="34" t="str">
        <f aca="false">IF(D3528="","",IFERROR(INDEX(I_COA!$C$6:$C$265,MATCH(D3528,I_COA!$A$6:$A$265,0)),"AKUN BARU"))</f>
        <v/>
      </c>
      <c r="L3528" s="34" t="str">
        <f aca="false">IF(K3528="LabaRugi",INDEX(I_COA!$D$6:$D$265,MATCH(D3528,I_COA!$A$6:$A$265,0)),"")</f>
        <v/>
      </c>
      <c r="M3528" s="34" t="str">
        <f aca="false">IF(K3528="Neraca",INDEX(I_COA!$E$6:$E$265,MATCH(D3528,I_COA!$A$6:$A$265,0)),"")</f>
        <v/>
      </c>
      <c r="N3528" s="34" t="str">
        <f aca="false">IF(D3528="","",IFERROR(INDEX(I_COA!$G$6:$G$265,MATCH(D3528,I_COA!$A$6:$A$265,0)),"N"))</f>
        <v/>
      </c>
      <c r="O3528" s="11" t="str">
        <f aca="false">IF(N3528="N",ABS(J3528),"")</f>
        <v/>
      </c>
      <c r="P3528" s="18" t="str">
        <f aca="false">IF(N3528="N",B3528&amp;"|"&amp;ROUND(O3528,0),"")</f>
        <v/>
      </c>
      <c r="Q3528" s="18" t="str">
        <f aca="false">IF(N3528&lt;&gt;"Y","",IFERROR(INDEX($D$6:$D$4005,MATCH(B3528&amp;"|"&amp;ROUND(_xlfn.MAXIFS($O$6:$O$4005,$B$6:$B$4005,B3528,$N$6:$N$4005,"N"),0),$P$6:$P$4005,0)),"(tanpa lawan)"))</f>
        <v/>
      </c>
      <c r="R3528" s="44"/>
      <c r="S3528" s="9" t="str">
        <f aca="false">IF(N3528&lt;&gt;"Y","",IF(R3528&lt;&gt;"",R3528,IF(Q3528="(tanpa lawan)","Transfer antar rekening",IFERROR(INDEX(I_COA!$F$6:$F$265,MATCH(Q3528,I_COA!$A$6:$A$265,0)),"?"))))</f>
        <v/>
      </c>
    </row>
    <row r="3529" customFormat="false" ht="15" hidden="false" customHeight="false" outlineLevel="0" collapsed="false">
      <c r="A3529" s="37"/>
      <c r="B3529" s="44"/>
      <c r="C3529" s="44"/>
      <c r="D3529" s="44"/>
      <c r="E3529" s="44"/>
      <c r="F3529" s="44"/>
      <c r="G3529" s="42"/>
      <c r="H3529" s="42"/>
      <c r="I3529" s="44"/>
      <c r="J3529" s="11" t="str">
        <f aca="false">IF(D3529="","",N(G3529)-N(H3529))</f>
        <v/>
      </c>
      <c r="K3529" s="34" t="str">
        <f aca="false">IF(D3529="","",IFERROR(INDEX(I_COA!$C$6:$C$265,MATCH(D3529,I_COA!$A$6:$A$265,0)),"AKUN BARU"))</f>
        <v/>
      </c>
      <c r="L3529" s="34" t="str">
        <f aca="false">IF(K3529="LabaRugi",INDEX(I_COA!$D$6:$D$265,MATCH(D3529,I_COA!$A$6:$A$265,0)),"")</f>
        <v/>
      </c>
      <c r="M3529" s="34" t="str">
        <f aca="false">IF(K3529="Neraca",INDEX(I_COA!$E$6:$E$265,MATCH(D3529,I_COA!$A$6:$A$265,0)),"")</f>
        <v/>
      </c>
      <c r="N3529" s="34" t="str">
        <f aca="false">IF(D3529="","",IFERROR(INDEX(I_COA!$G$6:$G$265,MATCH(D3529,I_COA!$A$6:$A$265,0)),"N"))</f>
        <v/>
      </c>
      <c r="O3529" s="11" t="str">
        <f aca="false">IF(N3529="N",ABS(J3529),"")</f>
        <v/>
      </c>
      <c r="P3529" s="18" t="str">
        <f aca="false">IF(N3529="N",B3529&amp;"|"&amp;ROUND(O3529,0),"")</f>
        <v/>
      </c>
      <c r="Q3529" s="18" t="str">
        <f aca="false">IF(N3529&lt;&gt;"Y","",IFERROR(INDEX($D$6:$D$4005,MATCH(B3529&amp;"|"&amp;ROUND(_xlfn.MAXIFS($O$6:$O$4005,$B$6:$B$4005,B3529,$N$6:$N$4005,"N"),0),$P$6:$P$4005,0)),"(tanpa lawan)"))</f>
        <v/>
      </c>
      <c r="R3529" s="44"/>
      <c r="S3529" s="9" t="str">
        <f aca="false">IF(N3529&lt;&gt;"Y","",IF(R3529&lt;&gt;"",R3529,IF(Q3529="(tanpa lawan)","Transfer antar rekening",IFERROR(INDEX(I_COA!$F$6:$F$265,MATCH(Q3529,I_COA!$A$6:$A$265,0)),"?"))))</f>
        <v/>
      </c>
    </row>
    <row r="3530" customFormat="false" ht="15" hidden="false" customHeight="false" outlineLevel="0" collapsed="false">
      <c r="A3530" s="37"/>
      <c r="B3530" s="44"/>
      <c r="C3530" s="44"/>
      <c r="D3530" s="44"/>
      <c r="E3530" s="44"/>
      <c r="F3530" s="44"/>
      <c r="G3530" s="42"/>
      <c r="H3530" s="42"/>
      <c r="I3530" s="44"/>
      <c r="J3530" s="11" t="str">
        <f aca="false">IF(D3530="","",N(G3530)-N(H3530))</f>
        <v/>
      </c>
      <c r="K3530" s="34" t="str">
        <f aca="false">IF(D3530="","",IFERROR(INDEX(I_COA!$C$6:$C$265,MATCH(D3530,I_COA!$A$6:$A$265,0)),"AKUN BARU"))</f>
        <v/>
      </c>
      <c r="L3530" s="34" t="str">
        <f aca="false">IF(K3530="LabaRugi",INDEX(I_COA!$D$6:$D$265,MATCH(D3530,I_COA!$A$6:$A$265,0)),"")</f>
        <v/>
      </c>
      <c r="M3530" s="34" t="str">
        <f aca="false">IF(K3530="Neraca",INDEX(I_COA!$E$6:$E$265,MATCH(D3530,I_COA!$A$6:$A$265,0)),"")</f>
        <v/>
      </c>
      <c r="N3530" s="34" t="str">
        <f aca="false">IF(D3530="","",IFERROR(INDEX(I_COA!$G$6:$G$265,MATCH(D3530,I_COA!$A$6:$A$265,0)),"N"))</f>
        <v/>
      </c>
      <c r="O3530" s="11" t="str">
        <f aca="false">IF(N3530="N",ABS(J3530),"")</f>
        <v/>
      </c>
      <c r="P3530" s="18" t="str">
        <f aca="false">IF(N3530="N",B3530&amp;"|"&amp;ROUND(O3530,0),"")</f>
        <v/>
      </c>
      <c r="Q3530" s="18" t="str">
        <f aca="false">IF(N3530&lt;&gt;"Y","",IFERROR(INDEX($D$6:$D$4005,MATCH(B3530&amp;"|"&amp;ROUND(_xlfn.MAXIFS($O$6:$O$4005,$B$6:$B$4005,B3530,$N$6:$N$4005,"N"),0),$P$6:$P$4005,0)),"(tanpa lawan)"))</f>
        <v/>
      </c>
      <c r="R3530" s="44"/>
      <c r="S3530" s="9" t="str">
        <f aca="false">IF(N3530&lt;&gt;"Y","",IF(R3530&lt;&gt;"",R3530,IF(Q3530="(tanpa lawan)","Transfer antar rekening",IFERROR(INDEX(I_COA!$F$6:$F$265,MATCH(Q3530,I_COA!$A$6:$A$265,0)),"?"))))</f>
        <v/>
      </c>
    </row>
    <row r="3531" customFormat="false" ht="15" hidden="false" customHeight="false" outlineLevel="0" collapsed="false">
      <c r="A3531" s="37"/>
      <c r="B3531" s="44"/>
      <c r="C3531" s="44"/>
      <c r="D3531" s="44"/>
      <c r="E3531" s="44"/>
      <c r="F3531" s="44"/>
      <c r="G3531" s="42"/>
      <c r="H3531" s="42"/>
      <c r="I3531" s="44"/>
      <c r="J3531" s="11" t="str">
        <f aca="false">IF(D3531="","",N(G3531)-N(H3531))</f>
        <v/>
      </c>
      <c r="K3531" s="34" t="str">
        <f aca="false">IF(D3531="","",IFERROR(INDEX(I_COA!$C$6:$C$265,MATCH(D3531,I_COA!$A$6:$A$265,0)),"AKUN BARU"))</f>
        <v/>
      </c>
      <c r="L3531" s="34" t="str">
        <f aca="false">IF(K3531="LabaRugi",INDEX(I_COA!$D$6:$D$265,MATCH(D3531,I_COA!$A$6:$A$265,0)),"")</f>
        <v/>
      </c>
      <c r="M3531" s="34" t="str">
        <f aca="false">IF(K3531="Neraca",INDEX(I_COA!$E$6:$E$265,MATCH(D3531,I_COA!$A$6:$A$265,0)),"")</f>
        <v/>
      </c>
      <c r="N3531" s="34" t="str">
        <f aca="false">IF(D3531="","",IFERROR(INDEX(I_COA!$G$6:$G$265,MATCH(D3531,I_COA!$A$6:$A$265,0)),"N"))</f>
        <v/>
      </c>
      <c r="O3531" s="11" t="str">
        <f aca="false">IF(N3531="N",ABS(J3531),"")</f>
        <v/>
      </c>
      <c r="P3531" s="18" t="str">
        <f aca="false">IF(N3531="N",B3531&amp;"|"&amp;ROUND(O3531,0),"")</f>
        <v/>
      </c>
      <c r="Q3531" s="18" t="str">
        <f aca="false">IF(N3531&lt;&gt;"Y","",IFERROR(INDEX($D$6:$D$4005,MATCH(B3531&amp;"|"&amp;ROUND(_xlfn.MAXIFS($O$6:$O$4005,$B$6:$B$4005,B3531,$N$6:$N$4005,"N"),0),$P$6:$P$4005,0)),"(tanpa lawan)"))</f>
        <v/>
      </c>
      <c r="R3531" s="44"/>
      <c r="S3531" s="9" t="str">
        <f aca="false">IF(N3531&lt;&gt;"Y","",IF(R3531&lt;&gt;"",R3531,IF(Q3531="(tanpa lawan)","Transfer antar rekening",IFERROR(INDEX(I_COA!$F$6:$F$265,MATCH(Q3531,I_COA!$A$6:$A$265,0)),"?"))))</f>
        <v/>
      </c>
    </row>
    <row r="3532" customFormat="false" ht="15" hidden="false" customHeight="false" outlineLevel="0" collapsed="false">
      <c r="A3532" s="37"/>
      <c r="B3532" s="44"/>
      <c r="C3532" s="44"/>
      <c r="D3532" s="44"/>
      <c r="E3532" s="44"/>
      <c r="F3532" s="44"/>
      <c r="G3532" s="42"/>
      <c r="H3532" s="42"/>
      <c r="I3532" s="44"/>
      <c r="J3532" s="11" t="str">
        <f aca="false">IF(D3532="","",N(G3532)-N(H3532))</f>
        <v/>
      </c>
      <c r="K3532" s="34" t="str">
        <f aca="false">IF(D3532="","",IFERROR(INDEX(I_COA!$C$6:$C$265,MATCH(D3532,I_COA!$A$6:$A$265,0)),"AKUN BARU"))</f>
        <v/>
      </c>
      <c r="L3532" s="34" t="str">
        <f aca="false">IF(K3532="LabaRugi",INDEX(I_COA!$D$6:$D$265,MATCH(D3532,I_COA!$A$6:$A$265,0)),"")</f>
        <v/>
      </c>
      <c r="M3532" s="34" t="str">
        <f aca="false">IF(K3532="Neraca",INDEX(I_COA!$E$6:$E$265,MATCH(D3532,I_COA!$A$6:$A$265,0)),"")</f>
        <v/>
      </c>
      <c r="N3532" s="34" t="str">
        <f aca="false">IF(D3532="","",IFERROR(INDEX(I_COA!$G$6:$G$265,MATCH(D3532,I_COA!$A$6:$A$265,0)),"N"))</f>
        <v/>
      </c>
      <c r="O3532" s="11" t="str">
        <f aca="false">IF(N3532="N",ABS(J3532),"")</f>
        <v/>
      </c>
      <c r="P3532" s="18" t="str">
        <f aca="false">IF(N3532="N",B3532&amp;"|"&amp;ROUND(O3532,0),"")</f>
        <v/>
      </c>
      <c r="Q3532" s="18" t="str">
        <f aca="false">IF(N3532&lt;&gt;"Y","",IFERROR(INDEX($D$6:$D$4005,MATCH(B3532&amp;"|"&amp;ROUND(_xlfn.MAXIFS($O$6:$O$4005,$B$6:$B$4005,B3532,$N$6:$N$4005,"N"),0),$P$6:$P$4005,0)),"(tanpa lawan)"))</f>
        <v/>
      </c>
      <c r="R3532" s="44"/>
      <c r="S3532" s="9" t="str">
        <f aca="false">IF(N3532&lt;&gt;"Y","",IF(R3532&lt;&gt;"",R3532,IF(Q3532="(tanpa lawan)","Transfer antar rekening",IFERROR(INDEX(I_COA!$F$6:$F$265,MATCH(Q3532,I_COA!$A$6:$A$265,0)),"?"))))</f>
        <v/>
      </c>
    </row>
    <row r="3533" customFormat="false" ht="15" hidden="false" customHeight="false" outlineLevel="0" collapsed="false">
      <c r="A3533" s="37"/>
      <c r="B3533" s="44"/>
      <c r="C3533" s="44"/>
      <c r="D3533" s="44"/>
      <c r="E3533" s="44"/>
      <c r="F3533" s="44"/>
      <c r="G3533" s="42"/>
      <c r="H3533" s="42"/>
      <c r="I3533" s="44"/>
      <c r="J3533" s="11" t="str">
        <f aca="false">IF(D3533="","",N(G3533)-N(H3533))</f>
        <v/>
      </c>
      <c r="K3533" s="34" t="str">
        <f aca="false">IF(D3533="","",IFERROR(INDEX(I_COA!$C$6:$C$265,MATCH(D3533,I_COA!$A$6:$A$265,0)),"AKUN BARU"))</f>
        <v/>
      </c>
      <c r="L3533" s="34" t="str">
        <f aca="false">IF(K3533="LabaRugi",INDEX(I_COA!$D$6:$D$265,MATCH(D3533,I_COA!$A$6:$A$265,0)),"")</f>
        <v/>
      </c>
      <c r="M3533" s="34" t="str">
        <f aca="false">IF(K3533="Neraca",INDEX(I_COA!$E$6:$E$265,MATCH(D3533,I_COA!$A$6:$A$265,0)),"")</f>
        <v/>
      </c>
      <c r="N3533" s="34" t="str">
        <f aca="false">IF(D3533="","",IFERROR(INDEX(I_COA!$G$6:$G$265,MATCH(D3533,I_COA!$A$6:$A$265,0)),"N"))</f>
        <v/>
      </c>
      <c r="O3533" s="11" t="str">
        <f aca="false">IF(N3533="N",ABS(J3533),"")</f>
        <v/>
      </c>
      <c r="P3533" s="18" t="str">
        <f aca="false">IF(N3533="N",B3533&amp;"|"&amp;ROUND(O3533,0),"")</f>
        <v/>
      </c>
      <c r="Q3533" s="18" t="str">
        <f aca="false">IF(N3533&lt;&gt;"Y","",IFERROR(INDEX($D$6:$D$4005,MATCH(B3533&amp;"|"&amp;ROUND(_xlfn.MAXIFS($O$6:$O$4005,$B$6:$B$4005,B3533,$N$6:$N$4005,"N"),0),$P$6:$P$4005,0)),"(tanpa lawan)"))</f>
        <v/>
      </c>
      <c r="R3533" s="44"/>
      <c r="S3533" s="9" t="str">
        <f aca="false">IF(N3533&lt;&gt;"Y","",IF(R3533&lt;&gt;"",R3533,IF(Q3533="(tanpa lawan)","Transfer antar rekening",IFERROR(INDEX(I_COA!$F$6:$F$265,MATCH(Q3533,I_COA!$A$6:$A$265,0)),"?"))))</f>
        <v/>
      </c>
    </row>
    <row r="3534" customFormat="false" ht="15" hidden="false" customHeight="false" outlineLevel="0" collapsed="false">
      <c r="A3534" s="37"/>
      <c r="B3534" s="44"/>
      <c r="C3534" s="44"/>
      <c r="D3534" s="44"/>
      <c r="E3534" s="44"/>
      <c r="F3534" s="44"/>
      <c r="G3534" s="42"/>
      <c r="H3534" s="42"/>
      <c r="I3534" s="44"/>
      <c r="J3534" s="11" t="str">
        <f aca="false">IF(D3534="","",N(G3534)-N(H3534))</f>
        <v/>
      </c>
      <c r="K3534" s="34" t="str">
        <f aca="false">IF(D3534="","",IFERROR(INDEX(I_COA!$C$6:$C$265,MATCH(D3534,I_COA!$A$6:$A$265,0)),"AKUN BARU"))</f>
        <v/>
      </c>
      <c r="L3534" s="34" t="str">
        <f aca="false">IF(K3534="LabaRugi",INDEX(I_COA!$D$6:$D$265,MATCH(D3534,I_COA!$A$6:$A$265,0)),"")</f>
        <v/>
      </c>
      <c r="M3534" s="34" t="str">
        <f aca="false">IF(K3534="Neraca",INDEX(I_COA!$E$6:$E$265,MATCH(D3534,I_COA!$A$6:$A$265,0)),"")</f>
        <v/>
      </c>
      <c r="N3534" s="34" t="str">
        <f aca="false">IF(D3534="","",IFERROR(INDEX(I_COA!$G$6:$G$265,MATCH(D3534,I_COA!$A$6:$A$265,0)),"N"))</f>
        <v/>
      </c>
      <c r="O3534" s="11" t="str">
        <f aca="false">IF(N3534="N",ABS(J3534),"")</f>
        <v/>
      </c>
      <c r="P3534" s="18" t="str">
        <f aca="false">IF(N3534="N",B3534&amp;"|"&amp;ROUND(O3534,0),"")</f>
        <v/>
      </c>
      <c r="Q3534" s="18" t="str">
        <f aca="false">IF(N3534&lt;&gt;"Y","",IFERROR(INDEX($D$6:$D$4005,MATCH(B3534&amp;"|"&amp;ROUND(_xlfn.MAXIFS($O$6:$O$4005,$B$6:$B$4005,B3534,$N$6:$N$4005,"N"),0),$P$6:$P$4005,0)),"(tanpa lawan)"))</f>
        <v/>
      </c>
      <c r="R3534" s="44"/>
      <c r="S3534" s="9" t="str">
        <f aca="false">IF(N3534&lt;&gt;"Y","",IF(R3534&lt;&gt;"",R3534,IF(Q3534="(tanpa lawan)","Transfer antar rekening",IFERROR(INDEX(I_COA!$F$6:$F$265,MATCH(Q3534,I_COA!$A$6:$A$265,0)),"?"))))</f>
        <v/>
      </c>
    </row>
    <row r="3535" customFormat="false" ht="15" hidden="false" customHeight="false" outlineLevel="0" collapsed="false">
      <c r="A3535" s="37"/>
      <c r="B3535" s="44"/>
      <c r="C3535" s="44"/>
      <c r="D3535" s="44"/>
      <c r="E3535" s="44"/>
      <c r="F3535" s="44"/>
      <c r="G3535" s="42"/>
      <c r="H3535" s="42"/>
      <c r="I3535" s="44"/>
      <c r="J3535" s="11" t="str">
        <f aca="false">IF(D3535="","",N(G3535)-N(H3535))</f>
        <v/>
      </c>
      <c r="K3535" s="34" t="str">
        <f aca="false">IF(D3535="","",IFERROR(INDEX(I_COA!$C$6:$C$265,MATCH(D3535,I_COA!$A$6:$A$265,0)),"AKUN BARU"))</f>
        <v/>
      </c>
      <c r="L3535" s="34" t="str">
        <f aca="false">IF(K3535="LabaRugi",INDEX(I_COA!$D$6:$D$265,MATCH(D3535,I_COA!$A$6:$A$265,0)),"")</f>
        <v/>
      </c>
      <c r="M3535" s="34" t="str">
        <f aca="false">IF(K3535="Neraca",INDEX(I_COA!$E$6:$E$265,MATCH(D3535,I_COA!$A$6:$A$265,0)),"")</f>
        <v/>
      </c>
      <c r="N3535" s="34" t="str">
        <f aca="false">IF(D3535="","",IFERROR(INDEX(I_COA!$G$6:$G$265,MATCH(D3535,I_COA!$A$6:$A$265,0)),"N"))</f>
        <v/>
      </c>
      <c r="O3535" s="11" t="str">
        <f aca="false">IF(N3535="N",ABS(J3535),"")</f>
        <v/>
      </c>
      <c r="P3535" s="18" t="str">
        <f aca="false">IF(N3535="N",B3535&amp;"|"&amp;ROUND(O3535,0),"")</f>
        <v/>
      </c>
      <c r="Q3535" s="18" t="str">
        <f aca="false">IF(N3535&lt;&gt;"Y","",IFERROR(INDEX($D$6:$D$4005,MATCH(B3535&amp;"|"&amp;ROUND(_xlfn.MAXIFS($O$6:$O$4005,$B$6:$B$4005,B3535,$N$6:$N$4005,"N"),0),$P$6:$P$4005,0)),"(tanpa lawan)"))</f>
        <v/>
      </c>
      <c r="R3535" s="44"/>
      <c r="S3535" s="9" t="str">
        <f aca="false">IF(N3535&lt;&gt;"Y","",IF(R3535&lt;&gt;"",R3535,IF(Q3535="(tanpa lawan)","Transfer antar rekening",IFERROR(INDEX(I_COA!$F$6:$F$265,MATCH(Q3535,I_COA!$A$6:$A$265,0)),"?"))))</f>
        <v/>
      </c>
    </row>
    <row r="3536" customFormat="false" ht="15" hidden="false" customHeight="false" outlineLevel="0" collapsed="false">
      <c r="A3536" s="37"/>
      <c r="B3536" s="44"/>
      <c r="C3536" s="44"/>
      <c r="D3536" s="44"/>
      <c r="E3536" s="44"/>
      <c r="F3536" s="44"/>
      <c r="G3536" s="42"/>
      <c r="H3536" s="42"/>
      <c r="I3536" s="44"/>
      <c r="J3536" s="11" t="str">
        <f aca="false">IF(D3536="","",N(G3536)-N(H3536))</f>
        <v/>
      </c>
      <c r="K3536" s="34" t="str">
        <f aca="false">IF(D3536="","",IFERROR(INDEX(I_COA!$C$6:$C$265,MATCH(D3536,I_COA!$A$6:$A$265,0)),"AKUN BARU"))</f>
        <v/>
      </c>
      <c r="L3536" s="34" t="str">
        <f aca="false">IF(K3536="LabaRugi",INDEX(I_COA!$D$6:$D$265,MATCH(D3536,I_COA!$A$6:$A$265,0)),"")</f>
        <v/>
      </c>
      <c r="M3536" s="34" t="str">
        <f aca="false">IF(K3536="Neraca",INDEX(I_COA!$E$6:$E$265,MATCH(D3536,I_COA!$A$6:$A$265,0)),"")</f>
        <v/>
      </c>
      <c r="N3536" s="34" t="str">
        <f aca="false">IF(D3536="","",IFERROR(INDEX(I_COA!$G$6:$G$265,MATCH(D3536,I_COA!$A$6:$A$265,0)),"N"))</f>
        <v/>
      </c>
      <c r="O3536" s="11" t="str">
        <f aca="false">IF(N3536="N",ABS(J3536),"")</f>
        <v/>
      </c>
      <c r="P3536" s="18" t="str">
        <f aca="false">IF(N3536="N",B3536&amp;"|"&amp;ROUND(O3536,0),"")</f>
        <v/>
      </c>
      <c r="Q3536" s="18" t="str">
        <f aca="false">IF(N3536&lt;&gt;"Y","",IFERROR(INDEX($D$6:$D$4005,MATCH(B3536&amp;"|"&amp;ROUND(_xlfn.MAXIFS($O$6:$O$4005,$B$6:$B$4005,B3536,$N$6:$N$4005,"N"),0),$P$6:$P$4005,0)),"(tanpa lawan)"))</f>
        <v/>
      </c>
      <c r="R3536" s="44"/>
      <c r="S3536" s="9" t="str">
        <f aca="false">IF(N3536&lt;&gt;"Y","",IF(R3536&lt;&gt;"",R3536,IF(Q3536="(tanpa lawan)","Transfer antar rekening",IFERROR(INDEX(I_COA!$F$6:$F$265,MATCH(Q3536,I_COA!$A$6:$A$265,0)),"?"))))</f>
        <v/>
      </c>
    </row>
    <row r="3537" customFormat="false" ht="15" hidden="false" customHeight="false" outlineLevel="0" collapsed="false">
      <c r="A3537" s="37"/>
      <c r="B3537" s="44"/>
      <c r="C3537" s="44"/>
      <c r="D3537" s="44"/>
      <c r="E3537" s="44"/>
      <c r="F3537" s="44"/>
      <c r="G3537" s="42"/>
      <c r="H3537" s="42"/>
      <c r="I3537" s="44"/>
      <c r="J3537" s="11" t="str">
        <f aca="false">IF(D3537="","",N(G3537)-N(H3537))</f>
        <v/>
      </c>
      <c r="K3537" s="34" t="str">
        <f aca="false">IF(D3537="","",IFERROR(INDEX(I_COA!$C$6:$C$265,MATCH(D3537,I_COA!$A$6:$A$265,0)),"AKUN BARU"))</f>
        <v/>
      </c>
      <c r="L3537" s="34" t="str">
        <f aca="false">IF(K3537="LabaRugi",INDEX(I_COA!$D$6:$D$265,MATCH(D3537,I_COA!$A$6:$A$265,0)),"")</f>
        <v/>
      </c>
      <c r="M3537" s="34" t="str">
        <f aca="false">IF(K3537="Neraca",INDEX(I_COA!$E$6:$E$265,MATCH(D3537,I_COA!$A$6:$A$265,0)),"")</f>
        <v/>
      </c>
      <c r="N3537" s="34" t="str">
        <f aca="false">IF(D3537="","",IFERROR(INDEX(I_COA!$G$6:$G$265,MATCH(D3537,I_COA!$A$6:$A$265,0)),"N"))</f>
        <v/>
      </c>
      <c r="O3537" s="11" t="str">
        <f aca="false">IF(N3537="N",ABS(J3537),"")</f>
        <v/>
      </c>
      <c r="P3537" s="18" t="str">
        <f aca="false">IF(N3537="N",B3537&amp;"|"&amp;ROUND(O3537,0),"")</f>
        <v/>
      </c>
      <c r="Q3537" s="18" t="str">
        <f aca="false">IF(N3537&lt;&gt;"Y","",IFERROR(INDEX($D$6:$D$4005,MATCH(B3537&amp;"|"&amp;ROUND(_xlfn.MAXIFS($O$6:$O$4005,$B$6:$B$4005,B3537,$N$6:$N$4005,"N"),0),$P$6:$P$4005,0)),"(tanpa lawan)"))</f>
        <v/>
      </c>
      <c r="R3537" s="44"/>
      <c r="S3537" s="9" t="str">
        <f aca="false">IF(N3537&lt;&gt;"Y","",IF(R3537&lt;&gt;"",R3537,IF(Q3537="(tanpa lawan)","Transfer antar rekening",IFERROR(INDEX(I_COA!$F$6:$F$265,MATCH(Q3537,I_COA!$A$6:$A$265,0)),"?"))))</f>
        <v/>
      </c>
    </row>
    <row r="3538" customFormat="false" ht="15" hidden="false" customHeight="false" outlineLevel="0" collapsed="false">
      <c r="A3538" s="37"/>
      <c r="B3538" s="44"/>
      <c r="C3538" s="44"/>
      <c r="D3538" s="44"/>
      <c r="E3538" s="44"/>
      <c r="F3538" s="44"/>
      <c r="G3538" s="42"/>
      <c r="H3538" s="42"/>
      <c r="I3538" s="44"/>
      <c r="J3538" s="11" t="str">
        <f aca="false">IF(D3538="","",N(G3538)-N(H3538))</f>
        <v/>
      </c>
      <c r="K3538" s="34" t="str">
        <f aca="false">IF(D3538="","",IFERROR(INDEX(I_COA!$C$6:$C$265,MATCH(D3538,I_COA!$A$6:$A$265,0)),"AKUN BARU"))</f>
        <v/>
      </c>
      <c r="L3538" s="34" t="str">
        <f aca="false">IF(K3538="LabaRugi",INDEX(I_COA!$D$6:$D$265,MATCH(D3538,I_COA!$A$6:$A$265,0)),"")</f>
        <v/>
      </c>
      <c r="M3538" s="34" t="str">
        <f aca="false">IF(K3538="Neraca",INDEX(I_COA!$E$6:$E$265,MATCH(D3538,I_COA!$A$6:$A$265,0)),"")</f>
        <v/>
      </c>
      <c r="N3538" s="34" t="str">
        <f aca="false">IF(D3538="","",IFERROR(INDEX(I_COA!$G$6:$G$265,MATCH(D3538,I_COA!$A$6:$A$265,0)),"N"))</f>
        <v/>
      </c>
      <c r="O3538" s="11" t="str">
        <f aca="false">IF(N3538="N",ABS(J3538),"")</f>
        <v/>
      </c>
      <c r="P3538" s="18" t="str">
        <f aca="false">IF(N3538="N",B3538&amp;"|"&amp;ROUND(O3538,0),"")</f>
        <v/>
      </c>
      <c r="Q3538" s="18" t="str">
        <f aca="false">IF(N3538&lt;&gt;"Y","",IFERROR(INDEX($D$6:$D$4005,MATCH(B3538&amp;"|"&amp;ROUND(_xlfn.MAXIFS($O$6:$O$4005,$B$6:$B$4005,B3538,$N$6:$N$4005,"N"),0),$P$6:$P$4005,0)),"(tanpa lawan)"))</f>
        <v/>
      </c>
      <c r="R3538" s="44"/>
      <c r="S3538" s="9" t="str">
        <f aca="false">IF(N3538&lt;&gt;"Y","",IF(R3538&lt;&gt;"",R3538,IF(Q3538="(tanpa lawan)","Transfer antar rekening",IFERROR(INDEX(I_COA!$F$6:$F$265,MATCH(Q3538,I_COA!$A$6:$A$265,0)),"?"))))</f>
        <v/>
      </c>
    </row>
    <row r="3539" customFormat="false" ht="15" hidden="false" customHeight="false" outlineLevel="0" collapsed="false">
      <c r="A3539" s="37"/>
      <c r="B3539" s="44"/>
      <c r="C3539" s="44"/>
      <c r="D3539" s="44"/>
      <c r="E3539" s="44"/>
      <c r="F3539" s="44"/>
      <c r="G3539" s="42"/>
      <c r="H3539" s="42"/>
      <c r="I3539" s="44"/>
      <c r="J3539" s="11" t="str">
        <f aca="false">IF(D3539="","",N(G3539)-N(H3539))</f>
        <v/>
      </c>
      <c r="K3539" s="34" t="str">
        <f aca="false">IF(D3539="","",IFERROR(INDEX(I_COA!$C$6:$C$265,MATCH(D3539,I_COA!$A$6:$A$265,0)),"AKUN BARU"))</f>
        <v/>
      </c>
      <c r="L3539" s="34" t="str">
        <f aca="false">IF(K3539="LabaRugi",INDEX(I_COA!$D$6:$D$265,MATCH(D3539,I_COA!$A$6:$A$265,0)),"")</f>
        <v/>
      </c>
      <c r="M3539" s="34" t="str">
        <f aca="false">IF(K3539="Neraca",INDEX(I_COA!$E$6:$E$265,MATCH(D3539,I_COA!$A$6:$A$265,0)),"")</f>
        <v/>
      </c>
      <c r="N3539" s="34" t="str">
        <f aca="false">IF(D3539="","",IFERROR(INDEX(I_COA!$G$6:$G$265,MATCH(D3539,I_COA!$A$6:$A$265,0)),"N"))</f>
        <v/>
      </c>
      <c r="O3539" s="11" t="str">
        <f aca="false">IF(N3539="N",ABS(J3539),"")</f>
        <v/>
      </c>
      <c r="P3539" s="18" t="str">
        <f aca="false">IF(N3539="N",B3539&amp;"|"&amp;ROUND(O3539,0),"")</f>
        <v/>
      </c>
      <c r="Q3539" s="18" t="str">
        <f aca="false">IF(N3539&lt;&gt;"Y","",IFERROR(INDEX($D$6:$D$4005,MATCH(B3539&amp;"|"&amp;ROUND(_xlfn.MAXIFS($O$6:$O$4005,$B$6:$B$4005,B3539,$N$6:$N$4005,"N"),0),$P$6:$P$4005,0)),"(tanpa lawan)"))</f>
        <v/>
      </c>
      <c r="R3539" s="44"/>
      <c r="S3539" s="9" t="str">
        <f aca="false">IF(N3539&lt;&gt;"Y","",IF(R3539&lt;&gt;"",R3539,IF(Q3539="(tanpa lawan)","Transfer antar rekening",IFERROR(INDEX(I_COA!$F$6:$F$265,MATCH(Q3539,I_COA!$A$6:$A$265,0)),"?"))))</f>
        <v/>
      </c>
    </row>
    <row r="3540" customFormat="false" ht="15" hidden="false" customHeight="false" outlineLevel="0" collapsed="false">
      <c r="A3540" s="37"/>
      <c r="B3540" s="44"/>
      <c r="C3540" s="44"/>
      <c r="D3540" s="44"/>
      <c r="E3540" s="44"/>
      <c r="F3540" s="44"/>
      <c r="G3540" s="42"/>
      <c r="H3540" s="42"/>
      <c r="I3540" s="44"/>
      <c r="J3540" s="11" t="str">
        <f aca="false">IF(D3540="","",N(G3540)-N(H3540))</f>
        <v/>
      </c>
      <c r="K3540" s="34" t="str">
        <f aca="false">IF(D3540="","",IFERROR(INDEX(I_COA!$C$6:$C$265,MATCH(D3540,I_COA!$A$6:$A$265,0)),"AKUN BARU"))</f>
        <v/>
      </c>
      <c r="L3540" s="34" t="str">
        <f aca="false">IF(K3540="LabaRugi",INDEX(I_COA!$D$6:$D$265,MATCH(D3540,I_COA!$A$6:$A$265,0)),"")</f>
        <v/>
      </c>
      <c r="M3540" s="34" t="str">
        <f aca="false">IF(K3540="Neraca",INDEX(I_COA!$E$6:$E$265,MATCH(D3540,I_COA!$A$6:$A$265,0)),"")</f>
        <v/>
      </c>
      <c r="N3540" s="34" t="str">
        <f aca="false">IF(D3540="","",IFERROR(INDEX(I_COA!$G$6:$G$265,MATCH(D3540,I_COA!$A$6:$A$265,0)),"N"))</f>
        <v/>
      </c>
      <c r="O3540" s="11" t="str">
        <f aca="false">IF(N3540="N",ABS(J3540),"")</f>
        <v/>
      </c>
      <c r="P3540" s="18" t="str">
        <f aca="false">IF(N3540="N",B3540&amp;"|"&amp;ROUND(O3540,0),"")</f>
        <v/>
      </c>
      <c r="Q3540" s="18" t="str">
        <f aca="false">IF(N3540&lt;&gt;"Y","",IFERROR(INDEX($D$6:$D$4005,MATCH(B3540&amp;"|"&amp;ROUND(_xlfn.MAXIFS($O$6:$O$4005,$B$6:$B$4005,B3540,$N$6:$N$4005,"N"),0),$P$6:$P$4005,0)),"(tanpa lawan)"))</f>
        <v/>
      </c>
      <c r="R3540" s="44"/>
      <c r="S3540" s="9" t="str">
        <f aca="false">IF(N3540&lt;&gt;"Y","",IF(R3540&lt;&gt;"",R3540,IF(Q3540="(tanpa lawan)","Transfer antar rekening",IFERROR(INDEX(I_COA!$F$6:$F$265,MATCH(Q3540,I_COA!$A$6:$A$265,0)),"?"))))</f>
        <v/>
      </c>
    </row>
    <row r="3541" customFormat="false" ht="15" hidden="false" customHeight="false" outlineLevel="0" collapsed="false">
      <c r="A3541" s="37"/>
      <c r="B3541" s="44"/>
      <c r="C3541" s="44"/>
      <c r="D3541" s="44"/>
      <c r="E3541" s="44"/>
      <c r="F3541" s="44"/>
      <c r="G3541" s="42"/>
      <c r="H3541" s="42"/>
      <c r="I3541" s="44"/>
      <c r="J3541" s="11" t="str">
        <f aca="false">IF(D3541="","",N(G3541)-N(H3541))</f>
        <v/>
      </c>
      <c r="K3541" s="34" t="str">
        <f aca="false">IF(D3541="","",IFERROR(INDEX(I_COA!$C$6:$C$265,MATCH(D3541,I_COA!$A$6:$A$265,0)),"AKUN BARU"))</f>
        <v/>
      </c>
      <c r="L3541" s="34" t="str">
        <f aca="false">IF(K3541="LabaRugi",INDEX(I_COA!$D$6:$D$265,MATCH(D3541,I_COA!$A$6:$A$265,0)),"")</f>
        <v/>
      </c>
      <c r="M3541" s="34" t="str">
        <f aca="false">IF(K3541="Neraca",INDEX(I_COA!$E$6:$E$265,MATCH(D3541,I_COA!$A$6:$A$265,0)),"")</f>
        <v/>
      </c>
      <c r="N3541" s="34" t="str">
        <f aca="false">IF(D3541="","",IFERROR(INDEX(I_COA!$G$6:$G$265,MATCH(D3541,I_COA!$A$6:$A$265,0)),"N"))</f>
        <v/>
      </c>
      <c r="O3541" s="11" t="str">
        <f aca="false">IF(N3541="N",ABS(J3541),"")</f>
        <v/>
      </c>
      <c r="P3541" s="18" t="str">
        <f aca="false">IF(N3541="N",B3541&amp;"|"&amp;ROUND(O3541,0),"")</f>
        <v/>
      </c>
      <c r="Q3541" s="18" t="str">
        <f aca="false">IF(N3541&lt;&gt;"Y","",IFERROR(INDEX($D$6:$D$4005,MATCH(B3541&amp;"|"&amp;ROUND(_xlfn.MAXIFS($O$6:$O$4005,$B$6:$B$4005,B3541,$N$6:$N$4005,"N"),0),$P$6:$P$4005,0)),"(tanpa lawan)"))</f>
        <v/>
      </c>
      <c r="R3541" s="44"/>
      <c r="S3541" s="9" t="str">
        <f aca="false">IF(N3541&lt;&gt;"Y","",IF(R3541&lt;&gt;"",R3541,IF(Q3541="(tanpa lawan)","Transfer antar rekening",IFERROR(INDEX(I_COA!$F$6:$F$265,MATCH(Q3541,I_COA!$A$6:$A$265,0)),"?"))))</f>
        <v/>
      </c>
    </row>
    <row r="3542" customFormat="false" ht="15" hidden="false" customHeight="false" outlineLevel="0" collapsed="false">
      <c r="A3542" s="37"/>
      <c r="B3542" s="44"/>
      <c r="C3542" s="44"/>
      <c r="D3542" s="44"/>
      <c r="E3542" s="44"/>
      <c r="F3542" s="44"/>
      <c r="G3542" s="42"/>
      <c r="H3542" s="42"/>
      <c r="I3542" s="44"/>
      <c r="J3542" s="11" t="str">
        <f aca="false">IF(D3542="","",N(G3542)-N(H3542))</f>
        <v/>
      </c>
      <c r="K3542" s="34" t="str">
        <f aca="false">IF(D3542="","",IFERROR(INDEX(I_COA!$C$6:$C$265,MATCH(D3542,I_COA!$A$6:$A$265,0)),"AKUN BARU"))</f>
        <v/>
      </c>
      <c r="L3542" s="34" t="str">
        <f aca="false">IF(K3542="LabaRugi",INDEX(I_COA!$D$6:$D$265,MATCH(D3542,I_COA!$A$6:$A$265,0)),"")</f>
        <v/>
      </c>
      <c r="M3542" s="34" t="str">
        <f aca="false">IF(K3542="Neraca",INDEX(I_COA!$E$6:$E$265,MATCH(D3542,I_COA!$A$6:$A$265,0)),"")</f>
        <v/>
      </c>
      <c r="N3542" s="34" t="str">
        <f aca="false">IF(D3542="","",IFERROR(INDEX(I_COA!$G$6:$G$265,MATCH(D3542,I_COA!$A$6:$A$265,0)),"N"))</f>
        <v/>
      </c>
      <c r="O3542" s="11" t="str">
        <f aca="false">IF(N3542="N",ABS(J3542),"")</f>
        <v/>
      </c>
      <c r="P3542" s="18" t="str">
        <f aca="false">IF(N3542="N",B3542&amp;"|"&amp;ROUND(O3542,0),"")</f>
        <v/>
      </c>
      <c r="Q3542" s="18" t="str">
        <f aca="false">IF(N3542&lt;&gt;"Y","",IFERROR(INDEX($D$6:$D$4005,MATCH(B3542&amp;"|"&amp;ROUND(_xlfn.MAXIFS($O$6:$O$4005,$B$6:$B$4005,B3542,$N$6:$N$4005,"N"),0),$P$6:$P$4005,0)),"(tanpa lawan)"))</f>
        <v/>
      </c>
      <c r="R3542" s="44"/>
      <c r="S3542" s="9" t="str">
        <f aca="false">IF(N3542&lt;&gt;"Y","",IF(R3542&lt;&gt;"",R3542,IF(Q3542="(tanpa lawan)","Transfer antar rekening",IFERROR(INDEX(I_COA!$F$6:$F$265,MATCH(Q3542,I_COA!$A$6:$A$265,0)),"?"))))</f>
        <v/>
      </c>
    </row>
    <row r="3543" customFormat="false" ht="15" hidden="false" customHeight="false" outlineLevel="0" collapsed="false">
      <c r="A3543" s="37"/>
      <c r="B3543" s="44"/>
      <c r="C3543" s="44"/>
      <c r="D3543" s="44"/>
      <c r="E3543" s="44"/>
      <c r="F3543" s="44"/>
      <c r="G3543" s="42"/>
      <c r="H3543" s="42"/>
      <c r="I3543" s="44"/>
      <c r="J3543" s="11" t="str">
        <f aca="false">IF(D3543="","",N(G3543)-N(H3543))</f>
        <v/>
      </c>
      <c r="K3543" s="34" t="str">
        <f aca="false">IF(D3543="","",IFERROR(INDEX(I_COA!$C$6:$C$265,MATCH(D3543,I_COA!$A$6:$A$265,0)),"AKUN BARU"))</f>
        <v/>
      </c>
      <c r="L3543" s="34" t="str">
        <f aca="false">IF(K3543="LabaRugi",INDEX(I_COA!$D$6:$D$265,MATCH(D3543,I_COA!$A$6:$A$265,0)),"")</f>
        <v/>
      </c>
      <c r="M3543" s="34" t="str">
        <f aca="false">IF(K3543="Neraca",INDEX(I_COA!$E$6:$E$265,MATCH(D3543,I_COA!$A$6:$A$265,0)),"")</f>
        <v/>
      </c>
      <c r="N3543" s="34" t="str">
        <f aca="false">IF(D3543="","",IFERROR(INDEX(I_COA!$G$6:$G$265,MATCH(D3543,I_COA!$A$6:$A$265,0)),"N"))</f>
        <v/>
      </c>
      <c r="O3543" s="11" t="str">
        <f aca="false">IF(N3543="N",ABS(J3543),"")</f>
        <v/>
      </c>
      <c r="P3543" s="18" t="str">
        <f aca="false">IF(N3543="N",B3543&amp;"|"&amp;ROUND(O3543,0),"")</f>
        <v/>
      </c>
      <c r="Q3543" s="18" t="str">
        <f aca="false">IF(N3543&lt;&gt;"Y","",IFERROR(INDEX($D$6:$D$4005,MATCH(B3543&amp;"|"&amp;ROUND(_xlfn.MAXIFS($O$6:$O$4005,$B$6:$B$4005,B3543,$N$6:$N$4005,"N"),0),$P$6:$P$4005,0)),"(tanpa lawan)"))</f>
        <v/>
      </c>
      <c r="R3543" s="44"/>
      <c r="S3543" s="9" t="str">
        <f aca="false">IF(N3543&lt;&gt;"Y","",IF(R3543&lt;&gt;"",R3543,IF(Q3543="(tanpa lawan)","Transfer antar rekening",IFERROR(INDEX(I_COA!$F$6:$F$265,MATCH(Q3543,I_COA!$A$6:$A$265,0)),"?"))))</f>
        <v/>
      </c>
    </row>
    <row r="3544" customFormat="false" ht="15" hidden="false" customHeight="false" outlineLevel="0" collapsed="false">
      <c r="A3544" s="37"/>
      <c r="B3544" s="44"/>
      <c r="C3544" s="44"/>
      <c r="D3544" s="44"/>
      <c r="E3544" s="44"/>
      <c r="F3544" s="44"/>
      <c r="G3544" s="42"/>
      <c r="H3544" s="42"/>
      <c r="I3544" s="44"/>
      <c r="J3544" s="11" t="str">
        <f aca="false">IF(D3544="","",N(G3544)-N(H3544))</f>
        <v/>
      </c>
      <c r="K3544" s="34" t="str">
        <f aca="false">IF(D3544="","",IFERROR(INDEX(I_COA!$C$6:$C$265,MATCH(D3544,I_COA!$A$6:$A$265,0)),"AKUN BARU"))</f>
        <v/>
      </c>
      <c r="L3544" s="34" t="str">
        <f aca="false">IF(K3544="LabaRugi",INDEX(I_COA!$D$6:$D$265,MATCH(D3544,I_COA!$A$6:$A$265,0)),"")</f>
        <v/>
      </c>
      <c r="M3544" s="34" t="str">
        <f aca="false">IF(K3544="Neraca",INDEX(I_COA!$E$6:$E$265,MATCH(D3544,I_COA!$A$6:$A$265,0)),"")</f>
        <v/>
      </c>
      <c r="N3544" s="34" t="str">
        <f aca="false">IF(D3544="","",IFERROR(INDEX(I_COA!$G$6:$G$265,MATCH(D3544,I_COA!$A$6:$A$265,0)),"N"))</f>
        <v/>
      </c>
      <c r="O3544" s="11" t="str">
        <f aca="false">IF(N3544="N",ABS(J3544),"")</f>
        <v/>
      </c>
      <c r="P3544" s="18" t="str">
        <f aca="false">IF(N3544="N",B3544&amp;"|"&amp;ROUND(O3544,0),"")</f>
        <v/>
      </c>
      <c r="Q3544" s="18" t="str">
        <f aca="false">IF(N3544&lt;&gt;"Y","",IFERROR(INDEX($D$6:$D$4005,MATCH(B3544&amp;"|"&amp;ROUND(_xlfn.MAXIFS($O$6:$O$4005,$B$6:$B$4005,B3544,$N$6:$N$4005,"N"),0),$P$6:$P$4005,0)),"(tanpa lawan)"))</f>
        <v/>
      </c>
      <c r="R3544" s="44"/>
      <c r="S3544" s="9" t="str">
        <f aca="false">IF(N3544&lt;&gt;"Y","",IF(R3544&lt;&gt;"",R3544,IF(Q3544="(tanpa lawan)","Transfer antar rekening",IFERROR(INDEX(I_COA!$F$6:$F$265,MATCH(Q3544,I_COA!$A$6:$A$265,0)),"?"))))</f>
        <v/>
      </c>
    </row>
    <row r="3545" customFormat="false" ht="15" hidden="false" customHeight="false" outlineLevel="0" collapsed="false">
      <c r="A3545" s="37"/>
      <c r="B3545" s="44"/>
      <c r="C3545" s="44"/>
      <c r="D3545" s="44"/>
      <c r="E3545" s="44"/>
      <c r="F3545" s="44"/>
      <c r="G3545" s="42"/>
      <c r="H3545" s="42"/>
      <c r="I3545" s="44"/>
      <c r="J3545" s="11" t="str">
        <f aca="false">IF(D3545="","",N(G3545)-N(H3545))</f>
        <v/>
      </c>
      <c r="K3545" s="34" t="str">
        <f aca="false">IF(D3545="","",IFERROR(INDEX(I_COA!$C$6:$C$265,MATCH(D3545,I_COA!$A$6:$A$265,0)),"AKUN BARU"))</f>
        <v/>
      </c>
      <c r="L3545" s="34" t="str">
        <f aca="false">IF(K3545="LabaRugi",INDEX(I_COA!$D$6:$D$265,MATCH(D3545,I_COA!$A$6:$A$265,0)),"")</f>
        <v/>
      </c>
      <c r="M3545" s="34" t="str">
        <f aca="false">IF(K3545="Neraca",INDEX(I_COA!$E$6:$E$265,MATCH(D3545,I_COA!$A$6:$A$265,0)),"")</f>
        <v/>
      </c>
      <c r="N3545" s="34" t="str">
        <f aca="false">IF(D3545="","",IFERROR(INDEX(I_COA!$G$6:$G$265,MATCH(D3545,I_COA!$A$6:$A$265,0)),"N"))</f>
        <v/>
      </c>
      <c r="O3545" s="11" t="str">
        <f aca="false">IF(N3545="N",ABS(J3545),"")</f>
        <v/>
      </c>
      <c r="P3545" s="18" t="str">
        <f aca="false">IF(N3545="N",B3545&amp;"|"&amp;ROUND(O3545,0),"")</f>
        <v/>
      </c>
      <c r="Q3545" s="18" t="str">
        <f aca="false">IF(N3545&lt;&gt;"Y","",IFERROR(INDEX($D$6:$D$4005,MATCH(B3545&amp;"|"&amp;ROUND(_xlfn.MAXIFS($O$6:$O$4005,$B$6:$B$4005,B3545,$N$6:$N$4005,"N"),0),$P$6:$P$4005,0)),"(tanpa lawan)"))</f>
        <v/>
      </c>
      <c r="R3545" s="44"/>
      <c r="S3545" s="9" t="str">
        <f aca="false">IF(N3545&lt;&gt;"Y","",IF(R3545&lt;&gt;"",R3545,IF(Q3545="(tanpa lawan)","Transfer antar rekening",IFERROR(INDEX(I_COA!$F$6:$F$265,MATCH(Q3545,I_COA!$A$6:$A$265,0)),"?"))))</f>
        <v/>
      </c>
    </row>
    <row r="3546" customFormat="false" ht="15" hidden="false" customHeight="false" outlineLevel="0" collapsed="false">
      <c r="A3546" s="37"/>
      <c r="B3546" s="44"/>
      <c r="C3546" s="44"/>
      <c r="D3546" s="44"/>
      <c r="E3546" s="44"/>
      <c r="F3546" s="44"/>
      <c r="G3546" s="42"/>
      <c r="H3546" s="42"/>
      <c r="I3546" s="44"/>
      <c r="J3546" s="11" t="str">
        <f aca="false">IF(D3546="","",N(G3546)-N(H3546))</f>
        <v/>
      </c>
      <c r="K3546" s="34" t="str">
        <f aca="false">IF(D3546="","",IFERROR(INDEX(I_COA!$C$6:$C$265,MATCH(D3546,I_COA!$A$6:$A$265,0)),"AKUN BARU"))</f>
        <v/>
      </c>
      <c r="L3546" s="34" t="str">
        <f aca="false">IF(K3546="LabaRugi",INDEX(I_COA!$D$6:$D$265,MATCH(D3546,I_COA!$A$6:$A$265,0)),"")</f>
        <v/>
      </c>
      <c r="M3546" s="34" t="str">
        <f aca="false">IF(K3546="Neraca",INDEX(I_COA!$E$6:$E$265,MATCH(D3546,I_COA!$A$6:$A$265,0)),"")</f>
        <v/>
      </c>
      <c r="N3546" s="34" t="str">
        <f aca="false">IF(D3546="","",IFERROR(INDEX(I_COA!$G$6:$G$265,MATCH(D3546,I_COA!$A$6:$A$265,0)),"N"))</f>
        <v/>
      </c>
      <c r="O3546" s="11" t="str">
        <f aca="false">IF(N3546="N",ABS(J3546),"")</f>
        <v/>
      </c>
      <c r="P3546" s="18" t="str">
        <f aca="false">IF(N3546="N",B3546&amp;"|"&amp;ROUND(O3546,0),"")</f>
        <v/>
      </c>
      <c r="Q3546" s="18" t="str">
        <f aca="false">IF(N3546&lt;&gt;"Y","",IFERROR(INDEX($D$6:$D$4005,MATCH(B3546&amp;"|"&amp;ROUND(_xlfn.MAXIFS($O$6:$O$4005,$B$6:$B$4005,B3546,$N$6:$N$4005,"N"),0),$P$6:$P$4005,0)),"(tanpa lawan)"))</f>
        <v/>
      </c>
      <c r="R3546" s="44"/>
      <c r="S3546" s="9" t="str">
        <f aca="false">IF(N3546&lt;&gt;"Y","",IF(R3546&lt;&gt;"",R3546,IF(Q3546="(tanpa lawan)","Transfer antar rekening",IFERROR(INDEX(I_COA!$F$6:$F$265,MATCH(Q3546,I_COA!$A$6:$A$265,0)),"?"))))</f>
        <v/>
      </c>
    </row>
    <row r="3547" customFormat="false" ht="15" hidden="false" customHeight="false" outlineLevel="0" collapsed="false">
      <c r="A3547" s="37"/>
      <c r="B3547" s="44"/>
      <c r="C3547" s="44"/>
      <c r="D3547" s="44"/>
      <c r="E3547" s="44"/>
      <c r="F3547" s="44"/>
      <c r="G3547" s="42"/>
      <c r="H3547" s="42"/>
      <c r="I3547" s="44"/>
      <c r="J3547" s="11" t="str">
        <f aca="false">IF(D3547="","",N(G3547)-N(H3547))</f>
        <v/>
      </c>
      <c r="K3547" s="34" t="str">
        <f aca="false">IF(D3547="","",IFERROR(INDEX(I_COA!$C$6:$C$265,MATCH(D3547,I_COA!$A$6:$A$265,0)),"AKUN BARU"))</f>
        <v/>
      </c>
      <c r="L3547" s="34" t="str">
        <f aca="false">IF(K3547="LabaRugi",INDEX(I_COA!$D$6:$D$265,MATCH(D3547,I_COA!$A$6:$A$265,0)),"")</f>
        <v/>
      </c>
      <c r="M3547" s="34" t="str">
        <f aca="false">IF(K3547="Neraca",INDEX(I_COA!$E$6:$E$265,MATCH(D3547,I_COA!$A$6:$A$265,0)),"")</f>
        <v/>
      </c>
      <c r="N3547" s="34" t="str">
        <f aca="false">IF(D3547="","",IFERROR(INDEX(I_COA!$G$6:$G$265,MATCH(D3547,I_COA!$A$6:$A$265,0)),"N"))</f>
        <v/>
      </c>
      <c r="O3547" s="11" t="str">
        <f aca="false">IF(N3547="N",ABS(J3547),"")</f>
        <v/>
      </c>
      <c r="P3547" s="18" t="str">
        <f aca="false">IF(N3547="N",B3547&amp;"|"&amp;ROUND(O3547,0),"")</f>
        <v/>
      </c>
      <c r="Q3547" s="18" t="str">
        <f aca="false">IF(N3547&lt;&gt;"Y","",IFERROR(INDEX($D$6:$D$4005,MATCH(B3547&amp;"|"&amp;ROUND(_xlfn.MAXIFS($O$6:$O$4005,$B$6:$B$4005,B3547,$N$6:$N$4005,"N"),0),$P$6:$P$4005,0)),"(tanpa lawan)"))</f>
        <v/>
      </c>
      <c r="R3547" s="44"/>
      <c r="S3547" s="9" t="str">
        <f aca="false">IF(N3547&lt;&gt;"Y","",IF(R3547&lt;&gt;"",R3547,IF(Q3547="(tanpa lawan)","Transfer antar rekening",IFERROR(INDEX(I_COA!$F$6:$F$265,MATCH(Q3547,I_COA!$A$6:$A$265,0)),"?"))))</f>
        <v/>
      </c>
    </row>
    <row r="3548" customFormat="false" ht="15" hidden="false" customHeight="false" outlineLevel="0" collapsed="false">
      <c r="A3548" s="37"/>
      <c r="B3548" s="44"/>
      <c r="C3548" s="44"/>
      <c r="D3548" s="44"/>
      <c r="E3548" s="44"/>
      <c r="F3548" s="44"/>
      <c r="G3548" s="42"/>
      <c r="H3548" s="42"/>
      <c r="I3548" s="44"/>
      <c r="J3548" s="11" t="str">
        <f aca="false">IF(D3548="","",N(G3548)-N(H3548))</f>
        <v/>
      </c>
      <c r="K3548" s="34" t="str">
        <f aca="false">IF(D3548="","",IFERROR(INDEX(I_COA!$C$6:$C$265,MATCH(D3548,I_COA!$A$6:$A$265,0)),"AKUN BARU"))</f>
        <v/>
      </c>
      <c r="L3548" s="34" t="str">
        <f aca="false">IF(K3548="LabaRugi",INDEX(I_COA!$D$6:$D$265,MATCH(D3548,I_COA!$A$6:$A$265,0)),"")</f>
        <v/>
      </c>
      <c r="M3548" s="34" t="str">
        <f aca="false">IF(K3548="Neraca",INDEX(I_COA!$E$6:$E$265,MATCH(D3548,I_COA!$A$6:$A$265,0)),"")</f>
        <v/>
      </c>
      <c r="N3548" s="34" t="str">
        <f aca="false">IF(D3548="","",IFERROR(INDEX(I_COA!$G$6:$G$265,MATCH(D3548,I_COA!$A$6:$A$265,0)),"N"))</f>
        <v/>
      </c>
      <c r="O3548" s="11" t="str">
        <f aca="false">IF(N3548="N",ABS(J3548),"")</f>
        <v/>
      </c>
      <c r="P3548" s="18" t="str">
        <f aca="false">IF(N3548="N",B3548&amp;"|"&amp;ROUND(O3548,0),"")</f>
        <v/>
      </c>
      <c r="Q3548" s="18" t="str">
        <f aca="false">IF(N3548&lt;&gt;"Y","",IFERROR(INDEX($D$6:$D$4005,MATCH(B3548&amp;"|"&amp;ROUND(_xlfn.MAXIFS($O$6:$O$4005,$B$6:$B$4005,B3548,$N$6:$N$4005,"N"),0),$P$6:$P$4005,0)),"(tanpa lawan)"))</f>
        <v/>
      </c>
      <c r="R3548" s="44"/>
      <c r="S3548" s="9" t="str">
        <f aca="false">IF(N3548&lt;&gt;"Y","",IF(R3548&lt;&gt;"",R3548,IF(Q3548="(tanpa lawan)","Transfer antar rekening",IFERROR(INDEX(I_COA!$F$6:$F$265,MATCH(Q3548,I_COA!$A$6:$A$265,0)),"?"))))</f>
        <v/>
      </c>
    </row>
    <row r="3549" customFormat="false" ht="15" hidden="false" customHeight="false" outlineLevel="0" collapsed="false">
      <c r="A3549" s="37"/>
      <c r="B3549" s="44"/>
      <c r="C3549" s="44"/>
      <c r="D3549" s="44"/>
      <c r="E3549" s="44"/>
      <c r="F3549" s="44"/>
      <c r="G3549" s="42"/>
      <c r="H3549" s="42"/>
      <c r="I3549" s="44"/>
      <c r="J3549" s="11" t="str">
        <f aca="false">IF(D3549="","",N(G3549)-N(H3549))</f>
        <v/>
      </c>
      <c r="K3549" s="34" t="str">
        <f aca="false">IF(D3549="","",IFERROR(INDEX(I_COA!$C$6:$C$265,MATCH(D3549,I_COA!$A$6:$A$265,0)),"AKUN BARU"))</f>
        <v/>
      </c>
      <c r="L3549" s="34" t="str">
        <f aca="false">IF(K3549="LabaRugi",INDEX(I_COA!$D$6:$D$265,MATCH(D3549,I_COA!$A$6:$A$265,0)),"")</f>
        <v/>
      </c>
      <c r="M3549" s="34" t="str">
        <f aca="false">IF(K3549="Neraca",INDEX(I_COA!$E$6:$E$265,MATCH(D3549,I_COA!$A$6:$A$265,0)),"")</f>
        <v/>
      </c>
      <c r="N3549" s="34" t="str">
        <f aca="false">IF(D3549="","",IFERROR(INDEX(I_COA!$G$6:$G$265,MATCH(D3549,I_COA!$A$6:$A$265,0)),"N"))</f>
        <v/>
      </c>
      <c r="O3549" s="11" t="str">
        <f aca="false">IF(N3549="N",ABS(J3549),"")</f>
        <v/>
      </c>
      <c r="P3549" s="18" t="str">
        <f aca="false">IF(N3549="N",B3549&amp;"|"&amp;ROUND(O3549,0),"")</f>
        <v/>
      </c>
      <c r="Q3549" s="18" t="str">
        <f aca="false">IF(N3549&lt;&gt;"Y","",IFERROR(INDEX($D$6:$D$4005,MATCH(B3549&amp;"|"&amp;ROUND(_xlfn.MAXIFS($O$6:$O$4005,$B$6:$B$4005,B3549,$N$6:$N$4005,"N"),0),$P$6:$P$4005,0)),"(tanpa lawan)"))</f>
        <v/>
      </c>
      <c r="R3549" s="44"/>
      <c r="S3549" s="9" t="str">
        <f aca="false">IF(N3549&lt;&gt;"Y","",IF(R3549&lt;&gt;"",R3549,IF(Q3549="(tanpa lawan)","Transfer antar rekening",IFERROR(INDEX(I_COA!$F$6:$F$265,MATCH(Q3549,I_COA!$A$6:$A$265,0)),"?"))))</f>
        <v/>
      </c>
    </row>
    <row r="3550" customFormat="false" ht="15" hidden="false" customHeight="false" outlineLevel="0" collapsed="false">
      <c r="A3550" s="37"/>
      <c r="B3550" s="44"/>
      <c r="C3550" s="44"/>
      <c r="D3550" s="44"/>
      <c r="E3550" s="44"/>
      <c r="F3550" s="44"/>
      <c r="G3550" s="42"/>
      <c r="H3550" s="42"/>
      <c r="I3550" s="44"/>
      <c r="J3550" s="11" t="str">
        <f aca="false">IF(D3550="","",N(G3550)-N(H3550))</f>
        <v/>
      </c>
      <c r="K3550" s="34" t="str">
        <f aca="false">IF(D3550="","",IFERROR(INDEX(I_COA!$C$6:$C$265,MATCH(D3550,I_COA!$A$6:$A$265,0)),"AKUN BARU"))</f>
        <v/>
      </c>
      <c r="L3550" s="34" t="str">
        <f aca="false">IF(K3550="LabaRugi",INDEX(I_COA!$D$6:$D$265,MATCH(D3550,I_COA!$A$6:$A$265,0)),"")</f>
        <v/>
      </c>
      <c r="M3550" s="34" t="str">
        <f aca="false">IF(K3550="Neraca",INDEX(I_COA!$E$6:$E$265,MATCH(D3550,I_COA!$A$6:$A$265,0)),"")</f>
        <v/>
      </c>
      <c r="N3550" s="34" t="str">
        <f aca="false">IF(D3550="","",IFERROR(INDEX(I_COA!$G$6:$G$265,MATCH(D3550,I_COA!$A$6:$A$265,0)),"N"))</f>
        <v/>
      </c>
      <c r="O3550" s="11" t="str">
        <f aca="false">IF(N3550="N",ABS(J3550),"")</f>
        <v/>
      </c>
      <c r="P3550" s="18" t="str">
        <f aca="false">IF(N3550="N",B3550&amp;"|"&amp;ROUND(O3550,0),"")</f>
        <v/>
      </c>
      <c r="Q3550" s="18" t="str">
        <f aca="false">IF(N3550&lt;&gt;"Y","",IFERROR(INDEX($D$6:$D$4005,MATCH(B3550&amp;"|"&amp;ROUND(_xlfn.MAXIFS($O$6:$O$4005,$B$6:$B$4005,B3550,$N$6:$N$4005,"N"),0),$P$6:$P$4005,0)),"(tanpa lawan)"))</f>
        <v/>
      </c>
      <c r="R3550" s="44"/>
      <c r="S3550" s="9" t="str">
        <f aca="false">IF(N3550&lt;&gt;"Y","",IF(R3550&lt;&gt;"",R3550,IF(Q3550="(tanpa lawan)","Transfer antar rekening",IFERROR(INDEX(I_COA!$F$6:$F$265,MATCH(Q3550,I_COA!$A$6:$A$265,0)),"?"))))</f>
        <v/>
      </c>
    </row>
    <row r="3551" customFormat="false" ht="15" hidden="false" customHeight="false" outlineLevel="0" collapsed="false">
      <c r="A3551" s="37"/>
      <c r="B3551" s="44"/>
      <c r="C3551" s="44"/>
      <c r="D3551" s="44"/>
      <c r="E3551" s="44"/>
      <c r="F3551" s="44"/>
      <c r="G3551" s="42"/>
      <c r="H3551" s="42"/>
      <c r="I3551" s="44"/>
      <c r="J3551" s="11" t="str">
        <f aca="false">IF(D3551="","",N(G3551)-N(H3551))</f>
        <v/>
      </c>
      <c r="K3551" s="34" t="str">
        <f aca="false">IF(D3551="","",IFERROR(INDEX(I_COA!$C$6:$C$265,MATCH(D3551,I_COA!$A$6:$A$265,0)),"AKUN BARU"))</f>
        <v/>
      </c>
      <c r="L3551" s="34" t="str">
        <f aca="false">IF(K3551="LabaRugi",INDEX(I_COA!$D$6:$D$265,MATCH(D3551,I_COA!$A$6:$A$265,0)),"")</f>
        <v/>
      </c>
      <c r="M3551" s="34" t="str">
        <f aca="false">IF(K3551="Neraca",INDEX(I_COA!$E$6:$E$265,MATCH(D3551,I_COA!$A$6:$A$265,0)),"")</f>
        <v/>
      </c>
      <c r="N3551" s="34" t="str">
        <f aca="false">IF(D3551="","",IFERROR(INDEX(I_COA!$G$6:$G$265,MATCH(D3551,I_COA!$A$6:$A$265,0)),"N"))</f>
        <v/>
      </c>
      <c r="O3551" s="11" t="str">
        <f aca="false">IF(N3551="N",ABS(J3551),"")</f>
        <v/>
      </c>
      <c r="P3551" s="18" t="str">
        <f aca="false">IF(N3551="N",B3551&amp;"|"&amp;ROUND(O3551,0),"")</f>
        <v/>
      </c>
      <c r="Q3551" s="18" t="str">
        <f aca="false">IF(N3551&lt;&gt;"Y","",IFERROR(INDEX($D$6:$D$4005,MATCH(B3551&amp;"|"&amp;ROUND(_xlfn.MAXIFS($O$6:$O$4005,$B$6:$B$4005,B3551,$N$6:$N$4005,"N"),0),$P$6:$P$4005,0)),"(tanpa lawan)"))</f>
        <v/>
      </c>
      <c r="R3551" s="44"/>
      <c r="S3551" s="9" t="str">
        <f aca="false">IF(N3551&lt;&gt;"Y","",IF(R3551&lt;&gt;"",R3551,IF(Q3551="(tanpa lawan)","Transfer antar rekening",IFERROR(INDEX(I_COA!$F$6:$F$265,MATCH(Q3551,I_COA!$A$6:$A$265,0)),"?"))))</f>
        <v/>
      </c>
    </row>
    <row r="3552" customFormat="false" ht="15" hidden="false" customHeight="false" outlineLevel="0" collapsed="false">
      <c r="A3552" s="37"/>
      <c r="B3552" s="44"/>
      <c r="C3552" s="44"/>
      <c r="D3552" s="44"/>
      <c r="E3552" s="44"/>
      <c r="F3552" s="44"/>
      <c r="G3552" s="42"/>
      <c r="H3552" s="42"/>
      <c r="I3552" s="44"/>
      <c r="J3552" s="11" t="str">
        <f aca="false">IF(D3552="","",N(G3552)-N(H3552))</f>
        <v/>
      </c>
      <c r="K3552" s="34" t="str">
        <f aca="false">IF(D3552="","",IFERROR(INDEX(I_COA!$C$6:$C$265,MATCH(D3552,I_COA!$A$6:$A$265,0)),"AKUN BARU"))</f>
        <v/>
      </c>
      <c r="L3552" s="34" t="str">
        <f aca="false">IF(K3552="LabaRugi",INDEX(I_COA!$D$6:$D$265,MATCH(D3552,I_COA!$A$6:$A$265,0)),"")</f>
        <v/>
      </c>
      <c r="M3552" s="34" t="str">
        <f aca="false">IF(K3552="Neraca",INDEX(I_COA!$E$6:$E$265,MATCH(D3552,I_COA!$A$6:$A$265,0)),"")</f>
        <v/>
      </c>
      <c r="N3552" s="34" t="str">
        <f aca="false">IF(D3552="","",IFERROR(INDEX(I_COA!$G$6:$G$265,MATCH(D3552,I_COA!$A$6:$A$265,0)),"N"))</f>
        <v/>
      </c>
      <c r="O3552" s="11" t="str">
        <f aca="false">IF(N3552="N",ABS(J3552),"")</f>
        <v/>
      </c>
      <c r="P3552" s="18" t="str">
        <f aca="false">IF(N3552="N",B3552&amp;"|"&amp;ROUND(O3552,0),"")</f>
        <v/>
      </c>
      <c r="Q3552" s="18" t="str">
        <f aca="false">IF(N3552&lt;&gt;"Y","",IFERROR(INDEX($D$6:$D$4005,MATCH(B3552&amp;"|"&amp;ROUND(_xlfn.MAXIFS($O$6:$O$4005,$B$6:$B$4005,B3552,$N$6:$N$4005,"N"),0),$P$6:$P$4005,0)),"(tanpa lawan)"))</f>
        <v/>
      </c>
      <c r="R3552" s="44"/>
      <c r="S3552" s="9" t="str">
        <f aca="false">IF(N3552&lt;&gt;"Y","",IF(R3552&lt;&gt;"",R3552,IF(Q3552="(tanpa lawan)","Transfer antar rekening",IFERROR(INDEX(I_COA!$F$6:$F$265,MATCH(Q3552,I_COA!$A$6:$A$265,0)),"?"))))</f>
        <v/>
      </c>
    </row>
    <row r="3553" customFormat="false" ht="15" hidden="false" customHeight="false" outlineLevel="0" collapsed="false">
      <c r="A3553" s="37"/>
      <c r="B3553" s="44"/>
      <c r="C3553" s="44"/>
      <c r="D3553" s="44"/>
      <c r="E3553" s="44"/>
      <c r="F3553" s="44"/>
      <c r="G3553" s="42"/>
      <c r="H3553" s="42"/>
      <c r="I3553" s="44"/>
      <c r="J3553" s="11" t="str">
        <f aca="false">IF(D3553="","",N(G3553)-N(H3553))</f>
        <v/>
      </c>
      <c r="K3553" s="34" t="str">
        <f aca="false">IF(D3553="","",IFERROR(INDEX(I_COA!$C$6:$C$265,MATCH(D3553,I_COA!$A$6:$A$265,0)),"AKUN BARU"))</f>
        <v/>
      </c>
      <c r="L3553" s="34" t="str">
        <f aca="false">IF(K3553="LabaRugi",INDEX(I_COA!$D$6:$D$265,MATCH(D3553,I_COA!$A$6:$A$265,0)),"")</f>
        <v/>
      </c>
      <c r="M3553" s="34" t="str">
        <f aca="false">IF(K3553="Neraca",INDEX(I_COA!$E$6:$E$265,MATCH(D3553,I_COA!$A$6:$A$265,0)),"")</f>
        <v/>
      </c>
      <c r="N3553" s="34" t="str">
        <f aca="false">IF(D3553="","",IFERROR(INDEX(I_COA!$G$6:$G$265,MATCH(D3553,I_COA!$A$6:$A$265,0)),"N"))</f>
        <v/>
      </c>
      <c r="O3553" s="11" t="str">
        <f aca="false">IF(N3553="N",ABS(J3553),"")</f>
        <v/>
      </c>
      <c r="P3553" s="18" t="str">
        <f aca="false">IF(N3553="N",B3553&amp;"|"&amp;ROUND(O3553,0),"")</f>
        <v/>
      </c>
      <c r="Q3553" s="18" t="str">
        <f aca="false">IF(N3553&lt;&gt;"Y","",IFERROR(INDEX($D$6:$D$4005,MATCH(B3553&amp;"|"&amp;ROUND(_xlfn.MAXIFS($O$6:$O$4005,$B$6:$B$4005,B3553,$N$6:$N$4005,"N"),0),$P$6:$P$4005,0)),"(tanpa lawan)"))</f>
        <v/>
      </c>
      <c r="R3553" s="44"/>
      <c r="S3553" s="9" t="str">
        <f aca="false">IF(N3553&lt;&gt;"Y","",IF(R3553&lt;&gt;"",R3553,IF(Q3553="(tanpa lawan)","Transfer antar rekening",IFERROR(INDEX(I_COA!$F$6:$F$265,MATCH(Q3553,I_COA!$A$6:$A$265,0)),"?"))))</f>
        <v/>
      </c>
    </row>
    <row r="3554" customFormat="false" ht="15" hidden="false" customHeight="false" outlineLevel="0" collapsed="false">
      <c r="A3554" s="37"/>
      <c r="B3554" s="44"/>
      <c r="C3554" s="44"/>
      <c r="D3554" s="44"/>
      <c r="E3554" s="44"/>
      <c r="F3554" s="44"/>
      <c r="G3554" s="42"/>
      <c r="H3554" s="42"/>
      <c r="I3554" s="44"/>
      <c r="J3554" s="11" t="str">
        <f aca="false">IF(D3554="","",N(G3554)-N(H3554))</f>
        <v/>
      </c>
      <c r="K3554" s="34" t="str">
        <f aca="false">IF(D3554="","",IFERROR(INDEX(I_COA!$C$6:$C$265,MATCH(D3554,I_COA!$A$6:$A$265,0)),"AKUN BARU"))</f>
        <v/>
      </c>
      <c r="L3554" s="34" t="str">
        <f aca="false">IF(K3554="LabaRugi",INDEX(I_COA!$D$6:$D$265,MATCH(D3554,I_COA!$A$6:$A$265,0)),"")</f>
        <v/>
      </c>
      <c r="M3554" s="34" t="str">
        <f aca="false">IF(K3554="Neraca",INDEX(I_COA!$E$6:$E$265,MATCH(D3554,I_COA!$A$6:$A$265,0)),"")</f>
        <v/>
      </c>
      <c r="N3554" s="34" t="str">
        <f aca="false">IF(D3554="","",IFERROR(INDEX(I_COA!$G$6:$G$265,MATCH(D3554,I_COA!$A$6:$A$265,0)),"N"))</f>
        <v/>
      </c>
      <c r="O3554" s="11" t="str">
        <f aca="false">IF(N3554="N",ABS(J3554),"")</f>
        <v/>
      </c>
      <c r="P3554" s="18" t="str">
        <f aca="false">IF(N3554="N",B3554&amp;"|"&amp;ROUND(O3554,0),"")</f>
        <v/>
      </c>
      <c r="Q3554" s="18" t="str">
        <f aca="false">IF(N3554&lt;&gt;"Y","",IFERROR(INDEX($D$6:$D$4005,MATCH(B3554&amp;"|"&amp;ROUND(_xlfn.MAXIFS($O$6:$O$4005,$B$6:$B$4005,B3554,$N$6:$N$4005,"N"),0),$P$6:$P$4005,0)),"(tanpa lawan)"))</f>
        <v/>
      </c>
      <c r="R3554" s="44"/>
      <c r="S3554" s="9" t="str">
        <f aca="false">IF(N3554&lt;&gt;"Y","",IF(R3554&lt;&gt;"",R3554,IF(Q3554="(tanpa lawan)","Transfer antar rekening",IFERROR(INDEX(I_COA!$F$6:$F$265,MATCH(Q3554,I_COA!$A$6:$A$265,0)),"?"))))</f>
        <v/>
      </c>
    </row>
    <row r="3555" customFormat="false" ht="15" hidden="false" customHeight="false" outlineLevel="0" collapsed="false">
      <c r="A3555" s="37"/>
      <c r="B3555" s="44"/>
      <c r="C3555" s="44"/>
      <c r="D3555" s="44"/>
      <c r="E3555" s="44"/>
      <c r="F3555" s="44"/>
      <c r="G3555" s="42"/>
      <c r="H3555" s="42"/>
      <c r="I3555" s="44"/>
      <c r="J3555" s="11" t="str">
        <f aca="false">IF(D3555="","",N(G3555)-N(H3555))</f>
        <v/>
      </c>
      <c r="K3555" s="34" t="str">
        <f aca="false">IF(D3555="","",IFERROR(INDEX(I_COA!$C$6:$C$265,MATCH(D3555,I_COA!$A$6:$A$265,0)),"AKUN BARU"))</f>
        <v/>
      </c>
      <c r="L3555" s="34" t="str">
        <f aca="false">IF(K3555="LabaRugi",INDEX(I_COA!$D$6:$D$265,MATCH(D3555,I_COA!$A$6:$A$265,0)),"")</f>
        <v/>
      </c>
      <c r="M3555" s="34" t="str">
        <f aca="false">IF(K3555="Neraca",INDEX(I_COA!$E$6:$E$265,MATCH(D3555,I_COA!$A$6:$A$265,0)),"")</f>
        <v/>
      </c>
      <c r="N3555" s="34" t="str">
        <f aca="false">IF(D3555="","",IFERROR(INDEX(I_COA!$G$6:$G$265,MATCH(D3555,I_COA!$A$6:$A$265,0)),"N"))</f>
        <v/>
      </c>
      <c r="O3555" s="11" t="str">
        <f aca="false">IF(N3555="N",ABS(J3555),"")</f>
        <v/>
      </c>
      <c r="P3555" s="18" t="str">
        <f aca="false">IF(N3555="N",B3555&amp;"|"&amp;ROUND(O3555,0),"")</f>
        <v/>
      </c>
      <c r="Q3555" s="18" t="str">
        <f aca="false">IF(N3555&lt;&gt;"Y","",IFERROR(INDEX($D$6:$D$4005,MATCH(B3555&amp;"|"&amp;ROUND(_xlfn.MAXIFS($O$6:$O$4005,$B$6:$B$4005,B3555,$N$6:$N$4005,"N"),0),$P$6:$P$4005,0)),"(tanpa lawan)"))</f>
        <v/>
      </c>
      <c r="R3555" s="44"/>
      <c r="S3555" s="9" t="str">
        <f aca="false">IF(N3555&lt;&gt;"Y","",IF(R3555&lt;&gt;"",R3555,IF(Q3555="(tanpa lawan)","Transfer antar rekening",IFERROR(INDEX(I_COA!$F$6:$F$265,MATCH(Q3555,I_COA!$A$6:$A$265,0)),"?"))))</f>
        <v/>
      </c>
    </row>
    <row r="3556" customFormat="false" ht="15" hidden="false" customHeight="false" outlineLevel="0" collapsed="false">
      <c r="A3556" s="37"/>
      <c r="B3556" s="44"/>
      <c r="C3556" s="44"/>
      <c r="D3556" s="44"/>
      <c r="E3556" s="44"/>
      <c r="F3556" s="44"/>
      <c r="G3556" s="42"/>
      <c r="H3556" s="42"/>
      <c r="I3556" s="44"/>
      <c r="J3556" s="11" t="str">
        <f aca="false">IF(D3556="","",N(G3556)-N(H3556))</f>
        <v/>
      </c>
      <c r="K3556" s="34" t="str">
        <f aca="false">IF(D3556="","",IFERROR(INDEX(I_COA!$C$6:$C$265,MATCH(D3556,I_COA!$A$6:$A$265,0)),"AKUN BARU"))</f>
        <v/>
      </c>
      <c r="L3556" s="34" t="str">
        <f aca="false">IF(K3556="LabaRugi",INDEX(I_COA!$D$6:$D$265,MATCH(D3556,I_COA!$A$6:$A$265,0)),"")</f>
        <v/>
      </c>
      <c r="M3556" s="34" t="str">
        <f aca="false">IF(K3556="Neraca",INDEX(I_COA!$E$6:$E$265,MATCH(D3556,I_COA!$A$6:$A$265,0)),"")</f>
        <v/>
      </c>
      <c r="N3556" s="34" t="str">
        <f aca="false">IF(D3556="","",IFERROR(INDEX(I_COA!$G$6:$G$265,MATCH(D3556,I_COA!$A$6:$A$265,0)),"N"))</f>
        <v/>
      </c>
      <c r="O3556" s="11" t="str">
        <f aca="false">IF(N3556="N",ABS(J3556),"")</f>
        <v/>
      </c>
      <c r="P3556" s="18" t="str">
        <f aca="false">IF(N3556="N",B3556&amp;"|"&amp;ROUND(O3556,0),"")</f>
        <v/>
      </c>
      <c r="Q3556" s="18" t="str">
        <f aca="false">IF(N3556&lt;&gt;"Y","",IFERROR(INDEX($D$6:$D$4005,MATCH(B3556&amp;"|"&amp;ROUND(_xlfn.MAXIFS($O$6:$O$4005,$B$6:$B$4005,B3556,$N$6:$N$4005,"N"),0),$P$6:$P$4005,0)),"(tanpa lawan)"))</f>
        <v/>
      </c>
      <c r="R3556" s="44"/>
      <c r="S3556" s="9" t="str">
        <f aca="false">IF(N3556&lt;&gt;"Y","",IF(R3556&lt;&gt;"",R3556,IF(Q3556="(tanpa lawan)","Transfer antar rekening",IFERROR(INDEX(I_COA!$F$6:$F$265,MATCH(Q3556,I_COA!$A$6:$A$265,0)),"?"))))</f>
        <v/>
      </c>
    </row>
    <row r="3557" customFormat="false" ht="15" hidden="false" customHeight="false" outlineLevel="0" collapsed="false">
      <c r="A3557" s="37"/>
      <c r="B3557" s="44"/>
      <c r="C3557" s="44"/>
      <c r="D3557" s="44"/>
      <c r="E3557" s="44"/>
      <c r="F3557" s="44"/>
      <c r="G3557" s="42"/>
      <c r="H3557" s="42"/>
      <c r="I3557" s="44"/>
      <c r="J3557" s="11" t="str">
        <f aca="false">IF(D3557="","",N(G3557)-N(H3557))</f>
        <v/>
      </c>
      <c r="K3557" s="34" t="str">
        <f aca="false">IF(D3557="","",IFERROR(INDEX(I_COA!$C$6:$C$265,MATCH(D3557,I_COA!$A$6:$A$265,0)),"AKUN BARU"))</f>
        <v/>
      </c>
      <c r="L3557" s="34" t="str">
        <f aca="false">IF(K3557="LabaRugi",INDEX(I_COA!$D$6:$D$265,MATCH(D3557,I_COA!$A$6:$A$265,0)),"")</f>
        <v/>
      </c>
      <c r="M3557" s="34" t="str">
        <f aca="false">IF(K3557="Neraca",INDEX(I_COA!$E$6:$E$265,MATCH(D3557,I_COA!$A$6:$A$265,0)),"")</f>
        <v/>
      </c>
      <c r="N3557" s="34" t="str">
        <f aca="false">IF(D3557="","",IFERROR(INDEX(I_COA!$G$6:$G$265,MATCH(D3557,I_COA!$A$6:$A$265,0)),"N"))</f>
        <v/>
      </c>
      <c r="O3557" s="11" t="str">
        <f aca="false">IF(N3557="N",ABS(J3557),"")</f>
        <v/>
      </c>
      <c r="P3557" s="18" t="str">
        <f aca="false">IF(N3557="N",B3557&amp;"|"&amp;ROUND(O3557,0),"")</f>
        <v/>
      </c>
      <c r="Q3557" s="18" t="str">
        <f aca="false">IF(N3557&lt;&gt;"Y","",IFERROR(INDEX($D$6:$D$4005,MATCH(B3557&amp;"|"&amp;ROUND(_xlfn.MAXIFS($O$6:$O$4005,$B$6:$B$4005,B3557,$N$6:$N$4005,"N"),0),$P$6:$P$4005,0)),"(tanpa lawan)"))</f>
        <v/>
      </c>
      <c r="R3557" s="44"/>
      <c r="S3557" s="9" t="str">
        <f aca="false">IF(N3557&lt;&gt;"Y","",IF(R3557&lt;&gt;"",R3557,IF(Q3557="(tanpa lawan)","Transfer antar rekening",IFERROR(INDEX(I_COA!$F$6:$F$265,MATCH(Q3557,I_COA!$A$6:$A$265,0)),"?"))))</f>
        <v/>
      </c>
    </row>
    <row r="3558" customFormat="false" ht="15" hidden="false" customHeight="false" outlineLevel="0" collapsed="false">
      <c r="A3558" s="37"/>
      <c r="B3558" s="44"/>
      <c r="C3558" s="44"/>
      <c r="D3558" s="44"/>
      <c r="E3558" s="44"/>
      <c r="F3558" s="44"/>
      <c r="G3558" s="42"/>
      <c r="H3558" s="42"/>
      <c r="I3558" s="44"/>
      <c r="J3558" s="11" t="str">
        <f aca="false">IF(D3558="","",N(G3558)-N(H3558))</f>
        <v/>
      </c>
      <c r="K3558" s="34" t="str">
        <f aca="false">IF(D3558="","",IFERROR(INDEX(I_COA!$C$6:$C$265,MATCH(D3558,I_COA!$A$6:$A$265,0)),"AKUN BARU"))</f>
        <v/>
      </c>
      <c r="L3558" s="34" t="str">
        <f aca="false">IF(K3558="LabaRugi",INDEX(I_COA!$D$6:$D$265,MATCH(D3558,I_COA!$A$6:$A$265,0)),"")</f>
        <v/>
      </c>
      <c r="M3558" s="34" t="str">
        <f aca="false">IF(K3558="Neraca",INDEX(I_COA!$E$6:$E$265,MATCH(D3558,I_COA!$A$6:$A$265,0)),"")</f>
        <v/>
      </c>
      <c r="N3558" s="34" t="str">
        <f aca="false">IF(D3558="","",IFERROR(INDEX(I_COA!$G$6:$G$265,MATCH(D3558,I_COA!$A$6:$A$265,0)),"N"))</f>
        <v/>
      </c>
      <c r="O3558" s="11" t="str">
        <f aca="false">IF(N3558="N",ABS(J3558),"")</f>
        <v/>
      </c>
      <c r="P3558" s="18" t="str">
        <f aca="false">IF(N3558="N",B3558&amp;"|"&amp;ROUND(O3558,0),"")</f>
        <v/>
      </c>
      <c r="Q3558" s="18" t="str">
        <f aca="false">IF(N3558&lt;&gt;"Y","",IFERROR(INDEX($D$6:$D$4005,MATCH(B3558&amp;"|"&amp;ROUND(_xlfn.MAXIFS($O$6:$O$4005,$B$6:$B$4005,B3558,$N$6:$N$4005,"N"),0),$P$6:$P$4005,0)),"(tanpa lawan)"))</f>
        <v/>
      </c>
      <c r="R3558" s="44"/>
      <c r="S3558" s="9" t="str">
        <f aca="false">IF(N3558&lt;&gt;"Y","",IF(R3558&lt;&gt;"",R3558,IF(Q3558="(tanpa lawan)","Transfer antar rekening",IFERROR(INDEX(I_COA!$F$6:$F$265,MATCH(Q3558,I_COA!$A$6:$A$265,0)),"?"))))</f>
        <v/>
      </c>
    </row>
    <row r="3559" customFormat="false" ht="15" hidden="false" customHeight="false" outlineLevel="0" collapsed="false">
      <c r="A3559" s="37"/>
      <c r="B3559" s="44"/>
      <c r="C3559" s="44"/>
      <c r="D3559" s="44"/>
      <c r="E3559" s="44"/>
      <c r="F3559" s="44"/>
      <c r="G3559" s="42"/>
      <c r="H3559" s="42"/>
      <c r="I3559" s="44"/>
      <c r="J3559" s="11" t="str">
        <f aca="false">IF(D3559="","",N(G3559)-N(H3559))</f>
        <v/>
      </c>
      <c r="K3559" s="34" t="str">
        <f aca="false">IF(D3559="","",IFERROR(INDEX(I_COA!$C$6:$C$265,MATCH(D3559,I_COA!$A$6:$A$265,0)),"AKUN BARU"))</f>
        <v/>
      </c>
      <c r="L3559" s="34" t="str">
        <f aca="false">IF(K3559="LabaRugi",INDEX(I_COA!$D$6:$D$265,MATCH(D3559,I_COA!$A$6:$A$265,0)),"")</f>
        <v/>
      </c>
      <c r="M3559" s="34" t="str">
        <f aca="false">IF(K3559="Neraca",INDEX(I_COA!$E$6:$E$265,MATCH(D3559,I_COA!$A$6:$A$265,0)),"")</f>
        <v/>
      </c>
      <c r="N3559" s="34" t="str">
        <f aca="false">IF(D3559="","",IFERROR(INDEX(I_COA!$G$6:$G$265,MATCH(D3559,I_COA!$A$6:$A$265,0)),"N"))</f>
        <v/>
      </c>
      <c r="O3559" s="11" t="str">
        <f aca="false">IF(N3559="N",ABS(J3559),"")</f>
        <v/>
      </c>
      <c r="P3559" s="18" t="str">
        <f aca="false">IF(N3559="N",B3559&amp;"|"&amp;ROUND(O3559,0),"")</f>
        <v/>
      </c>
      <c r="Q3559" s="18" t="str">
        <f aca="false">IF(N3559&lt;&gt;"Y","",IFERROR(INDEX($D$6:$D$4005,MATCH(B3559&amp;"|"&amp;ROUND(_xlfn.MAXIFS($O$6:$O$4005,$B$6:$B$4005,B3559,$N$6:$N$4005,"N"),0),$P$6:$P$4005,0)),"(tanpa lawan)"))</f>
        <v/>
      </c>
      <c r="R3559" s="44"/>
      <c r="S3559" s="9" t="str">
        <f aca="false">IF(N3559&lt;&gt;"Y","",IF(R3559&lt;&gt;"",R3559,IF(Q3559="(tanpa lawan)","Transfer antar rekening",IFERROR(INDEX(I_COA!$F$6:$F$265,MATCH(Q3559,I_COA!$A$6:$A$265,0)),"?"))))</f>
        <v/>
      </c>
    </row>
    <row r="3560" customFormat="false" ht="15" hidden="false" customHeight="false" outlineLevel="0" collapsed="false">
      <c r="A3560" s="37"/>
      <c r="B3560" s="44"/>
      <c r="C3560" s="44"/>
      <c r="D3560" s="44"/>
      <c r="E3560" s="44"/>
      <c r="F3560" s="44"/>
      <c r="G3560" s="42"/>
      <c r="H3560" s="42"/>
      <c r="I3560" s="44"/>
      <c r="J3560" s="11" t="str">
        <f aca="false">IF(D3560="","",N(G3560)-N(H3560))</f>
        <v/>
      </c>
      <c r="K3560" s="34" t="str">
        <f aca="false">IF(D3560="","",IFERROR(INDEX(I_COA!$C$6:$C$265,MATCH(D3560,I_COA!$A$6:$A$265,0)),"AKUN BARU"))</f>
        <v/>
      </c>
      <c r="L3560" s="34" t="str">
        <f aca="false">IF(K3560="LabaRugi",INDEX(I_COA!$D$6:$D$265,MATCH(D3560,I_COA!$A$6:$A$265,0)),"")</f>
        <v/>
      </c>
      <c r="M3560" s="34" t="str">
        <f aca="false">IF(K3560="Neraca",INDEX(I_COA!$E$6:$E$265,MATCH(D3560,I_COA!$A$6:$A$265,0)),"")</f>
        <v/>
      </c>
      <c r="N3560" s="34" t="str">
        <f aca="false">IF(D3560="","",IFERROR(INDEX(I_COA!$G$6:$G$265,MATCH(D3560,I_COA!$A$6:$A$265,0)),"N"))</f>
        <v/>
      </c>
      <c r="O3560" s="11" t="str">
        <f aca="false">IF(N3560="N",ABS(J3560),"")</f>
        <v/>
      </c>
      <c r="P3560" s="18" t="str">
        <f aca="false">IF(N3560="N",B3560&amp;"|"&amp;ROUND(O3560,0),"")</f>
        <v/>
      </c>
      <c r="Q3560" s="18" t="str">
        <f aca="false">IF(N3560&lt;&gt;"Y","",IFERROR(INDEX($D$6:$D$4005,MATCH(B3560&amp;"|"&amp;ROUND(_xlfn.MAXIFS($O$6:$O$4005,$B$6:$B$4005,B3560,$N$6:$N$4005,"N"),0),$P$6:$P$4005,0)),"(tanpa lawan)"))</f>
        <v/>
      </c>
      <c r="R3560" s="44"/>
      <c r="S3560" s="9" t="str">
        <f aca="false">IF(N3560&lt;&gt;"Y","",IF(R3560&lt;&gt;"",R3560,IF(Q3560="(tanpa lawan)","Transfer antar rekening",IFERROR(INDEX(I_COA!$F$6:$F$265,MATCH(Q3560,I_COA!$A$6:$A$265,0)),"?"))))</f>
        <v/>
      </c>
    </row>
    <row r="3561" customFormat="false" ht="15" hidden="false" customHeight="false" outlineLevel="0" collapsed="false">
      <c r="A3561" s="37"/>
      <c r="B3561" s="44"/>
      <c r="C3561" s="44"/>
      <c r="D3561" s="44"/>
      <c r="E3561" s="44"/>
      <c r="F3561" s="44"/>
      <c r="G3561" s="42"/>
      <c r="H3561" s="42"/>
      <c r="I3561" s="44"/>
      <c r="J3561" s="11" t="str">
        <f aca="false">IF(D3561="","",N(G3561)-N(H3561))</f>
        <v/>
      </c>
      <c r="K3561" s="34" t="str">
        <f aca="false">IF(D3561="","",IFERROR(INDEX(I_COA!$C$6:$C$265,MATCH(D3561,I_COA!$A$6:$A$265,0)),"AKUN BARU"))</f>
        <v/>
      </c>
      <c r="L3561" s="34" t="str">
        <f aca="false">IF(K3561="LabaRugi",INDEX(I_COA!$D$6:$D$265,MATCH(D3561,I_COA!$A$6:$A$265,0)),"")</f>
        <v/>
      </c>
      <c r="M3561" s="34" t="str">
        <f aca="false">IF(K3561="Neraca",INDEX(I_COA!$E$6:$E$265,MATCH(D3561,I_COA!$A$6:$A$265,0)),"")</f>
        <v/>
      </c>
      <c r="N3561" s="34" t="str">
        <f aca="false">IF(D3561="","",IFERROR(INDEX(I_COA!$G$6:$G$265,MATCH(D3561,I_COA!$A$6:$A$265,0)),"N"))</f>
        <v/>
      </c>
      <c r="O3561" s="11" t="str">
        <f aca="false">IF(N3561="N",ABS(J3561),"")</f>
        <v/>
      </c>
      <c r="P3561" s="18" t="str">
        <f aca="false">IF(N3561="N",B3561&amp;"|"&amp;ROUND(O3561,0),"")</f>
        <v/>
      </c>
      <c r="Q3561" s="18" t="str">
        <f aca="false">IF(N3561&lt;&gt;"Y","",IFERROR(INDEX($D$6:$D$4005,MATCH(B3561&amp;"|"&amp;ROUND(_xlfn.MAXIFS($O$6:$O$4005,$B$6:$B$4005,B3561,$N$6:$N$4005,"N"),0),$P$6:$P$4005,0)),"(tanpa lawan)"))</f>
        <v/>
      </c>
      <c r="R3561" s="44"/>
      <c r="S3561" s="9" t="str">
        <f aca="false">IF(N3561&lt;&gt;"Y","",IF(R3561&lt;&gt;"",R3561,IF(Q3561="(tanpa lawan)","Transfer antar rekening",IFERROR(INDEX(I_COA!$F$6:$F$265,MATCH(Q3561,I_COA!$A$6:$A$265,0)),"?"))))</f>
        <v/>
      </c>
    </row>
    <row r="3562" customFormat="false" ht="15" hidden="false" customHeight="false" outlineLevel="0" collapsed="false">
      <c r="A3562" s="37"/>
      <c r="B3562" s="44"/>
      <c r="C3562" s="44"/>
      <c r="D3562" s="44"/>
      <c r="E3562" s="44"/>
      <c r="F3562" s="44"/>
      <c r="G3562" s="42"/>
      <c r="H3562" s="42"/>
      <c r="I3562" s="44"/>
      <c r="J3562" s="11" t="str">
        <f aca="false">IF(D3562="","",N(G3562)-N(H3562))</f>
        <v/>
      </c>
      <c r="K3562" s="34" t="str">
        <f aca="false">IF(D3562="","",IFERROR(INDEX(I_COA!$C$6:$C$265,MATCH(D3562,I_COA!$A$6:$A$265,0)),"AKUN BARU"))</f>
        <v/>
      </c>
      <c r="L3562" s="34" t="str">
        <f aca="false">IF(K3562="LabaRugi",INDEX(I_COA!$D$6:$D$265,MATCH(D3562,I_COA!$A$6:$A$265,0)),"")</f>
        <v/>
      </c>
      <c r="M3562" s="34" t="str">
        <f aca="false">IF(K3562="Neraca",INDEX(I_COA!$E$6:$E$265,MATCH(D3562,I_COA!$A$6:$A$265,0)),"")</f>
        <v/>
      </c>
      <c r="N3562" s="34" t="str">
        <f aca="false">IF(D3562="","",IFERROR(INDEX(I_COA!$G$6:$G$265,MATCH(D3562,I_COA!$A$6:$A$265,0)),"N"))</f>
        <v/>
      </c>
      <c r="O3562" s="11" t="str">
        <f aca="false">IF(N3562="N",ABS(J3562),"")</f>
        <v/>
      </c>
      <c r="P3562" s="18" t="str">
        <f aca="false">IF(N3562="N",B3562&amp;"|"&amp;ROUND(O3562,0),"")</f>
        <v/>
      </c>
      <c r="Q3562" s="18" t="str">
        <f aca="false">IF(N3562&lt;&gt;"Y","",IFERROR(INDEX($D$6:$D$4005,MATCH(B3562&amp;"|"&amp;ROUND(_xlfn.MAXIFS($O$6:$O$4005,$B$6:$B$4005,B3562,$N$6:$N$4005,"N"),0),$P$6:$P$4005,0)),"(tanpa lawan)"))</f>
        <v/>
      </c>
      <c r="R3562" s="44"/>
      <c r="S3562" s="9" t="str">
        <f aca="false">IF(N3562&lt;&gt;"Y","",IF(R3562&lt;&gt;"",R3562,IF(Q3562="(tanpa lawan)","Transfer antar rekening",IFERROR(INDEX(I_COA!$F$6:$F$265,MATCH(Q3562,I_COA!$A$6:$A$265,0)),"?"))))</f>
        <v/>
      </c>
    </row>
    <row r="3563" customFormat="false" ht="15" hidden="false" customHeight="false" outlineLevel="0" collapsed="false">
      <c r="A3563" s="37"/>
      <c r="B3563" s="44"/>
      <c r="C3563" s="44"/>
      <c r="D3563" s="44"/>
      <c r="E3563" s="44"/>
      <c r="F3563" s="44"/>
      <c r="G3563" s="42"/>
      <c r="H3563" s="42"/>
      <c r="I3563" s="44"/>
      <c r="J3563" s="11" t="str">
        <f aca="false">IF(D3563="","",N(G3563)-N(H3563))</f>
        <v/>
      </c>
      <c r="K3563" s="34" t="str">
        <f aca="false">IF(D3563="","",IFERROR(INDEX(I_COA!$C$6:$C$265,MATCH(D3563,I_COA!$A$6:$A$265,0)),"AKUN BARU"))</f>
        <v/>
      </c>
      <c r="L3563" s="34" t="str">
        <f aca="false">IF(K3563="LabaRugi",INDEX(I_COA!$D$6:$D$265,MATCH(D3563,I_COA!$A$6:$A$265,0)),"")</f>
        <v/>
      </c>
      <c r="M3563" s="34" t="str">
        <f aca="false">IF(K3563="Neraca",INDEX(I_COA!$E$6:$E$265,MATCH(D3563,I_COA!$A$6:$A$265,0)),"")</f>
        <v/>
      </c>
      <c r="N3563" s="34" t="str">
        <f aca="false">IF(D3563="","",IFERROR(INDEX(I_COA!$G$6:$G$265,MATCH(D3563,I_COA!$A$6:$A$265,0)),"N"))</f>
        <v/>
      </c>
      <c r="O3563" s="11" t="str">
        <f aca="false">IF(N3563="N",ABS(J3563),"")</f>
        <v/>
      </c>
      <c r="P3563" s="18" t="str">
        <f aca="false">IF(N3563="N",B3563&amp;"|"&amp;ROUND(O3563,0),"")</f>
        <v/>
      </c>
      <c r="Q3563" s="18" t="str">
        <f aca="false">IF(N3563&lt;&gt;"Y","",IFERROR(INDEX($D$6:$D$4005,MATCH(B3563&amp;"|"&amp;ROUND(_xlfn.MAXIFS($O$6:$O$4005,$B$6:$B$4005,B3563,$N$6:$N$4005,"N"),0),$P$6:$P$4005,0)),"(tanpa lawan)"))</f>
        <v/>
      </c>
      <c r="R3563" s="44"/>
      <c r="S3563" s="9" t="str">
        <f aca="false">IF(N3563&lt;&gt;"Y","",IF(R3563&lt;&gt;"",R3563,IF(Q3563="(tanpa lawan)","Transfer antar rekening",IFERROR(INDEX(I_COA!$F$6:$F$265,MATCH(Q3563,I_COA!$A$6:$A$265,0)),"?"))))</f>
        <v/>
      </c>
    </row>
    <row r="3564" customFormat="false" ht="15" hidden="false" customHeight="false" outlineLevel="0" collapsed="false">
      <c r="A3564" s="37"/>
      <c r="B3564" s="44"/>
      <c r="C3564" s="44"/>
      <c r="D3564" s="44"/>
      <c r="E3564" s="44"/>
      <c r="F3564" s="44"/>
      <c r="G3564" s="42"/>
      <c r="H3564" s="42"/>
      <c r="I3564" s="44"/>
      <c r="J3564" s="11" t="str">
        <f aca="false">IF(D3564="","",N(G3564)-N(H3564))</f>
        <v/>
      </c>
      <c r="K3564" s="34" t="str">
        <f aca="false">IF(D3564="","",IFERROR(INDEX(I_COA!$C$6:$C$265,MATCH(D3564,I_COA!$A$6:$A$265,0)),"AKUN BARU"))</f>
        <v/>
      </c>
      <c r="L3564" s="34" t="str">
        <f aca="false">IF(K3564="LabaRugi",INDEX(I_COA!$D$6:$D$265,MATCH(D3564,I_COA!$A$6:$A$265,0)),"")</f>
        <v/>
      </c>
      <c r="M3564" s="34" t="str">
        <f aca="false">IF(K3564="Neraca",INDEX(I_COA!$E$6:$E$265,MATCH(D3564,I_COA!$A$6:$A$265,0)),"")</f>
        <v/>
      </c>
      <c r="N3564" s="34" t="str">
        <f aca="false">IF(D3564="","",IFERROR(INDEX(I_COA!$G$6:$G$265,MATCH(D3564,I_COA!$A$6:$A$265,0)),"N"))</f>
        <v/>
      </c>
      <c r="O3564" s="11" t="str">
        <f aca="false">IF(N3564="N",ABS(J3564),"")</f>
        <v/>
      </c>
      <c r="P3564" s="18" t="str">
        <f aca="false">IF(N3564="N",B3564&amp;"|"&amp;ROUND(O3564,0),"")</f>
        <v/>
      </c>
      <c r="Q3564" s="18" t="str">
        <f aca="false">IF(N3564&lt;&gt;"Y","",IFERROR(INDEX($D$6:$D$4005,MATCH(B3564&amp;"|"&amp;ROUND(_xlfn.MAXIFS($O$6:$O$4005,$B$6:$B$4005,B3564,$N$6:$N$4005,"N"),0),$P$6:$P$4005,0)),"(tanpa lawan)"))</f>
        <v/>
      </c>
      <c r="R3564" s="44"/>
      <c r="S3564" s="9" t="str">
        <f aca="false">IF(N3564&lt;&gt;"Y","",IF(R3564&lt;&gt;"",R3564,IF(Q3564="(tanpa lawan)","Transfer antar rekening",IFERROR(INDEX(I_COA!$F$6:$F$265,MATCH(Q3564,I_COA!$A$6:$A$265,0)),"?"))))</f>
        <v/>
      </c>
    </row>
    <row r="3565" customFormat="false" ht="15" hidden="false" customHeight="false" outlineLevel="0" collapsed="false">
      <c r="A3565" s="37"/>
      <c r="B3565" s="44"/>
      <c r="C3565" s="44"/>
      <c r="D3565" s="44"/>
      <c r="E3565" s="44"/>
      <c r="F3565" s="44"/>
      <c r="G3565" s="42"/>
      <c r="H3565" s="42"/>
      <c r="I3565" s="44"/>
      <c r="J3565" s="11" t="str">
        <f aca="false">IF(D3565="","",N(G3565)-N(H3565))</f>
        <v/>
      </c>
      <c r="K3565" s="34" t="str">
        <f aca="false">IF(D3565="","",IFERROR(INDEX(I_COA!$C$6:$C$265,MATCH(D3565,I_COA!$A$6:$A$265,0)),"AKUN BARU"))</f>
        <v/>
      </c>
      <c r="L3565" s="34" t="str">
        <f aca="false">IF(K3565="LabaRugi",INDEX(I_COA!$D$6:$D$265,MATCH(D3565,I_COA!$A$6:$A$265,0)),"")</f>
        <v/>
      </c>
      <c r="M3565" s="34" t="str">
        <f aca="false">IF(K3565="Neraca",INDEX(I_COA!$E$6:$E$265,MATCH(D3565,I_COA!$A$6:$A$265,0)),"")</f>
        <v/>
      </c>
      <c r="N3565" s="34" t="str">
        <f aca="false">IF(D3565="","",IFERROR(INDEX(I_COA!$G$6:$G$265,MATCH(D3565,I_COA!$A$6:$A$265,0)),"N"))</f>
        <v/>
      </c>
      <c r="O3565" s="11" t="str">
        <f aca="false">IF(N3565="N",ABS(J3565),"")</f>
        <v/>
      </c>
      <c r="P3565" s="18" t="str">
        <f aca="false">IF(N3565="N",B3565&amp;"|"&amp;ROUND(O3565,0),"")</f>
        <v/>
      </c>
      <c r="Q3565" s="18" t="str">
        <f aca="false">IF(N3565&lt;&gt;"Y","",IFERROR(INDEX($D$6:$D$4005,MATCH(B3565&amp;"|"&amp;ROUND(_xlfn.MAXIFS($O$6:$O$4005,$B$6:$B$4005,B3565,$N$6:$N$4005,"N"),0),$P$6:$P$4005,0)),"(tanpa lawan)"))</f>
        <v/>
      </c>
      <c r="R3565" s="44"/>
      <c r="S3565" s="9" t="str">
        <f aca="false">IF(N3565&lt;&gt;"Y","",IF(R3565&lt;&gt;"",R3565,IF(Q3565="(tanpa lawan)","Transfer antar rekening",IFERROR(INDEX(I_COA!$F$6:$F$265,MATCH(Q3565,I_COA!$A$6:$A$265,0)),"?"))))</f>
        <v/>
      </c>
    </row>
    <row r="3566" customFormat="false" ht="15" hidden="false" customHeight="false" outlineLevel="0" collapsed="false">
      <c r="A3566" s="37"/>
      <c r="B3566" s="44"/>
      <c r="C3566" s="44"/>
      <c r="D3566" s="44"/>
      <c r="E3566" s="44"/>
      <c r="F3566" s="44"/>
      <c r="G3566" s="42"/>
      <c r="H3566" s="42"/>
      <c r="I3566" s="44"/>
      <c r="J3566" s="11" t="str">
        <f aca="false">IF(D3566="","",N(G3566)-N(H3566))</f>
        <v/>
      </c>
      <c r="K3566" s="34" t="str">
        <f aca="false">IF(D3566="","",IFERROR(INDEX(I_COA!$C$6:$C$265,MATCH(D3566,I_COA!$A$6:$A$265,0)),"AKUN BARU"))</f>
        <v/>
      </c>
      <c r="L3566" s="34" t="str">
        <f aca="false">IF(K3566="LabaRugi",INDEX(I_COA!$D$6:$D$265,MATCH(D3566,I_COA!$A$6:$A$265,0)),"")</f>
        <v/>
      </c>
      <c r="M3566" s="34" t="str">
        <f aca="false">IF(K3566="Neraca",INDEX(I_COA!$E$6:$E$265,MATCH(D3566,I_COA!$A$6:$A$265,0)),"")</f>
        <v/>
      </c>
      <c r="N3566" s="34" t="str">
        <f aca="false">IF(D3566="","",IFERROR(INDEX(I_COA!$G$6:$G$265,MATCH(D3566,I_COA!$A$6:$A$265,0)),"N"))</f>
        <v/>
      </c>
      <c r="O3566" s="11" t="str">
        <f aca="false">IF(N3566="N",ABS(J3566),"")</f>
        <v/>
      </c>
      <c r="P3566" s="18" t="str">
        <f aca="false">IF(N3566="N",B3566&amp;"|"&amp;ROUND(O3566,0),"")</f>
        <v/>
      </c>
      <c r="Q3566" s="18" t="str">
        <f aca="false">IF(N3566&lt;&gt;"Y","",IFERROR(INDEX($D$6:$D$4005,MATCH(B3566&amp;"|"&amp;ROUND(_xlfn.MAXIFS($O$6:$O$4005,$B$6:$B$4005,B3566,$N$6:$N$4005,"N"),0),$P$6:$P$4005,0)),"(tanpa lawan)"))</f>
        <v/>
      </c>
      <c r="R3566" s="44"/>
      <c r="S3566" s="9" t="str">
        <f aca="false">IF(N3566&lt;&gt;"Y","",IF(R3566&lt;&gt;"",R3566,IF(Q3566="(tanpa lawan)","Transfer antar rekening",IFERROR(INDEX(I_COA!$F$6:$F$265,MATCH(Q3566,I_COA!$A$6:$A$265,0)),"?"))))</f>
        <v/>
      </c>
    </row>
    <row r="3567" customFormat="false" ht="15" hidden="false" customHeight="false" outlineLevel="0" collapsed="false">
      <c r="A3567" s="37"/>
      <c r="B3567" s="44"/>
      <c r="C3567" s="44"/>
      <c r="D3567" s="44"/>
      <c r="E3567" s="44"/>
      <c r="F3567" s="44"/>
      <c r="G3567" s="42"/>
      <c r="H3567" s="42"/>
      <c r="I3567" s="44"/>
      <c r="J3567" s="11" t="str">
        <f aca="false">IF(D3567="","",N(G3567)-N(H3567))</f>
        <v/>
      </c>
      <c r="K3567" s="34" t="str">
        <f aca="false">IF(D3567="","",IFERROR(INDEX(I_COA!$C$6:$C$265,MATCH(D3567,I_COA!$A$6:$A$265,0)),"AKUN BARU"))</f>
        <v/>
      </c>
      <c r="L3567" s="34" t="str">
        <f aca="false">IF(K3567="LabaRugi",INDEX(I_COA!$D$6:$D$265,MATCH(D3567,I_COA!$A$6:$A$265,0)),"")</f>
        <v/>
      </c>
      <c r="M3567" s="34" t="str">
        <f aca="false">IF(K3567="Neraca",INDEX(I_COA!$E$6:$E$265,MATCH(D3567,I_COA!$A$6:$A$265,0)),"")</f>
        <v/>
      </c>
      <c r="N3567" s="34" t="str">
        <f aca="false">IF(D3567="","",IFERROR(INDEX(I_COA!$G$6:$G$265,MATCH(D3567,I_COA!$A$6:$A$265,0)),"N"))</f>
        <v/>
      </c>
      <c r="O3567" s="11" t="str">
        <f aca="false">IF(N3567="N",ABS(J3567),"")</f>
        <v/>
      </c>
      <c r="P3567" s="18" t="str">
        <f aca="false">IF(N3567="N",B3567&amp;"|"&amp;ROUND(O3567,0),"")</f>
        <v/>
      </c>
      <c r="Q3567" s="18" t="str">
        <f aca="false">IF(N3567&lt;&gt;"Y","",IFERROR(INDEX($D$6:$D$4005,MATCH(B3567&amp;"|"&amp;ROUND(_xlfn.MAXIFS($O$6:$O$4005,$B$6:$B$4005,B3567,$N$6:$N$4005,"N"),0),$P$6:$P$4005,0)),"(tanpa lawan)"))</f>
        <v/>
      </c>
      <c r="R3567" s="44"/>
      <c r="S3567" s="9" t="str">
        <f aca="false">IF(N3567&lt;&gt;"Y","",IF(R3567&lt;&gt;"",R3567,IF(Q3567="(tanpa lawan)","Transfer antar rekening",IFERROR(INDEX(I_COA!$F$6:$F$265,MATCH(Q3567,I_COA!$A$6:$A$265,0)),"?"))))</f>
        <v/>
      </c>
    </row>
    <row r="3568" customFormat="false" ht="15" hidden="false" customHeight="false" outlineLevel="0" collapsed="false">
      <c r="A3568" s="37"/>
      <c r="B3568" s="44"/>
      <c r="C3568" s="44"/>
      <c r="D3568" s="44"/>
      <c r="E3568" s="44"/>
      <c r="F3568" s="44"/>
      <c r="G3568" s="42"/>
      <c r="H3568" s="42"/>
      <c r="I3568" s="44"/>
      <c r="J3568" s="11" t="str">
        <f aca="false">IF(D3568="","",N(G3568)-N(H3568))</f>
        <v/>
      </c>
      <c r="K3568" s="34" t="str">
        <f aca="false">IF(D3568="","",IFERROR(INDEX(I_COA!$C$6:$C$265,MATCH(D3568,I_COA!$A$6:$A$265,0)),"AKUN BARU"))</f>
        <v/>
      </c>
      <c r="L3568" s="34" t="str">
        <f aca="false">IF(K3568="LabaRugi",INDEX(I_COA!$D$6:$D$265,MATCH(D3568,I_COA!$A$6:$A$265,0)),"")</f>
        <v/>
      </c>
      <c r="M3568" s="34" t="str">
        <f aca="false">IF(K3568="Neraca",INDEX(I_COA!$E$6:$E$265,MATCH(D3568,I_COA!$A$6:$A$265,0)),"")</f>
        <v/>
      </c>
      <c r="N3568" s="34" t="str">
        <f aca="false">IF(D3568="","",IFERROR(INDEX(I_COA!$G$6:$G$265,MATCH(D3568,I_COA!$A$6:$A$265,0)),"N"))</f>
        <v/>
      </c>
      <c r="O3568" s="11" t="str">
        <f aca="false">IF(N3568="N",ABS(J3568),"")</f>
        <v/>
      </c>
      <c r="P3568" s="18" t="str">
        <f aca="false">IF(N3568="N",B3568&amp;"|"&amp;ROUND(O3568,0),"")</f>
        <v/>
      </c>
      <c r="Q3568" s="18" t="str">
        <f aca="false">IF(N3568&lt;&gt;"Y","",IFERROR(INDEX($D$6:$D$4005,MATCH(B3568&amp;"|"&amp;ROUND(_xlfn.MAXIFS($O$6:$O$4005,$B$6:$B$4005,B3568,$N$6:$N$4005,"N"),0),$P$6:$P$4005,0)),"(tanpa lawan)"))</f>
        <v/>
      </c>
      <c r="R3568" s="44"/>
      <c r="S3568" s="9" t="str">
        <f aca="false">IF(N3568&lt;&gt;"Y","",IF(R3568&lt;&gt;"",R3568,IF(Q3568="(tanpa lawan)","Transfer antar rekening",IFERROR(INDEX(I_COA!$F$6:$F$265,MATCH(Q3568,I_COA!$A$6:$A$265,0)),"?"))))</f>
        <v/>
      </c>
    </row>
    <row r="3569" customFormat="false" ht="15" hidden="false" customHeight="false" outlineLevel="0" collapsed="false">
      <c r="A3569" s="37"/>
      <c r="B3569" s="44"/>
      <c r="C3569" s="44"/>
      <c r="D3569" s="44"/>
      <c r="E3569" s="44"/>
      <c r="F3569" s="44"/>
      <c r="G3569" s="42"/>
      <c r="H3569" s="42"/>
      <c r="I3569" s="44"/>
      <c r="J3569" s="11" t="str">
        <f aca="false">IF(D3569="","",N(G3569)-N(H3569))</f>
        <v/>
      </c>
      <c r="K3569" s="34" t="str">
        <f aca="false">IF(D3569="","",IFERROR(INDEX(I_COA!$C$6:$C$265,MATCH(D3569,I_COA!$A$6:$A$265,0)),"AKUN BARU"))</f>
        <v/>
      </c>
      <c r="L3569" s="34" t="str">
        <f aca="false">IF(K3569="LabaRugi",INDEX(I_COA!$D$6:$D$265,MATCH(D3569,I_COA!$A$6:$A$265,0)),"")</f>
        <v/>
      </c>
      <c r="M3569" s="34" t="str">
        <f aca="false">IF(K3569="Neraca",INDEX(I_COA!$E$6:$E$265,MATCH(D3569,I_COA!$A$6:$A$265,0)),"")</f>
        <v/>
      </c>
      <c r="N3569" s="34" t="str">
        <f aca="false">IF(D3569="","",IFERROR(INDEX(I_COA!$G$6:$G$265,MATCH(D3569,I_COA!$A$6:$A$265,0)),"N"))</f>
        <v/>
      </c>
      <c r="O3569" s="11" t="str">
        <f aca="false">IF(N3569="N",ABS(J3569),"")</f>
        <v/>
      </c>
      <c r="P3569" s="18" t="str">
        <f aca="false">IF(N3569="N",B3569&amp;"|"&amp;ROUND(O3569,0),"")</f>
        <v/>
      </c>
      <c r="Q3569" s="18" t="str">
        <f aca="false">IF(N3569&lt;&gt;"Y","",IFERROR(INDEX($D$6:$D$4005,MATCH(B3569&amp;"|"&amp;ROUND(_xlfn.MAXIFS($O$6:$O$4005,$B$6:$B$4005,B3569,$N$6:$N$4005,"N"),0),$P$6:$P$4005,0)),"(tanpa lawan)"))</f>
        <v/>
      </c>
      <c r="R3569" s="44"/>
      <c r="S3569" s="9" t="str">
        <f aca="false">IF(N3569&lt;&gt;"Y","",IF(R3569&lt;&gt;"",R3569,IF(Q3569="(tanpa lawan)","Transfer antar rekening",IFERROR(INDEX(I_COA!$F$6:$F$265,MATCH(Q3569,I_COA!$A$6:$A$265,0)),"?"))))</f>
        <v/>
      </c>
    </row>
    <row r="3570" customFormat="false" ht="15" hidden="false" customHeight="false" outlineLevel="0" collapsed="false">
      <c r="A3570" s="37"/>
      <c r="B3570" s="44"/>
      <c r="C3570" s="44"/>
      <c r="D3570" s="44"/>
      <c r="E3570" s="44"/>
      <c r="F3570" s="44"/>
      <c r="G3570" s="42"/>
      <c r="H3570" s="42"/>
      <c r="I3570" s="44"/>
      <c r="J3570" s="11" t="str">
        <f aca="false">IF(D3570="","",N(G3570)-N(H3570))</f>
        <v/>
      </c>
      <c r="K3570" s="34" t="str">
        <f aca="false">IF(D3570="","",IFERROR(INDEX(I_COA!$C$6:$C$265,MATCH(D3570,I_COA!$A$6:$A$265,0)),"AKUN BARU"))</f>
        <v/>
      </c>
      <c r="L3570" s="34" t="str">
        <f aca="false">IF(K3570="LabaRugi",INDEX(I_COA!$D$6:$D$265,MATCH(D3570,I_COA!$A$6:$A$265,0)),"")</f>
        <v/>
      </c>
      <c r="M3570" s="34" t="str">
        <f aca="false">IF(K3570="Neraca",INDEX(I_COA!$E$6:$E$265,MATCH(D3570,I_COA!$A$6:$A$265,0)),"")</f>
        <v/>
      </c>
      <c r="N3570" s="34" t="str">
        <f aca="false">IF(D3570="","",IFERROR(INDEX(I_COA!$G$6:$G$265,MATCH(D3570,I_COA!$A$6:$A$265,0)),"N"))</f>
        <v/>
      </c>
      <c r="O3570" s="11" t="str">
        <f aca="false">IF(N3570="N",ABS(J3570),"")</f>
        <v/>
      </c>
      <c r="P3570" s="18" t="str">
        <f aca="false">IF(N3570="N",B3570&amp;"|"&amp;ROUND(O3570,0),"")</f>
        <v/>
      </c>
      <c r="Q3570" s="18" t="str">
        <f aca="false">IF(N3570&lt;&gt;"Y","",IFERROR(INDEX($D$6:$D$4005,MATCH(B3570&amp;"|"&amp;ROUND(_xlfn.MAXIFS($O$6:$O$4005,$B$6:$B$4005,B3570,$N$6:$N$4005,"N"),0),$P$6:$P$4005,0)),"(tanpa lawan)"))</f>
        <v/>
      </c>
      <c r="R3570" s="44"/>
      <c r="S3570" s="9" t="str">
        <f aca="false">IF(N3570&lt;&gt;"Y","",IF(R3570&lt;&gt;"",R3570,IF(Q3570="(tanpa lawan)","Transfer antar rekening",IFERROR(INDEX(I_COA!$F$6:$F$265,MATCH(Q3570,I_COA!$A$6:$A$265,0)),"?"))))</f>
        <v/>
      </c>
    </row>
    <row r="3571" customFormat="false" ht="15" hidden="false" customHeight="false" outlineLevel="0" collapsed="false">
      <c r="A3571" s="37"/>
      <c r="B3571" s="44"/>
      <c r="C3571" s="44"/>
      <c r="D3571" s="44"/>
      <c r="E3571" s="44"/>
      <c r="F3571" s="44"/>
      <c r="G3571" s="42"/>
      <c r="H3571" s="42"/>
      <c r="I3571" s="44"/>
      <c r="J3571" s="11" t="str">
        <f aca="false">IF(D3571="","",N(G3571)-N(H3571))</f>
        <v/>
      </c>
      <c r="K3571" s="34" t="str">
        <f aca="false">IF(D3571="","",IFERROR(INDEX(I_COA!$C$6:$C$265,MATCH(D3571,I_COA!$A$6:$A$265,0)),"AKUN BARU"))</f>
        <v/>
      </c>
      <c r="L3571" s="34" t="str">
        <f aca="false">IF(K3571="LabaRugi",INDEX(I_COA!$D$6:$D$265,MATCH(D3571,I_COA!$A$6:$A$265,0)),"")</f>
        <v/>
      </c>
      <c r="M3571" s="34" t="str">
        <f aca="false">IF(K3571="Neraca",INDEX(I_COA!$E$6:$E$265,MATCH(D3571,I_COA!$A$6:$A$265,0)),"")</f>
        <v/>
      </c>
      <c r="N3571" s="34" t="str">
        <f aca="false">IF(D3571="","",IFERROR(INDEX(I_COA!$G$6:$G$265,MATCH(D3571,I_COA!$A$6:$A$265,0)),"N"))</f>
        <v/>
      </c>
      <c r="O3571" s="11" t="str">
        <f aca="false">IF(N3571="N",ABS(J3571),"")</f>
        <v/>
      </c>
      <c r="P3571" s="18" t="str">
        <f aca="false">IF(N3571="N",B3571&amp;"|"&amp;ROUND(O3571,0),"")</f>
        <v/>
      </c>
      <c r="Q3571" s="18" t="str">
        <f aca="false">IF(N3571&lt;&gt;"Y","",IFERROR(INDEX($D$6:$D$4005,MATCH(B3571&amp;"|"&amp;ROUND(_xlfn.MAXIFS($O$6:$O$4005,$B$6:$B$4005,B3571,$N$6:$N$4005,"N"),0),$P$6:$P$4005,0)),"(tanpa lawan)"))</f>
        <v/>
      </c>
      <c r="R3571" s="44"/>
      <c r="S3571" s="9" t="str">
        <f aca="false">IF(N3571&lt;&gt;"Y","",IF(R3571&lt;&gt;"",R3571,IF(Q3571="(tanpa lawan)","Transfer antar rekening",IFERROR(INDEX(I_COA!$F$6:$F$265,MATCH(Q3571,I_COA!$A$6:$A$265,0)),"?"))))</f>
        <v/>
      </c>
    </row>
    <row r="3572" customFormat="false" ht="15" hidden="false" customHeight="false" outlineLevel="0" collapsed="false">
      <c r="A3572" s="37"/>
      <c r="B3572" s="44"/>
      <c r="C3572" s="44"/>
      <c r="D3572" s="44"/>
      <c r="E3572" s="44"/>
      <c r="F3572" s="44"/>
      <c r="G3572" s="42"/>
      <c r="H3572" s="42"/>
      <c r="I3572" s="44"/>
      <c r="J3572" s="11" t="str">
        <f aca="false">IF(D3572="","",N(G3572)-N(H3572))</f>
        <v/>
      </c>
      <c r="K3572" s="34" t="str">
        <f aca="false">IF(D3572="","",IFERROR(INDEX(I_COA!$C$6:$C$265,MATCH(D3572,I_COA!$A$6:$A$265,0)),"AKUN BARU"))</f>
        <v/>
      </c>
      <c r="L3572" s="34" t="str">
        <f aca="false">IF(K3572="LabaRugi",INDEX(I_COA!$D$6:$D$265,MATCH(D3572,I_COA!$A$6:$A$265,0)),"")</f>
        <v/>
      </c>
      <c r="M3572" s="34" t="str">
        <f aca="false">IF(K3572="Neraca",INDEX(I_COA!$E$6:$E$265,MATCH(D3572,I_COA!$A$6:$A$265,0)),"")</f>
        <v/>
      </c>
      <c r="N3572" s="34" t="str">
        <f aca="false">IF(D3572="","",IFERROR(INDEX(I_COA!$G$6:$G$265,MATCH(D3572,I_COA!$A$6:$A$265,0)),"N"))</f>
        <v/>
      </c>
      <c r="O3572" s="11" t="str">
        <f aca="false">IF(N3572="N",ABS(J3572),"")</f>
        <v/>
      </c>
      <c r="P3572" s="18" t="str">
        <f aca="false">IF(N3572="N",B3572&amp;"|"&amp;ROUND(O3572,0),"")</f>
        <v/>
      </c>
      <c r="Q3572" s="18" t="str">
        <f aca="false">IF(N3572&lt;&gt;"Y","",IFERROR(INDEX($D$6:$D$4005,MATCH(B3572&amp;"|"&amp;ROUND(_xlfn.MAXIFS($O$6:$O$4005,$B$6:$B$4005,B3572,$N$6:$N$4005,"N"),0),$P$6:$P$4005,0)),"(tanpa lawan)"))</f>
        <v/>
      </c>
      <c r="R3572" s="44"/>
      <c r="S3572" s="9" t="str">
        <f aca="false">IF(N3572&lt;&gt;"Y","",IF(R3572&lt;&gt;"",R3572,IF(Q3572="(tanpa lawan)","Transfer antar rekening",IFERROR(INDEX(I_COA!$F$6:$F$265,MATCH(Q3572,I_COA!$A$6:$A$265,0)),"?"))))</f>
        <v/>
      </c>
    </row>
    <row r="3573" customFormat="false" ht="15" hidden="false" customHeight="false" outlineLevel="0" collapsed="false">
      <c r="A3573" s="37"/>
      <c r="B3573" s="44"/>
      <c r="C3573" s="44"/>
      <c r="D3573" s="44"/>
      <c r="E3573" s="44"/>
      <c r="F3573" s="44"/>
      <c r="G3573" s="42"/>
      <c r="H3573" s="42"/>
      <c r="I3573" s="44"/>
      <c r="J3573" s="11" t="str">
        <f aca="false">IF(D3573="","",N(G3573)-N(H3573))</f>
        <v/>
      </c>
      <c r="K3573" s="34" t="str">
        <f aca="false">IF(D3573="","",IFERROR(INDEX(I_COA!$C$6:$C$265,MATCH(D3573,I_COA!$A$6:$A$265,0)),"AKUN BARU"))</f>
        <v/>
      </c>
      <c r="L3573" s="34" t="str">
        <f aca="false">IF(K3573="LabaRugi",INDEX(I_COA!$D$6:$D$265,MATCH(D3573,I_COA!$A$6:$A$265,0)),"")</f>
        <v/>
      </c>
      <c r="M3573" s="34" t="str">
        <f aca="false">IF(K3573="Neraca",INDEX(I_COA!$E$6:$E$265,MATCH(D3573,I_COA!$A$6:$A$265,0)),"")</f>
        <v/>
      </c>
      <c r="N3573" s="34" t="str">
        <f aca="false">IF(D3573="","",IFERROR(INDEX(I_COA!$G$6:$G$265,MATCH(D3573,I_COA!$A$6:$A$265,0)),"N"))</f>
        <v/>
      </c>
      <c r="O3573" s="11" t="str">
        <f aca="false">IF(N3573="N",ABS(J3573),"")</f>
        <v/>
      </c>
      <c r="P3573" s="18" t="str">
        <f aca="false">IF(N3573="N",B3573&amp;"|"&amp;ROUND(O3573,0),"")</f>
        <v/>
      </c>
      <c r="Q3573" s="18" t="str">
        <f aca="false">IF(N3573&lt;&gt;"Y","",IFERROR(INDEX($D$6:$D$4005,MATCH(B3573&amp;"|"&amp;ROUND(_xlfn.MAXIFS($O$6:$O$4005,$B$6:$B$4005,B3573,$N$6:$N$4005,"N"),0),$P$6:$P$4005,0)),"(tanpa lawan)"))</f>
        <v/>
      </c>
      <c r="R3573" s="44"/>
      <c r="S3573" s="9" t="str">
        <f aca="false">IF(N3573&lt;&gt;"Y","",IF(R3573&lt;&gt;"",R3573,IF(Q3573="(tanpa lawan)","Transfer antar rekening",IFERROR(INDEX(I_COA!$F$6:$F$265,MATCH(Q3573,I_COA!$A$6:$A$265,0)),"?"))))</f>
        <v/>
      </c>
    </row>
    <row r="3574" customFormat="false" ht="15" hidden="false" customHeight="false" outlineLevel="0" collapsed="false">
      <c r="A3574" s="37"/>
      <c r="B3574" s="44"/>
      <c r="C3574" s="44"/>
      <c r="D3574" s="44"/>
      <c r="E3574" s="44"/>
      <c r="F3574" s="44"/>
      <c r="G3574" s="42"/>
      <c r="H3574" s="42"/>
      <c r="I3574" s="44"/>
      <c r="J3574" s="11" t="str">
        <f aca="false">IF(D3574="","",N(G3574)-N(H3574))</f>
        <v/>
      </c>
      <c r="K3574" s="34" t="str">
        <f aca="false">IF(D3574="","",IFERROR(INDEX(I_COA!$C$6:$C$265,MATCH(D3574,I_COA!$A$6:$A$265,0)),"AKUN BARU"))</f>
        <v/>
      </c>
      <c r="L3574" s="34" t="str">
        <f aca="false">IF(K3574="LabaRugi",INDEX(I_COA!$D$6:$D$265,MATCH(D3574,I_COA!$A$6:$A$265,0)),"")</f>
        <v/>
      </c>
      <c r="M3574" s="34" t="str">
        <f aca="false">IF(K3574="Neraca",INDEX(I_COA!$E$6:$E$265,MATCH(D3574,I_COA!$A$6:$A$265,0)),"")</f>
        <v/>
      </c>
      <c r="N3574" s="34" t="str">
        <f aca="false">IF(D3574="","",IFERROR(INDEX(I_COA!$G$6:$G$265,MATCH(D3574,I_COA!$A$6:$A$265,0)),"N"))</f>
        <v/>
      </c>
      <c r="O3574" s="11" t="str">
        <f aca="false">IF(N3574="N",ABS(J3574),"")</f>
        <v/>
      </c>
      <c r="P3574" s="18" t="str">
        <f aca="false">IF(N3574="N",B3574&amp;"|"&amp;ROUND(O3574,0),"")</f>
        <v/>
      </c>
      <c r="Q3574" s="18" t="str">
        <f aca="false">IF(N3574&lt;&gt;"Y","",IFERROR(INDEX($D$6:$D$4005,MATCH(B3574&amp;"|"&amp;ROUND(_xlfn.MAXIFS($O$6:$O$4005,$B$6:$B$4005,B3574,$N$6:$N$4005,"N"),0),$P$6:$P$4005,0)),"(tanpa lawan)"))</f>
        <v/>
      </c>
      <c r="R3574" s="44"/>
      <c r="S3574" s="9" t="str">
        <f aca="false">IF(N3574&lt;&gt;"Y","",IF(R3574&lt;&gt;"",R3574,IF(Q3574="(tanpa lawan)","Transfer antar rekening",IFERROR(INDEX(I_COA!$F$6:$F$265,MATCH(Q3574,I_COA!$A$6:$A$265,0)),"?"))))</f>
        <v/>
      </c>
    </row>
    <row r="3575" customFormat="false" ht="15" hidden="false" customHeight="false" outlineLevel="0" collapsed="false">
      <c r="A3575" s="37"/>
      <c r="B3575" s="44"/>
      <c r="C3575" s="44"/>
      <c r="D3575" s="44"/>
      <c r="E3575" s="44"/>
      <c r="F3575" s="44"/>
      <c r="G3575" s="42"/>
      <c r="H3575" s="42"/>
      <c r="I3575" s="44"/>
      <c r="J3575" s="11" t="str">
        <f aca="false">IF(D3575="","",N(G3575)-N(H3575))</f>
        <v/>
      </c>
      <c r="K3575" s="34" t="str">
        <f aca="false">IF(D3575="","",IFERROR(INDEX(I_COA!$C$6:$C$265,MATCH(D3575,I_COA!$A$6:$A$265,0)),"AKUN BARU"))</f>
        <v/>
      </c>
      <c r="L3575" s="34" t="str">
        <f aca="false">IF(K3575="LabaRugi",INDEX(I_COA!$D$6:$D$265,MATCH(D3575,I_COA!$A$6:$A$265,0)),"")</f>
        <v/>
      </c>
      <c r="M3575" s="34" t="str">
        <f aca="false">IF(K3575="Neraca",INDEX(I_COA!$E$6:$E$265,MATCH(D3575,I_COA!$A$6:$A$265,0)),"")</f>
        <v/>
      </c>
      <c r="N3575" s="34" t="str">
        <f aca="false">IF(D3575="","",IFERROR(INDEX(I_COA!$G$6:$G$265,MATCH(D3575,I_COA!$A$6:$A$265,0)),"N"))</f>
        <v/>
      </c>
      <c r="O3575" s="11" t="str">
        <f aca="false">IF(N3575="N",ABS(J3575),"")</f>
        <v/>
      </c>
      <c r="P3575" s="18" t="str">
        <f aca="false">IF(N3575="N",B3575&amp;"|"&amp;ROUND(O3575,0),"")</f>
        <v/>
      </c>
      <c r="Q3575" s="18" t="str">
        <f aca="false">IF(N3575&lt;&gt;"Y","",IFERROR(INDEX($D$6:$D$4005,MATCH(B3575&amp;"|"&amp;ROUND(_xlfn.MAXIFS($O$6:$O$4005,$B$6:$B$4005,B3575,$N$6:$N$4005,"N"),0),$P$6:$P$4005,0)),"(tanpa lawan)"))</f>
        <v/>
      </c>
      <c r="R3575" s="44"/>
      <c r="S3575" s="9" t="str">
        <f aca="false">IF(N3575&lt;&gt;"Y","",IF(R3575&lt;&gt;"",R3575,IF(Q3575="(tanpa lawan)","Transfer antar rekening",IFERROR(INDEX(I_COA!$F$6:$F$265,MATCH(Q3575,I_COA!$A$6:$A$265,0)),"?"))))</f>
        <v/>
      </c>
    </row>
    <row r="3576" customFormat="false" ht="15" hidden="false" customHeight="false" outlineLevel="0" collapsed="false">
      <c r="A3576" s="37"/>
      <c r="B3576" s="44"/>
      <c r="C3576" s="44"/>
      <c r="D3576" s="44"/>
      <c r="E3576" s="44"/>
      <c r="F3576" s="44"/>
      <c r="G3576" s="42"/>
      <c r="H3576" s="42"/>
      <c r="I3576" s="44"/>
      <c r="J3576" s="11" t="str">
        <f aca="false">IF(D3576="","",N(G3576)-N(H3576))</f>
        <v/>
      </c>
      <c r="K3576" s="34" t="str">
        <f aca="false">IF(D3576="","",IFERROR(INDEX(I_COA!$C$6:$C$265,MATCH(D3576,I_COA!$A$6:$A$265,0)),"AKUN BARU"))</f>
        <v/>
      </c>
      <c r="L3576" s="34" t="str">
        <f aca="false">IF(K3576="LabaRugi",INDEX(I_COA!$D$6:$D$265,MATCH(D3576,I_COA!$A$6:$A$265,0)),"")</f>
        <v/>
      </c>
      <c r="M3576" s="34" t="str">
        <f aca="false">IF(K3576="Neraca",INDEX(I_COA!$E$6:$E$265,MATCH(D3576,I_COA!$A$6:$A$265,0)),"")</f>
        <v/>
      </c>
      <c r="N3576" s="34" t="str">
        <f aca="false">IF(D3576="","",IFERROR(INDEX(I_COA!$G$6:$G$265,MATCH(D3576,I_COA!$A$6:$A$265,0)),"N"))</f>
        <v/>
      </c>
      <c r="O3576" s="11" t="str">
        <f aca="false">IF(N3576="N",ABS(J3576),"")</f>
        <v/>
      </c>
      <c r="P3576" s="18" t="str">
        <f aca="false">IF(N3576="N",B3576&amp;"|"&amp;ROUND(O3576,0),"")</f>
        <v/>
      </c>
      <c r="Q3576" s="18" t="str">
        <f aca="false">IF(N3576&lt;&gt;"Y","",IFERROR(INDEX($D$6:$D$4005,MATCH(B3576&amp;"|"&amp;ROUND(_xlfn.MAXIFS($O$6:$O$4005,$B$6:$B$4005,B3576,$N$6:$N$4005,"N"),0),$P$6:$P$4005,0)),"(tanpa lawan)"))</f>
        <v/>
      </c>
      <c r="R3576" s="44"/>
      <c r="S3576" s="9" t="str">
        <f aca="false">IF(N3576&lt;&gt;"Y","",IF(R3576&lt;&gt;"",R3576,IF(Q3576="(tanpa lawan)","Transfer antar rekening",IFERROR(INDEX(I_COA!$F$6:$F$265,MATCH(Q3576,I_COA!$A$6:$A$265,0)),"?"))))</f>
        <v/>
      </c>
    </row>
    <row r="3577" customFormat="false" ht="15" hidden="false" customHeight="false" outlineLevel="0" collapsed="false">
      <c r="A3577" s="37"/>
      <c r="B3577" s="44"/>
      <c r="C3577" s="44"/>
      <c r="D3577" s="44"/>
      <c r="E3577" s="44"/>
      <c r="F3577" s="44"/>
      <c r="G3577" s="42"/>
      <c r="H3577" s="42"/>
      <c r="I3577" s="44"/>
      <c r="J3577" s="11" t="str">
        <f aca="false">IF(D3577="","",N(G3577)-N(H3577))</f>
        <v/>
      </c>
      <c r="K3577" s="34" t="str">
        <f aca="false">IF(D3577="","",IFERROR(INDEX(I_COA!$C$6:$C$265,MATCH(D3577,I_COA!$A$6:$A$265,0)),"AKUN BARU"))</f>
        <v/>
      </c>
      <c r="L3577" s="34" t="str">
        <f aca="false">IF(K3577="LabaRugi",INDEX(I_COA!$D$6:$D$265,MATCH(D3577,I_COA!$A$6:$A$265,0)),"")</f>
        <v/>
      </c>
      <c r="M3577" s="34" t="str">
        <f aca="false">IF(K3577="Neraca",INDEX(I_COA!$E$6:$E$265,MATCH(D3577,I_COA!$A$6:$A$265,0)),"")</f>
        <v/>
      </c>
      <c r="N3577" s="34" t="str">
        <f aca="false">IF(D3577="","",IFERROR(INDEX(I_COA!$G$6:$G$265,MATCH(D3577,I_COA!$A$6:$A$265,0)),"N"))</f>
        <v/>
      </c>
      <c r="O3577" s="11" t="str">
        <f aca="false">IF(N3577="N",ABS(J3577),"")</f>
        <v/>
      </c>
      <c r="P3577" s="18" t="str">
        <f aca="false">IF(N3577="N",B3577&amp;"|"&amp;ROUND(O3577,0),"")</f>
        <v/>
      </c>
      <c r="Q3577" s="18" t="str">
        <f aca="false">IF(N3577&lt;&gt;"Y","",IFERROR(INDEX($D$6:$D$4005,MATCH(B3577&amp;"|"&amp;ROUND(_xlfn.MAXIFS($O$6:$O$4005,$B$6:$B$4005,B3577,$N$6:$N$4005,"N"),0),$P$6:$P$4005,0)),"(tanpa lawan)"))</f>
        <v/>
      </c>
      <c r="R3577" s="44"/>
      <c r="S3577" s="9" t="str">
        <f aca="false">IF(N3577&lt;&gt;"Y","",IF(R3577&lt;&gt;"",R3577,IF(Q3577="(tanpa lawan)","Transfer antar rekening",IFERROR(INDEX(I_COA!$F$6:$F$265,MATCH(Q3577,I_COA!$A$6:$A$265,0)),"?"))))</f>
        <v/>
      </c>
    </row>
    <row r="3578" customFormat="false" ht="15" hidden="false" customHeight="false" outlineLevel="0" collapsed="false">
      <c r="A3578" s="37"/>
      <c r="B3578" s="44"/>
      <c r="C3578" s="44"/>
      <c r="D3578" s="44"/>
      <c r="E3578" s="44"/>
      <c r="F3578" s="44"/>
      <c r="G3578" s="42"/>
      <c r="H3578" s="42"/>
      <c r="I3578" s="44"/>
      <c r="J3578" s="11" t="str">
        <f aca="false">IF(D3578="","",N(G3578)-N(H3578))</f>
        <v/>
      </c>
      <c r="K3578" s="34" t="str">
        <f aca="false">IF(D3578="","",IFERROR(INDEX(I_COA!$C$6:$C$265,MATCH(D3578,I_COA!$A$6:$A$265,0)),"AKUN BARU"))</f>
        <v/>
      </c>
      <c r="L3578" s="34" t="str">
        <f aca="false">IF(K3578="LabaRugi",INDEX(I_COA!$D$6:$D$265,MATCH(D3578,I_COA!$A$6:$A$265,0)),"")</f>
        <v/>
      </c>
      <c r="M3578" s="34" t="str">
        <f aca="false">IF(K3578="Neraca",INDEX(I_COA!$E$6:$E$265,MATCH(D3578,I_COA!$A$6:$A$265,0)),"")</f>
        <v/>
      </c>
      <c r="N3578" s="34" t="str">
        <f aca="false">IF(D3578="","",IFERROR(INDEX(I_COA!$G$6:$G$265,MATCH(D3578,I_COA!$A$6:$A$265,0)),"N"))</f>
        <v/>
      </c>
      <c r="O3578" s="11" t="str">
        <f aca="false">IF(N3578="N",ABS(J3578),"")</f>
        <v/>
      </c>
      <c r="P3578" s="18" t="str">
        <f aca="false">IF(N3578="N",B3578&amp;"|"&amp;ROUND(O3578,0),"")</f>
        <v/>
      </c>
      <c r="Q3578" s="18" t="str">
        <f aca="false">IF(N3578&lt;&gt;"Y","",IFERROR(INDEX($D$6:$D$4005,MATCH(B3578&amp;"|"&amp;ROUND(_xlfn.MAXIFS($O$6:$O$4005,$B$6:$B$4005,B3578,$N$6:$N$4005,"N"),0),$P$6:$P$4005,0)),"(tanpa lawan)"))</f>
        <v/>
      </c>
      <c r="R3578" s="44"/>
      <c r="S3578" s="9" t="str">
        <f aca="false">IF(N3578&lt;&gt;"Y","",IF(R3578&lt;&gt;"",R3578,IF(Q3578="(tanpa lawan)","Transfer antar rekening",IFERROR(INDEX(I_COA!$F$6:$F$265,MATCH(Q3578,I_COA!$A$6:$A$265,0)),"?"))))</f>
        <v/>
      </c>
    </row>
    <row r="3579" customFormat="false" ht="15" hidden="false" customHeight="false" outlineLevel="0" collapsed="false">
      <c r="A3579" s="37"/>
      <c r="B3579" s="44"/>
      <c r="C3579" s="44"/>
      <c r="D3579" s="44"/>
      <c r="E3579" s="44"/>
      <c r="F3579" s="44"/>
      <c r="G3579" s="42"/>
      <c r="H3579" s="42"/>
      <c r="I3579" s="44"/>
      <c r="J3579" s="11" t="str">
        <f aca="false">IF(D3579="","",N(G3579)-N(H3579))</f>
        <v/>
      </c>
      <c r="K3579" s="34" t="str">
        <f aca="false">IF(D3579="","",IFERROR(INDEX(I_COA!$C$6:$C$265,MATCH(D3579,I_COA!$A$6:$A$265,0)),"AKUN BARU"))</f>
        <v/>
      </c>
      <c r="L3579" s="34" t="str">
        <f aca="false">IF(K3579="LabaRugi",INDEX(I_COA!$D$6:$D$265,MATCH(D3579,I_COA!$A$6:$A$265,0)),"")</f>
        <v/>
      </c>
      <c r="M3579" s="34" t="str">
        <f aca="false">IF(K3579="Neraca",INDEX(I_COA!$E$6:$E$265,MATCH(D3579,I_COA!$A$6:$A$265,0)),"")</f>
        <v/>
      </c>
      <c r="N3579" s="34" t="str">
        <f aca="false">IF(D3579="","",IFERROR(INDEX(I_COA!$G$6:$G$265,MATCH(D3579,I_COA!$A$6:$A$265,0)),"N"))</f>
        <v/>
      </c>
      <c r="O3579" s="11" t="str">
        <f aca="false">IF(N3579="N",ABS(J3579),"")</f>
        <v/>
      </c>
      <c r="P3579" s="18" t="str">
        <f aca="false">IF(N3579="N",B3579&amp;"|"&amp;ROUND(O3579,0),"")</f>
        <v/>
      </c>
      <c r="Q3579" s="18" t="str">
        <f aca="false">IF(N3579&lt;&gt;"Y","",IFERROR(INDEX($D$6:$D$4005,MATCH(B3579&amp;"|"&amp;ROUND(_xlfn.MAXIFS($O$6:$O$4005,$B$6:$B$4005,B3579,$N$6:$N$4005,"N"),0),$P$6:$P$4005,0)),"(tanpa lawan)"))</f>
        <v/>
      </c>
      <c r="R3579" s="44"/>
      <c r="S3579" s="9" t="str">
        <f aca="false">IF(N3579&lt;&gt;"Y","",IF(R3579&lt;&gt;"",R3579,IF(Q3579="(tanpa lawan)","Transfer antar rekening",IFERROR(INDEX(I_COA!$F$6:$F$265,MATCH(Q3579,I_COA!$A$6:$A$265,0)),"?"))))</f>
        <v/>
      </c>
    </row>
    <row r="3580" customFormat="false" ht="15" hidden="false" customHeight="false" outlineLevel="0" collapsed="false">
      <c r="A3580" s="37"/>
      <c r="B3580" s="44"/>
      <c r="C3580" s="44"/>
      <c r="D3580" s="44"/>
      <c r="E3580" s="44"/>
      <c r="F3580" s="44"/>
      <c r="G3580" s="42"/>
      <c r="H3580" s="42"/>
      <c r="I3580" s="44"/>
      <c r="J3580" s="11" t="str">
        <f aca="false">IF(D3580="","",N(G3580)-N(H3580))</f>
        <v/>
      </c>
      <c r="K3580" s="34" t="str">
        <f aca="false">IF(D3580="","",IFERROR(INDEX(I_COA!$C$6:$C$265,MATCH(D3580,I_COA!$A$6:$A$265,0)),"AKUN BARU"))</f>
        <v/>
      </c>
      <c r="L3580" s="34" t="str">
        <f aca="false">IF(K3580="LabaRugi",INDEX(I_COA!$D$6:$D$265,MATCH(D3580,I_COA!$A$6:$A$265,0)),"")</f>
        <v/>
      </c>
      <c r="M3580" s="34" t="str">
        <f aca="false">IF(K3580="Neraca",INDEX(I_COA!$E$6:$E$265,MATCH(D3580,I_COA!$A$6:$A$265,0)),"")</f>
        <v/>
      </c>
      <c r="N3580" s="34" t="str">
        <f aca="false">IF(D3580="","",IFERROR(INDEX(I_COA!$G$6:$G$265,MATCH(D3580,I_COA!$A$6:$A$265,0)),"N"))</f>
        <v/>
      </c>
      <c r="O3580" s="11" t="str">
        <f aca="false">IF(N3580="N",ABS(J3580),"")</f>
        <v/>
      </c>
      <c r="P3580" s="18" t="str">
        <f aca="false">IF(N3580="N",B3580&amp;"|"&amp;ROUND(O3580,0),"")</f>
        <v/>
      </c>
      <c r="Q3580" s="18" t="str">
        <f aca="false">IF(N3580&lt;&gt;"Y","",IFERROR(INDEX($D$6:$D$4005,MATCH(B3580&amp;"|"&amp;ROUND(_xlfn.MAXIFS($O$6:$O$4005,$B$6:$B$4005,B3580,$N$6:$N$4005,"N"),0),$P$6:$P$4005,0)),"(tanpa lawan)"))</f>
        <v/>
      </c>
      <c r="R3580" s="44"/>
      <c r="S3580" s="9" t="str">
        <f aca="false">IF(N3580&lt;&gt;"Y","",IF(R3580&lt;&gt;"",R3580,IF(Q3580="(tanpa lawan)","Transfer antar rekening",IFERROR(INDEX(I_COA!$F$6:$F$265,MATCH(Q3580,I_COA!$A$6:$A$265,0)),"?"))))</f>
        <v/>
      </c>
    </row>
    <row r="3581" customFormat="false" ht="15" hidden="false" customHeight="false" outlineLevel="0" collapsed="false">
      <c r="A3581" s="37"/>
      <c r="B3581" s="44"/>
      <c r="C3581" s="44"/>
      <c r="D3581" s="44"/>
      <c r="E3581" s="44"/>
      <c r="F3581" s="44"/>
      <c r="G3581" s="42"/>
      <c r="H3581" s="42"/>
      <c r="I3581" s="44"/>
      <c r="J3581" s="11" t="str">
        <f aca="false">IF(D3581="","",N(G3581)-N(H3581))</f>
        <v/>
      </c>
      <c r="K3581" s="34" t="str">
        <f aca="false">IF(D3581="","",IFERROR(INDEX(I_COA!$C$6:$C$265,MATCH(D3581,I_COA!$A$6:$A$265,0)),"AKUN BARU"))</f>
        <v/>
      </c>
      <c r="L3581" s="34" t="str">
        <f aca="false">IF(K3581="LabaRugi",INDEX(I_COA!$D$6:$D$265,MATCH(D3581,I_COA!$A$6:$A$265,0)),"")</f>
        <v/>
      </c>
      <c r="M3581" s="34" t="str">
        <f aca="false">IF(K3581="Neraca",INDEX(I_COA!$E$6:$E$265,MATCH(D3581,I_COA!$A$6:$A$265,0)),"")</f>
        <v/>
      </c>
      <c r="N3581" s="34" t="str">
        <f aca="false">IF(D3581="","",IFERROR(INDEX(I_COA!$G$6:$G$265,MATCH(D3581,I_COA!$A$6:$A$265,0)),"N"))</f>
        <v/>
      </c>
      <c r="O3581" s="11" t="str">
        <f aca="false">IF(N3581="N",ABS(J3581),"")</f>
        <v/>
      </c>
      <c r="P3581" s="18" t="str">
        <f aca="false">IF(N3581="N",B3581&amp;"|"&amp;ROUND(O3581,0),"")</f>
        <v/>
      </c>
      <c r="Q3581" s="18" t="str">
        <f aca="false">IF(N3581&lt;&gt;"Y","",IFERROR(INDEX($D$6:$D$4005,MATCH(B3581&amp;"|"&amp;ROUND(_xlfn.MAXIFS($O$6:$O$4005,$B$6:$B$4005,B3581,$N$6:$N$4005,"N"),0),$P$6:$P$4005,0)),"(tanpa lawan)"))</f>
        <v/>
      </c>
      <c r="R3581" s="44"/>
      <c r="S3581" s="9" t="str">
        <f aca="false">IF(N3581&lt;&gt;"Y","",IF(R3581&lt;&gt;"",R3581,IF(Q3581="(tanpa lawan)","Transfer antar rekening",IFERROR(INDEX(I_COA!$F$6:$F$265,MATCH(Q3581,I_COA!$A$6:$A$265,0)),"?"))))</f>
        <v/>
      </c>
    </row>
    <row r="3582" customFormat="false" ht="15" hidden="false" customHeight="false" outlineLevel="0" collapsed="false">
      <c r="A3582" s="37"/>
      <c r="B3582" s="44"/>
      <c r="C3582" s="44"/>
      <c r="D3582" s="44"/>
      <c r="E3582" s="44"/>
      <c r="F3582" s="44"/>
      <c r="G3582" s="42"/>
      <c r="H3582" s="42"/>
      <c r="I3582" s="44"/>
      <c r="J3582" s="11" t="str">
        <f aca="false">IF(D3582="","",N(G3582)-N(H3582))</f>
        <v/>
      </c>
      <c r="K3582" s="34" t="str">
        <f aca="false">IF(D3582="","",IFERROR(INDEX(I_COA!$C$6:$C$265,MATCH(D3582,I_COA!$A$6:$A$265,0)),"AKUN BARU"))</f>
        <v/>
      </c>
      <c r="L3582" s="34" t="str">
        <f aca="false">IF(K3582="LabaRugi",INDEX(I_COA!$D$6:$D$265,MATCH(D3582,I_COA!$A$6:$A$265,0)),"")</f>
        <v/>
      </c>
      <c r="M3582" s="34" t="str">
        <f aca="false">IF(K3582="Neraca",INDEX(I_COA!$E$6:$E$265,MATCH(D3582,I_COA!$A$6:$A$265,0)),"")</f>
        <v/>
      </c>
      <c r="N3582" s="34" t="str">
        <f aca="false">IF(D3582="","",IFERROR(INDEX(I_COA!$G$6:$G$265,MATCH(D3582,I_COA!$A$6:$A$265,0)),"N"))</f>
        <v/>
      </c>
      <c r="O3582" s="11" t="str">
        <f aca="false">IF(N3582="N",ABS(J3582),"")</f>
        <v/>
      </c>
      <c r="P3582" s="18" t="str">
        <f aca="false">IF(N3582="N",B3582&amp;"|"&amp;ROUND(O3582,0),"")</f>
        <v/>
      </c>
      <c r="Q3582" s="18" t="str">
        <f aca="false">IF(N3582&lt;&gt;"Y","",IFERROR(INDEX($D$6:$D$4005,MATCH(B3582&amp;"|"&amp;ROUND(_xlfn.MAXIFS($O$6:$O$4005,$B$6:$B$4005,B3582,$N$6:$N$4005,"N"),0),$P$6:$P$4005,0)),"(tanpa lawan)"))</f>
        <v/>
      </c>
      <c r="R3582" s="44"/>
      <c r="S3582" s="9" t="str">
        <f aca="false">IF(N3582&lt;&gt;"Y","",IF(R3582&lt;&gt;"",R3582,IF(Q3582="(tanpa lawan)","Transfer antar rekening",IFERROR(INDEX(I_COA!$F$6:$F$265,MATCH(Q3582,I_COA!$A$6:$A$265,0)),"?"))))</f>
        <v/>
      </c>
    </row>
    <row r="3583" customFormat="false" ht="15" hidden="false" customHeight="false" outlineLevel="0" collapsed="false">
      <c r="A3583" s="37"/>
      <c r="B3583" s="44"/>
      <c r="C3583" s="44"/>
      <c r="D3583" s="44"/>
      <c r="E3583" s="44"/>
      <c r="F3583" s="44"/>
      <c r="G3583" s="42"/>
      <c r="H3583" s="42"/>
      <c r="I3583" s="44"/>
      <c r="J3583" s="11" t="str">
        <f aca="false">IF(D3583="","",N(G3583)-N(H3583))</f>
        <v/>
      </c>
      <c r="K3583" s="34" t="str">
        <f aca="false">IF(D3583="","",IFERROR(INDEX(I_COA!$C$6:$C$265,MATCH(D3583,I_COA!$A$6:$A$265,0)),"AKUN BARU"))</f>
        <v/>
      </c>
      <c r="L3583" s="34" t="str">
        <f aca="false">IF(K3583="LabaRugi",INDEX(I_COA!$D$6:$D$265,MATCH(D3583,I_COA!$A$6:$A$265,0)),"")</f>
        <v/>
      </c>
      <c r="M3583" s="34" t="str">
        <f aca="false">IF(K3583="Neraca",INDEX(I_COA!$E$6:$E$265,MATCH(D3583,I_COA!$A$6:$A$265,0)),"")</f>
        <v/>
      </c>
      <c r="N3583" s="34" t="str">
        <f aca="false">IF(D3583="","",IFERROR(INDEX(I_COA!$G$6:$G$265,MATCH(D3583,I_COA!$A$6:$A$265,0)),"N"))</f>
        <v/>
      </c>
      <c r="O3583" s="11" t="str">
        <f aca="false">IF(N3583="N",ABS(J3583),"")</f>
        <v/>
      </c>
      <c r="P3583" s="18" t="str">
        <f aca="false">IF(N3583="N",B3583&amp;"|"&amp;ROUND(O3583,0),"")</f>
        <v/>
      </c>
      <c r="Q3583" s="18" t="str">
        <f aca="false">IF(N3583&lt;&gt;"Y","",IFERROR(INDEX($D$6:$D$4005,MATCH(B3583&amp;"|"&amp;ROUND(_xlfn.MAXIFS($O$6:$O$4005,$B$6:$B$4005,B3583,$N$6:$N$4005,"N"),0),$P$6:$P$4005,0)),"(tanpa lawan)"))</f>
        <v/>
      </c>
      <c r="R3583" s="44"/>
      <c r="S3583" s="9" t="str">
        <f aca="false">IF(N3583&lt;&gt;"Y","",IF(R3583&lt;&gt;"",R3583,IF(Q3583="(tanpa lawan)","Transfer antar rekening",IFERROR(INDEX(I_COA!$F$6:$F$265,MATCH(Q3583,I_COA!$A$6:$A$265,0)),"?"))))</f>
        <v/>
      </c>
    </row>
    <row r="3584" customFormat="false" ht="15" hidden="false" customHeight="false" outlineLevel="0" collapsed="false">
      <c r="A3584" s="37"/>
      <c r="B3584" s="44"/>
      <c r="C3584" s="44"/>
      <c r="D3584" s="44"/>
      <c r="E3584" s="44"/>
      <c r="F3584" s="44"/>
      <c r="G3584" s="42"/>
      <c r="H3584" s="42"/>
      <c r="I3584" s="44"/>
      <c r="J3584" s="11" t="str">
        <f aca="false">IF(D3584="","",N(G3584)-N(H3584))</f>
        <v/>
      </c>
      <c r="K3584" s="34" t="str">
        <f aca="false">IF(D3584="","",IFERROR(INDEX(I_COA!$C$6:$C$265,MATCH(D3584,I_COA!$A$6:$A$265,0)),"AKUN BARU"))</f>
        <v/>
      </c>
      <c r="L3584" s="34" t="str">
        <f aca="false">IF(K3584="LabaRugi",INDEX(I_COA!$D$6:$D$265,MATCH(D3584,I_COA!$A$6:$A$265,0)),"")</f>
        <v/>
      </c>
      <c r="M3584" s="34" t="str">
        <f aca="false">IF(K3584="Neraca",INDEX(I_COA!$E$6:$E$265,MATCH(D3584,I_COA!$A$6:$A$265,0)),"")</f>
        <v/>
      </c>
      <c r="N3584" s="34" t="str">
        <f aca="false">IF(D3584="","",IFERROR(INDEX(I_COA!$G$6:$G$265,MATCH(D3584,I_COA!$A$6:$A$265,0)),"N"))</f>
        <v/>
      </c>
      <c r="O3584" s="11" t="str">
        <f aca="false">IF(N3584="N",ABS(J3584),"")</f>
        <v/>
      </c>
      <c r="P3584" s="18" t="str">
        <f aca="false">IF(N3584="N",B3584&amp;"|"&amp;ROUND(O3584,0),"")</f>
        <v/>
      </c>
      <c r="Q3584" s="18" t="str">
        <f aca="false">IF(N3584&lt;&gt;"Y","",IFERROR(INDEX($D$6:$D$4005,MATCH(B3584&amp;"|"&amp;ROUND(_xlfn.MAXIFS($O$6:$O$4005,$B$6:$B$4005,B3584,$N$6:$N$4005,"N"),0),$P$6:$P$4005,0)),"(tanpa lawan)"))</f>
        <v/>
      </c>
      <c r="R3584" s="44"/>
      <c r="S3584" s="9" t="str">
        <f aca="false">IF(N3584&lt;&gt;"Y","",IF(R3584&lt;&gt;"",R3584,IF(Q3584="(tanpa lawan)","Transfer antar rekening",IFERROR(INDEX(I_COA!$F$6:$F$265,MATCH(Q3584,I_COA!$A$6:$A$265,0)),"?"))))</f>
        <v/>
      </c>
    </row>
    <row r="3585" customFormat="false" ht="15" hidden="false" customHeight="false" outlineLevel="0" collapsed="false">
      <c r="A3585" s="37"/>
      <c r="B3585" s="44"/>
      <c r="C3585" s="44"/>
      <c r="D3585" s="44"/>
      <c r="E3585" s="44"/>
      <c r="F3585" s="44"/>
      <c r="G3585" s="42"/>
      <c r="H3585" s="42"/>
      <c r="I3585" s="44"/>
      <c r="J3585" s="11" t="str">
        <f aca="false">IF(D3585="","",N(G3585)-N(H3585))</f>
        <v/>
      </c>
      <c r="K3585" s="34" t="str">
        <f aca="false">IF(D3585="","",IFERROR(INDEX(I_COA!$C$6:$C$265,MATCH(D3585,I_COA!$A$6:$A$265,0)),"AKUN BARU"))</f>
        <v/>
      </c>
      <c r="L3585" s="34" t="str">
        <f aca="false">IF(K3585="LabaRugi",INDEX(I_COA!$D$6:$D$265,MATCH(D3585,I_COA!$A$6:$A$265,0)),"")</f>
        <v/>
      </c>
      <c r="M3585" s="34" t="str">
        <f aca="false">IF(K3585="Neraca",INDEX(I_COA!$E$6:$E$265,MATCH(D3585,I_COA!$A$6:$A$265,0)),"")</f>
        <v/>
      </c>
      <c r="N3585" s="34" t="str">
        <f aca="false">IF(D3585="","",IFERROR(INDEX(I_COA!$G$6:$G$265,MATCH(D3585,I_COA!$A$6:$A$265,0)),"N"))</f>
        <v/>
      </c>
      <c r="O3585" s="11" t="str">
        <f aca="false">IF(N3585="N",ABS(J3585),"")</f>
        <v/>
      </c>
      <c r="P3585" s="18" t="str">
        <f aca="false">IF(N3585="N",B3585&amp;"|"&amp;ROUND(O3585,0),"")</f>
        <v/>
      </c>
      <c r="Q3585" s="18" t="str">
        <f aca="false">IF(N3585&lt;&gt;"Y","",IFERROR(INDEX($D$6:$D$4005,MATCH(B3585&amp;"|"&amp;ROUND(_xlfn.MAXIFS($O$6:$O$4005,$B$6:$B$4005,B3585,$N$6:$N$4005,"N"),0),$P$6:$P$4005,0)),"(tanpa lawan)"))</f>
        <v/>
      </c>
      <c r="R3585" s="44"/>
      <c r="S3585" s="9" t="str">
        <f aca="false">IF(N3585&lt;&gt;"Y","",IF(R3585&lt;&gt;"",R3585,IF(Q3585="(tanpa lawan)","Transfer antar rekening",IFERROR(INDEX(I_COA!$F$6:$F$265,MATCH(Q3585,I_COA!$A$6:$A$265,0)),"?"))))</f>
        <v/>
      </c>
    </row>
    <row r="3586" customFormat="false" ht="15" hidden="false" customHeight="false" outlineLevel="0" collapsed="false">
      <c r="A3586" s="37"/>
      <c r="B3586" s="44"/>
      <c r="C3586" s="44"/>
      <c r="D3586" s="44"/>
      <c r="E3586" s="44"/>
      <c r="F3586" s="44"/>
      <c r="G3586" s="42"/>
      <c r="H3586" s="42"/>
      <c r="I3586" s="44"/>
      <c r="J3586" s="11" t="str">
        <f aca="false">IF(D3586="","",N(G3586)-N(H3586))</f>
        <v/>
      </c>
      <c r="K3586" s="34" t="str">
        <f aca="false">IF(D3586="","",IFERROR(INDEX(I_COA!$C$6:$C$265,MATCH(D3586,I_COA!$A$6:$A$265,0)),"AKUN BARU"))</f>
        <v/>
      </c>
      <c r="L3586" s="34" t="str">
        <f aca="false">IF(K3586="LabaRugi",INDEX(I_COA!$D$6:$D$265,MATCH(D3586,I_COA!$A$6:$A$265,0)),"")</f>
        <v/>
      </c>
      <c r="M3586" s="34" t="str">
        <f aca="false">IF(K3586="Neraca",INDEX(I_COA!$E$6:$E$265,MATCH(D3586,I_COA!$A$6:$A$265,0)),"")</f>
        <v/>
      </c>
      <c r="N3586" s="34" t="str">
        <f aca="false">IF(D3586="","",IFERROR(INDEX(I_COA!$G$6:$G$265,MATCH(D3586,I_COA!$A$6:$A$265,0)),"N"))</f>
        <v/>
      </c>
      <c r="O3586" s="11" t="str">
        <f aca="false">IF(N3586="N",ABS(J3586),"")</f>
        <v/>
      </c>
      <c r="P3586" s="18" t="str">
        <f aca="false">IF(N3586="N",B3586&amp;"|"&amp;ROUND(O3586,0),"")</f>
        <v/>
      </c>
      <c r="Q3586" s="18" t="str">
        <f aca="false">IF(N3586&lt;&gt;"Y","",IFERROR(INDEX($D$6:$D$4005,MATCH(B3586&amp;"|"&amp;ROUND(_xlfn.MAXIFS($O$6:$O$4005,$B$6:$B$4005,B3586,$N$6:$N$4005,"N"),0),$P$6:$P$4005,0)),"(tanpa lawan)"))</f>
        <v/>
      </c>
      <c r="R3586" s="44"/>
      <c r="S3586" s="9" t="str">
        <f aca="false">IF(N3586&lt;&gt;"Y","",IF(R3586&lt;&gt;"",R3586,IF(Q3586="(tanpa lawan)","Transfer antar rekening",IFERROR(INDEX(I_COA!$F$6:$F$265,MATCH(Q3586,I_COA!$A$6:$A$265,0)),"?"))))</f>
        <v/>
      </c>
    </row>
    <row r="3587" customFormat="false" ht="15" hidden="false" customHeight="false" outlineLevel="0" collapsed="false">
      <c r="A3587" s="37"/>
      <c r="B3587" s="44"/>
      <c r="C3587" s="44"/>
      <c r="D3587" s="44"/>
      <c r="E3587" s="44"/>
      <c r="F3587" s="44"/>
      <c r="G3587" s="42"/>
      <c r="H3587" s="42"/>
      <c r="I3587" s="44"/>
      <c r="J3587" s="11" t="str">
        <f aca="false">IF(D3587="","",N(G3587)-N(H3587))</f>
        <v/>
      </c>
      <c r="K3587" s="34" t="str">
        <f aca="false">IF(D3587="","",IFERROR(INDEX(I_COA!$C$6:$C$265,MATCH(D3587,I_COA!$A$6:$A$265,0)),"AKUN BARU"))</f>
        <v/>
      </c>
      <c r="L3587" s="34" t="str">
        <f aca="false">IF(K3587="LabaRugi",INDEX(I_COA!$D$6:$D$265,MATCH(D3587,I_COA!$A$6:$A$265,0)),"")</f>
        <v/>
      </c>
      <c r="M3587" s="34" t="str">
        <f aca="false">IF(K3587="Neraca",INDEX(I_COA!$E$6:$E$265,MATCH(D3587,I_COA!$A$6:$A$265,0)),"")</f>
        <v/>
      </c>
      <c r="N3587" s="34" t="str">
        <f aca="false">IF(D3587="","",IFERROR(INDEX(I_COA!$G$6:$G$265,MATCH(D3587,I_COA!$A$6:$A$265,0)),"N"))</f>
        <v/>
      </c>
      <c r="O3587" s="11" t="str">
        <f aca="false">IF(N3587="N",ABS(J3587),"")</f>
        <v/>
      </c>
      <c r="P3587" s="18" t="str">
        <f aca="false">IF(N3587="N",B3587&amp;"|"&amp;ROUND(O3587,0),"")</f>
        <v/>
      </c>
      <c r="Q3587" s="18" t="str">
        <f aca="false">IF(N3587&lt;&gt;"Y","",IFERROR(INDEX($D$6:$D$4005,MATCH(B3587&amp;"|"&amp;ROUND(_xlfn.MAXIFS($O$6:$O$4005,$B$6:$B$4005,B3587,$N$6:$N$4005,"N"),0),$P$6:$P$4005,0)),"(tanpa lawan)"))</f>
        <v/>
      </c>
      <c r="R3587" s="44"/>
      <c r="S3587" s="9" t="str">
        <f aca="false">IF(N3587&lt;&gt;"Y","",IF(R3587&lt;&gt;"",R3587,IF(Q3587="(tanpa lawan)","Transfer antar rekening",IFERROR(INDEX(I_COA!$F$6:$F$265,MATCH(Q3587,I_COA!$A$6:$A$265,0)),"?"))))</f>
        <v/>
      </c>
    </row>
    <row r="3588" customFormat="false" ht="15" hidden="false" customHeight="false" outlineLevel="0" collapsed="false">
      <c r="A3588" s="37"/>
      <c r="B3588" s="44"/>
      <c r="C3588" s="44"/>
      <c r="D3588" s="44"/>
      <c r="E3588" s="44"/>
      <c r="F3588" s="44"/>
      <c r="G3588" s="42"/>
      <c r="H3588" s="42"/>
      <c r="I3588" s="44"/>
      <c r="J3588" s="11" t="str">
        <f aca="false">IF(D3588="","",N(G3588)-N(H3588))</f>
        <v/>
      </c>
      <c r="K3588" s="34" t="str">
        <f aca="false">IF(D3588="","",IFERROR(INDEX(I_COA!$C$6:$C$265,MATCH(D3588,I_COA!$A$6:$A$265,0)),"AKUN BARU"))</f>
        <v/>
      </c>
      <c r="L3588" s="34" t="str">
        <f aca="false">IF(K3588="LabaRugi",INDEX(I_COA!$D$6:$D$265,MATCH(D3588,I_COA!$A$6:$A$265,0)),"")</f>
        <v/>
      </c>
      <c r="M3588" s="34" t="str">
        <f aca="false">IF(K3588="Neraca",INDEX(I_COA!$E$6:$E$265,MATCH(D3588,I_COA!$A$6:$A$265,0)),"")</f>
        <v/>
      </c>
      <c r="N3588" s="34" t="str">
        <f aca="false">IF(D3588="","",IFERROR(INDEX(I_COA!$G$6:$G$265,MATCH(D3588,I_COA!$A$6:$A$265,0)),"N"))</f>
        <v/>
      </c>
      <c r="O3588" s="11" t="str">
        <f aca="false">IF(N3588="N",ABS(J3588),"")</f>
        <v/>
      </c>
      <c r="P3588" s="18" t="str">
        <f aca="false">IF(N3588="N",B3588&amp;"|"&amp;ROUND(O3588,0),"")</f>
        <v/>
      </c>
      <c r="Q3588" s="18" t="str">
        <f aca="false">IF(N3588&lt;&gt;"Y","",IFERROR(INDEX($D$6:$D$4005,MATCH(B3588&amp;"|"&amp;ROUND(_xlfn.MAXIFS($O$6:$O$4005,$B$6:$B$4005,B3588,$N$6:$N$4005,"N"),0),$P$6:$P$4005,0)),"(tanpa lawan)"))</f>
        <v/>
      </c>
      <c r="R3588" s="44"/>
      <c r="S3588" s="9" t="str">
        <f aca="false">IF(N3588&lt;&gt;"Y","",IF(R3588&lt;&gt;"",R3588,IF(Q3588="(tanpa lawan)","Transfer antar rekening",IFERROR(INDEX(I_COA!$F$6:$F$265,MATCH(Q3588,I_COA!$A$6:$A$265,0)),"?"))))</f>
        <v/>
      </c>
    </row>
    <row r="3589" customFormat="false" ht="15" hidden="false" customHeight="false" outlineLevel="0" collapsed="false">
      <c r="A3589" s="37"/>
      <c r="B3589" s="44"/>
      <c r="C3589" s="44"/>
      <c r="D3589" s="44"/>
      <c r="E3589" s="44"/>
      <c r="F3589" s="44"/>
      <c r="G3589" s="42"/>
      <c r="H3589" s="42"/>
      <c r="I3589" s="44"/>
      <c r="J3589" s="11" t="str">
        <f aca="false">IF(D3589="","",N(G3589)-N(H3589))</f>
        <v/>
      </c>
      <c r="K3589" s="34" t="str">
        <f aca="false">IF(D3589="","",IFERROR(INDEX(I_COA!$C$6:$C$265,MATCH(D3589,I_COA!$A$6:$A$265,0)),"AKUN BARU"))</f>
        <v/>
      </c>
      <c r="L3589" s="34" t="str">
        <f aca="false">IF(K3589="LabaRugi",INDEX(I_COA!$D$6:$D$265,MATCH(D3589,I_COA!$A$6:$A$265,0)),"")</f>
        <v/>
      </c>
      <c r="M3589" s="34" t="str">
        <f aca="false">IF(K3589="Neraca",INDEX(I_COA!$E$6:$E$265,MATCH(D3589,I_COA!$A$6:$A$265,0)),"")</f>
        <v/>
      </c>
      <c r="N3589" s="34" t="str">
        <f aca="false">IF(D3589="","",IFERROR(INDEX(I_COA!$G$6:$G$265,MATCH(D3589,I_COA!$A$6:$A$265,0)),"N"))</f>
        <v/>
      </c>
      <c r="O3589" s="11" t="str">
        <f aca="false">IF(N3589="N",ABS(J3589),"")</f>
        <v/>
      </c>
      <c r="P3589" s="18" t="str">
        <f aca="false">IF(N3589="N",B3589&amp;"|"&amp;ROUND(O3589,0),"")</f>
        <v/>
      </c>
      <c r="Q3589" s="18" t="str">
        <f aca="false">IF(N3589&lt;&gt;"Y","",IFERROR(INDEX($D$6:$D$4005,MATCH(B3589&amp;"|"&amp;ROUND(_xlfn.MAXIFS($O$6:$O$4005,$B$6:$B$4005,B3589,$N$6:$N$4005,"N"),0),$P$6:$P$4005,0)),"(tanpa lawan)"))</f>
        <v/>
      </c>
      <c r="R3589" s="44"/>
      <c r="S3589" s="9" t="str">
        <f aca="false">IF(N3589&lt;&gt;"Y","",IF(R3589&lt;&gt;"",R3589,IF(Q3589="(tanpa lawan)","Transfer antar rekening",IFERROR(INDEX(I_COA!$F$6:$F$265,MATCH(Q3589,I_COA!$A$6:$A$265,0)),"?"))))</f>
        <v/>
      </c>
    </row>
    <row r="3590" customFormat="false" ht="15" hidden="false" customHeight="false" outlineLevel="0" collapsed="false">
      <c r="A3590" s="37"/>
      <c r="B3590" s="44"/>
      <c r="C3590" s="44"/>
      <c r="D3590" s="44"/>
      <c r="E3590" s="44"/>
      <c r="F3590" s="44"/>
      <c r="G3590" s="42"/>
      <c r="H3590" s="42"/>
      <c r="I3590" s="44"/>
      <c r="J3590" s="11" t="str">
        <f aca="false">IF(D3590="","",N(G3590)-N(H3590))</f>
        <v/>
      </c>
      <c r="K3590" s="34" t="str">
        <f aca="false">IF(D3590="","",IFERROR(INDEX(I_COA!$C$6:$C$265,MATCH(D3590,I_COA!$A$6:$A$265,0)),"AKUN BARU"))</f>
        <v/>
      </c>
      <c r="L3590" s="34" t="str">
        <f aca="false">IF(K3590="LabaRugi",INDEX(I_COA!$D$6:$D$265,MATCH(D3590,I_COA!$A$6:$A$265,0)),"")</f>
        <v/>
      </c>
      <c r="M3590" s="34" t="str">
        <f aca="false">IF(K3590="Neraca",INDEX(I_COA!$E$6:$E$265,MATCH(D3590,I_COA!$A$6:$A$265,0)),"")</f>
        <v/>
      </c>
      <c r="N3590" s="34" t="str">
        <f aca="false">IF(D3590="","",IFERROR(INDEX(I_COA!$G$6:$G$265,MATCH(D3590,I_COA!$A$6:$A$265,0)),"N"))</f>
        <v/>
      </c>
      <c r="O3590" s="11" t="str">
        <f aca="false">IF(N3590="N",ABS(J3590),"")</f>
        <v/>
      </c>
      <c r="P3590" s="18" t="str">
        <f aca="false">IF(N3590="N",B3590&amp;"|"&amp;ROUND(O3590,0),"")</f>
        <v/>
      </c>
      <c r="Q3590" s="18" t="str">
        <f aca="false">IF(N3590&lt;&gt;"Y","",IFERROR(INDEX($D$6:$D$4005,MATCH(B3590&amp;"|"&amp;ROUND(_xlfn.MAXIFS($O$6:$O$4005,$B$6:$B$4005,B3590,$N$6:$N$4005,"N"),0),$P$6:$P$4005,0)),"(tanpa lawan)"))</f>
        <v/>
      </c>
      <c r="R3590" s="44"/>
      <c r="S3590" s="9" t="str">
        <f aca="false">IF(N3590&lt;&gt;"Y","",IF(R3590&lt;&gt;"",R3590,IF(Q3590="(tanpa lawan)","Transfer antar rekening",IFERROR(INDEX(I_COA!$F$6:$F$265,MATCH(Q3590,I_COA!$A$6:$A$265,0)),"?"))))</f>
        <v/>
      </c>
    </row>
    <row r="3591" customFormat="false" ht="15" hidden="false" customHeight="false" outlineLevel="0" collapsed="false">
      <c r="A3591" s="37"/>
      <c r="B3591" s="44"/>
      <c r="C3591" s="44"/>
      <c r="D3591" s="44"/>
      <c r="E3591" s="44"/>
      <c r="F3591" s="44"/>
      <c r="G3591" s="42"/>
      <c r="H3591" s="42"/>
      <c r="I3591" s="44"/>
      <c r="J3591" s="11" t="str">
        <f aca="false">IF(D3591="","",N(G3591)-N(H3591))</f>
        <v/>
      </c>
      <c r="K3591" s="34" t="str">
        <f aca="false">IF(D3591="","",IFERROR(INDEX(I_COA!$C$6:$C$265,MATCH(D3591,I_COA!$A$6:$A$265,0)),"AKUN BARU"))</f>
        <v/>
      </c>
      <c r="L3591" s="34" t="str">
        <f aca="false">IF(K3591="LabaRugi",INDEX(I_COA!$D$6:$D$265,MATCH(D3591,I_COA!$A$6:$A$265,0)),"")</f>
        <v/>
      </c>
      <c r="M3591" s="34" t="str">
        <f aca="false">IF(K3591="Neraca",INDEX(I_COA!$E$6:$E$265,MATCH(D3591,I_COA!$A$6:$A$265,0)),"")</f>
        <v/>
      </c>
      <c r="N3591" s="34" t="str">
        <f aca="false">IF(D3591="","",IFERROR(INDEX(I_COA!$G$6:$G$265,MATCH(D3591,I_COA!$A$6:$A$265,0)),"N"))</f>
        <v/>
      </c>
      <c r="O3591" s="11" t="str">
        <f aca="false">IF(N3591="N",ABS(J3591),"")</f>
        <v/>
      </c>
      <c r="P3591" s="18" t="str">
        <f aca="false">IF(N3591="N",B3591&amp;"|"&amp;ROUND(O3591,0),"")</f>
        <v/>
      </c>
      <c r="Q3591" s="18" t="str">
        <f aca="false">IF(N3591&lt;&gt;"Y","",IFERROR(INDEX($D$6:$D$4005,MATCH(B3591&amp;"|"&amp;ROUND(_xlfn.MAXIFS($O$6:$O$4005,$B$6:$B$4005,B3591,$N$6:$N$4005,"N"),0),$P$6:$P$4005,0)),"(tanpa lawan)"))</f>
        <v/>
      </c>
      <c r="R3591" s="44"/>
      <c r="S3591" s="9" t="str">
        <f aca="false">IF(N3591&lt;&gt;"Y","",IF(R3591&lt;&gt;"",R3591,IF(Q3591="(tanpa lawan)","Transfer antar rekening",IFERROR(INDEX(I_COA!$F$6:$F$265,MATCH(Q3591,I_COA!$A$6:$A$265,0)),"?"))))</f>
        <v/>
      </c>
    </row>
    <row r="3592" customFormat="false" ht="15" hidden="false" customHeight="false" outlineLevel="0" collapsed="false">
      <c r="A3592" s="37"/>
      <c r="B3592" s="44"/>
      <c r="C3592" s="44"/>
      <c r="D3592" s="44"/>
      <c r="E3592" s="44"/>
      <c r="F3592" s="44"/>
      <c r="G3592" s="42"/>
      <c r="H3592" s="42"/>
      <c r="I3592" s="44"/>
      <c r="J3592" s="11" t="str">
        <f aca="false">IF(D3592="","",N(G3592)-N(H3592))</f>
        <v/>
      </c>
      <c r="K3592" s="34" t="str">
        <f aca="false">IF(D3592="","",IFERROR(INDEX(I_COA!$C$6:$C$265,MATCH(D3592,I_COA!$A$6:$A$265,0)),"AKUN BARU"))</f>
        <v/>
      </c>
      <c r="L3592" s="34" t="str">
        <f aca="false">IF(K3592="LabaRugi",INDEX(I_COA!$D$6:$D$265,MATCH(D3592,I_COA!$A$6:$A$265,0)),"")</f>
        <v/>
      </c>
      <c r="M3592" s="34" t="str">
        <f aca="false">IF(K3592="Neraca",INDEX(I_COA!$E$6:$E$265,MATCH(D3592,I_COA!$A$6:$A$265,0)),"")</f>
        <v/>
      </c>
      <c r="N3592" s="34" t="str">
        <f aca="false">IF(D3592="","",IFERROR(INDEX(I_COA!$G$6:$G$265,MATCH(D3592,I_COA!$A$6:$A$265,0)),"N"))</f>
        <v/>
      </c>
      <c r="O3592" s="11" t="str">
        <f aca="false">IF(N3592="N",ABS(J3592),"")</f>
        <v/>
      </c>
      <c r="P3592" s="18" t="str">
        <f aca="false">IF(N3592="N",B3592&amp;"|"&amp;ROUND(O3592,0),"")</f>
        <v/>
      </c>
      <c r="Q3592" s="18" t="str">
        <f aca="false">IF(N3592&lt;&gt;"Y","",IFERROR(INDEX($D$6:$D$4005,MATCH(B3592&amp;"|"&amp;ROUND(_xlfn.MAXIFS($O$6:$O$4005,$B$6:$B$4005,B3592,$N$6:$N$4005,"N"),0),$P$6:$P$4005,0)),"(tanpa lawan)"))</f>
        <v/>
      </c>
      <c r="R3592" s="44"/>
      <c r="S3592" s="9" t="str">
        <f aca="false">IF(N3592&lt;&gt;"Y","",IF(R3592&lt;&gt;"",R3592,IF(Q3592="(tanpa lawan)","Transfer antar rekening",IFERROR(INDEX(I_COA!$F$6:$F$265,MATCH(Q3592,I_COA!$A$6:$A$265,0)),"?"))))</f>
        <v/>
      </c>
    </row>
    <row r="3593" customFormat="false" ht="15" hidden="false" customHeight="false" outlineLevel="0" collapsed="false">
      <c r="A3593" s="37"/>
      <c r="B3593" s="44"/>
      <c r="C3593" s="44"/>
      <c r="D3593" s="44"/>
      <c r="E3593" s="44"/>
      <c r="F3593" s="44"/>
      <c r="G3593" s="42"/>
      <c r="H3593" s="42"/>
      <c r="I3593" s="44"/>
      <c r="J3593" s="11" t="str">
        <f aca="false">IF(D3593="","",N(G3593)-N(H3593))</f>
        <v/>
      </c>
      <c r="K3593" s="34" t="str">
        <f aca="false">IF(D3593="","",IFERROR(INDEX(I_COA!$C$6:$C$265,MATCH(D3593,I_COA!$A$6:$A$265,0)),"AKUN BARU"))</f>
        <v/>
      </c>
      <c r="L3593" s="34" t="str">
        <f aca="false">IF(K3593="LabaRugi",INDEX(I_COA!$D$6:$D$265,MATCH(D3593,I_COA!$A$6:$A$265,0)),"")</f>
        <v/>
      </c>
      <c r="M3593" s="34" t="str">
        <f aca="false">IF(K3593="Neraca",INDEX(I_COA!$E$6:$E$265,MATCH(D3593,I_COA!$A$6:$A$265,0)),"")</f>
        <v/>
      </c>
      <c r="N3593" s="34" t="str">
        <f aca="false">IF(D3593="","",IFERROR(INDEX(I_COA!$G$6:$G$265,MATCH(D3593,I_COA!$A$6:$A$265,0)),"N"))</f>
        <v/>
      </c>
      <c r="O3593" s="11" t="str">
        <f aca="false">IF(N3593="N",ABS(J3593),"")</f>
        <v/>
      </c>
      <c r="P3593" s="18" t="str">
        <f aca="false">IF(N3593="N",B3593&amp;"|"&amp;ROUND(O3593,0),"")</f>
        <v/>
      </c>
      <c r="Q3593" s="18" t="str">
        <f aca="false">IF(N3593&lt;&gt;"Y","",IFERROR(INDEX($D$6:$D$4005,MATCH(B3593&amp;"|"&amp;ROUND(_xlfn.MAXIFS($O$6:$O$4005,$B$6:$B$4005,B3593,$N$6:$N$4005,"N"),0),$P$6:$P$4005,0)),"(tanpa lawan)"))</f>
        <v/>
      </c>
      <c r="R3593" s="44"/>
      <c r="S3593" s="9" t="str">
        <f aca="false">IF(N3593&lt;&gt;"Y","",IF(R3593&lt;&gt;"",R3593,IF(Q3593="(tanpa lawan)","Transfer antar rekening",IFERROR(INDEX(I_COA!$F$6:$F$265,MATCH(Q3593,I_COA!$A$6:$A$265,0)),"?"))))</f>
        <v/>
      </c>
    </row>
    <row r="3594" customFormat="false" ht="15" hidden="false" customHeight="false" outlineLevel="0" collapsed="false">
      <c r="A3594" s="37"/>
      <c r="B3594" s="44"/>
      <c r="C3594" s="44"/>
      <c r="D3594" s="44"/>
      <c r="E3594" s="44"/>
      <c r="F3594" s="44"/>
      <c r="G3594" s="42"/>
      <c r="H3594" s="42"/>
      <c r="I3594" s="44"/>
      <c r="J3594" s="11" t="str">
        <f aca="false">IF(D3594="","",N(G3594)-N(H3594))</f>
        <v/>
      </c>
      <c r="K3594" s="34" t="str">
        <f aca="false">IF(D3594="","",IFERROR(INDEX(I_COA!$C$6:$C$265,MATCH(D3594,I_COA!$A$6:$A$265,0)),"AKUN BARU"))</f>
        <v/>
      </c>
      <c r="L3594" s="34" t="str">
        <f aca="false">IF(K3594="LabaRugi",INDEX(I_COA!$D$6:$D$265,MATCH(D3594,I_COA!$A$6:$A$265,0)),"")</f>
        <v/>
      </c>
      <c r="M3594" s="34" t="str">
        <f aca="false">IF(K3594="Neraca",INDEX(I_COA!$E$6:$E$265,MATCH(D3594,I_COA!$A$6:$A$265,0)),"")</f>
        <v/>
      </c>
      <c r="N3594" s="34" t="str">
        <f aca="false">IF(D3594="","",IFERROR(INDEX(I_COA!$G$6:$G$265,MATCH(D3594,I_COA!$A$6:$A$265,0)),"N"))</f>
        <v/>
      </c>
      <c r="O3594" s="11" t="str">
        <f aca="false">IF(N3594="N",ABS(J3594),"")</f>
        <v/>
      </c>
      <c r="P3594" s="18" t="str">
        <f aca="false">IF(N3594="N",B3594&amp;"|"&amp;ROUND(O3594,0),"")</f>
        <v/>
      </c>
      <c r="Q3594" s="18" t="str">
        <f aca="false">IF(N3594&lt;&gt;"Y","",IFERROR(INDEX($D$6:$D$4005,MATCH(B3594&amp;"|"&amp;ROUND(_xlfn.MAXIFS($O$6:$O$4005,$B$6:$B$4005,B3594,$N$6:$N$4005,"N"),0),$P$6:$P$4005,0)),"(tanpa lawan)"))</f>
        <v/>
      </c>
      <c r="R3594" s="44"/>
      <c r="S3594" s="9" t="str">
        <f aca="false">IF(N3594&lt;&gt;"Y","",IF(R3594&lt;&gt;"",R3594,IF(Q3594="(tanpa lawan)","Transfer antar rekening",IFERROR(INDEX(I_COA!$F$6:$F$265,MATCH(Q3594,I_COA!$A$6:$A$265,0)),"?"))))</f>
        <v/>
      </c>
    </row>
    <row r="3595" customFormat="false" ht="15" hidden="false" customHeight="false" outlineLevel="0" collapsed="false">
      <c r="A3595" s="37"/>
      <c r="B3595" s="44"/>
      <c r="C3595" s="44"/>
      <c r="D3595" s="44"/>
      <c r="E3595" s="44"/>
      <c r="F3595" s="44"/>
      <c r="G3595" s="42"/>
      <c r="H3595" s="42"/>
      <c r="I3595" s="44"/>
      <c r="J3595" s="11" t="str">
        <f aca="false">IF(D3595="","",N(G3595)-N(H3595))</f>
        <v/>
      </c>
      <c r="K3595" s="34" t="str">
        <f aca="false">IF(D3595="","",IFERROR(INDEX(I_COA!$C$6:$C$265,MATCH(D3595,I_COA!$A$6:$A$265,0)),"AKUN BARU"))</f>
        <v/>
      </c>
      <c r="L3595" s="34" t="str">
        <f aca="false">IF(K3595="LabaRugi",INDEX(I_COA!$D$6:$D$265,MATCH(D3595,I_COA!$A$6:$A$265,0)),"")</f>
        <v/>
      </c>
      <c r="M3595" s="34" t="str">
        <f aca="false">IF(K3595="Neraca",INDEX(I_COA!$E$6:$E$265,MATCH(D3595,I_COA!$A$6:$A$265,0)),"")</f>
        <v/>
      </c>
      <c r="N3595" s="34" t="str">
        <f aca="false">IF(D3595="","",IFERROR(INDEX(I_COA!$G$6:$G$265,MATCH(D3595,I_COA!$A$6:$A$265,0)),"N"))</f>
        <v/>
      </c>
      <c r="O3595" s="11" t="str">
        <f aca="false">IF(N3595="N",ABS(J3595),"")</f>
        <v/>
      </c>
      <c r="P3595" s="18" t="str">
        <f aca="false">IF(N3595="N",B3595&amp;"|"&amp;ROUND(O3595,0),"")</f>
        <v/>
      </c>
      <c r="Q3595" s="18" t="str">
        <f aca="false">IF(N3595&lt;&gt;"Y","",IFERROR(INDEX($D$6:$D$4005,MATCH(B3595&amp;"|"&amp;ROUND(_xlfn.MAXIFS($O$6:$O$4005,$B$6:$B$4005,B3595,$N$6:$N$4005,"N"),0),$P$6:$P$4005,0)),"(tanpa lawan)"))</f>
        <v/>
      </c>
      <c r="R3595" s="44"/>
      <c r="S3595" s="9" t="str">
        <f aca="false">IF(N3595&lt;&gt;"Y","",IF(R3595&lt;&gt;"",R3595,IF(Q3595="(tanpa lawan)","Transfer antar rekening",IFERROR(INDEX(I_COA!$F$6:$F$265,MATCH(Q3595,I_COA!$A$6:$A$265,0)),"?"))))</f>
        <v/>
      </c>
    </row>
    <row r="3596" customFormat="false" ht="15" hidden="false" customHeight="false" outlineLevel="0" collapsed="false">
      <c r="A3596" s="37"/>
      <c r="B3596" s="44"/>
      <c r="C3596" s="44"/>
      <c r="D3596" s="44"/>
      <c r="E3596" s="44"/>
      <c r="F3596" s="44"/>
      <c r="G3596" s="42"/>
      <c r="H3596" s="42"/>
      <c r="I3596" s="44"/>
      <c r="J3596" s="11" t="str">
        <f aca="false">IF(D3596="","",N(G3596)-N(H3596))</f>
        <v/>
      </c>
      <c r="K3596" s="34" t="str">
        <f aca="false">IF(D3596="","",IFERROR(INDEX(I_COA!$C$6:$C$265,MATCH(D3596,I_COA!$A$6:$A$265,0)),"AKUN BARU"))</f>
        <v/>
      </c>
      <c r="L3596" s="34" t="str">
        <f aca="false">IF(K3596="LabaRugi",INDEX(I_COA!$D$6:$D$265,MATCH(D3596,I_COA!$A$6:$A$265,0)),"")</f>
        <v/>
      </c>
      <c r="M3596" s="34" t="str">
        <f aca="false">IF(K3596="Neraca",INDEX(I_COA!$E$6:$E$265,MATCH(D3596,I_COA!$A$6:$A$265,0)),"")</f>
        <v/>
      </c>
      <c r="N3596" s="34" t="str">
        <f aca="false">IF(D3596="","",IFERROR(INDEX(I_COA!$G$6:$G$265,MATCH(D3596,I_COA!$A$6:$A$265,0)),"N"))</f>
        <v/>
      </c>
      <c r="O3596" s="11" t="str">
        <f aca="false">IF(N3596="N",ABS(J3596),"")</f>
        <v/>
      </c>
      <c r="P3596" s="18" t="str">
        <f aca="false">IF(N3596="N",B3596&amp;"|"&amp;ROUND(O3596,0),"")</f>
        <v/>
      </c>
      <c r="Q3596" s="18" t="str">
        <f aca="false">IF(N3596&lt;&gt;"Y","",IFERROR(INDEX($D$6:$D$4005,MATCH(B3596&amp;"|"&amp;ROUND(_xlfn.MAXIFS($O$6:$O$4005,$B$6:$B$4005,B3596,$N$6:$N$4005,"N"),0),$P$6:$P$4005,0)),"(tanpa lawan)"))</f>
        <v/>
      </c>
      <c r="R3596" s="44"/>
      <c r="S3596" s="9" t="str">
        <f aca="false">IF(N3596&lt;&gt;"Y","",IF(R3596&lt;&gt;"",R3596,IF(Q3596="(tanpa lawan)","Transfer antar rekening",IFERROR(INDEX(I_COA!$F$6:$F$265,MATCH(Q3596,I_COA!$A$6:$A$265,0)),"?"))))</f>
        <v/>
      </c>
    </row>
    <row r="3597" customFormat="false" ht="15" hidden="false" customHeight="false" outlineLevel="0" collapsed="false">
      <c r="A3597" s="37"/>
      <c r="B3597" s="44"/>
      <c r="C3597" s="44"/>
      <c r="D3597" s="44"/>
      <c r="E3597" s="44"/>
      <c r="F3597" s="44"/>
      <c r="G3597" s="42"/>
      <c r="H3597" s="42"/>
      <c r="I3597" s="44"/>
      <c r="J3597" s="11" t="str">
        <f aca="false">IF(D3597="","",N(G3597)-N(H3597))</f>
        <v/>
      </c>
      <c r="K3597" s="34" t="str">
        <f aca="false">IF(D3597="","",IFERROR(INDEX(I_COA!$C$6:$C$265,MATCH(D3597,I_COA!$A$6:$A$265,0)),"AKUN BARU"))</f>
        <v/>
      </c>
      <c r="L3597" s="34" t="str">
        <f aca="false">IF(K3597="LabaRugi",INDEX(I_COA!$D$6:$D$265,MATCH(D3597,I_COA!$A$6:$A$265,0)),"")</f>
        <v/>
      </c>
      <c r="M3597" s="34" t="str">
        <f aca="false">IF(K3597="Neraca",INDEX(I_COA!$E$6:$E$265,MATCH(D3597,I_COA!$A$6:$A$265,0)),"")</f>
        <v/>
      </c>
      <c r="N3597" s="34" t="str">
        <f aca="false">IF(D3597="","",IFERROR(INDEX(I_COA!$G$6:$G$265,MATCH(D3597,I_COA!$A$6:$A$265,0)),"N"))</f>
        <v/>
      </c>
      <c r="O3597" s="11" t="str">
        <f aca="false">IF(N3597="N",ABS(J3597),"")</f>
        <v/>
      </c>
      <c r="P3597" s="18" t="str">
        <f aca="false">IF(N3597="N",B3597&amp;"|"&amp;ROUND(O3597,0),"")</f>
        <v/>
      </c>
      <c r="Q3597" s="18" t="str">
        <f aca="false">IF(N3597&lt;&gt;"Y","",IFERROR(INDEX($D$6:$D$4005,MATCH(B3597&amp;"|"&amp;ROUND(_xlfn.MAXIFS($O$6:$O$4005,$B$6:$B$4005,B3597,$N$6:$N$4005,"N"),0),$P$6:$P$4005,0)),"(tanpa lawan)"))</f>
        <v/>
      </c>
      <c r="R3597" s="44"/>
      <c r="S3597" s="9" t="str">
        <f aca="false">IF(N3597&lt;&gt;"Y","",IF(R3597&lt;&gt;"",R3597,IF(Q3597="(tanpa lawan)","Transfer antar rekening",IFERROR(INDEX(I_COA!$F$6:$F$265,MATCH(Q3597,I_COA!$A$6:$A$265,0)),"?"))))</f>
        <v/>
      </c>
    </row>
    <row r="3598" customFormat="false" ht="15" hidden="false" customHeight="false" outlineLevel="0" collapsed="false">
      <c r="A3598" s="37"/>
      <c r="B3598" s="44"/>
      <c r="C3598" s="44"/>
      <c r="D3598" s="44"/>
      <c r="E3598" s="44"/>
      <c r="F3598" s="44"/>
      <c r="G3598" s="42"/>
      <c r="H3598" s="42"/>
      <c r="I3598" s="44"/>
      <c r="J3598" s="11" t="str">
        <f aca="false">IF(D3598="","",N(G3598)-N(H3598))</f>
        <v/>
      </c>
      <c r="K3598" s="34" t="str">
        <f aca="false">IF(D3598="","",IFERROR(INDEX(I_COA!$C$6:$C$265,MATCH(D3598,I_COA!$A$6:$A$265,0)),"AKUN BARU"))</f>
        <v/>
      </c>
      <c r="L3598" s="34" t="str">
        <f aca="false">IF(K3598="LabaRugi",INDEX(I_COA!$D$6:$D$265,MATCH(D3598,I_COA!$A$6:$A$265,0)),"")</f>
        <v/>
      </c>
      <c r="M3598" s="34" t="str">
        <f aca="false">IF(K3598="Neraca",INDEX(I_COA!$E$6:$E$265,MATCH(D3598,I_COA!$A$6:$A$265,0)),"")</f>
        <v/>
      </c>
      <c r="N3598" s="34" t="str">
        <f aca="false">IF(D3598="","",IFERROR(INDEX(I_COA!$G$6:$G$265,MATCH(D3598,I_COA!$A$6:$A$265,0)),"N"))</f>
        <v/>
      </c>
      <c r="O3598" s="11" t="str">
        <f aca="false">IF(N3598="N",ABS(J3598),"")</f>
        <v/>
      </c>
      <c r="P3598" s="18" t="str">
        <f aca="false">IF(N3598="N",B3598&amp;"|"&amp;ROUND(O3598,0),"")</f>
        <v/>
      </c>
      <c r="Q3598" s="18" t="str">
        <f aca="false">IF(N3598&lt;&gt;"Y","",IFERROR(INDEX($D$6:$D$4005,MATCH(B3598&amp;"|"&amp;ROUND(_xlfn.MAXIFS($O$6:$O$4005,$B$6:$B$4005,B3598,$N$6:$N$4005,"N"),0),$P$6:$P$4005,0)),"(tanpa lawan)"))</f>
        <v/>
      </c>
      <c r="R3598" s="44"/>
      <c r="S3598" s="9" t="str">
        <f aca="false">IF(N3598&lt;&gt;"Y","",IF(R3598&lt;&gt;"",R3598,IF(Q3598="(tanpa lawan)","Transfer antar rekening",IFERROR(INDEX(I_COA!$F$6:$F$265,MATCH(Q3598,I_COA!$A$6:$A$265,0)),"?"))))</f>
        <v/>
      </c>
    </row>
    <row r="3599" customFormat="false" ht="15" hidden="false" customHeight="false" outlineLevel="0" collapsed="false">
      <c r="A3599" s="37"/>
      <c r="B3599" s="44"/>
      <c r="C3599" s="44"/>
      <c r="D3599" s="44"/>
      <c r="E3599" s="44"/>
      <c r="F3599" s="44"/>
      <c r="G3599" s="42"/>
      <c r="H3599" s="42"/>
      <c r="I3599" s="44"/>
      <c r="J3599" s="11" t="str">
        <f aca="false">IF(D3599="","",N(G3599)-N(H3599))</f>
        <v/>
      </c>
      <c r="K3599" s="34" t="str">
        <f aca="false">IF(D3599="","",IFERROR(INDEX(I_COA!$C$6:$C$265,MATCH(D3599,I_COA!$A$6:$A$265,0)),"AKUN BARU"))</f>
        <v/>
      </c>
      <c r="L3599" s="34" t="str">
        <f aca="false">IF(K3599="LabaRugi",INDEX(I_COA!$D$6:$D$265,MATCH(D3599,I_COA!$A$6:$A$265,0)),"")</f>
        <v/>
      </c>
      <c r="M3599" s="34" t="str">
        <f aca="false">IF(K3599="Neraca",INDEX(I_COA!$E$6:$E$265,MATCH(D3599,I_COA!$A$6:$A$265,0)),"")</f>
        <v/>
      </c>
      <c r="N3599" s="34" t="str">
        <f aca="false">IF(D3599="","",IFERROR(INDEX(I_COA!$G$6:$G$265,MATCH(D3599,I_COA!$A$6:$A$265,0)),"N"))</f>
        <v/>
      </c>
      <c r="O3599" s="11" t="str">
        <f aca="false">IF(N3599="N",ABS(J3599),"")</f>
        <v/>
      </c>
      <c r="P3599" s="18" t="str">
        <f aca="false">IF(N3599="N",B3599&amp;"|"&amp;ROUND(O3599,0),"")</f>
        <v/>
      </c>
      <c r="Q3599" s="18" t="str">
        <f aca="false">IF(N3599&lt;&gt;"Y","",IFERROR(INDEX($D$6:$D$4005,MATCH(B3599&amp;"|"&amp;ROUND(_xlfn.MAXIFS($O$6:$O$4005,$B$6:$B$4005,B3599,$N$6:$N$4005,"N"),0),$P$6:$P$4005,0)),"(tanpa lawan)"))</f>
        <v/>
      </c>
      <c r="R3599" s="44"/>
      <c r="S3599" s="9" t="str">
        <f aca="false">IF(N3599&lt;&gt;"Y","",IF(R3599&lt;&gt;"",R3599,IF(Q3599="(tanpa lawan)","Transfer antar rekening",IFERROR(INDEX(I_COA!$F$6:$F$265,MATCH(Q3599,I_COA!$A$6:$A$265,0)),"?"))))</f>
        <v/>
      </c>
    </row>
    <row r="3600" customFormat="false" ht="15" hidden="false" customHeight="false" outlineLevel="0" collapsed="false">
      <c r="A3600" s="37"/>
      <c r="B3600" s="44"/>
      <c r="C3600" s="44"/>
      <c r="D3600" s="44"/>
      <c r="E3600" s="44"/>
      <c r="F3600" s="44"/>
      <c r="G3600" s="42"/>
      <c r="H3600" s="42"/>
      <c r="I3600" s="44"/>
      <c r="J3600" s="11" t="str">
        <f aca="false">IF(D3600="","",N(G3600)-N(H3600))</f>
        <v/>
      </c>
      <c r="K3600" s="34" t="str">
        <f aca="false">IF(D3600="","",IFERROR(INDEX(I_COA!$C$6:$C$265,MATCH(D3600,I_COA!$A$6:$A$265,0)),"AKUN BARU"))</f>
        <v/>
      </c>
      <c r="L3600" s="34" t="str">
        <f aca="false">IF(K3600="LabaRugi",INDEX(I_COA!$D$6:$D$265,MATCH(D3600,I_COA!$A$6:$A$265,0)),"")</f>
        <v/>
      </c>
      <c r="M3600" s="34" t="str">
        <f aca="false">IF(K3600="Neraca",INDEX(I_COA!$E$6:$E$265,MATCH(D3600,I_COA!$A$6:$A$265,0)),"")</f>
        <v/>
      </c>
      <c r="N3600" s="34" t="str">
        <f aca="false">IF(D3600="","",IFERROR(INDEX(I_COA!$G$6:$G$265,MATCH(D3600,I_COA!$A$6:$A$265,0)),"N"))</f>
        <v/>
      </c>
      <c r="O3600" s="11" t="str">
        <f aca="false">IF(N3600="N",ABS(J3600),"")</f>
        <v/>
      </c>
      <c r="P3600" s="18" t="str">
        <f aca="false">IF(N3600="N",B3600&amp;"|"&amp;ROUND(O3600,0),"")</f>
        <v/>
      </c>
      <c r="Q3600" s="18" t="str">
        <f aca="false">IF(N3600&lt;&gt;"Y","",IFERROR(INDEX($D$6:$D$4005,MATCH(B3600&amp;"|"&amp;ROUND(_xlfn.MAXIFS($O$6:$O$4005,$B$6:$B$4005,B3600,$N$6:$N$4005,"N"),0),$P$6:$P$4005,0)),"(tanpa lawan)"))</f>
        <v/>
      </c>
      <c r="R3600" s="44"/>
      <c r="S3600" s="9" t="str">
        <f aca="false">IF(N3600&lt;&gt;"Y","",IF(R3600&lt;&gt;"",R3600,IF(Q3600="(tanpa lawan)","Transfer antar rekening",IFERROR(INDEX(I_COA!$F$6:$F$265,MATCH(Q3600,I_COA!$A$6:$A$265,0)),"?"))))</f>
        <v/>
      </c>
    </row>
    <row r="3601" customFormat="false" ht="15" hidden="false" customHeight="false" outlineLevel="0" collapsed="false">
      <c r="A3601" s="37"/>
      <c r="B3601" s="44"/>
      <c r="C3601" s="44"/>
      <c r="D3601" s="44"/>
      <c r="E3601" s="44"/>
      <c r="F3601" s="44"/>
      <c r="G3601" s="42"/>
      <c r="H3601" s="42"/>
      <c r="I3601" s="44"/>
      <c r="J3601" s="11" t="str">
        <f aca="false">IF(D3601="","",N(G3601)-N(H3601))</f>
        <v/>
      </c>
      <c r="K3601" s="34" t="str">
        <f aca="false">IF(D3601="","",IFERROR(INDEX(I_COA!$C$6:$C$265,MATCH(D3601,I_COA!$A$6:$A$265,0)),"AKUN BARU"))</f>
        <v/>
      </c>
      <c r="L3601" s="34" t="str">
        <f aca="false">IF(K3601="LabaRugi",INDEX(I_COA!$D$6:$D$265,MATCH(D3601,I_COA!$A$6:$A$265,0)),"")</f>
        <v/>
      </c>
      <c r="M3601" s="34" t="str">
        <f aca="false">IF(K3601="Neraca",INDEX(I_COA!$E$6:$E$265,MATCH(D3601,I_COA!$A$6:$A$265,0)),"")</f>
        <v/>
      </c>
      <c r="N3601" s="34" t="str">
        <f aca="false">IF(D3601="","",IFERROR(INDEX(I_COA!$G$6:$G$265,MATCH(D3601,I_COA!$A$6:$A$265,0)),"N"))</f>
        <v/>
      </c>
      <c r="O3601" s="11" t="str">
        <f aca="false">IF(N3601="N",ABS(J3601),"")</f>
        <v/>
      </c>
      <c r="P3601" s="18" t="str">
        <f aca="false">IF(N3601="N",B3601&amp;"|"&amp;ROUND(O3601,0),"")</f>
        <v/>
      </c>
      <c r="Q3601" s="18" t="str">
        <f aca="false">IF(N3601&lt;&gt;"Y","",IFERROR(INDEX($D$6:$D$4005,MATCH(B3601&amp;"|"&amp;ROUND(_xlfn.MAXIFS($O$6:$O$4005,$B$6:$B$4005,B3601,$N$6:$N$4005,"N"),0),$P$6:$P$4005,0)),"(tanpa lawan)"))</f>
        <v/>
      </c>
      <c r="R3601" s="44"/>
      <c r="S3601" s="9" t="str">
        <f aca="false">IF(N3601&lt;&gt;"Y","",IF(R3601&lt;&gt;"",R3601,IF(Q3601="(tanpa lawan)","Transfer antar rekening",IFERROR(INDEX(I_COA!$F$6:$F$265,MATCH(Q3601,I_COA!$A$6:$A$265,0)),"?"))))</f>
        <v/>
      </c>
    </row>
    <row r="3602" customFormat="false" ht="15" hidden="false" customHeight="false" outlineLevel="0" collapsed="false">
      <c r="A3602" s="37"/>
      <c r="B3602" s="44"/>
      <c r="C3602" s="44"/>
      <c r="D3602" s="44"/>
      <c r="E3602" s="44"/>
      <c r="F3602" s="44"/>
      <c r="G3602" s="42"/>
      <c r="H3602" s="42"/>
      <c r="I3602" s="44"/>
      <c r="J3602" s="11" t="str">
        <f aca="false">IF(D3602="","",N(G3602)-N(H3602))</f>
        <v/>
      </c>
      <c r="K3602" s="34" t="str">
        <f aca="false">IF(D3602="","",IFERROR(INDEX(I_COA!$C$6:$C$265,MATCH(D3602,I_COA!$A$6:$A$265,0)),"AKUN BARU"))</f>
        <v/>
      </c>
      <c r="L3602" s="34" t="str">
        <f aca="false">IF(K3602="LabaRugi",INDEX(I_COA!$D$6:$D$265,MATCH(D3602,I_COA!$A$6:$A$265,0)),"")</f>
        <v/>
      </c>
      <c r="M3602" s="34" t="str">
        <f aca="false">IF(K3602="Neraca",INDEX(I_COA!$E$6:$E$265,MATCH(D3602,I_COA!$A$6:$A$265,0)),"")</f>
        <v/>
      </c>
      <c r="N3602" s="34" t="str">
        <f aca="false">IF(D3602="","",IFERROR(INDEX(I_COA!$G$6:$G$265,MATCH(D3602,I_COA!$A$6:$A$265,0)),"N"))</f>
        <v/>
      </c>
      <c r="O3602" s="11" t="str">
        <f aca="false">IF(N3602="N",ABS(J3602),"")</f>
        <v/>
      </c>
      <c r="P3602" s="18" t="str">
        <f aca="false">IF(N3602="N",B3602&amp;"|"&amp;ROUND(O3602,0),"")</f>
        <v/>
      </c>
      <c r="Q3602" s="18" t="str">
        <f aca="false">IF(N3602&lt;&gt;"Y","",IFERROR(INDEX($D$6:$D$4005,MATCH(B3602&amp;"|"&amp;ROUND(_xlfn.MAXIFS($O$6:$O$4005,$B$6:$B$4005,B3602,$N$6:$N$4005,"N"),0),$P$6:$P$4005,0)),"(tanpa lawan)"))</f>
        <v/>
      </c>
      <c r="R3602" s="44"/>
      <c r="S3602" s="9" t="str">
        <f aca="false">IF(N3602&lt;&gt;"Y","",IF(R3602&lt;&gt;"",R3602,IF(Q3602="(tanpa lawan)","Transfer antar rekening",IFERROR(INDEX(I_COA!$F$6:$F$265,MATCH(Q3602,I_COA!$A$6:$A$265,0)),"?"))))</f>
        <v/>
      </c>
    </row>
    <row r="3603" customFormat="false" ht="15" hidden="false" customHeight="false" outlineLevel="0" collapsed="false">
      <c r="A3603" s="37"/>
      <c r="B3603" s="44"/>
      <c r="C3603" s="44"/>
      <c r="D3603" s="44"/>
      <c r="E3603" s="44"/>
      <c r="F3603" s="44"/>
      <c r="G3603" s="42"/>
      <c r="H3603" s="42"/>
      <c r="I3603" s="44"/>
      <c r="J3603" s="11" t="str">
        <f aca="false">IF(D3603="","",N(G3603)-N(H3603))</f>
        <v/>
      </c>
      <c r="K3603" s="34" t="str">
        <f aca="false">IF(D3603="","",IFERROR(INDEX(I_COA!$C$6:$C$265,MATCH(D3603,I_COA!$A$6:$A$265,0)),"AKUN BARU"))</f>
        <v/>
      </c>
      <c r="L3603" s="34" t="str">
        <f aca="false">IF(K3603="LabaRugi",INDEX(I_COA!$D$6:$D$265,MATCH(D3603,I_COA!$A$6:$A$265,0)),"")</f>
        <v/>
      </c>
      <c r="M3603" s="34" t="str">
        <f aca="false">IF(K3603="Neraca",INDEX(I_COA!$E$6:$E$265,MATCH(D3603,I_COA!$A$6:$A$265,0)),"")</f>
        <v/>
      </c>
      <c r="N3603" s="34" t="str">
        <f aca="false">IF(D3603="","",IFERROR(INDEX(I_COA!$G$6:$G$265,MATCH(D3603,I_COA!$A$6:$A$265,0)),"N"))</f>
        <v/>
      </c>
      <c r="O3603" s="11" t="str">
        <f aca="false">IF(N3603="N",ABS(J3603),"")</f>
        <v/>
      </c>
      <c r="P3603" s="18" t="str">
        <f aca="false">IF(N3603="N",B3603&amp;"|"&amp;ROUND(O3603,0),"")</f>
        <v/>
      </c>
      <c r="Q3603" s="18" t="str">
        <f aca="false">IF(N3603&lt;&gt;"Y","",IFERROR(INDEX($D$6:$D$4005,MATCH(B3603&amp;"|"&amp;ROUND(_xlfn.MAXIFS($O$6:$O$4005,$B$6:$B$4005,B3603,$N$6:$N$4005,"N"),0),$P$6:$P$4005,0)),"(tanpa lawan)"))</f>
        <v/>
      </c>
      <c r="R3603" s="44"/>
      <c r="S3603" s="9" t="str">
        <f aca="false">IF(N3603&lt;&gt;"Y","",IF(R3603&lt;&gt;"",R3603,IF(Q3603="(tanpa lawan)","Transfer antar rekening",IFERROR(INDEX(I_COA!$F$6:$F$265,MATCH(Q3603,I_COA!$A$6:$A$265,0)),"?"))))</f>
        <v/>
      </c>
    </row>
    <row r="3604" customFormat="false" ht="15" hidden="false" customHeight="false" outlineLevel="0" collapsed="false">
      <c r="A3604" s="37"/>
      <c r="B3604" s="44"/>
      <c r="C3604" s="44"/>
      <c r="D3604" s="44"/>
      <c r="E3604" s="44"/>
      <c r="F3604" s="44"/>
      <c r="G3604" s="42"/>
      <c r="H3604" s="42"/>
      <c r="I3604" s="44"/>
      <c r="J3604" s="11" t="str">
        <f aca="false">IF(D3604="","",N(G3604)-N(H3604))</f>
        <v/>
      </c>
      <c r="K3604" s="34" t="str">
        <f aca="false">IF(D3604="","",IFERROR(INDEX(I_COA!$C$6:$C$265,MATCH(D3604,I_COA!$A$6:$A$265,0)),"AKUN BARU"))</f>
        <v/>
      </c>
      <c r="L3604" s="34" t="str">
        <f aca="false">IF(K3604="LabaRugi",INDEX(I_COA!$D$6:$D$265,MATCH(D3604,I_COA!$A$6:$A$265,0)),"")</f>
        <v/>
      </c>
      <c r="M3604" s="34" t="str">
        <f aca="false">IF(K3604="Neraca",INDEX(I_COA!$E$6:$E$265,MATCH(D3604,I_COA!$A$6:$A$265,0)),"")</f>
        <v/>
      </c>
      <c r="N3604" s="34" t="str">
        <f aca="false">IF(D3604="","",IFERROR(INDEX(I_COA!$G$6:$G$265,MATCH(D3604,I_COA!$A$6:$A$265,0)),"N"))</f>
        <v/>
      </c>
      <c r="O3604" s="11" t="str">
        <f aca="false">IF(N3604="N",ABS(J3604),"")</f>
        <v/>
      </c>
      <c r="P3604" s="18" t="str">
        <f aca="false">IF(N3604="N",B3604&amp;"|"&amp;ROUND(O3604,0),"")</f>
        <v/>
      </c>
      <c r="Q3604" s="18" t="str">
        <f aca="false">IF(N3604&lt;&gt;"Y","",IFERROR(INDEX($D$6:$D$4005,MATCH(B3604&amp;"|"&amp;ROUND(_xlfn.MAXIFS($O$6:$O$4005,$B$6:$B$4005,B3604,$N$6:$N$4005,"N"),0),$P$6:$P$4005,0)),"(tanpa lawan)"))</f>
        <v/>
      </c>
      <c r="R3604" s="44"/>
      <c r="S3604" s="9" t="str">
        <f aca="false">IF(N3604&lt;&gt;"Y","",IF(R3604&lt;&gt;"",R3604,IF(Q3604="(tanpa lawan)","Transfer antar rekening",IFERROR(INDEX(I_COA!$F$6:$F$265,MATCH(Q3604,I_COA!$A$6:$A$265,0)),"?"))))</f>
        <v/>
      </c>
    </row>
    <row r="3605" customFormat="false" ht="15" hidden="false" customHeight="false" outlineLevel="0" collapsed="false">
      <c r="A3605" s="37"/>
      <c r="B3605" s="44"/>
      <c r="C3605" s="44"/>
      <c r="D3605" s="44"/>
      <c r="E3605" s="44"/>
      <c r="F3605" s="44"/>
      <c r="G3605" s="42"/>
      <c r="H3605" s="42"/>
      <c r="I3605" s="44"/>
      <c r="J3605" s="11" t="str">
        <f aca="false">IF(D3605="","",N(G3605)-N(H3605))</f>
        <v/>
      </c>
      <c r="K3605" s="34" t="str">
        <f aca="false">IF(D3605="","",IFERROR(INDEX(I_COA!$C$6:$C$265,MATCH(D3605,I_COA!$A$6:$A$265,0)),"AKUN BARU"))</f>
        <v/>
      </c>
      <c r="L3605" s="34" t="str">
        <f aca="false">IF(K3605="LabaRugi",INDEX(I_COA!$D$6:$D$265,MATCH(D3605,I_COA!$A$6:$A$265,0)),"")</f>
        <v/>
      </c>
      <c r="M3605" s="34" t="str">
        <f aca="false">IF(K3605="Neraca",INDEX(I_COA!$E$6:$E$265,MATCH(D3605,I_COA!$A$6:$A$265,0)),"")</f>
        <v/>
      </c>
      <c r="N3605" s="34" t="str">
        <f aca="false">IF(D3605="","",IFERROR(INDEX(I_COA!$G$6:$G$265,MATCH(D3605,I_COA!$A$6:$A$265,0)),"N"))</f>
        <v/>
      </c>
      <c r="O3605" s="11" t="str">
        <f aca="false">IF(N3605="N",ABS(J3605),"")</f>
        <v/>
      </c>
      <c r="P3605" s="18" t="str">
        <f aca="false">IF(N3605="N",B3605&amp;"|"&amp;ROUND(O3605,0),"")</f>
        <v/>
      </c>
      <c r="Q3605" s="18" t="str">
        <f aca="false">IF(N3605&lt;&gt;"Y","",IFERROR(INDEX($D$6:$D$4005,MATCH(B3605&amp;"|"&amp;ROUND(_xlfn.MAXIFS($O$6:$O$4005,$B$6:$B$4005,B3605,$N$6:$N$4005,"N"),0),$P$6:$P$4005,0)),"(tanpa lawan)"))</f>
        <v/>
      </c>
      <c r="R3605" s="44"/>
      <c r="S3605" s="9" t="str">
        <f aca="false">IF(N3605&lt;&gt;"Y","",IF(R3605&lt;&gt;"",R3605,IF(Q3605="(tanpa lawan)","Transfer antar rekening",IFERROR(INDEX(I_COA!$F$6:$F$265,MATCH(Q3605,I_COA!$A$6:$A$265,0)),"?"))))</f>
        <v/>
      </c>
    </row>
    <row r="3606" customFormat="false" ht="15" hidden="false" customHeight="false" outlineLevel="0" collapsed="false">
      <c r="A3606" s="37"/>
      <c r="B3606" s="44"/>
      <c r="C3606" s="44"/>
      <c r="D3606" s="44"/>
      <c r="E3606" s="44"/>
      <c r="F3606" s="44"/>
      <c r="G3606" s="42"/>
      <c r="H3606" s="42"/>
      <c r="I3606" s="44"/>
      <c r="J3606" s="11" t="str">
        <f aca="false">IF(D3606="","",N(G3606)-N(H3606))</f>
        <v/>
      </c>
      <c r="K3606" s="34" t="str">
        <f aca="false">IF(D3606="","",IFERROR(INDEX(I_COA!$C$6:$C$265,MATCH(D3606,I_COA!$A$6:$A$265,0)),"AKUN BARU"))</f>
        <v/>
      </c>
      <c r="L3606" s="34" t="str">
        <f aca="false">IF(K3606="LabaRugi",INDEX(I_COA!$D$6:$D$265,MATCH(D3606,I_COA!$A$6:$A$265,0)),"")</f>
        <v/>
      </c>
      <c r="M3606" s="34" t="str">
        <f aca="false">IF(K3606="Neraca",INDEX(I_COA!$E$6:$E$265,MATCH(D3606,I_COA!$A$6:$A$265,0)),"")</f>
        <v/>
      </c>
      <c r="N3606" s="34" t="str">
        <f aca="false">IF(D3606="","",IFERROR(INDEX(I_COA!$G$6:$G$265,MATCH(D3606,I_COA!$A$6:$A$265,0)),"N"))</f>
        <v/>
      </c>
      <c r="O3606" s="11" t="str">
        <f aca="false">IF(N3606="N",ABS(J3606),"")</f>
        <v/>
      </c>
      <c r="P3606" s="18" t="str">
        <f aca="false">IF(N3606="N",B3606&amp;"|"&amp;ROUND(O3606,0),"")</f>
        <v/>
      </c>
      <c r="Q3606" s="18" t="str">
        <f aca="false">IF(N3606&lt;&gt;"Y","",IFERROR(INDEX($D$6:$D$4005,MATCH(B3606&amp;"|"&amp;ROUND(_xlfn.MAXIFS($O$6:$O$4005,$B$6:$B$4005,B3606,$N$6:$N$4005,"N"),0),$P$6:$P$4005,0)),"(tanpa lawan)"))</f>
        <v/>
      </c>
      <c r="R3606" s="44"/>
      <c r="S3606" s="9" t="str">
        <f aca="false">IF(N3606&lt;&gt;"Y","",IF(R3606&lt;&gt;"",R3606,IF(Q3606="(tanpa lawan)","Transfer antar rekening",IFERROR(INDEX(I_COA!$F$6:$F$265,MATCH(Q3606,I_COA!$A$6:$A$265,0)),"?"))))</f>
        <v/>
      </c>
    </row>
    <row r="3607" customFormat="false" ht="15" hidden="false" customHeight="false" outlineLevel="0" collapsed="false">
      <c r="A3607" s="37"/>
      <c r="B3607" s="44"/>
      <c r="C3607" s="44"/>
      <c r="D3607" s="44"/>
      <c r="E3607" s="44"/>
      <c r="F3607" s="44"/>
      <c r="G3607" s="42"/>
      <c r="H3607" s="42"/>
      <c r="I3607" s="44"/>
      <c r="J3607" s="11" t="str">
        <f aca="false">IF(D3607="","",N(G3607)-N(H3607))</f>
        <v/>
      </c>
      <c r="K3607" s="34" t="str">
        <f aca="false">IF(D3607="","",IFERROR(INDEX(I_COA!$C$6:$C$265,MATCH(D3607,I_COA!$A$6:$A$265,0)),"AKUN BARU"))</f>
        <v/>
      </c>
      <c r="L3607" s="34" t="str">
        <f aca="false">IF(K3607="LabaRugi",INDEX(I_COA!$D$6:$D$265,MATCH(D3607,I_COA!$A$6:$A$265,0)),"")</f>
        <v/>
      </c>
      <c r="M3607" s="34" t="str">
        <f aca="false">IF(K3607="Neraca",INDEX(I_COA!$E$6:$E$265,MATCH(D3607,I_COA!$A$6:$A$265,0)),"")</f>
        <v/>
      </c>
      <c r="N3607" s="34" t="str">
        <f aca="false">IF(D3607="","",IFERROR(INDEX(I_COA!$G$6:$G$265,MATCH(D3607,I_COA!$A$6:$A$265,0)),"N"))</f>
        <v/>
      </c>
      <c r="O3607" s="11" t="str">
        <f aca="false">IF(N3607="N",ABS(J3607),"")</f>
        <v/>
      </c>
      <c r="P3607" s="18" t="str">
        <f aca="false">IF(N3607="N",B3607&amp;"|"&amp;ROUND(O3607,0),"")</f>
        <v/>
      </c>
      <c r="Q3607" s="18" t="str">
        <f aca="false">IF(N3607&lt;&gt;"Y","",IFERROR(INDEX($D$6:$D$4005,MATCH(B3607&amp;"|"&amp;ROUND(_xlfn.MAXIFS($O$6:$O$4005,$B$6:$B$4005,B3607,$N$6:$N$4005,"N"),0),$P$6:$P$4005,0)),"(tanpa lawan)"))</f>
        <v/>
      </c>
      <c r="R3607" s="44"/>
      <c r="S3607" s="9" t="str">
        <f aca="false">IF(N3607&lt;&gt;"Y","",IF(R3607&lt;&gt;"",R3607,IF(Q3607="(tanpa lawan)","Transfer antar rekening",IFERROR(INDEX(I_COA!$F$6:$F$265,MATCH(Q3607,I_COA!$A$6:$A$265,0)),"?"))))</f>
        <v/>
      </c>
    </row>
    <row r="3608" customFormat="false" ht="15" hidden="false" customHeight="false" outlineLevel="0" collapsed="false">
      <c r="A3608" s="37"/>
      <c r="B3608" s="44"/>
      <c r="C3608" s="44"/>
      <c r="D3608" s="44"/>
      <c r="E3608" s="44"/>
      <c r="F3608" s="44"/>
      <c r="G3608" s="42"/>
      <c r="H3608" s="42"/>
      <c r="I3608" s="44"/>
      <c r="J3608" s="11" t="str">
        <f aca="false">IF(D3608="","",N(G3608)-N(H3608))</f>
        <v/>
      </c>
      <c r="K3608" s="34" t="str">
        <f aca="false">IF(D3608="","",IFERROR(INDEX(I_COA!$C$6:$C$265,MATCH(D3608,I_COA!$A$6:$A$265,0)),"AKUN BARU"))</f>
        <v/>
      </c>
      <c r="L3608" s="34" t="str">
        <f aca="false">IF(K3608="LabaRugi",INDEX(I_COA!$D$6:$D$265,MATCH(D3608,I_COA!$A$6:$A$265,0)),"")</f>
        <v/>
      </c>
      <c r="M3608" s="34" t="str">
        <f aca="false">IF(K3608="Neraca",INDEX(I_COA!$E$6:$E$265,MATCH(D3608,I_COA!$A$6:$A$265,0)),"")</f>
        <v/>
      </c>
      <c r="N3608" s="34" t="str">
        <f aca="false">IF(D3608="","",IFERROR(INDEX(I_COA!$G$6:$G$265,MATCH(D3608,I_COA!$A$6:$A$265,0)),"N"))</f>
        <v/>
      </c>
      <c r="O3608" s="11" t="str">
        <f aca="false">IF(N3608="N",ABS(J3608),"")</f>
        <v/>
      </c>
      <c r="P3608" s="18" t="str">
        <f aca="false">IF(N3608="N",B3608&amp;"|"&amp;ROUND(O3608,0),"")</f>
        <v/>
      </c>
      <c r="Q3608" s="18" t="str">
        <f aca="false">IF(N3608&lt;&gt;"Y","",IFERROR(INDEX($D$6:$D$4005,MATCH(B3608&amp;"|"&amp;ROUND(_xlfn.MAXIFS($O$6:$O$4005,$B$6:$B$4005,B3608,$N$6:$N$4005,"N"),0),$P$6:$P$4005,0)),"(tanpa lawan)"))</f>
        <v/>
      </c>
      <c r="R3608" s="44"/>
      <c r="S3608" s="9" t="str">
        <f aca="false">IF(N3608&lt;&gt;"Y","",IF(R3608&lt;&gt;"",R3608,IF(Q3608="(tanpa lawan)","Transfer antar rekening",IFERROR(INDEX(I_COA!$F$6:$F$265,MATCH(Q3608,I_COA!$A$6:$A$265,0)),"?"))))</f>
        <v/>
      </c>
    </row>
    <row r="3609" customFormat="false" ht="15" hidden="false" customHeight="false" outlineLevel="0" collapsed="false">
      <c r="A3609" s="37"/>
      <c r="B3609" s="44"/>
      <c r="C3609" s="44"/>
      <c r="D3609" s="44"/>
      <c r="E3609" s="44"/>
      <c r="F3609" s="44"/>
      <c r="G3609" s="42"/>
      <c r="H3609" s="42"/>
      <c r="I3609" s="44"/>
      <c r="J3609" s="11" t="str">
        <f aca="false">IF(D3609="","",N(G3609)-N(H3609))</f>
        <v/>
      </c>
      <c r="K3609" s="34" t="str">
        <f aca="false">IF(D3609="","",IFERROR(INDEX(I_COA!$C$6:$C$265,MATCH(D3609,I_COA!$A$6:$A$265,0)),"AKUN BARU"))</f>
        <v/>
      </c>
      <c r="L3609" s="34" t="str">
        <f aca="false">IF(K3609="LabaRugi",INDEX(I_COA!$D$6:$D$265,MATCH(D3609,I_COA!$A$6:$A$265,0)),"")</f>
        <v/>
      </c>
      <c r="M3609" s="34" t="str">
        <f aca="false">IF(K3609="Neraca",INDEX(I_COA!$E$6:$E$265,MATCH(D3609,I_COA!$A$6:$A$265,0)),"")</f>
        <v/>
      </c>
      <c r="N3609" s="34" t="str">
        <f aca="false">IF(D3609="","",IFERROR(INDEX(I_COA!$G$6:$G$265,MATCH(D3609,I_COA!$A$6:$A$265,0)),"N"))</f>
        <v/>
      </c>
      <c r="O3609" s="11" t="str">
        <f aca="false">IF(N3609="N",ABS(J3609),"")</f>
        <v/>
      </c>
      <c r="P3609" s="18" t="str">
        <f aca="false">IF(N3609="N",B3609&amp;"|"&amp;ROUND(O3609,0),"")</f>
        <v/>
      </c>
      <c r="Q3609" s="18" t="str">
        <f aca="false">IF(N3609&lt;&gt;"Y","",IFERROR(INDEX($D$6:$D$4005,MATCH(B3609&amp;"|"&amp;ROUND(_xlfn.MAXIFS($O$6:$O$4005,$B$6:$B$4005,B3609,$N$6:$N$4005,"N"),0),$P$6:$P$4005,0)),"(tanpa lawan)"))</f>
        <v/>
      </c>
      <c r="R3609" s="44"/>
      <c r="S3609" s="9" t="str">
        <f aca="false">IF(N3609&lt;&gt;"Y","",IF(R3609&lt;&gt;"",R3609,IF(Q3609="(tanpa lawan)","Transfer antar rekening",IFERROR(INDEX(I_COA!$F$6:$F$265,MATCH(Q3609,I_COA!$A$6:$A$265,0)),"?"))))</f>
        <v/>
      </c>
    </row>
    <row r="3610" customFormat="false" ht="15" hidden="false" customHeight="false" outlineLevel="0" collapsed="false">
      <c r="A3610" s="37"/>
      <c r="B3610" s="44"/>
      <c r="C3610" s="44"/>
      <c r="D3610" s="44"/>
      <c r="E3610" s="44"/>
      <c r="F3610" s="44"/>
      <c r="G3610" s="42"/>
      <c r="H3610" s="42"/>
      <c r="I3610" s="44"/>
      <c r="J3610" s="11" t="str">
        <f aca="false">IF(D3610="","",N(G3610)-N(H3610))</f>
        <v/>
      </c>
      <c r="K3610" s="34" t="str">
        <f aca="false">IF(D3610="","",IFERROR(INDEX(I_COA!$C$6:$C$265,MATCH(D3610,I_COA!$A$6:$A$265,0)),"AKUN BARU"))</f>
        <v/>
      </c>
      <c r="L3610" s="34" t="str">
        <f aca="false">IF(K3610="LabaRugi",INDEX(I_COA!$D$6:$D$265,MATCH(D3610,I_COA!$A$6:$A$265,0)),"")</f>
        <v/>
      </c>
      <c r="M3610" s="34" t="str">
        <f aca="false">IF(K3610="Neraca",INDEX(I_COA!$E$6:$E$265,MATCH(D3610,I_COA!$A$6:$A$265,0)),"")</f>
        <v/>
      </c>
      <c r="N3610" s="34" t="str">
        <f aca="false">IF(D3610="","",IFERROR(INDEX(I_COA!$G$6:$G$265,MATCH(D3610,I_COA!$A$6:$A$265,0)),"N"))</f>
        <v/>
      </c>
      <c r="O3610" s="11" t="str">
        <f aca="false">IF(N3610="N",ABS(J3610),"")</f>
        <v/>
      </c>
      <c r="P3610" s="18" t="str">
        <f aca="false">IF(N3610="N",B3610&amp;"|"&amp;ROUND(O3610,0),"")</f>
        <v/>
      </c>
      <c r="Q3610" s="18" t="str">
        <f aca="false">IF(N3610&lt;&gt;"Y","",IFERROR(INDEX($D$6:$D$4005,MATCH(B3610&amp;"|"&amp;ROUND(_xlfn.MAXIFS($O$6:$O$4005,$B$6:$B$4005,B3610,$N$6:$N$4005,"N"),0),$P$6:$P$4005,0)),"(tanpa lawan)"))</f>
        <v/>
      </c>
      <c r="R3610" s="44"/>
      <c r="S3610" s="9" t="str">
        <f aca="false">IF(N3610&lt;&gt;"Y","",IF(R3610&lt;&gt;"",R3610,IF(Q3610="(tanpa lawan)","Transfer antar rekening",IFERROR(INDEX(I_COA!$F$6:$F$265,MATCH(Q3610,I_COA!$A$6:$A$265,0)),"?"))))</f>
        <v/>
      </c>
    </row>
    <row r="3611" customFormat="false" ht="15" hidden="false" customHeight="false" outlineLevel="0" collapsed="false">
      <c r="A3611" s="37"/>
      <c r="B3611" s="44"/>
      <c r="C3611" s="44"/>
      <c r="D3611" s="44"/>
      <c r="E3611" s="44"/>
      <c r="F3611" s="44"/>
      <c r="G3611" s="42"/>
      <c r="H3611" s="42"/>
      <c r="I3611" s="44"/>
      <c r="J3611" s="11" t="str">
        <f aca="false">IF(D3611="","",N(G3611)-N(H3611))</f>
        <v/>
      </c>
      <c r="K3611" s="34" t="str">
        <f aca="false">IF(D3611="","",IFERROR(INDEX(I_COA!$C$6:$C$265,MATCH(D3611,I_COA!$A$6:$A$265,0)),"AKUN BARU"))</f>
        <v/>
      </c>
      <c r="L3611" s="34" t="str">
        <f aca="false">IF(K3611="LabaRugi",INDEX(I_COA!$D$6:$D$265,MATCH(D3611,I_COA!$A$6:$A$265,0)),"")</f>
        <v/>
      </c>
      <c r="M3611" s="34" t="str">
        <f aca="false">IF(K3611="Neraca",INDEX(I_COA!$E$6:$E$265,MATCH(D3611,I_COA!$A$6:$A$265,0)),"")</f>
        <v/>
      </c>
      <c r="N3611" s="34" t="str">
        <f aca="false">IF(D3611="","",IFERROR(INDEX(I_COA!$G$6:$G$265,MATCH(D3611,I_COA!$A$6:$A$265,0)),"N"))</f>
        <v/>
      </c>
      <c r="O3611" s="11" t="str">
        <f aca="false">IF(N3611="N",ABS(J3611),"")</f>
        <v/>
      </c>
      <c r="P3611" s="18" t="str">
        <f aca="false">IF(N3611="N",B3611&amp;"|"&amp;ROUND(O3611,0),"")</f>
        <v/>
      </c>
      <c r="Q3611" s="18" t="str">
        <f aca="false">IF(N3611&lt;&gt;"Y","",IFERROR(INDEX($D$6:$D$4005,MATCH(B3611&amp;"|"&amp;ROUND(_xlfn.MAXIFS($O$6:$O$4005,$B$6:$B$4005,B3611,$N$6:$N$4005,"N"),0),$P$6:$P$4005,0)),"(tanpa lawan)"))</f>
        <v/>
      </c>
      <c r="R3611" s="44"/>
      <c r="S3611" s="9" t="str">
        <f aca="false">IF(N3611&lt;&gt;"Y","",IF(R3611&lt;&gt;"",R3611,IF(Q3611="(tanpa lawan)","Transfer antar rekening",IFERROR(INDEX(I_COA!$F$6:$F$265,MATCH(Q3611,I_COA!$A$6:$A$265,0)),"?"))))</f>
        <v/>
      </c>
    </row>
    <row r="3612" customFormat="false" ht="15" hidden="false" customHeight="false" outlineLevel="0" collapsed="false">
      <c r="A3612" s="37"/>
      <c r="B3612" s="44"/>
      <c r="C3612" s="44"/>
      <c r="D3612" s="44"/>
      <c r="E3612" s="44"/>
      <c r="F3612" s="44"/>
      <c r="G3612" s="42"/>
      <c r="H3612" s="42"/>
      <c r="I3612" s="44"/>
      <c r="J3612" s="11" t="str">
        <f aca="false">IF(D3612="","",N(G3612)-N(H3612))</f>
        <v/>
      </c>
      <c r="K3612" s="34" t="str">
        <f aca="false">IF(D3612="","",IFERROR(INDEX(I_COA!$C$6:$C$265,MATCH(D3612,I_COA!$A$6:$A$265,0)),"AKUN BARU"))</f>
        <v/>
      </c>
      <c r="L3612" s="34" t="str">
        <f aca="false">IF(K3612="LabaRugi",INDEX(I_COA!$D$6:$D$265,MATCH(D3612,I_COA!$A$6:$A$265,0)),"")</f>
        <v/>
      </c>
      <c r="M3612" s="34" t="str">
        <f aca="false">IF(K3612="Neraca",INDEX(I_COA!$E$6:$E$265,MATCH(D3612,I_COA!$A$6:$A$265,0)),"")</f>
        <v/>
      </c>
      <c r="N3612" s="34" t="str">
        <f aca="false">IF(D3612="","",IFERROR(INDEX(I_COA!$G$6:$G$265,MATCH(D3612,I_COA!$A$6:$A$265,0)),"N"))</f>
        <v/>
      </c>
      <c r="O3612" s="11" t="str">
        <f aca="false">IF(N3612="N",ABS(J3612),"")</f>
        <v/>
      </c>
      <c r="P3612" s="18" t="str">
        <f aca="false">IF(N3612="N",B3612&amp;"|"&amp;ROUND(O3612,0),"")</f>
        <v/>
      </c>
      <c r="Q3612" s="18" t="str">
        <f aca="false">IF(N3612&lt;&gt;"Y","",IFERROR(INDEX($D$6:$D$4005,MATCH(B3612&amp;"|"&amp;ROUND(_xlfn.MAXIFS($O$6:$O$4005,$B$6:$B$4005,B3612,$N$6:$N$4005,"N"),0),$P$6:$P$4005,0)),"(tanpa lawan)"))</f>
        <v/>
      </c>
      <c r="R3612" s="44"/>
      <c r="S3612" s="9" t="str">
        <f aca="false">IF(N3612&lt;&gt;"Y","",IF(R3612&lt;&gt;"",R3612,IF(Q3612="(tanpa lawan)","Transfer antar rekening",IFERROR(INDEX(I_COA!$F$6:$F$265,MATCH(Q3612,I_COA!$A$6:$A$265,0)),"?"))))</f>
        <v/>
      </c>
    </row>
    <row r="3613" customFormat="false" ht="15" hidden="false" customHeight="false" outlineLevel="0" collapsed="false">
      <c r="A3613" s="37"/>
      <c r="B3613" s="44"/>
      <c r="C3613" s="44"/>
      <c r="D3613" s="44"/>
      <c r="E3613" s="44"/>
      <c r="F3613" s="44"/>
      <c r="G3613" s="42"/>
      <c r="H3613" s="42"/>
      <c r="I3613" s="44"/>
      <c r="J3613" s="11" t="str">
        <f aca="false">IF(D3613="","",N(G3613)-N(H3613))</f>
        <v/>
      </c>
      <c r="K3613" s="34" t="str">
        <f aca="false">IF(D3613="","",IFERROR(INDEX(I_COA!$C$6:$C$265,MATCH(D3613,I_COA!$A$6:$A$265,0)),"AKUN BARU"))</f>
        <v/>
      </c>
      <c r="L3613" s="34" t="str">
        <f aca="false">IF(K3613="LabaRugi",INDEX(I_COA!$D$6:$D$265,MATCH(D3613,I_COA!$A$6:$A$265,0)),"")</f>
        <v/>
      </c>
      <c r="M3613" s="34" t="str">
        <f aca="false">IF(K3613="Neraca",INDEX(I_COA!$E$6:$E$265,MATCH(D3613,I_COA!$A$6:$A$265,0)),"")</f>
        <v/>
      </c>
      <c r="N3613" s="34" t="str">
        <f aca="false">IF(D3613="","",IFERROR(INDEX(I_COA!$G$6:$G$265,MATCH(D3613,I_COA!$A$6:$A$265,0)),"N"))</f>
        <v/>
      </c>
      <c r="O3613" s="11" t="str">
        <f aca="false">IF(N3613="N",ABS(J3613),"")</f>
        <v/>
      </c>
      <c r="P3613" s="18" t="str">
        <f aca="false">IF(N3613="N",B3613&amp;"|"&amp;ROUND(O3613,0),"")</f>
        <v/>
      </c>
      <c r="Q3613" s="18" t="str">
        <f aca="false">IF(N3613&lt;&gt;"Y","",IFERROR(INDEX($D$6:$D$4005,MATCH(B3613&amp;"|"&amp;ROUND(_xlfn.MAXIFS($O$6:$O$4005,$B$6:$B$4005,B3613,$N$6:$N$4005,"N"),0),$P$6:$P$4005,0)),"(tanpa lawan)"))</f>
        <v/>
      </c>
      <c r="R3613" s="44"/>
      <c r="S3613" s="9" t="str">
        <f aca="false">IF(N3613&lt;&gt;"Y","",IF(R3613&lt;&gt;"",R3613,IF(Q3613="(tanpa lawan)","Transfer antar rekening",IFERROR(INDEX(I_COA!$F$6:$F$265,MATCH(Q3613,I_COA!$A$6:$A$265,0)),"?"))))</f>
        <v/>
      </c>
    </row>
    <row r="3614" customFormat="false" ht="15" hidden="false" customHeight="false" outlineLevel="0" collapsed="false">
      <c r="A3614" s="37"/>
      <c r="B3614" s="44"/>
      <c r="C3614" s="44"/>
      <c r="D3614" s="44"/>
      <c r="E3614" s="44"/>
      <c r="F3614" s="44"/>
      <c r="G3614" s="42"/>
      <c r="H3614" s="42"/>
      <c r="I3614" s="44"/>
      <c r="J3614" s="11" t="str">
        <f aca="false">IF(D3614="","",N(G3614)-N(H3614))</f>
        <v/>
      </c>
      <c r="K3614" s="34" t="str">
        <f aca="false">IF(D3614="","",IFERROR(INDEX(I_COA!$C$6:$C$265,MATCH(D3614,I_COA!$A$6:$A$265,0)),"AKUN BARU"))</f>
        <v/>
      </c>
      <c r="L3614" s="34" t="str">
        <f aca="false">IF(K3614="LabaRugi",INDEX(I_COA!$D$6:$D$265,MATCH(D3614,I_COA!$A$6:$A$265,0)),"")</f>
        <v/>
      </c>
      <c r="M3614" s="34" t="str">
        <f aca="false">IF(K3614="Neraca",INDEX(I_COA!$E$6:$E$265,MATCH(D3614,I_COA!$A$6:$A$265,0)),"")</f>
        <v/>
      </c>
      <c r="N3614" s="34" t="str">
        <f aca="false">IF(D3614="","",IFERROR(INDEX(I_COA!$G$6:$G$265,MATCH(D3614,I_COA!$A$6:$A$265,0)),"N"))</f>
        <v/>
      </c>
      <c r="O3614" s="11" t="str">
        <f aca="false">IF(N3614="N",ABS(J3614),"")</f>
        <v/>
      </c>
      <c r="P3614" s="18" t="str">
        <f aca="false">IF(N3614="N",B3614&amp;"|"&amp;ROUND(O3614,0),"")</f>
        <v/>
      </c>
      <c r="Q3614" s="18" t="str">
        <f aca="false">IF(N3614&lt;&gt;"Y","",IFERROR(INDEX($D$6:$D$4005,MATCH(B3614&amp;"|"&amp;ROUND(_xlfn.MAXIFS($O$6:$O$4005,$B$6:$B$4005,B3614,$N$6:$N$4005,"N"),0),$P$6:$P$4005,0)),"(tanpa lawan)"))</f>
        <v/>
      </c>
      <c r="R3614" s="44"/>
      <c r="S3614" s="9" t="str">
        <f aca="false">IF(N3614&lt;&gt;"Y","",IF(R3614&lt;&gt;"",R3614,IF(Q3614="(tanpa lawan)","Transfer antar rekening",IFERROR(INDEX(I_COA!$F$6:$F$265,MATCH(Q3614,I_COA!$A$6:$A$265,0)),"?"))))</f>
        <v/>
      </c>
    </row>
    <row r="3615" customFormat="false" ht="15" hidden="false" customHeight="false" outlineLevel="0" collapsed="false">
      <c r="A3615" s="37"/>
      <c r="B3615" s="44"/>
      <c r="C3615" s="44"/>
      <c r="D3615" s="44"/>
      <c r="E3615" s="44"/>
      <c r="F3615" s="44"/>
      <c r="G3615" s="42"/>
      <c r="H3615" s="42"/>
      <c r="I3615" s="44"/>
      <c r="J3615" s="11" t="str">
        <f aca="false">IF(D3615="","",N(G3615)-N(H3615))</f>
        <v/>
      </c>
      <c r="K3615" s="34" t="str">
        <f aca="false">IF(D3615="","",IFERROR(INDEX(I_COA!$C$6:$C$265,MATCH(D3615,I_COA!$A$6:$A$265,0)),"AKUN BARU"))</f>
        <v/>
      </c>
      <c r="L3615" s="34" t="str">
        <f aca="false">IF(K3615="LabaRugi",INDEX(I_COA!$D$6:$D$265,MATCH(D3615,I_COA!$A$6:$A$265,0)),"")</f>
        <v/>
      </c>
      <c r="M3615" s="34" t="str">
        <f aca="false">IF(K3615="Neraca",INDEX(I_COA!$E$6:$E$265,MATCH(D3615,I_COA!$A$6:$A$265,0)),"")</f>
        <v/>
      </c>
      <c r="N3615" s="34" t="str">
        <f aca="false">IF(D3615="","",IFERROR(INDEX(I_COA!$G$6:$G$265,MATCH(D3615,I_COA!$A$6:$A$265,0)),"N"))</f>
        <v/>
      </c>
      <c r="O3615" s="11" t="str">
        <f aca="false">IF(N3615="N",ABS(J3615),"")</f>
        <v/>
      </c>
      <c r="P3615" s="18" t="str">
        <f aca="false">IF(N3615="N",B3615&amp;"|"&amp;ROUND(O3615,0),"")</f>
        <v/>
      </c>
      <c r="Q3615" s="18" t="str">
        <f aca="false">IF(N3615&lt;&gt;"Y","",IFERROR(INDEX($D$6:$D$4005,MATCH(B3615&amp;"|"&amp;ROUND(_xlfn.MAXIFS($O$6:$O$4005,$B$6:$B$4005,B3615,$N$6:$N$4005,"N"),0),$P$6:$P$4005,0)),"(tanpa lawan)"))</f>
        <v/>
      </c>
      <c r="R3615" s="44"/>
      <c r="S3615" s="9" t="str">
        <f aca="false">IF(N3615&lt;&gt;"Y","",IF(R3615&lt;&gt;"",R3615,IF(Q3615="(tanpa lawan)","Transfer antar rekening",IFERROR(INDEX(I_COA!$F$6:$F$265,MATCH(Q3615,I_COA!$A$6:$A$265,0)),"?"))))</f>
        <v/>
      </c>
    </row>
    <row r="3616" customFormat="false" ht="15" hidden="false" customHeight="false" outlineLevel="0" collapsed="false">
      <c r="A3616" s="37"/>
      <c r="B3616" s="44"/>
      <c r="C3616" s="44"/>
      <c r="D3616" s="44"/>
      <c r="E3616" s="44"/>
      <c r="F3616" s="44"/>
      <c r="G3616" s="42"/>
      <c r="H3616" s="42"/>
      <c r="I3616" s="44"/>
      <c r="J3616" s="11" t="str">
        <f aca="false">IF(D3616="","",N(G3616)-N(H3616))</f>
        <v/>
      </c>
      <c r="K3616" s="34" t="str">
        <f aca="false">IF(D3616="","",IFERROR(INDEX(I_COA!$C$6:$C$265,MATCH(D3616,I_COA!$A$6:$A$265,0)),"AKUN BARU"))</f>
        <v/>
      </c>
      <c r="L3616" s="34" t="str">
        <f aca="false">IF(K3616="LabaRugi",INDEX(I_COA!$D$6:$D$265,MATCH(D3616,I_COA!$A$6:$A$265,0)),"")</f>
        <v/>
      </c>
      <c r="M3616" s="34" t="str">
        <f aca="false">IF(K3616="Neraca",INDEX(I_COA!$E$6:$E$265,MATCH(D3616,I_COA!$A$6:$A$265,0)),"")</f>
        <v/>
      </c>
      <c r="N3616" s="34" t="str">
        <f aca="false">IF(D3616="","",IFERROR(INDEX(I_COA!$G$6:$G$265,MATCH(D3616,I_COA!$A$6:$A$265,0)),"N"))</f>
        <v/>
      </c>
      <c r="O3616" s="11" t="str">
        <f aca="false">IF(N3616="N",ABS(J3616),"")</f>
        <v/>
      </c>
      <c r="P3616" s="18" t="str">
        <f aca="false">IF(N3616="N",B3616&amp;"|"&amp;ROUND(O3616,0),"")</f>
        <v/>
      </c>
      <c r="Q3616" s="18" t="str">
        <f aca="false">IF(N3616&lt;&gt;"Y","",IFERROR(INDEX($D$6:$D$4005,MATCH(B3616&amp;"|"&amp;ROUND(_xlfn.MAXIFS($O$6:$O$4005,$B$6:$B$4005,B3616,$N$6:$N$4005,"N"),0),$P$6:$P$4005,0)),"(tanpa lawan)"))</f>
        <v/>
      </c>
      <c r="R3616" s="44"/>
      <c r="S3616" s="9" t="str">
        <f aca="false">IF(N3616&lt;&gt;"Y","",IF(R3616&lt;&gt;"",R3616,IF(Q3616="(tanpa lawan)","Transfer antar rekening",IFERROR(INDEX(I_COA!$F$6:$F$265,MATCH(Q3616,I_COA!$A$6:$A$265,0)),"?"))))</f>
        <v/>
      </c>
    </row>
    <row r="3617" customFormat="false" ht="15" hidden="false" customHeight="false" outlineLevel="0" collapsed="false">
      <c r="A3617" s="37"/>
      <c r="B3617" s="44"/>
      <c r="C3617" s="44"/>
      <c r="D3617" s="44"/>
      <c r="E3617" s="44"/>
      <c r="F3617" s="44"/>
      <c r="G3617" s="42"/>
      <c r="H3617" s="42"/>
      <c r="I3617" s="44"/>
      <c r="J3617" s="11" t="str">
        <f aca="false">IF(D3617="","",N(G3617)-N(H3617))</f>
        <v/>
      </c>
      <c r="K3617" s="34" t="str">
        <f aca="false">IF(D3617="","",IFERROR(INDEX(I_COA!$C$6:$C$265,MATCH(D3617,I_COA!$A$6:$A$265,0)),"AKUN BARU"))</f>
        <v/>
      </c>
      <c r="L3617" s="34" t="str">
        <f aca="false">IF(K3617="LabaRugi",INDEX(I_COA!$D$6:$D$265,MATCH(D3617,I_COA!$A$6:$A$265,0)),"")</f>
        <v/>
      </c>
      <c r="M3617" s="34" t="str">
        <f aca="false">IF(K3617="Neraca",INDEX(I_COA!$E$6:$E$265,MATCH(D3617,I_COA!$A$6:$A$265,0)),"")</f>
        <v/>
      </c>
      <c r="N3617" s="34" t="str">
        <f aca="false">IF(D3617="","",IFERROR(INDEX(I_COA!$G$6:$G$265,MATCH(D3617,I_COA!$A$6:$A$265,0)),"N"))</f>
        <v/>
      </c>
      <c r="O3617" s="11" t="str">
        <f aca="false">IF(N3617="N",ABS(J3617),"")</f>
        <v/>
      </c>
      <c r="P3617" s="18" t="str">
        <f aca="false">IF(N3617="N",B3617&amp;"|"&amp;ROUND(O3617,0),"")</f>
        <v/>
      </c>
      <c r="Q3617" s="18" t="str">
        <f aca="false">IF(N3617&lt;&gt;"Y","",IFERROR(INDEX($D$6:$D$4005,MATCH(B3617&amp;"|"&amp;ROUND(_xlfn.MAXIFS($O$6:$O$4005,$B$6:$B$4005,B3617,$N$6:$N$4005,"N"),0),$P$6:$P$4005,0)),"(tanpa lawan)"))</f>
        <v/>
      </c>
      <c r="R3617" s="44"/>
      <c r="S3617" s="9" t="str">
        <f aca="false">IF(N3617&lt;&gt;"Y","",IF(R3617&lt;&gt;"",R3617,IF(Q3617="(tanpa lawan)","Transfer antar rekening",IFERROR(INDEX(I_COA!$F$6:$F$265,MATCH(Q3617,I_COA!$A$6:$A$265,0)),"?"))))</f>
        <v/>
      </c>
    </row>
    <row r="3618" customFormat="false" ht="15" hidden="false" customHeight="false" outlineLevel="0" collapsed="false">
      <c r="A3618" s="37"/>
      <c r="B3618" s="44"/>
      <c r="C3618" s="44"/>
      <c r="D3618" s="44"/>
      <c r="E3618" s="44"/>
      <c r="F3618" s="44"/>
      <c r="G3618" s="42"/>
      <c r="H3618" s="42"/>
      <c r="I3618" s="44"/>
      <c r="J3618" s="11" t="str">
        <f aca="false">IF(D3618="","",N(G3618)-N(H3618))</f>
        <v/>
      </c>
      <c r="K3618" s="34" t="str">
        <f aca="false">IF(D3618="","",IFERROR(INDEX(I_COA!$C$6:$C$265,MATCH(D3618,I_COA!$A$6:$A$265,0)),"AKUN BARU"))</f>
        <v/>
      </c>
      <c r="L3618" s="34" t="str">
        <f aca="false">IF(K3618="LabaRugi",INDEX(I_COA!$D$6:$D$265,MATCH(D3618,I_COA!$A$6:$A$265,0)),"")</f>
        <v/>
      </c>
      <c r="M3618" s="34" t="str">
        <f aca="false">IF(K3618="Neraca",INDEX(I_COA!$E$6:$E$265,MATCH(D3618,I_COA!$A$6:$A$265,0)),"")</f>
        <v/>
      </c>
      <c r="N3618" s="34" t="str">
        <f aca="false">IF(D3618="","",IFERROR(INDEX(I_COA!$G$6:$G$265,MATCH(D3618,I_COA!$A$6:$A$265,0)),"N"))</f>
        <v/>
      </c>
      <c r="O3618" s="11" t="str">
        <f aca="false">IF(N3618="N",ABS(J3618),"")</f>
        <v/>
      </c>
      <c r="P3618" s="18" t="str">
        <f aca="false">IF(N3618="N",B3618&amp;"|"&amp;ROUND(O3618,0),"")</f>
        <v/>
      </c>
      <c r="Q3618" s="18" t="str">
        <f aca="false">IF(N3618&lt;&gt;"Y","",IFERROR(INDEX($D$6:$D$4005,MATCH(B3618&amp;"|"&amp;ROUND(_xlfn.MAXIFS($O$6:$O$4005,$B$6:$B$4005,B3618,$N$6:$N$4005,"N"),0),$P$6:$P$4005,0)),"(tanpa lawan)"))</f>
        <v/>
      </c>
      <c r="R3618" s="44"/>
      <c r="S3618" s="9" t="str">
        <f aca="false">IF(N3618&lt;&gt;"Y","",IF(R3618&lt;&gt;"",R3618,IF(Q3618="(tanpa lawan)","Transfer antar rekening",IFERROR(INDEX(I_COA!$F$6:$F$265,MATCH(Q3618,I_COA!$A$6:$A$265,0)),"?"))))</f>
        <v/>
      </c>
    </row>
    <row r="3619" customFormat="false" ht="15" hidden="false" customHeight="false" outlineLevel="0" collapsed="false">
      <c r="A3619" s="37"/>
      <c r="B3619" s="44"/>
      <c r="C3619" s="44"/>
      <c r="D3619" s="44"/>
      <c r="E3619" s="44"/>
      <c r="F3619" s="44"/>
      <c r="G3619" s="42"/>
      <c r="H3619" s="42"/>
      <c r="I3619" s="44"/>
      <c r="J3619" s="11" t="str">
        <f aca="false">IF(D3619="","",N(G3619)-N(H3619))</f>
        <v/>
      </c>
      <c r="K3619" s="34" t="str">
        <f aca="false">IF(D3619="","",IFERROR(INDEX(I_COA!$C$6:$C$265,MATCH(D3619,I_COA!$A$6:$A$265,0)),"AKUN BARU"))</f>
        <v/>
      </c>
      <c r="L3619" s="34" t="str">
        <f aca="false">IF(K3619="LabaRugi",INDEX(I_COA!$D$6:$D$265,MATCH(D3619,I_COA!$A$6:$A$265,0)),"")</f>
        <v/>
      </c>
      <c r="M3619" s="34" t="str">
        <f aca="false">IF(K3619="Neraca",INDEX(I_COA!$E$6:$E$265,MATCH(D3619,I_COA!$A$6:$A$265,0)),"")</f>
        <v/>
      </c>
      <c r="N3619" s="34" t="str">
        <f aca="false">IF(D3619="","",IFERROR(INDEX(I_COA!$G$6:$G$265,MATCH(D3619,I_COA!$A$6:$A$265,0)),"N"))</f>
        <v/>
      </c>
      <c r="O3619" s="11" t="str">
        <f aca="false">IF(N3619="N",ABS(J3619),"")</f>
        <v/>
      </c>
      <c r="P3619" s="18" t="str">
        <f aca="false">IF(N3619="N",B3619&amp;"|"&amp;ROUND(O3619,0),"")</f>
        <v/>
      </c>
      <c r="Q3619" s="18" t="str">
        <f aca="false">IF(N3619&lt;&gt;"Y","",IFERROR(INDEX($D$6:$D$4005,MATCH(B3619&amp;"|"&amp;ROUND(_xlfn.MAXIFS($O$6:$O$4005,$B$6:$B$4005,B3619,$N$6:$N$4005,"N"),0),$P$6:$P$4005,0)),"(tanpa lawan)"))</f>
        <v/>
      </c>
      <c r="R3619" s="44"/>
      <c r="S3619" s="9" t="str">
        <f aca="false">IF(N3619&lt;&gt;"Y","",IF(R3619&lt;&gt;"",R3619,IF(Q3619="(tanpa lawan)","Transfer antar rekening",IFERROR(INDEX(I_COA!$F$6:$F$265,MATCH(Q3619,I_COA!$A$6:$A$265,0)),"?"))))</f>
        <v/>
      </c>
    </row>
    <row r="3620" customFormat="false" ht="15" hidden="false" customHeight="false" outlineLevel="0" collapsed="false">
      <c r="A3620" s="37"/>
      <c r="B3620" s="44"/>
      <c r="C3620" s="44"/>
      <c r="D3620" s="44"/>
      <c r="E3620" s="44"/>
      <c r="F3620" s="44"/>
      <c r="G3620" s="42"/>
      <c r="H3620" s="42"/>
      <c r="I3620" s="44"/>
      <c r="J3620" s="11" t="str">
        <f aca="false">IF(D3620="","",N(G3620)-N(H3620))</f>
        <v/>
      </c>
      <c r="K3620" s="34" t="str">
        <f aca="false">IF(D3620="","",IFERROR(INDEX(I_COA!$C$6:$C$265,MATCH(D3620,I_COA!$A$6:$A$265,0)),"AKUN BARU"))</f>
        <v/>
      </c>
      <c r="L3620" s="34" t="str">
        <f aca="false">IF(K3620="LabaRugi",INDEX(I_COA!$D$6:$D$265,MATCH(D3620,I_COA!$A$6:$A$265,0)),"")</f>
        <v/>
      </c>
      <c r="M3620" s="34" t="str">
        <f aca="false">IF(K3620="Neraca",INDEX(I_COA!$E$6:$E$265,MATCH(D3620,I_COA!$A$6:$A$265,0)),"")</f>
        <v/>
      </c>
      <c r="N3620" s="34" t="str">
        <f aca="false">IF(D3620="","",IFERROR(INDEX(I_COA!$G$6:$G$265,MATCH(D3620,I_COA!$A$6:$A$265,0)),"N"))</f>
        <v/>
      </c>
      <c r="O3620" s="11" t="str">
        <f aca="false">IF(N3620="N",ABS(J3620),"")</f>
        <v/>
      </c>
      <c r="P3620" s="18" t="str">
        <f aca="false">IF(N3620="N",B3620&amp;"|"&amp;ROUND(O3620,0),"")</f>
        <v/>
      </c>
      <c r="Q3620" s="18" t="str">
        <f aca="false">IF(N3620&lt;&gt;"Y","",IFERROR(INDEX($D$6:$D$4005,MATCH(B3620&amp;"|"&amp;ROUND(_xlfn.MAXIFS($O$6:$O$4005,$B$6:$B$4005,B3620,$N$6:$N$4005,"N"),0),$P$6:$P$4005,0)),"(tanpa lawan)"))</f>
        <v/>
      </c>
      <c r="R3620" s="44"/>
      <c r="S3620" s="9" t="str">
        <f aca="false">IF(N3620&lt;&gt;"Y","",IF(R3620&lt;&gt;"",R3620,IF(Q3620="(tanpa lawan)","Transfer antar rekening",IFERROR(INDEX(I_COA!$F$6:$F$265,MATCH(Q3620,I_COA!$A$6:$A$265,0)),"?"))))</f>
        <v/>
      </c>
    </row>
    <row r="3621" customFormat="false" ht="15" hidden="false" customHeight="false" outlineLevel="0" collapsed="false">
      <c r="A3621" s="37"/>
      <c r="B3621" s="44"/>
      <c r="C3621" s="44"/>
      <c r="D3621" s="44"/>
      <c r="E3621" s="44"/>
      <c r="F3621" s="44"/>
      <c r="G3621" s="42"/>
      <c r="H3621" s="42"/>
      <c r="I3621" s="44"/>
      <c r="J3621" s="11" t="str">
        <f aca="false">IF(D3621="","",N(G3621)-N(H3621))</f>
        <v/>
      </c>
      <c r="K3621" s="34" t="str">
        <f aca="false">IF(D3621="","",IFERROR(INDEX(I_COA!$C$6:$C$265,MATCH(D3621,I_COA!$A$6:$A$265,0)),"AKUN BARU"))</f>
        <v/>
      </c>
      <c r="L3621" s="34" t="str">
        <f aca="false">IF(K3621="LabaRugi",INDEX(I_COA!$D$6:$D$265,MATCH(D3621,I_COA!$A$6:$A$265,0)),"")</f>
        <v/>
      </c>
      <c r="M3621" s="34" t="str">
        <f aca="false">IF(K3621="Neraca",INDEX(I_COA!$E$6:$E$265,MATCH(D3621,I_COA!$A$6:$A$265,0)),"")</f>
        <v/>
      </c>
      <c r="N3621" s="34" t="str">
        <f aca="false">IF(D3621="","",IFERROR(INDEX(I_COA!$G$6:$G$265,MATCH(D3621,I_COA!$A$6:$A$265,0)),"N"))</f>
        <v/>
      </c>
      <c r="O3621" s="11" t="str">
        <f aca="false">IF(N3621="N",ABS(J3621),"")</f>
        <v/>
      </c>
      <c r="P3621" s="18" t="str">
        <f aca="false">IF(N3621="N",B3621&amp;"|"&amp;ROUND(O3621,0),"")</f>
        <v/>
      </c>
      <c r="Q3621" s="18" t="str">
        <f aca="false">IF(N3621&lt;&gt;"Y","",IFERROR(INDEX($D$6:$D$4005,MATCH(B3621&amp;"|"&amp;ROUND(_xlfn.MAXIFS($O$6:$O$4005,$B$6:$B$4005,B3621,$N$6:$N$4005,"N"),0),$P$6:$P$4005,0)),"(tanpa lawan)"))</f>
        <v/>
      </c>
      <c r="R3621" s="44"/>
      <c r="S3621" s="9" t="str">
        <f aca="false">IF(N3621&lt;&gt;"Y","",IF(R3621&lt;&gt;"",R3621,IF(Q3621="(tanpa lawan)","Transfer antar rekening",IFERROR(INDEX(I_COA!$F$6:$F$265,MATCH(Q3621,I_COA!$A$6:$A$265,0)),"?"))))</f>
        <v/>
      </c>
    </row>
    <row r="3622" customFormat="false" ht="15" hidden="false" customHeight="false" outlineLevel="0" collapsed="false">
      <c r="A3622" s="37"/>
      <c r="B3622" s="44"/>
      <c r="C3622" s="44"/>
      <c r="D3622" s="44"/>
      <c r="E3622" s="44"/>
      <c r="F3622" s="44"/>
      <c r="G3622" s="42"/>
      <c r="H3622" s="42"/>
      <c r="I3622" s="44"/>
      <c r="J3622" s="11" t="str">
        <f aca="false">IF(D3622="","",N(G3622)-N(H3622))</f>
        <v/>
      </c>
      <c r="K3622" s="34" t="str">
        <f aca="false">IF(D3622="","",IFERROR(INDEX(I_COA!$C$6:$C$265,MATCH(D3622,I_COA!$A$6:$A$265,0)),"AKUN BARU"))</f>
        <v/>
      </c>
      <c r="L3622" s="34" t="str">
        <f aca="false">IF(K3622="LabaRugi",INDEX(I_COA!$D$6:$D$265,MATCH(D3622,I_COA!$A$6:$A$265,0)),"")</f>
        <v/>
      </c>
      <c r="M3622" s="34" t="str">
        <f aca="false">IF(K3622="Neraca",INDEX(I_COA!$E$6:$E$265,MATCH(D3622,I_COA!$A$6:$A$265,0)),"")</f>
        <v/>
      </c>
      <c r="N3622" s="34" t="str">
        <f aca="false">IF(D3622="","",IFERROR(INDEX(I_COA!$G$6:$G$265,MATCH(D3622,I_COA!$A$6:$A$265,0)),"N"))</f>
        <v/>
      </c>
      <c r="O3622" s="11" t="str">
        <f aca="false">IF(N3622="N",ABS(J3622),"")</f>
        <v/>
      </c>
      <c r="P3622" s="18" t="str">
        <f aca="false">IF(N3622="N",B3622&amp;"|"&amp;ROUND(O3622,0),"")</f>
        <v/>
      </c>
      <c r="Q3622" s="18" t="str">
        <f aca="false">IF(N3622&lt;&gt;"Y","",IFERROR(INDEX($D$6:$D$4005,MATCH(B3622&amp;"|"&amp;ROUND(_xlfn.MAXIFS($O$6:$O$4005,$B$6:$B$4005,B3622,$N$6:$N$4005,"N"),0),$P$6:$P$4005,0)),"(tanpa lawan)"))</f>
        <v/>
      </c>
      <c r="R3622" s="44"/>
      <c r="S3622" s="9" t="str">
        <f aca="false">IF(N3622&lt;&gt;"Y","",IF(R3622&lt;&gt;"",R3622,IF(Q3622="(tanpa lawan)","Transfer antar rekening",IFERROR(INDEX(I_COA!$F$6:$F$265,MATCH(Q3622,I_COA!$A$6:$A$265,0)),"?"))))</f>
        <v/>
      </c>
    </row>
    <row r="3623" customFormat="false" ht="15" hidden="false" customHeight="false" outlineLevel="0" collapsed="false">
      <c r="A3623" s="37"/>
      <c r="B3623" s="44"/>
      <c r="C3623" s="44"/>
      <c r="D3623" s="44"/>
      <c r="E3623" s="44"/>
      <c r="F3623" s="44"/>
      <c r="G3623" s="42"/>
      <c r="H3623" s="42"/>
      <c r="I3623" s="44"/>
      <c r="J3623" s="11" t="str">
        <f aca="false">IF(D3623="","",N(G3623)-N(H3623))</f>
        <v/>
      </c>
      <c r="K3623" s="34" t="str">
        <f aca="false">IF(D3623="","",IFERROR(INDEX(I_COA!$C$6:$C$265,MATCH(D3623,I_COA!$A$6:$A$265,0)),"AKUN BARU"))</f>
        <v/>
      </c>
      <c r="L3623" s="34" t="str">
        <f aca="false">IF(K3623="LabaRugi",INDEX(I_COA!$D$6:$D$265,MATCH(D3623,I_COA!$A$6:$A$265,0)),"")</f>
        <v/>
      </c>
      <c r="M3623" s="34" t="str">
        <f aca="false">IF(K3623="Neraca",INDEX(I_COA!$E$6:$E$265,MATCH(D3623,I_COA!$A$6:$A$265,0)),"")</f>
        <v/>
      </c>
      <c r="N3623" s="34" t="str">
        <f aca="false">IF(D3623="","",IFERROR(INDEX(I_COA!$G$6:$G$265,MATCH(D3623,I_COA!$A$6:$A$265,0)),"N"))</f>
        <v/>
      </c>
      <c r="O3623" s="11" t="str">
        <f aca="false">IF(N3623="N",ABS(J3623),"")</f>
        <v/>
      </c>
      <c r="P3623" s="18" t="str">
        <f aca="false">IF(N3623="N",B3623&amp;"|"&amp;ROUND(O3623,0),"")</f>
        <v/>
      </c>
      <c r="Q3623" s="18" t="str">
        <f aca="false">IF(N3623&lt;&gt;"Y","",IFERROR(INDEX($D$6:$D$4005,MATCH(B3623&amp;"|"&amp;ROUND(_xlfn.MAXIFS($O$6:$O$4005,$B$6:$B$4005,B3623,$N$6:$N$4005,"N"),0),$P$6:$P$4005,0)),"(tanpa lawan)"))</f>
        <v/>
      </c>
      <c r="R3623" s="44"/>
      <c r="S3623" s="9" t="str">
        <f aca="false">IF(N3623&lt;&gt;"Y","",IF(R3623&lt;&gt;"",R3623,IF(Q3623="(tanpa lawan)","Transfer antar rekening",IFERROR(INDEX(I_COA!$F$6:$F$265,MATCH(Q3623,I_COA!$A$6:$A$265,0)),"?"))))</f>
        <v/>
      </c>
    </row>
    <row r="3624" customFormat="false" ht="15" hidden="false" customHeight="false" outlineLevel="0" collapsed="false">
      <c r="A3624" s="37"/>
      <c r="B3624" s="44"/>
      <c r="C3624" s="44"/>
      <c r="D3624" s="44"/>
      <c r="E3624" s="44"/>
      <c r="F3624" s="44"/>
      <c r="G3624" s="42"/>
      <c r="H3624" s="42"/>
      <c r="I3624" s="44"/>
      <c r="J3624" s="11" t="str">
        <f aca="false">IF(D3624="","",N(G3624)-N(H3624))</f>
        <v/>
      </c>
      <c r="K3624" s="34" t="str">
        <f aca="false">IF(D3624="","",IFERROR(INDEX(I_COA!$C$6:$C$265,MATCH(D3624,I_COA!$A$6:$A$265,0)),"AKUN BARU"))</f>
        <v/>
      </c>
      <c r="L3624" s="34" t="str">
        <f aca="false">IF(K3624="LabaRugi",INDEX(I_COA!$D$6:$D$265,MATCH(D3624,I_COA!$A$6:$A$265,0)),"")</f>
        <v/>
      </c>
      <c r="M3624" s="34" t="str">
        <f aca="false">IF(K3624="Neraca",INDEX(I_COA!$E$6:$E$265,MATCH(D3624,I_COA!$A$6:$A$265,0)),"")</f>
        <v/>
      </c>
      <c r="N3624" s="34" t="str">
        <f aca="false">IF(D3624="","",IFERROR(INDEX(I_COA!$G$6:$G$265,MATCH(D3624,I_COA!$A$6:$A$265,0)),"N"))</f>
        <v/>
      </c>
      <c r="O3624" s="11" t="str">
        <f aca="false">IF(N3624="N",ABS(J3624),"")</f>
        <v/>
      </c>
      <c r="P3624" s="18" t="str">
        <f aca="false">IF(N3624="N",B3624&amp;"|"&amp;ROUND(O3624,0),"")</f>
        <v/>
      </c>
      <c r="Q3624" s="18" t="str">
        <f aca="false">IF(N3624&lt;&gt;"Y","",IFERROR(INDEX($D$6:$D$4005,MATCH(B3624&amp;"|"&amp;ROUND(_xlfn.MAXIFS($O$6:$O$4005,$B$6:$B$4005,B3624,$N$6:$N$4005,"N"),0),$P$6:$P$4005,0)),"(tanpa lawan)"))</f>
        <v/>
      </c>
      <c r="R3624" s="44"/>
      <c r="S3624" s="9" t="str">
        <f aca="false">IF(N3624&lt;&gt;"Y","",IF(R3624&lt;&gt;"",R3624,IF(Q3624="(tanpa lawan)","Transfer antar rekening",IFERROR(INDEX(I_COA!$F$6:$F$265,MATCH(Q3624,I_COA!$A$6:$A$265,0)),"?"))))</f>
        <v/>
      </c>
    </row>
    <row r="3625" customFormat="false" ht="15" hidden="false" customHeight="false" outlineLevel="0" collapsed="false">
      <c r="A3625" s="37"/>
      <c r="B3625" s="44"/>
      <c r="C3625" s="44"/>
      <c r="D3625" s="44"/>
      <c r="E3625" s="44"/>
      <c r="F3625" s="44"/>
      <c r="G3625" s="42"/>
      <c r="H3625" s="42"/>
      <c r="I3625" s="44"/>
      <c r="J3625" s="11" t="str">
        <f aca="false">IF(D3625="","",N(G3625)-N(H3625))</f>
        <v/>
      </c>
      <c r="K3625" s="34" t="str">
        <f aca="false">IF(D3625="","",IFERROR(INDEX(I_COA!$C$6:$C$265,MATCH(D3625,I_COA!$A$6:$A$265,0)),"AKUN BARU"))</f>
        <v/>
      </c>
      <c r="L3625" s="34" t="str">
        <f aca="false">IF(K3625="LabaRugi",INDEX(I_COA!$D$6:$D$265,MATCH(D3625,I_COA!$A$6:$A$265,0)),"")</f>
        <v/>
      </c>
      <c r="M3625" s="34" t="str">
        <f aca="false">IF(K3625="Neraca",INDEX(I_COA!$E$6:$E$265,MATCH(D3625,I_COA!$A$6:$A$265,0)),"")</f>
        <v/>
      </c>
      <c r="N3625" s="34" t="str">
        <f aca="false">IF(D3625="","",IFERROR(INDEX(I_COA!$G$6:$G$265,MATCH(D3625,I_COA!$A$6:$A$265,0)),"N"))</f>
        <v/>
      </c>
      <c r="O3625" s="11" t="str">
        <f aca="false">IF(N3625="N",ABS(J3625),"")</f>
        <v/>
      </c>
      <c r="P3625" s="18" t="str">
        <f aca="false">IF(N3625="N",B3625&amp;"|"&amp;ROUND(O3625,0),"")</f>
        <v/>
      </c>
      <c r="Q3625" s="18" t="str">
        <f aca="false">IF(N3625&lt;&gt;"Y","",IFERROR(INDEX($D$6:$D$4005,MATCH(B3625&amp;"|"&amp;ROUND(_xlfn.MAXIFS($O$6:$O$4005,$B$6:$B$4005,B3625,$N$6:$N$4005,"N"),0),$P$6:$P$4005,0)),"(tanpa lawan)"))</f>
        <v/>
      </c>
      <c r="R3625" s="44"/>
      <c r="S3625" s="9" t="str">
        <f aca="false">IF(N3625&lt;&gt;"Y","",IF(R3625&lt;&gt;"",R3625,IF(Q3625="(tanpa lawan)","Transfer antar rekening",IFERROR(INDEX(I_COA!$F$6:$F$265,MATCH(Q3625,I_COA!$A$6:$A$265,0)),"?"))))</f>
        <v/>
      </c>
    </row>
    <row r="3626" customFormat="false" ht="15" hidden="false" customHeight="false" outlineLevel="0" collapsed="false">
      <c r="A3626" s="37"/>
      <c r="B3626" s="44"/>
      <c r="C3626" s="44"/>
      <c r="D3626" s="44"/>
      <c r="E3626" s="44"/>
      <c r="F3626" s="44"/>
      <c r="G3626" s="42"/>
      <c r="H3626" s="42"/>
      <c r="I3626" s="44"/>
      <c r="J3626" s="11" t="str">
        <f aca="false">IF(D3626="","",N(G3626)-N(H3626))</f>
        <v/>
      </c>
      <c r="K3626" s="34" t="str">
        <f aca="false">IF(D3626="","",IFERROR(INDEX(I_COA!$C$6:$C$265,MATCH(D3626,I_COA!$A$6:$A$265,0)),"AKUN BARU"))</f>
        <v/>
      </c>
      <c r="L3626" s="34" t="str">
        <f aca="false">IF(K3626="LabaRugi",INDEX(I_COA!$D$6:$D$265,MATCH(D3626,I_COA!$A$6:$A$265,0)),"")</f>
        <v/>
      </c>
      <c r="M3626" s="34" t="str">
        <f aca="false">IF(K3626="Neraca",INDEX(I_COA!$E$6:$E$265,MATCH(D3626,I_COA!$A$6:$A$265,0)),"")</f>
        <v/>
      </c>
      <c r="N3626" s="34" t="str">
        <f aca="false">IF(D3626="","",IFERROR(INDEX(I_COA!$G$6:$G$265,MATCH(D3626,I_COA!$A$6:$A$265,0)),"N"))</f>
        <v/>
      </c>
      <c r="O3626" s="11" t="str">
        <f aca="false">IF(N3626="N",ABS(J3626),"")</f>
        <v/>
      </c>
      <c r="P3626" s="18" t="str">
        <f aca="false">IF(N3626="N",B3626&amp;"|"&amp;ROUND(O3626,0),"")</f>
        <v/>
      </c>
      <c r="Q3626" s="18" t="str">
        <f aca="false">IF(N3626&lt;&gt;"Y","",IFERROR(INDEX($D$6:$D$4005,MATCH(B3626&amp;"|"&amp;ROUND(_xlfn.MAXIFS($O$6:$O$4005,$B$6:$B$4005,B3626,$N$6:$N$4005,"N"),0),$P$6:$P$4005,0)),"(tanpa lawan)"))</f>
        <v/>
      </c>
      <c r="R3626" s="44"/>
      <c r="S3626" s="9" t="str">
        <f aca="false">IF(N3626&lt;&gt;"Y","",IF(R3626&lt;&gt;"",R3626,IF(Q3626="(tanpa lawan)","Transfer antar rekening",IFERROR(INDEX(I_COA!$F$6:$F$265,MATCH(Q3626,I_COA!$A$6:$A$265,0)),"?"))))</f>
        <v/>
      </c>
    </row>
    <row r="3627" customFormat="false" ht="15" hidden="false" customHeight="false" outlineLevel="0" collapsed="false">
      <c r="A3627" s="37"/>
      <c r="B3627" s="44"/>
      <c r="C3627" s="44"/>
      <c r="D3627" s="44"/>
      <c r="E3627" s="44"/>
      <c r="F3627" s="44"/>
      <c r="G3627" s="42"/>
      <c r="H3627" s="42"/>
      <c r="I3627" s="44"/>
      <c r="J3627" s="11" t="str">
        <f aca="false">IF(D3627="","",N(G3627)-N(H3627))</f>
        <v/>
      </c>
      <c r="K3627" s="34" t="str">
        <f aca="false">IF(D3627="","",IFERROR(INDEX(I_COA!$C$6:$C$265,MATCH(D3627,I_COA!$A$6:$A$265,0)),"AKUN BARU"))</f>
        <v/>
      </c>
      <c r="L3627" s="34" t="str">
        <f aca="false">IF(K3627="LabaRugi",INDEX(I_COA!$D$6:$D$265,MATCH(D3627,I_COA!$A$6:$A$265,0)),"")</f>
        <v/>
      </c>
      <c r="M3627" s="34" t="str">
        <f aca="false">IF(K3627="Neraca",INDEX(I_COA!$E$6:$E$265,MATCH(D3627,I_COA!$A$6:$A$265,0)),"")</f>
        <v/>
      </c>
      <c r="N3627" s="34" t="str">
        <f aca="false">IF(D3627="","",IFERROR(INDEX(I_COA!$G$6:$G$265,MATCH(D3627,I_COA!$A$6:$A$265,0)),"N"))</f>
        <v/>
      </c>
      <c r="O3627" s="11" t="str">
        <f aca="false">IF(N3627="N",ABS(J3627),"")</f>
        <v/>
      </c>
      <c r="P3627" s="18" t="str">
        <f aca="false">IF(N3627="N",B3627&amp;"|"&amp;ROUND(O3627,0),"")</f>
        <v/>
      </c>
      <c r="Q3627" s="18" t="str">
        <f aca="false">IF(N3627&lt;&gt;"Y","",IFERROR(INDEX($D$6:$D$4005,MATCH(B3627&amp;"|"&amp;ROUND(_xlfn.MAXIFS($O$6:$O$4005,$B$6:$B$4005,B3627,$N$6:$N$4005,"N"),0),$P$6:$P$4005,0)),"(tanpa lawan)"))</f>
        <v/>
      </c>
      <c r="R3627" s="44"/>
      <c r="S3627" s="9" t="str">
        <f aca="false">IF(N3627&lt;&gt;"Y","",IF(R3627&lt;&gt;"",R3627,IF(Q3627="(tanpa lawan)","Transfer antar rekening",IFERROR(INDEX(I_COA!$F$6:$F$265,MATCH(Q3627,I_COA!$A$6:$A$265,0)),"?"))))</f>
        <v/>
      </c>
    </row>
    <row r="3628" customFormat="false" ht="15" hidden="false" customHeight="false" outlineLevel="0" collapsed="false">
      <c r="A3628" s="37"/>
      <c r="B3628" s="44"/>
      <c r="C3628" s="44"/>
      <c r="D3628" s="44"/>
      <c r="E3628" s="44"/>
      <c r="F3628" s="44"/>
      <c r="G3628" s="42"/>
      <c r="H3628" s="42"/>
      <c r="I3628" s="44"/>
      <c r="J3628" s="11" t="str">
        <f aca="false">IF(D3628="","",N(G3628)-N(H3628))</f>
        <v/>
      </c>
      <c r="K3628" s="34" t="str">
        <f aca="false">IF(D3628="","",IFERROR(INDEX(I_COA!$C$6:$C$265,MATCH(D3628,I_COA!$A$6:$A$265,0)),"AKUN BARU"))</f>
        <v/>
      </c>
      <c r="L3628" s="34" t="str">
        <f aca="false">IF(K3628="LabaRugi",INDEX(I_COA!$D$6:$D$265,MATCH(D3628,I_COA!$A$6:$A$265,0)),"")</f>
        <v/>
      </c>
      <c r="M3628" s="34" t="str">
        <f aca="false">IF(K3628="Neraca",INDEX(I_COA!$E$6:$E$265,MATCH(D3628,I_COA!$A$6:$A$265,0)),"")</f>
        <v/>
      </c>
      <c r="N3628" s="34" t="str">
        <f aca="false">IF(D3628="","",IFERROR(INDEX(I_COA!$G$6:$G$265,MATCH(D3628,I_COA!$A$6:$A$265,0)),"N"))</f>
        <v/>
      </c>
      <c r="O3628" s="11" t="str">
        <f aca="false">IF(N3628="N",ABS(J3628),"")</f>
        <v/>
      </c>
      <c r="P3628" s="18" t="str">
        <f aca="false">IF(N3628="N",B3628&amp;"|"&amp;ROUND(O3628,0),"")</f>
        <v/>
      </c>
      <c r="Q3628" s="18" t="str">
        <f aca="false">IF(N3628&lt;&gt;"Y","",IFERROR(INDEX($D$6:$D$4005,MATCH(B3628&amp;"|"&amp;ROUND(_xlfn.MAXIFS($O$6:$O$4005,$B$6:$B$4005,B3628,$N$6:$N$4005,"N"),0),$P$6:$P$4005,0)),"(tanpa lawan)"))</f>
        <v/>
      </c>
      <c r="R3628" s="44"/>
      <c r="S3628" s="9" t="str">
        <f aca="false">IF(N3628&lt;&gt;"Y","",IF(R3628&lt;&gt;"",R3628,IF(Q3628="(tanpa lawan)","Transfer antar rekening",IFERROR(INDEX(I_COA!$F$6:$F$265,MATCH(Q3628,I_COA!$A$6:$A$265,0)),"?"))))</f>
        <v/>
      </c>
    </row>
    <row r="3629" customFormat="false" ht="15" hidden="false" customHeight="false" outlineLevel="0" collapsed="false">
      <c r="A3629" s="37"/>
      <c r="B3629" s="44"/>
      <c r="C3629" s="44"/>
      <c r="D3629" s="44"/>
      <c r="E3629" s="44"/>
      <c r="F3629" s="44"/>
      <c r="G3629" s="42"/>
      <c r="H3629" s="42"/>
      <c r="I3629" s="44"/>
      <c r="J3629" s="11" t="str">
        <f aca="false">IF(D3629="","",N(G3629)-N(H3629))</f>
        <v/>
      </c>
      <c r="K3629" s="34" t="str">
        <f aca="false">IF(D3629="","",IFERROR(INDEX(I_COA!$C$6:$C$265,MATCH(D3629,I_COA!$A$6:$A$265,0)),"AKUN BARU"))</f>
        <v/>
      </c>
      <c r="L3629" s="34" t="str">
        <f aca="false">IF(K3629="LabaRugi",INDEX(I_COA!$D$6:$D$265,MATCH(D3629,I_COA!$A$6:$A$265,0)),"")</f>
        <v/>
      </c>
      <c r="M3629" s="34" t="str">
        <f aca="false">IF(K3629="Neraca",INDEX(I_COA!$E$6:$E$265,MATCH(D3629,I_COA!$A$6:$A$265,0)),"")</f>
        <v/>
      </c>
      <c r="N3629" s="34" t="str">
        <f aca="false">IF(D3629="","",IFERROR(INDEX(I_COA!$G$6:$G$265,MATCH(D3629,I_COA!$A$6:$A$265,0)),"N"))</f>
        <v/>
      </c>
      <c r="O3629" s="11" t="str">
        <f aca="false">IF(N3629="N",ABS(J3629),"")</f>
        <v/>
      </c>
      <c r="P3629" s="18" t="str">
        <f aca="false">IF(N3629="N",B3629&amp;"|"&amp;ROUND(O3629,0),"")</f>
        <v/>
      </c>
      <c r="Q3629" s="18" t="str">
        <f aca="false">IF(N3629&lt;&gt;"Y","",IFERROR(INDEX($D$6:$D$4005,MATCH(B3629&amp;"|"&amp;ROUND(_xlfn.MAXIFS($O$6:$O$4005,$B$6:$B$4005,B3629,$N$6:$N$4005,"N"),0),$P$6:$P$4005,0)),"(tanpa lawan)"))</f>
        <v/>
      </c>
      <c r="R3629" s="44"/>
      <c r="S3629" s="9" t="str">
        <f aca="false">IF(N3629&lt;&gt;"Y","",IF(R3629&lt;&gt;"",R3629,IF(Q3629="(tanpa lawan)","Transfer antar rekening",IFERROR(INDEX(I_COA!$F$6:$F$265,MATCH(Q3629,I_COA!$A$6:$A$265,0)),"?"))))</f>
        <v/>
      </c>
    </row>
    <row r="3630" customFormat="false" ht="15" hidden="false" customHeight="false" outlineLevel="0" collapsed="false">
      <c r="A3630" s="37"/>
      <c r="B3630" s="44"/>
      <c r="C3630" s="44"/>
      <c r="D3630" s="44"/>
      <c r="E3630" s="44"/>
      <c r="F3630" s="44"/>
      <c r="G3630" s="42"/>
      <c r="H3630" s="42"/>
      <c r="I3630" s="44"/>
      <c r="J3630" s="11" t="str">
        <f aca="false">IF(D3630="","",N(G3630)-N(H3630))</f>
        <v/>
      </c>
      <c r="K3630" s="34" t="str">
        <f aca="false">IF(D3630="","",IFERROR(INDEX(I_COA!$C$6:$C$265,MATCH(D3630,I_COA!$A$6:$A$265,0)),"AKUN BARU"))</f>
        <v/>
      </c>
      <c r="L3630" s="34" t="str">
        <f aca="false">IF(K3630="LabaRugi",INDEX(I_COA!$D$6:$D$265,MATCH(D3630,I_COA!$A$6:$A$265,0)),"")</f>
        <v/>
      </c>
      <c r="M3630" s="34" t="str">
        <f aca="false">IF(K3630="Neraca",INDEX(I_COA!$E$6:$E$265,MATCH(D3630,I_COA!$A$6:$A$265,0)),"")</f>
        <v/>
      </c>
      <c r="N3630" s="34" t="str">
        <f aca="false">IF(D3630="","",IFERROR(INDEX(I_COA!$G$6:$G$265,MATCH(D3630,I_COA!$A$6:$A$265,0)),"N"))</f>
        <v/>
      </c>
      <c r="O3630" s="11" t="str">
        <f aca="false">IF(N3630="N",ABS(J3630),"")</f>
        <v/>
      </c>
      <c r="P3630" s="18" t="str">
        <f aca="false">IF(N3630="N",B3630&amp;"|"&amp;ROUND(O3630,0),"")</f>
        <v/>
      </c>
      <c r="Q3630" s="18" t="str">
        <f aca="false">IF(N3630&lt;&gt;"Y","",IFERROR(INDEX($D$6:$D$4005,MATCH(B3630&amp;"|"&amp;ROUND(_xlfn.MAXIFS($O$6:$O$4005,$B$6:$B$4005,B3630,$N$6:$N$4005,"N"),0),$P$6:$P$4005,0)),"(tanpa lawan)"))</f>
        <v/>
      </c>
      <c r="R3630" s="44"/>
      <c r="S3630" s="9" t="str">
        <f aca="false">IF(N3630&lt;&gt;"Y","",IF(R3630&lt;&gt;"",R3630,IF(Q3630="(tanpa lawan)","Transfer antar rekening",IFERROR(INDEX(I_COA!$F$6:$F$265,MATCH(Q3630,I_COA!$A$6:$A$265,0)),"?"))))</f>
        <v/>
      </c>
    </row>
    <row r="3631" customFormat="false" ht="15" hidden="false" customHeight="false" outlineLevel="0" collapsed="false">
      <c r="A3631" s="37"/>
      <c r="B3631" s="44"/>
      <c r="C3631" s="44"/>
      <c r="D3631" s="44"/>
      <c r="E3631" s="44"/>
      <c r="F3631" s="44"/>
      <c r="G3631" s="42"/>
      <c r="H3631" s="42"/>
      <c r="I3631" s="44"/>
      <c r="J3631" s="11" t="str">
        <f aca="false">IF(D3631="","",N(G3631)-N(H3631))</f>
        <v/>
      </c>
      <c r="K3631" s="34" t="str">
        <f aca="false">IF(D3631="","",IFERROR(INDEX(I_COA!$C$6:$C$265,MATCH(D3631,I_COA!$A$6:$A$265,0)),"AKUN BARU"))</f>
        <v/>
      </c>
      <c r="L3631" s="34" t="str">
        <f aca="false">IF(K3631="LabaRugi",INDEX(I_COA!$D$6:$D$265,MATCH(D3631,I_COA!$A$6:$A$265,0)),"")</f>
        <v/>
      </c>
      <c r="M3631" s="34" t="str">
        <f aca="false">IF(K3631="Neraca",INDEX(I_COA!$E$6:$E$265,MATCH(D3631,I_COA!$A$6:$A$265,0)),"")</f>
        <v/>
      </c>
      <c r="N3631" s="34" t="str">
        <f aca="false">IF(D3631="","",IFERROR(INDEX(I_COA!$G$6:$G$265,MATCH(D3631,I_COA!$A$6:$A$265,0)),"N"))</f>
        <v/>
      </c>
      <c r="O3631" s="11" t="str">
        <f aca="false">IF(N3631="N",ABS(J3631),"")</f>
        <v/>
      </c>
      <c r="P3631" s="18" t="str">
        <f aca="false">IF(N3631="N",B3631&amp;"|"&amp;ROUND(O3631,0),"")</f>
        <v/>
      </c>
      <c r="Q3631" s="18" t="str">
        <f aca="false">IF(N3631&lt;&gt;"Y","",IFERROR(INDEX($D$6:$D$4005,MATCH(B3631&amp;"|"&amp;ROUND(_xlfn.MAXIFS($O$6:$O$4005,$B$6:$B$4005,B3631,$N$6:$N$4005,"N"),0),$P$6:$P$4005,0)),"(tanpa lawan)"))</f>
        <v/>
      </c>
      <c r="R3631" s="44"/>
      <c r="S3631" s="9" t="str">
        <f aca="false">IF(N3631&lt;&gt;"Y","",IF(R3631&lt;&gt;"",R3631,IF(Q3631="(tanpa lawan)","Transfer antar rekening",IFERROR(INDEX(I_COA!$F$6:$F$265,MATCH(Q3631,I_COA!$A$6:$A$265,0)),"?"))))</f>
        <v/>
      </c>
    </row>
    <row r="3632" customFormat="false" ht="15" hidden="false" customHeight="false" outlineLevel="0" collapsed="false">
      <c r="A3632" s="37"/>
      <c r="B3632" s="44"/>
      <c r="C3632" s="44"/>
      <c r="D3632" s="44"/>
      <c r="E3632" s="44"/>
      <c r="F3632" s="44"/>
      <c r="G3632" s="42"/>
      <c r="H3632" s="42"/>
      <c r="I3632" s="44"/>
      <c r="J3632" s="11" t="str">
        <f aca="false">IF(D3632="","",N(G3632)-N(H3632))</f>
        <v/>
      </c>
      <c r="K3632" s="34" t="str">
        <f aca="false">IF(D3632="","",IFERROR(INDEX(I_COA!$C$6:$C$265,MATCH(D3632,I_COA!$A$6:$A$265,0)),"AKUN BARU"))</f>
        <v/>
      </c>
      <c r="L3632" s="34" t="str">
        <f aca="false">IF(K3632="LabaRugi",INDEX(I_COA!$D$6:$D$265,MATCH(D3632,I_COA!$A$6:$A$265,0)),"")</f>
        <v/>
      </c>
      <c r="M3632" s="34" t="str">
        <f aca="false">IF(K3632="Neraca",INDEX(I_COA!$E$6:$E$265,MATCH(D3632,I_COA!$A$6:$A$265,0)),"")</f>
        <v/>
      </c>
      <c r="N3632" s="34" t="str">
        <f aca="false">IF(D3632="","",IFERROR(INDEX(I_COA!$G$6:$G$265,MATCH(D3632,I_COA!$A$6:$A$265,0)),"N"))</f>
        <v/>
      </c>
      <c r="O3632" s="11" t="str">
        <f aca="false">IF(N3632="N",ABS(J3632),"")</f>
        <v/>
      </c>
      <c r="P3632" s="18" t="str">
        <f aca="false">IF(N3632="N",B3632&amp;"|"&amp;ROUND(O3632,0),"")</f>
        <v/>
      </c>
      <c r="Q3632" s="18" t="str">
        <f aca="false">IF(N3632&lt;&gt;"Y","",IFERROR(INDEX($D$6:$D$4005,MATCH(B3632&amp;"|"&amp;ROUND(_xlfn.MAXIFS($O$6:$O$4005,$B$6:$B$4005,B3632,$N$6:$N$4005,"N"),0),$P$6:$P$4005,0)),"(tanpa lawan)"))</f>
        <v/>
      </c>
      <c r="R3632" s="44"/>
      <c r="S3632" s="9" t="str">
        <f aca="false">IF(N3632&lt;&gt;"Y","",IF(R3632&lt;&gt;"",R3632,IF(Q3632="(tanpa lawan)","Transfer antar rekening",IFERROR(INDEX(I_COA!$F$6:$F$265,MATCH(Q3632,I_COA!$A$6:$A$265,0)),"?"))))</f>
        <v/>
      </c>
    </row>
    <row r="3633" customFormat="false" ht="15" hidden="false" customHeight="false" outlineLevel="0" collapsed="false">
      <c r="A3633" s="37"/>
      <c r="B3633" s="44"/>
      <c r="C3633" s="44"/>
      <c r="D3633" s="44"/>
      <c r="E3633" s="44"/>
      <c r="F3633" s="44"/>
      <c r="G3633" s="42"/>
      <c r="H3633" s="42"/>
      <c r="I3633" s="44"/>
      <c r="J3633" s="11" t="str">
        <f aca="false">IF(D3633="","",N(G3633)-N(H3633))</f>
        <v/>
      </c>
      <c r="K3633" s="34" t="str">
        <f aca="false">IF(D3633="","",IFERROR(INDEX(I_COA!$C$6:$C$265,MATCH(D3633,I_COA!$A$6:$A$265,0)),"AKUN BARU"))</f>
        <v/>
      </c>
      <c r="L3633" s="34" t="str">
        <f aca="false">IF(K3633="LabaRugi",INDEX(I_COA!$D$6:$D$265,MATCH(D3633,I_COA!$A$6:$A$265,0)),"")</f>
        <v/>
      </c>
      <c r="M3633" s="34" t="str">
        <f aca="false">IF(K3633="Neraca",INDEX(I_COA!$E$6:$E$265,MATCH(D3633,I_COA!$A$6:$A$265,0)),"")</f>
        <v/>
      </c>
      <c r="N3633" s="34" t="str">
        <f aca="false">IF(D3633="","",IFERROR(INDEX(I_COA!$G$6:$G$265,MATCH(D3633,I_COA!$A$6:$A$265,0)),"N"))</f>
        <v/>
      </c>
      <c r="O3633" s="11" t="str">
        <f aca="false">IF(N3633="N",ABS(J3633),"")</f>
        <v/>
      </c>
      <c r="P3633" s="18" t="str">
        <f aca="false">IF(N3633="N",B3633&amp;"|"&amp;ROUND(O3633,0),"")</f>
        <v/>
      </c>
      <c r="Q3633" s="18" t="str">
        <f aca="false">IF(N3633&lt;&gt;"Y","",IFERROR(INDEX($D$6:$D$4005,MATCH(B3633&amp;"|"&amp;ROUND(_xlfn.MAXIFS($O$6:$O$4005,$B$6:$B$4005,B3633,$N$6:$N$4005,"N"),0),$P$6:$P$4005,0)),"(tanpa lawan)"))</f>
        <v/>
      </c>
      <c r="R3633" s="44"/>
      <c r="S3633" s="9" t="str">
        <f aca="false">IF(N3633&lt;&gt;"Y","",IF(R3633&lt;&gt;"",R3633,IF(Q3633="(tanpa lawan)","Transfer antar rekening",IFERROR(INDEX(I_COA!$F$6:$F$265,MATCH(Q3633,I_COA!$A$6:$A$265,0)),"?"))))</f>
        <v/>
      </c>
    </row>
    <row r="3634" customFormat="false" ht="15" hidden="false" customHeight="false" outlineLevel="0" collapsed="false">
      <c r="A3634" s="37"/>
      <c r="B3634" s="44"/>
      <c r="C3634" s="44"/>
      <c r="D3634" s="44"/>
      <c r="E3634" s="44"/>
      <c r="F3634" s="44"/>
      <c r="G3634" s="42"/>
      <c r="H3634" s="42"/>
      <c r="I3634" s="44"/>
      <c r="J3634" s="11" t="str">
        <f aca="false">IF(D3634="","",N(G3634)-N(H3634))</f>
        <v/>
      </c>
      <c r="K3634" s="34" t="str">
        <f aca="false">IF(D3634="","",IFERROR(INDEX(I_COA!$C$6:$C$265,MATCH(D3634,I_COA!$A$6:$A$265,0)),"AKUN BARU"))</f>
        <v/>
      </c>
      <c r="L3634" s="34" t="str">
        <f aca="false">IF(K3634="LabaRugi",INDEX(I_COA!$D$6:$D$265,MATCH(D3634,I_COA!$A$6:$A$265,0)),"")</f>
        <v/>
      </c>
      <c r="M3634" s="34" t="str">
        <f aca="false">IF(K3634="Neraca",INDEX(I_COA!$E$6:$E$265,MATCH(D3634,I_COA!$A$6:$A$265,0)),"")</f>
        <v/>
      </c>
      <c r="N3634" s="34" t="str">
        <f aca="false">IF(D3634="","",IFERROR(INDEX(I_COA!$G$6:$G$265,MATCH(D3634,I_COA!$A$6:$A$265,0)),"N"))</f>
        <v/>
      </c>
      <c r="O3634" s="11" t="str">
        <f aca="false">IF(N3634="N",ABS(J3634),"")</f>
        <v/>
      </c>
      <c r="P3634" s="18" t="str">
        <f aca="false">IF(N3634="N",B3634&amp;"|"&amp;ROUND(O3634,0),"")</f>
        <v/>
      </c>
      <c r="Q3634" s="18" t="str">
        <f aca="false">IF(N3634&lt;&gt;"Y","",IFERROR(INDEX($D$6:$D$4005,MATCH(B3634&amp;"|"&amp;ROUND(_xlfn.MAXIFS($O$6:$O$4005,$B$6:$B$4005,B3634,$N$6:$N$4005,"N"),0),$P$6:$P$4005,0)),"(tanpa lawan)"))</f>
        <v/>
      </c>
      <c r="R3634" s="44"/>
      <c r="S3634" s="9" t="str">
        <f aca="false">IF(N3634&lt;&gt;"Y","",IF(R3634&lt;&gt;"",R3634,IF(Q3634="(tanpa lawan)","Transfer antar rekening",IFERROR(INDEX(I_COA!$F$6:$F$265,MATCH(Q3634,I_COA!$A$6:$A$265,0)),"?"))))</f>
        <v/>
      </c>
    </row>
    <row r="3635" customFormat="false" ht="15" hidden="false" customHeight="false" outlineLevel="0" collapsed="false">
      <c r="A3635" s="37"/>
      <c r="B3635" s="44"/>
      <c r="C3635" s="44"/>
      <c r="D3635" s="44"/>
      <c r="E3635" s="44"/>
      <c r="F3635" s="44"/>
      <c r="G3635" s="42"/>
      <c r="H3635" s="42"/>
      <c r="I3635" s="44"/>
      <c r="J3635" s="11" t="str">
        <f aca="false">IF(D3635="","",N(G3635)-N(H3635))</f>
        <v/>
      </c>
      <c r="K3635" s="34" t="str">
        <f aca="false">IF(D3635="","",IFERROR(INDEX(I_COA!$C$6:$C$265,MATCH(D3635,I_COA!$A$6:$A$265,0)),"AKUN BARU"))</f>
        <v/>
      </c>
      <c r="L3635" s="34" t="str">
        <f aca="false">IF(K3635="LabaRugi",INDEX(I_COA!$D$6:$D$265,MATCH(D3635,I_COA!$A$6:$A$265,0)),"")</f>
        <v/>
      </c>
      <c r="M3635" s="34" t="str">
        <f aca="false">IF(K3635="Neraca",INDEX(I_COA!$E$6:$E$265,MATCH(D3635,I_COA!$A$6:$A$265,0)),"")</f>
        <v/>
      </c>
      <c r="N3635" s="34" t="str">
        <f aca="false">IF(D3635="","",IFERROR(INDEX(I_COA!$G$6:$G$265,MATCH(D3635,I_COA!$A$6:$A$265,0)),"N"))</f>
        <v/>
      </c>
      <c r="O3635" s="11" t="str">
        <f aca="false">IF(N3635="N",ABS(J3635),"")</f>
        <v/>
      </c>
      <c r="P3635" s="18" t="str">
        <f aca="false">IF(N3635="N",B3635&amp;"|"&amp;ROUND(O3635,0),"")</f>
        <v/>
      </c>
      <c r="Q3635" s="18" t="str">
        <f aca="false">IF(N3635&lt;&gt;"Y","",IFERROR(INDEX($D$6:$D$4005,MATCH(B3635&amp;"|"&amp;ROUND(_xlfn.MAXIFS($O$6:$O$4005,$B$6:$B$4005,B3635,$N$6:$N$4005,"N"),0),$P$6:$P$4005,0)),"(tanpa lawan)"))</f>
        <v/>
      </c>
      <c r="R3635" s="44"/>
      <c r="S3635" s="9" t="str">
        <f aca="false">IF(N3635&lt;&gt;"Y","",IF(R3635&lt;&gt;"",R3635,IF(Q3635="(tanpa lawan)","Transfer antar rekening",IFERROR(INDEX(I_COA!$F$6:$F$265,MATCH(Q3635,I_COA!$A$6:$A$265,0)),"?"))))</f>
        <v/>
      </c>
    </row>
    <row r="3636" customFormat="false" ht="15" hidden="false" customHeight="false" outlineLevel="0" collapsed="false">
      <c r="A3636" s="37"/>
      <c r="B3636" s="44"/>
      <c r="C3636" s="44"/>
      <c r="D3636" s="44"/>
      <c r="E3636" s="44"/>
      <c r="F3636" s="44"/>
      <c r="G3636" s="42"/>
      <c r="H3636" s="42"/>
      <c r="I3636" s="44"/>
      <c r="J3636" s="11" t="str">
        <f aca="false">IF(D3636="","",N(G3636)-N(H3636))</f>
        <v/>
      </c>
      <c r="K3636" s="34" t="str">
        <f aca="false">IF(D3636="","",IFERROR(INDEX(I_COA!$C$6:$C$265,MATCH(D3636,I_COA!$A$6:$A$265,0)),"AKUN BARU"))</f>
        <v/>
      </c>
      <c r="L3636" s="34" t="str">
        <f aca="false">IF(K3636="LabaRugi",INDEX(I_COA!$D$6:$D$265,MATCH(D3636,I_COA!$A$6:$A$265,0)),"")</f>
        <v/>
      </c>
      <c r="M3636" s="34" t="str">
        <f aca="false">IF(K3636="Neraca",INDEX(I_COA!$E$6:$E$265,MATCH(D3636,I_COA!$A$6:$A$265,0)),"")</f>
        <v/>
      </c>
      <c r="N3636" s="34" t="str">
        <f aca="false">IF(D3636="","",IFERROR(INDEX(I_COA!$G$6:$G$265,MATCH(D3636,I_COA!$A$6:$A$265,0)),"N"))</f>
        <v/>
      </c>
      <c r="O3636" s="11" t="str">
        <f aca="false">IF(N3636="N",ABS(J3636),"")</f>
        <v/>
      </c>
      <c r="P3636" s="18" t="str">
        <f aca="false">IF(N3636="N",B3636&amp;"|"&amp;ROUND(O3636,0),"")</f>
        <v/>
      </c>
      <c r="Q3636" s="18" t="str">
        <f aca="false">IF(N3636&lt;&gt;"Y","",IFERROR(INDEX($D$6:$D$4005,MATCH(B3636&amp;"|"&amp;ROUND(_xlfn.MAXIFS($O$6:$O$4005,$B$6:$B$4005,B3636,$N$6:$N$4005,"N"),0),$P$6:$P$4005,0)),"(tanpa lawan)"))</f>
        <v/>
      </c>
      <c r="R3636" s="44"/>
      <c r="S3636" s="9" t="str">
        <f aca="false">IF(N3636&lt;&gt;"Y","",IF(R3636&lt;&gt;"",R3636,IF(Q3636="(tanpa lawan)","Transfer antar rekening",IFERROR(INDEX(I_COA!$F$6:$F$265,MATCH(Q3636,I_COA!$A$6:$A$265,0)),"?"))))</f>
        <v/>
      </c>
    </row>
    <row r="3637" customFormat="false" ht="15" hidden="false" customHeight="false" outlineLevel="0" collapsed="false">
      <c r="A3637" s="37"/>
      <c r="B3637" s="44"/>
      <c r="C3637" s="44"/>
      <c r="D3637" s="44"/>
      <c r="E3637" s="44"/>
      <c r="F3637" s="44"/>
      <c r="G3637" s="42"/>
      <c r="H3637" s="42"/>
      <c r="I3637" s="44"/>
      <c r="J3637" s="11" t="str">
        <f aca="false">IF(D3637="","",N(G3637)-N(H3637))</f>
        <v/>
      </c>
      <c r="K3637" s="34" t="str">
        <f aca="false">IF(D3637="","",IFERROR(INDEX(I_COA!$C$6:$C$265,MATCH(D3637,I_COA!$A$6:$A$265,0)),"AKUN BARU"))</f>
        <v/>
      </c>
      <c r="L3637" s="34" t="str">
        <f aca="false">IF(K3637="LabaRugi",INDEX(I_COA!$D$6:$D$265,MATCH(D3637,I_COA!$A$6:$A$265,0)),"")</f>
        <v/>
      </c>
      <c r="M3637" s="34" t="str">
        <f aca="false">IF(K3637="Neraca",INDEX(I_COA!$E$6:$E$265,MATCH(D3637,I_COA!$A$6:$A$265,0)),"")</f>
        <v/>
      </c>
      <c r="N3637" s="34" t="str">
        <f aca="false">IF(D3637="","",IFERROR(INDEX(I_COA!$G$6:$G$265,MATCH(D3637,I_COA!$A$6:$A$265,0)),"N"))</f>
        <v/>
      </c>
      <c r="O3637" s="11" t="str">
        <f aca="false">IF(N3637="N",ABS(J3637),"")</f>
        <v/>
      </c>
      <c r="P3637" s="18" t="str">
        <f aca="false">IF(N3637="N",B3637&amp;"|"&amp;ROUND(O3637,0),"")</f>
        <v/>
      </c>
      <c r="Q3637" s="18" t="str">
        <f aca="false">IF(N3637&lt;&gt;"Y","",IFERROR(INDEX($D$6:$D$4005,MATCH(B3637&amp;"|"&amp;ROUND(_xlfn.MAXIFS($O$6:$O$4005,$B$6:$B$4005,B3637,$N$6:$N$4005,"N"),0),$P$6:$P$4005,0)),"(tanpa lawan)"))</f>
        <v/>
      </c>
      <c r="R3637" s="44"/>
      <c r="S3637" s="9" t="str">
        <f aca="false">IF(N3637&lt;&gt;"Y","",IF(R3637&lt;&gt;"",R3637,IF(Q3637="(tanpa lawan)","Transfer antar rekening",IFERROR(INDEX(I_COA!$F$6:$F$265,MATCH(Q3637,I_COA!$A$6:$A$265,0)),"?"))))</f>
        <v/>
      </c>
    </row>
    <row r="3638" customFormat="false" ht="15" hidden="false" customHeight="false" outlineLevel="0" collapsed="false">
      <c r="A3638" s="37"/>
      <c r="B3638" s="44"/>
      <c r="C3638" s="44"/>
      <c r="D3638" s="44"/>
      <c r="E3638" s="44"/>
      <c r="F3638" s="44"/>
      <c r="G3638" s="42"/>
      <c r="H3638" s="42"/>
      <c r="I3638" s="44"/>
      <c r="J3638" s="11" t="str">
        <f aca="false">IF(D3638="","",N(G3638)-N(H3638))</f>
        <v/>
      </c>
      <c r="K3638" s="34" t="str">
        <f aca="false">IF(D3638="","",IFERROR(INDEX(I_COA!$C$6:$C$265,MATCH(D3638,I_COA!$A$6:$A$265,0)),"AKUN BARU"))</f>
        <v/>
      </c>
      <c r="L3638" s="34" t="str">
        <f aca="false">IF(K3638="LabaRugi",INDEX(I_COA!$D$6:$D$265,MATCH(D3638,I_COA!$A$6:$A$265,0)),"")</f>
        <v/>
      </c>
      <c r="M3638" s="34" t="str">
        <f aca="false">IF(K3638="Neraca",INDEX(I_COA!$E$6:$E$265,MATCH(D3638,I_COA!$A$6:$A$265,0)),"")</f>
        <v/>
      </c>
      <c r="N3638" s="34" t="str">
        <f aca="false">IF(D3638="","",IFERROR(INDEX(I_COA!$G$6:$G$265,MATCH(D3638,I_COA!$A$6:$A$265,0)),"N"))</f>
        <v/>
      </c>
      <c r="O3638" s="11" t="str">
        <f aca="false">IF(N3638="N",ABS(J3638),"")</f>
        <v/>
      </c>
      <c r="P3638" s="18" t="str">
        <f aca="false">IF(N3638="N",B3638&amp;"|"&amp;ROUND(O3638,0),"")</f>
        <v/>
      </c>
      <c r="Q3638" s="18" t="str">
        <f aca="false">IF(N3638&lt;&gt;"Y","",IFERROR(INDEX($D$6:$D$4005,MATCH(B3638&amp;"|"&amp;ROUND(_xlfn.MAXIFS($O$6:$O$4005,$B$6:$B$4005,B3638,$N$6:$N$4005,"N"),0),$P$6:$P$4005,0)),"(tanpa lawan)"))</f>
        <v/>
      </c>
      <c r="R3638" s="44"/>
      <c r="S3638" s="9" t="str">
        <f aca="false">IF(N3638&lt;&gt;"Y","",IF(R3638&lt;&gt;"",R3638,IF(Q3638="(tanpa lawan)","Transfer antar rekening",IFERROR(INDEX(I_COA!$F$6:$F$265,MATCH(Q3638,I_COA!$A$6:$A$265,0)),"?"))))</f>
        <v/>
      </c>
    </row>
    <row r="3639" customFormat="false" ht="15" hidden="false" customHeight="false" outlineLevel="0" collapsed="false">
      <c r="A3639" s="37"/>
      <c r="B3639" s="44"/>
      <c r="C3639" s="44"/>
      <c r="D3639" s="44"/>
      <c r="E3639" s="44"/>
      <c r="F3639" s="44"/>
      <c r="G3639" s="42"/>
      <c r="H3639" s="42"/>
      <c r="I3639" s="44"/>
      <c r="J3639" s="11" t="str">
        <f aca="false">IF(D3639="","",N(G3639)-N(H3639))</f>
        <v/>
      </c>
      <c r="K3639" s="34" t="str">
        <f aca="false">IF(D3639="","",IFERROR(INDEX(I_COA!$C$6:$C$265,MATCH(D3639,I_COA!$A$6:$A$265,0)),"AKUN BARU"))</f>
        <v/>
      </c>
      <c r="L3639" s="34" t="str">
        <f aca="false">IF(K3639="LabaRugi",INDEX(I_COA!$D$6:$D$265,MATCH(D3639,I_COA!$A$6:$A$265,0)),"")</f>
        <v/>
      </c>
      <c r="M3639" s="34" t="str">
        <f aca="false">IF(K3639="Neraca",INDEX(I_COA!$E$6:$E$265,MATCH(D3639,I_COA!$A$6:$A$265,0)),"")</f>
        <v/>
      </c>
      <c r="N3639" s="34" t="str">
        <f aca="false">IF(D3639="","",IFERROR(INDEX(I_COA!$G$6:$G$265,MATCH(D3639,I_COA!$A$6:$A$265,0)),"N"))</f>
        <v/>
      </c>
      <c r="O3639" s="11" t="str">
        <f aca="false">IF(N3639="N",ABS(J3639),"")</f>
        <v/>
      </c>
      <c r="P3639" s="18" t="str">
        <f aca="false">IF(N3639="N",B3639&amp;"|"&amp;ROUND(O3639,0),"")</f>
        <v/>
      </c>
      <c r="Q3639" s="18" t="str">
        <f aca="false">IF(N3639&lt;&gt;"Y","",IFERROR(INDEX($D$6:$D$4005,MATCH(B3639&amp;"|"&amp;ROUND(_xlfn.MAXIFS($O$6:$O$4005,$B$6:$B$4005,B3639,$N$6:$N$4005,"N"),0),$P$6:$P$4005,0)),"(tanpa lawan)"))</f>
        <v/>
      </c>
      <c r="R3639" s="44"/>
      <c r="S3639" s="9" t="str">
        <f aca="false">IF(N3639&lt;&gt;"Y","",IF(R3639&lt;&gt;"",R3639,IF(Q3639="(tanpa lawan)","Transfer antar rekening",IFERROR(INDEX(I_COA!$F$6:$F$265,MATCH(Q3639,I_COA!$A$6:$A$265,0)),"?"))))</f>
        <v/>
      </c>
    </row>
    <row r="3640" customFormat="false" ht="15" hidden="false" customHeight="false" outlineLevel="0" collapsed="false">
      <c r="A3640" s="37"/>
      <c r="B3640" s="44"/>
      <c r="C3640" s="44"/>
      <c r="D3640" s="44"/>
      <c r="E3640" s="44"/>
      <c r="F3640" s="44"/>
      <c r="G3640" s="42"/>
      <c r="H3640" s="42"/>
      <c r="I3640" s="44"/>
      <c r="J3640" s="11" t="str">
        <f aca="false">IF(D3640="","",N(G3640)-N(H3640))</f>
        <v/>
      </c>
      <c r="K3640" s="34" t="str">
        <f aca="false">IF(D3640="","",IFERROR(INDEX(I_COA!$C$6:$C$265,MATCH(D3640,I_COA!$A$6:$A$265,0)),"AKUN BARU"))</f>
        <v/>
      </c>
      <c r="L3640" s="34" t="str">
        <f aca="false">IF(K3640="LabaRugi",INDEX(I_COA!$D$6:$D$265,MATCH(D3640,I_COA!$A$6:$A$265,0)),"")</f>
        <v/>
      </c>
      <c r="M3640" s="34" t="str">
        <f aca="false">IF(K3640="Neraca",INDEX(I_COA!$E$6:$E$265,MATCH(D3640,I_COA!$A$6:$A$265,0)),"")</f>
        <v/>
      </c>
      <c r="N3640" s="34" t="str">
        <f aca="false">IF(D3640="","",IFERROR(INDEX(I_COA!$G$6:$G$265,MATCH(D3640,I_COA!$A$6:$A$265,0)),"N"))</f>
        <v/>
      </c>
      <c r="O3640" s="11" t="str">
        <f aca="false">IF(N3640="N",ABS(J3640),"")</f>
        <v/>
      </c>
      <c r="P3640" s="18" t="str">
        <f aca="false">IF(N3640="N",B3640&amp;"|"&amp;ROUND(O3640,0),"")</f>
        <v/>
      </c>
      <c r="Q3640" s="18" t="str">
        <f aca="false">IF(N3640&lt;&gt;"Y","",IFERROR(INDEX($D$6:$D$4005,MATCH(B3640&amp;"|"&amp;ROUND(_xlfn.MAXIFS($O$6:$O$4005,$B$6:$B$4005,B3640,$N$6:$N$4005,"N"),0),$P$6:$P$4005,0)),"(tanpa lawan)"))</f>
        <v/>
      </c>
      <c r="R3640" s="44"/>
      <c r="S3640" s="9" t="str">
        <f aca="false">IF(N3640&lt;&gt;"Y","",IF(R3640&lt;&gt;"",R3640,IF(Q3640="(tanpa lawan)","Transfer antar rekening",IFERROR(INDEX(I_COA!$F$6:$F$265,MATCH(Q3640,I_COA!$A$6:$A$265,0)),"?"))))</f>
        <v/>
      </c>
    </row>
    <row r="3641" customFormat="false" ht="15" hidden="false" customHeight="false" outlineLevel="0" collapsed="false">
      <c r="A3641" s="37"/>
      <c r="B3641" s="44"/>
      <c r="C3641" s="44"/>
      <c r="D3641" s="44"/>
      <c r="E3641" s="44"/>
      <c r="F3641" s="44"/>
      <c r="G3641" s="42"/>
      <c r="H3641" s="42"/>
      <c r="I3641" s="44"/>
      <c r="J3641" s="11" t="str">
        <f aca="false">IF(D3641="","",N(G3641)-N(H3641))</f>
        <v/>
      </c>
      <c r="K3641" s="34" t="str">
        <f aca="false">IF(D3641="","",IFERROR(INDEX(I_COA!$C$6:$C$265,MATCH(D3641,I_COA!$A$6:$A$265,0)),"AKUN BARU"))</f>
        <v/>
      </c>
      <c r="L3641" s="34" t="str">
        <f aca="false">IF(K3641="LabaRugi",INDEX(I_COA!$D$6:$D$265,MATCH(D3641,I_COA!$A$6:$A$265,0)),"")</f>
        <v/>
      </c>
      <c r="M3641" s="34" t="str">
        <f aca="false">IF(K3641="Neraca",INDEX(I_COA!$E$6:$E$265,MATCH(D3641,I_COA!$A$6:$A$265,0)),"")</f>
        <v/>
      </c>
      <c r="N3641" s="34" t="str">
        <f aca="false">IF(D3641="","",IFERROR(INDEX(I_COA!$G$6:$G$265,MATCH(D3641,I_COA!$A$6:$A$265,0)),"N"))</f>
        <v/>
      </c>
      <c r="O3641" s="11" t="str">
        <f aca="false">IF(N3641="N",ABS(J3641),"")</f>
        <v/>
      </c>
      <c r="P3641" s="18" t="str">
        <f aca="false">IF(N3641="N",B3641&amp;"|"&amp;ROUND(O3641,0),"")</f>
        <v/>
      </c>
      <c r="Q3641" s="18" t="str">
        <f aca="false">IF(N3641&lt;&gt;"Y","",IFERROR(INDEX($D$6:$D$4005,MATCH(B3641&amp;"|"&amp;ROUND(_xlfn.MAXIFS($O$6:$O$4005,$B$6:$B$4005,B3641,$N$6:$N$4005,"N"),0),$P$6:$P$4005,0)),"(tanpa lawan)"))</f>
        <v/>
      </c>
      <c r="R3641" s="44"/>
      <c r="S3641" s="9" t="str">
        <f aca="false">IF(N3641&lt;&gt;"Y","",IF(R3641&lt;&gt;"",R3641,IF(Q3641="(tanpa lawan)","Transfer antar rekening",IFERROR(INDEX(I_COA!$F$6:$F$265,MATCH(Q3641,I_COA!$A$6:$A$265,0)),"?"))))</f>
        <v/>
      </c>
    </row>
    <row r="3642" customFormat="false" ht="15" hidden="false" customHeight="false" outlineLevel="0" collapsed="false">
      <c r="A3642" s="37"/>
      <c r="B3642" s="44"/>
      <c r="C3642" s="44"/>
      <c r="D3642" s="44"/>
      <c r="E3642" s="44"/>
      <c r="F3642" s="44"/>
      <c r="G3642" s="42"/>
      <c r="H3642" s="42"/>
      <c r="I3642" s="44"/>
      <c r="J3642" s="11" t="str">
        <f aca="false">IF(D3642="","",N(G3642)-N(H3642))</f>
        <v/>
      </c>
      <c r="K3642" s="34" t="str">
        <f aca="false">IF(D3642="","",IFERROR(INDEX(I_COA!$C$6:$C$265,MATCH(D3642,I_COA!$A$6:$A$265,0)),"AKUN BARU"))</f>
        <v/>
      </c>
      <c r="L3642" s="34" t="str">
        <f aca="false">IF(K3642="LabaRugi",INDEX(I_COA!$D$6:$D$265,MATCH(D3642,I_COA!$A$6:$A$265,0)),"")</f>
        <v/>
      </c>
      <c r="M3642" s="34" t="str">
        <f aca="false">IF(K3642="Neraca",INDEX(I_COA!$E$6:$E$265,MATCH(D3642,I_COA!$A$6:$A$265,0)),"")</f>
        <v/>
      </c>
      <c r="N3642" s="34" t="str">
        <f aca="false">IF(D3642="","",IFERROR(INDEX(I_COA!$G$6:$G$265,MATCH(D3642,I_COA!$A$6:$A$265,0)),"N"))</f>
        <v/>
      </c>
      <c r="O3642" s="11" t="str">
        <f aca="false">IF(N3642="N",ABS(J3642),"")</f>
        <v/>
      </c>
      <c r="P3642" s="18" t="str">
        <f aca="false">IF(N3642="N",B3642&amp;"|"&amp;ROUND(O3642,0),"")</f>
        <v/>
      </c>
      <c r="Q3642" s="18" t="str">
        <f aca="false">IF(N3642&lt;&gt;"Y","",IFERROR(INDEX($D$6:$D$4005,MATCH(B3642&amp;"|"&amp;ROUND(_xlfn.MAXIFS($O$6:$O$4005,$B$6:$B$4005,B3642,$N$6:$N$4005,"N"),0),$P$6:$P$4005,0)),"(tanpa lawan)"))</f>
        <v/>
      </c>
      <c r="R3642" s="44"/>
      <c r="S3642" s="9" t="str">
        <f aca="false">IF(N3642&lt;&gt;"Y","",IF(R3642&lt;&gt;"",R3642,IF(Q3642="(tanpa lawan)","Transfer antar rekening",IFERROR(INDEX(I_COA!$F$6:$F$265,MATCH(Q3642,I_COA!$A$6:$A$265,0)),"?"))))</f>
        <v/>
      </c>
    </row>
    <row r="3643" customFormat="false" ht="15" hidden="false" customHeight="false" outlineLevel="0" collapsed="false">
      <c r="A3643" s="37"/>
      <c r="B3643" s="44"/>
      <c r="C3643" s="44"/>
      <c r="D3643" s="44"/>
      <c r="E3643" s="44"/>
      <c r="F3643" s="44"/>
      <c r="G3643" s="42"/>
      <c r="H3643" s="42"/>
      <c r="I3643" s="44"/>
      <c r="J3643" s="11" t="str">
        <f aca="false">IF(D3643="","",N(G3643)-N(H3643))</f>
        <v/>
      </c>
      <c r="K3643" s="34" t="str">
        <f aca="false">IF(D3643="","",IFERROR(INDEX(I_COA!$C$6:$C$265,MATCH(D3643,I_COA!$A$6:$A$265,0)),"AKUN BARU"))</f>
        <v/>
      </c>
      <c r="L3643" s="34" t="str">
        <f aca="false">IF(K3643="LabaRugi",INDEX(I_COA!$D$6:$D$265,MATCH(D3643,I_COA!$A$6:$A$265,0)),"")</f>
        <v/>
      </c>
      <c r="M3643" s="34" t="str">
        <f aca="false">IF(K3643="Neraca",INDEX(I_COA!$E$6:$E$265,MATCH(D3643,I_COA!$A$6:$A$265,0)),"")</f>
        <v/>
      </c>
      <c r="N3643" s="34" t="str">
        <f aca="false">IF(D3643="","",IFERROR(INDEX(I_COA!$G$6:$G$265,MATCH(D3643,I_COA!$A$6:$A$265,0)),"N"))</f>
        <v/>
      </c>
      <c r="O3643" s="11" t="str">
        <f aca="false">IF(N3643="N",ABS(J3643),"")</f>
        <v/>
      </c>
      <c r="P3643" s="18" t="str">
        <f aca="false">IF(N3643="N",B3643&amp;"|"&amp;ROUND(O3643,0),"")</f>
        <v/>
      </c>
      <c r="Q3643" s="18" t="str">
        <f aca="false">IF(N3643&lt;&gt;"Y","",IFERROR(INDEX($D$6:$D$4005,MATCH(B3643&amp;"|"&amp;ROUND(_xlfn.MAXIFS($O$6:$O$4005,$B$6:$B$4005,B3643,$N$6:$N$4005,"N"),0),$P$6:$P$4005,0)),"(tanpa lawan)"))</f>
        <v/>
      </c>
      <c r="R3643" s="44"/>
      <c r="S3643" s="9" t="str">
        <f aca="false">IF(N3643&lt;&gt;"Y","",IF(R3643&lt;&gt;"",R3643,IF(Q3643="(tanpa lawan)","Transfer antar rekening",IFERROR(INDEX(I_COA!$F$6:$F$265,MATCH(Q3643,I_COA!$A$6:$A$265,0)),"?"))))</f>
        <v/>
      </c>
    </row>
    <row r="3644" customFormat="false" ht="15" hidden="false" customHeight="false" outlineLevel="0" collapsed="false">
      <c r="A3644" s="37"/>
      <c r="B3644" s="44"/>
      <c r="C3644" s="44"/>
      <c r="D3644" s="44"/>
      <c r="E3644" s="44"/>
      <c r="F3644" s="44"/>
      <c r="G3644" s="42"/>
      <c r="H3644" s="42"/>
      <c r="I3644" s="44"/>
      <c r="J3644" s="11" t="str">
        <f aca="false">IF(D3644="","",N(G3644)-N(H3644))</f>
        <v/>
      </c>
      <c r="K3644" s="34" t="str">
        <f aca="false">IF(D3644="","",IFERROR(INDEX(I_COA!$C$6:$C$265,MATCH(D3644,I_COA!$A$6:$A$265,0)),"AKUN BARU"))</f>
        <v/>
      </c>
      <c r="L3644" s="34" t="str">
        <f aca="false">IF(K3644="LabaRugi",INDEX(I_COA!$D$6:$D$265,MATCH(D3644,I_COA!$A$6:$A$265,0)),"")</f>
        <v/>
      </c>
      <c r="M3644" s="34" t="str">
        <f aca="false">IF(K3644="Neraca",INDEX(I_COA!$E$6:$E$265,MATCH(D3644,I_COA!$A$6:$A$265,0)),"")</f>
        <v/>
      </c>
      <c r="N3644" s="34" t="str">
        <f aca="false">IF(D3644="","",IFERROR(INDEX(I_COA!$G$6:$G$265,MATCH(D3644,I_COA!$A$6:$A$265,0)),"N"))</f>
        <v/>
      </c>
      <c r="O3644" s="11" t="str">
        <f aca="false">IF(N3644="N",ABS(J3644),"")</f>
        <v/>
      </c>
      <c r="P3644" s="18" t="str">
        <f aca="false">IF(N3644="N",B3644&amp;"|"&amp;ROUND(O3644,0),"")</f>
        <v/>
      </c>
      <c r="Q3644" s="18" t="str">
        <f aca="false">IF(N3644&lt;&gt;"Y","",IFERROR(INDEX($D$6:$D$4005,MATCH(B3644&amp;"|"&amp;ROUND(_xlfn.MAXIFS($O$6:$O$4005,$B$6:$B$4005,B3644,$N$6:$N$4005,"N"),0),$P$6:$P$4005,0)),"(tanpa lawan)"))</f>
        <v/>
      </c>
      <c r="R3644" s="44"/>
      <c r="S3644" s="9" t="str">
        <f aca="false">IF(N3644&lt;&gt;"Y","",IF(R3644&lt;&gt;"",R3644,IF(Q3644="(tanpa lawan)","Transfer antar rekening",IFERROR(INDEX(I_COA!$F$6:$F$265,MATCH(Q3644,I_COA!$A$6:$A$265,0)),"?"))))</f>
        <v/>
      </c>
    </row>
    <row r="3645" customFormat="false" ht="15" hidden="false" customHeight="false" outlineLevel="0" collapsed="false">
      <c r="A3645" s="37"/>
      <c r="B3645" s="44"/>
      <c r="C3645" s="44"/>
      <c r="D3645" s="44"/>
      <c r="E3645" s="44"/>
      <c r="F3645" s="44"/>
      <c r="G3645" s="42"/>
      <c r="H3645" s="42"/>
      <c r="I3645" s="44"/>
      <c r="J3645" s="11" t="str">
        <f aca="false">IF(D3645="","",N(G3645)-N(H3645))</f>
        <v/>
      </c>
      <c r="K3645" s="34" t="str">
        <f aca="false">IF(D3645="","",IFERROR(INDEX(I_COA!$C$6:$C$265,MATCH(D3645,I_COA!$A$6:$A$265,0)),"AKUN BARU"))</f>
        <v/>
      </c>
      <c r="L3645" s="34" t="str">
        <f aca="false">IF(K3645="LabaRugi",INDEX(I_COA!$D$6:$D$265,MATCH(D3645,I_COA!$A$6:$A$265,0)),"")</f>
        <v/>
      </c>
      <c r="M3645" s="34" t="str">
        <f aca="false">IF(K3645="Neraca",INDEX(I_COA!$E$6:$E$265,MATCH(D3645,I_COA!$A$6:$A$265,0)),"")</f>
        <v/>
      </c>
      <c r="N3645" s="34" t="str">
        <f aca="false">IF(D3645="","",IFERROR(INDEX(I_COA!$G$6:$G$265,MATCH(D3645,I_COA!$A$6:$A$265,0)),"N"))</f>
        <v/>
      </c>
      <c r="O3645" s="11" t="str">
        <f aca="false">IF(N3645="N",ABS(J3645),"")</f>
        <v/>
      </c>
      <c r="P3645" s="18" t="str">
        <f aca="false">IF(N3645="N",B3645&amp;"|"&amp;ROUND(O3645,0),"")</f>
        <v/>
      </c>
      <c r="Q3645" s="18" t="str">
        <f aca="false">IF(N3645&lt;&gt;"Y","",IFERROR(INDEX($D$6:$D$4005,MATCH(B3645&amp;"|"&amp;ROUND(_xlfn.MAXIFS($O$6:$O$4005,$B$6:$B$4005,B3645,$N$6:$N$4005,"N"),0),$P$6:$P$4005,0)),"(tanpa lawan)"))</f>
        <v/>
      </c>
      <c r="R3645" s="44"/>
      <c r="S3645" s="9" t="str">
        <f aca="false">IF(N3645&lt;&gt;"Y","",IF(R3645&lt;&gt;"",R3645,IF(Q3645="(tanpa lawan)","Transfer antar rekening",IFERROR(INDEX(I_COA!$F$6:$F$265,MATCH(Q3645,I_COA!$A$6:$A$265,0)),"?"))))</f>
        <v/>
      </c>
    </row>
    <row r="3646" customFormat="false" ht="15" hidden="false" customHeight="false" outlineLevel="0" collapsed="false">
      <c r="A3646" s="37"/>
      <c r="B3646" s="44"/>
      <c r="C3646" s="44"/>
      <c r="D3646" s="44"/>
      <c r="E3646" s="44"/>
      <c r="F3646" s="44"/>
      <c r="G3646" s="42"/>
      <c r="H3646" s="42"/>
      <c r="I3646" s="44"/>
      <c r="J3646" s="11" t="str">
        <f aca="false">IF(D3646="","",N(G3646)-N(H3646))</f>
        <v/>
      </c>
      <c r="K3646" s="34" t="str">
        <f aca="false">IF(D3646="","",IFERROR(INDEX(I_COA!$C$6:$C$265,MATCH(D3646,I_COA!$A$6:$A$265,0)),"AKUN BARU"))</f>
        <v/>
      </c>
      <c r="L3646" s="34" t="str">
        <f aca="false">IF(K3646="LabaRugi",INDEX(I_COA!$D$6:$D$265,MATCH(D3646,I_COA!$A$6:$A$265,0)),"")</f>
        <v/>
      </c>
      <c r="M3646" s="34" t="str">
        <f aca="false">IF(K3646="Neraca",INDEX(I_COA!$E$6:$E$265,MATCH(D3646,I_COA!$A$6:$A$265,0)),"")</f>
        <v/>
      </c>
      <c r="N3646" s="34" t="str">
        <f aca="false">IF(D3646="","",IFERROR(INDEX(I_COA!$G$6:$G$265,MATCH(D3646,I_COA!$A$6:$A$265,0)),"N"))</f>
        <v/>
      </c>
      <c r="O3646" s="11" t="str">
        <f aca="false">IF(N3646="N",ABS(J3646),"")</f>
        <v/>
      </c>
      <c r="P3646" s="18" t="str">
        <f aca="false">IF(N3646="N",B3646&amp;"|"&amp;ROUND(O3646,0),"")</f>
        <v/>
      </c>
      <c r="Q3646" s="18" t="str">
        <f aca="false">IF(N3646&lt;&gt;"Y","",IFERROR(INDEX($D$6:$D$4005,MATCH(B3646&amp;"|"&amp;ROUND(_xlfn.MAXIFS($O$6:$O$4005,$B$6:$B$4005,B3646,$N$6:$N$4005,"N"),0),$P$6:$P$4005,0)),"(tanpa lawan)"))</f>
        <v/>
      </c>
      <c r="R3646" s="44"/>
      <c r="S3646" s="9" t="str">
        <f aca="false">IF(N3646&lt;&gt;"Y","",IF(R3646&lt;&gt;"",R3646,IF(Q3646="(tanpa lawan)","Transfer antar rekening",IFERROR(INDEX(I_COA!$F$6:$F$265,MATCH(Q3646,I_COA!$A$6:$A$265,0)),"?"))))</f>
        <v/>
      </c>
    </row>
    <row r="3647" customFormat="false" ht="15" hidden="false" customHeight="false" outlineLevel="0" collapsed="false">
      <c r="A3647" s="37"/>
      <c r="B3647" s="44"/>
      <c r="C3647" s="44"/>
      <c r="D3647" s="44"/>
      <c r="E3647" s="44"/>
      <c r="F3647" s="44"/>
      <c r="G3647" s="42"/>
      <c r="H3647" s="42"/>
      <c r="I3647" s="44"/>
      <c r="J3647" s="11" t="str">
        <f aca="false">IF(D3647="","",N(G3647)-N(H3647))</f>
        <v/>
      </c>
      <c r="K3647" s="34" t="str">
        <f aca="false">IF(D3647="","",IFERROR(INDEX(I_COA!$C$6:$C$265,MATCH(D3647,I_COA!$A$6:$A$265,0)),"AKUN BARU"))</f>
        <v/>
      </c>
      <c r="L3647" s="34" t="str">
        <f aca="false">IF(K3647="LabaRugi",INDEX(I_COA!$D$6:$D$265,MATCH(D3647,I_COA!$A$6:$A$265,0)),"")</f>
        <v/>
      </c>
      <c r="M3647" s="34" t="str">
        <f aca="false">IF(K3647="Neraca",INDEX(I_COA!$E$6:$E$265,MATCH(D3647,I_COA!$A$6:$A$265,0)),"")</f>
        <v/>
      </c>
      <c r="N3647" s="34" t="str">
        <f aca="false">IF(D3647="","",IFERROR(INDEX(I_COA!$G$6:$G$265,MATCH(D3647,I_COA!$A$6:$A$265,0)),"N"))</f>
        <v/>
      </c>
      <c r="O3647" s="11" t="str">
        <f aca="false">IF(N3647="N",ABS(J3647),"")</f>
        <v/>
      </c>
      <c r="P3647" s="18" t="str">
        <f aca="false">IF(N3647="N",B3647&amp;"|"&amp;ROUND(O3647,0),"")</f>
        <v/>
      </c>
      <c r="Q3647" s="18" t="str">
        <f aca="false">IF(N3647&lt;&gt;"Y","",IFERROR(INDEX($D$6:$D$4005,MATCH(B3647&amp;"|"&amp;ROUND(_xlfn.MAXIFS($O$6:$O$4005,$B$6:$B$4005,B3647,$N$6:$N$4005,"N"),0),$P$6:$P$4005,0)),"(tanpa lawan)"))</f>
        <v/>
      </c>
      <c r="R3647" s="44"/>
      <c r="S3647" s="9" t="str">
        <f aca="false">IF(N3647&lt;&gt;"Y","",IF(R3647&lt;&gt;"",R3647,IF(Q3647="(tanpa lawan)","Transfer antar rekening",IFERROR(INDEX(I_COA!$F$6:$F$265,MATCH(Q3647,I_COA!$A$6:$A$265,0)),"?"))))</f>
        <v/>
      </c>
    </row>
    <row r="3648" customFormat="false" ht="15" hidden="false" customHeight="false" outlineLevel="0" collapsed="false">
      <c r="A3648" s="37"/>
      <c r="B3648" s="44"/>
      <c r="C3648" s="44"/>
      <c r="D3648" s="44"/>
      <c r="E3648" s="44"/>
      <c r="F3648" s="44"/>
      <c r="G3648" s="42"/>
      <c r="H3648" s="42"/>
      <c r="I3648" s="44"/>
      <c r="J3648" s="11" t="str">
        <f aca="false">IF(D3648="","",N(G3648)-N(H3648))</f>
        <v/>
      </c>
      <c r="K3648" s="34" t="str">
        <f aca="false">IF(D3648="","",IFERROR(INDEX(I_COA!$C$6:$C$265,MATCH(D3648,I_COA!$A$6:$A$265,0)),"AKUN BARU"))</f>
        <v/>
      </c>
      <c r="L3648" s="34" t="str">
        <f aca="false">IF(K3648="LabaRugi",INDEX(I_COA!$D$6:$D$265,MATCH(D3648,I_COA!$A$6:$A$265,0)),"")</f>
        <v/>
      </c>
      <c r="M3648" s="34" t="str">
        <f aca="false">IF(K3648="Neraca",INDEX(I_COA!$E$6:$E$265,MATCH(D3648,I_COA!$A$6:$A$265,0)),"")</f>
        <v/>
      </c>
      <c r="N3648" s="34" t="str">
        <f aca="false">IF(D3648="","",IFERROR(INDEX(I_COA!$G$6:$G$265,MATCH(D3648,I_COA!$A$6:$A$265,0)),"N"))</f>
        <v/>
      </c>
      <c r="O3648" s="11" t="str">
        <f aca="false">IF(N3648="N",ABS(J3648),"")</f>
        <v/>
      </c>
      <c r="P3648" s="18" t="str">
        <f aca="false">IF(N3648="N",B3648&amp;"|"&amp;ROUND(O3648,0),"")</f>
        <v/>
      </c>
      <c r="Q3648" s="18" t="str">
        <f aca="false">IF(N3648&lt;&gt;"Y","",IFERROR(INDEX($D$6:$D$4005,MATCH(B3648&amp;"|"&amp;ROUND(_xlfn.MAXIFS($O$6:$O$4005,$B$6:$B$4005,B3648,$N$6:$N$4005,"N"),0),$P$6:$P$4005,0)),"(tanpa lawan)"))</f>
        <v/>
      </c>
      <c r="R3648" s="44"/>
      <c r="S3648" s="9" t="str">
        <f aca="false">IF(N3648&lt;&gt;"Y","",IF(R3648&lt;&gt;"",R3648,IF(Q3648="(tanpa lawan)","Transfer antar rekening",IFERROR(INDEX(I_COA!$F$6:$F$265,MATCH(Q3648,I_COA!$A$6:$A$265,0)),"?"))))</f>
        <v/>
      </c>
    </row>
    <row r="3649" customFormat="false" ht="15" hidden="false" customHeight="false" outlineLevel="0" collapsed="false">
      <c r="A3649" s="37"/>
      <c r="B3649" s="44"/>
      <c r="C3649" s="44"/>
      <c r="D3649" s="44"/>
      <c r="E3649" s="44"/>
      <c r="F3649" s="44"/>
      <c r="G3649" s="42"/>
      <c r="H3649" s="42"/>
      <c r="I3649" s="44"/>
      <c r="J3649" s="11" t="str">
        <f aca="false">IF(D3649="","",N(G3649)-N(H3649))</f>
        <v/>
      </c>
      <c r="K3649" s="34" t="str">
        <f aca="false">IF(D3649="","",IFERROR(INDEX(I_COA!$C$6:$C$265,MATCH(D3649,I_COA!$A$6:$A$265,0)),"AKUN BARU"))</f>
        <v/>
      </c>
      <c r="L3649" s="34" t="str">
        <f aca="false">IF(K3649="LabaRugi",INDEX(I_COA!$D$6:$D$265,MATCH(D3649,I_COA!$A$6:$A$265,0)),"")</f>
        <v/>
      </c>
      <c r="M3649" s="34" t="str">
        <f aca="false">IF(K3649="Neraca",INDEX(I_COA!$E$6:$E$265,MATCH(D3649,I_COA!$A$6:$A$265,0)),"")</f>
        <v/>
      </c>
      <c r="N3649" s="34" t="str">
        <f aca="false">IF(D3649="","",IFERROR(INDEX(I_COA!$G$6:$G$265,MATCH(D3649,I_COA!$A$6:$A$265,0)),"N"))</f>
        <v/>
      </c>
      <c r="O3649" s="11" t="str">
        <f aca="false">IF(N3649="N",ABS(J3649),"")</f>
        <v/>
      </c>
      <c r="P3649" s="18" t="str">
        <f aca="false">IF(N3649="N",B3649&amp;"|"&amp;ROUND(O3649,0),"")</f>
        <v/>
      </c>
      <c r="Q3649" s="18" t="str">
        <f aca="false">IF(N3649&lt;&gt;"Y","",IFERROR(INDEX($D$6:$D$4005,MATCH(B3649&amp;"|"&amp;ROUND(_xlfn.MAXIFS($O$6:$O$4005,$B$6:$B$4005,B3649,$N$6:$N$4005,"N"),0),$P$6:$P$4005,0)),"(tanpa lawan)"))</f>
        <v/>
      </c>
      <c r="R3649" s="44"/>
      <c r="S3649" s="9" t="str">
        <f aca="false">IF(N3649&lt;&gt;"Y","",IF(R3649&lt;&gt;"",R3649,IF(Q3649="(tanpa lawan)","Transfer antar rekening",IFERROR(INDEX(I_COA!$F$6:$F$265,MATCH(Q3649,I_COA!$A$6:$A$265,0)),"?"))))</f>
        <v/>
      </c>
    </row>
    <row r="3650" customFormat="false" ht="15" hidden="false" customHeight="false" outlineLevel="0" collapsed="false">
      <c r="A3650" s="37"/>
      <c r="B3650" s="44"/>
      <c r="C3650" s="44"/>
      <c r="D3650" s="44"/>
      <c r="E3650" s="44"/>
      <c r="F3650" s="44"/>
      <c r="G3650" s="42"/>
      <c r="H3650" s="42"/>
      <c r="I3650" s="44"/>
      <c r="J3650" s="11" t="str">
        <f aca="false">IF(D3650="","",N(G3650)-N(H3650))</f>
        <v/>
      </c>
      <c r="K3650" s="34" t="str">
        <f aca="false">IF(D3650="","",IFERROR(INDEX(I_COA!$C$6:$C$265,MATCH(D3650,I_COA!$A$6:$A$265,0)),"AKUN BARU"))</f>
        <v/>
      </c>
      <c r="L3650" s="34" t="str">
        <f aca="false">IF(K3650="LabaRugi",INDEX(I_COA!$D$6:$D$265,MATCH(D3650,I_COA!$A$6:$A$265,0)),"")</f>
        <v/>
      </c>
      <c r="M3650" s="34" t="str">
        <f aca="false">IF(K3650="Neraca",INDEX(I_COA!$E$6:$E$265,MATCH(D3650,I_COA!$A$6:$A$265,0)),"")</f>
        <v/>
      </c>
      <c r="N3650" s="34" t="str">
        <f aca="false">IF(D3650="","",IFERROR(INDEX(I_COA!$G$6:$G$265,MATCH(D3650,I_COA!$A$6:$A$265,0)),"N"))</f>
        <v/>
      </c>
      <c r="O3650" s="11" t="str">
        <f aca="false">IF(N3650="N",ABS(J3650),"")</f>
        <v/>
      </c>
      <c r="P3650" s="18" t="str">
        <f aca="false">IF(N3650="N",B3650&amp;"|"&amp;ROUND(O3650,0),"")</f>
        <v/>
      </c>
      <c r="Q3650" s="18" t="str">
        <f aca="false">IF(N3650&lt;&gt;"Y","",IFERROR(INDEX($D$6:$D$4005,MATCH(B3650&amp;"|"&amp;ROUND(_xlfn.MAXIFS($O$6:$O$4005,$B$6:$B$4005,B3650,$N$6:$N$4005,"N"),0),$P$6:$P$4005,0)),"(tanpa lawan)"))</f>
        <v/>
      </c>
      <c r="R3650" s="44"/>
      <c r="S3650" s="9" t="str">
        <f aca="false">IF(N3650&lt;&gt;"Y","",IF(R3650&lt;&gt;"",R3650,IF(Q3650="(tanpa lawan)","Transfer antar rekening",IFERROR(INDEX(I_COA!$F$6:$F$265,MATCH(Q3650,I_COA!$A$6:$A$265,0)),"?"))))</f>
        <v/>
      </c>
    </row>
    <row r="3651" customFormat="false" ht="15" hidden="false" customHeight="false" outlineLevel="0" collapsed="false">
      <c r="A3651" s="37"/>
      <c r="B3651" s="44"/>
      <c r="C3651" s="44"/>
      <c r="D3651" s="44"/>
      <c r="E3651" s="44"/>
      <c r="F3651" s="44"/>
      <c r="G3651" s="42"/>
      <c r="H3651" s="42"/>
      <c r="I3651" s="44"/>
      <c r="J3651" s="11" t="str">
        <f aca="false">IF(D3651="","",N(G3651)-N(H3651))</f>
        <v/>
      </c>
      <c r="K3651" s="34" t="str">
        <f aca="false">IF(D3651="","",IFERROR(INDEX(I_COA!$C$6:$C$265,MATCH(D3651,I_COA!$A$6:$A$265,0)),"AKUN BARU"))</f>
        <v/>
      </c>
      <c r="L3651" s="34" t="str">
        <f aca="false">IF(K3651="LabaRugi",INDEX(I_COA!$D$6:$D$265,MATCH(D3651,I_COA!$A$6:$A$265,0)),"")</f>
        <v/>
      </c>
      <c r="M3651" s="34" t="str">
        <f aca="false">IF(K3651="Neraca",INDEX(I_COA!$E$6:$E$265,MATCH(D3651,I_COA!$A$6:$A$265,0)),"")</f>
        <v/>
      </c>
      <c r="N3651" s="34" t="str">
        <f aca="false">IF(D3651="","",IFERROR(INDEX(I_COA!$G$6:$G$265,MATCH(D3651,I_COA!$A$6:$A$265,0)),"N"))</f>
        <v/>
      </c>
      <c r="O3651" s="11" t="str">
        <f aca="false">IF(N3651="N",ABS(J3651),"")</f>
        <v/>
      </c>
      <c r="P3651" s="18" t="str">
        <f aca="false">IF(N3651="N",B3651&amp;"|"&amp;ROUND(O3651,0),"")</f>
        <v/>
      </c>
      <c r="Q3651" s="18" t="str">
        <f aca="false">IF(N3651&lt;&gt;"Y","",IFERROR(INDEX($D$6:$D$4005,MATCH(B3651&amp;"|"&amp;ROUND(_xlfn.MAXIFS($O$6:$O$4005,$B$6:$B$4005,B3651,$N$6:$N$4005,"N"),0),$P$6:$P$4005,0)),"(tanpa lawan)"))</f>
        <v/>
      </c>
      <c r="R3651" s="44"/>
      <c r="S3651" s="9" t="str">
        <f aca="false">IF(N3651&lt;&gt;"Y","",IF(R3651&lt;&gt;"",R3651,IF(Q3651="(tanpa lawan)","Transfer antar rekening",IFERROR(INDEX(I_COA!$F$6:$F$265,MATCH(Q3651,I_COA!$A$6:$A$265,0)),"?"))))</f>
        <v/>
      </c>
    </row>
    <row r="3652" customFormat="false" ht="15" hidden="false" customHeight="false" outlineLevel="0" collapsed="false">
      <c r="A3652" s="37"/>
      <c r="B3652" s="44"/>
      <c r="C3652" s="44"/>
      <c r="D3652" s="44"/>
      <c r="E3652" s="44"/>
      <c r="F3652" s="44"/>
      <c r="G3652" s="42"/>
      <c r="H3652" s="42"/>
      <c r="I3652" s="44"/>
      <c r="J3652" s="11" t="str">
        <f aca="false">IF(D3652="","",N(G3652)-N(H3652))</f>
        <v/>
      </c>
      <c r="K3652" s="34" t="str">
        <f aca="false">IF(D3652="","",IFERROR(INDEX(I_COA!$C$6:$C$265,MATCH(D3652,I_COA!$A$6:$A$265,0)),"AKUN BARU"))</f>
        <v/>
      </c>
      <c r="L3652" s="34" t="str">
        <f aca="false">IF(K3652="LabaRugi",INDEX(I_COA!$D$6:$D$265,MATCH(D3652,I_COA!$A$6:$A$265,0)),"")</f>
        <v/>
      </c>
      <c r="M3652" s="34" t="str">
        <f aca="false">IF(K3652="Neraca",INDEX(I_COA!$E$6:$E$265,MATCH(D3652,I_COA!$A$6:$A$265,0)),"")</f>
        <v/>
      </c>
      <c r="N3652" s="34" t="str">
        <f aca="false">IF(D3652="","",IFERROR(INDEX(I_COA!$G$6:$G$265,MATCH(D3652,I_COA!$A$6:$A$265,0)),"N"))</f>
        <v/>
      </c>
      <c r="O3652" s="11" t="str">
        <f aca="false">IF(N3652="N",ABS(J3652),"")</f>
        <v/>
      </c>
      <c r="P3652" s="18" t="str">
        <f aca="false">IF(N3652="N",B3652&amp;"|"&amp;ROUND(O3652,0),"")</f>
        <v/>
      </c>
      <c r="Q3652" s="18" t="str">
        <f aca="false">IF(N3652&lt;&gt;"Y","",IFERROR(INDEX($D$6:$D$4005,MATCH(B3652&amp;"|"&amp;ROUND(_xlfn.MAXIFS($O$6:$O$4005,$B$6:$B$4005,B3652,$N$6:$N$4005,"N"),0),$P$6:$P$4005,0)),"(tanpa lawan)"))</f>
        <v/>
      </c>
      <c r="R3652" s="44"/>
      <c r="S3652" s="9" t="str">
        <f aca="false">IF(N3652&lt;&gt;"Y","",IF(R3652&lt;&gt;"",R3652,IF(Q3652="(tanpa lawan)","Transfer antar rekening",IFERROR(INDEX(I_COA!$F$6:$F$265,MATCH(Q3652,I_COA!$A$6:$A$265,0)),"?"))))</f>
        <v/>
      </c>
    </row>
    <row r="3653" customFormat="false" ht="15" hidden="false" customHeight="false" outlineLevel="0" collapsed="false">
      <c r="A3653" s="37"/>
      <c r="B3653" s="44"/>
      <c r="C3653" s="44"/>
      <c r="D3653" s="44"/>
      <c r="E3653" s="44"/>
      <c r="F3653" s="44"/>
      <c r="G3653" s="42"/>
      <c r="H3653" s="42"/>
      <c r="I3653" s="44"/>
      <c r="J3653" s="11" t="str">
        <f aca="false">IF(D3653="","",N(G3653)-N(H3653))</f>
        <v/>
      </c>
      <c r="K3653" s="34" t="str">
        <f aca="false">IF(D3653="","",IFERROR(INDEX(I_COA!$C$6:$C$265,MATCH(D3653,I_COA!$A$6:$A$265,0)),"AKUN BARU"))</f>
        <v/>
      </c>
      <c r="L3653" s="34" t="str">
        <f aca="false">IF(K3653="LabaRugi",INDEX(I_COA!$D$6:$D$265,MATCH(D3653,I_COA!$A$6:$A$265,0)),"")</f>
        <v/>
      </c>
      <c r="M3653" s="34" t="str">
        <f aca="false">IF(K3653="Neraca",INDEX(I_COA!$E$6:$E$265,MATCH(D3653,I_COA!$A$6:$A$265,0)),"")</f>
        <v/>
      </c>
      <c r="N3653" s="34" t="str">
        <f aca="false">IF(D3653="","",IFERROR(INDEX(I_COA!$G$6:$G$265,MATCH(D3653,I_COA!$A$6:$A$265,0)),"N"))</f>
        <v/>
      </c>
      <c r="O3653" s="11" t="str">
        <f aca="false">IF(N3653="N",ABS(J3653),"")</f>
        <v/>
      </c>
      <c r="P3653" s="18" t="str">
        <f aca="false">IF(N3653="N",B3653&amp;"|"&amp;ROUND(O3653,0),"")</f>
        <v/>
      </c>
      <c r="Q3653" s="18" t="str">
        <f aca="false">IF(N3653&lt;&gt;"Y","",IFERROR(INDEX($D$6:$D$4005,MATCH(B3653&amp;"|"&amp;ROUND(_xlfn.MAXIFS($O$6:$O$4005,$B$6:$B$4005,B3653,$N$6:$N$4005,"N"),0),$P$6:$P$4005,0)),"(tanpa lawan)"))</f>
        <v/>
      </c>
      <c r="R3653" s="44"/>
      <c r="S3653" s="9" t="str">
        <f aca="false">IF(N3653&lt;&gt;"Y","",IF(R3653&lt;&gt;"",R3653,IF(Q3653="(tanpa lawan)","Transfer antar rekening",IFERROR(INDEX(I_COA!$F$6:$F$265,MATCH(Q3653,I_COA!$A$6:$A$265,0)),"?"))))</f>
        <v/>
      </c>
    </row>
    <row r="3654" customFormat="false" ht="15" hidden="false" customHeight="false" outlineLevel="0" collapsed="false">
      <c r="A3654" s="37"/>
      <c r="B3654" s="44"/>
      <c r="C3654" s="44"/>
      <c r="D3654" s="44"/>
      <c r="E3654" s="44"/>
      <c r="F3654" s="44"/>
      <c r="G3654" s="42"/>
      <c r="H3654" s="42"/>
      <c r="I3654" s="44"/>
      <c r="J3654" s="11" t="str">
        <f aca="false">IF(D3654="","",N(G3654)-N(H3654))</f>
        <v/>
      </c>
      <c r="K3654" s="34" t="str">
        <f aca="false">IF(D3654="","",IFERROR(INDEX(I_COA!$C$6:$C$265,MATCH(D3654,I_COA!$A$6:$A$265,0)),"AKUN BARU"))</f>
        <v/>
      </c>
      <c r="L3654" s="34" t="str">
        <f aca="false">IF(K3654="LabaRugi",INDEX(I_COA!$D$6:$D$265,MATCH(D3654,I_COA!$A$6:$A$265,0)),"")</f>
        <v/>
      </c>
      <c r="M3654" s="34" t="str">
        <f aca="false">IF(K3654="Neraca",INDEX(I_COA!$E$6:$E$265,MATCH(D3654,I_COA!$A$6:$A$265,0)),"")</f>
        <v/>
      </c>
      <c r="N3654" s="34" t="str">
        <f aca="false">IF(D3654="","",IFERROR(INDEX(I_COA!$G$6:$G$265,MATCH(D3654,I_COA!$A$6:$A$265,0)),"N"))</f>
        <v/>
      </c>
      <c r="O3654" s="11" t="str">
        <f aca="false">IF(N3654="N",ABS(J3654),"")</f>
        <v/>
      </c>
      <c r="P3654" s="18" t="str">
        <f aca="false">IF(N3654="N",B3654&amp;"|"&amp;ROUND(O3654,0),"")</f>
        <v/>
      </c>
      <c r="Q3654" s="18" t="str">
        <f aca="false">IF(N3654&lt;&gt;"Y","",IFERROR(INDEX($D$6:$D$4005,MATCH(B3654&amp;"|"&amp;ROUND(_xlfn.MAXIFS($O$6:$O$4005,$B$6:$B$4005,B3654,$N$6:$N$4005,"N"),0),$P$6:$P$4005,0)),"(tanpa lawan)"))</f>
        <v/>
      </c>
      <c r="R3654" s="44"/>
      <c r="S3654" s="9" t="str">
        <f aca="false">IF(N3654&lt;&gt;"Y","",IF(R3654&lt;&gt;"",R3654,IF(Q3654="(tanpa lawan)","Transfer antar rekening",IFERROR(INDEX(I_COA!$F$6:$F$265,MATCH(Q3654,I_COA!$A$6:$A$265,0)),"?"))))</f>
        <v/>
      </c>
    </row>
    <row r="3655" customFormat="false" ht="15" hidden="false" customHeight="false" outlineLevel="0" collapsed="false">
      <c r="A3655" s="37"/>
      <c r="B3655" s="44"/>
      <c r="C3655" s="44"/>
      <c r="D3655" s="44"/>
      <c r="E3655" s="44"/>
      <c r="F3655" s="44"/>
      <c r="G3655" s="42"/>
      <c r="H3655" s="42"/>
      <c r="I3655" s="44"/>
      <c r="J3655" s="11" t="str">
        <f aca="false">IF(D3655="","",N(G3655)-N(H3655))</f>
        <v/>
      </c>
      <c r="K3655" s="34" t="str">
        <f aca="false">IF(D3655="","",IFERROR(INDEX(I_COA!$C$6:$C$265,MATCH(D3655,I_COA!$A$6:$A$265,0)),"AKUN BARU"))</f>
        <v/>
      </c>
      <c r="L3655" s="34" t="str">
        <f aca="false">IF(K3655="LabaRugi",INDEX(I_COA!$D$6:$D$265,MATCH(D3655,I_COA!$A$6:$A$265,0)),"")</f>
        <v/>
      </c>
      <c r="M3655" s="34" t="str">
        <f aca="false">IF(K3655="Neraca",INDEX(I_COA!$E$6:$E$265,MATCH(D3655,I_COA!$A$6:$A$265,0)),"")</f>
        <v/>
      </c>
      <c r="N3655" s="34" t="str">
        <f aca="false">IF(D3655="","",IFERROR(INDEX(I_COA!$G$6:$G$265,MATCH(D3655,I_COA!$A$6:$A$265,0)),"N"))</f>
        <v/>
      </c>
      <c r="O3655" s="11" t="str">
        <f aca="false">IF(N3655="N",ABS(J3655),"")</f>
        <v/>
      </c>
      <c r="P3655" s="18" t="str">
        <f aca="false">IF(N3655="N",B3655&amp;"|"&amp;ROUND(O3655,0),"")</f>
        <v/>
      </c>
      <c r="Q3655" s="18" t="str">
        <f aca="false">IF(N3655&lt;&gt;"Y","",IFERROR(INDEX($D$6:$D$4005,MATCH(B3655&amp;"|"&amp;ROUND(_xlfn.MAXIFS($O$6:$O$4005,$B$6:$B$4005,B3655,$N$6:$N$4005,"N"),0),$P$6:$P$4005,0)),"(tanpa lawan)"))</f>
        <v/>
      </c>
      <c r="R3655" s="44"/>
      <c r="S3655" s="9" t="str">
        <f aca="false">IF(N3655&lt;&gt;"Y","",IF(R3655&lt;&gt;"",R3655,IF(Q3655="(tanpa lawan)","Transfer antar rekening",IFERROR(INDEX(I_COA!$F$6:$F$265,MATCH(Q3655,I_COA!$A$6:$A$265,0)),"?"))))</f>
        <v/>
      </c>
    </row>
    <row r="3656" customFormat="false" ht="15" hidden="false" customHeight="false" outlineLevel="0" collapsed="false">
      <c r="A3656" s="37"/>
      <c r="B3656" s="44"/>
      <c r="C3656" s="44"/>
      <c r="D3656" s="44"/>
      <c r="E3656" s="44"/>
      <c r="F3656" s="44"/>
      <c r="G3656" s="42"/>
      <c r="H3656" s="42"/>
      <c r="I3656" s="44"/>
      <c r="J3656" s="11" t="str">
        <f aca="false">IF(D3656="","",N(G3656)-N(H3656))</f>
        <v/>
      </c>
      <c r="K3656" s="34" t="str">
        <f aca="false">IF(D3656="","",IFERROR(INDEX(I_COA!$C$6:$C$265,MATCH(D3656,I_COA!$A$6:$A$265,0)),"AKUN BARU"))</f>
        <v/>
      </c>
      <c r="L3656" s="34" t="str">
        <f aca="false">IF(K3656="LabaRugi",INDEX(I_COA!$D$6:$D$265,MATCH(D3656,I_COA!$A$6:$A$265,0)),"")</f>
        <v/>
      </c>
      <c r="M3656" s="34" t="str">
        <f aca="false">IF(K3656="Neraca",INDEX(I_COA!$E$6:$E$265,MATCH(D3656,I_COA!$A$6:$A$265,0)),"")</f>
        <v/>
      </c>
      <c r="N3656" s="34" t="str">
        <f aca="false">IF(D3656="","",IFERROR(INDEX(I_COA!$G$6:$G$265,MATCH(D3656,I_COA!$A$6:$A$265,0)),"N"))</f>
        <v/>
      </c>
      <c r="O3656" s="11" t="str">
        <f aca="false">IF(N3656="N",ABS(J3656),"")</f>
        <v/>
      </c>
      <c r="P3656" s="18" t="str">
        <f aca="false">IF(N3656="N",B3656&amp;"|"&amp;ROUND(O3656,0),"")</f>
        <v/>
      </c>
      <c r="Q3656" s="18" t="str">
        <f aca="false">IF(N3656&lt;&gt;"Y","",IFERROR(INDEX($D$6:$D$4005,MATCH(B3656&amp;"|"&amp;ROUND(_xlfn.MAXIFS($O$6:$O$4005,$B$6:$B$4005,B3656,$N$6:$N$4005,"N"),0),$P$6:$P$4005,0)),"(tanpa lawan)"))</f>
        <v/>
      </c>
      <c r="R3656" s="44"/>
      <c r="S3656" s="9" t="str">
        <f aca="false">IF(N3656&lt;&gt;"Y","",IF(R3656&lt;&gt;"",R3656,IF(Q3656="(tanpa lawan)","Transfer antar rekening",IFERROR(INDEX(I_COA!$F$6:$F$265,MATCH(Q3656,I_COA!$A$6:$A$265,0)),"?"))))</f>
        <v/>
      </c>
    </row>
    <row r="3657" customFormat="false" ht="15" hidden="false" customHeight="false" outlineLevel="0" collapsed="false">
      <c r="A3657" s="37"/>
      <c r="B3657" s="44"/>
      <c r="C3657" s="44"/>
      <c r="D3657" s="44"/>
      <c r="E3657" s="44"/>
      <c r="F3657" s="44"/>
      <c r="G3657" s="42"/>
      <c r="H3657" s="42"/>
      <c r="I3657" s="44"/>
      <c r="J3657" s="11" t="str">
        <f aca="false">IF(D3657="","",N(G3657)-N(H3657))</f>
        <v/>
      </c>
      <c r="K3657" s="34" t="str">
        <f aca="false">IF(D3657="","",IFERROR(INDEX(I_COA!$C$6:$C$265,MATCH(D3657,I_COA!$A$6:$A$265,0)),"AKUN BARU"))</f>
        <v/>
      </c>
      <c r="L3657" s="34" t="str">
        <f aca="false">IF(K3657="LabaRugi",INDEX(I_COA!$D$6:$D$265,MATCH(D3657,I_COA!$A$6:$A$265,0)),"")</f>
        <v/>
      </c>
      <c r="M3657" s="34" t="str">
        <f aca="false">IF(K3657="Neraca",INDEX(I_COA!$E$6:$E$265,MATCH(D3657,I_COA!$A$6:$A$265,0)),"")</f>
        <v/>
      </c>
      <c r="N3657" s="34" t="str">
        <f aca="false">IF(D3657="","",IFERROR(INDEX(I_COA!$G$6:$G$265,MATCH(D3657,I_COA!$A$6:$A$265,0)),"N"))</f>
        <v/>
      </c>
      <c r="O3657" s="11" t="str">
        <f aca="false">IF(N3657="N",ABS(J3657),"")</f>
        <v/>
      </c>
      <c r="P3657" s="18" t="str">
        <f aca="false">IF(N3657="N",B3657&amp;"|"&amp;ROUND(O3657,0),"")</f>
        <v/>
      </c>
      <c r="Q3657" s="18" t="str">
        <f aca="false">IF(N3657&lt;&gt;"Y","",IFERROR(INDEX($D$6:$D$4005,MATCH(B3657&amp;"|"&amp;ROUND(_xlfn.MAXIFS($O$6:$O$4005,$B$6:$B$4005,B3657,$N$6:$N$4005,"N"),0),$P$6:$P$4005,0)),"(tanpa lawan)"))</f>
        <v/>
      </c>
      <c r="R3657" s="44"/>
      <c r="S3657" s="9" t="str">
        <f aca="false">IF(N3657&lt;&gt;"Y","",IF(R3657&lt;&gt;"",R3657,IF(Q3657="(tanpa lawan)","Transfer antar rekening",IFERROR(INDEX(I_COA!$F$6:$F$265,MATCH(Q3657,I_COA!$A$6:$A$265,0)),"?"))))</f>
        <v/>
      </c>
    </row>
    <row r="3658" customFormat="false" ht="15" hidden="false" customHeight="false" outlineLevel="0" collapsed="false">
      <c r="A3658" s="37"/>
      <c r="B3658" s="44"/>
      <c r="C3658" s="44"/>
      <c r="D3658" s="44"/>
      <c r="E3658" s="44"/>
      <c r="F3658" s="44"/>
      <c r="G3658" s="42"/>
      <c r="H3658" s="42"/>
      <c r="I3658" s="44"/>
      <c r="J3658" s="11" t="str">
        <f aca="false">IF(D3658="","",N(G3658)-N(H3658))</f>
        <v/>
      </c>
      <c r="K3658" s="34" t="str">
        <f aca="false">IF(D3658="","",IFERROR(INDEX(I_COA!$C$6:$C$265,MATCH(D3658,I_COA!$A$6:$A$265,0)),"AKUN BARU"))</f>
        <v/>
      </c>
      <c r="L3658" s="34" t="str">
        <f aca="false">IF(K3658="LabaRugi",INDEX(I_COA!$D$6:$D$265,MATCH(D3658,I_COA!$A$6:$A$265,0)),"")</f>
        <v/>
      </c>
      <c r="M3658" s="34" t="str">
        <f aca="false">IF(K3658="Neraca",INDEX(I_COA!$E$6:$E$265,MATCH(D3658,I_COA!$A$6:$A$265,0)),"")</f>
        <v/>
      </c>
      <c r="N3658" s="34" t="str">
        <f aca="false">IF(D3658="","",IFERROR(INDEX(I_COA!$G$6:$G$265,MATCH(D3658,I_COA!$A$6:$A$265,0)),"N"))</f>
        <v/>
      </c>
      <c r="O3658" s="11" t="str">
        <f aca="false">IF(N3658="N",ABS(J3658),"")</f>
        <v/>
      </c>
      <c r="P3658" s="18" t="str">
        <f aca="false">IF(N3658="N",B3658&amp;"|"&amp;ROUND(O3658,0),"")</f>
        <v/>
      </c>
      <c r="Q3658" s="18" t="str">
        <f aca="false">IF(N3658&lt;&gt;"Y","",IFERROR(INDEX($D$6:$D$4005,MATCH(B3658&amp;"|"&amp;ROUND(_xlfn.MAXIFS($O$6:$O$4005,$B$6:$B$4005,B3658,$N$6:$N$4005,"N"),0),$P$6:$P$4005,0)),"(tanpa lawan)"))</f>
        <v/>
      </c>
      <c r="R3658" s="44"/>
      <c r="S3658" s="9" t="str">
        <f aca="false">IF(N3658&lt;&gt;"Y","",IF(R3658&lt;&gt;"",R3658,IF(Q3658="(tanpa lawan)","Transfer antar rekening",IFERROR(INDEX(I_COA!$F$6:$F$265,MATCH(Q3658,I_COA!$A$6:$A$265,0)),"?"))))</f>
        <v/>
      </c>
    </row>
    <row r="3659" customFormat="false" ht="15" hidden="false" customHeight="false" outlineLevel="0" collapsed="false">
      <c r="A3659" s="37"/>
      <c r="B3659" s="44"/>
      <c r="C3659" s="44"/>
      <c r="D3659" s="44"/>
      <c r="E3659" s="44"/>
      <c r="F3659" s="44"/>
      <c r="G3659" s="42"/>
      <c r="H3659" s="42"/>
      <c r="I3659" s="44"/>
      <c r="J3659" s="11" t="str">
        <f aca="false">IF(D3659="","",N(G3659)-N(H3659))</f>
        <v/>
      </c>
      <c r="K3659" s="34" t="str">
        <f aca="false">IF(D3659="","",IFERROR(INDEX(I_COA!$C$6:$C$265,MATCH(D3659,I_COA!$A$6:$A$265,0)),"AKUN BARU"))</f>
        <v/>
      </c>
      <c r="L3659" s="34" t="str">
        <f aca="false">IF(K3659="LabaRugi",INDEX(I_COA!$D$6:$D$265,MATCH(D3659,I_COA!$A$6:$A$265,0)),"")</f>
        <v/>
      </c>
      <c r="M3659" s="34" t="str">
        <f aca="false">IF(K3659="Neraca",INDEX(I_COA!$E$6:$E$265,MATCH(D3659,I_COA!$A$6:$A$265,0)),"")</f>
        <v/>
      </c>
      <c r="N3659" s="34" t="str">
        <f aca="false">IF(D3659="","",IFERROR(INDEX(I_COA!$G$6:$G$265,MATCH(D3659,I_COA!$A$6:$A$265,0)),"N"))</f>
        <v/>
      </c>
      <c r="O3659" s="11" t="str">
        <f aca="false">IF(N3659="N",ABS(J3659),"")</f>
        <v/>
      </c>
      <c r="P3659" s="18" t="str">
        <f aca="false">IF(N3659="N",B3659&amp;"|"&amp;ROUND(O3659,0),"")</f>
        <v/>
      </c>
      <c r="Q3659" s="18" t="str">
        <f aca="false">IF(N3659&lt;&gt;"Y","",IFERROR(INDEX($D$6:$D$4005,MATCH(B3659&amp;"|"&amp;ROUND(_xlfn.MAXIFS($O$6:$O$4005,$B$6:$B$4005,B3659,$N$6:$N$4005,"N"),0),$P$6:$P$4005,0)),"(tanpa lawan)"))</f>
        <v/>
      </c>
      <c r="R3659" s="44"/>
      <c r="S3659" s="9" t="str">
        <f aca="false">IF(N3659&lt;&gt;"Y","",IF(R3659&lt;&gt;"",R3659,IF(Q3659="(tanpa lawan)","Transfer antar rekening",IFERROR(INDEX(I_COA!$F$6:$F$265,MATCH(Q3659,I_COA!$A$6:$A$265,0)),"?"))))</f>
        <v/>
      </c>
    </row>
    <row r="3660" customFormat="false" ht="15" hidden="false" customHeight="false" outlineLevel="0" collapsed="false">
      <c r="A3660" s="37"/>
      <c r="B3660" s="44"/>
      <c r="C3660" s="44"/>
      <c r="D3660" s="44"/>
      <c r="E3660" s="44"/>
      <c r="F3660" s="44"/>
      <c r="G3660" s="42"/>
      <c r="H3660" s="42"/>
      <c r="I3660" s="44"/>
      <c r="J3660" s="11" t="str">
        <f aca="false">IF(D3660="","",N(G3660)-N(H3660))</f>
        <v/>
      </c>
      <c r="K3660" s="34" t="str">
        <f aca="false">IF(D3660="","",IFERROR(INDEX(I_COA!$C$6:$C$265,MATCH(D3660,I_COA!$A$6:$A$265,0)),"AKUN BARU"))</f>
        <v/>
      </c>
      <c r="L3660" s="34" t="str">
        <f aca="false">IF(K3660="LabaRugi",INDEX(I_COA!$D$6:$D$265,MATCH(D3660,I_COA!$A$6:$A$265,0)),"")</f>
        <v/>
      </c>
      <c r="M3660" s="34" t="str">
        <f aca="false">IF(K3660="Neraca",INDEX(I_COA!$E$6:$E$265,MATCH(D3660,I_COA!$A$6:$A$265,0)),"")</f>
        <v/>
      </c>
      <c r="N3660" s="34" t="str">
        <f aca="false">IF(D3660="","",IFERROR(INDEX(I_COA!$G$6:$G$265,MATCH(D3660,I_COA!$A$6:$A$265,0)),"N"))</f>
        <v/>
      </c>
      <c r="O3660" s="11" t="str">
        <f aca="false">IF(N3660="N",ABS(J3660),"")</f>
        <v/>
      </c>
      <c r="P3660" s="18" t="str">
        <f aca="false">IF(N3660="N",B3660&amp;"|"&amp;ROUND(O3660,0),"")</f>
        <v/>
      </c>
      <c r="Q3660" s="18" t="str">
        <f aca="false">IF(N3660&lt;&gt;"Y","",IFERROR(INDEX($D$6:$D$4005,MATCH(B3660&amp;"|"&amp;ROUND(_xlfn.MAXIFS($O$6:$O$4005,$B$6:$B$4005,B3660,$N$6:$N$4005,"N"),0),$P$6:$P$4005,0)),"(tanpa lawan)"))</f>
        <v/>
      </c>
      <c r="R3660" s="44"/>
      <c r="S3660" s="9" t="str">
        <f aca="false">IF(N3660&lt;&gt;"Y","",IF(R3660&lt;&gt;"",R3660,IF(Q3660="(tanpa lawan)","Transfer antar rekening",IFERROR(INDEX(I_COA!$F$6:$F$265,MATCH(Q3660,I_COA!$A$6:$A$265,0)),"?"))))</f>
        <v/>
      </c>
    </row>
    <row r="3661" customFormat="false" ht="15" hidden="false" customHeight="false" outlineLevel="0" collapsed="false">
      <c r="A3661" s="37"/>
      <c r="B3661" s="44"/>
      <c r="C3661" s="44"/>
      <c r="D3661" s="44"/>
      <c r="E3661" s="44"/>
      <c r="F3661" s="44"/>
      <c r="G3661" s="42"/>
      <c r="H3661" s="42"/>
      <c r="I3661" s="44"/>
      <c r="J3661" s="11" t="str">
        <f aca="false">IF(D3661="","",N(G3661)-N(H3661))</f>
        <v/>
      </c>
      <c r="K3661" s="34" t="str">
        <f aca="false">IF(D3661="","",IFERROR(INDEX(I_COA!$C$6:$C$265,MATCH(D3661,I_COA!$A$6:$A$265,0)),"AKUN BARU"))</f>
        <v/>
      </c>
      <c r="L3661" s="34" t="str">
        <f aca="false">IF(K3661="LabaRugi",INDEX(I_COA!$D$6:$D$265,MATCH(D3661,I_COA!$A$6:$A$265,0)),"")</f>
        <v/>
      </c>
      <c r="M3661" s="34" t="str">
        <f aca="false">IF(K3661="Neraca",INDEX(I_COA!$E$6:$E$265,MATCH(D3661,I_COA!$A$6:$A$265,0)),"")</f>
        <v/>
      </c>
      <c r="N3661" s="34" t="str">
        <f aca="false">IF(D3661="","",IFERROR(INDEX(I_COA!$G$6:$G$265,MATCH(D3661,I_COA!$A$6:$A$265,0)),"N"))</f>
        <v/>
      </c>
      <c r="O3661" s="11" t="str">
        <f aca="false">IF(N3661="N",ABS(J3661),"")</f>
        <v/>
      </c>
      <c r="P3661" s="18" t="str">
        <f aca="false">IF(N3661="N",B3661&amp;"|"&amp;ROUND(O3661,0),"")</f>
        <v/>
      </c>
      <c r="Q3661" s="18" t="str">
        <f aca="false">IF(N3661&lt;&gt;"Y","",IFERROR(INDEX($D$6:$D$4005,MATCH(B3661&amp;"|"&amp;ROUND(_xlfn.MAXIFS($O$6:$O$4005,$B$6:$B$4005,B3661,$N$6:$N$4005,"N"),0),$P$6:$P$4005,0)),"(tanpa lawan)"))</f>
        <v/>
      </c>
      <c r="R3661" s="44"/>
      <c r="S3661" s="9" t="str">
        <f aca="false">IF(N3661&lt;&gt;"Y","",IF(R3661&lt;&gt;"",R3661,IF(Q3661="(tanpa lawan)","Transfer antar rekening",IFERROR(INDEX(I_COA!$F$6:$F$265,MATCH(Q3661,I_COA!$A$6:$A$265,0)),"?"))))</f>
        <v/>
      </c>
    </row>
    <row r="3662" customFormat="false" ht="15" hidden="false" customHeight="false" outlineLevel="0" collapsed="false">
      <c r="A3662" s="37"/>
      <c r="B3662" s="44"/>
      <c r="C3662" s="44"/>
      <c r="D3662" s="44"/>
      <c r="E3662" s="44"/>
      <c r="F3662" s="44"/>
      <c r="G3662" s="42"/>
      <c r="H3662" s="42"/>
      <c r="I3662" s="44"/>
      <c r="J3662" s="11" t="str">
        <f aca="false">IF(D3662="","",N(G3662)-N(H3662))</f>
        <v/>
      </c>
      <c r="K3662" s="34" t="str">
        <f aca="false">IF(D3662="","",IFERROR(INDEX(I_COA!$C$6:$C$265,MATCH(D3662,I_COA!$A$6:$A$265,0)),"AKUN BARU"))</f>
        <v/>
      </c>
      <c r="L3662" s="34" t="str">
        <f aca="false">IF(K3662="LabaRugi",INDEX(I_COA!$D$6:$D$265,MATCH(D3662,I_COA!$A$6:$A$265,0)),"")</f>
        <v/>
      </c>
      <c r="M3662" s="34" t="str">
        <f aca="false">IF(K3662="Neraca",INDEX(I_COA!$E$6:$E$265,MATCH(D3662,I_COA!$A$6:$A$265,0)),"")</f>
        <v/>
      </c>
      <c r="N3662" s="34" t="str">
        <f aca="false">IF(D3662="","",IFERROR(INDEX(I_COA!$G$6:$G$265,MATCH(D3662,I_COA!$A$6:$A$265,0)),"N"))</f>
        <v/>
      </c>
      <c r="O3662" s="11" t="str">
        <f aca="false">IF(N3662="N",ABS(J3662),"")</f>
        <v/>
      </c>
      <c r="P3662" s="18" t="str">
        <f aca="false">IF(N3662="N",B3662&amp;"|"&amp;ROUND(O3662,0),"")</f>
        <v/>
      </c>
      <c r="Q3662" s="18" t="str">
        <f aca="false">IF(N3662&lt;&gt;"Y","",IFERROR(INDEX($D$6:$D$4005,MATCH(B3662&amp;"|"&amp;ROUND(_xlfn.MAXIFS($O$6:$O$4005,$B$6:$B$4005,B3662,$N$6:$N$4005,"N"),0),$P$6:$P$4005,0)),"(tanpa lawan)"))</f>
        <v/>
      </c>
      <c r="R3662" s="44"/>
      <c r="S3662" s="9" t="str">
        <f aca="false">IF(N3662&lt;&gt;"Y","",IF(R3662&lt;&gt;"",R3662,IF(Q3662="(tanpa lawan)","Transfer antar rekening",IFERROR(INDEX(I_COA!$F$6:$F$265,MATCH(Q3662,I_COA!$A$6:$A$265,0)),"?"))))</f>
        <v/>
      </c>
    </row>
    <row r="3663" customFormat="false" ht="15" hidden="false" customHeight="false" outlineLevel="0" collapsed="false">
      <c r="A3663" s="37"/>
      <c r="B3663" s="44"/>
      <c r="C3663" s="44"/>
      <c r="D3663" s="44"/>
      <c r="E3663" s="44"/>
      <c r="F3663" s="44"/>
      <c r="G3663" s="42"/>
      <c r="H3663" s="42"/>
      <c r="I3663" s="44"/>
      <c r="J3663" s="11" t="str">
        <f aca="false">IF(D3663="","",N(G3663)-N(H3663))</f>
        <v/>
      </c>
      <c r="K3663" s="34" t="str">
        <f aca="false">IF(D3663="","",IFERROR(INDEX(I_COA!$C$6:$C$265,MATCH(D3663,I_COA!$A$6:$A$265,0)),"AKUN BARU"))</f>
        <v/>
      </c>
      <c r="L3663" s="34" t="str">
        <f aca="false">IF(K3663="LabaRugi",INDEX(I_COA!$D$6:$D$265,MATCH(D3663,I_COA!$A$6:$A$265,0)),"")</f>
        <v/>
      </c>
      <c r="M3663" s="34" t="str">
        <f aca="false">IF(K3663="Neraca",INDEX(I_COA!$E$6:$E$265,MATCH(D3663,I_COA!$A$6:$A$265,0)),"")</f>
        <v/>
      </c>
      <c r="N3663" s="34" t="str">
        <f aca="false">IF(D3663="","",IFERROR(INDEX(I_COA!$G$6:$G$265,MATCH(D3663,I_COA!$A$6:$A$265,0)),"N"))</f>
        <v/>
      </c>
      <c r="O3663" s="11" t="str">
        <f aca="false">IF(N3663="N",ABS(J3663),"")</f>
        <v/>
      </c>
      <c r="P3663" s="18" t="str">
        <f aca="false">IF(N3663="N",B3663&amp;"|"&amp;ROUND(O3663,0),"")</f>
        <v/>
      </c>
      <c r="Q3663" s="18" t="str">
        <f aca="false">IF(N3663&lt;&gt;"Y","",IFERROR(INDEX($D$6:$D$4005,MATCH(B3663&amp;"|"&amp;ROUND(_xlfn.MAXIFS($O$6:$O$4005,$B$6:$B$4005,B3663,$N$6:$N$4005,"N"),0),$P$6:$P$4005,0)),"(tanpa lawan)"))</f>
        <v/>
      </c>
      <c r="R3663" s="44"/>
      <c r="S3663" s="9" t="str">
        <f aca="false">IF(N3663&lt;&gt;"Y","",IF(R3663&lt;&gt;"",R3663,IF(Q3663="(tanpa lawan)","Transfer antar rekening",IFERROR(INDEX(I_COA!$F$6:$F$265,MATCH(Q3663,I_COA!$A$6:$A$265,0)),"?"))))</f>
        <v/>
      </c>
    </row>
    <row r="3664" customFormat="false" ht="15" hidden="false" customHeight="false" outlineLevel="0" collapsed="false">
      <c r="A3664" s="37"/>
      <c r="B3664" s="44"/>
      <c r="C3664" s="44"/>
      <c r="D3664" s="44"/>
      <c r="E3664" s="44"/>
      <c r="F3664" s="44"/>
      <c r="G3664" s="42"/>
      <c r="H3664" s="42"/>
      <c r="I3664" s="44"/>
      <c r="J3664" s="11" t="str">
        <f aca="false">IF(D3664="","",N(G3664)-N(H3664))</f>
        <v/>
      </c>
      <c r="K3664" s="34" t="str">
        <f aca="false">IF(D3664="","",IFERROR(INDEX(I_COA!$C$6:$C$265,MATCH(D3664,I_COA!$A$6:$A$265,0)),"AKUN BARU"))</f>
        <v/>
      </c>
      <c r="L3664" s="34" t="str">
        <f aca="false">IF(K3664="LabaRugi",INDEX(I_COA!$D$6:$D$265,MATCH(D3664,I_COA!$A$6:$A$265,0)),"")</f>
        <v/>
      </c>
      <c r="M3664" s="34" t="str">
        <f aca="false">IF(K3664="Neraca",INDEX(I_COA!$E$6:$E$265,MATCH(D3664,I_COA!$A$6:$A$265,0)),"")</f>
        <v/>
      </c>
      <c r="N3664" s="34" t="str">
        <f aca="false">IF(D3664="","",IFERROR(INDEX(I_COA!$G$6:$G$265,MATCH(D3664,I_COA!$A$6:$A$265,0)),"N"))</f>
        <v/>
      </c>
      <c r="O3664" s="11" t="str">
        <f aca="false">IF(N3664="N",ABS(J3664),"")</f>
        <v/>
      </c>
      <c r="P3664" s="18" t="str">
        <f aca="false">IF(N3664="N",B3664&amp;"|"&amp;ROUND(O3664,0),"")</f>
        <v/>
      </c>
      <c r="Q3664" s="18" t="str">
        <f aca="false">IF(N3664&lt;&gt;"Y","",IFERROR(INDEX($D$6:$D$4005,MATCH(B3664&amp;"|"&amp;ROUND(_xlfn.MAXIFS($O$6:$O$4005,$B$6:$B$4005,B3664,$N$6:$N$4005,"N"),0),$P$6:$P$4005,0)),"(tanpa lawan)"))</f>
        <v/>
      </c>
      <c r="R3664" s="44"/>
      <c r="S3664" s="9" t="str">
        <f aca="false">IF(N3664&lt;&gt;"Y","",IF(R3664&lt;&gt;"",R3664,IF(Q3664="(tanpa lawan)","Transfer antar rekening",IFERROR(INDEX(I_COA!$F$6:$F$265,MATCH(Q3664,I_COA!$A$6:$A$265,0)),"?"))))</f>
        <v/>
      </c>
    </row>
    <row r="3665" customFormat="false" ht="15" hidden="false" customHeight="false" outlineLevel="0" collapsed="false">
      <c r="A3665" s="37"/>
      <c r="B3665" s="44"/>
      <c r="C3665" s="44"/>
      <c r="D3665" s="44"/>
      <c r="E3665" s="44"/>
      <c r="F3665" s="44"/>
      <c r="G3665" s="42"/>
      <c r="H3665" s="42"/>
      <c r="I3665" s="44"/>
      <c r="J3665" s="11" t="str">
        <f aca="false">IF(D3665="","",N(G3665)-N(H3665))</f>
        <v/>
      </c>
      <c r="K3665" s="34" t="str">
        <f aca="false">IF(D3665="","",IFERROR(INDEX(I_COA!$C$6:$C$265,MATCH(D3665,I_COA!$A$6:$A$265,0)),"AKUN BARU"))</f>
        <v/>
      </c>
      <c r="L3665" s="34" t="str">
        <f aca="false">IF(K3665="LabaRugi",INDEX(I_COA!$D$6:$D$265,MATCH(D3665,I_COA!$A$6:$A$265,0)),"")</f>
        <v/>
      </c>
      <c r="M3665" s="34" t="str">
        <f aca="false">IF(K3665="Neraca",INDEX(I_COA!$E$6:$E$265,MATCH(D3665,I_COA!$A$6:$A$265,0)),"")</f>
        <v/>
      </c>
      <c r="N3665" s="34" t="str">
        <f aca="false">IF(D3665="","",IFERROR(INDEX(I_COA!$G$6:$G$265,MATCH(D3665,I_COA!$A$6:$A$265,0)),"N"))</f>
        <v/>
      </c>
      <c r="O3665" s="11" t="str">
        <f aca="false">IF(N3665="N",ABS(J3665),"")</f>
        <v/>
      </c>
      <c r="P3665" s="18" t="str">
        <f aca="false">IF(N3665="N",B3665&amp;"|"&amp;ROUND(O3665,0),"")</f>
        <v/>
      </c>
      <c r="Q3665" s="18" t="str">
        <f aca="false">IF(N3665&lt;&gt;"Y","",IFERROR(INDEX($D$6:$D$4005,MATCH(B3665&amp;"|"&amp;ROUND(_xlfn.MAXIFS($O$6:$O$4005,$B$6:$B$4005,B3665,$N$6:$N$4005,"N"),0),$P$6:$P$4005,0)),"(tanpa lawan)"))</f>
        <v/>
      </c>
      <c r="R3665" s="44"/>
      <c r="S3665" s="9" t="str">
        <f aca="false">IF(N3665&lt;&gt;"Y","",IF(R3665&lt;&gt;"",R3665,IF(Q3665="(tanpa lawan)","Transfer antar rekening",IFERROR(INDEX(I_COA!$F$6:$F$265,MATCH(Q3665,I_COA!$A$6:$A$265,0)),"?"))))</f>
        <v/>
      </c>
    </row>
    <row r="3666" customFormat="false" ht="15" hidden="false" customHeight="false" outlineLevel="0" collapsed="false">
      <c r="A3666" s="37"/>
      <c r="B3666" s="44"/>
      <c r="C3666" s="44"/>
      <c r="D3666" s="44"/>
      <c r="E3666" s="44"/>
      <c r="F3666" s="44"/>
      <c r="G3666" s="42"/>
      <c r="H3666" s="42"/>
      <c r="I3666" s="44"/>
      <c r="J3666" s="11" t="str">
        <f aca="false">IF(D3666="","",N(G3666)-N(H3666))</f>
        <v/>
      </c>
      <c r="K3666" s="34" t="str">
        <f aca="false">IF(D3666="","",IFERROR(INDEX(I_COA!$C$6:$C$265,MATCH(D3666,I_COA!$A$6:$A$265,0)),"AKUN BARU"))</f>
        <v/>
      </c>
      <c r="L3666" s="34" t="str">
        <f aca="false">IF(K3666="LabaRugi",INDEX(I_COA!$D$6:$D$265,MATCH(D3666,I_COA!$A$6:$A$265,0)),"")</f>
        <v/>
      </c>
      <c r="M3666" s="34" t="str">
        <f aca="false">IF(K3666="Neraca",INDEX(I_COA!$E$6:$E$265,MATCH(D3666,I_COA!$A$6:$A$265,0)),"")</f>
        <v/>
      </c>
      <c r="N3666" s="34" t="str">
        <f aca="false">IF(D3666="","",IFERROR(INDEX(I_COA!$G$6:$G$265,MATCH(D3666,I_COA!$A$6:$A$265,0)),"N"))</f>
        <v/>
      </c>
      <c r="O3666" s="11" t="str">
        <f aca="false">IF(N3666="N",ABS(J3666),"")</f>
        <v/>
      </c>
      <c r="P3666" s="18" t="str">
        <f aca="false">IF(N3666="N",B3666&amp;"|"&amp;ROUND(O3666,0),"")</f>
        <v/>
      </c>
      <c r="Q3666" s="18" t="str">
        <f aca="false">IF(N3666&lt;&gt;"Y","",IFERROR(INDEX($D$6:$D$4005,MATCH(B3666&amp;"|"&amp;ROUND(_xlfn.MAXIFS($O$6:$O$4005,$B$6:$B$4005,B3666,$N$6:$N$4005,"N"),0),$P$6:$P$4005,0)),"(tanpa lawan)"))</f>
        <v/>
      </c>
      <c r="R3666" s="44"/>
      <c r="S3666" s="9" t="str">
        <f aca="false">IF(N3666&lt;&gt;"Y","",IF(R3666&lt;&gt;"",R3666,IF(Q3666="(tanpa lawan)","Transfer antar rekening",IFERROR(INDEX(I_COA!$F$6:$F$265,MATCH(Q3666,I_COA!$A$6:$A$265,0)),"?"))))</f>
        <v/>
      </c>
    </row>
    <row r="3667" customFormat="false" ht="15" hidden="false" customHeight="false" outlineLevel="0" collapsed="false">
      <c r="A3667" s="37"/>
      <c r="B3667" s="44"/>
      <c r="C3667" s="44"/>
      <c r="D3667" s="44"/>
      <c r="E3667" s="44"/>
      <c r="F3667" s="44"/>
      <c r="G3667" s="42"/>
      <c r="H3667" s="42"/>
      <c r="I3667" s="44"/>
      <c r="J3667" s="11" t="str">
        <f aca="false">IF(D3667="","",N(G3667)-N(H3667))</f>
        <v/>
      </c>
      <c r="K3667" s="34" t="str">
        <f aca="false">IF(D3667="","",IFERROR(INDEX(I_COA!$C$6:$C$265,MATCH(D3667,I_COA!$A$6:$A$265,0)),"AKUN BARU"))</f>
        <v/>
      </c>
      <c r="L3667" s="34" t="str">
        <f aca="false">IF(K3667="LabaRugi",INDEX(I_COA!$D$6:$D$265,MATCH(D3667,I_COA!$A$6:$A$265,0)),"")</f>
        <v/>
      </c>
      <c r="M3667" s="34" t="str">
        <f aca="false">IF(K3667="Neraca",INDEX(I_COA!$E$6:$E$265,MATCH(D3667,I_COA!$A$6:$A$265,0)),"")</f>
        <v/>
      </c>
      <c r="N3667" s="34" t="str">
        <f aca="false">IF(D3667="","",IFERROR(INDEX(I_COA!$G$6:$G$265,MATCH(D3667,I_COA!$A$6:$A$265,0)),"N"))</f>
        <v/>
      </c>
      <c r="O3667" s="11" t="str">
        <f aca="false">IF(N3667="N",ABS(J3667),"")</f>
        <v/>
      </c>
      <c r="P3667" s="18" t="str">
        <f aca="false">IF(N3667="N",B3667&amp;"|"&amp;ROUND(O3667,0),"")</f>
        <v/>
      </c>
      <c r="Q3667" s="18" t="str">
        <f aca="false">IF(N3667&lt;&gt;"Y","",IFERROR(INDEX($D$6:$D$4005,MATCH(B3667&amp;"|"&amp;ROUND(_xlfn.MAXIFS($O$6:$O$4005,$B$6:$B$4005,B3667,$N$6:$N$4005,"N"),0),$P$6:$P$4005,0)),"(tanpa lawan)"))</f>
        <v/>
      </c>
      <c r="R3667" s="44"/>
      <c r="S3667" s="9" t="str">
        <f aca="false">IF(N3667&lt;&gt;"Y","",IF(R3667&lt;&gt;"",R3667,IF(Q3667="(tanpa lawan)","Transfer antar rekening",IFERROR(INDEX(I_COA!$F$6:$F$265,MATCH(Q3667,I_COA!$A$6:$A$265,0)),"?"))))</f>
        <v/>
      </c>
    </row>
    <row r="3668" customFormat="false" ht="15" hidden="false" customHeight="false" outlineLevel="0" collapsed="false">
      <c r="A3668" s="37"/>
      <c r="B3668" s="44"/>
      <c r="C3668" s="44"/>
      <c r="D3668" s="44"/>
      <c r="E3668" s="44"/>
      <c r="F3668" s="44"/>
      <c r="G3668" s="42"/>
      <c r="H3668" s="42"/>
      <c r="I3668" s="44"/>
      <c r="J3668" s="11" t="str">
        <f aca="false">IF(D3668="","",N(G3668)-N(H3668))</f>
        <v/>
      </c>
      <c r="K3668" s="34" t="str">
        <f aca="false">IF(D3668="","",IFERROR(INDEX(I_COA!$C$6:$C$265,MATCH(D3668,I_COA!$A$6:$A$265,0)),"AKUN BARU"))</f>
        <v/>
      </c>
      <c r="L3668" s="34" t="str">
        <f aca="false">IF(K3668="LabaRugi",INDEX(I_COA!$D$6:$D$265,MATCH(D3668,I_COA!$A$6:$A$265,0)),"")</f>
        <v/>
      </c>
      <c r="M3668" s="34" t="str">
        <f aca="false">IF(K3668="Neraca",INDEX(I_COA!$E$6:$E$265,MATCH(D3668,I_COA!$A$6:$A$265,0)),"")</f>
        <v/>
      </c>
      <c r="N3668" s="34" t="str">
        <f aca="false">IF(D3668="","",IFERROR(INDEX(I_COA!$G$6:$G$265,MATCH(D3668,I_COA!$A$6:$A$265,0)),"N"))</f>
        <v/>
      </c>
      <c r="O3668" s="11" t="str">
        <f aca="false">IF(N3668="N",ABS(J3668),"")</f>
        <v/>
      </c>
      <c r="P3668" s="18" t="str">
        <f aca="false">IF(N3668="N",B3668&amp;"|"&amp;ROUND(O3668,0),"")</f>
        <v/>
      </c>
      <c r="Q3668" s="18" t="str">
        <f aca="false">IF(N3668&lt;&gt;"Y","",IFERROR(INDEX($D$6:$D$4005,MATCH(B3668&amp;"|"&amp;ROUND(_xlfn.MAXIFS($O$6:$O$4005,$B$6:$B$4005,B3668,$N$6:$N$4005,"N"),0),$P$6:$P$4005,0)),"(tanpa lawan)"))</f>
        <v/>
      </c>
      <c r="R3668" s="44"/>
      <c r="S3668" s="9" t="str">
        <f aca="false">IF(N3668&lt;&gt;"Y","",IF(R3668&lt;&gt;"",R3668,IF(Q3668="(tanpa lawan)","Transfer antar rekening",IFERROR(INDEX(I_COA!$F$6:$F$265,MATCH(Q3668,I_COA!$A$6:$A$265,0)),"?"))))</f>
        <v/>
      </c>
    </row>
    <row r="3669" customFormat="false" ht="15" hidden="false" customHeight="false" outlineLevel="0" collapsed="false">
      <c r="A3669" s="37"/>
      <c r="B3669" s="44"/>
      <c r="C3669" s="44"/>
      <c r="D3669" s="44"/>
      <c r="E3669" s="44"/>
      <c r="F3669" s="44"/>
      <c r="G3669" s="42"/>
      <c r="H3669" s="42"/>
      <c r="I3669" s="44"/>
      <c r="J3669" s="11" t="str">
        <f aca="false">IF(D3669="","",N(G3669)-N(H3669))</f>
        <v/>
      </c>
      <c r="K3669" s="34" t="str">
        <f aca="false">IF(D3669="","",IFERROR(INDEX(I_COA!$C$6:$C$265,MATCH(D3669,I_COA!$A$6:$A$265,0)),"AKUN BARU"))</f>
        <v/>
      </c>
      <c r="L3669" s="34" t="str">
        <f aca="false">IF(K3669="LabaRugi",INDEX(I_COA!$D$6:$D$265,MATCH(D3669,I_COA!$A$6:$A$265,0)),"")</f>
        <v/>
      </c>
      <c r="M3669" s="34" t="str">
        <f aca="false">IF(K3669="Neraca",INDEX(I_COA!$E$6:$E$265,MATCH(D3669,I_COA!$A$6:$A$265,0)),"")</f>
        <v/>
      </c>
      <c r="N3669" s="34" t="str">
        <f aca="false">IF(D3669="","",IFERROR(INDEX(I_COA!$G$6:$G$265,MATCH(D3669,I_COA!$A$6:$A$265,0)),"N"))</f>
        <v/>
      </c>
      <c r="O3669" s="11" t="str">
        <f aca="false">IF(N3669="N",ABS(J3669),"")</f>
        <v/>
      </c>
      <c r="P3669" s="18" t="str">
        <f aca="false">IF(N3669="N",B3669&amp;"|"&amp;ROUND(O3669,0),"")</f>
        <v/>
      </c>
      <c r="Q3669" s="18" t="str">
        <f aca="false">IF(N3669&lt;&gt;"Y","",IFERROR(INDEX($D$6:$D$4005,MATCH(B3669&amp;"|"&amp;ROUND(_xlfn.MAXIFS($O$6:$O$4005,$B$6:$B$4005,B3669,$N$6:$N$4005,"N"),0),$P$6:$P$4005,0)),"(tanpa lawan)"))</f>
        <v/>
      </c>
      <c r="R3669" s="44"/>
      <c r="S3669" s="9" t="str">
        <f aca="false">IF(N3669&lt;&gt;"Y","",IF(R3669&lt;&gt;"",R3669,IF(Q3669="(tanpa lawan)","Transfer antar rekening",IFERROR(INDEX(I_COA!$F$6:$F$265,MATCH(Q3669,I_COA!$A$6:$A$265,0)),"?"))))</f>
        <v/>
      </c>
    </row>
    <row r="3670" customFormat="false" ht="15" hidden="false" customHeight="false" outlineLevel="0" collapsed="false">
      <c r="A3670" s="37"/>
      <c r="B3670" s="44"/>
      <c r="C3670" s="44"/>
      <c r="D3670" s="44"/>
      <c r="E3670" s="44"/>
      <c r="F3670" s="44"/>
      <c r="G3670" s="42"/>
      <c r="H3670" s="42"/>
      <c r="I3670" s="44"/>
      <c r="J3670" s="11" t="str">
        <f aca="false">IF(D3670="","",N(G3670)-N(H3670))</f>
        <v/>
      </c>
      <c r="K3670" s="34" t="str">
        <f aca="false">IF(D3670="","",IFERROR(INDEX(I_COA!$C$6:$C$265,MATCH(D3670,I_COA!$A$6:$A$265,0)),"AKUN BARU"))</f>
        <v/>
      </c>
      <c r="L3670" s="34" t="str">
        <f aca="false">IF(K3670="LabaRugi",INDEX(I_COA!$D$6:$D$265,MATCH(D3670,I_COA!$A$6:$A$265,0)),"")</f>
        <v/>
      </c>
      <c r="M3670" s="34" t="str">
        <f aca="false">IF(K3670="Neraca",INDEX(I_COA!$E$6:$E$265,MATCH(D3670,I_COA!$A$6:$A$265,0)),"")</f>
        <v/>
      </c>
      <c r="N3670" s="34" t="str">
        <f aca="false">IF(D3670="","",IFERROR(INDEX(I_COA!$G$6:$G$265,MATCH(D3670,I_COA!$A$6:$A$265,0)),"N"))</f>
        <v/>
      </c>
      <c r="O3670" s="11" t="str">
        <f aca="false">IF(N3670="N",ABS(J3670),"")</f>
        <v/>
      </c>
      <c r="P3670" s="18" t="str">
        <f aca="false">IF(N3670="N",B3670&amp;"|"&amp;ROUND(O3670,0),"")</f>
        <v/>
      </c>
      <c r="Q3670" s="18" t="str">
        <f aca="false">IF(N3670&lt;&gt;"Y","",IFERROR(INDEX($D$6:$D$4005,MATCH(B3670&amp;"|"&amp;ROUND(_xlfn.MAXIFS($O$6:$O$4005,$B$6:$B$4005,B3670,$N$6:$N$4005,"N"),0),$P$6:$P$4005,0)),"(tanpa lawan)"))</f>
        <v/>
      </c>
      <c r="R3670" s="44"/>
      <c r="S3670" s="9" t="str">
        <f aca="false">IF(N3670&lt;&gt;"Y","",IF(R3670&lt;&gt;"",R3670,IF(Q3670="(tanpa lawan)","Transfer antar rekening",IFERROR(INDEX(I_COA!$F$6:$F$265,MATCH(Q3670,I_COA!$A$6:$A$265,0)),"?"))))</f>
        <v/>
      </c>
    </row>
    <row r="3671" customFormat="false" ht="15" hidden="false" customHeight="false" outlineLevel="0" collapsed="false">
      <c r="A3671" s="37"/>
      <c r="B3671" s="44"/>
      <c r="C3671" s="44"/>
      <c r="D3671" s="44"/>
      <c r="E3671" s="44"/>
      <c r="F3671" s="44"/>
      <c r="G3671" s="42"/>
      <c r="H3671" s="42"/>
      <c r="I3671" s="44"/>
      <c r="J3671" s="11" t="str">
        <f aca="false">IF(D3671="","",N(G3671)-N(H3671))</f>
        <v/>
      </c>
      <c r="K3671" s="34" t="str">
        <f aca="false">IF(D3671="","",IFERROR(INDEX(I_COA!$C$6:$C$265,MATCH(D3671,I_COA!$A$6:$A$265,0)),"AKUN BARU"))</f>
        <v/>
      </c>
      <c r="L3671" s="34" t="str">
        <f aca="false">IF(K3671="LabaRugi",INDEX(I_COA!$D$6:$D$265,MATCH(D3671,I_COA!$A$6:$A$265,0)),"")</f>
        <v/>
      </c>
      <c r="M3671" s="34" t="str">
        <f aca="false">IF(K3671="Neraca",INDEX(I_COA!$E$6:$E$265,MATCH(D3671,I_COA!$A$6:$A$265,0)),"")</f>
        <v/>
      </c>
      <c r="N3671" s="34" t="str">
        <f aca="false">IF(D3671="","",IFERROR(INDEX(I_COA!$G$6:$G$265,MATCH(D3671,I_COA!$A$6:$A$265,0)),"N"))</f>
        <v/>
      </c>
      <c r="O3671" s="11" t="str">
        <f aca="false">IF(N3671="N",ABS(J3671),"")</f>
        <v/>
      </c>
      <c r="P3671" s="18" t="str">
        <f aca="false">IF(N3671="N",B3671&amp;"|"&amp;ROUND(O3671,0),"")</f>
        <v/>
      </c>
      <c r="Q3671" s="18" t="str">
        <f aca="false">IF(N3671&lt;&gt;"Y","",IFERROR(INDEX($D$6:$D$4005,MATCH(B3671&amp;"|"&amp;ROUND(_xlfn.MAXIFS($O$6:$O$4005,$B$6:$B$4005,B3671,$N$6:$N$4005,"N"),0),$P$6:$P$4005,0)),"(tanpa lawan)"))</f>
        <v/>
      </c>
      <c r="R3671" s="44"/>
      <c r="S3671" s="9" t="str">
        <f aca="false">IF(N3671&lt;&gt;"Y","",IF(R3671&lt;&gt;"",R3671,IF(Q3671="(tanpa lawan)","Transfer antar rekening",IFERROR(INDEX(I_COA!$F$6:$F$265,MATCH(Q3671,I_COA!$A$6:$A$265,0)),"?"))))</f>
        <v/>
      </c>
    </row>
    <row r="3672" customFormat="false" ht="15" hidden="false" customHeight="false" outlineLevel="0" collapsed="false">
      <c r="A3672" s="37"/>
      <c r="B3672" s="44"/>
      <c r="C3672" s="44"/>
      <c r="D3672" s="44"/>
      <c r="E3672" s="44"/>
      <c r="F3672" s="44"/>
      <c r="G3672" s="42"/>
      <c r="H3672" s="42"/>
      <c r="I3672" s="44"/>
      <c r="J3672" s="11" t="str">
        <f aca="false">IF(D3672="","",N(G3672)-N(H3672))</f>
        <v/>
      </c>
      <c r="K3672" s="34" t="str">
        <f aca="false">IF(D3672="","",IFERROR(INDEX(I_COA!$C$6:$C$265,MATCH(D3672,I_COA!$A$6:$A$265,0)),"AKUN BARU"))</f>
        <v/>
      </c>
      <c r="L3672" s="34" t="str">
        <f aca="false">IF(K3672="LabaRugi",INDEX(I_COA!$D$6:$D$265,MATCH(D3672,I_COA!$A$6:$A$265,0)),"")</f>
        <v/>
      </c>
      <c r="M3672" s="34" t="str">
        <f aca="false">IF(K3672="Neraca",INDEX(I_COA!$E$6:$E$265,MATCH(D3672,I_COA!$A$6:$A$265,0)),"")</f>
        <v/>
      </c>
      <c r="N3672" s="34" t="str">
        <f aca="false">IF(D3672="","",IFERROR(INDEX(I_COA!$G$6:$G$265,MATCH(D3672,I_COA!$A$6:$A$265,0)),"N"))</f>
        <v/>
      </c>
      <c r="O3672" s="11" t="str">
        <f aca="false">IF(N3672="N",ABS(J3672),"")</f>
        <v/>
      </c>
      <c r="P3672" s="18" t="str">
        <f aca="false">IF(N3672="N",B3672&amp;"|"&amp;ROUND(O3672,0),"")</f>
        <v/>
      </c>
      <c r="Q3672" s="18" t="str">
        <f aca="false">IF(N3672&lt;&gt;"Y","",IFERROR(INDEX($D$6:$D$4005,MATCH(B3672&amp;"|"&amp;ROUND(_xlfn.MAXIFS($O$6:$O$4005,$B$6:$B$4005,B3672,$N$6:$N$4005,"N"),0),$P$6:$P$4005,0)),"(tanpa lawan)"))</f>
        <v/>
      </c>
      <c r="R3672" s="44"/>
      <c r="S3672" s="9" t="str">
        <f aca="false">IF(N3672&lt;&gt;"Y","",IF(R3672&lt;&gt;"",R3672,IF(Q3672="(tanpa lawan)","Transfer antar rekening",IFERROR(INDEX(I_COA!$F$6:$F$265,MATCH(Q3672,I_COA!$A$6:$A$265,0)),"?"))))</f>
        <v/>
      </c>
    </row>
    <row r="3673" customFormat="false" ht="15" hidden="false" customHeight="false" outlineLevel="0" collapsed="false">
      <c r="A3673" s="37"/>
      <c r="B3673" s="44"/>
      <c r="C3673" s="44"/>
      <c r="D3673" s="44"/>
      <c r="E3673" s="44"/>
      <c r="F3673" s="44"/>
      <c r="G3673" s="42"/>
      <c r="H3673" s="42"/>
      <c r="I3673" s="44"/>
      <c r="J3673" s="11" t="str">
        <f aca="false">IF(D3673="","",N(G3673)-N(H3673))</f>
        <v/>
      </c>
      <c r="K3673" s="34" t="str">
        <f aca="false">IF(D3673="","",IFERROR(INDEX(I_COA!$C$6:$C$265,MATCH(D3673,I_COA!$A$6:$A$265,0)),"AKUN BARU"))</f>
        <v/>
      </c>
      <c r="L3673" s="34" t="str">
        <f aca="false">IF(K3673="LabaRugi",INDEX(I_COA!$D$6:$D$265,MATCH(D3673,I_COA!$A$6:$A$265,0)),"")</f>
        <v/>
      </c>
      <c r="M3673" s="34" t="str">
        <f aca="false">IF(K3673="Neraca",INDEX(I_COA!$E$6:$E$265,MATCH(D3673,I_COA!$A$6:$A$265,0)),"")</f>
        <v/>
      </c>
      <c r="N3673" s="34" t="str">
        <f aca="false">IF(D3673="","",IFERROR(INDEX(I_COA!$G$6:$G$265,MATCH(D3673,I_COA!$A$6:$A$265,0)),"N"))</f>
        <v/>
      </c>
      <c r="O3673" s="11" t="str">
        <f aca="false">IF(N3673="N",ABS(J3673),"")</f>
        <v/>
      </c>
      <c r="P3673" s="18" t="str">
        <f aca="false">IF(N3673="N",B3673&amp;"|"&amp;ROUND(O3673,0),"")</f>
        <v/>
      </c>
      <c r="Q3673" s="18" t="str">
        <f aca="false">IF(N3673&lt;&gt;"Y","",IFERROR(INDEX($D$6:$D$4005,MATCH(B3673&amp;"|"&amp;ROUND(_xlfn.MAXIFS($O$6:$O$4005,$B$6:$B$4005,B3673,$N$6:$N$4005,"N"),0),$P$6:$P$4005,0)),"(tanpa lawan)"))</f>
        <v/>
      </c>
      <c r="R3673" s="44"/>
      <c r="S3673" s="9" t="str">
        <f aca="false">IF(N3673&lt;&gt;"Y","",IF(R3673&lt;&gt;"",R3673,IF(Q3673="(tanpa lawan)","Transfer antar rekening",IFERROR(INDEX(I_COA!$F$6:$F$265,MATCH(Q3673,I_COA!$A$6:$A$265,0)),"?"))))</f>
        <v/>
      </c>
    </row>
    <row r="3674" customFormat="false" ht="15" hidden="false" customHeight="false" outlineLevel="0" collapsed="false">
      <c r="A3674" s="37"/>
      <c r="B3674" s="44"/>
      <c r="C3674" s="44"/>
      <c r="D3674" s="44"/>
      <c r="E3674" s="44"/>
      <c r="F3674" s="44"/>
      <c r="G3674" s="42"/>
      <c r="H3674" s="42"/>
      <c r="I3674" s="44"/>
      <c r="J3674" s="11" t="str">
        <f aca="false">IF(D3674="","",N(G3674)-N(H3674))</f>
        <v/>
      </c>
      <c r="K3674" s="34" t="str">
        <f aca="false">IF(D3674="","",IFERROR(INDEX(I_COA!$C$6:$C$265,MATCH(D3674,I_COA!$A$6:$A$265,0)),"AKUN BARU"))</f>
        <v/>
      </c>
      <c r="L3674" s="34" t="str">
        <f aca="false">IF(K3674="LabaRugi",INDEX(I_COA!$D$6:$D$265,MATCH(D3674,I_COA!$A$6:$A$265,0)),"")</f>
        <v/>
      </c>
      <c r="M3674" s="34" t="str">
        <f aca="false">IF(K3674="Neraca",INDEX(I_COA!$E$6:$E$265,MATCH(D3674,I_COA!$A$6:$A$265,0)),"")</f>
        <v/>
      </c>
      <c r="N3674" s="34" t="str">
        <f aca="false">IF(D3674="","",IFERROR(INDEX(I_COA!$G$6:$G$265,MATCH(D3674,I_COA!$A$6:$A$265,0)),"N"))</f>
        <v/>
      </c>
      <c r="O3674" s="11" t="str">
        <f aca="false">IF(N3674="N",ABS(J3674),"")</f>
        <v/>
      </c>
      <c r="P3674" s="18" t="str">
        <f aca="false">IF(N3674="N",B3674&amp;"|"&amp;ROUND(O3674,0),"")</f>
        <v/>
      </c>
      <c r="Q3674" s="18" t="str">
        <f aca="false">IF(N3674&lt;&gt;"Y","",IFERROR(INDEX($D$6:$D$4005,MATCH(B3674&amp;"|"&amp;ROUND(_xlfn.MAXIFS($O$6:$O$4005,$B$6:$B$4005,B3674,$N$6:$N$4005,"N"),0),$P$6:$P$4005,0)),"(tanpa lawan)"))</f>
        <v/>
      </c>
      <c r="R3674" s="44"/>
      <c r="S3674" s="9" t="str">
        <f aca="false">IF(N3674&lt;&gt;"Y","",IF(R3674&lt;&gt;"",R3674,IF(Q3674="(tanpa lawan)","Transfer antar rekening",IFERROR(INDEX(I_COA!$F$6:$F$265,MATCH(Q3674,I_COA!$A$6:$A$265,0)),"?"))))</f>
        <v/>
      </c>
    </row>
    <row r="3675" customFormat="false" ht="15" hidden="false" customHeight="false" outlineLevel="0" collapsed="false">
      <c r="A3675" s="37"/>
      <c r="B3675" s="44"/>
      <c r="C3675" s="44"/>
      <c r="D3675" s="44"/>
      <c r="E3675" s="44"/>
      <c r="F3675" s="44"/>
      <c r="G3675" s="42"/>
      <c r="H3675" s="42"/>
      <c r="I3675" s="44"/>
      <c r="J3675" s="11" t="str">
        <f aca="false">IF(D3675="","",N(G3675)-N(H3675))</f>
        <v/>
      </c>
      <c r="K3675" s="34" t="str">
        <f aca="false">IF(D3675="","",IFERROR(INDEX(I_COA!$C$6:$C$265,MATCH(D3675,I_COA!$A$6:$A$265,0)),"AKUN BARU"))</f>
        <v/>
      </c>
      <c r="L3675" s="34" t="str">
        <f aca="false">IF(K3675="LabaRugi",INDEX(I_COA!$D$6:$D$265,MATCH(D3675,I_COA!$A$6:$A$265,0)),"")</f>
        <v/>
      </c>
      <c r="M3675" s="34" t="str">
        <f aca="false">IF(K3675="Neraca",INDEX(I_COA!$E$6:$E$265,MATCH(D3675,I_COA!$A$6:$A$265,0)),"")</f>
        <v/>
      </c>
      <c r="N3675" s="34" t="str">
        <f aca="false">IF(D3675="","",IFERROR(INDEX(I_COA!$G$6:$G$265,MATCH(D3675,I_COA!$A$6:$A$265,0)),"N"))</f>
        <v/>
      </c>
      <c r="O3675" s="11" t="str">
        <f aca="false">IF(N3675="N",ABS(J3675),"")</f>
        <v/>
      </c>
      <c r="P3675" s="18" t="str">
        <f aca="false">IF(N3675="N",B3675&amp;"|"&amp;ROUND(O3675,0),"")</f>
        <v/>
      </c>
      <c r="Q3675" s="18" t="str">
        <f aca="false">IF(N3675&lt;&gt;"Y","",IFERROR(INDEX($D$6:$D$4005,MATCH(B3675&amp;"|"&amp;ROUND(_xlfn.MAXIFS($O$6:$O$4005,$B$6:$B$4005,B3675,$N$6:$N$4005,"N"),0),$P$6:$P$4005,0)),"(tanpa lawan)"))</f>
        <v/>
      </c>
      <c r="R3675" s="44"/>
      <c r="S3675" s="9" t="str">
        <f aca="false">IF(N3675&lt;&gt;"Y","",IF(R3675&lt;&gt;"",R3675,IF(Q3675="(tanpa lawan)","Transfer antar rekening",IFERROR(INDEX(I_COA!$F$6:$F$265,MATCH(Q3675,I_COA!$A$6:$A$265,0)),"?"))))</f>
        <v/>
      </c>
    </row>
    <row r="3676" customFormat="false" ht="15" hidden="false" customHeight="false" outlineLevel="0" collapsed="false">
      <c r="A3676" s="37"/>
      <c r="B3676" s="44"/>
      <c r="C3676" s="44"/>
      <c r="D3676" s="44"/>
      <c r="E3676" s="44"/>
      <c r="F3676" s="44"/>
      <c r="G3676" s="42"/>
      <c r="H3676" s="42"/>
      <c r="I3676" s="44"/>
      <c r="J3676" s="11" t="str">
        <f aca="false">IF(D3676="","",N(G3676)-N(H3676))</f>
        <v/>
      </c>
      <c r="K3676" s="34" t="str">
        <f aca="false">IF(D3676="","",IFERROR(INDEX(I_COA!$C$6:$C$265,MATCH(D3676,I_COA!$A$6:$A$265,0)),"AKUN BARU"))</f>
        <v/>
      </c>
      <c r="L3676" s="34" t="str">
        <f aca="false">IF(K3676="LabaRugi",INDEX(I_COA!$D$6:$D$265,MATCH(D3676,I_COA!$A$6:$A$265,0)),"")</f>
        <v/>
      </c>
      <c r="M3676" s="34" t="str">
        <f aca="false">IF(K3676="Neraca",INDEX(I_COA!$E$6:$E$265,MATCH(D3676,I_COA!$A$6:$A$265,0)),"")</f>
        <v/>
      </c>
      <c r="N3676" s="34" t="str">
        <f aca="false">IF(D3676="","",IFERROR(INDEX(I_COA!$G$6:$G$265,MATCH(D3676,I_COA!$A$6:$A$265,0)),"N"))</f>
        <v/>
      </c>
      <c r="O3676" s="11" t="str">
        <f aca="false">IF(N3676="N",ABS(J3676),"")</f>
        <v/>
      </c>
      <c r="P3676" s="18" t="str">
        <f aca="false">IF(N3676="N",B3676&amp;"|"&amp;ROUND(O3676,0),"")</f>
        <v/>
      </c>
      <c r="Q3676" s="18" t="str">
        <f aca="false">IF(N3676&lt;&gt;"Y","",IFERROR(INDEX($D$6:$D$4005,MATCH(B3676&amp;"|"&amp;ROUND(_xlfn.MAXIFS($O$6:$O$4005,$B$6:$B$4005,B3676,$N$6:$N$4005,"N"),0),$P$6:$P$4005,0)),"(tanpa lawan)"))</f>
        <v/>
      </c>
      <c r="R3676" s="44"/>
      <c r="S3676" s="9" t="str">
        <f aca="false">IF(N3676&lt;&gt;"Y","",IF(R3676&lt;&gt;"",R3676,IF(Q3676="(tanpa lawan)","Transfer antar rekening",IFERROR(INDEX(I_COA!$F$6:$F$265,MATCH(Q3676,I_COA!$A$6:$A$265,0)),"?"))))</f>
        <v/>
      </c>
    </row>
    <row r="3677" customFormat="false" ht="15" hidden="false" customHeight="false" outlineLevel="0" collapsed="false">
      <c r="A3677" s="37"/>
      <c r="B3677" s="44"/>
      <c r="C3677" s="44"/>
      <c r="D3677" s="44"/>
      <c r="E3677" s="44"/>
      <c r="F3677" s="44"/>
      <c r="G3677" s="42"/>
      <c r="H3677" s="42"/>
      <c r="I3677" s="44"/>
      <c r="J3677" s="11" t="str">
        <f aca="false">IF(D3677="","",N(G3677)-N(H3677))</f>
        <v/>
      </c>
      <c r="K3677" s="34" t="str">
        <f aca="false">IF(D3677="","",IFERROR(INDEX(I_COA!$C$6:$C$265,MATCH(D3677,I_COA!$A$6:$A$265,0)),"AKUN BARU"))</f>
        <v/>
      </c>
      <c r="L3677" s="34" t="str">
        <f aca="false">IF(K3677="LabaRugi",INDEX(I_COA!$D$6:$D$265,MATCH(D3677,I_COA!$A$6:$A$265,0)),"")</f>
        <v/>
      </c>
      <c r="M3677" s="34" t="str">
        <f aca="false">IF(K3677="Neraca",INDEX(I_COA!$E$6:$E$265,MATCH(D3677,I_COA!$A$6:$A$265,0)),"")</f>
        <v/>
      </c>
      <c r="N3677" s="34" t="str">
        <f aca="false">IF(D3677="","",IFERROR(INDEX(I_COA!$G$6:$G$265,MATCH(D3677,I_COA!$A$6:$A$265,0)),"N"))</f>
        <v/>
      </c>
      <c r="O3677" s="11" t="str">
        <f aca="false">IF(N3677="N",ABS(J3677),"")</f>
        <v/>
      </c>
      <c r="P3677" s="18" t="str">
        <f aca="false">IF(N3677="N",B3677&amp;"|"&amp;ROUND(O3677,0),"")</f>
        <v/>
      </c>
      <c r="Q3677" s="18" t="str">
        <f aca="false">IF(N3677&lt;&gt;"Y","",IFERROR(INDEX($D$6:$D$4005,MATCH(B3677&amp;"|"&amp;ROUND(_xlfn.MAXIFS($O$6:$O$4005,$B$6:$B$4005,B3677,$N$6:$N$4005,"N"),0),$P$6:$P$4005,0)),"(tanpa lawan)"))</f>
        <v/>
      </c>
      <c r="R3677" s="44"/>
      <c r="S3677" s="9" t="str">
        <f aca="false">IF(N3677&lt;&gt;"Y","",IF(R3677&lt;&gt;"",R3677,IF(Q3677="(tanpa lawan)","Transfer antar rekening",IFERROR(INDEX(I_COA!$F$6:$F$265,MATCH(Q3677,I_COA!$A$6:$A$265,0)),"?"))))</f>
        <v/>
      </c>
    </row>
    <row r="3678" customFormat="false" ht="15" hidden="false" customHeight="false" outlineLevel="0" collapsed="false">
      <c r="A3678" s="37"/>
      <c r="B3678" s="44"/>
      <c r="C3678" s="44"/>
      <c r="D3678" s="44"/>
      <c r="E3678" s="44"/>
      <c r="F3678" s="44"/>
      <c r="G3678" s="42"/>
      <c r="H3678" s="42"/>
      <c r="I3678" s="44"/>
      <c r="J3678" s="11" t="str">
        <f aca="false">IF(D3678="","",N(G3678)-N(H3678))</f>
        <v/>
      </c>
      <c r="K3678" s="34" t="str">
        <f aca="false">IF(D3678="","",IFERROR(INDEX(I_COA!$C$6:$C$265,MATCH(D3678,I_COA!$A$6:$A$265,0)),"AKUN BARU"))</f>
        <v/>
      </c>
      <c r="L3678" s="34" t="str">
        <f aca="false">IF(K3678="LabaRugi",INDEX(I_COA!$D$6:$D$265,MATCH(D3678,I_COA!$A$6:$A$265,0)),"")</f>
        <v/>
      </c>
      <c r="M3678" s="34" t="str">
        <f aca="false">IF(K3678="Neraca",INDEX(I_COA!$E$6:$E$265,MATCH(D3678,I_COA!$A$6:$A$265,0)),"")</f>
        <v/>
      </c>
      <c r="N3678" s="34" t="str">
        <f aca="false">IF(D3678="","",IFERROR(INDEX(I_COA!$G$6:$G$265,MATCH(D3678,I_COA!$A$6:$A$265,0)),"N"))</f>
        <v/>
      </c>
      <c r="O3678" s="11" t="str">
        <f aca="false">IF(N3678="N",ABS(J3678),"")</f>
        <v/>
      </c>
      <c r="P3678" s="18" t="str">
        <f aca="false">IF(N3678="N",B3678&amp;"|"&amp;ROUND(O3678,0),"")</f>
        <v/>
      </c>
      <c r="Q3678" s="18" t="str">
        <f aca="false">IF(N3678&lt;&gt;"Y","",IFERROR(INDEX($D$6:$D$4005,MATCH(B3678&amp;"|"&amp;ROUND(_xlfn.MAXIFS($O$6:$O$4005,$B$6:$B$4005,B3678,$N$6:$N$4005,"N"),0),$P$6:$P$4005,0)),"(tanpa lawan)"))</f>
        <v/>
      </c>
      <c r="R3678" s="44"/>
      <c r="S3678" s="9" t="str">
        <f aca="false">IF(N3678&lt;&gt;"Y","",IF(R3678&lt;&gt;"",R3678,IF(Q3678="(tanpa lawan)","Transfer antar rekening",IFERROR(INDEX(I_COA!$F$6:$F$265,MATCH(Q3678,I_COA!$A$6:$A$265,0)),"?"))))</f>
        <v/>
      </c>
    </row>
    <row r="3679" customFormat="false" ht="15" hidden="false" customHeight="false" outlineLevel="0" collapsed="false">
      <c r="A3679" s="37"/>
      <c r="B3679" s="44"/>
      <c r="C3679" s="44"/>
      <c r="D3679" s="44"/>
      <c r="E3679" s="44"/>
      <c r="F3679" s="44"/>
      <c r="G3679" s="42"/>
      <c r="H3679" s="42"/>
      <c r="I3679" s="44"/>
      <c r="J3679" s="11" t="str">
        <f aca="false">IF(D3679="","",N(G3679)-N(H3679))</f>
        <v/>
      </c>
      <c r="K3679" s="34" t="str">
        <f aca="false">IF(D3679="","",IFERROR(INDEX(I_COA!$C$6:$C$265,MATCH(D3679,I_COA!$A$6:$A$265,0)),"AKUN BARU"))</f>
        <v/>
      </c>
      <c r="L3679" s="34" t="str">
        <f aca="false">IF(K3679="LabaRugi",INDEX(I_COA!$D$6:$D$265,MATCH(D3679,I_COA!$A$6:$A$265,0)),"")</f>
        <v/>
      </c>
      <c r="M3679" s="34" t="str">
        <f aca="false">IF(K3679="Neraca",INDEX(I_COA!$E$6:$E$265,MATCH(D3679,I_COA!$A$6:$A$265,0)),"")</f>
        <v/>
      </c>
      <c r="N3679" s="34" t="str">
        <f aca="false">IF(D3679="","",IFERROR(INDEX(I_COA!$G$6:$G$265,MATCH(D3679,I_COA!$A$6:$A$265,0)),"N"))</f>
        <v/>
      </c>
      <c r="O3679" s="11" t="str">
        <f aca="false">IF(N3679="N",ABS(J3679),"")</f>
        <v/>
      </c>
      <c r="P3679" s="18" t="str">
        <f aca="false">IF(N3679="N",B3679&amp;"|"&amp;ROUND(O3679,0),"")</f>
        <v/>
      </c>
      <c r="Q3679" s="18" t="str">
        <f aca="false">IF(N3679&lt;&gt;"Y","",IFERROR(INDEX($D$6:$D$4005,MATCH(B3679&amp;"|"&amp;ROUND(_xlfn.MAXIFS($O$6:$O$4005,$B$6:$B$4005,B3679,$N$6:$N$4005,"N"),0),$P$6:$P$4005,0)),"(tanpa lawan)"))</f>
        <v/>
      </c>
      <c r="R3679" s="44"/>
      <c r="S3679" s="9" t="str">
        <f aca="false">IF(N3679&lt;&gt;"Y","",IF(R3679&lt;&gt;"",R3679,IF(Q3679="(tanpa lawan)","Transfer antar rekening",IFERROR(INDEX(I_COA!$F$6:$F$265,MATCH(Q3679,I_COA!$A$6:$A$265,0)),"?"))))</f>
        <v/>
      </c>
    </row>
    <row r="3680" customFormat="false" ht="15" hidden="false" customHeight="false" outlineLevel="0" collapsed="false">
      <c r="A3680" s="37"/>
      <c r="B3680" s="44"/>
      <c r="C3680" s="44"/>
      <c r="D3680" s="44"/>
      <c r="E3680" s="44"/>
      <c r="F3680" s="44"/>
      <c r="G3680" s="42"/>
      <c r="H3680" s="42"/>
      <c r="I3680" s="44"/>
      <c r="J3680" s="11" t="str">
        <f aca="false">IF(D3680="","",N(G3680)-N(H3680))</f>
        <v/>
      </c>
      <c r="K3680" s="34" t="str">
        <f aca="false">IF(D3680="","",IFERROR(INDEX(I_COA!$C$6:$C$265,MATCH(D3680,I_COA!$A$6:$A$265,0)),"AKUN BARU"))</f>
        <v/>
      </c>
      <c r="L3680" s="34" t="str">
        <f aca="false">IF(K3680="LabaRugi",INDEX(I_COA!$D$6:$D$265,MATCH(D3680,I_COA!$A$6:$A$265,0)),"")</f>
        <v/>
      </c>
      <c r="M3680" s="34" t="str">
        <f aca="false">IF(K3680="Neraca",INDEX(I_COA!$E$6:$E$265,MATCH(D3680,I_COA!$A$6:$A$265,0)),"")</f>
        <v/>
      </c>
      <c r="N3680" s="34" t="str">
        <f aca="false">IF(D3680="","",IFERROR(INDEX(I_COA!$G$6:$G$265,MATCH(D3680,I_COA!$A$6:$A$265,0)),"N"))</f>
        <v/>
      </c>
      <c r="O3680" s="11" t="str">
        <f aca="false">IF(N3680="N",ABS(J3680),"")</f>
        <v/>
      </c>
      <c r="P3680" s="18" t="str">
        <f aca="false">IF(N3680="N",B3680&amp;"|"&amp;ROUND(O3680,0),"")</f>
        <v/>
      </c>
      <c r="Q3680" s="18" t="str">
        <f aca="false">IF(N3680&lt;&gt;"Y","",IFERROR(INDEX($D$6:$D$4005,MATCH(B3680&amp;"|"&amp;ROUND(_xlfn.MAXIFS($O$6:$O$4005,$B$6:$B$4005,B3680,$N$6:$N$4005,"N"),0),$P$6:$P$4005,0)),"(tanpa lawan)"))</f>
        <v/>
      </c>
      <c r="R3680" s="44"/>
      <c r="S3680" s="9" t="str">
        <f aca="false">IF(N3680&lt;&gt;"Y","",IF(R3680&lt;&gt;"",R3680,IF(Q3680="(tanpa lawan)","Transfer antar rekening",IFERROR(INDEX(I_COA!$F$6:$F$265,MATCH(Q3680,I_COA!$A$6:$A$265,0)),"?"))))</f>
        <v/>
      </c>
    </row>
    <row r="3681" customFormat="false" ht="15" hidden="false" customHeight="false" outlineLevel="0" collapsed="false">
      <c r="A3681" s="37"/>
      <c r="B3681" s="44"/>
      <c r="C3681" s="44"/>
      <c r="D3681" s="44"/>
      <c r="E3681" s="44"/>
      <c r="F3681" s="44"/>
      <c r="G3681" s="42"/>
      <c r="H3681" s="42"/>
      <c r="I3681" s="44"/>
      <c r="J3681" s="11" t="str">
        <f aca="false">IF(D3681="","",N(G3681)-N(H3681))</f>
        <v/>
      </c>
      <c r="K3681" s="34" t="str">
        <f aca="false">IF(D3681="","",IFERROR(INDEX(I_COA!$C$6:$C$265,MATCH(D3681,I_COA!$A$6:$A$265,0)),"AKUN BARU"))</f>
        <v/>
      </c>
      <c r="L3681" s="34" t="str">
        <f aca="false">IF(K3681="LabaRugi",INDEX(I_COA!$D$6:$D$265,MATCH(D3681,I_COA!$A$6:$A$265,0)),"")</f>
        <v/>
      </c>
      <c r="M3681" s="34" t="str">
        <f aca="false">IF(K3681="Neraca",INDEX(I_COA!$E$6:$E$265,MATCH(D3681,I_COA!$A$6:$A$265,0)),"")</f>
        <v/>
      </c>
      <c r="N3681" s="34" t="str">
        <f aca="false">IF(D3681="","",IFERROR(INDEX(I_COA!$G$6:$G$265,MATCH(D3681,I_COA!$A$6:$A$265,0)),"N"))</f>
        <v/>
      </c>
      <c r="O3681" s="11" t="str">
        <f aca="false">IF(N3681="N",ABS(J3681),"")</f>
        <v/>
      </c>
      <c r="P3681" s="18" t="str">
        <f aca="false">IF(N3681="N",B3681&amp;"|"&amp;ROUND(O3681,0),"")</f>
        <v/>
      </c>
      <c r="Q3681" s="18" t="str">
        <f aca="false">IF(N3681&lt;&gt;"Y","",IFERROR(INDEX($D$6:$D$4005,MATCH(B3681&amp;"|"&amp;ROUND(_xlfn.MAXIFS($O$6:$O$4005,$B$6:$B$4005,B3681,$N$6:$N$4005,"N"),0),$P$6:$P$4005,0)),"(tanpa lawan)"))</f>
        <v/>
      </c>
      <c r="R3681" s="44"/>
      <c r="S3681" s="9" t="str">
        <f aca="false">IF(N3681&lt;&gt;"Y","",IF(R3681&lt;&gt;"",R3681,IF(Q3681="(tanpa lawan)","Transfer antar rekening",IFERROR(INDEX(I_COA!$F$6:$F$265,MATCH(Q3681,I_COA!$A$6:$A$265,0)),"?"))))</f>
        <v/>
      </c>
    </row>
    <row r="3682" customFormat="false" ht="15" hidden="false" customHeight="false" outlineLevel="0" collapsed="false">
      <c r="A3682" s="37"/>
      <c r="B3682" s="44"/>
      <c r="C3682" s="44"/>
      <c r="D3682" s="44"/>
      <c r="E3682" s="44"/>
      <c r="F3682" s="44"/>
      <c r="G3682" s="42"/>
      <c r="H3682" s="42"/>
      <c r="I3682" s="44"/>
      <c r="J3682" s="11" t="str">
        <f aca="false">IF(D3682="","",N(G3682)-N(H3682))</f>
        <v/>
      </c>
      <c r="K3682" s="34" t="str">
        <f aca="false">IF(D3682="","",IFERROR(INDEX(I_COA!$C$6:$C$265,MATCH(D3682,I_COA!$A$6:$A$265,0)),"AKUN BARU"))</f>
        <v/>
      </c>
      <c r="L3682" s="34" t="str">
        <f aca="false">IF(K3682="LabaRugi",INDEX(I_COA!$D$6:$D$265,MATCH(D3682,I_COA!$A$6:$A$265,0)),"")</f>
        <v/>
      </c>
      <c r="M3682" s="34" t="str">
        <f aca="false">IF(K3682="Neraca",INDEX(I_COA!$E$6:$E$265,MATCH(D3682,I_COA!$A$6:$A$265,0)),"")</f>
        <v/>
      </c>
      <c r="N3682" s="34" t="str">
        <f aca="false">IF(D3682="","",IFERROR(INDEX(I_COA!$G$6:$G$265,MATCH(D3682,I_COA!$A$6:$A$265,0)),"N"))</f>
        <v/>
      </c>
      <c r="O3682" s="11" t="str">
        <f aca="false">IF(N3682="N",ABS(J3682),"")</f>
        <v/>
      </c>
      <c r="P3682" s="18" t="str">
        <f aca="false">IF(N3682="N",B3682&amp;"|"&amp;ROUND(O3682,0),"")</f>
        <v/>
      </c>
      <c r="Q3682" s="18" t="str">
        <f aca="false">IF(N3682&lt;&gt;"Y","",IFERROR(INDEX($D$6:$D$4005,MATCH(B3682&amp;"|"&amp;ROUND(_xlfn.MAXIFS($O$6:$O$4005,$B$6:$B$4005,B3682,$N$6:$N$4005,"N"),0),$P$6:$P$4005,0)),"(tanpa lawan)"))</f>
        <v/>
      </c>
      <c r="R3682" s="44"/>
      <c r="S3682" s="9" t="str">
        <f aca="false">IF(N3682&lt;&gt;"Y","",IF(R3682&lt;&gt;"",R3682,IF(Q3682="(tanpa lawan)","Transfer antar rekening",IFERROR(INDEX(I_COA!$F$6:$F$265,MATCH(Q3682,I_COA!$A$6:$A$265,0)),"?"))))</f>
        <v/>
      </c>
    </row>
    <row r="3683" customFormat="false" ht="15" hidden="false" customHeight="false" outlineLevel="0" collapsed="false">
      <c r="A3683" s="37"/>
      <c r="B3683" s="44"/>
      <c r="C3683" s="44"/>
      <c r="D3683" s="44"/>
      <c r="E3683" s="44"/>
      <c r="F3683" s="44"/>
      <c r="G3683" s="42"/>
      <c r="H3683" s="42"/>
      <c r="I3683" s="44"/>
      <c r="J3683" s="11" t="str">
        <f aca="false">IF(D3683="","",N(G3683)-N(H3683))</f>
        <v/>
      </c>
      <c r="K3683" s="34" t="str">
        <f aca="false">IF(D3683="","",IFERROR(INDEX(I_COA!$C$6:$C$265,MATCH(D3683,I_COA!$A$6:$A$265,0)),"AKUN BARU"))</f>
        <v/>
      </c>
      <c r="L3683" s="34" t="str">
        <f aca="false">IF(K3683="LabaRugi",INDEX(I_COA!$D$6:$D$265,MATCH(D3683,I_COA!$A$6:$A$265,0)),"")</f>
        <v/>
      </c>
      <c r="M3683" s="34" t="str">
        <f aca="false">IF(K3683="Neraca",INDEX(I_COA!$E$6:$E$265,MATCH(D3683,I_COA!$A$6:$A$265,0)),"")</f>
        <v/>
      </c>
      <c r="N3683" s="34" t="str">
        <f aca="false">IF(D3683="","",IFERROR(INDEX(I_COA!$G$6:$G$265,MATCH(D3683,I_COA!$A$6:$A$265,0)),"N"))</f>
        <v/>
      </c>
      <c r="O3683" s="11" t="str">
        <f aca="false">IF(N3683="N",ABS(J3683),"")</f>
        <v/>
      </c>
      <c r="P3683" s="18" t="str">
        <f aca="false">IF(N3683="N",B3683&amp;"|"&amp;ROUND(O3683,0),"")</f>
        <v/>
      </c>
      <c r="Q3683" s="18" t="str">
        <f aca="false">IF(N3683&lt;&gt;"Y","",IFERROR(INDEX($D$6:$D$4005,MATCH(B3683&amp;"|"&amp;ROUND(_xlfn.MAXIFS($O$6:$O$4005,$B$6:$B$4005,B3683,$N$6:$N$4005,"N"),0),$P$6:$P$4005,0)),"(tanpa lawan)"))</f>
        <v/>
      </c>
      <c r="R3683" s="44"/>
      <c r="S3683" s="9" t="str">
        <f aca="false">IF(N3683&lt;&gt;"Y","",IF(R3683&lt;&gt;"",R3683,IF(Q3683="(tanpa lawan)","Transfer antar rekening",IFERROR(INDEX(I_COA!$F$6:$F$265,MATCH(Q3683,I_COA!$A$6:$A$265,0)),"?"))))</f>
        <v/>
      </c>
    </row>
    <row r="3684" customFormat="false" ht="15" hidden="false" customHeight="false" outlineLevel="0" collapsed="false">
      <c r="A3684" s="37"/>
      <c r="B3684" s="44"/>
      <c r="C3684" s="44"/>
      <c r="D3684" s="44"/>
      <c r="E3684" s="44"/>
      <c r="F3684" s="44"/>
      <c r="G3684" s="42"/>
      <c r="H3684" s="42"/>
      <c r="I3684" s="44"/>
      <c r="J3684" s="11" t="str">
        <f aca="false">IF(D3684="","",N(G3684)-N(H3684))</f>
        <v/>
      </c>
      <c r="K3684" s="34" t="str">
        <f aca="false">IF(D3684="","",IFERROR(INDEX(I_COA!$C$6:$C$265,MATCH(D3684,I_COA!$A$6:$A$265,0)),"AKUN BARU"))</f>
        <v/>
      </c>
      <c r="L3684" s="34" t="str">
        <f aca="false">IF(K3684="LabaRugi",INDEX(I_COA!$D$6:$D$265,MATCH(D3684,I_COA!$A$6:$A$265,0)),"")</f>
        <v/>
      </c>
      <c r="M3684" s="34" t="str">
        <f aca="false">IF(K3684="Neraca",INDEX(I_COA!$E$6:$E$265,MATCH(D3684,I_COA!$A$6:$A$265,0)),"")</f>
        <v/>
      </c>
      <c r="N3684" s="34" t="str">
        <f aca="false">IF(D3684="","",IFERROR(INDEX(I_COA!$G$6:$G$265,MATCH(D3684,I_COA!$A$6:$A$265,0)),"N"))</f>
        <v/>
      </c>
      <c r="O3684" s="11" t="str">
        <f aca="false">IF(N3684="N",ABS(J3684),"")</f>
        <v/>
      </c>
      <c r="P3684" s="18" t="str">
        <f aca="false">IF(N3684="N",B3684&amp;"|"&amp;ROUND(O3684,0),"")</f>
        <v/>
      </c>
      <c r="Q3684" s="18" t="str">
        <f aca="false">IF(N3684&lt;&gt;"Y","",IFERROR(INDEX($D$6:$D$4005,MATCH(B3684&amp;"|"&amp;ROUND(_xlfn.MAXIFS($O$6:$O$4005,$B$6:$B$4005,B3684,$N$6:$N$4005,"N"),0),$P$6:$P$4005,0)),"(tanpa lawan)"))</f>
        <v/>
      </c>
      <c r="R3684" s="44"/>
      <c r="S3684" s="9" t="str">
        <f aca="false">IF(N3684&lt;&gt;"Y","",IF(R3684&lt;&gt;"",R3684,IF(Q3684="(tanpa lawan)","Transfer antar rekening",IFERROR(INDEX(I_COA!$F$6:$F$265,MATCH(Q3684,I_COA!$A$6:$A$265,0)),"?"))))</f>
        <v/>
      </c>
    </row>
    <row r="3685" customFormat="false" ht="15" hidden="false" customHeight="false" outlineLevel="0" collapsed="false">
      <c r="A3685" s="37"/>
      <c r="B3685" s="44"/>
      <c r="C3685" s="44"/>
      <c r="D3685" s="44"/>
      <c r="E3685" s="44"/>
      <c r="F3685" s="44"/>
      <c r="G3685" s="42"/>
      <c r="H3685" s="42"/>
      <c r="I3685" s="44"/>
      <c r="J3685" s="11" t="str">
        <f aca="false">IF(D3685="","",N(G3685)-N(H3685))</f>
        <v/>
      </c>
      <c r="K3685" s="34" t="str">
        <f aca="false">IF(D3685="","",IFERROR(INDEX(I_COA!$C$6:$C$265,MATCH(D3685,I_COA!$A$6:$A$265,0)),"AKUN BARU"))</f>
        <v/>
      </c>
      <c r="L3685" s="34" t="str">
        <f aca="false">IF(K3685="LabaRugi",INDEX(I_COA!$D$6:$D$265,MATCH(D3685,I_COA!$A$6:$A$265,0)),"")</f>
        <v/>
      </c>
      <c r="M3685" s="34" t="str">
        <f aca="false">IF(K3685="Neraca",INDEX(I_COA!$E$6:$E$265,MATCH(D3685,I_COA!$A$6:$A$265,0)),"")</f>
        <v/>
      </c>
      <c r="N3685" s="34" t="str">
        <f aca="false">IF(D3685="","",IFERROR(INDEX(I_COA!$G$6:$G$265,MATCH(D3685,I_COA!$A$6:$A$265,0)),"N"))</f>
        <v/>
      </c>
      <c r="O3685" s="11" t="str">
        <f aca="false">IF(N3685="N",ABS(J3685),"")</f>
        <v/>
      </c>
      <c r="P3685" s="18" t="str">
        <f aca="false">IF(N3685="N",B3685&amp;"|"&amp;ROUND(O3685,0),"")</f>
        <v/>
      </c>
      <c r="Q3685" s="18" t="str">
        <f aca="false">IF(N3685&lt;&gt;"Y","",IFERROR(INDEX($D$6:$D$4005,MATCH(B3685&amp;"|"&amp;ROUND(_xlfn.MAXIFS($O$6:$O$4005,$B$6:$B$4005,B3685,$N$6:$N$4005,"N"),0),$P$6:$P$4005,0)),"(tanpa lawan)"))</f>
        <v/>
      </c>
      <c r="R3685" s="44"/>
      <c r="S3685" s="9" t="str">
        <f aca="false">IF(N3685&lt;&gt;"Y","",IF(R3685&lt;&gt;"",R3685,IF(Q3685="(tanpa lawan)","Transfer antar rekening",IFERROR(INDEX(I_COA!$F$6:$F$265,MATCH(Q3685,I_COA!$A$6:$A$265,0)),"?"))))</f>
        <v/>
      </c>
    </row>
    <row r="3686" customFormat="false" ht="15" hidden="false" customHeight="false" outlineLevel="0" collapsed="false">
      <c r="A3686" s="37"/>
      <c r="B3686" s="44"/>
      <c r="C3686" s="44"/>
      <c r="D3686" s="44"/>
      <c r="E3686" s="44"/>
      <c r="F3686" s="44"/>
      <c r="G3686" s="42"/>
      <c r="H3686" s="42"/>
      <c r="I3686" s="44"/>
      <c r="J3686" s="11" t="str">
        <f aca="false">IF(D3686="","",N(G3686)-N(H3686))</f>
        <v/>
      </c>
      <c r="K3686" s="34" t="str">
        <f aca="false">IF(D3686="","",IFERROR(INDEX(I_COA!$C$6:$C$265,MATCH(D3686,I_COA!$A$6:$A$265,0)),"AKUN BARU"))</f>
        <v/>
      </c>
      <c r="L3686" s="34" t="str">
        <f aca="false">IF(K3686="LabaRugi",INDEX(I_COA!$D$6:$D$265,MATCH(D3686,I_COA!$A$6:$A$265,0)),"")</f>
        <v/>
      </c>
      <c r="M3686" s="34" t="str">
        <f aca="false">IF(K3686="Neraca",INDEX(I_COA!$E$6:$E$265,MATCH(D3686,I_COA!$A$6:$A$265,0)),"")</f>
        <v/>
      </c>
      <c r="N3686" s="34" t="str">
        <f aca="false">IF(D3686="","",IFERROR(INDEX(I_COA!$G$6:$G$265,MATCH(D3686,I_COA!$A$6:$A$265,0)),"N"))</f>
        <v/>
      </c>
      <c r="O3686" s="11" t="str">
        <f aca="false">IF(N3686="N",ABS(J3686),"")</f>
        <v/>
      </c>
      <c r="P3686" s="18" t="str">
        <f aca="false">IF(N3686="N",B3686&amp;"|"&amp;ROUND(O3686,0),"")</f>
        <v/>
      </c>
      <c r="Q3686" s="18" t="str">
        <f aca="false">IF(N3686&lt;&gt;"Y","",IFERROR(INDEX($D$6:$D$4005,MATCH(B3686&amp;"|"&amp;ROUND(_xlfn.MAXIFS($O$6:$O$4005,$B$6:$B$4005,B3686,$N$6:$N$4005,"N"),0),$P$6:$P$4005,0)),"(tanpa lawan)"))</f>
        <v/>
      </c>
      <c r="R3686" s="44"/>
      <c r="S3686" s="9" t="str">
        <f aca="false">IF(N3686&lt;&gt;"Y","",IF(R3686&lt;&gt;"",R3686,IF(Q3686="(tanpa lawan)","Transfer antar rekening",IFERROR(INDEX(I_COA!$F$6:$F$265,MATCH(Q3686,I_COA!$A$6:$A$265,0)),"?"))))</f>
        <v/>
      </c>
    </row>
    <row r="3687" customFormat="false" ht="15" hidden="false" customHeight="false" outlineLevel="0" collapsed="false">
      <c r="A3687" s="37"/>
      <c r="B3687" s="44"/>
      <c r="C3687" s="44"/>
      <c r="D3687" s="44"/>
      <c r="E3687" s="44"/>
      <c r="F3687" s="44"/>
      <c r="G3687" s="42"/>
      <c r="H3687" s="42"/>
      <c r="I3687" s="44"/>
      <c r="J3687" s="11" t="str">
        <f aca="false">IF(D3687="","",N(G3687)-N(H3687))</f>
        <v/>
      </c>
      <c r="K3687" s="34" t="str">
        <f aca="false">IF(D3687="","",IFERROR(INDEX(I_COA!$C$6:$C$265,MATCH(D3687,I_COA!$A$6:$A$265,0)),"AKUN BARU"))</f>
        <v/>
      </c>
      <c r="L3687" s="34" t="str">
        <f aca="false">IF(K3687="LabaRugi",INDEX(I_COA!$D$6:$D$265,MATCH(D3687,I_COA!$A$6:$A$265,0)),"")</f>
        <v/>
      </c>
      <c r="M3687" s="34" t="str">
        <f aca="false">IF(K3687="Neraca",INDEX(I_COA!$E$6:$E$265,MATCH(D3687,I_COA!$A$6:$A$265,0)),"")</f>
        <v/>
      </c>
      <c r="N3687" s="34" t="str">
        <f aca="false">IF(D3687="","",IFERROR(INDEX(I_COA!$G$6:$G$265,MATCH(D3687,I_COA!$A$6:$A$265,0)),"N"))</f>
        <v/>
      </c>
      <c r="O3687" s="11" t="str">
        <f aca="false">IF(N3687="N",ABS(J3687),"")</f>
        <v/>
      </c>
      <c r="P3687" s="18" t="str">
        <f aca="false">IF(N3687="N",B3687&amp;"|"&amp;ROUND(O3687,0),"")</f>
        <v/>
      </c>
      <c r="Q3687" s="18" t="str">
        <f aca="false">IF(N3687&lt;&gt;"Y","",IFERROR(INDEX($D$6:$D$4005,MATCH(B3687&amp;"|"&amp;ROUND(_xlfn.MAXIFS($O$6:$O$4005,$B$6:$B$4005,B3687,$N$6:$N$4005,"N"),0),$P$6:$P$4005,0)),"(tanpa lawan)"))</f>
        <v/>
      </c>
      <c r="R3687" s="44"/>
      <c r="S3687" s="9" t="str">
        <f aca="false">IF(N3687&lt;&gt;"Y","",IF(R3687&lt;&gt;"",R3687,IF(Q3687="(tanpa lawan)","Transfer antar rekening",IFERROR(INDEX(I_COA!$F$6:$F$265,MATCH(Q3687,I_COA!$A$6:$A$265,0)),"?"))))</f>
        <v/>
      </c>
    </row>
    <row r="3688" customFormat="false" ht="15" hidden="false" customHeight="false" outlineLevel="0" collapsed="false">
      <c r="A3688" s="37"/>
      <c r="B3688" s="44"/>
      <c r="C3688" s="44"/>
      <c r="D3688" s="44"/>
      <c r="E3688" s="44"/>
      <c r="F3688" s="44"/>
      <c r="G3688" s="42"/>
      <c r="H3688" s="42"/>
      <c r="I3688" s="44"/>
      <c r="J3688" s="11" t="str">
        <f aca="false">IF(D3688="","",N(G3688)-N(H3688))</f>
        <v/>
      </c>
      <c r="K3688" s="34" t="str">
        <f aca="false">IF(D3688="","",IFERROR(INDEX(I_COA!$C$6:$C$265,MATCH(D3688,I_COA!$A$6:$A$265,0)),"AKUN BARU"))</f>
        <v/>
      </c>
      <c r="L3688" s="34" t="str">
        <f aca="false">IF(K3688="LabaRugi",INDEX(I_COA!$D$6:$D$265,MATCH(D3688,I_COA!$A$6:$A$265,0)),"")</f>
        <v/>
      </c>
      <c r="M3688" s="34" t="str">
        <f aca="false">IF(K3688="Neraca",INDEX(I_COA!$E$6:$E$265,MATCH(D3688,I_COA!$A$6:$A$265,0)),"")</f>
        <v/>
      </c>
      <c r="N3688" s="34" t="str">
        <f aca="false">IF(D3688="","",IFERROR(INDEX(I_COA!$G$6:$G$265,MATCH(D3688,I_COA!$A$6:$A$265,0)),"N"))</f>
        <v/>
      </c>
      <c r="O3688" s="11" t="str">
        <f aca="false">IF(N3688="N",ABS(J3688),"")</f>
        <v/>
      </c>
      <c r="P3688" s="18" t="str">
        <f aca="false">IF(N3688="N",B3688&amp;"|"&amp;ROUND(O3688,0),"")</f>
        <v/>
      </c>
      <c r="Q3688" s="18" t="str">
        <f aca="false">IF(N3688&lt;&gt;"Y","",IFERROR(INDEX($D$6:$D$4005,MATCH(B3688&amp;"|"&amp;ROUND(_xlfn.MAXIFS($O$6:$O$4005,$B$6:$B$4005,B3688,$N$6:$N$4005,"N"),0),$P$6:$P$4005,0)),"(tanpa lawan)"))</f>
        <v/>
      </c>
      <c r="R3688" s="44"/>
      <c r="S3688" s="9" t="str">
        <f aca="false">IF(N3688&lt;&gt;"Y","",IF(R3688&lt;&gt;"",R3688,IF(Q3688="(tanpa lawan)","Transfer antar rekening",IFERROR(INDEX(I_COA!$F$6:$F$265,MATCH(Q3688,I_COA!$A$6:$A$265,0)),"?"))))</f>
        <v/>
      </c>
    </row>
    <row r="3689" customFormat="false" ht="15" hidden="false" customHeight="false" outlineLevel="0" collapsed="false">
      <c r="A3689" s="37"/>
      <c r="B3689" s="44"/>
      <c r="C3689" s="44"/>
      <c r="D3689" s="44"/>
      <c r="E3689" s="44"/>
      <c r="F3689" s="44"/>
      <c r="G3689" s="42"/>
      <c r="H3689" s="42"/>
      <c r="I3689" s="44"/>
      <c r="J3689" s="11" t="str">
        <f aca="false">IF(D3689="","",N(G3689)-N(H3689))</f>
        <v/>
      </c>
      <c r="K3689" s="34" t="str">
        <f aca="false">IF(D3689="","",IFERROR(INDEX(I_COA!$C$6:$C$265,MATCH(D3689,I_COA!$A$6:$A$265,0)),"AKUN BARU"))</f>
        <v/>
      </c>
      <c r="L3689" s="34" t="str">
        <f aca="false">IF(K3689="LabaRugi",INDEX(I_COA!$D$6:$D$265,MATCH(D3689,I_COA!$A$6:$A$265,0)),"")</f>
        <v/>
      </c>
      <c r="M3689" s="34" t="str">
        <f aca="false">IF(K3689="Neraca",INDEX(I_COA!$E$6:$E$265,MATCH(D3689,I_COA!$A$6:$A$265,0)),"")</f>
        <v/>
      </c>
      <c r="N3689" s="34" t="str">
        <f aca="false">IF(D3689="","",IFERROR(INDEX(I_COA!$G$6:$G$265,MATCH(D3689,I_COA!$A$6:$A$265,0)),"N"))</f>
        <v/>
      </c>
      <c r="O3689" s="11" t="str">
        <f aca="false">IF(N3689="N",ABS(J3689),"")</f>
        <v/>
      </c>
      <c r="P3689" s="18" t="str">
        <f aca="false">IF(N3689="N",B3689&amp;"|"&amp;ROUND(O3689,0),"")</f>
        <v/>
      </c>
      <c r="Q3689" s="18" t="str">
        <f aca="false">IF(N3689&lt;&gt;"Y","",IFERROR(INDEX($D$6:$D$4005,MATCH(B3689&amp;"|"&amp;ROUND(_xlfn.MAXIFS($O$6:$O$4005,$B$6:$B$4005,B3689,$N$6:$N$4005,"N"),0),$P$6:$P$4005,0)),"(tanpa lawan)"))</f>
        <v/>
      </c>
      <c r="R3689" s="44"/>
      <c r="S3689" s="9" t="str">
        <f aca="false">IF(N3689&lt;&gt;"Y","",IF(R3689&lt;&gt;"",R3689,IF(Q3689="(tanpa lawan)","Transfer antar rekening",IFERROR(INDEX(I_COA!$F$6:$F$265,MATCH(Q3689,I_COA!$A$6:$A$265,0)),"?"))))</f>
        <v/>
      </c>
    </row>
    <row r="3690" customFormat="false" ht="15" hidden="false" customHeight="false" outlineLevel="0" collapsed="false">
      <c r="A3690" s="37"/>
      <c r="B3690" s="44"/>
      <c r="C3690" s="44"/>
      <c r="D3690" s="44"/>
      <c r="E3690" s="44"/>
      <c r="F3690" s="44"/>
      <c r="G3690" s="42"/>
      <c r="H3690" s="42"/>
      <c r="I3690" s="44"/>
      <c r="J3690" s="11" t="str">
        <f aca="false">IF(D3690="","",N(G3690)-N(H3690))</f>
        <v/>
      </c>
      <c r="K3690" s="34" t="str">
        <f aca="false">IF(D3690="","",IFERROR(INDEX(I_COA!$C$6:$C$265,MATCH(D3690,I_COA!$A$6:$A$265,0)),"AKUN BARU"))</f>
        <v/>
      </c>
      <c r="L3690" s="34" t="str">
        <f aca="false">IF(K3690="LabaRugi",INDEX(I_COA!$D$6:$D$265,MATCH(D3690,I_COA!$A$6:$A$265,0)),"")</f>
        <v/>
      </c>
      <c r="M3690" s="34" t="str">
        <f aca="false">IF(K3690="Neraca",INDEX(I_COA!$E$6:$E$265,MATCH(D3690,I_COA!$A$6:$A$265,0)),"")</f>
        <v/>
      </c>
      <c r="N3690" s="34" t="str">
        <f aca="false">IF(D3690="","",IFERROR(INDEX(I_COA!$G$6:$G$265,MATCH(D3690,I_COA!$A$6:$A$265,0)),"N"))</f>
        <v/>
      </c>
      <c r="O3690" s="11" t="str">
        <f aca="false">IF(N3690="N",ABS(J3690),"")</f>
        <v/>
      </c>
      <c r="P3690" s="18" t="str">
        <f aca="false">IF(N3690="N",B3690&amp;"|"&amp;ROUND(O3690,0),"")</f>
        <v/>
      </c>
      <c r="Q3690" s="18" t="str">
        <f aca="false">IF(N3690&lt;&gt;"Y","",IFERROR(INDEX($D$6:$D$4005,MATCH(B3690&amp;"|"&amp;ROUND(_xlfn.MAXIFS($O$6:$O$4005,$B$6:$B$4005,B3690,$N$6:$N$4005,"N"),0),$P$6:$P$4005,0)),"(tanpa lawan)"))</f>
        <v/>
      </c>
      <c r="R3690" s="44"/>
      <c r="S3690" s="9" t="str">
        <f aca="false">IF(N3690&lt;&gt;"Y","",IF(R3690&lt;&gt;"",R3690,IF(Q3690="(tanpa lawan)","Transfer antar rekening",IFERROR(INDEX(I_COA!$F$6:$F$265,MATCH(Q3690,I_COA!$A$6:$A$265,0)),"?"))))</f>
        <v/>
      </c>
    </row>
    <row r="3691" customFormat="false" ht="15" hidden="false" customHeight="false" outlineLevel="0" collapsed="false">
      <c r="A3691" s="37"/>
      <c r="B3691" s="44"/>
      <c r="C3691" s="44"/>
      <c r="D3691" s="44"/>
      <c r="E3691" s="44"/>
      <c r="F3691" s="44"/>
      <c r="G3691" s="42"/>
      <c r="H3691" s="42"/>
      <c r="I3691" s="44"/>
      <c r="J3691" s="11" t="str">
        <f aca="false">IF(D3691="","",N(G3691)-N(H3691))</f>
        <v/>
      </c>
      <c r="K3691" s="34" t="str">
        <f aca="false">IF(D3691="","",IFERROR(INDEX(I_COA!$C$6:$C$265,MATCH(D3691,I_COA!$A$6:$A$265,0)),"AKUN BARU"))</f>
        <v/>
      </c>
      <c r="L3691" s="34" t="str">
        <f aca="false">IF(K3691="LabaRugi",INDEX(I_COA!$D$6:$D$265,MATCH(D3691,I_COA!$A$6:$A$265,0)),"")</f>
        <v/>
      </c>
      <c r="M3691" s="34" t="str">
        <f aca="false">IF(K3691="Neraca",INDEX(I_COA!$E$6:$E$265,MATCH(D3691,I_COA!$A$6:$A$265,0)),"")</f>
        <v/>
      </c>
      <c r="N3691" s="34" t="str">
        <f aca="false">IF(D3691="","",IFERROR(INDEX(I_COA!$G$6:$G$265,MATCH(D3691,I_COA!$A$6:$A$265,0)),"N"))</f>
        <v/>
      </c>
      <c r="O3691" s="11" t="str">
        <f aca="false">IF(N3691="N",ABS(J3691),"")</f>
        <v/>
      </c>
      <c r="P3691" s="18" t="str">
        <f aca="false">IF(N3691="N",B3691&amp;"|"&amp;ROUND(O3691,0),"")</f>
        <v/>
      </c>
      <c r="Q3691" s="18" t="str">
        <f aca="false">IF(N3691&lt;&gt;"Y","",IFERROR(INDEX($D$6:$D$4005,MATCH(B3691&amp;"|"&amp;ROUND(_xlfn.MAXIFS($O$6:$O$4005,$B$6:$B$4005,B3691,$N$6:$N$4005,"N"),0),$P$6:$P$4005,0)),"(tanpa lawan)"))</f>
        <v/>
      </c>
      <c r="R3691" s="44"/>
      <c r="S3691" s="9" t="str">
        <f aca="false">IF(N3691&lt;&gt;"Y","",IF(R3691&lt;&gt;"",R3691,IF(Q3691="(tanpa lawan)","Transfer antar rekening",IFERROR(INDEX(I_COA!$F$6:$F$265,MATCH(Q3691,I_COA!$A$6:$A$265,0)),"?"))))</f>
        <v/>
      </c>
    </row>
    <row r="3692" customFormat="false" ht="15" hidden="false" customHeight="false" outlineLevel="0" collapsed="false">
      <c r="A3692" s="37"/>
      <c r="B3692" s="44"/>
      <c r="C3692" s="44"/>
      <c r="D3692" s="44"/>
      <c r="E3692" s="44"/>
      <c r="F3692" s="44"/>
      <c r="G3692" s="42"/>
      <c r="H3692" s="42"/>
      <c r="I3692" s="44"/>
      <c r="J3692" s="11" t="str">
        <f aca="false">IF(D3692="","",N(G3692)-N(H3692))</f>
        <v/>
      </c>
      <c r="K3692" s="34" t="str">
        <f aca="false">IF(D3692="","",IFERROR(INDEX(I_COA!$C$6:$C$265,MATCH(D3692,I_COA!$A$6:$A$265,0)),"AKUN BARU"))</f>
        <v/>
      </c>
      <c r="L3692" s="34" t="str">
        <f aca="false">IF(K3692="LabaRugi",INDEX(I_COA!$D$6:$D$265,MATCH(D3692,I_COA!$A$6:$A$265,0)),"")</f>
        <v/>
      </c>
      <c r="M3692" s="34" t="str">
        <f aca="false">IF(K3692="Neraca",INDEX(I_COA!$E$6:$E$265,MATCH(D3692,I_COA!$A$6:$A$265,0)),"")</f>
        <v/>
      </c>
      <c r="N3692" s="34" t="str">
        <f aca="false">IF(D3692="","",IFERROR(INDEX(I_COA!$G$6:$G$265,MATCH(D3692,I_COA!$A$6:$A$265,0)),"N"))</f>
        <v/>
      </c>
      <c r="O3692" s="11" t="str">
        <f aca="false">IF(N3692="N",ABS(J3692),"")</f>
        <v/>
      </c>
      <c r="P3692" s="18" t="str">
        <f aca="false">IF(N3692="N",B3692&amp;"|"&amp;ROUND(O3692,0),"")</f>
        <v/>
      </c>
      <c r="Q3692" s="18" t="str">
        <f aca="false">IF(N3692&lt;&gt;"Y","",IFERROR(INDEX($D$6:$D$4005,MATCH(B3692&amp;"|"&amp;ROUND(_xlfn.MAXIFS($O$6:$O$4005,$B$6:$B$4005,B3692,$N$6:$N$4005,"N"),0),$P$6:$P$4005,0)),"(tanpa lawan)"))</f>
        <v/>
      </c>
      <c r="R3692" s="44"/>
      <c r="S3692" s="9" t="str">
        <f aca="false">IF(N3692&lt;&gt;"Y","",IF(R3692&lt;&gt;"",R3692,IF(Q3692="(tanpa lawan)","Transfer antar rekening",IFERROR(INDEX(I_COA!$F$6:$F$265,MATCH(Q3692,I_COA!$A$6:$A$265,0)),"?"))))</f>
        <v/>
      </c>
    </row>
    <row r="3693" customFormat="false" ht="15" hidden="false" customHeight="false" outlineLevel="0" collapsed="false">
      <c r="A3693" s="37"/>
      <c r="B3693" s="44"/>
      <c r="C3693" s="44"/>
      <c r="D3693" s="44"/>
      <c r="E3693" s="44"/>
      <c r="F3693" s="44"/>
      <c r="G3693" s="42"/>
      <c r="H3693" s="42"/>
      <c r="I3693" s="44"/>
      <c r="J3693" s="11" t="str">
        <f aca="false">IF(D3693="","",N(G3693)-N(H3693))</f>
        <v/>
      </c>
      <c r="K3693" s="34" t="str">
        <f aca="false">IF(D3693="","",IFERROR(INDEX(I_COA!$C$6:$C$265,MATCH(D3693,I_COA!$A$6:$A$265,0)),"AKUN BARU"))</f>
        <v/>
      </c>
      <c r="L3693" s="34" t="str">
        <f aca="false">IF(K3693="LabaRugi",INDEX(I_COA!$D$6:$D$265,MATCH(D3693,I_COA!$A$6:$A$265,0)),"")</f>
        <v/>
      </c>
      <c r="M3693" s="34" t="str">
        <f aca="false">IF(K3693="Neraca",INDEX(I_COA!$E$6:$E$265,MATCH(D3693,I_COA!$A$6:$A$265,0)),"")</f>
        <v/>
      </c>
      <c r="N3693" s="34" t="str">
        <f aca="false">IF(D3693="","",IFERROR(INDEX(I_COA!$G$6:$G$265,MATCH(D3693,I_COA!$A$6:$A$265,0)),"N"))</f>
        <v/>
      </c>
      <c r="O3693" s="11" t="str">
        <f aca="false">IF(N3693="N",ABS(J3693),"")</f>
        <v/>
      </c>
      <c r="P3693" s="18" t="str">
        <f aca="false">IF(N3693="N",B3693&amp;"|"&amp;ROUND(O3693,0),"")</f>
        <v/>
      </c>
      <c r="Q3693" s="18" t="str">
        <f aca="false">IF(N3693&lt;&gt;"Y","",IFERROR(INDEX($D$6:$D$4005,MATCH(B3693&amp;"|"&amp;ROUND(_xlfn.MAXIFS($O$6:$O$4005,$B$6:$B$4005,B3693,$N$6:$N$4005,"N"),0),$P$6:$P$4005,0)),"(tanpa lawan)"))</f>
        <v/>
      </c>
      <c r="R3693" s="44"/>
      <c r="S3693" s="9" t="str">
        <f aca="false">IF(N3693&lt;&gt;"Y","",IF(R3693&lt;&gt;"",R3693,IF(Q3693="(tanpa lawan)","Transfer antar rekening",IFERROR(INDEX(I_COA!$F$6:$F$265,MATCH(Q3693,I_COA!$A$6:$A$265,0)),"?"))))</f>
        <v/>
      </c>
    </row>
    <row r="3694" customFormat="false" ht="15" hidden="false" customHeight="false" outlineLevel="0" collapsed="false">
      <c r="A3694" s="37"/>
      <c r="B3694" s="44"/>
      <c r="C3694" s="44"/>
      <c r="D3694" s="44"/>
      <c r="E3694" s="44"/>
      <c r="F3694" s="44"/>
      <c r="G3694" s="42"/>
      <c r="H3694" s="42"/>
      <c r="I3694" s="44"/>
      <c r="J3694" s="11" t="str">
        <f aca="false">IF(D3694="","",N(G3694)-N(H3694))</f>
        <v/>
      </c>
      <c r="K3694" s="34" t="str">
        <f aca="false">IF(D3694="","",IFERROR(INDEX(I_COA!$C$6:$C$265,MATCH(D3694,I_COA!$A$6:$A$265,0)),"AKUN BARU"))</f>
        <v/>
      </c>
      <c r="L3694" s="34" t="str">
        <f aca="false">IF(K3694="LabaRugi",INDEX(I_COA!$D$6:$D$265,MATCH(D3694,I_COA!$A$6:$A$265,0)),"")</f>
        <v/>
      </c>
      <c r="M3694" s="34" t="str">
        <f aca="false">IF(K3694="Neraca",INDEX(I_COA!$E$6:$E$265,MATCH(D3694,I_COA!$A$6:$A$265,0)),"")</f>
        <v/>
      </c>
      <c r="N3694" s="34" t="str">
        <f aca="false">IF(D3694="","",IFERROR(INDEX(I_COA!$G$6:$G$265,MATCH(D3694,I_COA!$A$6:$A$265,0)),"N"))</f>
        <v/>
      </c>
      <c r="O3694" s="11" t="str">
        <f aca="false">IF(N3694="N",ABS(J3694),"")</f>
        <v/>
      </c>
      <c r="P3694" s="18" t="str">
        <f aca="false">IF(N3694="N",B3694&amp;"|"&amp;ROUND(O3694,0),"")</f>
        <v/>
      </c>
      <c r="Q3694" s="18" t="str">
        <f aca="false">IF(N3694&lt;&gt;"Y","",IFERROR(INDEX($D$6:$D$4005,MATCH(B3694&amp;"|"&amp;ROUND(_xlfn.MAXIFS($O$6:$O$4005,$B$6:$B$4005,B3694,$N$6:$N$4005,"N"),0),$P$6:$P$4005,0)),"(tanpa lawan)"))</f>
        <v/>
      </c>
      <c r="R3694" s="44"/>
      <c r="S3694" s="9" t="str">
        <f aca="false">IF(N3694&lt;&gt;"Y","",IF(R3694&lt;&gt;"",R3694,IF(Q3694="(tanpa lawan)","Transfer antar rekening",IFERROR(INDEX(I_COA!$F$6:$F$265,MATCH(Q3694,I_COA!$A$6:$A$265,0)),"?"))))</f>
        <v/>
      </c>
    </row>
    <row r="3695" customFormat="false" ht="15" hidden="false" customHeight="false" outlineLevel="0" collapsed="false">
      <c r="A3695" s="37"/>
      <c r="B3695" s="44"/>
      <c r="C3695" s="44"/>
      <c r="D3695" s="44"/>
      <c r="E3695" s="44"/>
      <c r="F3695" s="44"/>
      <c r="G3695" s="42"/>
      <c r="H3695" s="42"/>
      <c r="I3695" s="44"/>
      <c r="J3695" s="11" t="str">
        <f aca="false">IF(D3695="","",N(G3695)-N(H3695))</f>
        <v/>
      </c>
      <c r="K3695" s="34" t="str">
        <f aca="false">IF(D3695="","",IFERROR(INDEX(I_COA!$C$6:$C$265,MATCH(D3695,I_COA!$A$6:$A$265,0)),"AKUN BARU"))</f>
        <v/>
      </c>
      <c r="L3695" s="34" t="str">
        <f aca="false">IF(K3695="LabaRugi",INDEX(I_COA!$D$6:$D$265,MATCH(D3695,I_COA!$A$6:$A$265,0)),"")</f>
        <v/>
      </c>
      <c r="M3695" s="34" t="str">
        <f aca="false">IF(K3695="Neraca",INDEX(I_COA!$E$6:$E$265,MATCH(D3695,I_COA!$A$6:$A$265,0)),"")</f>
        <v/>
      </c>
      <c r="N3695" s="34" t="str">
        <f aca="false">IF(D3695="","",IFERROR(INDEX(I_COA!$G$6:$G$265,MATCH(D3695,I_COA!$A$6:$A$265,0)),"N"))</f>
        <v/>
      </c>
      <c r="O3695" s="11" t="str">
        <f aca="false">IF(N3695="N",ABS(J3695),"")</f>
        <v/>
      </c>
      <c r="P3695" s="18" t="str">
        <f aca="false">IF(N3695="N",B3695&amp;"|"&amp;ROUND(O3695,0),"")</f>
        <v/>
      </c>
      <c r="Q3695" s="18" t="str">
        <f aca="false">IF(N3695&lt;&gt;"Y","",IFERROR(INDEX($D$6:$D$4005,MATCH(B3695&amp;"|"&amp;ROUND(_xlfn.MAXIFS($O$6:$O$4005,$B$6:$B$4005,B3695,$N$6:$N$4005,"N"),0),$P$6:$P$4005,0)),"(tanpa lawan)"))</f>
        <v/>
      </c>
      <c r="R3695" s="44"/>
      <c r="S3695" s="9" t="str">
        <f aca="false">IF(N3695&lt;&gt;"Y","",IF(R3695&lt;&gt;"",R3695,IF(Q3695="(tanpa lawan)","Transfer antar rekening",IFERROR(INDEX(I_COA!$F$6:$F$265,MATCH(Q3695,I_COA!$A$6:$A$265,0)),"?"))))</f>
        <v/>
      </c>
    </row>
    <row r="3696" customFormat="false" ht="15" hidden="false" customHeight="false" outlineLevel="0" collapsed="false">
      <c r="A3696" s="37"/>
      <c r="B3696" s="44"/>
      <c r="C3696" s="44"/>
      <c r="D3696" s="44"/>
      <c r="E3696" s="44"/>
      <c r="F3696" s="44"/>
      <c r="G3696" s="42"/>
      <c r="H3696" s="42"/>
      <c r="I3696" s="44"/>
      <c r="J3696" s="11" t="str">
        <f aca="false">IF(D3696="","",N(G3696)-N(H3696))</f>
        <v/>
      </c>
      <c r="K3696" s="34" t="str">
        <f aca="false">IF(D3696="","",IFERROR(INDEX(I_COA!$C$6:$C$265,MATCH(D3696,I_COA!$A$6:$A$265,0)),"AKUN BARU"))</f>
        <v/>
      </c>
      <c r="L3696" s="34" t="str">
        <f aca="false">IF(K3696="LabaRugi",INDEX(I_COA!$D$6:$D$265,MATCH(D3696,I_COA!$A$6:$A$265,0)),"")</f>
        <v/>
      </c>
      <c r="M3696" s="34" t="str">
        <f aca="false">IF(K3696="Neraca",INDEX(I_COA!$E$6:$E$265,MATCH(D3696,I_COA!$A$6:$A$265,0)),"")</f>
        <v/>
      </c>
      <c r="N3696" s="34" t="str">
        <f aca="false">IF(D3696="","",IFERROR(INDEX(I_COA!$G$6:$G$265,MATCH(D3696,I_COA!$A$6:$A$265,0)),"N"))</f>
        <v/>
      </c>
      <c r="O3696" s="11" t="str">
        <f aca="false">IF(N3696="N",ABS(J3696),"")</f>
        <v/>
      </c>
      <c r="P3696" s="18" t="str">
        <f aca="false">IF(N3696="N",B3696&amp;"|"&amp;ROUND(O3696,0),"")</f>
        <v/>
      </c>
      <c r="Q3696" s="18" t="str">
        <f aca="false">IF(N3696&lt;&gt;"Y","",IFERROR(INDEX($D$6:$D$4005,MATCH(B3696&amp;"|"&amp;ROUND(_xlfn.MAXIFS($O$6:$O$4005,$B$6:$B$4005,B3696,$N$6:$N$4005,"N"),0),$P$6:$P$4005,0)),"(tanpa lawan)"))</f>
        <v/>
      </c>
      <c r="R3696" s="44"/>
      <c r="S3696" s="9" t="str">
        <f aca="false">IF(N3696&lt;&gt;"Y","",IF(R3696&lt;&gt;"",R3696,IF(Q3696="(tanpa lawan)","Transfer antar rekening",IFERROR(INDEX(I_COA!$F$6:$F$265,MATCH(Q3696,I_COA!$A$6:$A$265,0)),"?"))))</f>
        <v/>
      </c>
    </row>
    <row r="3697" customFormat="false" ht="15" hidden="false" customHeight="false" outlineLevel="0" collapsed="false">
      <c r="A3697" s="37"/>
      <c r="B3697" s="44"/>
      <c r="C3697" s="44"/>
      <c r="D3697" s="44"/>
      <c r="E3697" s="44"/>
      <c r="F3697" s="44"/>
      <c r="G3697" s="42"/>
      <c r="H3697" s="42"/>
      <c r="I3697" s="44"/>
      <c r="J3697" s="11" t="str">
        <f aca="false">IF(D3697="","",N(G3697)-N(H3697))</f>
        <v/>
      </c>
      <c r="K3697" s="34" t="str">
        <f aca="false">IF(D3697="","",IFERROR(INDEX(I_COA!$C$6:$C$265,MATCH(D3697,I_COA!$A$6:$A$265,0)),"AKUN BARU"))</f>
        <v/>
      </c>
      <c r="L3697" s="34" t="str">
        <f aca="false">IF(K3697="LabaRugi",INDEX(I_COA!$D$6:$D$265,MATCH(D3697,I_COA!$A$6:$A$265,0)),"")</f>
        <v/>
      </c>
      <c r="M3697" s="34" t="str">
        <f aca="false">IF(K3697="Neraca",INDEX(I_COA!$E$6:$E$265,MATCH(D3697,I_COA!$A$6:$A$265,0)),"")</f>
        <v/>
      </c>
      <c r="N3697" s="34" t="str">
        <f aca="false">IF(D3697="","",IFERROR(INDEX(I_COA!$G$6:$G$265,MATCH(D3697,I_COA!$A$6:$A$265,0)),"N"))</f>
        <v/>
      </c>
      <c r="O3697" s="11" t="str">
        <f aca="false">IF(N3697="N",ABS(J3697),"")</f>
        <v/>
      </c>
      <c r="P3697" s="18" t="str">
        <f aca="false">IF(N3697="N",B3697&amp;"|"&amp;ROUND(O3697,0),"")</f>
        <v/>
      </c>
      <c r="Q3697" s="18" t="str">
        <f aca="false">IF(N3697&lt;&gt;"Y","",IFERROR(INDEX($D$6:$D$4005,MATCH(B3697&amp;"|"&amp;ROUND(_xlfn.MAXIFS($O$6:$O$4005,$B$6:$B$4005,B3697,$N$6:$N$4005,"N"),0),$P$6:$P$4005,0)),"(tanpa lawan)"))</f>
        <v/>
      </c>
      <c r="R3697" s="44"/>
      <c r="S3697" s="9" t="str">
        <f aca="false">IF(N3697&lt;&gt;"Y","",IF(R3697&lt;&gt;"",R3697,IF(Q3697="(tanpa lawan)","Transfer antar rekening",IFERROR(INDEX(I_COA!$F$6:$F$265,MATCH(Q3697,I_COA!$A$6:$A$265,0)),"?"))))</f>
        <v/>
      </c>
    </row>
    <row r="3698" customFormat="false" ht="15" hidden="false" customHeight="false" outlineLevel="0" collapsed="false">
      <c r="A3698" s="37"/>
      <c r="B3698" s="44"/>
      <c r="C3698" s="44"/>
      <c r="D3698" s="44"/>
      <c r="E3698" s="44"/>
      <c r="F3698" s="44"/>
      <c r="G3698" s="42"/>
      <c r="H3698" s="42"/>
      <c r="I3698" s="44"/>
      <c r="J3698" s="11" t="str">
        <f aca="false">IF(D3698="","",N(G3698)-N(H3698))</f>
        <v/>
      </c>
      <c r="K3698" s="34" t="str">
        <f aca="false">IF(D3698="","",IFERROR(INDEX(I_COA!$C$6:$C$265,MATCH(D3698,I_COA!$A$6:$A$265,0)),"AKUN BARU"))</f>
        <v/>
      </c>
      <c r="L3698" s="34" t="str">
        <f aca="false">IF(K3698="LabaRugi",INDEX(I_COA!$D$6:$D$265,MATCH(D3698,I_COA!$A$6:$A$265,0)),"")</f>
        <v/>
      </c>
      <c r="M3698" s="34" t="str">
        <f aca="false">IF(K3698="Neraca",INDEX(I_COA!$E$6:$E$265,MATCH(D3698,I_COA!$A$6:$A$265,0)),"")</f>
        <v/>
      </c>
      <c r="N3698" s="34" t="str">
        <f aca="false">IF(D3698="","",IFERROR(INDEX(I_COA!$G$6:$G$265,MATCH(D3698,I_COA!$A$6:$A$265,0)),"N"))</f>
        <v/>
      </c>
      <c r="O3698" s="11" t="str">
        <f aca="false">IF(N3698="N",ABS(J3698),"")</f>
        <v/>
      </c>
      <c r="P3698" s="18" t="str">
        <f aca="false">IF(N3698="N",B3698&amp;"|"&amp;ROUND(O3698,0),"")</f>
        <v/>
      </c>
      <c r="Q3698" s="18" t="str">
        <f aca="false">IF(N3698&lt;&gt;"Y","",IFERROR(INDEX($D$6:$D$4005,MATCH(B3698&amp;"|"&amp;ROUND(_xlfn.MAXIFS($O$6:$O$4005,$B$6:$B$4005,B3698,$N$6:$N$4005,"N"),0),$P$6:$P$4005,0)),"(tanpa lawan)"))</f>
        <v/>
      </c>
      <c r="R3698" s="44"/>
      <c r="S3698" s="9" t="str">
        <f aca="false">IF(N3698&lt;&gt;"Y","",IF(R3698&lt;&gt;"",R3698,IF(Q3698="(tanpa lawan)","Transfer antar rekening",IFERROR(INDEX(I_COA!$F$6:$F$265,MATCH(Q3698,I_COA!$A$6:$A$265,0)),"?"))))</f>
        <v/>
      </c>
    </row>
    <row r="3699" customFormat="false" ht="15" hidden="false" customHeight="false" outlineLevel="0" collapsed="false">
      <c r="A3699" s="37"/>
      <c r="B3699" s="44"/>
      <c r="C3699" s="44"/>
      <c r="D3699" s="44"/>
      <c r="E3699" s="44"/>
      <c r="F3699" s="44"/>
      <c r="G3699" s="42"/>
      <c r="H3699" s="42"/>
      <c r="I3699" s="44"/>
      <c r="J3699" s="11" t="str">
        <f aca="false">IF(D3699="","",N(G3699)-N(H3699))</f>
        <v/>
      </c>
      <c r="K3699" s="34" t="str">
        <f aca="false">IF(D3699="","",IFERROR(INDEX(I_COA!$C$6:$C$265,MATCH(D3699,I_COA!$A$6:$A$265,0)),"AKUN BARU"))</f>
        <v/>
      </c>
      <c r="L3699" s="34" t="str">
        <f aca="false">IF(K3699="LabaRugi",INDEX(I_COA!$D$6:$D$265,MATCH(D3699,I_COA!$A$6:$A$265,0)),"")</f>
        <v/>
      </c>
      <c r="M3699" s="34" t="str">
        <f aca="false">IF(K3699="Neraca",INDEX(I_COA!$E$6:$E$265,MATCH(D3699,I_COA!$A$6:$A$265,0)),"")</f>
        <v/>
      </c>
      <c r="N3699" s="34" t="str">
        <f aca="false">IF(D3699="","",IFERROR(INDEX(I_COA!$G$6:$G$265,MATCH(D3699,I_COA!$A$6:$A$265,0)),"N"))</f>
        <v/>
      </c>
      <c r="O3699" s="11" t="str">
        <f aca="false">IF(N3699="N",ABS(J3699),"")</f>
        <v/>
      </c>
      <c r="P3699" s="18" t="str">
        <f aca="false">IF(N3699="N",B3699&amp;"|"&amp;ROUND(O3699,0),"")</f>
        <v/>
      </c>
      <c r="Q3699" s="18" t="str">
        <f aca="false">IF(N3699&lt;&gt;"Y","",IFERROR(INDEX($D$6:$D$4005,MATCH(B3699&amp;"|"&amp;ROUND(_xlfn.MAXIFS($O$6:$O$4005,$B$6:$B$4005,B3699,$N$6:$N$4005,"N"),0),$P$6:$P$4005,0)),"(tanpa lawan)"))</f>
        <v/>
      </c>
      <c r="R3699" s="44"/>
      <c r="S3699" s="9" t="str">
        <f aca="false">IF(N3699&lt;&gt;"Y","",IF(R3699&lt;&gt;"",R3699,IF(Q3699="(tanpa lawan)","Transfer antar rekening",IFERROR(INDEX(I_COA!$F$6:$F$265,MATCH(Q3699,I_COA!$A$6:$A$265,0)),"?"))))</f>
        <v/>
      </c>
    </row>
    <row r="3700" customFormat="false" ht="15" hidden="false" customHeight="false" outlineLevel="0" collapsed="false">
      <c r="A3700" s="37"/>
      <c r="B3700" s="44"/>
      <c r="C3700" s="44"/>
      <c r="D3700" s="44"/>
      <c r="E3700" s="44"/>
      <c r="F3700" s="44"/>
      <c r="G3700" s="42"/>
      <c r="H3700" s="42"/>
      <c r="I3700" s="44"/>
      <c r="J3700" s="11" t="str">
        <f aca="false">IF(D3700="","",N(G3700)-N(H3700))</f>
        <v/>
      </c>
      <c r="K3700" s="34" t="str">
        <f aca="false">IF(D3700="","",IFERROR(INDEX(I_COA!$C$6:$C$265,MATCH(D3700,I_COA!$A$6:$A$265,0)),"AKUN BARU"))</f>
        <v/>
      </c>
      <c r="L3700" s="34" t="str">
        <f aca="false">IF(K3700="LabaRugi",INDEX(I_COA!$D$6:$D$265,MATCH(D3700,I_COA!$A$6:$A$265,0)),"")</f>
        <v/>
      </c>
      <c r="M3700" s="34" t="str">
        <f aca="false">IF(K3700="Neraca",INDEX(I_COA!$E$6:$E$265,MATCH(D3700,I_COA!$A$6:$A$265,0)),"")</f>
        <v/>
      </c>
      <c r="N3700" s="34" t="str">
        <f aca="false">IF(D3700="","",IFERROR(INDEX(I_COA!$G$6:$G$265,MATCH(D3700,I_COA!$A$6:$A$265,0)),"N"))</f>
        <v/>
      </c>
      <c r="O3700" s="11" t="str">
        <f aca="false">IF(N3700="N",ABS(J3700),"")</f>
        <v/>
      </c>
      <c r="P3700" s="18" t="str">
        <f aca="false">IF(N3700="N",B3700&amp;"|"&amp;ROUND(O3700,0),"")</f>
        <v/>
      </c>
      <c r="Q3700" s="18" t="str">
        <f aca="false">IF(N3700&lt;&gt;"Y","",IFERROR(INDEX($D$6:$D$4005,MATCH(B3700&amp;"|"&amp;ROUND(_xlfn.MAXIFS($O$6:$O$4005,$B$6:$B$4005,B3700,$N$6:$N$4005,"N"),0),$P$6:$P$4005,0)),"(tanpa lawan)"))</f>
        <v/>
      </c>
      <c r="R3700" s="44"/>
      <c r="S3700" s="9" t="str">
        <f aca="false">IF(N3700&lt;&gt;"Y","",IF(R3700&lt;&gt;"",R3700,IF(Q3700="(tanpa lawan)","Transfer antar rekening",IFERROR(INDEX(I_COA!$F$6:$F$265,MATCH(Q3700,I_COA!$A$6:$A$265,0)),"?"))))</f>
        <v/>
      </c>
    </row>
    <row r="3701" customFormat="false" ht="15" hidden="false" customHeight="false" outlineLevel="0" collapsed="false">
      <c r="A3701" s="37"/>
      <c r="B3701" s="44"/>
      <c r="C3701" s="44"/>
      <c r="D3701" s="44"/>
      <c r="E3701" s="44"/>
      <c r="F3701" s="44"/>
      <c r="G3701" s="42"/>
      <c r="H3701" s="42"/>
      <c r="I3701" s="44"/>
      <c r="J3701" s="11" t="str">
        <f aca="false">IF(D3701="","",N(G3701)-N(H3701))</f>
        <v/>
      </c>
      <c r="K3701" s="34" t="str">
        <f aca="false">IF(D3701="","",IFERROR(INDEX(I_COA!$C$6:$C$265,MATCH(D3701,I_COA!$A$6:$A$265,0)),"AKUN BARU"))</f>
        <v/>
      </c>
      <c r="L3701" s="34" t="str">
        <f aca="false">IF(K3701="LabaRugi",INDEX(I_COA!$D$6:$D$265,MATCH(D3701,I_COA!$A$6:$A$265,0)),"")</f>
        <v/>
      </c>
      <c r="M3701" s="34" t="str">
        <f aca="false">IF(K3701="Neraca",INDEX(I_COA!$E$6:$E$265,MATCH(D3701,I_COA!$A$6:$A$265,0)),"")</f>
        <v/>
      </c>
      <c r="N3701" s="34" t="str">
        <f aca="false">IF(D3701="","",IFERROR(INDEX(I_COA!$G$6:$G$265,MATCH(D3701,I_COA!$A$6:$A$265,0)),"N"))</f>
        <v/>
      </c>
      <c r="O3701" s="11" t="str">
        <f aca="false">IF(N3701="N",ABS(J3701),"")</f>
        <v/>
      </c>
      <c r="P3701" s="18" t="str">
        <f aca="false">IF(N3701="N",B3701&amp;"|"&amp;ROUND(O3701,0),"")</f>
        <v/>
      </c>
      <c r="Q3701" s="18" t="str">
        <f aca="false">IF(N3701&lt;&gt;"Y","",IFERROR(INDEX($D$6:$D$4005,MATCH(B3701&amp;"|"&amp;ROUND(_xlfn.MAXIFS($O$6:$O$4005,$B$6:$B$4005,B3701,$N$6:$N$4005,"N"),0),$P$6:$P$4005,0)),"(tanpa lawan)"))</f>
        <v/>
      </c>
      <c r="R3701" s="44"/>
      <c r="S3701" s="9" t="str">
        <f aca="false">IF(N3701&lt;&gt;"Y","",IF(R3701&lt;&gt;"",R3701,IF(Q3701="(tanpa lawan)","Transfer antar rekening",IFERROR(INDEX(I_COA!$F$6:$F$265,MATCH(Q3701,I_COA!$A$6:$A$265,0)),"?"))))</f>
        <v/>
      </c>
    </row>
    <row r="3702" customFormat="false" ht="15" hidden="false" customHeight="false" outlineLevel="0" collapsed="false">
      <c r="A3702" s="37"/>
      <c r="B3702" s="44"/>
      <c r="C3702" s="44"/>
      <c r="D3702" s="44"/>
      <c r="E3702" s="44"/>
      <c r="F3702" s="44"/>
      <c r="G3702" s="42"/>
      <c r="H3702" s="42"/>
      <c r="I3702" s="44"/>
      <c r="J3702" s="11" t="str">
        <f aca="false">IF(D3702="","",N(G3702)-N(H3702))</f>
        <v/>
      </c>
      <c r="K3702" s="34" t="str">
        <f aca="false">IF(D3702="","",IFERROR(INDEX(I_COA!$C$6:$C$265,MATCH(D3702,I_COA!$A$6:$A$265,0)),"AKUN BARU"))</f>
        <v/>
      </c>
      <c r="L3702" s="34" t="str">
        <f aca="false">IF(K3702="LabaRugi",INDEX(I_COA!$D$6:$D$265,MATCH(D3702,I_COA!$A$6:$A$265,0)),"")</f>
        <v/>
      </c>
      <c r="M3702" s="34" t="str">
        <f aca="false">IF(K3702="Neraca",INDEX(I_COA!$E$6:$E$265,MATCH(D3702,I_COA!$A$6:$A$265,0)),"")</f>
        <v/>
      </c>
      <c r="N3702" s="34" t="str">
        <f aca="false">IF(D3702="","",IFERROR(INDEX(I_COA!$G$6:$G$265,MATCH(D3702,I_COA!$A$6:$A$265,0)),"N"))</f>
        <v/>
      </c>
      <c r="O3702" s="11" t="str">
        <f aca="false">IF(N3702="N",ABS(J3702),"")</f>
        <v/>
      </c>
      <c r="P3702" s="18" t="str">
        <f aca="false">IF(N3702="N",B3702&amp;"|"&amp;ROUND(O3702,0),"")</f>
        <v/>
      </c>
      <c r="Q3702" s="18" t="str">
        <f aca="false">IF(N3702&lt;&gt;"Y","",IFERROR(INDEX($D$6:$D$4005,MATCH(B3702&amp;"|"&amp;ROUND(_xlfn.MAXIFS($O$6:$O$4005,$B$6:$B$4005,B3702,$N$6:$N$4005,"N"),0),$P$6:$P$4005,0)),"(tanpa lawan)"))</f>
        <v/>
      </c>
      <c r="R3702" s="44"/>
      <c r="S3702" s="9" t="str">
        <f aca="false">IF(N3702&lt;&gt;"Y","",IF(R3702&lt;&gt;"",R3702,IF(Q3702="(tanpa lawan)","Transfer antar rekening",IFERROR(INDEX(I_COA!$F$6:$F$265,MATCH(Q3702,I_COA!$A$6:$A$265,0)),"?"))))</f>
        <v/>
      </c>
    </row>
    <row r="3703" customFormat="false" ht="15" hidden="false" customHeight="false" outlineLevel="0" collapsed="false">
      <c r="A3703" s="37"/>
      <c r="B3703" s="44"/>
      <c r="C3703" s="44"/>
      <c r="D3703" s="44"/>
      <c r="E3703" s="44"/>
      <c r="F3703" s="44"/>
      <c r="G3703" s="42"/>
      <c r="H3703" s="42"/>
      <c r="I3703" s="44"/>
      <c r="J3703" s="11" t="str">
        <f aca="false">IF(D3703="","",N(G3703)-N(H3703))</f>
        <v/>
      </c>
      <c r="K3703" s="34" t="str">
        <f aca="false">IF(D3703="","",IFERROR(INDEX(I_COA!$C$6:$C$265,MATCH(D3703,I_COA!$A$6:$A$265,0)),"AKUN BARU"))</f>
        <v/>
      </c>
      <c r="L3703" s="34" t="str">
        <f aca="false">IF(K3703="LabaRugi",INDEX(I_COA!$D$6:$D$265,MATCH(D3703,I_COA!$A$6:$A$265,0)),"")</f>
        <v/>
      </c>
      <c r="M3703" s="34" t="str">
        <f aca="false">IF(K3703="Neraca",INDEX(I_COA!$E$6:$E$265,MATCH(D3703,I_COA!$A$6:$A$265,0)),"")</f>
        <v/>
      </c>
      <c r="N3703" s="34" t="str">
        <f aca="false">IF(D3703="","",IFERROR(INDEX(I_COA!$G$6:$G$265,MATCH(D3703,I_COA!$A$6:$A$265,0)),"N"))</f>
        <v/>
      </c>
      <c r="O3703" s="11" t="str">
        <f aca="false">IF(N3703="N",ABS(J3703),"")</f>
        <v/>
      </c>
      <c r="P3703" s="18" t="str">
        <f aca="false">IF(N3703="N",B3703&amp;"|"&amp;ROUND(O3703,0),"")</f>
        <v/>
      </c>
      <c r="Q3703" s="18" t="str">
        <f aca="false">IF(N3703&lt;&gt;"Y","",IFERROR(INDEX($D$6:$D$4005,MATCH(B3703&amp;"|"&amp;ROUND(_xlfn.MAXIFS($O$6:$O$4005,$B$6:$B$4005,B3703,$N$6:$N$4005,"N"),0),$P$6:$P$4005,0)),"(tanpa lawan)"))</f>
        <v/>
      </c>
      <c r="R3703" s="44"/>
      <c r="S3703" s="9" t="str">
        <f aca="false">IF(N3703&lt;&gt;"Y","",IF(R3703&lt;&gt;"",R3703,IF(Q3703="(tanpa lawan)","Transfer antar rekening",IFERROR(INDEX(I_COA!$F$6:$F$265,MATCH(Q3703,I_COA!$A$6:$A$265,0)),"?"))))</f>
        <v/>
      </c>
    </row>
    <row r="3704" customFormat="false" ht="15" hidden="false" customHeight="false" outlineLevel="0" collapsed="false">
      <c r="A3704" s="37"/>
      <c r="B3704" s="44"/>
      <c r="C3704" s="44"/>
      <c r="D3704" s="44"/>
      <c r="E3704" s="44"/>
      <c r="F3704" s="44"/>
      <c r="G3704" s="42"/>
      <c r="H3704" s="42"/>
      <c r="I3704" s="44"/>
      <c r="J3704" s="11" t="str">
        <f aca="false">IF(D3704="","",N(G3704)-N(H3704))</f>
        <v/>
      </c>
      <c r="K3704" s="34" t="str">
        <f aca="false">IF(D3704="","",IFERROR(INDEX(I_COA!$C$6:$C$265,MATCH(D3704,I_COA!$A$6:$A$265,0)),"AKUN BARU"))</f>
        <v/>
      </c>
      <c r="L3704" s="34" t="str">
        <f aca="false">IF(K3704="LabaRugi",INDEX(I_COA!$D$6:$D$265,MATCH(D3704,I_COA!$A$6:$A$265,0)),"")</f>
        <v/>
      </c>
      <c r="M3704" s="34" t="str">
        <f aca="false">IF(K3704="Neraca",INDEX(I_COA!$E$6:$E$265,MATCH(D3704,I_COA!$A$6:$A$265,0)),"")</f>
        <v/>
      </c>
      <c r="N3704" s="34" t="str">
        <f aca="false">IF(D3704="","",IFERROR(INDEX(I_COA!$G$6:$G$265,MATCH(D3704,I_COA!$A$6:$A$265,0)),"N"))</f>
        <v/>
      </c>
      <c r="O3704" s="11" t="str">
        <f aca="false">IF(N3704="N",ABS(J3704),"")</f>
        <v/>
      </c>
      <c r="P3704" s="18" t="str">
        <f aca="false">IF(N3704="N",B3704&amp;"|"&amp;ROUND(O3704,0),"")</f>
        <v/>
      </c>
      <c r="Q3704" s="18" t="str">
        <f aca="false">IF(N3704&lt;&gt;"Y","",IFERROR(INDEX($D$6:$D$4005,MATCH(B3704&amp;"|"&amp;ROUND(_xlfn.MAXIFS($O$6:$O$4005,$B$6:$B$4005,B3704,$N$6:$N$4005,"N"),0),$P$6:$P$4005,0)),"(tanpa lawan)"))</f>
        <v/>
      </c>
      <c r="R3704" s="44"/>
      <c r="S3704" s="9" t="str">
        <f aca="false">IF(N3704&lt;&gt;"Y","",IF(R3704&lt;&gt;"",R3704,IF(Q3704="(tanpa lawan)","Transfer antar rekening",IFERROR(INDEX(I_COA!$F$6:$F$265,MATCH(Q3704,I_COA!$A$6:$A$265,0)),"?"))))</f>
        <v/>
      </c>
    </row>
    <row r="3705" customFormat="false" ht="15" hidden="false" customHeight="false" outlineLevel="0" collapsed="false">
      <c r="A3705" s="37"/>
      <c r="B3705" s="44"/>
      <c r="C3705" s="44"/>
      <c r="D3705" s="44"/>
      <c r="E3705" s="44"/>
      <c r="F3705" s="44"/>
      <c r="G3705" s="42"/>
      <c r="H3705" s="42"/>
      <c r="I3705" s="44"/>
      <c r="J3705" s="11" t="str">
        <f aca="false">IF(D3705="","",N(G3705)-N(H3705))</f>
        <v/>
      </c>
      <c r="K3705" s="34" t="str">
        <f aca="false">IF(D3705="","",IFERROR(INDEX(I_COA!$C$6:$C$265,MATCH(D3705,I_COA!$A$6:$A$265,0)),"AKUN BARU"))</f>
        <v/>
      </c>
      <c r="L3705" s="34" t="str">
        <f aca="false">IF(K3705="LabaRugi",INDEX(I_COA!$D$6:$D$265,MATCH(D3705,I_COA!$A$6:$A$265,0)),"")</f>
        <v/>
      </c>
      <c r="M3705" s="34" t="str">
        <f aca="false">IF(K3705="Neraca",INDEX(I_COA!$E$6:$E$265,MATCH(D3705,I_COA!$A$6:$A$265,0)),"")</f>
        <v/>
      </c>
      <c r="N3705" s="34" t="str">
        <f aca="false">IF(D3705="","",IFERROR(INDEX(I_COA!$G$6:$G$265,MATCH(D3705,I_COA!$A$6:$A$265,0)),"N"))</f>
        <v/>
      </c>
      <c r="O3705" s="11" t="str">
        <f aca="false">IF(N3705="N",ABS(J3705),"")</f>
        <v/>
      </c>
      <c r="P3705" s="18" t="str">
        <f aca="false">IF(N3705="N",B3705&amp;"|"&amp;ROUND(O3705,0),"")</f>
        <v/>
      </c>
      <c r="Q3705" s="18" t="str">
        <f aca="false">IF(N3705&lt;&gt;"Y","",IFERROR(INDEX($D$6:$D$4005,MATCH(B3705&amp;"|"&amp;ROUND(_xlfn.MAXIFS($O$6:$O$4005,$B$6:$B$4005,B3705,$N$6:$N$4005,"N"),0),$P$6:$P$4005,0)),"(tanpa lawan)"))</f>
        <v/>
      </c>
      <c r="R3705" s="44"/>
      <c r="S3705" s="9" t="str">
        <f aca="false">IF(N3705&lt;&gt;"Y","",IF(R3705&lt;&gt;"",R3705,IF(Q3705="(tanpa lawan)","Transfer antar rekening",IFERROR(INDEX(I_COA!$F$6:$F$265,MATCH(Q3705,I_COA!$A$6:$A$265,0)),"?"))))</f>
        <v/>
      </c>
    </row>
    <row r="3706" customFormat="false" ht="15" hidden="false" customHeight="false" outlineLevel="0" collapsed="false">
      <c r="A3706" s="37"/>
      <c r="B3706" s="44"/>
      <c r="C3706" s="44"/>
      <c r="D3706" s="44"/>
      <c r="E3706" s="44"/>
      <c r="F3706" s="44"/>
      <c r="G3706" s="42"/>
      <c r="H3706" s="42"/>
      <c r="I3706" s="44"/>
      <c r="J3706" s="11" t="str">
        <f aca="false">IF(D3706="","",N(G3706)-N(H3706))</f>
        <v/>
      </c>
      <c r="K3706" s="34" t="str">
        <f aca="false">IF(D3706="","",IFERROR(INDEX(I_COA!$C$6:$C$265,MATCH(D3706,I_COA!$A$6:$A$265,0)),"AKUN BARU"))</f>
        <v/>
      </c>
      <c r="L3706" s="34" t="str">
        <f aca="false">IF(K3706="LabaRugi",INDEX(I_COA!$D$6:$D$265,MATCH(D3706,I_COA!$A$6:$A$265,0)),"")</f>
        <v/>
      </c>
      <c r="M3706" s="34" t="str">
        <f aca="false">IF(K3706="Neraca",INDEX(I_COA!$E$6:$E$265,MATCH(D3706,I_COA!$A$6:$A$265,0)),"")</f>
        <v/>
      </c>
      <c r="N3706" s="34" t="str">
        <f aca="false">IF(D3706="","",IFERROR(INDEX(I_COA!$G$6:$G$265,MATCH(D3706,I_COA!$A$6:$A$265,0)),"N"))</f>
        <v/>
      </c>
      <c r="O3706" s="11" t="str">
        <f aca="false">IF(N3706="N",ABS(J3706),"")</f>
        <v/>
      </c>
      <c r="P3706" s="18" t="str">
        <f aca="false">IF(N3706="N",B3706&amp;"|"&amp;ROUND(O3706,0),"")</f>
        <v/>
      </c>
      <c r="Q3706" s="18" t="str">
        <f aca="false">IF(N3706&lt;&gt;"Y","",IFERROR(INDEX($D$6:$D$4005,MATCH(B3706&amp;"|"&amp;ROUND(_xlfn.MAXIFS($O$6:$O$4005,$B$6:$B$4005,B3706,$N$6:$N$4005,"N"),0),$P$6:$P$4005,0)),"(tanpa lawan)"))</f>
        <v/>
      </c>
      <c r="R3706" s="44"/>
      <c r="S3706" s="9" t="str">
        <f aca="false">IF(N3706&lt;&gt;"Y","",IF(R3706&lt;&gt;"",R3706,IF(Q3706="(tanpa lawan)","Transfer antar rekening",IFERROR(INDEX(I_COA!$F$6:$F$265,MATCH(Q3706,I_COA!$A$6:$A$265,0)),"?"))))</f>
        <v/>
      </c>
    </row>
    <row r="3707" customFormat="false" ht="15" hidden="false" customHeight="false" outlineLevel="0" collapsed="false">
      <c r="A3707" s="37"/>
      <c r="B3707" s="44"/>
      <c r="C3707" s="44"/>
      <c r="D3707" s="44"/>
      <c r="E3707" s="44"/>
      <c r="F3707" s="44"/>
      <c r="G3707" s="42"/>
      <c r="H3707" s="42"/>
      <c r="I3707" s="44"/>
      <c r="J3707" s="11" t="str">
        <f aca="false">IF(D3707="","",N(G3707)-N(H3707))</f>
        <v/>
      </c>
      <c r="K3707" s="34" t="str">
        <f aca="false">IF(D3707="","",IFERROR(INDEX(I_COA!$C$6:$C$265,MATCH(D3707,I_COA!$A$6:$A$265,0)),"AKUN BARU"))</f>
        <v/>
      </c>
      <c r="L3707" s="34" t="str">
        <f aca="false">IF(K3707="LabaRugi",INDEX(I_COA!$D$6:$D$265,MATCH(D3707,I_COA!$A$6:$A$265,0)),"")</f>
        <v/>
      </c>
      <c r="M3707" s="34" t="str">
        <f aca="false">IF(K3707="Neraca",INDEX(I_COA!$E$6:$E$265,MATCH(D3707,I_COA!$A$6:$A$265,0)),"")</f>
        <v/>
      </c>
      <c r="N3707" s="34" t="str">
        <f aca="false">IF(D3707="","",IFERROR(INDEX(I_COA!$G$6:$G$265,MATCH(D3707,I_COA!$A$6:$A$265,0)),"N"))</f>
        <v/>
      </c>
      <c r="O3707" s="11" t="str">
        <f aca="false">IF(N3707="N",ABS(J3707),"")</f>
        <v/>
      </c>
      <c r="P3707" s="18" t="str">
        <f aca="false">IF(N3707="N",B3707&amp;"|"&amp;ROUND(O3707,0),"")</f>
        <v/>
      </c>
      <c r="Q3707" s="18" t="str">
        <f aca="false">IF(N3707&lt;&gt;"Y","",IFERROR(INDEX($D$6:$D$4005,MATCH(B3707&amp;"|"&amp;ROUND(_xlfn.MAXIFS($O$6:$O$4005,$B$6:$B$4005,B3707,$N$6:$N$4005,"N"),0),$P$6:$P$4005,0)),"(tanpa lawan)"))</f>
        <v/>
      </c>
      <c r="R3707" s="44"/>
      <c r="S3707" s="9" t="str">
        <f aca="false">IF(N3707&lt;&gt;"Y","",IF(R3707&lt;&gt;"",R3707,IF(Q3707="(tanpa lawan)","Transfer antar rekening",IFERROR(INDEX(I_COA!$F$6:$F$265,MATCH(Q3707,I_COA!$A$6:$A$265,0)),"?"))))</f>
        <v/>
      </c>
    </row>
    <row r="3708" customFormat="false" ht="15" hidden="false" customHeight="false" outlineLevel="0" collapsed="false">
      <c r="A3708" s="37"/>
      <c r="B3708" s="44"/>
      <c r="C3708" s="44"/>
      <c r="D3708" s="44"/>
      <c r="E3708" s="44"/>
      <c r="F3708" s="44"/>
      <c r="G3708" s="42"/>
      <c r="H3708" s="42"/>
      <c r="I3708" s="44"/>
      <c r="J3708" s="11" t="str">
        <f aca="false">IF(D3708="","",N(G3708)-N(H3708))</f>
        <v/>
      </c>
      <c r="K3708" s="34" t="str">
        <f aca="false">IF(D3708="","",IFERROR(INDEX(I_COA!$C$6:$C$265,MATCH(D3708,I_COA!$A$6:$A$265,0)),"AKUN BARU"))</f>
        <v/>
      </c>
      <c r="L3708" s="34" t="str">
        <f aca="false">IF(K3708="LabaRugi",INDEX(I_COA!$D$6:$D$265,MATCH(D3708,I_COA!$A$6:$A$265,0)),"")</f>
        <v/>
      </c>
      <c r="M3708" s="34" t="str">
        <f aca="false">IF(K3708="Neraca",INDEX(I_COA!$E$6:$E$265,MATCH(D3708,I_COA!$A$6:$A$265,0)),"")</f>
        <v/>
      </c>
      <c r="N3708" s="34" t="str">
        <f aca="false">IF(D3708="","",IFERROR(INDEX(I_COA!$G$6:$G$265,MATCH(D3708,I_COA!$A$6:$A$265,0)),"N"))</f>
        <v/>
      </c>
      <c r="O3708" s="11" t="str">
        <f aca="false">IF(N3708="N",ABS(J3708),"")</f>
        <v/>
      </c>
      <c r="P3708" s="18" t="str">
        <f aca="false">IF(N3708="N",B3708&amp;"|"&amp;ROUND(O3708,0),"")</f>
        <v/>
      </c>
      <c r="Q3708" s="18" t="str">
        <f aca="false">IF(N3708&lt;&gt;"Y","",IFERROR(INDEX($D$6:$D$4005,MATCH(B3708&amp;"|"&amp;ROUND(_xlfn.MAXIFS($O$6:$O$4005,$B$6:$B$4005,B3708,$N$6:$N$4005,"N"),0),$P$6:$P$4005,0)),"(tanpa lawan)"))</f>
        <v/>
      </c>
      <c r="R3708" s="44"/>
      <c r="S3708" s="9" t="str">
        <f aca="false">IF(N3708&lt;&gt;"Y","",IF(R3708&lt;&gt;"",R3708,IF(Q3708="(tanpa lawan)","Transfer antar rekening",IFERROR(INDEX(I_COA!$F$6:$F$265,MATCH(Q3708,I_COA!$A$6:$A$265,0)),"?"))))</f>
        <v/>
      </c>
    </row>
    <row r="3709" customFormat="false" ht="15" hidden="false" customHeight="false" outlineLevel="0" collapsed="false">
      <c r="A3709" s="37"/>
      <c r="B3709" s="44"/>
      <c r="C3709" s="44"/>
      <c r="D3709" s="44"/>
      <c r="E3709" s="44"/>
      <c r="F3709" s="44"/>
      <c r="G3709" s="42"/>
      <c r="H3709" s="42"/>
      <c r="I3709" s="44"/>
      <c r="J3709" s="11" t="str">
        <f aca="false">IF(D3709="","",N(G3709)-N(H3709))</f>
        <v/>
      </c>
      <c r="K3709" s="34" t="str">
        <f aca="false">IF(D3709="","",IFERROR(INDEX(I_COA!$C$6:$C$265,MATCH(D3709,I_COA!$A$6:$A$265,0)),"AKUN BARU"))</f>
        <v/>
      </c>
      <c r="L3709" s="34" t="str">
        <f aca="false">IF(K3709="LabaRugi",INDEX(I_COA!$D$6:$D$265,MATCH(D3709,I_COA!$A$6:$A$265,0)),"")</f>
        <v/>
      </c>
      <c r="M3709" s="34" t="str">
        <f aca="false">IF(K3709="Neraca",INDEX(I_COA!$E$6:$E$265,MATCH(D3709,I_COA!$A$6:$A$265,0)),"")</f>
        <v/>
      </c>
      <c r="N3709" s="34" t="str">
        <f aca="false">IF(D3709="","",IFERROR(INDEX(I_COA!$G$6:$G$265,MATCH(D3709,I_COA!$A$6:$A$265,0)),"N"))</f>
        <v/>
      </c>
      <c r="O3709" s="11" t="str">
        <f aca="false">IF(N3709="N",ABS(J3709),"")</f>
        <v/>
      </c>
      <c r="P3709" s="18" t="str">
        <f aca="false">IF(N3709="N",B3709&amp;"|"&amp;ROUND(O3709,0),"")</f>
        <v/>
      </c>
      <c r="Q3709" s="18" t="str">
        <f aca="false">IF(N3709&lt;&gt;"Y","",IFERROR(INDEX($D$6:$D$4005,MATCH(B3709&amp;"|"&amp;ROUND(_xlfn.MAXIFS($O$6:$O$4005,$B$6:$B$4005,B3709,$N$6:$N$4005,"N"),0),$P$6:$P$4005,0)),"(tanpa lawan)"))</f>
        <v/>
      </c>
      <c r="R3709" s="44"/>
      <c r="S3709" s="9" t="str">
        <f aca="false">IF(N3709&lt;&gt;"Y","",IF(R3709&lt;&gt;"",R3709,IF(Q3709="(tanpa lawan)","Transfer antar rekening",IFERROR(INDEX(I_COA!$F$6:$F$265,MATCH(Q3709,I_COA!$A$6:$A$265,0)),"?"))))</f>
        <v/>
      </c>
    </row>
    <row r="3710" customFormat="false" ht="15" hidden="false" customHeight="false" outlineLevel="0" collapsed="false">
      <c r="A3710" s="37"/>
      <c r="B3710" s="44"/>
      <c r="C3710" s="44"/>
      <c r="D3710" s="44"/>
      <c r="E3710" s="44"/>
      <c r="F3710" s="44"/>
      <c r="G3710" s="42"/>
      <c r="H3710" s="42"/>
      <c r="I3710" s="44"/>
      <c r="J3710" s="11" t="str">
        <f aca="false">IF(D3710="","",N(G3710)-N(H3710))</f>
        <v/>
      </c>
      <c r="K3710" s="34" t="str">
        <f aca="false">IF(D3710="","",IFERROR(INDEX(I_COA!$C$6:$C$265,MATCH(D3710,I_COA!$A$6:$A$265,0)),"AKUN BARU"))</f>
        <v/>
      </c>
      <c r="L3710" s="34" t="str">
        <f aca="false">IF(K3710="LabaRugi",INDEX(I_COA!$D$6:$D$265,MATCH(D3710,I_COA!$A$6:$A$265,0)),"")</f>
        <v/>
      </c>
      <c r="M3710" s="34" t="str">
        <f aca="false">IF(K3710="Neraca",INDEX(I_COA!$E$6:$E$265,MATCH(D3710,I_COA!$A$6:$A$265,0)),"")</f>
        <v/>
      </c>
      <c r="N3710" s="34" t="str">
        <f aca="false">IF(D3710="","",IFERROR(INDEX(I_COA!$G$6:$G$265,MATCH(D3710,I_COA!$A$6:$A$265,0)),"N"))</f>
        <v/>
      </c>
      <c r="O3710" s="11" t="str">
        <f aca="false">IF(N3710="N",ABS(J3710),"")</f>
        <v/>
      </c>
      <c r="P3710" s="18" t="str">
        <f aca="false">IF(N3710="N",B3710&amp;"|"&amp;ROUND(O3710,0),"")</f>
        <v/>
      </c>
      <c r="Q3710" s="18" t="str">
        <f aca="false">IF(N3710&lt;&gt;"Y","",IFERROR(INDEX($D$6:$D$4005,MATCH(B3710&amp;"|"&amp;ROUND(_xlfn.MAXIFS($O$6:$O$4005,$B$6:$B$4005,B3710,$N$6:$N$4005,"N"),0),$P$6:$P$4005,0)),"(tanpa lawan)"))</f>
        <v/>
      </c>
      <c r="R3710" s="44"/>
      <c r="S3710" s="9" t="str">
        <f aca="false">IF(N3710&lt;&gt;"Y","",IF(R3710&lt;&gt;"",R3710,IF(Q3710="(tanpa lawan)","Transfer antar rekening",IFERROR(INDEX(I_COA!$F$6:$F$265,MATCH(Q3710,I_COA!$A$6:$A$265,0)),"?"))))</f>
        <v/>
      </c>
    </row>
    <row r="3711" customFormat="false" ht="15" hidden="false" customHeight="false" outlineLevel="0" collapsed="false">
      <c r="A3711" s="37"/>
      <c r="B3711" s="44"/>
      <c r="C3711" s="44"/>
      <c r="D3711" s="44"/>
      <c r="E3711" s="44"/>
      <c r="F3711" s="44"/>
      <c r="G3711" s="42"/>
      <c r="H3711" s="42"/>
      <c r="I3711" s="44"/>
      <c r="J3711" s="11" t="str">
        <f aca="false">IF(D3711="","",N(G3711)-N(H3711))</f>
        <v/>
      </c>
      <c r="K3711" s="34" t="str">
        <f aca="false">IF(D3711="","",IFERROR(INDEX(I_COA!$C$6:$C$265,MATCH(D3711,I_COA!$A$6:$A$265,0)),"AKUN BARU"))</f>
        <v/>
      </c>
      <c r="L3711" s="34" t="str">
        <f aca="false">IF(K3711="LabaRugi",INDEX(I_COA!$D$6:$D$265,MATCH(D3711,I_COA!$A$6:$A$265,0)),"")</f>
        <v/>
      </c>
      <c r="M3711" s="34" t="str">
        <f aca="false">IF(K3711="Neraca",INDEX(I_COA!$E$6:$E$265,MATCH(D3711,I_COA!$A$6:$A$265,0)),"")</f>
        <v/>
      </c>
      <c r="N3711" s="34" t="str">
        <f aca="false">IF(D3711="","",IFERROR(INDEX(I_COA!$G$6:$G$265,MATCH(D3711,I_COA!$A$6:$A$265,0)),"N"))</f>
        <v/>
      </c>
      <c r="O3711" s="11" t="str">
        <f aca="false">IF(N3711="N",ABS(J3711),"")</f>
        <v/>
      </c>
      <c r="P3711" s="18" t="str">
        <f aca="false">IF(N3711="N",B3711&amp;"|"&amp;ROUND(O3711,0),"")</f>
        <v/>
      </c>
      <c r="Q3711" s="18" t="str">
        <f aca="false">IF(N3711&lt;&gt;"Y","",IFERROR(INDEX($D$6:$D$4005,MATCH(B3711&amp;"|"&amp;ROUND(_xlfn.MAXIFS($O$6:$O$4005,$B$6:$B$4005,B3711,$N$6:$N$4005,"N"),0),$P$6:$P$4005,0)),"(tanpa lawan)"))</f>
        <v/>
      </c>
      <c r="R3711" s="44"/>
      <c r="S3711" s="9" t="str">
        <f aca="false">IF(N3711&lt;&gt;"Y","",IF(R3711&lt;&gt;"",R3711,IF(Q3711="(tanpa lawan)","Transfer antar rekening",IFERROR(INDEX(I_COA!$F$6:$F$265,MATCH(Q3711,I_COA!$A$6:$A$265,0)),"?"))))</f>
        <v/>
      </c>
    </row>
    <row r="3712" customFormat="false" ht="15" hidden="false" customHeight="false" outlineLevel="0" collapsed="false">
      <c r="A3712" s="37"/>
      <c r="B3712" s="44"/>
      <c r="C3712" s="44"/>
      <c r="D3712" s="44"/>
      <c r="E3712" s="44"/>
      <c r="F3712" s="44"/>
      <c r="G3712" s="42"/>
      <c r="H3712" s="42"/>
      <c r="I3712" s="44"/>
      <c r="J3712" s="11" t="str">
        <f aca="false">IF(D3712="","",N(G3712)-N(H3712))</f>
        <v/>
      </c>
      <c r="K3712" s="34" t="str">
        <f aca="false">IF(D3712="","",IFERROR(INDEX(I_COA!$C$6:$C$265,MATCH(D3712,I_COA!$A$6:$A$265,0)),"AKUN BARU"))</f>
        <v/>
      </c>
      <c r="L3712" s="34" t="str">
        <f aca="false">IF(K3712="LabaRugi",INDEX(I_COA!$D$6:$D$265,MATCH(D3712,I_COA!$A$6:$A$265,0)),"")</f>
        <v/>
      </c>
      <c r="M3712" s="34" t="str">
        <f aca="false">IF(K3712="Neraca",INDEX(I_COA!$E$6:$E$265,MATCH(D3712,I_COA!$A$6:$A$265,0)),"")</f>
        <v/>
      </c>
      <c r="N3712" s="34" t="str">
        <f aca="false">IF(D3712="","",IFERROR(INDEX(I_COA!$G$6:$G$265,MATCH(D3712,I_COA!$A$6:$A$265,0)),"N"))</f>
        <v/>
      </c>
      <c r="O3712" s="11" t="str">
        <f aca="false">IF(N3712="N",ABS(J3712),"")</f>
        <v/>
      </c>
      <c r="P3712" s="18" t="str">
        <f aca="false">IF(N3712="N",B3712&amp;"|"&amp;ROUND(O3712,0),"")</f>
        <v/>
      </c>
      <c r="Q3712" s="18" t="str">
        <f aca="false">IF(N3712&lt;&gt;"Y","",IFERROR(INDEX($D$6:$D$4005,MATCH(B3712&amp;"|"&amp;ROUND(_xlfn.MAXIFS($O$6:$O$4005,$B$6:$B$4005,B3712,$N$6:$N$4005,"N"),0),$P$6:$P$4005,0)),"(tanpa lawan)"))</f>
        <v/>
      </c>
      <c r="R3712" s="44"/>
      <c r="S3712" s="9" t="str">
        <f aca="false">IF(N3712&lt;&gt;"Y","",IF(R3712&lt;&gt;"",R3712,IF(Q3712="(tanpa lawan)","Transfer antar rekening",IFERROR(INDEX(I_COA!$F$6:$F$265,MATCH(Q3712,I_COA!$A$6:$A$265,0)),"?"))))</f>
        <v/>
      </c>
    </row>
    <row r="3713" customFormat="false" ht="15" hidden="false" customHeight="false" outlineLevel="0" collapsed="false">
      <c r="A3713" s="37"/>
      <c r="B3713" s="44"/>
      <c r="C3713" s="44"/>
      <c r="D3713" s="44"/>
      <c r="E3713" s="44"/>
      <c r="F3713" s="44"/>
      <c r="G3713" s="42"/>
      <c r="H3713" s="42"/>
      <c r="I3713" s="44"/>
      <c r="J3713" s="11" t="str">
        <f aca="false">IF(D3713="","",N(G3713)-N(H3713))</f>
        <v/>
      </c>
      <c r="K3713" s="34" t="str">
        <f aca="false">IF(D3713="","",IFERROR(INDEX(I_COA!$C$6:$C$265,MATCH(D3713,I_COA!$A$6:$A$265,0)),"AKUN BARU"))</f>
        <v/>
      </c>
      <c r="L3713" s="34" t="str">
        <f aca="false">IF(K3713="LabaRugi",INDEX(I_COA!$D$6:$D$265,MATCH(D3713,I_COA!$A$6:$A$265,0)),"")</f>
        <v/>
      </c>
      <c r="M3713" s="34" t="str">
        <f aca="false">IF(K3713="Neraca",INDEX(I_COA!$E$6:$E$265,MATCH(D3713,I_COA!$A$6:$A$265,0)),"")</f>
        <v/>
      </c>
      <c r="N3713" s="34" t="str">
        <f aca="false">IF(D3713="","",IFERROR(INDEX(I_COA!$G$6:$G$265,MATCH(D3713,I_COA!$A$6:$A$265,0)),"N"))</f>
        <v/>
      </c>
      <c r="O3713" s="11" t="str">
        <f aca="false">IF(N3713="N",ABS(J3713),"")</f>
        <v/>
      </c>
      <c r="P3713" s="18" t="str">
        <f aca="false">IF(N3713="N",B3713&amp;"|"&amp;ROUND(O3713,0),"")</f>
        <v/>
      </c>
      <c r="Q3713" s="18" t="str">
        <f aca="false">IF(N3713&lt;&gt;"Y","",IFERROR(INDEX($D$6:$D$4005,MATCH(B3713&amp;"|"&amp;ROUND(_xlfn.MAXIFS($O$6:$O$4005,$B$6:$B$4005,B3713,$N$6:$N$4005,"N"),0),$P$6:$P$4005,0)),"(tanpa lawan)"))</f>
        <v/>
      </c>
      <c r="R3713" s="44"/>
      <c r="S3713" s="9" t="str">
        <f aca="false">IF(N3713&lt;&gt;"Y","",IF(R3713&lt;&gt;"",R3713,IF(Q3713="(tanpa lawan)","Transfer antar rekening",IFERROR(INDEX(I_COA!$F$6:$F$265,MATCH(Q3713,I_COA!$A$6:$A$265,0)),"?"))))</f>
        <v/>
      </c>
    </row>
    <row r="3714" customFormat="false" ht="15" hidden="false" customHeight="false" outlineLevel="0" collapsed="false">
      <c r="A3714" s="37"/>
      <c r="B3714" s="44"/>
      <c r="C3714" s="44"/>
      <c r="D3714" s="44"/>
      <c r="E3714" s="44"/>
      <c r="F3714" s="44"/>
      <c r="G3714" s="42"/>
      <c r="H3714" s="42"/>
      <c r="I3714" s="44"/>
      <c r="J3714" s="11" t="str">
        <f aca="false">IF(D3714="","",N(G3714)-N(H3714))</f>
        <v/>
      </c>
      <c r="K3714" s="34" t="str">
        <f aca="false">IF(D3714="","",IFERROR(INDEX(I_COA!$C$6:$C$265,MATCH(D3714,I_COA!$A$6:$A$265,0)),"AKUN BARU"))</f>
        <v/>
      </c>
      <c r="L3714" s="34" t="str">
        <f aca="false">IF(K3714="LabaRugi",INDEX(I_COA!$D$6:$D$265,MATCH(D3714,I_COA!$A$6:$A$265,0)),"")</f>
        <v/>
      </c>
      <c r="M3714" s="34" t="str">
        <f aca="false">IF(K3714="Neraca",INDEX(I_COA!$E$6:$E$265,MATCH(D3714,I_COA!$A$6:$A$265,0)),"")</f>
        <v/>
      </c>
      <c r="N3714" s="34" t="str">
        <f aca="false">IF(D3714="","",IFERROR(INDEX(I_COA!$G$6:$G$265,MATCH(D3714,I_COA!$A$6:$A$265,0)),"N"))</f>
        <v/>
      </c>
      <c r="O3714" s="11" t="str">
        <f aca="false">IF(N3714="N",ABS(J3714),"")</f>
        <v/>
      </c>
      <c r="P3714" s="18" t="str">
        <f aca="false">IF(N3714="N",B3714&amp;"|"&amp;ROUND(O3714,0),"")</f>
        <v/>
      </c>
      <c r="Q3714" s="18" t="str">
        <f aca="false">IF(N3714&lt;&gt;"Y","",IFERROR(INDEX($D$6:$D$4005,MATCH(B3714&amp;"|"&amp;ROUND(_xlfn.MAXIFS($O$6:$O$4005,$B$6:$B$4005,B3714,$N$6:$N$4005,"N"),0),$P$6:$P$4005,0)),"(tanpa lawan)"))</f>
        <v/>
      </c>
      <c r="R3714" s="44"/>
      <c r="S3714" s="9" t="str">
        <f aca="false">IF(N3714&lt;&gt;"Y","",IF(R3714&lt;&gt;"",R3714,IF(Q3714="(tanpa lawan)","Transfer antar rekening",IFERROR(INDEX(I_COA!$F$6:$F$265,MATCH(Q3714,I_COA!$A$6:$A$265,0)),"?"))))</f>
        <v/>
      </c>
    </row>
    <row r="3715" customFormat="false" ht="15" hidden="false" customHeight="false" outlineLevel="0" collapsed="false">
      <c r="A3715" s="37"/>
      <c r="B3715" s="44"/>
      <c r="C3715" s="44"/>
      <c r="D3715" s="44"/>
      <c r="E3715" s="44"/>
      <c r="F3715" s="44"/>
      <c r="G3715" s="42"/>
      <c r="H3715" s="42"/>
      <c r="I3715" s="44"/>
      <c r="J3715" s="11" t="str">
        <f aca="false">IF(D3715="","",N(G3715)-N(H3715))</f>
        <v/>
      </c>
      <c r="K3715" s="34" t="str">
        <f aca="false">IF(D3715="","",IFERROR(INDEX(I_COA!$C$6:$C$265,MATCH(D3715,I_COA!$A$6:$A$265,0)),"AKUN BARU"))</f>
        <v/>
      </c>
      <c r="L3715" s="34" t="str">
        <f aca="false">IF(K3715="LabaRugi",INDEX(I_COA!$D$6:$D$265,MATCH(D3715,I_COA!$A$6:$A$265,0)),"")</f>
        <v/>
      </c>
      <c r="M3715" s="34" t="str">
        <f aca="false">IF(K3715="Neraca",INDEX(I_COA!$E$6:$E$265,MATCH(D3715,I_COA!$A$6:$A$265,0)),"")</f>
        <v/>
      </c>
      <c r="N3715" s="34" t="str">
        <f aca="false">IF(D3715="","",IFERROR(INDEX(I_COA!$G$6:$G$265,MATCH(D3715,I_COA!$A$6:$A$265,0)),"N"))</f>
        <v/>
      </c>
      <c r="O3715" s="11" t="str">
        <f aca="false">IF(N3715="N",ABS(J3715),"")</f>
        <v/>
      </c>
      <c r="P3715" s="18" t="str">
        <f aca="false">IF(N3715="N",B3715&amp;"|"&amp;ROUND(O3715,0),"")</f>
        <v/>
      </c>
      <c r="Q3715" s="18" t="str">
        <f aca="false">IF(N3715&lt;&gt;"Y","",IFERROR(INDEX($D$6:$D$4005,MATCH(B3715&amp;"|"&amp;ROUND(_xlfn.MAXIFS($O$6:$O$4005,$B$6:$B$4005,B3715,$N$6:$N$4005,"N"),0),$P$6:$P$4005,0)),"(tanpa lawan)"))</f>
        <v/>
      </c>
      <c r="R3715" s="44"/>
      <c r="S3715" s="9" t="str">
        <f aca="false">IF(N3715&lt;&gt;"Y","",IF(R3715&lt;&gt;"",R3715,IF(Q3715="(tanpa lawan)","Transfer antar rekening",IFERROR(INDEX(I_COA!$F$6:$F$265,MATCH(Q3715,I_COA!$A$6:$A$265,0)),"?"))))</f>
        <v/>
      </c>
    </row>
    <row r="3716" customFormat="false" ht="15" hidden="false" customHeight="false" outlineLevel="0" collapsed="false">
      <c r="A3716" s="37"/>
      <c r="B3716" s="44"/>
      <c r="C3716" s="44"/>
      <c r="D3716" s="44"/>
      <c r="E3716" s="44"/>
      <c r="F3716" s="44"/>
      <c r="G3716" s="42"/>
      <c r="H3716" s="42"/>
      <c r="I3716" s="44"/>
      <c r="J3716" s="11" t="str">
        <f aca="false">IF(D3716="","",N(G3716)-N(H3716))</f>
        <v/>
      </c>
      <c r="K3716" s="34" t="str">
        <f aca="false">IF(D3716="","",IFERROR(INDEX(I_COA!$C$6:$C$265,MATCH(D3716,I_COA!$A$6:$A$265,0)),"AKUN BARU"))</f>
        <v/>
      </c>
      <c r="L3716" s="34" t="str">
        <f aca="false">IF(K3716="LabaRugi",INDEX(I_COA!$D$6:$D$265,MATCH(D3716,I_COA!$A$6:$A$265,0)),"")</f>
        <v/>
      </c>
      <c r="M3716" s="34" t="str">
        <f aca="false">IF(K3716="Neraca",INDEX(I_COA!$E$6:$E$265,MATCH(D3716,I_COA!$A$6:$A$265,0)),"")</f>
        <v/>
      </c>
      <c r="N3716" s="34" t="str">
        <f aca="false">IF(D3716="","",IFERROR(INDEX(I_COA!$G$6:$G$265,MATCH(D3716,I_COA!$A$6:$A$265,0)),"N"))</f>
        <v/>
      </c>
      <c r="O3716" s="11" t="str">
        <f aca="false">IF(N3716="N",ABS(J3716),"")</f>
        <v/>
      </c>
      <c r="P3716" s="18" t="str">
        <f aca="false">IF(N3716="N",B3716&amp;"|"&amp;ROUND(O3716,0),"")</f>
        <v/>
      </c>
      <c r="Q3716" s="18" t="str">
        <f aca="false">IF(N3716&lt;&gt;"Y","",IFERROR(INDEX($D$6:$D$4005,MATCH(B3716&amp;"|"&amp;ROUND(_xlfn.MAXIFS($O$6:$O$4005,$B$6:$B$4005,B3716,$N$6:$N$4005,"N"),0),$P$6:$P$4005,0)),"(tanpa lawan)"))</f>
        <v/>
      </c>
      <c r="R3716" s="44"/>
      <c r="S3716" s="9" t="str">
        <f aca="false">IF(N3716&lt;&gt;"Y","",IF(R3716&lt;&gt;"",R3716,IF(Q3716="(tanpa lawan)","Transfer antar rekening",IFERROR(INDEX(I_COA!$F$6:$F$265,MATCH(Q3716,I_COA!$A$6:$A$265,0)),"?"))))</f>
        <v/>
      </c>
    </row>
    <row r="3717" customFormat="false" ht="15" hidden="false" customHeight="false" outlineLevel="0" collapsed="false">
      <c r="A3717" s="37"/>
      <c r="B3717" s="44"/>
      <c r="C3717" s="44"/>
      <c r="D3717" s="44"/>
      <c r="E3717" s="44"/>
      <c r="F3717" s="44"/>
      <c r="G3717" s="42"/>
      <c r="H3717" s="42"/>
      <c r="I3717" s="44"/>
      <c r="J3717" s="11" t="str">
        <f aca="false">IF(D3717="","",N(G3717)-N(H3717))</f>
        <v/>
      </c>
      <c r="K3717" s="34" t="str">
        <f aca="false">IF(D3717="","",IFERROR(INDEX(I_COA!$C$6:$C$265,MATCH(D3717,I_COA!$A$6:$A$265,0)),"AKUN BARU"))</f>
        <v/>
      </c>
      <c r="L3717" s="34" t="str">
        <f aca="false">IF(K3717="LabaRugi",INDEX(I_COA!$D$6:$D$265,MATCH(D3717,I_COA!$A$6:$A$265,0)),"")</f>
        <v/>
      </c>
      <c r="M3717" s="34" t="str">
        <f aca="false">IF(K3717="Neraca",INDEX(I_COA!$E$6:$E$265,MATCH(D3717,I_COA!$A$6:$A$265,0)),"")</f>
        <v/>
      </c>
      <c r="N3717" s="34" t="str">
        <f aca="false">IF(D3717="","",IFERROR(INDEX(I_COA!$G$6:$G$265,MATCH(D3717,I_COA!$A$6:$A$265,0)),"N"))</f>
        <v/>
      </c>
      <c r="O3717" s="11" t="str">
        <f aca="false">IF(N3717="N",ABS(J3717),"")</f>
        <v/>
      </c>
      <c r="P3717" s="18" t="str">
        <f aca="false">IF(N3717="N",B3717&amp;"|"&amp;ROUND(O3717,0),"")</f>
        <v/>
      </c>
      <c r="Q3717" s="18" t="str">
        <f aca="false">IF(N3717&lt;&gt;"Y","",IFERROR(INDEX($D$6:$D$4005,MATCH(B3717&amp;"|"&amp;ROUND(_xlfn.MAXIFS($O$6:$O$4005,$B$6:$B$4005,B3717,$N$6:$N$4005,"N"),0),$P$6:$P$4005,0)),"(tanpa lawan)"))</f>
        <v/>
      </c>
      <c r="R3717" s="44"/>
      <c r="S3717" s="9" t="str">
        <f aca="false">IF(N3717&lt;&gt;"Y","",IF(R3717&lt;&gt;"",R3717,IF(Q3717="(tanpa lawan)","Transfer antar rekening",IFERROR(INDEX(I_COA!$F$6:$F$265,MATCH(Q3717,I_COA!$A$6:$A$265,0)),"?"))))</f>
        <v/>
      </c>
    </row>
    <row r="3718" customFormat="false" ht="15" hidden="false" customHeight="false" outlineLevel="0" collapsed="false">
      <c r="A3718" s="37"/>
      <c r="B3718" s="44"/>
      <c r="C3718" s="44"/>
      <c r="D3718" s="44"/>
      <c r="E3718" s="44"/>
      <c r="F3718" s="44"/>
      <c r="G3718" s="42"/>
      <c r="H3718" s="42"/>
      <c r="I3718" s="44"/>
      <c r="J3718" s="11" t="str">
        <f aca="false">IF(D3718="","",N(G3718)-N(H3718))</f>
        <v/>
      </c>
      <c r="K3718" s="34" t="str">
        <f aca="false">IF(D3718="","",IFERROR(INDEX(I_COA!$C$6:$C$265,MATCH(D3718,I_COA!$A$6:$A$265,0)),"AKUN BARU"))</f>
        <v/>
      </c>
      <c r="L3718" s="34" t="str">
        <f aca="false">IF(K3718="LabaRugi",INDEX(I_COA!$D$6:$D$265,MATCH(D3718,I_COA!$A$6:$A$265,0)),"")</f>
        <v/>
      </c>
      <c r="M3718" s="34" t="str">
        <f aca="false">IF(K3718="Neraca",INDEX(I_COA!$E$6:$E$265,MATCH(D3718,I_COA!$A$6:$A$265,0)),"")</f>
        <v/>
      </c>
      <c r="N3718" s="34" t="str">
        <f aca="false">IF(D3718="","",IFERROR(INDEX(I_COA!$G$6:$G$265,MATCH(D3718,I_COA!$A$6:$A$265,0)),"N"))</f>
        <v/>
      </c>
      <c r="O3718" s="11" t="str">
        <f aca="false">IF(N3718="N",ABS(J3718),"")</f>
        <v/>
      </c>
      <c r="P3718" s="18" t="str">
        <f aca="false">IF(N3718="N",B3718&amp;"|"&amp;ROUND(O3718,0),"")</f>
        <v/>
      </c>
      <c r="Q3718" s="18" t="str">
        <f aca="false">IF(N3718&lt;&gt;"Y","",IFERROR(INDEX($D$6:$D$4005,MATCH(B3718&amp;"|"&amp;ROUND(_xlfn.MAXIFS($O$6:$O$4005,$B$6:$B$4005,B3718,$N$6:$N$4005,"N"),0),$P$6:$P$4005,0)),"(tanpa lawan)"))</f>
        <v/>
      </c>
      <c r="R3718" s="44"/>
      <c r="S3718" s="9" t="str">
        <f aca="false">IF(N3718&lt;&gt;"Y","",IF(R3718&lt;&gt;"",R3718,IF(Q3718="(tanpa lawan)","Transfer antar rekening",IFERROR(INDEX(I_COA!$F$6:$F$265,MATCH(Q3718,I_COA!$A$6:$A$265,0)),"?"))))</f>
        <v/>
      </c>
    </row>
    <row r="3719" customFormat="false" ht="15" hidden="false" customHeight="false" outlineLevel="0" collapsed="false">
      <c r="A3719" s="37"/>
      <c r="B3719" s="44"/>
      <c r="C3719" s="44"/>
      <c r="D3719" s="44"/>
      <c r="E3719" s="44"/>
      <c r="F3719" s="44"/>
      <c r="G3719" s="42"/>
      <c r="H3719" s="42"/>
      <c r="I3719" s="44"/>
      <c r="J3719" s="11" t="str">
        <f aca="false">IF(D3719="","",N(G3719)-N(H3719))</f>
        <v/>
      </c>
      <c r="K3719" s="34" t="str">
        <f aca="false">IF(D3719="","",IFERROR(INDEX(I_COA!$C$6:$C$265,MATCH(D3719,I_COA!$A$6:$A$265,0)),"AKUN BARU"))</f>
        <v/>
      </c>
      <c r="L3719" s="34" t="str">
        <f aca="false">IF(K3719="LabaRugi",INDEX(I_COA!$D$6:$D$265,MATCH(D3719,I_COA!$A$6:$A$265,0)),"")</f>
        <v/>
      </c>
      <c r="M3719" s="34" t="str">
        <f aca="false">IF(K3719="Neraca",INDEX(I_COA!$E$6:$E$265,MATCH(D3719,I_COA!$A$6:$A$265,0)),"")</f>
        <v/>
      </c>
      <c r="N3719" s="34" t="str">
        <f aca="false">IF(D3719="","",IFERROR(INDEX(I_COA!$G$6:$G$265,MATCH(D3719,I_COA!$A$6:$A$265,0)),"N"))</f>
        <v/>
      </c>
      <c r="O3719" s="11" t="str">
        <f aca="false">IF(N3719="N",ABS(J3719),"")</f>
        <v/>
      </c>
      <c r="P3719" s="18" t="str">
        <f aca="false">IF(N3719="N",B3719&amp;"|"&amp;ROUND(O3719,0),"")</f>
        <v/>
      </c>
      <c r="Q3719" s="18" t="str">
        <f aca="false">IF(N3719&lt;&gt;"Y","",IFERROR(INDEX($D$6:$D$4005,MATCH(B3719&amp;"|"&amp;ROUND(_xlfn.MAXIFS($O$6:$O$4005,$B$6:$B$4005,B3719,$N$6:$N$4005,"N"),0),$P$6:$P$4005,0)),"(tanpa lawan)"))</f>
        <v/>
      </c>
      <c r="R3719" s="44"/>
      <c r="S3719" s="9" t="str">
        <f aca="false">IF(N3719&lt;&gt;"Y","",IF(R3719&lt;&gt;"",R3719,IF(Q3719="(tanpa lawan)","Transfer antar rekening",IFERROR(INDEX(I_COA!$F$6:$F$265,MATCH(Q3719,I_COA!$A$6:$A$265,0)),"?"))))</f>
        <v/>
      </c>
    </row>
    <row r="3720" customFormat="false" ht="15" hidden="false" customHeight="false" outlineLevel="0" collapsed="false">
      <c r="A3720" s="37"/>
      <c r="B3720" s="44"/>
      <c r="C3720" s="44"/>
      <c r="D3720" s="44"/>
      <c r="E3720" s="44"/>
      <c r="F3720" s="44"/>
      <c r="G3720" s="42"/>
      <c r="H3720" s="42"/>
      <c r="I3720" s="44"/>
      <c r="J3720" s="11" t="str">
        <f aca="false">IF(D3720="","",N(G3720)-N(H3720))</f>
        <v/>
      </c>
      <c r="K3720" s="34" t="str">
        <f aca="false">IF(D3720="","",IFERROR(INDEX(I_COA!$C$6:$C$265,MATCH(D3720,I_COA!$A$6:$A$265,0)),"AKUN BARU"))</f>
        <v/>
      </c>
      <c r="L3720" s="34" t="str">
        <f aca="false">IF(K3720="LabaRugi",INDEX(I_COA!$D$6:$D$265,MATCH(D3720,I_COA!$A$6:$A$265,0)),"")</f>
        <v/>
      </c>
      <c r="M3720" s="34" t="str">
        <f aca="false">IF(K3720="Neraca",INDEX(I_COA!$E$6:$E$265,MATCH(D3720,I_COA!$A$6:$A$265,0)),"")</f>
        <v/>
      </c>
      <c r="N3720" s="34" t="str">
        <f aca="false">IF(D3720="","",IFERROR(INDEX(I_COA!$G$6:$G$265,MATCH(D3720,I_COA!$A$6:$A$265,0)),"N"))</f>
        <v/>
      </c>
      <c r="O3720" s="11" t="str">
        <f aca="false">IF(N3720="N",ABS(J3720),"")</f>
        <v/>
      </c>
      <c r="P3720" s="18" t="str">
        <f aca="false">IF(N3720="N",B3720&amp;"|"&amp;ROUND(O3720,0),"")</f>
        <v/>
      </c>
      <c r="Q3720" s="18" t="str">
        <f aca="false">IF(N3720&lt;&gt;"Y","",IFERROR(INDEX($D$6:$D$4005,MATCH(B3720&amp;"|"&amp;ROUND(_xlfn.MAXIFS($O$6:$O$4005,$B$6:$B$4005,B3720,$N$6:$N$4005,"N"),0),$P$6:$P$4005,0)),"(tanpa lawan)"))</f>
        <v/>
      </c>
      <c r="R3720" s="44"/>
      <c r="S3720" s="9" t="str">
        <f aca="false">IF(N3720&lt;&gt;"Y","",IF(R3720&lt;&gt;"",R3720,IF(Q3720="(tanpa lawan)","Transfer antar rekening",IFERROR(INDEX(I_COA!$F$6:$F$265,MATCH(Q3720,I_COA!$A$6:$A$265,0)),"?"))))</f>
        <v/>
      </c>
    </row>
    <row r="3721" customFormat="false" ht="15" hidden="false" customHeight="false" outlineLevel="0" collapsed="false">
      <c r="A3721" s="37"/>
      <c r="B3721" s="44"/>
      <c r="C3721" s="44"/>
      <c r="D3721" s="44"/>
      <c r="E3721" s="44"/>
      <c r="F3721" s="44"/>
      <c r="G3721" s="42"/>
      <c r="H3721" s="42"/>
      <c r="I3721" s="44"/>
      <c r="J3721" s="11" t="str">
        <f aca="false">IF(D3721="","",N(G3721)-N(H3721))</f>
        <v/>
      </c>
      <c r="K3721" s="34" t="str">
        <f aca="false">IF(D3721="","",IFERROR(INDEX(I_COA!$C$6:$C$265,MATCH(D3721,I_COA!$A$6:$A$265,0)),"AKUN BARU"))</f>
        <v/>
      </c>
      <c r="L3721" s="34" t="str">
        <f aca="false">IF(K3721="LabaRugi",INDEX(I_COA!$D$6:$D$265,MATCH(D3721,I_COA!$A$6:$A$265,0)),"")</f>
        <v/>
      </c>
      <c r="M3721" s="34" t="str">
        <f aca="false">IF(K3721="Neraca",INDEX(I_COA!$E$6:$E$265,MATCH(D3721,I_COA!$A$6:$A$265,0)),"")</f>
        <v/>
      </c>
      <c r="N3721" s="34" t="str">
        <f aca="false">IF(D3721="","",IFERROR(INDEX(I_COA!$G$6:$G$265,MATCH(D3721,I_COA!$A$6:$A$265,0)),"N"))</f>
        <v/>
      </c>
      <c r="O3721" s="11" t="str">
        <f aca="false">IF(N3721="N",ABS(J3721),"")</f>
        <v/>
      </c>
      <c r="P3721" s="18" t="str">
        <f aca="false">IF(N3721="N",B3721&amp;"|"&amp;ROUND(O3721,0),"")</f>
        <v/>
      </c>
      <c r="Q3721" s="18" t="str">
        <f aca="false">IF(N3721&lt;&gt;"Y","",IFERROR(INDEX($D$6:$D$4005,MATCH(B3721&amp;"|"&amp;ROUND(_xlfn.MAXIFS($O$6:$O$4005,$B$6:$B$4005,B3721,$N$6:$N$4005,"N"),0),$P$6:$P$4005,0)),"(tanpa lawan)"))</f>
        <v/>
      </c>
      <c r="R3721" s="44"/>
      <c r="S3721" s="9" t="str">
        <f aca="false">IF(N3721&lt;&gt;"Y","",IF(R3721&lt;&gt;"",R3721,IF(Q3721="(tanpa lawan)","Transfer antar rekening",IFERROR(INDEX(I_COA!$F$6:$F$265,MATCH(Q3721,I_COA!$A$6:$A$265,0)),"?"))))</f>
        <v/>
      </c>
    </row>
    <row r="3722" customFormat="false" ht="15" hidden="false" customHeight="false" outlineLevel="0" collapsed="false">
      <c r="A3722" s="37"/>
      <c r="B3722" s="44"/>
      <c r="C3722" s="44"/>
      <c r="D3722" s="44"/>
      <c r="E3722" s="44"/>
      <c r="F3722" s="44"/>
      <c r="G3722" s="42"/>
      <c r="H3722" s="42"/>
      <c r="I3722" s="44"/>
      <c r="J3722" s="11" t="str">
        <f aca="false">IF(D3722="","",N(G3722)-N(H3722))</f>
        <v/>
      </c>
      <c r="K3722" s="34" t="str">
        <f aca="false">IF(D3722="","",IFERROR(INDEX(I_COA!$C$6:$C$265,MATCH(D3722,I_COA!$A$6:$A$265,0)),"AKUN BARU"))</f>
        <v/>
      </c>
      <c r="L3722" s="34" t="str">
        <f aca="false">IF(K3722="LabaRugi",INDEX(I_COA!$D$6:$D$265,MATCH(D3722,I_COA!$A$6:$A$265,0)),"")</f>
        <v/>
      </c>
      <c r="M3722" s="34" t="str">
        <f aca="false">IF(K3722="Neraca",INDEX(I_COA!$E$6:$E$265,MATCH(D3722,I_COA!$A$6:$A$265,0)),"")</f>
        <v/>
      </c>
      <c r="N3722" s="34" t="str">
        <f aca="false">IF(D3722="","",IFERROR(INDEX(I_COA!$G$6:$G$265,MATCH(D3722,I_COA!$A$6:$A$265,0)),"N"))</f>
        <v/>
      </c>
      <c r="O3722" s="11" t="str">
        <f aca="false">IF(N3722="N",ABS(J3722),"")</f>
        <v/>
      </c>
      <c r="P3722" s="18" t="str">
        <f aca="false">IF(N3722="N",B3722&amp;"|"&amp;ROUND(O3722,0),"")</f>
        <v/>
      </c>
      <c r="Q3722" s="18" t="str">
        <f aca="false">IF(N3722&lt;&gt;"Y","",IFERROR(INDEX($D$6:$D$4005,MATCH(B3722&amp;"|"&amp;ROUND(_xlfn.MAXIFS($O$6:$O$4005,$B$6:$B$4005,B3722,$N$6:$N$4005,"N"),0),$P$6:$P$4005,0)),"(tanpa lawan)"))</f>
        <v/>
      </c>
      <c r="R3722" s="44"/>
      <c r="S3722" s="9" t="str">
        <f aca="false">IF(N3722&lt;&gt;"Y","",IF(R3722&lt;&gt;"",R3722,IF(Q3722="(tanpa lawan)","Transfer antar rekening",IFERROR(INDEX(I_COA!$F$6:$F$265,MATCH(Q3722,I_COA!$A$6:$A$265,0)),"?"))))</f>
        <v/>
      </c>
    </row>
    <row r="3723" customFormat="false" ht="15" hidden="false" customHeight="false" outlineLevel="0" collapsed="false">
      <c r="A3723" s="37"/>
      <c r="B3723" s="44"/>
      <c r="C3723" s="44"/>
      <c r="D3723" s="44"/>
      <c r="E3723" s="44"/>
      <c r="F3723" s="44"/>
      <c r="G3723" s="42"/>
      <c r="H3723" s="42"/>
      <c r="I3723" s="44"/>
      <c r="J3723" s="11" t="str">
        <f aca="false">IF(D3723="","",N(G3723)-N(H3723))</f>
        <v/>
      </c>
      <c r="K3723" s="34" t="str">
        <f aca="false">IF(D3723="","",IFERROR(INDEX(I_COA!$C$6:$C$265,MATCH(D3723,I_COA!$A$6:$A$265,0)),"AKUN BARU"))</f>
        <v/>
      </c>
      <c r="L3723" s="34" t="str">
        <f aca="false">IF(K3723="LabaRugi",INDEX(I_COA!$D$6:$D$265,MATCH(D3723,I_COA!$A$6:$A$265,0)),"")</f>
        <v/>
      </c>
      <c r="M3723" s="34" t="str">
        <f aca="false">IF(K3723="Neraca",INDEX(I_COA!$E$6:$E$265,MATCH(D3723,I_COA!$A$6:$A$265,0)),"")</f>
        <v/>
      </c>
      <c r="N3723" s="34" t="str">
        <f aca="false">IF(D3723="","",IFERROR(INDEX(I_COA!$G$6:$G$265,MATCH(D3723,I_COA!$A$6:$A$265,0)),"N"))</f>
        <v/>
      </c>
      <c r="O3723" s="11" t="str">
        <f aca="false">IF(N3723="N",ABS(J3723),"")</f>
        <v/>
      </c>
      <c r="P3723" s="18" t="str">
        <f aca="false">IF(N3723="N",B3723&amp;"|"&amp;ROUND(O3723,0),"")</f>
        <v/>
      </c>
      <c r="Q3723" s="18" t="str">
        <f aca="false">IF(N3723&lt;&gt;"Y","",IFERROR(INDEX($D$6:$D$4005,MATCH(B3723&amp;"|"&amp;ROUND(_xlfn.MAXIFS($O$6:$O$4005,$B$6:$B$4005,B3723,$N$6:$N$4005,"N"),0),$P$6:$P$4005,0)),"(tanpa lawan)"))</f>
        <v/>
      </c>
      <c r="R3723" s="44"/>
      <c r="S3723" s="9" t="str">
        <f aca="false">IF(N3723&lt;&gt;"Y","",IF(R3723&lt;&gt;"",R3723,IF(Q3723="(tanpa lawan)","Transfer antar rekening",IFERROR(INDEX(I_COA!$F$6:$F$265,MATCH(Q3723,I_COA!$A$6:$A$265,0)),"?"))))</f>
        <v/>
      </c>
    </row>
    <row r="3724" customFormat="false" ht="15" hidden="false" customHeight="false" outlineLevel="0" collapsed="false">
      <c r="A3724" s="37"/>
      <c r="B3724" s="44"/>
      <c r="C3724" s="44"/>
      <c r="D3724" s="44"/>
      <c r="E3724" s="44"/>
      <c r="F3724" s="44"/>
      <c r="G3724" s="42"/>
      <c r="H3724" s="42"/>
      <c r="I3724" s="44"/>
      <c r="J3724" s="11" t="str">
        <f aca="false">IF(D3724="","",N(G3724)-N(H3724))</f>
        <v/>
      </c>
      <c r="K3724" s="34" t="str">
        <f aca="false">IF(D3724="","",IFERROR(INDEX(I_COA!$C$6:$C$265,MATCH(D3724,I_COA!$A$6:$A$265,0)),"AKUN BARU"))</f>
        <v/>
      </c>
      <c r="L3724" s="34" t="str">
        <f aca="false">IF(K3724="LabaRugi",INDEX(I_COA!$D$6:$D$265,MATCH(D3724,I_COA!$A$6:$A$265,0)),"")</f>
        <v/>
      </c>
      <c r="M3724" s="34" t="str">
        <f aca="false">IF(K3724="Neraca",INDEX(I_COA!$E$6:$E$265,MATCH(D3724,I_COA!$A$6:$A$265,0)),"")</f>
        <v/>
      </c>
      <c r="N3724" s="34" t="str">
        <f aca="false">IF(D3724="","",IFERROR(INDEX(I_COA!$G$6:$G$265,MATCH(D3724,I_COA!$A$6:$A$265,0)),"N"))</f>
        <v/>
      </c>
      <c r="O3724" s="11" t="str">
        <f aca="false">IF(N3724="N",ABS(J3724),"")</f>
        <v/>
      </c>
      <c r="P3724" s="18" t="str">
        <f aca="false">IF(N3724="N",B3724&amp;"|"&amp;ROUND(O3724,0),"")</f>
        <v/>
      </c>
      <c r="Q3724" s="18" t="str">
        <f aca="false">IF(N3724&lt;&gt;"Y","",IFERROR(INDEX($D$6:$D$4005,MATCH(B3724&amp;"|"&amp;ROUND(_xlfn.MAXIFS($O$6:$O$4005,$B$6:$B$4005,B3724,$N$6:$N$4005,"N"),0),$P$6:$P$4005,0)),"(tanpa lawan)"))</f>
        <v/>
      </c>
      <c r="R3724" s="44"/>
      <c r="S3724" s="9" t="str">
        <f aca="false">IF(N3724&lt;&gt;"Y","",IF(R3724&lt;&gt;"",R3724,IF(Q3724="(tanpa lawan)","Transfer antar rekening",IFERROR(INDEX(I_COA!$F$6:$F$265,MATCH(Q3724,I_COA!$A$6:$A$265,0)),"?"))))</f>
        <v/>
      </c>
    </row>
    <row r="3725" customFormat="false" ht="15" hidden="false" customHeight="false" outlineLevel="0" collapsed="false">
      <c r="A3725" s="37"/>
      <c r="B3725" s="44"/>
      <c r="C3725" s="44"/>
      <c r="D3725" s="44"/>
      <c r="E3725" s="44"/>
      <c r="F3725" s="44"/>
      <c r="G3725" s="42"/>
      <c r="H3725" s="42"/>
      <c r="I3725" s="44"/>
      <c r="J3725" s="11" t="str">
        <f aca="false">IF(D3725="","",N(G3725)-N(H3725))</f>
        <v/>
      </c>
      <c r="K3725" s="34" t="str">
        <f aca="false">IF(D3725="","",IFERROR(INDEX(I_COA!$C$6:$C$265,MATCH(D3725,I_COA!$A$6:$A$265,0)),"AKUN BARU"))</f>
        <v/>
      </c>
      <c r="L3725" s="34" t="str">
        <f aca="false">IF(K3725="LabaRugi",INDEX(I_COA!$D$6:$D$265,MATCH(D3725,I_COA!$A$6:$A$265,0)),"")</f>
        <v/>
      </c>
      <c r="M3725" s="34" t="str">
        <f aca="false">IF(K3725="Neraca",INDEX(I_COA!$E$6:$E$265,MATCH(D3725,I_COA!$A$6:$A$265,0)),"")</f>
        <v/>
      </c>
      <c r="N3725" s="34" t="str">
        <f aca="false">IF(D3725="","",IFERROR(INDEX(I_COA!$G$6:$G$265,MATCH(D3725,I_COA!$A$6:$A$265,0)),"N"))</f>
        <v/>
      </c>
      <c r="O3725" s="11" t="str">
        <f aca="false">IF(N3725="N",ABS(J3725),"")</f>
        <v/>
      </c>
      <c r="P3725" s="18" t="str">
        <f aca="false">IF(N3725="N",B3725&amp;"|"&amp;ROUND(O3725,0),"")</f>
        <v/>
      </c>
      <c r="Q3725" s="18" t="str">
        <f aca="false">IF(N3725&lt;&gt;"Y","",IFERROR(INDEX($D$6:$D$4005,MATCH(B3725&amp;"|"&amp;ROUND(_xlfn.MAXIFS($O$6:$O$4005,$B$6:$B$4005,B3725,$N$6:$N$4005,"N"),0),$P$6:$P$4005,0)),"(tanpa lawan)"))</f>
        <v/>
      </c>
      <c r="R3725" s="44"/>
      <c r="S3725" s="9" t="str">
        <f aca="false">IF(N3725&lt;&gt;"Y","",IF(R3725&lt;&gt;"",R3725,IF(Q3725="(tanpa lawan)","Transfer antar rekening",IFERROR(INDEX(I_COA!$F$6:$F$265,MATCH(Q3725,I_COA!$A$6:$A$265,0)),"?"))))</f>
        <v/>
      </c>
    </row>
    <row r="3726" customFormat="false" ht="15" hidden="false" customHeight="false" outlineLevel="0" collapsed="false">
      <c r="A3726" s="37"/>
      <c r="B3726" s="44"/>
      <c r="C3726" s="44"/>
      <c r="D3726" s="44"/>
      <c r="E3726" s="44"/>
      <c r="F3726" s="44"/>
      <c r="G3726" s="42"/>
      <c r="H3726" s="42"/>
      <c r="I3726" s="44"/>
      <c r="J3726" s="11" t="str">
        <f aca="false">IF(D3726="","",N(G3726)-N(H3726))</f>
        <v/>
      </c>
      <c r="K3726" s="34" t="str">
        <f aca="false">IF(D3726="","",IFERROR(INDEX(I_COA!$C$6:$C$265,MATCH(D3726,I_COA!$A$6:$A$265,0)),"AKUN BARU"))</f>
        <v/>
      </c>
      <c r="L3726" s="34" t="str">
        <f aca="false">IF(K3726="LabaRugi",INDEX(I_COA!$D$6:$D$265,MATCH(D3726,I_COA!$A$6:$A$265,0)),"")</f>
        <v/>
      </c>
      <c r="M3726" s="34" t="str">
        <f aca="false">IF(K3726="Neraca",INDEX(I_COA!$E$6:$E$265,MATCH(D3726,I_COA!$A$6:$A$265,0)),"")</f>
        <v/>
      </c>
      <c r="N3726" s="34" t="str">
        <f aca="false">IF(D3726="","",IFERROR(INDEX(I_COA!$G$6:$G$265,MATCH(D3726,I_COA!$A$6:$A$265,0)),"N"))</f>
        <v/>
      </c>
      <c r="O3726" s="11" t="str">
        <f aca="false">IF(N3726="N",ABS(J3726),"")</f>
        <v/>
      </c>
      <c r="P3726" s="18" t="str">
        <f aca="false">IF(N3726="N",B3726&amp;"|"&amp;ROUND(O3726,0),"")</f>
        <v/>
      </c>
      <c r="Q3726" s="18" t="str">
        <f aca="false">IF(N3726&lt;&gt;"Y","",IFERROR(INDEX($D$6:$D$4005,MATCH(B3726&amp;"|"&amp;ROUND(_xlfn.MAXIFS($O$6:$O$4005,$B$6:$B$4005,B3726,$N$6:$N$4005,"N"),0),$P$6:$P$4005,0)),"(tanpa lawan)"))</f>
        <v/>
      </c>
      <c r="R3726" s="44"/>
      <c r="S3726" s="9" t="str">
        <f aca="false">IF(N3726&lt;&gt;"Y","",IF(R3726&lt;&gt;"",R3726,IF(Q3726="(tanpa lawan)","Transfer antar rekening",IFERROR(INDEX(I_COA!$F$6:$F$265,MATCH(Q3726,I_COA!$A$6:$A$265,0)),"?"))))</f>
        <v/>
      </c>
    </row>
    <row r="3727" customFormat="false" ht="15" hidden="false" customHeight="false" outlineLevel="0" collapsed="false">
      <c r="A3727" s="37"/>
      <c r="B3727" s="44"/>
      <c r="C3727" s="44"/>
      <c r="D3727" s="44"/>
      <c r="E3727" s="44"/>
      <c r="F3727" s="44"/>
      <c r="G3727" s="42"/>
      <c r="H3727" s="42"/>
      <c r="I3727" s="44"/>
      <c r="J3727" s="11" t="str">
        <f aca="false">IF(D3727="","",N(G3727)-N(H3727))</f>
        <v/>
      </c>
      <c r="K3727" s="34" t="str">
        <f aca="false">IF(D3727="","",IFERROR(INDEX(I_COA!$C$6:$C$265,MATCH(D3727,I_COA!$A$6:$A$265,0)),"AKUN BARU"))</f>
        <v/>
      </c>
      <c r="L3727" s="34" t="str">
        <f aca="false">IF(K3727="LabaRugi",INDEX(I_COA!$D$6:$D$265,MATCH(D3727,I_COA!$A$6:$A$265,0)),"")</f>
        <v/>
      </c>
      <c r="M3727" s="34" t="str">
        <f aca="false">IF(K3727="Neraca",INDEX(I_COA!$E$6:$E$265,MATCH(D3727,I_COA!$A$6:$A$265,0)),"")</f>
        <v/>
      </c>
      <c r="N3727" s="34" t="str">
        <f aca="false">IF(D3727="","",IFERROR(INDEX(I_COA!$G$6:$G$265,MATCH(D3727,I_COA!$A$6:$A$265,0)),"N"))</f>
        <v/>
      </c>
      <c r="O3727" s="11" t="str">
        <f aca="false">IF(N3727="N",ABS(J3727),"")</f>
        <v/>
      </c>
      <c r="P3727" s="18" t="str">
        <f aca="false">IF(N3727="N",B3727&amp;"|"&amp;ROUND(O3727,0),"")</f>
        <v/>
      </c>
      <c r="Q3727" s="18" t="str">
        <f aca="false">IF(N3727&lt;&gt;"Y","",IFERROR(INDEX($D$6:$D$4005,MATCH(B3727&amp;"|"&amp;ROUND(_xlfn.MAXIFS($O$6:$O$4005,$B$6:$B$4005,B3727,$N$6:$N$4005,"N"),0),$P$6:$P$4005,0)),"(tanpa lawan)"))</f>
        <v/>
      </c>
      <c r="R3727" s="44"/>
      <c r="S3727" s="9" t="str">
        <f aca="false">IF(N3727&lt;&gt;"Y","",IF(R3727&lt;&gt;"",R3727,IF(Q3727="(tanpa lawan)","Transfer antar rekening",IFERROR(INDEX(I_COA!$F$6:$F$265,MATCH(Q3727,I_COA!$A$6:$A$265,0)),"?"))))</f>
        <v/>
      </c>
    </row>
    <row r="3728" customFormat="false" ht="15" hidden="false" customHeight="false" outlineLevel="0" collapsed="false">
      <c r="A3728" s="37"/>
      <c r="B3728" s="44"/>
      <c r="C3728" s="44"/>
      <c r="D3728" s="44"/>
      <c r="E3728" s="44"/>
      <c r="F3728" s="44"/>
      <c r="G3728" s="42"/>
      <c r="H3728" s="42"/>
      <c r="I3728" s="44"/>
      <c r="J3728" s="11" t="str">
        <f aca="false">IF(D3728="","",N(G3728)-N(H3728))</f>
        <v/>
      </c>
      <c r="K3728" s="34" t="str">
        <f aca="false">IF(D3728="","",IFERROR(INDEX(I_COA!$C$6:$C$265,MATCH(D3728,I_COA!$A$6:$A$265,0)),"AKUN BARU"))</f>
        <v/>
      </c>
      <c r="L3728" s="34" t="str">
        <f aca="false">IF(K3728="LabaRugi",INDEX(I_COA!$D$6:$D$265,MATCH(D3728,I_COA!$A$6:$A$265,0)),"")</f>
        <v/>
      </c>
      <c r="M3728" s="34" t="str">
        <f aca="false">IF(K3728="Neraca",INDEX(I_COA!$E$6:$E$265,MATCH(D3728,I_COA!$A$6:$A$265,0)),"")</f>
        <v/>
      </c>
      <c r="N3728" s="34" t="str">
        <f aca="false">IF(D3728="","",IFERROR(INDEX(I_COA!$G$6:$G$265,MATCH(D3728,I_COA!$A$6:$A$265,0)),"N"))</f>
        <v/>
      </c>
      <c r="O3728" s="11" t="str">
        <f aca="false">IF(N3728="N",ABS(J3728),"")</f>
        <v/>
      </c>
      <c r="P3728" s="18" t="str">
        <f aca="false">IF(N3728="N",B3728&amp;"|"&amp;ROUND(O3728,0),"")</f>
        <v/>
      </c>
      <c r="Q3728" s="18" t="str">
        <f aca="false">IF(N3728&lt;&gt;"Y","",IFERROR(INDEX($D$6:$D$4005,MATCH(B3728&amp;"|"&amp;ROUND(_xlfn.MAXIFS($O$6:$O$4005,$B$6:$B$4005,B3728,$N$6:$N$4005,"N"),0),$P$6:$P$4005,0)),"(tanpa lawan)"))</f>
        <v/>
      </c>
      <c r="R3728" s="44"/>
      <c r="S3728" s="9" t="str">
        <f aca="false">IF(N3728&lt;&gt;"Y","",IF(R3728&lt;&gt;"",R3728,IF(Q3728="(tanpa lawan)","Transfer antar rekening",IFERROR(INDEX(I_COA!$F$6:$F$265,MATCH(Q3728,I_COA!$A$6:$A$265,0)),"?"))))</f>
        <v/>
      </c>
    </row>
    <row r="3729" customFormat="false" ht="15" hidden="false" customHeight="false" outlineLevel="0" collapsed="false">
      <c r="A3729" s="37"/>
      <c r="B3729" s="44"/>
      <c r="C3729" s="44"/>
      <c r="D3729" s="44"/>
      <c r="E3729" s="44"/>
      <c r="F3729" s="44"/>
      <c r="G3729" s="42"/>
      <c r="H3729" s="42"/>
      <c r="I3729" s="44"/>
      <c r="J3729" s="11" t="str">
        <f aca="false">IF(D3729="","",N(G3729)-N(H3729))</f>
        <v/>
      </c>
      <c r="K3729" s="34" t="str">
        <f aca="false">IF(D3729="","",IFERROR(INDEX(I_COA!$C$6:$C$265,MATCH(D3729,I_COA!$A$6:$A$265,0)),"AKUN BARU"))</f>
        <v/>
      </c>
      <c r="L3729" s="34" t="str">
        <f aca="false">IF(K3729="LabaRugi",INDEX(I_COA!$D$6:$D$265,MATCH(D3729,I_COA!$A$6:$A$265,0)),"")</f>
        <v/>
      </c>
      <c r="M3729" s="34" t="str">
        <f aca="false">IF(K3729="Neraca",INDEX(I_COA!$E$6:$E$265,MATCH(D3729,I_COA!$A$6:$A$265,0)),"")</f>
        <v/>
      </c>
      <c r="N3729" s="34" t="str">
        <f aca="false">IF(D3729="","",IFERROR(INDEX(I_COA!$G$6:$G$265,MATCH(D3729,I_COA!$A$6:$A$265,0)),"N"))</f>
        <v/>
      </c>
      <c r="O3729" s="11" t="str">
        <f aca="false">IF(N3729="N",ABS(J3729),"")</f>
        <v/>
      </c>
      <c r="P3729" s="18" t="str">
        <f aca="false">IF(N3729="N",B3729&amp;"|"&amp;ROUND(O3729,0),"")</f>
        <v/>
      </c>
      <c r="Q3729" s="18" t="str">
        <f aca="false">IF(N3729&lt;&gt;"Y","",IFERROR(INDEX($D$6:$D$4005,MATCH(B3729&amp;"|"&amp;ROUND(_xlfn.MAXIFS($O$6:$O$4005,$B$6:$B$4005,B3729,$N$6:$N$4005,"N"),0),$P$6:$P$4005,0)),"(tanpa lawan)"))</f>
        <v/>
      </c>
      <c r="R3729" s="44"/>
      <c r="S3729" s="9" t="str">
        <f aca="false">IF(N3729&lt;&gt;"Y","",IF(R3729&lt;&gt;"",R3729,IF(Q3729="(tanpa lawan)","Transfer antar rekening",IFERROR(INDEX(I_COA!$F$6:$F$265,MATCH(Q3729,I_COA!$A$6:$A$265,0)),"?"))))</f>
        <v/>
      </c>
    </row>
    <row r="3730" customFormat="false" ht="15" hidden="false" customHeight="false" outlineLevel="0" collapsed="false">
      <c r="A3730" s="37"/>
      <c r="B3730" s="44"/>
      <c r="C3730" s="44"/>
      <c r="D3730" s="44"/>
      <c r="E3730" s="44"/>
      <c r="F3730" s="44"/>
      <c r="G3730" s="42"/>
      <c r="H3730" s="42"/>
      <c r="I3730" s="44"/>
      <c r="J3730" s="11" t="str">
        <f aca="false">IF(D3730="","",N(G3730)-N(H3730))</f>
        <v/>
      </c>
      <c r="K3730" s="34" t="str">
        <f aca="false">IF(D3730="","",IFERROR(INDEX(I_COA!$C$6:$C$265,MATCH(D3730,I_COA!$A$6:$A$265,0)),"AKUN BARU"))</f>
        <v/>
      </c>
      <c r="L3730" s="34" t="str">
        <f aca="false">IF(K3730="LabaRugi",INDEX(I_COA!$D$6:$D$265,MATCH(D3730,I_COA!$A$6:$A$265,0)),"")</f>
        <v/>
      </c>
      <c r="M3730" s="34" t="str">
        <f aca="false">IF(K3730="Neraca",INDEX(I_COA!$E$6:$E$265,MATCH(D3730,I_COA!$A$6:$A$265,0)),"")</f>
        <v/>
      </c>
      <c r="N3730" s="34" t="str">
        <f aca="false">IF(D3730="","",IFERROR(INDEX(I_COA!$G$6:$G$265,MATCH(D3730,I_COA!$A$6:$A$265,0)),"N"))</f>
        <v/>
      </c>
      <c r="O3730" s="11" t="str">
        <f aca="false">IF(N3730="N",ABS(J3730),"")</f>
        <v/>
      </c>
      <c r="P3730" s="18" t="str">
        <f aca="false">IF(N3730="N",B3730&amp;"|"&amp;ROUND(O3730,0),"")</f>
        <v/>
      </c>
      <c r="Q3730" s="18" t="str">
        <f aca="false">IF(N3730&lt;&gt;"Y","",IFERROR(INDEX($D$6:$D$4005,MATCH(B3730&amp;"|"&amp;ROUND(_xlfn.MAXIFS($O$6:$O$4005,$B$6:$B$4005,B3730,$N$6:$N$4005,"N"),0),$P$6:$P$4005,0)),"(tanpa lawan)"))</f>
        <v/>
      </c>
      <c r="R3730" s="44"/>
      <c r="S3730" s="9" t="str">
        <f aca="false">IF(N3730&lt;&gt;"Y","",IF(R3730&lt;&gt;"",R3730,IF(Q3730="(tanpa lawan)","Transfer antar rekening",IFERROR(INDEX(I_COA!$F$6:$F$265,MATCH(Q3730,I_COA!$A$6:$A$265,0)),"?"))))</f>
        <v/>
      </c>
    </row>
    <row r="3731" customFormat="false" ht="15" hidden="false" customHeight="false" outlineLevel="0" collapsed="false">
      <c r="A3731" s="37"/>
      <c r="B3731" s="44"/>
      <c r="C3731" s="44"/>
      <c r="D3731" s="44"/>
      <c r="E3731" s="44"/>
      <c r="F3731" s="44"/>
      <c r="G3731" s="42"/>
      <c r="H3731" s="42"/>
      <c r="I3731" s="44"/>
      <c r="J3731" s="11" t="str">
        <f aca="false">IF(D3731="","",N(G3731)-N(H3731))</f>
        <v/>
      </c>
      <c r="K3731" s="34" t="str">
        <f aca="false">IF(D3731="","",IFERROR(INDEX(I_COA!$C$6:$C$265,MATCH(D3731,I_COA!$A$6:$A$265,0)),"AKUN BARU"))</f>
        <v/>
      </c>
      <c r="L3731" s="34" t="str">
        <f aca="false">IF(K3731="LabaRugi",INDEX(I_COA!$D$6:$D$265,MATCH(D3731,I_COA!$A$6:$A$265,0)),"")</f>
        <v/>
      </c>
      <c r="M3731" s="34" t="str">
        <f aca="false">IF(K3731="Neraca",INDEX(I_COA!$E$6:$E$265,MATCH(D3731,I_COA!$A$6:$A$265,0)),"")</f>
        <v/>
      </c>
      <c r="N3731" s="34" t="str">
        <f aca="false">IF(D3731="","",IFERROR(INDEX(I_COA!$G$6:$G$265,MATCH(D3731,I_COA!$A$6:$A$265,0)),"N"))</f>
        <v/>
      </c>
      <c r="O3731" s="11" t="str">
        <f aca="false">IF(N3731="N",ABS(J3731),"")</f>
        <v/>
      </c>
      <c r="P3731" s="18" t="str">
        <f aca="false">IF(N3731="N",B3731&amp;"|"&amp;ROUND(O3731,0),"")</f>
        <v/>
      </c>
      <c r="Q3731" s="18" t="str">
        <f aca="false">IF(N3731&lt;&gt;"Y","",IFERROR(INDEX($D$6:$D$4005,MATCH(B3731&amp;"|"&amp;ROUND(_xlfn.MAXIFS($O$6:$O$4005,$B$6:$B$4005,B3731,$N$6:$N$4005,"N"),0),$P$6:$P$4005,0)),"(tanpa lawan)"))</f>
        <v/>
      </c>
      <c r="R3731" s="44"/>
      <c r="S3731" s="9" t="str">
        <f aca="false">IF(N3731&lt;&gt;"Y","",IF(R3731&lt;&gt;"",R3731,IF(Q3731="(tanpa lawan)","Transfer antar rekening",IFERROR(INDEX(I_COA!$F$6:$F$265,MATCH(Q3731,I_COA!$A$6:$A$265,0)),"?"))))</f>
        <v/>
      </c>
    </row>
    <row r="3732" customFormat="false" ht="15" hidden="false" customHeight="false" outlineLevel="0" collapsed="false">
      <c r="A3732" s="37"/>
      <c r="B3732" s="44"/>
      <c r="C3732" s="44"/>
      <c r="D3732" s="44"/>
      <c r="E3732" s="44"/>
      <c r="F3732" s="44"/>
      <c r="G3732" s="42"/>
      <c r="H3732" s="42"/>
      <c r="I3732" s="44"/>
      <c r="J3732" s="11" t="str">
        <f aca="false">IF(D3732="","",N(G3732)-N(H3732))</f>
        <v/>
      </c>
      <c r="K3732" s="34" t="str">
        <f aca="false">IF(D3732="","",IFERROR(INDEX(I_COA!$C$6:$C$265,MATCH(D3732,I_COA!$A$6:$A$265,0)),"AKUN BARU"))</f>
        <v/>
      </c>
      <c r="L3732" s="34" t="str">
        <f aca="false">IF(K3732="LabaRugi",INDEX(I_COA!$D$6:$D$265,MATCH(D3732,I_COA!$A$6:$A$265,0)),"")</f>
        <v/>
      </c>
      <c r="M3732" s="34" t="str">
        <f aca="false">IF(K3732="Neraca",INDEX(I_COA!$E$6:$E$265,MATCH(D3732,I_COA!$A$6:$A$265,0)),"")</f>
        <v/>
      </c>
      <c r="N3732" s="34" t="str">
        <f aca="false">IF(D3732="","",IFERROR(INDEX(I_COA!$G$6:$G$265,MATCH(D3732,I_COA!$A$6:$A$265,0)),"N"))</f>
        <v/>
      </c>
      <c r="O3732" s="11" t="str">
        <f aca="false">IF(N3732="N",ABS(J3732),"")</f>
        <v/>
      </c>
      <c r="P3732" s="18" t="str">
        <f aca="false">IF(N3732="N",B3732&amp;"|"&amp;ROUND(O3732,0),"")</f>
        <v/>
      </c>
      <c r="Q3732" s="18" t="str">
        <f aca="false">IF(N3732&lt;&gt;"Y","",IFERROR(INDEX($D$6:$D$4005,MATCH(B3732&amp;"|"&amp;ROUND(_xlfn.MAXIFS($O$6:$O$4005,$B$6:$B$4005,B3732,$N$6:$N$4005,"N"),0),$P$6:$P$4005,0)),"(tanpa lawan)"))</f>
        <v/>
      </c>
      <c r="R3732" s="44"/>
      <c r="S3732" s="9" t="str">
        <f aca="false">IF(N3732&lt;&gt;"Y","",IF(R3732&lt;&gt;"",R3732,IF(Q3732="(tanpa lawan)","Transfer antar rekening",IFERROR(INDEX(I_COA!$F$6:$F$265,MATCH(Q3732,I_COA!$A$6:$A$265,0)),"?"))))</f>
        <v/>
      </c>
    </row>
    <row r="3733" customFormat="false" ht="15" hidden="false" customHeight="false" outlineLevel="0" collapsed="false">
      <c r="A3733" s="37"/>
      <c r="B3733" s="44"/>
      <c r="C3733" s="44"/>
      <c r="D3733" s="44"/>
      <c r="E3733" s="44"/>
      <c r="F3733" s="44"/>
      <c r="G3733" s="42"/>
      <c r="H3733" s="42"/>
      <c r="I3733" s="44"/>
      <c r="J3733" s="11" t="str">
        <f aca="false">IF(D3733="","",N(G3733)-N(H3733))</f>
        <v/>
      </c>
      <c r="K3733" s="34" t="str">
        <f aca="false">IF(D3733="","",IFERROR(INDEX(I_COA!$C$6:$C$265,MATCH(D3733,I_COA!$A$6:$A$265,0)),"AKUN BARU"))</f>
        <v/>
      </c>
      <c r="L3733" s="34" t="str">
        <f aca="false">IF(K3733="LabaRugi",INDEX(I_COA!$D$6:$D$265,MATCH(D3733,I_COA!$A$6:$A$265,0)),"")</f>
        <v/>
      </c>
      <c r="M3733" s="34" t="str">
        <f aca="false">IF(K3733="Neraca",INDEX(I_COA!$E$6:$E$265,MATCH(D3733,I_COA!$A$6:$A$265,0)),"")</f>
        <v/>
      </c>
      <c r="N3733" s="34" t="str">
        <f aca="false">IF(D3733="","",IFERROR(INDEX(I_COA!$G$6:$G$265,MATCH(D3733,I_COA!$A$6:$A$265,0)),"N"))</f>
        <v/>
      </c>
      <c r="O3733" s="11" t="str">
        <f aca="false">IF(N3733="N",ABS(J3733),"")</f>
        <v/>
      </c>
      <c r="P3733" s="18" t="str">
        <f aca="false">IF(N3733="N",B3733&amp;"|"&amp;ROUND(O3733,0),"")</f>
        <v/>
      </c>
      <c r="Q3733" s="18" t="str">
        <f aca="false">IF(N3733&lt;&gt;"Y","",IFERROR(INDEX($D$6:$D$4005,MATCH(B3733&amp;"|"&amp;ROUND(_xlfn.MAXIFS($O$6:$O$4005,$B$6:$B$4005,B3733,$N$6:$N$4005,"N"),0),$P$6:$P$4005,0)),"(tanpa lawan)"))</f>
        <v/>
      </c>
      <c r="R3733" s="44"/>
      <c r="S3733" s="9" t="str">
        <f aca="false">IF(N3733&lt;&gt;"Y","",IF(R3733&lt;&gt;"",R3733,IF(Q3733="(tanpa lawan)","Transfer antar rekening",IFERROR(INDEX(I_COA!$F$6:$F$265,MATCH(Q3733,I_COA!$A$6:$A$265,0)),"?"))))</f>
        <v/>
      </c>
    </row>
    <row r="3734" customFormat="false" ht="15" hidden="false" customHeight="false" outlineLevel="0" collapsed="false">
      <c r="A3734" s="37"/>
      <c r="B3734" s="44"/>
      <c r="C3734" s="44"/>
      <c r="D3734" s="44"/>
      <c r="E3734" s="44"/>
      <c r="F3734" s="44"/>
      <c r="G3734" s="42"/>
      <c r="H3734" s="42"/>
      <c r="I3734" s="44"/>
      <c r="J3734" s="11" t="str">
        <f aca="false">IF(D3734="","",N(G3734)-N(H3734))</f>
        <v/>
      </c>
      <c r="K3734" s="34" t="str">
        <f aca="false">IF(D3734="","",IFERROR(INDEX(I_COA!$C$6:$C$265,MATCH(D3734,I_COA!$A$6:$A$265,0)),"AKUN BARU"))</f>
        <v/>
      </c>
      <c r="L3734" s="34" t="str">
        <f aca="false">IF(K3734="LabaRugi",INDEX(I_COA!$D$6:$D$265,MATCH(D3734,I_COA!$A$6:$A$265,0)),"")</f>
        <v/>
      </c>
      <c r="M3734" s="34" t="str">
        <f aca="false">IF(K3734="Neraca",INDEX(I_COA!$E$6:$E$265,MATCH(D3734,I_COA!$A$6:$A$265,0)),"")</f>
        <v/>
      </c>
      <c r="N3734" s="34" t="str">
        <f aca="false">IF(D3734="","",IFERROR(INDEX(I_COA!$G$6:$G$265,MATCH(D3734,I_COA!$A$6:$A$265,0)),"N"))</f>
        <v/>
      </c>
      <c r="O3734" s="11" t="str">
        <f aca="false">IF(N3734="N",ABS(J3734),"")</f>
        <v/>
      </c>
      <c r="P3734" s="18" t="str">
        <f aca="false">IF(N3734="N",B3734&amp;"|"&amp;ROUND(O3734,0),"")</f>
        <v/>
      </c>
      <c r="Q3734" s="18" t="str">
        <f aca="false">IF(N3734&lt;&gt;"Y","",IFERROR(INDEX($D$6:$D$4005,MATCH(B3734&amp;"|"&amp;ROUND(_xlfn.MAXIFS($O$6:$O$4005,$B$6:$B$4005,B3734,$N$6:$N$4005,"N"),0),$P$6:$P$4005,0)),"(tanpa lawan)"))</f>
        <v/>
      </c>
      <c r="R3734" s="44"/>
      <c r="S3734" s="9" t="str">
        <f aca="false">IF(N3734&lt;&gt;"Y","",IF(R3734&lt;&gt;"",R3734,IF(Q3734="(tanpa lawan)","Transfer antar rekening",IFERROR(INDEX(I_COA!$F$6:$F$265,MATCH(Q3734,I_COA!$A$6:$A$265,0)),"?"))))</f>
        <v/>
      </c>
    </row>
    <row r="3735" customFormat="false" ht="15" hidden="false" customHeight="false" outlineLevel="0" collapsed="false">
      <c r="A3735" s="37"/>
      <c r="B3735" s="44"/>
      <c r="C3735" s="44"/>
      <c r="D3735" s="44"/>
      <c r="E3735" s="44"/>
      <c r="F3735" s="44"/>
      <c r="G3735" s="42"/>
      <c r="H3735" s="42"/>
      <c r="I3735" s="44"/>
      <c r="J3735" s="11" t="str">
        <f aca="false">IF(D3735="","",N(G3735)-N(H3735))</f>
        <v/>
      </c>
      <c r="K3735" s="34" t="str">
        <f aca="false">IF(D3735="","",IFERROR(INDEX(I_COA!$C$6:$C$265,MATCH(D3735,I_COA!$A$6:$A$265,0)),"AKUN BARU"))</f>
        <v/>
      </c>
      <c r="L3735" s="34" t="str">
        <f aca="false">IF(K3735="LabaRugi",INDEX(I_COA!$D$6:$D$265,MATCH(D3735,I_COA!$A$6:$A$265,0)),"")</f>
        <v/>
      </c>
      <c r="M3735" s="34" t="str">
        <f aca="false">IF(K3735="Neraca",INDEX(I_COA!$E$6:$E$265,MATCH(D3735,I_COA!$A$6:$A$265,0)),"")</f>
        <v/>
      </c>
      <c r="N3735" s="34" t="str">
        <f aca="false">IF(D3735="","",IFERROR(INDEX(I_COA!$G$6:$G$265,MATCH(D3735,I_COA!$A$6:$A$265,0)),"N"))</f>
        <v/>
      </c>
      <c r="O3735" s="11" t="str">
        <f aca="false">IF(N3735="N",ABS(J3735),"")</f>
        <v/>
      </c>
      <c r="P3735" s="18" t="str">
        <f aca="false">IF(N3735="N",B3735&amp;"|"&amp;ROUND(O3735,0),"")</f>
        <v/>
      </c>
      <c r="Q3735" s="18" t="str">
        <f aca="false">IF(N3735&lt;&gt;"Y","",IFERROR(INDEX($D$6:$D$4005,MATCH(B3735&amp;"|"&amp;ROUND(_xlfn.MAXIFS($O$6:$O$4005,$B$6:$B$4005,B3735,$N$6:$N$4005,"N"),0),$P$6:$P$4005,0)),"(tanpa lawan)"))</f>
        <v/>
      </c>
      <c r="R3735" s="44"/>
      <c r="S3735" s="9" t="str">
        <f aca="false">IF(N3735&lt;&gt;"Y","",IF(R3735&lt;&gt;"",R3735,IF(Q3735="(tanpa lawan)","Transfer antar rekening",IFERROR(INDEX(I_COA!$F$6:$F$265,MATCH(Q3735,I_COA!$A$6:$A$265,0)),"?"))))</f>
        <v/>
      </c>
    </row>
    <row r="3736" customFormat="false" ht="15" hidden="false" customHeight="false" outlineLevel="0" collapsed="false">
      <c r="A3736" s="37"/>
      <c r="B3736" s="44"/>
      <c r="C3736" s="44"/>
      <c r="D3736" s="44"/>
      <c r="E3736" s="44"/>
      <c r="F3736" s="44"/>
      <c r="G3736" s="42"/>
      <c r="H3736" s="42"/>
      <c r="I3736" s="44"/>
      <c r="J3736" s="11" t="str">
        <f aca="false">IF(D3736="","",N(G3736)-N(H3736))</f>
        <v/>
      </c>
      <c r="K3736" s="34" t="str">
        <f aca="false">IF(D3736="","",IFERROR(INDEX(I_COA!$C$6:$C$265,MATCH(D3736,I_COA!$A$6:$A$265,0)),"AKUN BARU"))</f>
        <v/>
      </c>
      <c r="L3736" s="34" t="str">
        <f aca="false">IF(K3736="LabaRugi",INDEX(I_COA!$D$6:$D$265,MATCH(D3736,I_COA!$A$6:$A$265,0)),"")</f>
        <v/>
      </c>
      <c r="M3736" s="34" t="str">
        <f aca="false">IF(K3736="Neraca",INDEX(I_COA!$E$6:$E$265,MATCH(D3736,I_COA!$A$6:$A$265,0)),"")</f>
        <v/>
      </c>
      <c r="N3736" s="34" t="str">
        <f aca="false">IF(D3736="","",IFERROR(INDEX(I_COA!$G$6:$G$265,MATCH(D3736,I_COA!$A$6:$A$265,0)),"N"))</f>
        <v/>
      </c>
      <c r="O3736" s="11" t="str">
        <f aca="false">IF(N3736="N",ABS(J3736),"")</f>
        <v/>
      </c>
      <c r="P3736" s="18" t="str">
        <f aca="false">IF(N3736="N",B3736&amp;"|"&amp;ROUND(O3736,0),"")</f>
        <v/>
      </c>
      <c r="Q3736" s="18" t="str">
        <f aca="false">IF(N3736&lt;&gt;"Y","",IFERROR(INDEX($D$6:$D$4005,MATCH(B3736&amp;"|"&amp;ROUND(_xlfn.MAXIFS($O$6:$O$4005,$B$6:$B$4005,B3736,$N$6:$N$4005,"N"),0),$P$6:$P$4005,0)),"(tanpa lawan)"))</f>
        <v/>
      </c>
      <c r="R3736" s="44"/>
      <c r="S3736" s="9" t="str">
        <f aca="false">IF(N3736&lt;&gt;"Y","",IF(R3736&lt;&gt;"",R3736,IF(Q3736="(tanpa lawan)","Transfer antar rekening",IFERROR(INDEX(I_COA!$F$6:$F$265,MATCH(Q3736,I_COA!$A$6:$A$265,0)),"?"))))</f>
        <v/>
      </c>
    </row>
    <row r="3737" customFormat="false" ht="15" hidden="false" customHeight="false" outlineLevel="0" collapsed="false">
      <c r="A3737" s="37"/>
      <c r="B3737" s="44"/>
      <c r="C3737" s="44"/>
      <c r="D3737" s="44"/>
      <c r="E3737" s="44"/>
      <c r="F3737" s="44"/>
      <c r="G3737" s="42"/>
      <c r="H3737" s="42"/>
      <c r="I3737" s="44"/>
      <c r="J3737" s="11" t="str">
        <f aca="false">IF(D3737="","",N(G3737)-N(H3737))</f>
        <v/>
      </c>
      <c r="K3737" s="34" t="str">
        <f aca="false">IF(D3737="","",IFERROR(INDEX(I_COA!$C$6:$C$265,MATCH(D3737,I_COA!$A$6:$A$265,0)),"AKUN BARU"))</f>
        <v/>
      </c>
      <c r="L3737" s="34" t="str">
        <f aca="false">IF(K3737="LabaRugi",INDEX(I_COA!$D$6:$D$265,MATCH(D3737,I_COA!$A$6:$A$265,0)),"")</f>
        <v/>
      </c>
      <c r="M3737" s="34" t="str">
        <f aca="false">IF(K3737="Neraca",INDEX(I_COA!$E$6:$E$265,MATCH(D3737,I_COA!$A$6:$A$265,0)),"")</f>
        <v/>
      </c>
      <c r="N3737" s="34" t="str">
        <f aca="false">IF(D3737="","",IFERROR(INDEX(I_COA!$G$6:$G$265,MATCH(D3737,I_COA!$A$6:$A$265,0)),"N"))</f>
        <v/>
      </c>
      <c r="O3737" s="11" t="str">
        <f aca="false">IF(N3737="N",ABS(J3737),"")</f>
        <v/>
      </c>
      <c r="P3737" s="18" t="str">
        <f aca="false">IF(N3737="N",B3737&amp;"|"&amp;ROUND(O3737,0),"")</f>
        <v/>
      </c>
      <c r="Q3737" s="18" t="str">
        <f aca="false">IF(N3737&lt;&gt;"Y","",IFERROR(INDEX($D$6:$D$4005,MATCH(B3737&amp;"|"&amp;ROUND(_xlfn.MAXIFS($O$6:$O$4005,$B$6:$B$4005,B3737,$N$6:$N$4005,"N"),0),$P$6:$P$4005,0)),"(tanpa lawan)"))</f>
        <v/>
      </c>
      <c r="R3737" s="44"/>
      <c r="S3737" s="9" t="str">
        <f aca="false">IF(N3737&lt;&gt;"Y","",IF(R3737&lt;&gt;"",R3737,IF(Q3737="(tanpa lawan)","Transfer antar rekening",IFERROR(INDEX(I_COA!$F$6:$F$265,MATCH(Q3737,I_COA!$A$6:$A$265,0)),"?"))))</f>
        <v/>
      </c>
    </row>
    <row r="3738" customFormat="false" ht="15" hidden="false" customHeight="false" outlineLevel="0" collapsed="false">
      <c r="A3738" s="37"/>
      <c r="B3738" s="44"/>
      <c r="C3738" s="44"/>
      <c r="D3738" s="44"/>
      <c r="E3738" s="44"/>
      <c r="F3738" s="44"/>
      <c r="G3738" s="42"/>
      <c r="H3738" s="42"/>
      <c r="I3738" s="44"/>
      <c r="J3738" s="11" t="str">
        <f aca="false">IF(D3738="","",N(G3738)-N(H3738))</f>
        <v/>
      </c>
      <c r="K3738" s="34" t="str">
        <f aca="false">IF(D3738="","",IFERROR(INDEX(I_COA!$C$6:$C$265,MATCH(D3738,I_COA!$A$6:$A$265,0)),"AKUN BARU"))</f>
        <v/>
      </c>
      <c r="L3738" s="34" t="str">
        <f aca="false">IF(K3738="LabaRugi",INDEX(I_COA!$D$6:$D$265,MATCH(D3738,I_COA!$A$6:$A$265,0)),"")</f>
        <v/>
      </c>
      <c r="M3738" s="34" t="str">
        <f aca="false">IF(K3738="Neraca",INDEX(I_COA!$E$6:$E$265,MATCH(D3738,I_COA!$A$6:$A$265,0)),"")</f>
        <v/>
      </c>
      <c r="N3738" s="34" t="str">
        <f aca="false">IF(D3738="","",IFERROR(INDEX(I_COA!$G$6:$G$265,MATCH(D3738,I_COA!$A$6:$A$265,0)),"N"))</f>
        <v/>
      </c>
      <c r="O3738" s="11" t="str">
        <f aca="false">IF(N3738="N",ABS(J3738),"")</f>
        <v/>
      </c>
      <c r="P3738" s="18" t="str">
        <f aca="false">IF(N3738="N",B3738&amp;"|"&amp;ROUND(O3738,0),"")</f>
        <v/>
      </c>
      <c r="Q3738" s="18" t="str">
        <f aca="false">IF(N3738&lt;&gt;"Y","",IFERROR(INDEX($D$6:$D$4005,MATCH(B3738&amp;"|"&amp;ROUND(_xlfn.MAXIFS($O$6:$O$4005,$B$6:$B$4005,B3738,$N$6:$N$4005,"N"),0),$P$6:$P$4005,0)),"(tanpa lawan)"))</f>
        <v/>
      </c>
      <c r="R3738" s="44"/>
      <c r="S3738" s="9" t="str">
        <f aca="false">IF(N3738&lt;&gt;"Y","",IF(R3738&lt;&gt;"",R3738,IF(Q3738="(tanpa lawan)","Transfer antar rekening",IFERROR(INDEX(I_COA!$F$6:$F$265,MATCH(Q3738,I_COA!$A$6:$A$265,0)),"?"))))</f>
        <v/>
      </c>
    </row>
    <row r="3739" customFormat="false" ht="15" hidden="false" customHeight="false" outlineLevel="0" collapsed="false">
      <c r="A3739" s="37"/>
      <c r="B3739" s="44"/>
      <c r="C3739" s="44"/>
      <c r="D3739" s="44"/>
      <c r="E3739" s="44"/>
      <c r="F3739" s="44"/>
      <c r="G3739" s="42"/>
      <c r="H3739" s="42"/>
      <c r="I3739" s="44"/>
      <c r="J3739" s="11" t="str">
        <f aca="false">IF(D3739="","",N(G3739)-N(H3739))</f>
        <v/>
      </c>
      <c r="K3739" s="34" t="str">
        <f aca="false">IF(D3739="","",IFERROR(INDEX(I_COA!$C$6:$C$265,MATCH(D3739,I_COA!$A$6:$A$265,0)),"AKUN BARU"))</f>
        <v/>
      </c>
      <c r="L3739" s="34" t="str">
        <f aca="false">IF(K3739="LabaRugi",INDEX(I_COA!$D$6:$D$265,MATCH(D3739,I_COA!$A$6:$A$265,0)),"")</f>
        <v/>
      </c>
      <c r="M3739" s="34" t="str">
        <f aca="false">IF(K3739="Neraca",INDEX(I_COA!$E$6:$E$265,MATCH(D3739,I_COA!$A$6:$A$265,0)),"")</f>
        <v/>
      </c>
      <c r="N3739" s="34" t="str">
        <f aca="false">IF(D3739="","",IFERROR(INDEX(I_COA!$G$6:$G$265,MATCH(D3739,I_COA!$A$6:$A$265,0)),"N"))</f>
        <v/>
      </c>
      <c r="O3739" s="11" t="str">
        <f aca="false">IF(N3739="N",ABS(J3739),"")</f>
        <v/>
      </c>
      <c r="P3739" s="18" t="str">
        <f aca="false">IF(N3739="N",B3739&amp;"|"&amp;ROUND(O3739,0),"")</f>
        <v/>
      </c>
      <c r="Q3739" s="18" t="str">
        <f aca="false">IF(N3739&lt;&gt;"Y","",IFERROR(INDEX($D$6:$D$4005,MATCH(B3739&amp;"|"&amp;ROUND(_xlfn.MAXIFS($O$6:$O$4005,$B$6:$B$4005,B3739,$N$6:$N$4005,"N"),0),$P$6:$P$4005,0)),"(tanpa lawan)"))</f>
        <v/>
      </c>
      <c r="R3739" s="44"/>
      <c r="S3739" s="9" t="str">
        <f aca="false">IF(N3739&lt;&gt;"Y","",IF(R3739&lt;&gt;"",R3739,IF(Q3739="(tanpa lawan)","Transfer antar rekening",IFERROR(INDEX(I_COA!$F$6:$F$265,MATCH(Q3739,I_COA!$A$6:$A$265,0)),"?"))))</f>
        <v/>
      </c>
    </row>
    <row r="3740" customFormat="false" ht="15" hidden="false" customHeight="false" outlineLevel="0" collapsed="false">
      <c r="A3740" s="37"/>
      <c r="B3740" s="44"/>
      <c r="C3740" s="44"/>
      <c r="D3740" s="44"/>
      <c r="E3740" s="44"/>
      <c r="F3740" s="44"/>
      <c r="G3740" s="42"/>
      <c r="H3740" s="42"/>
      <c r="I3740" s="44"/>
      <c r="J3740" s="11" t="str">
        <f aca="false">IF(D3740="","",N(G3740)-N(H3740))</f>
        <v/>
      </c>
      <c r="K3740" s="34" t="str">
        <f aca="false">IF(D3740="","",IFERROR(INDEX(I_COA!$C$6:$C$265,MATCH(D3740,I_COA!$A$6:$A$265,0)),"AKUN BARU"))</f>
        <v/>
      </c>
      <c r="L3740" s="34" t="str">
        <f aca="false">IF(K3740="LabaRugi",INDEX(I_COA!$D$6:$D$265,MATCH(D3740,I_COA!$A$6:$A$265,0)),"")</f>
        <v/>
      </c>
      <c r="M3740" s="34" t="str">
        <f aca="false">IF(K3740="Neraca",INDEX(I_COA!$E$6:$E$265,MATCH(D3740,I_COA!$A$6:$A$265,0)),"")</f>
        <v/>
      </c>
      <c r="N3740" s="34" t="str">
        <f aca="false">IF(D3740="","",IFERROR(INDEX(I_COA!$G$6:$G$265,MATCH(D3740,I_COA!$A$6:$A$265,0)),"N"))</f>
        <v/>
      </c>
      <c r="O3740" s="11" t="str">
        <f aca="false">IF(N3740="N",ABS(J3740),"")</f>
        <v/>
      </c>
      <c r="P3740" s="18" t="str">
        <f aca="false">IF(N3740="N",B3740&amp;"|"&amp;ROUND(O3740,0),"")</f>
        <v/>
      </c>
      <c r="Q3740" s="18" t="str">
        <f aca="false">IF(N3740&lt;&gt;"Y","",IFERROR(INDEX($D$6:$D$4005,MATCH(B3740&amp;"|"&amp;ROUND(_xlfn.MAXIFS($O$6:$O$4005,$B$6:$B$4005,B3740,$N$6:$N$4005,"N"),0),$P$6:$P$4005,0)),"(tanpa lawan)"))</f>
        <v/>
      </c>
      <c r="R3740" s="44"/>
      <c r="S3740" s="9" t="str">
        <f aca="false">IF(N3740&lt;&gt;"Y","",IF(R3740&lt;&gt;"",R3740,IF(Q3740="(tanpa lawan)","Transfer antar rekening",IFERROR(INDEX(I_COA!$F$6:$F$265,MATCH(Q3740,I_COA!$A$6:$A$265,0)),"?"))))</f>
        <v/>
      </c>
    </row>
    <row r="3741" customFormat="false" ht="15" hidden="false" customHeight="false" outlineLevel="0" collapsed="false">
      <c r="A3741" s="37"/>
      <c r="B3741" s="44"/>
      <c r="C3741" s="44"/>
      <c r="D3741" s="44"/>
      <c r="E3741" s="44"/>
      <c r="F3741" s="44"/>
      <c r="G3741" s="42"/>
      <c r="H3741" s="42"/>
      <c r="I3741" s="44"/>
      <c r="J3741" s="11" t="str">
        <f aca="false">IF(D3741="","",N(G3741)-N(H3741))</f>
        <v/>
      </c>
      <c r="K3741" s="34" t="str">
        <f aca="false">IF(D3741="","",IFERROR(INDEX(I_COA!$C$6:$C$265,MATCH(D3741,I_COA!$A$6:$A$265,0)),"AKUN BARU"))</f>
        <v/>
      </c>
      <c r="L3741" s="34" t="str">
        <f aca="false">IF(K3741="LabaRugi",INDEX(I_COA!$D$6:$D$265,MATCH(D3741,I_COA!$A$6:$A$265,0)),"")</f>
        <v/>
      </c>
      <c r="M3741" s="34" t="str">
        <f aca="false">IF(K3741="Neraca",INDEX(I_COA!$E$6:$E$265,MATCH(D3741,I_COA!$A$6:$A$265,0)),"")</f>
        <v/>
      </c>
      <c r="N3741" s="34" t="str">
        <f aca="false">IF(D3741="","",IFERROR(INDEX(I_COA!$G$6:$G$265,MATCH(D3741,I_COA!$A$6:$A$265,0)),"N"))</f>
        <v/>
      </c>
      <c r="O3741" s="11" t="str">
        <f aca="false">IF(N3741="N",ABS(J3741),"")</f>
        <v/>
      </c>
      <c r="P3741" s="18" t="str">
        <f aca="false">IF(N3741="N",B3741&amp;"|"&amp;ROUND(O3741,0),"")</f>
        <v/>
      </c>
      <c r="Q3741" s="18" t="str">
        <f aca="false">IF(N3741&lt;&gt;"Y","",IFERROR(INDEX($D$6:$D$4005,MATCH(B3741&amp;"|"&amp;ROUND(_xlfn.MAXIFS($O$6:$O$4005,$B$6:$B$4005,B3741,$N$6:$N$4005,"N"),0),$P$6:$P$4005,0)),"(tanpa lawan)"))</f>
        <v/>
      </c>
      <c r="R3741" s="44"/>
      <c r="S3741" s="9" t="str">
        <f aca="false">IF(N3741&lt;&gt;"Y","",IF(R3741&lt;&gt;"",R3741,IF(Q3741="(tanpa lawan)","Transfer antar rekening",IFERROR(INDEX(I_COA!$F$6:$F$265,MATCH(Q3741,I_COA!$A$6:$A$265,0)),"?"))))</f>
        <v/>
      </c>
    </row>
    <row r="3742" customFormat="false" ht="15" hidden="false" customHeight="false" outlineLevel="0" collapsed="false">
      <c r="A3742" s="37"/>
      <c r="B3742" s="44"/>
      <c r="C3742" s="44"/>
      <c r="D3742" s="44"/>
      <c r="E3742" s="44"/>
      <c r="F3742" s="44"/>
      <c r="G3742" s="42"/>
      <c r="H3742" s="42"/>
      <c r="I3742" s="44"/>
      <c r="J3742" s="11" t="str">
        <f aca="false">IF(D3742="","",N(G3742)-N(H3742))</f>
        <v/>
      </c>
      <c r="K3742" s="34" t="str">
        <f aca="false">IF(D3742="","",IFERROR(INDEX(I_COA!$C$6:$C$265,MATCH(D3742,I_COA!$A$6:$A$265,0)),"AKUN BARU"))</f>
        <v/>
      </c>
      <c r="L3742" s="34" t="str">
        <f aca="false">IF(K3742="LabaRugi",INDEX(I_COA!$D$6:$D$265,MATCH(D3742,I_COA!$A$6:$A$265,0)),"")</f>
        <v/>
      </c>
      <c r="M3742" s="34" t="str">
        <f aca="false">IF(K3742="Neraca",INDEX(I_COA!$E$6:$E$265,MATCH(D3742,I_COA!$A$6:$A$265,0)),"")</f>
        <v/>
      </c>
      <c r="N3742" s="34" t="str">
        <f aca="false">IF(D3742="","",IFERROR(INDEX(I_COA!$G$6:$G$265,MATCH(D3742,I_COA!$A$6:$A$265,0)),"N"))</f>
        <v/>
      </c>
      <c r="O3742" s="11" t="str">
        <f aca="false">IF(N3742="N",ABS(J3742),"")</f>
        <v/>
      </c>
      <c r="P3742" s="18" t="str">
        <f aca="false">IF(N3742="N",B3742&amp;"|"&amp;ROUND(O3742,0),"")</f>
        <v/>
      </c>
      <c r="Q3742" s="18" t="str">
        <f aca="false">IF(N3742&lt;&gt;"Y","",IFERROR(INDEX($D$6:$D$4005,MATCH(B3742&amp;"|"&amp;ROUND(_xlfn.MAXIFS($O$6:$O$4005,$B$6:$B$4005,B3742,$N$6:$N$4005,"N"),0),$P$6:$P$4005,0)),"(tanpa lawan)"))</f>
        <v/>
      </c>
      <c r="R3742" s="44"/>
      <c r="S3742" s="9" t="str">
        <f aca="false">IF(N3742&lt;&gt;"Y","",IF(R3742&lt;&gt;"",R3742,IF(Q3742="(tanpa lawan)","Transfer antar rekening",IFERROR(INDEX(I_COA!$F$6:$F$265,MATCH(Q3742,I_COA!$A$6:$A$265,0)),"?"))))</f>
        <v/>
      </c>
    </row>
    <row r="3743" customFormat="false" ht="15" hidden="false" customHeight="false" outlineLevel="0" collapsed="false">
      <c r="A3743" s="37"/>
      <c r="B3743" s="44"/>
      <c r="C3743" s="44"/>
      <c r="D3743" s="44"/>
      <c r="E3743" s="44"/>
      <c r="F3743" s="44"/>
      <c r="G3743" s="42"/>
      <c r="H3743" s="42"/>
      <c r="I3743" s="44"/>
      <c r="J3743" s="11" t="str">
        <f aca="false">IF(D3743="","",N(G3743)-N(H3743))</f>
        <v/>
      </c>
      <c r="K3743" s="34" t="str">
        <f aca="false">IF(D3743="","",IFERROR(INDEX(I_COA!$C$6:$C$265,MATCH(D3743,I_COA!$A$6:$A$265,0)),"AKUN BARU"))</f>
        <v/>
      </c>
      <c r="L3743" s="34" t="str">
        <f aca="false">IF(K3743="LabaRugi",INDEX(I_COA!$D$6:$D$265,MATCH(D3743,I_COA!$A$6:$A$265,0)),"")</f>
        <v/>
      </c>
      <c r="M3743" s="34" t="str">
        <f aca="false">IF(K3743="Neraca",INDEX(I_COA!$E$6:$E$265,MATCH(D3743,I_COA!$A$6:$A$265,0)),"")</f>
        <v/>
      </c>
      <c r="N3743" s="34" t="str">
        <f aca="false">IF(D3743="","",IFERROR(INDEX(I_COA!$G$6:$G$265,MATCH(D3743,I_COA!$A$6:$A$265,0)),"N"))</f>
        <v/>
      </c>
      <c r="O3743" s="11" t="str">
        <f aca="false">IF(N3743="N",ABS(J3743),"")</f>
        <v/>
      </c>
      <c r="P3743" s="18" t="str">
        <f aca="false">IF(N3743="N",B3743&amp;"|"&amp;ROUND(O3743,0),"")</f>
        <v/>
      </c>
      <c r="Q3743" s="18" t="str">
        <f aca="false">IF(N3743&lt;&gt;"Y","",IFERROR(INDEX($D$6:$D$4005,MATCH(B3743&amp;"|"&amp;ROUND(_xlfn.MAXIFS($O$6:$O$4005,$B$6:$B$4005,B3743,$N$6:$N$4005,"N"),0),$P$6:$P$4005,0)),"(tanpa lawan)"))</f>
        <v/>
      </c>
      <c r="R3743" s="44"/>
      <c r="S3743" s="9" t="str">
        <f aca="false">IF(N3743&lt;&gt;"Y","",IF(R3743&lt;&gt;"",R3743,IF(Q3743="(tanpa lawan)","Transfer antar rekening",IFERROR(INDEX(I_COA!$F$6:$F$265,MATCH(Q3743,I_COA!$A$6:$A$265,0)),"?"))))</f>
        <v/>
      </c>
    </row>
    <row r="3744" customFormat="false" ht="15" hidden="false" customHeight="false" outlineLevel="0" collapsed="false">
      <c r="A3744" s="37"/>
      <c r="B3744" s="44"/>
      <c r="C3744" s="44"/>
      <c r="D3744" s="44"/>
      <c r="E3744" s="44"/>
      <c r="F3744" s="44"/>
      <c r="G3744" s="42"/>
      <c r="H3744" s="42"/>
      <c r="I3744" s="44"/>
      <c r="J3744" s="11" t="str">
        <f aca="false">IF(D3744="","",N(G3744)-N(H3744))</f>
        <v/>
      </c>
      <c r="K3744" s="34" t="str">
        <f aca="false">IF(D3744="","",IFERROR(INDEX(I_COA!$C$6:$C$265,MATCH(D3744,I_COA!$A$6:$A$265,0)),"AKUN BARU"))</f>
        <v/>
      </c>
      <c r="L3744" s="34" t="str">
        <f aca="false">IF(K3744="LabaRugi",INDEX(I_COA!$D$6:$D$265,MATCH(D3744,I_COA!$A$6:$A$265,0)),"")</f>
        <v/>
      </c>
      <c r="M3744" s="34" t="str">
        <f aca="false">IF(K3744="Neraca",INDEX(I_COA!$E$6:$E$265,MATCH(D3744,I_COA!$A$6:$A$265,0)),"")</f>
        <v/>
      </c>
      <c r="N3744" s="34" t="str">
        <f aca="false">IF(D3744="","",IFERROR(INDEX(I_COA!$G$6:$G$265,MATCH(D3744,I_COA!$A$6:$A$265,0)),"N"))</f>
        <v/>
      </c>
      <c r="O3744" s="11" t="str">
        <f aca="false">IF(N3744="N",ABS(J3744),"")</f>
        <v/>
      </c>
      <c r="P3744" s="18" t="str">
        <f aca="false">IF(N3744="N",B3744&amp;"|"&amp;ROUND(O3744,0),"")</f>
        <v/>
      </c>
      <c r="Q3744" s="18" t="str">
        <f aca="false">IF(N3744&lt;&gt;"Y","",IFERROR(INDEX($D$6:$D$4005,MATCH(B3744&amp;"|"&amp;ROUND(_xlfn.MAXIFS($O$6:$O$4005,$B$6:$B$4005,B3744,$N$6:$N$4005,"N"),0),$P$6:$P$4005,0)),"(tanpa lawan)"))</f>
        <v/>
      </c>
      <c r="R3744" s="44"/>
      <c r="S3744" s="9" t="str">
        <f aca="false">IF(N3744&lt;&gt;"Y","",IF(R3744&lt;&gt;"",R3744,IF(Q3744="(tanpa lawan)","Transfer antar rekening",IFERROR(INDEX(I_COA!$F$6:$F$265,MATCH(Q3744,I_COA!$A$6:$A$265,0)),"?"))))</f>
        <v/>
      </c>
    </row>
    <row r="3745" customFormat="false" ht="15" hidden="false" customHeight="false" outlineLevel="0" collapsed="false">
      <c r="A3745" s="37"/>
      <c r="B3745" s="44"/>
      <c r="C3745" s="44"/>
      <c r="D3745" s="44"/>
      <c r="E3745" s="44"/>
      <c r="F3745" s="44"/>
      <c r="G3745" s="42"/>
      <c r="H3745" s="42"/>
      <c r="I3745" s="44"/>
      <c r="J3745" s="11" t="str">
        <f aca="false">IF(D3745="","",N(G3745)-N(H3745))</f>
        <v/>
      </c>
      <c r="K3745" s="34" t="str">
        <f aca="false">IF(D3745="","",IFERROR(INDEX(I_COA!$C$6:$C$265,MATCH(D3745,I_COA!$A$6:$A$265,0)),"AKUN BARU"))</f>
        <v/>
      </c>
      <c r="L3745" s="34" t="str">
        <f aca="false">IF(K3745="LabaRugi",INDEX(I_COA!$D$6:$D$265,MATCH(D3745,I_COA!$A$6:$A$265,0)),"")</f>
        <v/>
      </c>
      <c r="M3745" s="34" t="str">
        <f aca="false">IF(K3745="Neraca",INDEX(I_COA!$E$6:$E$265,MATCH(D3745,I_COA!$A$6:$A$265,0)),"")</f>
        <v/>
      </c>
      <c r="N3745" s="34" t="str">
        <f aca="false">IF(D3745="","",IFERROR(INDEX(I_COA!$G$6:$G$265,MATCH(D3745,I_COA!$A$6:$A$265,0)),"N"))</f>
        <v/>
      </c>
      <c r="O3745" s="11" t="str">
        <f aca="false">IF(N3745="N",ABS(J3745),"")</f>
        <v/>
      </c>
      <c r="P3745" s="18" t="str">
        <f aca="false">IF(N3745="N",B3745&amp;"|"&amp;ROUND(O3745,0),"")</f>
        <v/>
      </c>
      <c r="Q3745" s="18" t="str">
        <f aca="false">IF(N3745&lt;&gt;"Y","",IFERROR(INDEX($D$6:$D$4005,MATCH(B3745&amp;"|"&amp;ROUND(_xlfn.MAXIFS($O$6:$O$4005,$B$6:$B$4005,B3745,$N$6:$N$4005,"N"),0),$P$6:$P$4005,0)),"(tanpa lawan)"))</f>
        <v/>
      </c>
      <c r="R3745" s="44"/>
      <c r="S3745" s="9" t="str">
        <f aca="false">IF(N3745&lt;&gt;"Y","",IF(R3745&lt;&gt;"",R3745,IF(Q3745="(tanpa lawan)","Transfer antar rekening",IFERROR(INDEX(I_COA!$F$6:$F$265,MATCH(Q3745,I_COA!$A$6:$A$265,0)),"?"))))</f>
        <v/>
      </c>
    </row>
    <row r="3746" customFormat="false" ht="15" hidden="false" customHeight="false" outlineLevel="0" collapsed="false">
      <c r="A3746" s="37"/>
      <c r="B3746" s="44"/>
      <c r="C3746" s="44"/>
      <c r="D3746" s="44"/>
      <c r="E3746" s="44"/>
      <c r="F3746" s="44"/>
      <c r="G3746" s="42"/>
      <c r="H3746" s="42"/>
      <c r="I3746" s="44"/>
      <c r="J3746" s="11" t="str">
        <f aca="false">IF(D3746="","",N(G3746)-N(H3746))</f>
        <v/>
      </c>
      <c r="K3746" s="34" t="str">
        <f aca="false">IF(D3746="","",IFERROR(INDEX(I_COA!$C$6:$C$265,MATCH(D3746,I_COA!$A$6:$A$265,0)),"AKUN BARU"))</f>
        <v/>
      </c>
      <c r="L3746" s="34" t="str">
        <f aca="false">IF(K3746="LabaRugi",INDEX(I_COA!$D$6:$D$265,MATCH(D3746,I_COA!$A$6:$A$265,0)),"")</f>
        <v/>
      </c>
      <c r="M3746" s="34" t="str">
        <f aca="false">IF(K3746="Neraca",INDEX(I_COA!$E$6:$E$265,MATCH(D3746,I_COA!$A$6:$A$265,0)),"")</f>
        <v/>
      </c>
      <c r="N3746" s="34" t="str">
        <f aca="false">IF(D3746="","",IFERROR(INDEX(I_COA!$G$6:$G$265,MATCH(D3746,I_COA!$A$6:$A$265,0)),"N"))</f>
        <v/>
      </c>
      <c r="O3746" s="11" t="str">
        <f aca="false">IF(N3746="N",ABS(J3746),"")</f>
        <v/>
      </c>
      <c r="P3746" s="18" t="str">
        <f aca="false">IF(N3746="N",B3746&amp;"|"&amp;ROUND(O3746,0),"")</f>
        <v/>
      </c>
      <c r="Q3746" s="18" t="str">
        <f aca="false">IF(N3746&lt;&gt;"Y","",IFERROR(INDEX($D$6:$D$4005,MATCH(B3746&amp;"|"&amp;ROUND(_xlfn.MAXIFS($O$6:$O$4005,$B$6:$B$4005,B3746,$N$6:$N$4005,"N"),0),$P$6:$P$4005,0)),"(tanpa lawan)"))</f>
        <v/>
      </c>
      <c r="R3746" s="44"/>
      <c r="S3746" s="9" t="str">
        <f aca="false">IF(N3746&lt;&gt;"Y","",IF(R3746&lt;&gt;"",R3746,IF(Q3746="(tanpa lawan)","Transfer antar rekening",IFERROR(INDEX(I_COA!$F$6:$F$265,MATCH(Q3746,I_COA!$A$6:$A$265,0)),"?"))))</f>
        <v/>
      </c>
    </row>
    <row r="3747" customFormat="false" ht="15" hidden="false" customHeight="false" outlineLevel="0" collapsed="false">
      <c r="A3747" s="37"/>
      <c r="B3747" s="44"/>
      <c r="C3747" s="44"/>
      <c r="D3747" s="44"/>
      <c r="E3747" s="44"/>
      <c r="F3747" s="44"/>
      <c r="G3747" s="42"/>
      <c r="H3747" s="42"/>
      <c r="I3747" s="44"/>
      <c r="J3747" s="11" t="str">
        <f aca="false">IF(D3747="","",N(G3747)-N(H3747))</f>
        <v/>
      </c>
      <c r="K3747" s="34" t="str">
        <f aca="false">IF(D3747="","",IFERROR(INDEX(I_COA!$C$6:$C$265,MATCH(D3747,I_COA!$A$6:$A$265,0)),"AKUN BARU"))</f>
        <v/>
      </c>
      <c r="L3747" s="34" t="str">
        <f aca="false">IF(K3747="LabaRugi",INDEX(I_COA!$D$6:$D$265,MATCH(D3747,I_COA!$A$6:$A$265,0)),"")</f>
        <v/>
      </c>
      <c r="M3747" s="34" t="str">
        <f aca="false">IF(K3747="Neraca",INDEX(I_COA!$E$6:$E$265,MATCH(D3747,I_COA!$A$6:$A$265,0)),"")</f>
        <v/>
      </c>
      <c r="N3747" s="34" t="str">
        <f aca="false">IF(D3747="","",IFERROR(INDEX(I_COA!$G$6:$G$265,MATCH(D3747,I_COA!$A$6:$A$265,0)),"N"))</f>
        <v/>
      </c>
      <c r="O3747" s="11" t="str">
        <f aca="false">IF(N3747="N",ABS(J3747),"")</f>
        <v/>
      </c>
      <c r="P3747" s="18" t="str">
        <f aca="false">IF(N3747="N",B3747&amp;"|"&amp;ROUND(O3747,0),"")</f>
        <v/>
      </c>
      <c r="Q3747" s="18" t="str">
        <f aca="false">IF(N3747&lt;&gt;"Y","",IFERROR(INDEX($D$6:$D$4005,MATCH(B3747&amp;"|"&amp;ROUND(_xlfn.MAXIFS($O$6:$O$4005,$B$6:$B$4005,B3747,$N$6:$N$4005,"N"),0),$P$6:$P$4005,0)),"(tanpa lawan)"))</f>
        <v/>
      </c>
      <c r="R3747" s="44"/>
      <c r="S3747" s="9" t="str">
        <f aca="false">IF(N3747&lt;&gt;"Y","",IF(R3747&lt;&gt;"",R3747,IF(Q3747="(tanpa lawan)","Transfer antar rekening",IFERROR(INDEX(I_COA!$F$6:$F$265,MATCH(Q3747,I_COA!$A$6:$A$265,0)),"?"))))</f>
        <v/>
      </c>
    </row>
    <row r="3748" customFormat="false" ht="15" hidden="false" customHeight="false" outlineLevel="0" collapsed="false">
      <c r="A3748" s="37"/>
      <c r="B3748" s="44"/>
      <c r="C3748" s="44"/>
      <c r="D3748" s="44"/>
      <c r="E3748" s="44"/>
      <c r="F3748" s="44"/>
      <c r="G3748" s="42"/>
      <c r="H3748" s="42"/>
      <c r="I3748" s="44"/>
      <c r="J3748" s="11" t="str">
        <f aca="false">IF(D3748="","",N(G3748)-N(H3748))</f>
        <v/>
      </c>
      <c r="K3748" s="34" t="str">
        <f aca="false">IF(D3748="","",IFERROR(INDEX(I_COA!$C$6:$C$265,MATCH(D3748,I_COA!$A$6:$A$265,0)),"AKUN BARU"))</f>
        <v/>
      </c>
      <c r="L3748" s="34" t="str">
        <f aca="false">IF(K3748="LabaRugi",INDEX(I_COA!$D$6:$D$265,MATCH(D3748,I_COA!$A$6:$A$265,0)),"")</f>
        <v/>
      </c>
      <c r="M3748" s="34" t="str">
        <f aca="false">IF(K3748="Neraca",INDEX(I_COA!$E$6:$E$265,MATCH(D3748,I_COA!$A$6:$A$265,0)),"")</f>
        <v/>
      </c>
      <c r="N3748" s="34" t="str">
        <f aca="false">IF(D3748="","",IFERROR(INDEX(I_COA!$G$6:$G$265,MATCH(D3748,I_COA!$A$6:$A$265,0)),"N"))</f>
        <v/>
      </c>
      <c r="O3748" s="11" t="str">
        <f aca="false">IF(N3748="N",ABS(J3748),"")</f>
        <v/>
      </c>
      <c r="P3748" s="18" t="str">
        <f aca="false">IF(N3748="N",B3748&amp;"|"&amp;ROUND(O3748,0),"")</f>
        <v/>
      </c>
      <c r="Q3748" s="18" t="str">
        <f aca="false">IF(N3748&lt;&gt;"Y","",IFERROR(INDEX($D$6:$D$4005,MATCH(B3748&amp;"|"&amp;ROUND(_xlfn.MAXIFS($O$6:$O$4005,$B$6:$B$4005,B3748,$N$6:$N$4005,"N"),0),$P$6:$P$4005,0)),"(tanpa lawan)"))</f>
        <v/>
      </c>
      <c r="R3748" s="44"/>
      <c r="S3748" s="9" t="str">
        <f aca="false">IF(N3748&lt;&gt;"Y","",IF(R3748&lt;&gt;"",R3748,IF(Q3748="(tanpa lawan)","Transfer antar rekening",IFERROR(INDEX(I_COA!$F$6:$F$265,MATCH(Q3748,I_COA!$A$6:$A$265,0)),"?"))))</f>
        <v/>
      </c>
    </row>
    <row r="3749" customFormat="false" ht="15" hidden="false" customHeight="false" outlineLevel="0" collapsed="false">
      <c r="A3749" s="37"/>
      <c r="B3749" s="44"/>
      <c r="C3749" s="44"/>
      <c r="D3749" s="44"/>
      <c r="E3749" s="44"/>
      <c r="F3749" s="44"/>
      <c r="G3749" s="42"/>
      <c r="H3749" s="42"/>
      <c r="I3749" s="44"/>
      <c r="J3749" s="11" t="str">
        <f aca="false">IF(D3749="","",N(G3749)-N(H3749))</f>
        <v/>
      </c>
      <c r="K3749" s="34" t="str">
        <f aca="false">IF(D3749="","",IFERROR(INDEX(I_COA!$C$6:$C$265,MATCH(D3749,I_COA!$A$6:$A$265,0)),"AKUN BARU"))</f>
        <v/>
      </c>
      <c r="L3749" s="34" t="str">
        <f aca="false">IF(K3749="LabaRugi",INDEX(I_COA!$D$6:$D$265,MATCH(D3749,I_COA!$A$6:$A$265,0)),"")</f>
        <v/>
      </c>
      <c r="M3749" s="34" t="str">
        <f aca="false">IF(K3749="Neraca",INDEX(I_COA!$E$6:$E$265,MATCH(D3749,I_COA!$A$6:$A$265,0)),"")</f>
        <v/>
      </c>
      <c r="N3749" s="34" t="str">
        <f aca="false">IF(D3749="","",IFERROR(INDEX(I_COA!$G$6:$G$265,MATCH(D3749,I_COA!$A$6:$A$265,0)),"N"))</f>
        <v/>
      </c>
      <c r="O3749" s="11" t="str">
        <f aca="false">IF(N3749="N",ABS(J3749),"")</f>
        <v/>
      </c>
      <c r="P3749" s="18" t="str">
        <f aca="false">IF(N3749="N",B3749&amp;"|"&amp;ROUND(O3749,0),"")</f>
        <v/>
      </c>
      <c r="Q3749" s="18" t="str">
        <f aca="false">IF(N3749&lt;&gt;"Y","",IFERROR(INDEX($D$6:$D$4005,MATCH(B3749&amp;"|"&amp;ROUND(_xlfn.MAXIFS($O$6:$O$4005,$B$6:$B$4005,B3749,$N$6:$N$4005,"N"),0),$P$6:$P$4005,0)),"(tanpa lawan)"))</f>
        <v/>
      </c>
      <c r="R3749" s="44"/>
      <c r="S3749" s="9" t="str">
        <f aca="false">IF(N3749&lt;&gt;"Y","",IF(R3749&lt;&gt;"",R3749,IF(Q3749="(tanpa lawan)","Transfer antar rekening",IFERROR(INDEX(I_COA!$F$6:$F$265,MATCH(Q3749,I_COA!$A$6:$A$265,0)),"?"))))</f>
        <v/>
      </c>
    </row>
    <row r="3750" customFormat="false" ht="15" hidden="false" customHeight="false" outlineLevel="0" collapsed="false">
      <c r="A3750" s="37"/>
      <c r="B3750" s="44"/>
      <c r="C3750" s="44"/>
      <c r="D3750" s="44"/>
      <c r="E3750" s="44"/>
      <c r="F3750" s="44"/>
      <c r="G3750" s="42"/>
      <c r="H3750" s="42"/>
      <c r="I3750" s="44"/>
      <c r="J3750" s="11" t="str">
        <f aca="false">IF(D3750="","",N(G3750)-N(H3750))</f>
        <v/>
      </c>
      <c r="K3750" s="34" t="str">
        <f aca="false">IF(D3750="","",IFERROR(INDEX(I_COA!$C$6:$C$265,MATCH(D3750,I_COA!$A$6:$A$265,0)),"AKUN BARU"))</f>
        <v/>
      </c>
      <c r="L3750" s="34" t="str">
        <f aca="false">IF(K3750="LabaRugi",INDEX(I_COA!$D$6:$D$265,MATCH(D3750,I_COA!$A$6:$A$265,0)),"")</f>
        <v/>
      </c>
      <c r="M3750" s="34" t="str">
        <f aca="false">IF(K3750="Neraca",INDEX(I_COA!$E$6:$E$265,MATCH(D3750,I_COA!$A$6:$A$265,0)),"")</f>
        <v/>
      </c>
      <c r="N3750" s="34" t="str">
        <f aca="false">IF(D3750="","",IFERROR(INDEX(I_COA!$G$6:$G$265,MATCH(D3750,I_COA!$A$6:$A$265,0)),"N"))</f>
        <v/>
      </c>
      <c r="O3750" s="11" t="str">
        <f aca="false">IF(N3750="N",ABS(J3750),"")</f>
        <v/>
      </c>
      <c r="P3750" s="18" t="str">
        <f aca="false">IF(N3750="N",B3750&amp;"|"&amp;ROUND(O3750,0),"")</f>
        <v/>
      </c>
      <c r="Q3750" s="18" t="str">
        <f aca="false">IF(N3750&lt;&gt;"Y","",IFERROR(INDEX($D$6:$D$4005,MATCH(B3750&amp;"|"&amp;ROUND(_xlfn.MAXIFS($O$6:$O$4005,$B$6:$B$4005,B3750,$N$6:$N$4005,"N"),0),$P$6:$P$4005,0)),"(tanpa lawan)"))</f>
        <v/>
      </c>
      <c r="R3750" s="44"/>
      <c r="S3750" s="9" t="str">
        <f aca="false">IF(N3750&lt;&gt;"Y","",IF(R3750&lt;&gt;"",R3750,IF(Q3750="(tanpa lawan)","Transfer antar rekening",IFERROR(INDEX(I_COA!$F$6:$F$265,MATCH(Q3750,I_COA!$A$6:$A$265,0)),"?"))))</f>
        <v/>
      </c>
    </row>
    <row r="3751" customFormat="false" ht="15" hidden="false" customHeight="false" outlineLevel="0" collapsed="false">
      <c r="A3751" s="37"/>
      <c r="B3751" s="44"/>
      <c r="C3751" s="44"/>
      <c r="D3751" s="44"/>
      <c r="E3751" s="44"/>
      <c r="F3751" s="44"/>
      <c r="G3751" s="42"/>
      <c r="H3751" s="42"/>
      <c r="I3751" s="44"/>
      <c r="J3751" s="11" t="str">
        <f aca="false">IF(D3751="","",N(G3751)-N(H3751))</f>
        <v/>
      </c>
      <c r="K3751" s="34" t="str">
        <f aca="false">IF(D3751="","",IFERROR(INDEX(I_COA!$C$6:$C$265,MATCH(D3751,I_COA!$A$6:$A$265,0)),"AKUN BARU"))</f>
        <v/>
      </c>
      <c r="L3751" s="34" t="str">
        <f aca="false">IF(K3751="LabaRugi",INDEX(I_COA!$D$6:$D$265,MATCH(D3751,I_COA!$A$6:$A$265,0)),"")</f>
        <v/>
      </c>
      <c r="M3751" s="34" t="str">
        <f aca="false">IF(K3751="Neraca",INDEX(I_COA!$E$6:$E$265,MATCH(D3751,I_COA!$A$6:$A$265,0)),"")</f>
        <v/>
      </c>
      <c r="N3751" s="34" t="str">
        <f aca="false">IF(D3751="","",IFERROR(INDEX(I_COA!$G$6:$G$265,MATCH(D3751,I_COA!$A$6:$A$265,0)),"N"))</f>
        <v/>
      </c>
      <c r="O3751" s="11" t="str">
        <f aca="false">IF(N3751="N",ABS(J3751),"")</f>
        <v/>
      </c>
      <c r="P3751" s="18" t="str">
        <f aca="false">IF(N3751="N",B3751&amp;"|"&amp;ROUND(O3751,0),"")</f>
        <v/>
      </c>
      <c r="Q3751" s="18" t="str">
        <f aca="false">IF(N3751&lt;&gt;"Y","",IFERROR(INDEX($D$6:$D$4005,MATCH(B3751&amp;"|"&amp;ROUND(_xlfn.MAXIFS($O$6:$O$4005,$B$6:$B$4005,B3751,$N$6:$N$4005,"N"),0),$P$6:$P$4005,0)),"(tanpa lawan)"))</f>
        <v/>
      </c>
      <c r="R3751" s="44"/>
      <c r="S3751" s="9" t="str">
        <f aca="false">IF(N3751&lt;&gt;"Y","",IF(R3751&lt;&gt;"",R3751,IF(Q3751="(tanpa lawan)","Transfer antar rekening",IFERROR(INDEX(I_COA!$F$6:$F$265,MATCH(Q3751,I_COA!$A$6:$A$265,0)),"?"))))</f>
        <v/>
      </c>
    </row>
    <row r="3752" customFormat="false" ht="15" hidden="false" customHeight="false" outlineLevel="0" collapsed="false">
      <c r="A3752" s="37"/>
      <c r="B3752" s="44"/>
      <c r="C3752" s="44"/>
      <c r="D3752" s="44"/>
      <c r="E3752" s="44"/>
      <c r="F3752" s="44"/>
      <c r="G3752" s="42"/>
      <c r="H3752" s="42"/>
      <c r="I3752" s="44"/>
      <c r="J3752" s="11" t="str">
        <f aca="false">IF(D3752="","",N(G3752)-N(H3752))</f>
        <v/>
      </c>
      <c r="K3752" s="34" t="str">
        <f aca="false">IF(D3752="","",IFERROR(INDEX(I_COA!$C$6:$C$265,MATCH(D3752,I_COA!$A$6:$A$265,0)),"AKUN BARU"))</f>
        <v/>
      </c>
      <c r="L3752" s="34" t="str">
        <f aca="false">IF(K3752="LabaRugi",INDEX(I_COA!$D$6:$D$265,MATCH(D3752,I_COA!$A$6:$A$265,0)),"")</f>
        <v/>
      </c>
      <c r="M3752" s="34" t="str">
        <f aca="false">IF(K3752="Neraca",INDEX(I_COA!$E$6:$E$265,MATCH(D3752,I_COA!$A$6:$A$265,0)),"")</f>
        <v/>
      </c>
      <c r="N3752" s="34" t="str">
        <f aca="false">IF(D3752="","",IFERROR(INDEX(I_COA!$G$6:$G$265,MATCH(D3752,I_COA!$A$6:$A$265,0)),"N"))</f>
        <v/>
      </c>
      <c r="O3752" s="11" t="str">
        <f aca="false">IF(N3752="N",ABS(J3752),"")</f>
        <v/>
      </c>
      <c r="P3752" s="18" t="str">
        <f aca="false">IF(N3752="N",B3752&amp;"|"&amp;ROUND(O3752,0),"")</f>
        <v/>
      </c>
      <c r="Q3752" s="18" t="str">
        <f aca="false">IF(N3752&lt;&gt;"Y","",IFERROR(INDEX($D$6:$D$4005,MATCH(B3752&amp;"|"&amp;ROUND(_xlfn.MAXIFS($O$6:$O$4005,$B$6:$B$4005,B3752,$N$6:$N$4005,"N"),0),$P$6:$P$4005,0)),"(tanpa lawan)"))</f>
        <v/>
      </c>
      <c r="R3752" s="44"/>
      <c r="S3752" s="9" t="str">
        <f aca="false">IF(N3752&lt;&gt;"Y","",IF(R3752&lt;&gt;"",R3752,IF(Q3752="(tanpa lawan)","Transfer antar rekening",IFERROR(INDEX(I_COA!$F$6:$F$265,MATCH(Q3752,I_COA!$A$6:$A$265,0)),"?"))))</f>
        <v/>
      </c>
    </row>
    <row r="3753" customFormat="false" ht="15" hidden="false" customHeight="false" outlineLevel="0" collapsed="false">
      <c r="A3753" s="37"/>
      <c r="B3753" s="44"/>
      <c r="C3753" s="44"/>
      <c r="D3753" s="44"/>
      <c r="E3753" s="44"/>
      <c r="F3753" s="44"/>
      <c r="G3753" s="42"/>
      <c r="H3753" s="42"/>
      <c r="I3753" s="44"/>
      <c r="J3753" s="11" t="str">
        <f aca="false">IF(D3753="","",N(G3753)-N(H3753))</f>
        <v/>
      </c>
      <c r="K3753" s="34" t="str">
        <f aca="false">IF(D3753="","",IFERROR(INDEX(I_COA!$C$6:$C$265,MATCH(D3753,I_COA!$A$6:$A$265,0)),"AKUN BARU"))</f>
        <v/>
      </c>
      <c r="L3753" s="34" t="str">
        <f aca="false">IF(K3753="LabaRugi",INDEX(I_COA!$D$6:$D$265,MATCH(D3753,I_COA!$A$6:$A$265,0)),"")</f>
        <v/>
      </c>
      <c r="M3753" s="34" t="str">
        <f aca="false">IF(K3753="Neraca",INDEX(I_COA!$E$6:$E$265,MATCH(D3753,I_COA!$A$6:$A$265,0)),"")</f>
        <v/>
      </c>
      <c r="N3753" s="34" t="str">
        <f aca="false">IF(D3753="","",IFERROR(INDEX(I_COA!$G$6:$G$265,MATCH(D3753,I_COA!$A$6:$A$265,0)),"N"))</f>
        <v/>
      </c>
      <c r="O3753" s="11" t="str">
        <f aca="false">IF(N3753="N",ABS(J3753),"")</f>
        <v/>
      </c>
      <c r="P3753" s="18" t="str">
        <f aca="false">IF(N3753="N",B3753&amp;"|"&amp;ROUND(O3753,0),"")</f>
        <v/>
      </c>
      <c r="Q3753" s="18" t="str">
        <f aca="false">IF(N3753&lt;&gt;"Y","",IFERROR(INDEX($D$6:$D$4005,MATCH(B3753&amp;"|"&amp;ROUND(_xlfn.MAXIFS($O$6:$O$4005,$B$6:$B$4005,B3753,$N$6:$N$4005,"N"),0),$P$6:$P$4005,0)),"(tanpa lawan)"))</f>
        <v/>
      </c>
      <c r="R3753" s="44"/>
      <c r="S3753" s="9" t="str">
        <f aca="false">IF(N3753&lt;&gt;"Y","",IF(R3753&lt;&gt;"",R3753,IF(Q3753="(tanpa lawan)","Transfer antar rekening",IFERROR(INDEX(I_COA!$F$6:$F$265,MATCH(Q3753,I_COA!$A$6:$A$265,0)),"?"))))</f>
        <v/>
      </c>
    </row>
    <row r="3754" customFormat="false" ht="15" hidden="false" customHeight="false" outlineLevel="0" collapsed="false">
      <c r="A3754" s="37"/>
      <c r="B3754" s="44"/>
      <c r="C3754" s="44"/>
      <c r="D3754" s="44"/>
      <c r="E3754" s="44"/>
      <c r="F3754" s="44"/>
      <c r="G3754" s="42"/>
      <c r="H3754" s="42"/>
      <c r="I3754" s="44"/>
      <c r="J3754" s="11" t="str">
        <f aca="false">IF(D3754="","",N(G3754)-N(H3754))</f>
        <v/>
      </c>
      <c r="K3754" s="34" t="str">
        <f aca="false">IF(D3754="","",IFERROR(INDEX(I_COA!$C$6:$C$265,MATCH(D3754,I_COA!$A$6:$A$265,0)),"AKUN BARU"))</f>
        <v/>
      </c>
      <c r="L3754" s="34" t="str">
        <f aca="false">IF(K3754="LabaRugi",INDEX(I_COA!$D$6:$D$265,MATCH(D3754,I_COA!$A$6:$A$265,0)),"")</f>
        <v/>
      </c>
      <c r="M3754" s="34" t="str">
        <f aca="false">IF(K3754="Neraca",INDEX(I_COA!$E$6:$E$265,MATCH(D3754,I_COA!$A$6:$A$265,0)),"")</f>
        <v/>
      </c>
      <c r="N3754" s="34" t="str">
        <f aca="false">IF(D3754="","",IFERROR(INDEX(I_COA!$G$6:$G$265,MATCH(D3754,I_COA!$A$6:$A$265,0)),"N"))</f>
        <v/>
      </c>
      <c r="O3754" s="11" t="str">
        <f aca="false">IF(N3754="N",ABS(J3754),"")</f>
        <v/>
      </c>
      <c r="P3754" s="18" t="str">
        <f aca="false">IF(N3754="N",B3754&amp;"|"&amp;ROUND(O3754,0),"")</f>
        <v/>
      </c>
      <c r="Q3754" s="18" t="str">
        <f aca="false">IF(N3754&lt;&gt;"Y","",IFERROR(INDEX($D$6:$D$4005,MATCH(B3754&amp;"|"&amp;ROUND(_xlfn.MAXIFS($O$6:$O$4005,$B$6:$B$4005,B3754,$N$6:$N$4005,"N"),0),$P$6:$P$4005,0)),"(tanpa lawan)"))</f>
        <v/>
      </c>
      <c r="R3754" s="44"/>
      <c r="S3754" s="9" t="str">
        <f aca="false">IF(N3754&lt;&gt;"Y","",IF(R3754&lt;&gt;"",R3754,IF(Q3754="(tanpa lawan)","Transfer antar rekening",IFERROR(INDEX(I_COA!$F$6:$F$265,MATCH(Q3754,I_COA!$A$6:$A$265,0)),"?"))))</f>
        <v/>
      </c>
    </row>
    <row r="3755" customFormat="false" ht="15" hidden="false" customHeight="false" outlineLevel="0" collapsed="false">
      <c r="A3755" s="37"/>
      <c r="B3755" s="44"/>
      <c r="C3755" s="44"/>
      <c r="D3755" s="44"/>
      <c r="E3755" s="44"/>
      <c r="F3755" s="44"/>
      <c r="G3755" s="42"/>
      <c r="H3755" s="42"/>
      <c r="I3755" s="44"/>
      <c r="J3755" s="11" t="str">
        <f aca="false">IF(D3755="","",N(G3755)-N(H3755))</f>
        <v/>
      </c>
      <c r="K3755" s="34" t="str">
        <f aca="false">IF(D3755="","",IFERROR(INDEX(I_COA!$C$6:$C$265,MATCH(D3755,I_COA!$A$6:$A$265,0)),"AKUN BARU"))</f>
        <v/>
      </c>
      <c r="L3755" s="34" t="str">
        <f aca="false">IF(K3755="LabaRugi",INDEX(I_COA!$D$6:$D$265,MATCH(D3755,I_COA!$A$6:$A$265,0)),"")</f>
        <v/>
      </c>
      <c r="M3755" s="34" t="str">
        <f aca="false">IF(K3755="Neraca",INDEX(I_COA!$E$6:$E$265,MATCH(D3755,I_COA!$A$6:$A$265,0)),"")</f>
        <v/>
      </c>
      <c r="N3755" s="34" t="str">
        <f aca="false">IF(D3755="","",IFERROR(INDEX(I_COA!$G$6:$G$265,MATCH(D3755,I_COA!$A$6:$A$265,0)),"N"))</f>
        <v/>
      </c>
      <c r="O3755" s="11" t="str">
        <f aca="false">IF(N3755="N",ABS(J3755),"")</f>
        <v/>
      </c>
      <c r="P3755" s="18" t="str">
        <f aca="false">IF(N3755="N",B3755&amp;"|"&amp;ROUND(O3755,0),"")</f>
        <v/>
      </c>
      <c r="Q3755" s="18" t="str">
        <f aca="false">IF(N3755&lt;&gt;"Y","",IFERROR(INDEX($D$6:$D$4005,MATCH(B3755&amp;"|"&amp;ROUND(_xlfn.MAXIFS($O$6:$O$4005,$B$6:$B$4005,B3755,$N$6:$N$4005,"N"),0),$P$6:$P$4005,0)),"(tanpa lawan)"))</f>
        <v/>
      </c>
      <c r="R3755" s="44"/>
      <c r="S3755" s="9" t="str">
        <f aca="false">IF(N3755&lt;&gt;"Y","",IF(R3755&lt;&gt;"",R3755,IF(Q3755="(tanpa lawan)","Transfer antar rekening",IFERROR(INDEX(I_COA!$F$6:$F$265,MATCH(Q3755,I_COA!$A$6:$A$265,0)),"?"))))</f>
        <v/>
      </c>
    </row>
    <row r="3756" customFormat="false" ht="15" hidden="false" customHeight="false" outlineLevel="0" collapsed="false">
      <c r="A3756" s="37"/>
      <c r="B3756" s="44"/>
      <c r="C3756" s="44"/>
      <c r="D3756" s="44"/>
      <c r="E3756" s="44"/>
      <c r="F3756" s="44"/>
      <c r="G3756" s="42"/>
      <c r="H3756" s="42"/>
      <c r="I3756" s="44"/>
      <c r="J3756" s="11" t="str">
        <f aca="false">IF(D3756="","",N(G3756)-N(H3756))</f>
        <v/>
      </c>
      <c r="K3756" s="34" t="str">
        <f aca="false">IF(D3756="","",IFERROR(INDEX(I_COA!$C$6:$C$265,MATCH(D3756,I_COA!$A$6:$A$265,0)),"AKUN BARU"))</f>
        <v/>
      </c>
      <c r="L3756" s="34" t="str">
        <f aca="false">IF(K3756="LabaRugi",INDEX(I_COA!$D$6:$D$265,MATCH(D3756,I_COA!$A$6:$A$265,0)),"")</f>
        <v/>
      </c>
      <c r="M3756" s="34" t="str">
        <f aca="false">IF(K3756="Neraca",INDEX(I_COA!$E$6:$E$265,MATCH(D3756,I_COA!$A$6:$A$265,0)),"")</f>
        <v/>
      </c>
      <c r="N3756" s="34" t="str">
        <f aca="false">IF(D3756="","",IFERROR(INDEX(I_COA!$G$6:$G$265,MATCH(D3756,I_COA!$A$6:$A$265,0)),"N"))</f>
        <v/>
      </c>
      <c r="O3756" s="11" t="str">
        <f aca="false">IF(N3756="N",ABS(J3756),"")</f>
        <v/>
      </c>
      <c r="P3756" s="18" t="str">
        <f aca="false">IF(N3756="N",B3756&amp;"|"&amp;ROUND(O3756,0),"")</f>
        <v/>
      </c>
      <c r="Q3756" s="18" t="str">
        <f aca="false">IF(N3756&lt;&gt;"Y","",IFERROR(INDEX($D$6:$D$4005,MATCH(B3756&amp;"|"&amp;ROUND(_xlfn.MAXIFS($O$6:$O$4005,$B$6:$B$4005,B3756,$N$6:$N$4005,"N"),0),$P$6:$P$4005,0)),"(tanpa lawan)"))</f>
        <v/>
      </c>
      <c r="R3756" s="44"/>
      <c r="S3756" s="9" t="str">
        <f aca="false">IF(N3756&lt;&gt;"Y","",IF(R3756&lt;&gt;"",R3756,IF(Q3756="(tanpa lawan)","Transfer antar rekening",IFERROR(INDEX(I_COA!$F$6:$F$265,MATCH(Q3756,I_COA!$A$6:$A$265,0)),"?"))))</f>
        <v/>
      </c>
    </row>
    <row r="3757" customFormat="false" ht="15" hidden="false" customHeight="false" outlineLevel="0" collapsed="false">
      <c r="A3757" s="37"/>
      <c r="B3757" s="44"/>
      <c r="C3757" s="44"/>
      <c r="D3757" s="44"/>
      <c r="E3757" s="44"/>
      <c r="F3757" s="44"/>
      <c r="G3757" s="42"/>
      <c r="H3757" s="42"/>
      <c r="I3757" s="44"/>
      <c r="J3757" s="11" t="str">
        <f aca="false">IF(D3757="","",N(G3757)-N(H3757))</f>
        <v/>
      </c>
      <c r="K3757" s="34" t="str">
        <f aca="false">IF(D3757="","",IFERROR(INDEX(I_COA!$C$6:$C$265,MATCH(D3757,I_COA!$A$6:$A$265,0)),"AKUN BARU"))</f>
        <v/>
      </c>
      <c r="L3757" s="34" t="str">
        <f aca="false">IF(K3757="LabaRugi",INDEX(I_COA!$D$6:$D$265,MATCH(D3757,I_COA!$A$6:$A$265,0)),"")</f>
        <v/>
      </c>
      <c r="M3757" s="34" t="str">
        <f aca="false">IF(K3757="Neraca",INDEX(I_COA!$E$6:$E$265,MATCH(D3757,I_COA!$A$6:$A$265,0)),"")</f>
        <v/>
      </c>
      <c r="N3757" s="34" t="str">
        <f aca="false">IF(D3757="","",IFERROR(INDEX(I_COA!$G$6:$G$265,MATCH(D3757,I_COA!$A$6:$A$265,0)),"N"))</f>
        <v/>
      </c>
      <c r="O3757" s="11" t="str">
        <f aca="false">IF(N3757="N",ABS(J3757),"")</f>
        <v/>
      </c>
      <c r="P3757" s="18" t="str">
        <f aca="false">IF(N3757="N",B3757&amp;"|"&amp;ROUND(O3757,0),"")</f>
        <v/>
      </c>
      <c r="Q3757" s="18" t="str">
        <f aca="false">IF(N3757&lt;&gt;"Y","",IFERROR(INDEX($D$6:$D$4005,MATCH(B3757&amp;"|"&amp;ROUND(_xlfn.MAXIFS($O$6:$O$4005,$B$6:$B$4005,B3757,$N$6:$N$4005,"N"),0),$P$6:$P$4005,0)),"(tanpa lawan)"))</f>
        <v/>
      </c>
      <c r="R3757" s="44"/>
      <c r="S3757" s="9" t="str">
        <f aca="false">IF(N3757&lt;&gt;"Y","",IF(R3757&lt;&gt;"",R3757,IF(Q3757="(tanpa lawan)","Transfer antar rekening",IFERROR(INDEX(I_COA!$F$6:$F$265,MATCH(Q3757,I_COA!$A$6:$A$265,0)),"?"))))</f>
        <v/>
      </c>
    </row>
    <row r="3758" customFormat="false" ht="15" hidden="false" customHeight="false" outlineLevel="0" collapsed="false">
      <c r="A3758" s="37"/>
      <c r="B3758" s="44"/>
      <c r="C3758" s="44"/>
      <c r="D3758" s="44"/>
      <c r="E3758" s="44"/>
      <c r="F3758" s="44"/>
      <c r="G3758" s="42"/>
      <c r="H3758" s="42"/>
      <c r="I3758" s="44"/>
      <c r="J3758" s="11" t="str">
        <f aca="false">IF(D3758="","",N(G3758)-N(H3758))</f>
        <v/>
      </c>
      <c r="K3758" s="34" t="str">
        <f aca="false">IF(D3758="","",IFERROR(INDEX(I_COA!$C$6:$C$265,MATCH(D3758,I_COA!$A$6:$A$265,0)),"AKUN BARU"))</f>
        <v/>
      </c>
      <c r="L3758" s="34" t="str">
        <f aca="false">IF(K3758="LabaRugi",INDEX(I_COA!$D$6:$D$265,MATCH(D3758,I_COA!$A$6:$A$265,0)),"")</f>
        <v/>
      </c>
      <c r="M3758" s="34" t="str">
        <f aca="false">IF(K3758="Neraca",INDEX(I_COA!$E$6:$E$265,MATCH(D3758,I_COA!$A$6:$A$265,0)),"")</f>
        <v/>
      </c>
      <c r="N3758" s="34" t="str">
        <f aca="false">IF(D3758="","",IFERROR(INDEX(I_COA!$G$6:$G$265,MATCH(D3758,I_COA!$A$6:$A$265,0)),"N"))</f>
        <v/>
      </c>
      <c r="O3758" s="11" t="str">
        <f aca="false">IF(N3758="N",ABS(J3758),"")</f>
        <v/>
      </c>
      <c r="P3758" s="18" t="str">
        <f aca="false">IF(N3758="N",B3758&amp;"|"&amp;ROUND(O3758,0),"")</f>
        <v/>
      </c>
      <c r="Q3758" s="18" t="str">
        <f aca="false">IF(N3758&lt;&gt;"Y","",IFERROR(INDEX($D$6:$D$4005,MATCH(B3758&amp;"|"&amp;ROUND(_xlfn.MAXIFS($O$6:$O$4005,$B$6:$B$4005,B3758,$N$6:$N$4005,"N"),0),$P$6:$P$4005,0)),"(tanpa lawan)"))</f>
        <v/>
      </c>
      <c r="R3758" s="44"/>
      <c r="S3758" s="9" t="str">
        <f aca="false">IF(N3758&lt;&gt;"Y","",IF(R3758&lt;&gt;"",R3758,IF(Q3758="(tanpa lawan)","Transfer antar rekening",IFERROR(INDEX(I_COA!$F$6:$F$265,MATCH(Q3758,I_COA!$A$6:$A$265,0)),"?"))))</f>
        <v/>
      </c>
    </row>
    <row r="3759" customFormat="false" ht="15" hidden="false" customHeight="false" outlineLevel="0" collapsed="false">
      <c r="A3759" s="37"/>
      <c r="B3759" s="44"/>
      <c r="C3759" s="44"/>
      <c r="D3759" s="44"/>
      <c r="E3759" s="44"/>
      <c r="F3759" s="44"/>
      <c r="G3759" s="42"/>
      <c r="H3759" s="42"/>
      <c r="I3759" s="44"/>
      <c r="J3759" s="11" t="str">
        <f aca="false">IF(D3759="","",N(G3759)-N(H3759))</f>
        <v/>
      </c>
      <c r="K3759" s="34" t="str">
        <f aca="false">IF(D3759="","",IFERROR(INDEX(I_COA!$C$6:$C$265,MATCH(D3759,I_COA!$A$6:$A$265,0)),"AKUN BARU"))</f>
        <v/>
      </c>
      <c r="L3759" s="34" t="str">
        <f aca="false">IF(K3759="LabaRugi",INDEX(I_COA!$D$6:$D$265,MATCH(D3759,I_COA!$A$6:$A$265,0)),"")</f>
        <v/>
      </c>
      <c r="M3759" s="34" t="str">
        <f aca="false">IF(K3759="Neraca",INDEX(I_COA!$E$6:$E$265,MATCH(D3759,I_COA!$A$6:$A$265,0)),"")</f>
        <v/>
      </c>
      <c r="N3759" s="34" t="str">
        <f aca="false">IF(D3759="","",IFERROR(INDEX(I_COA!$G$6:$G$265,MATCH(D3759,I_COA!$A$6:$A$265,0)),"N"))</f>
        <v/>
      </c>
      <c r="O3759" s="11" t="str">
        <f aca="false">IF(N3759="N",ABS(J3759),"")</f>
        <v/>
      </c>
      <c r="P3759" s="18" t="str">
        <f aca="false">IF(N3759="N",B3759&amp;"|"&amp;ROUND(O3759,0),"")</f>
        <v/>
      </c>
      <c r="Q3759" s="18" t="str">
        <f aca="false">IF(N3759&lt;&gt;"Y","",IFERROR(INDEX($D$6:$D$4005,MATCH(B3759&amp;"|"&amp;ROUND(_xlfn.MAXIFS($O$6:$O$4005,$B$6:$B$4005,B3759,$N$6:$N$4005,"N"),0),$P$6:$P$4005,0)),"(tanpa lawan)"))</f>
        <v/>
      </c>
      <c r="R3759" s="44"/>
      <c r="S3759" s="9" t="str">
        <f aca="false">IF(N3759&lt;&gt;"Y","",IF(R3759&lt;&gt;"",R3759,IF(Q3759="(tanpa lawan)","Transfer antar rekening",IFERROR(INDEX(I_COA!$F$6:$F$265,MATCH(Q3759,I_COA!$A$6:$A$265,0)),"?"))))</f>
        <v/>
      </c>
    </row>
    <row r="3760" customFormat="false" ht="15" hidden="false" customHeight="false" outlineLevel="0" collapsed="false">
      <c r="A3760" s="37"/>
      <c r="B3760" s="44"/>
      <c r="C3760" s="44"/>
      <c r="D3760" s="44"/>
      <c r="E3760" s="44"/>
      <c r="F3760" s="44"/>
      <c r="G3760" s="42"/>
      <c r="H3760" s="42"/>
      <c r="I3760" s="44"/>
      <c r="J3760" s="11" t="str">
        <f aca="false">IF(D3760="","",N(G3760)-N(H3760))</f>
        <v/>
      </c>
      <c r="K3760" s="34" t="str">
        <f aca="false">IF(D3760="","",IFERROR(INDEX(I_COA!$C$6:$C$265,MATCH(D3760,I_COA!$A$6:$A$265,0)),"AKUN BARU"))</f>
        <v/>
      </c>
      <c r="L3760" s="34" t="str">
        <f aca="false">IF(K3760="LabaRugi",INDEX(I_COA!$D$6:$D$265,MATCH(D3760,I_COA!$A$6:$A$265,0)),"")</f>
        <v/>
      </c>
      <c r="M3760" s="34" t="str">
        <f aca="false">IF(K3760="Neraca",INDEX(I_COA!$E$6:$E$265,MATCH(D3760,I_COA!$A$6:$A$265,0)),"")</f>
        <v/>
      </c>
      <c r="N3760" s="34" t="str">
        <f aca="false">IF(D3760="","",IFERROR(INDEX(I_COA!$G$6:$G$265,MATCH(D3760,I_COA!$A$6:$A$265,0)),"N"))</f>
        <v/>
      </c>
      <c r="O3760" s="11" t="str">
        <f aca="false">IF(N3760="N",ABS(J3760),"")</f>
        <v/>
      </c>
      <c r="P3760" s="18" t="str">
        <f aca="false">IF(N3760="N",B3760&amp;"|"&amp;ROUND(O3760,0),"")</f>
        <v/>
      </c>
      <c r="Q3760" s="18" t="str">
        <f aca="false">IF(N3760&lt;&gt;"Y","",IFERROR(INDEX($D$6:$D$4005,MATCH(B3760&amp;"|"&amp;ROUND(_xlfn.MAXIFS($O$6:$O$4005,$B$6:$B$4005,B3760,$N$6:$N$4005,"N"),0),$P$6:$P$4005,0)),"(tanpa lawan)"))</f>
        <v/>
      </c>
      <c r="R3760" s="44"/>
      <c r="S3760" s="9" t="str">
        <f aca="false">IF(N3760&lt;&gt;"Y","",IF(R3760&lt;&gt;"",R3760,IF(Q3760="(tanpa lawan)","Transfer antar rekening",IFERROR(INDEX(I_COA!$F$6:$F$265,MATCH(Q3760,I_COA!$A$6:$A$265,0)),"?"))))</f>
        <v/>
      </c>
    </row>
    <row r="3761" customFormat="false" ht="15" hidden="false" customHeight="false" outlineLevel="0" collapsed="false">
      <c r="A3761" s="37"/>
      <c r="B3761" s="44"/>
      <c r="C3761" s="44"/>
      <c r="D3761" s="44"/>
      <c r="E3761" s="44"/>
      <c r="F3761" s="44"/>
      <c r="G3761" s="42"/>
      <c r="H3761" s="42"/>
      <c r="I3761" s="44"/>
      <c r="J3761" s="11" t="str">
        <f aca="false">IF(D3761="","",N(G3761)-N(H3761))</f>
        <v/>
      </c>
      <c r="K3761" s="34" t="str">
        <f aca="false">IF(D3761="","",IFERROR(INDEX(I_COA!$C$6:$C$265,MATCH(D3761,I_COA!$A$6:$A$265,0)),"AKUN BARU"))</f>
        <v/>
      </c>
      <c r="L3761" s="34" t="str">
        <f aca="false">IF(K3761="LabaRugi",INDEX(I_COA!$D$6:$D$265,MATCH(D3761,I_COA!$A$6:$A$265,0)),"")</f>
        <v/>
      </c>
      <c r="M3761" s="34" t="str">
        <f aca="false">IF(K3761="Neraca",INDEX(I_COA!$E$6:$E$265,MATCH(D3761,I_COA!$A$6:$A$265,0)),"")</f>
        <v/>
      </c>
      <c r="N3761" s="34" t="str">
        <f aca="false">IF(D3761="","",IFERROR(INDEX(I_COA!$G$6:$G$265,MATCH(D3761,I_COA!$A$6:$A$265,0)),"N"))</f>
        <v/>
      </c>
      <c r="O3761" s="11" t="str">
        <f aca="false">IF(N3761="N",ABS(J3761),"")</f>
        <v/>
      </c>
      <c r="P3761" s="18" t="str">
        <f aca="false">IF(N3761="N",B3761&amp;"|"&amp;ROUND(O3761,0),"")</f>
        <v/>
      </c>
      <c r="Q3761" s="18" t="str">
        <f aca="false">IF(N3761&lt;&gt;"Y","",IFERROR(INDEX($D$6:$D$4005,MATCH(B3761&amp;"|"&amp;ROUND(_xlfn.MAXIFS($O$6:$O$4005,$B$6:$B$4005,B3761,$N$6:$N$4005,"N"),0),$P$6:$P$4005,0)),"(tanpa lawan)"))</f>
        <v/>
      </c>
      <c r="R3761" s="44"/>
      <c r="S3761" s="9" t="str">
        <f aca="false">IF(N3761&lt;&gt;"Y","",IF(R3761&lt;&gt;"",R3761,IF(Q3761="(tanpa lawan)","Transfer antar rekening",IFERROR(INDEX(I_COA!$F$6:$F$265,MATCH(Q3761,I_COA!$A$6:$A$265,0)),"?"))))</f>
        <v/>
      </c>
    </row>
    <row r="3762" customFormat="false" ht="15" hidden="false" customHeight="false" outlineLevel="0" collapsed="false">
      <c r="A3762" s="37"/>
      <c r="B3762" s="44"/>
      <c r="C3762" s="44"/>
      <c r="D3762" s="44"/>
      <c r="E3762" s="44"/>
      <c r="F3762" s="44"/>
      <c r="G3762" s="42"/>
      <c r="H3762" s="42"/>
      <c r="I3762" s="44"/>
      <c r="J3762" s="11" t="str">
        <f aca="false">IF(D3762="","",N(G3762)-N(H3762))</f>
        <v/>
      </c>
      <c r="K3762" s="34" t="str">
        <f aca="false">IF(D3762="","",IFERROR(INDEX(I_COA!$C$6:$C$265,MATCH(D3762,I_COA!$A$6:$A$265,0)),"AKUN BARU"))</f>
        <v/>
      </c>
      <c r="L3762" s="34" t="str">
        <f aca="false">IF(K3762="LabaRugi",INDEX(I_COA!$D$6:$D$265,MATCH(D3762,I_COA!$A$6:$A$265,0)),"")</f>
        <v/>
      </c>
      <c r="M3762" s="34" t="str">
        <f aca="false">IF(K3762="Neraca",INDEX(I_COA!$E$6:$E$265,MATCH(D3762,I_COA!$A$6:$A$265,0)),"")</f>
        <v/>
      </c>
      <c r="N3762" s="34" t="str">
        <f aca="false">IF(D3762="","",IFERROR(INDEX(I_COA!$G$6:$G$265,MATCH(D3762,I_COA!$A$6:$A$265,0)),"N"))</f>
        <v/>
      </c>
      <c r="O3762" s="11" t="str">
        <f aca="false">IF(N3762="N",ABS(J3762),"")</f>
        <v/>
      </c>
      <c r="P3762" s="18" t="str">
        <f aca="false">IF(N3762="N",B3762&amp;"|"&amp;ROUND(O3762,0),"")</f>
        <v/>
      </c>
      <c r="Q3762" s="18" t="str">
        <f aca="false">IF(N3762&lt;&gt;"Y","",IFERROR(INDEX($D$6:$D$4005,MATCH(B3762&amp;"|"&amp;ROUND(_xlfn.MAXIFS($O$6:$O$4005,$B$6:$B$4005,B3762,$N$6:$N$4005,"N"),0),$P$6:$P$4005,0)),"(tanpa lawan)"))</f>
        <v/>
      </c>
      <c r="R3762" s="44"/>
      <c r="S3762" s="9" t="str">
        <f aca="false">IF(N3762&lt;&gt;"Y","",IF(R3762&lt;&gt;"",R3762,IF(Q3762="(tanpa lawan)","Transfer antar rekening",IFERROR(INDEX(I_COA!$F$6:$F$265,MATCH(Q3762,I_COA!$A$6:$A$265,0)),"?"))))</f>
        <v/>
      </c>
    </row>
    <row r="3763" customFormat="false" ht="15" hidden="false" customHeight="false" outlineLevel="0" collapsed="false">
      <c r="A3763" s="37"/>
      <c r="B3763" s="44"/>
      <c r="C3763" s="44"/>
      <c r="D3763" s="44"/>
      <c r="E3763" s="44"/>
      <c r="F3763" s="44"/>
      <c r="G3763" s="42"/>
      <c r="H3763" s="42"/>
      <c r="I3763" s="44"/>
      <c r="J3763" s="11" t="str">
        <f aca="false">IF(D3763="","",N(G3763)-N(H3763))</f>
        <v/>
      </c>
      <c r="K3763" s="34" t="str">
        <f aca="false">IF(D3763="","",IFERROR(INDEX(I_COA!$C$6:$C$265,MATCH(D3763,I_COA!$A$6:$A$265,0)),"AKUN BARU"))</f>
        <v/>
      </c>
      <c r="L3763" s="34" t="str">
        <f aca="false">IF(K3763="LabaRugi",INDEX(I_COA!$D$6:$D$265,MATCH(D3763,I_COA!$A$6:$A$265,0)),"")</f>
        <v/>
      </c>
      <c r="M3763" s="34" t="str">
        <f aca="false">IF(K3763="Neraca",INDEX(I_COA!$E$6:$E$265,MATCH(D3763,I_COA!$A$6:$A$265,0)),"")</f>
        <v/>
      </c>
      <c r="N3763" s="34" t="str">
        <f aca="false">IF(D3763="","",IFERROR(INDEX(I_COA!$G$6:$G$265,MATCH(D3763,I_COA!$A$6:$A$265,0)),"N"))</f>
        <v/>
      </c>
      <c r="O3763" s="11" t="str">
        <f aca="false">IF(N3763="N",ABS(J3763),"")</f>
        <v/>
      </c>
      <c r="P3763" s="18" t="str">
        <f aca="false">IF(N3763="N",B3763&amp;"|"&amp;ROUND(O3763,0),"")</f>
        <v/>
      </c>
      <c r="Q3763" s="18" t="str">
        <f aca="false">IF(N3763&lt;&gt;"Y","",IFERROR(INDEX($D$6:$D$4005,MATCH(B3763&amp;"|"&amp;ROUND(_xlfn.MAXIFS($O$6:$O$4005,$B$6:$B$4005,B3763,$N$6:$N$4005,"N"),0),$P$6:$P$4005,0)),"(tanpa lawan)"))</f>
        <v/>
      </c>
      <c r="R3763" s="44"/>
      <c r="S3763" s="9" t="str">
        <f aca="false">IF(N3763&lt;&gt;"Y","",IF(R3763&lt;&gt;"",R3763,IF(Q3763="(tanpa lawan)","Transfer antar rekening",IFERROR(INDEX(I_COA!$F$6:$F$265,MATCH(Q3763,I_COA!$A$6:$A$265,0)),"?"))))</f>
        <v/>
      </c>
    </row>
    <row r="3764" customFormat="false" ht="15" hidden="false" customHeight="false" outlineLevel="0" collapsed="false">
      <c r="A3764" s="37"/>
      <c r="B3764" s="44"/>
      <c r="C3764" s="44"/>
      <c r="D3764" s="44"/>
      <c r="E3764" s="44"/>
      <c r="F3764" s="44"/>
      <c r="G3764" s="42"/>
      <c r="H3764" s="42"/>
      <c r="I3764" s="44"/>
      <c r="J3764" s="11" t="str">
        <f aca="false">IF(D3764="","",N(G3764)-N(H3764))</f>
        <v/>
      </c>
      <c r="K3764" s="34" t="str">
        <f aca="false">IF(D3764="","",IFERROR(INDEX(I_COA!$C$6:$C$265,MATCH(D3764,I_COA!$A$6:$A$265,0)),"AKUN BARU"))</f>
        <v/>
      </c>
      <c r="L3764" s="34" t="str">
        <f aca="false">IF(K3764="LabaRugi",INDEX(I_COA!$D$6:$D$265,MATCH(D3764,I_COA!$A$6:$A$265,0)),"")</f>
        <v/>
      </c>
      <c r="M3764" s="34" t="str">
        <f aca="false">IF(K3764="Neraca",INDEX(I_COA!$E$6:$E$265,MATCH(D3764,I_COA!$A$6:$A$265,0)),"")</f>
        <v/>
      </c>
      <c r="N3764" s="34" t="str">
        <f aca="false">IF(D3764="","",IFERROR(INDEX(I_COA!$G$6:$G$265,MATCH(D3764,I_COA!$A$6:$A$265,0)),"N"))</f>
        <v/>
      </c>
      <c r="O3764" s="11" t="str">
        <f aca="false">IF(N3764="N",ABS(J3764),"")</f>
        <v/>
      </c>
      <c r="P3764" s="18" t="str">
        <f aca="false">IF(N3764="N",B3764&amp;"|"&amp;ROUND(O3764,0),"")</f>
        <v/>
      </c>
      <c r="Q3764" s="18" t="str">
        <f aca="false">IF(N3764&lt;&gt;"Y","",IFERROR(INDEX($D$6:$D$4005,MATCH(B3764&amp;"|"&amp;ROUND(_xlfn.MAXIFS($O$6:$O$4005,$B$6:$B$4005,B3764,$N$6:$N$4005,"N"),0),$P$6:$P$4005,0)),"(tanpa lawan)"))</f>
        <v/>
      </c>
      <c r="R3764" s="44"/>
      <c r="S3764" s="9" t="str">
        <f aca="false">IF(N3764&lt;&gt;"Y","",IF(R3764&lt;&gt;"",R3764,IF(Q3764="(tanpa lawan)","Transfer antar rekening",IFERROR(INDEX(I_COA!$F$6:$F$265,MATCH(Q3764,I_COA!$A$6:$A$265,0)),"?"))))</f>
        <v/>
      </c>
    </row>
    <row r="3765" customFormat="false" ht="15" hidden="false" customHeight="false" outlineLevel="0" collapsed="false">
      <c r="A3765" s="37"/>
      <c r="B3765" s="44"/>
      <c r="C3765" s="44"/>
      <c r="D3765" s="44"/>
      <c r="E3765" s="44"/>
      <c r="F3765" s="44"/>
      <c r="G3765" s="42"/>
      <c r="H3765" s="42"/>
      <c r="I3765" s="44"/>
      <c r="J3765" s="11" t="str">
        <f aca="false">IF(D3765="","",N(G3765)-N(H3765))</f>
        <v/>
      </c>
      <c r="K3765" s="34" t="str">
        <f aca="false">IF(D3765="","",IFERROR(INDEX(I_COA!$C$6:$C$265,MATCH(D3765,I_COA!$A$6:$A$265,0)),"AKUN BARU"))</f>
        <v/>
      </c>
      <c r="L3765" s="34" t="str">
        <f aca="false">IF(K3765="LabaRugi",INDEX(I_COA!$D$6:$D$265,MATCH(D3765,I_COA!$A$6:$A$265,0)),"")</f>
        <v/>
      </c>
      <c r="M3765" s="34" t="str">
        <f aca="false">IF(K3765="Neraca",INDEX(I_COA!$E$6:$E$265,MATCH(D3765,I_COA!$A$6:$A$265,0)),"")</f>
        <v/>
      </c>
      <c r="N3765" s="34" t="str">
        <f aca="false">IF(D3765="","",IFERROR(INDEX(I_COA!$G$6:$G$265,MATCH(D3765,I_COA!$A$6:$A$265,0)),"N"))</f>
        <v/>
      </c>
      <c r="O3765" s="11" t="str">
        <f aca="false">IF(N3765="N",ABS(J3765),"")</f>
        <v/>
      </c>
      <c r="P3765" s="18" t="str">
        <f aca="false">IF(N3765="N",B3765&amp;"|"&amp;ROUND(O3765,0),"")</f>
        <v/>
      </c>
      <c r="Q3765" s="18" t="str">
        <f aca="false">IF(N3765&lt;&gt;"Y","",IFERROR(INDEX($D$6:$D$4005,MATCH(B3765&amp;"|"&amp;ROUND(_xlfn.MAXIFS($O$6:$O$4005,$B$6:$B$4005,B3765,$N$6:$N$4005,"N"),0),$P$6:$P$4005,0)),"(tanpa lawan)"))</f>
        <v/>
      </c>
      <c r="R3765" s="44"/>
      <c r="S3765" s="9" t="str">
        <f aca="false">IF(N3765&lt;&gt;"Y","",IF(R3765&lt;&gt;"",R3765,IF(Q3765="(tanpa lawan)","Transfer antar rekening",IFERROR(INDEX(I_COA!$F$6:$F$265,MATCH(Q3765,I_COA!$A$6:$A$265,0)),"?"))))</f>
        <v/>
      </c>
    </row>
    <row r="3766" customFormat="false" ht="15" hidden="false" customHeight="false" outlineLevel="0" collapsed="false">
      <c r="A3766" s="37"/>
      <c r="B3766" s="44"/>
      <c r="C3766" s="44"/>
      <c r="D3766" s="44"/>
      <c r="E3766" s="44"/>
      <c r="F3766" s="44"/>
      <c r="G3766" s="42"/>
      <c r="H3766" s="42"/>
      <c r="I3766" s="44"/>
      <c r="J3766" s="11" t="str">
        <f aca="false">IF(D3766="","",N(G3766)-N(H3766))</f>
        <v/>
      </c>
      <c r="K3766" s="34" t="str">
        <f aca="false">IF(D3766="","",IFERROR(INDEX(I_COA!$C$6:$C$265,MATCH(D3766,I_COA!$A$6:$A$265,0)),"AKUN BARU"))</f>
        <v/>
      </c>
      <c r="L3766" s="34" t="str">
        <f aca="false">IF(K3766="LabaRugi",INDEX(I_COA!$D$6:$D$265,MATCH(D3766,I_COA!$A$6:$A$265,0)),"")</f>
        <v/>
      </c>
      <c r="M3766" s="34" t="str">
        <f aca="false">IF(K3766="Neraca",INDEX(I_COA!$E$6:$E$265,MATCH(D3766,I_COA!$A$6:$A$265,0)),"")</f>
        <v/>
      </c>
      <c r="N3766" s="34" t="str">
        <f aca="false">IF(D3766="","",IFERROR(INDEX(I_COA!$G$6:$G$265,MATCH(D3766,I_COA!$A$6:$A$265,0)),"N"))</f>
        <v/>
      </c>
      <c r="O3766" s="11" t="str">
        <f aca="false">IF(N3766="N",ABS(J3766),"")</f>
        <v/>
      </c>
      <c r="P3766" s="18" t="str">
        <f aca="false">IF(N3766="N",B3766&amp;"|"&amp;ROUND(O3766,0),"")</f>
        <v/>
      </c>
      <c r="Q3766" s="18" t="str">
        <f aca="false">IF(N3766&lt;&gt;"Y","",IFERROR(INDEX($D$6:$D$4005,MATCH(B3766&amp;"|"&amp;ROUND(_xlfn.MAXIFS($O$6:$O$4005,$B$6:$B$4005,B3766,$N$6:$N$4005,"N"),0),$P$6:$P$4005,0)),"(tanpa lawan)"))</f>
        <v/>
      </c>
      <c r="R3766" s="44"/>
      <c r="S3766" s="9" t="str">
        <f aca="false">IF(N3766&lt;&gt;"Y","",IF(R3766&lt;&gt;"",R3766,IF(Q3766="(tanpa lawan)","Transfer antar rekening",IFERROR(INDEX(I_COA!$F$6:$F$265,MATCH(Q3766,I_COA!$A$6:$A$265,0)),"?"))))</f>
        <v/>
      </c>
    </row>
    <row r="3767" customFormat="false" ht="15" hidden="false" customHeight="false" outlineLevel="0" collapsed="false">
      <c r="A3767" s="37"/>
      <c r="B3767" s="44"/>
      <c r="C3767" s="44"/>
      <c r="D3767" s="44"/>
      <c r="E3767" s="44"/>
      <c r="F3767" s="44"/>
      <c r="G3767" s="42"/>
      <c r="H3767" s="42"/>
      <c r="I3767" s="44"/>
      <c r="J3767" s="11" t="str">
        <f aca="false">IF(D3767="","",N(G3767)-N(H3767))</f>
        <v/>
      </c>
      <c r="K3767" s="34" t="str">
        <f aca="false">IF(D3767="","",IFERROR(INDEX(I_COA!$C$6:$C$265,MATCH(D3767,I_COA!$A$6:$A$265,0)),"AKUN BARU"))</f>
        <v/>
      </c>
      <c r="L3767" s="34" t="str">
        <f aca="false">IF(K3767="LabaRugi",INDEX(I_COA!$D$6:$D$265,MATCH(D3767,I_COA!$A$6:$A$265,0)),"")</f>
        <v/>
      </c>
      <c r="M3767" s="34" t="str">
        <f aca="false">IF(K3767="Neraca",INDEX(I_COA!$E$6:$E$265,MATCH(D3767,I_COA!$A$6:$A$265,0)),"")</f>
        <v/>
      </c>
      <c r="N3767" s="34" t="str">
        <f aca="false">IF(D3767="","",IFERROR(INDEX(I_COA!$G$6:$G$265,MATCH(D3767,I_COA!$A$6:$A$265,0)),"N"))</f>
        <v/>
      </c>
      <c r="O3767" s="11" t="str">
        <f aca="false">IF(N3767="N",ABS(J3767),"")</f>
        <v/>
      </c>
      <c r="P3767" s="18" t="str">
        <f aca="false">IF(N3767="N",B3767&amp;"|"&amp;ROUND(O3767,0),"")</f>
        <v/>
      </c>
      <c r="Q3767" s="18" t="str">
        <f aca="false">IF(N3767&lt;&gt;"Y","",IFERROR(INDEX($D$6:$D$4005,MATCH(B3767&amp;"|"&amp;ROUND(_xlfn.MAXIFS($O$6:$O$4005,$B$6:$B$4005,B3767,$N$6:$N$4005,"N"),0),$P$6:$P$4005,0)),"(tanpa lawan)"))</f>
        <v/>
      </c>
      <c r="R3767" s="44"/>
      <c r="S3767" s="9" t="str">
        <f aca="false">IF(N3767&lt;&gt;"Y","",IF(R3767&lt;&gt;"",R3767,IF(Q3767="(tanpa lawan)","Transfer antar rekening",IFERROR(INDEX(I_COA!$F$6:$F$265,MATCH(Q3767,I_COA!$A$6:$A$265,0)),"?"))))</f>
        <v/>
      </c>
    </row>
    <row r="3768" customFormat="false" ht="15" hidden="false" customHeight="false" outlineLevel="0" collapsed="false">
      <c r="A3768" s="37"/>
      <c r="B3768" s="44"/>
      <c r="C3768" s="44"/>
      <c r="D3768" s="44"/>
      <c r="E3768" s="44"/>
      <c r="F3768" s="44"/>
      <c r="G3768" s="42"/>
      <c r="H3768" s="42"/>
      <c r="I3768" s="44"/>
      <c r="J3768" s="11" t="str">
        <f aca="false">IF(D3768="","",N(G3768)-N(H3768))</f>
        <v/>
      </c>
      <c r="K3768" s="34" t="str">
        <f aca="false">IF(D3768="","",IFERROR(INDEX(I_COA!$C$6:$C$265,MATCH(D3768,I_COA!$A$6:$A$265,0)),"AKUN BARU"))</f>
        <v/>
      </c>
      <c r="L3768" s="34" t="str">
        <f aca="false">IF(K3768="LabaRugi",INDEX(I_COA!$D$6:$D$265,MATCH(D3768,I_COA!$A$6:$A$265,0)),"")</f>
        <v/>
      </c>
      <c r="M3768" s="34" t="str">
        <f aca="false">IF(K3768="Neraca",INDEX(I_COA!$E$6:$E$265,MATCH(D3768,I_COA!$A$6:$A$265,0)),"")</f>
        <v/>
      </c>
      <c r="N3768" s="34" t="str">
        <f aca="false">IF(D3768="","",IFERROR(INDEX(I_COA!$G$6:$G$265,MATCH(D3768,I_COA!$A$6:$A$265,0)),"N"))</f>
        <v/>
      </c>
      <c r="O3768" s="11" t="str">
        <f aca="false">IF(N3768="N",ABS(J3768),"")</f>
        <v/>
      </c>
      <c r="P3768" s="18" t="str">
        <f aca="false">IF(N3768="N",B3768&amp;"|"&amp;ROUND(O3768,0),"")</f>
        <v/>
      </c>
      <c r="Q3768" s="18" t="str">
        <f aca="false">IF(N3768&lt;&gt;"Y","",IFERROR(INDEX($D$6:$D$4005,MATCH(B3768&amp;"|"&amp;ROUND(_xlfn.MAXIFS($O$6:$O$4005,$B$6:$B$4005,B3768,$N$6:$N$4005,"N"),0),$P$6:$P$4005,0)),"(tanpa lawan)"))</f>
        <v/>
      </c>
      <c r="R3768" s="44"/>
      <c r="S3768" s="9" t="str">
        <f aca="false">IF(N3768&lt;&gt;"Y","",IF(R3768&lt;&gt;"",R3768,IF(Q3768="(tanpa lawan)","Transfer antar rekening",IFERROR(INDEX(I_COA!$F$6:$F$265,MATCH(Q3768,I_COA!$A$6:$A$265,0)),"?"))))</f>
        <v/>
      </c>
    </row>
    <row r="3769" customFormat="false" ht="15" hidden="false" customHeight="false" outlineLevel="0" collapsed="false">
      <c r="A3769" s="37"/>
      <c r="B3769" s="44"/>
      <c r="C3769" s="44"/>
      <c r="D3769" s="44"/>
      <c r="E3769" s="44"/>
      <c r="F3769" s="44"/>
      <c r="G3769" s="42"/>
      <c r="H3769" s="42"/>
      <c r="I3769" s="44"/>
      <c r="J3769" s="11" t="str">
        <f aca="false">IF(D3769="","",N(G3769)-N(H3769))</f>
        <v/>
      </c>
      <c r="K3769" s="34" t="str">
        <f aca="false">IF(D3769="","",IFERROR(INDEX(I_COA!$C$6:$C$265,MATCH(D3769,I_COA!$A$6:$A$265,0)),"AKUN BARU"))</f>
        <v/>
      </c>
      <c r="L3769" s="34" t="str">
        <f aca="false">IF(K3769="LabaRugi",INDEX(I_COA!$D$6:$D$265,MATCH(D3769,I_COA!$A$6:$A$265,0)),"")</f>
        <v/>
      </c>
      <c r="M3769" s="34" t="str">
        <f aca="false">IF(K3769="Neraca",INDEX(I_COA!$E$6:$E$265,MATCH(D3769,I_COA!$A$6:$A$265,0)),"")</f>
        <v/>
      </c>
      <c r="N3769" s="34" t="str">
        <f aca="false">IF(D3769="","",IFERROR(INDEX(I_COA!$G$6:$G$265,MATCH(D3769,I_COA!$A$6:$A$265,0)),"N"))</f>
        <v/>
      </c>
      <c r="O3769" s="11" t="str">
        <f aca="false">IF(N3769="N",ABS(J3769),"")</f>
        <v/>
      </c>
      <c r="P3769" s="18" t="str">
        <f aca="false">IF(N3769="N",B3769&amp;"|"&amp;ROUND(O3769,0),"")</f>
        <v/>
      </c>
      <c r="Q3769" s="18" t="str">
        <f aca="false">IF(N3769&lt;&gt;"Y","",IFERROR(INDEX($D$6:$D$4005,MATCH(B3769&amp;"|"&amp;ROUND(_xlfn.MAXIFS($O$6:$O$4005,$B$6:$B$4005,B3769,$N$6:$N$4005,"N"),0),$P$6:$P$4005,0)),"(tanpa lawan)"))</f>
        <v/>
      </c>
      <c r="R3769" s="44"/>
      <c r="S3769" s="9" t="str">
        <f aca="false">IF(N3769&lt;&gt;"Y","",IF(R3769&lt;&gt;"",R3769,IF(Q3769="(tanpa lawan)","Transfer antar rekening",IFERROR(INDEX(I_COA!$F$6:$F$265,MATCH(Q3769,I_COA!$A$6:$A$265,0)),"?"))))</f>
        <v/>
      </c>
    </row>
    <row r="3770" customFormat="false" ht="15" hidden="false" customHeight="false" outlineLevel="0" collapsed="false">
      <c r="A3770" s="37"/>
      <c r="B3770" s="44"/>
      <c r="C3770" s="44"/>
      <c r="D3770" s="44"/>
      <c r="E3770" s="44"/>
      <c r="F3770" s="44"/>
      <c r="G3770" s="42"/>
      <c r="H3770" s="42"/>
      <c r="I3770" s="44"/>
      <c r="J3770" s="11" t="str">
        <f aca="false">IF(D3770="","",N(G3770)-N(H3770))</f>
        <v/>
      </c>
      <c r="K3770" s="34" t="str">
        <f aca="false">IF(D3770="","",IFERROR(INDEX(I_COA!$C$6:$C$265,MATCH(D3770,I_COA!$A$6:$A$265,0)),"AKUN BARU"))</f>
        <v/>
      </c>
      <c r="L3770" s="34" t="str">
        <f aca="false">IF(K3770="LabaRugi",INDEX(I_COA!$D$6:$D$265,MATCH(D3770,I_COA!$A$6:$A$265,0)),"")</f>
        <v/>
      </c>
      <c r="M3770" s="34" t="str">
        <f aca="false">IF(K3770="Neraca",INDEX(I_COA!$E$6:$E$265,MATCH(D3770,I_COA!$A$6:$A$265,0)),"")</f>
        <v/>
      </c>
      <c r="N3770" s="34" t="str">
        <f aca="false">IF(D3770="","",IFERROR(INDEX(I_COA!$G$6:$G$265,MATCH(D3770,I_COA!$A$6:$A$265,0)),"N"))</f>
        <v/>
      </c>
      <c r="O3770" s="11" t="str">
        <f aca="false">IF(N3770="N",ABS(J3770),"")</f>
        <v/>
      </c>
      <c r="P3770" s="18" t="str">
        <f aca="false">IF(N3770="N",B3770&amp;"|"&amp;ROUND(O3770,0),"")</f>
        <v/>
      </c>
      <c r="Q3770" s="18" t="str">
        <f aca="false">IF(N3770&lt;&gt;"Y","",IFERROR(INDEX($D$6:$D$4005,MATCH(B3770&amp;"|"&amp;ROUND(_xlfn.MAXIFS($O$6:$O$4005,$B$6:$B$4005,B3770,$N$6:$N$4005,"N"),0),$P$6:$P$4005,0)),"(tanpa lawan)"))</f>
        <v/>
      </c>
      <c r="R3770" s="44"/>
      <c r="S3770" s="9" t="str">
        <f aca="false">IF(N3770&lt;&gt;"Y","",IF(R3770&lt;&gt;"",R3770,IF(Q3770="(tanpa lawan)","Transfer antar rekening",IFERROR(INDEX(I_COA!$F$6:$F$265,MATCH(Q3770,I_COA!$A$6:$A$265,0)),"?"))))</f>
        <v/>
      </c>
    </row>
    <row r="3771" customFormat="false" ht="15" hidden="false" customHeight="false" outlineLevel="0" collapsed="false">
      <c r="A3771" s="37"/>
      <c r="B3771" s="44"/>
      <c r="C3771" s="44"/>
      <c r="D3771" s="44"/>
      <c r="E3771" s="44"/>
      <c r="F3771" s="44"/>
      <c r="G3771" s="42"/>
      <c r="H3771" s="42"/>
      <c r="I3771" s="44"/>
      <c r="J3771" s="11" t="str">
        <f aca="false">IF(D3771="","",N(G3771)-N(H3771))</f>
        <v/>
      </c>
      <c r="K3771" s="34" t="str">
        <f aca="false">IF(D3771="","",IFERROR(INDEX(I_COA!$C$6:$C$265,MATCH(D3771,I_COA!$A$6:$A$265,0)),"AKUN BARU"))</f>
        <v/>
      </c>
      <c r="L3771" s="34" t="str">
        <f aca="false">IF(K3771="LabaRugi",INDEX(I_COA!$D$6:$D$265,MATCH(D3771,I_COA!$A$6:$A$265,0)),"")</f>
        <v/>
      </c>
      <c r="M3771" s="34" t="str">
        <f aca="false">IF(K3771="Neraca",INDEX(I_COA!$E$6:$E$265,MATCH(D3771,I_COA!$A$6:$A$265,0)),"")</f>
        <v/>
      </c>
      <c r="N3771" s="34" t="str">
        <f aca="false">IF(D3771="","",IFERROR(INDEX(I_COA!$G$6:$G$265,MATCH(D3771,I_COA!$A$6:$A$265,0)),"N"))</f>
        <v/>
      </c>
      <c r="O3771" s="11" t="str">
        <f aca="false">IF(N3771="N",ABS(J3771),"")</f>
        <v/>
      </c>
      <c r="P3771" s="18" t="str">
        <f aca="false">IF(N3771="N",B3771&amp;"|"&amp;ROUND(O3771,0),"")</f>
        <v/>
      </c>
      <c r="Q3771" s="18" t="str">
        <f aca="false">IF(N3771&lt;&gt;"Y","",IFERROR(INDEX($D$6:$D$4005,MATCH(B3771&amp;"|"&amp;ROUND(_xlfn.MAXIFS($O$6:$O$4005,$B$6:$B$4005,B3771,$N$6:$N$4005,"N"),0),$P$6:$P$4005,0)),"(tanpa lawan)"))</f>
        <v/>
      </c>
      <c r="R3771" s="44"/>
      <c r="S3771" s="9" t="str">
        <f aca="false">IF(N3771&lt;&gt;"Y","",IF(R3771&lt;&gt;"",R3771,IF(Q3771="(tanpa lawan)","Transfer antar rekening",IFERROR(INDEX(I_COA!$F$6:$F$265,MATCH(Q3771,I_COA!$A$6:$A$265,0)),"?"))))</f>
        <v/>
      </c>
    </row>
    <row r="3772" customFormat="false" ht="15" hidden="false" customHeight="false" outlineLevel="0" collapsed="false">
      <c r="A3772" s="37"/>
      <c r="B3772" s="44"/>
      <c r="C3772" s="44"/>
      <c r="D3772" s="44"/>
      <c r="E3772" s="44"/>
      <c r="F3772" s="44"/>
      <c r="G3772" s="42"/>
      <c r="H3772" s="42"/>
      <c r="I3772" s="44"/>
      <c r="J3772" s="11" t="str">
        <f aca="false">IF(D3772="","",N(G3772)-N(H3772))</f>
        <v/>
      </c>
      <c r="K3772" s="34" t="str">
        <f aca="false">IF(D3772="","",IFERROR(INDEX(I_COA!$C$6:$C$265,MATCH(D3772,I_COA!$A$6:$A$265,0)),"AKUN BARU"))</f>
        <v/>
      </c>
      <c r="L3772" s="34" t="str">
        <f aca="false">IF(K3772="LabaRugi",INDEX(I_COA!$D$6:$D$265,MATCH(D3772,I_COA!$A$6:$A$265,0)),"")</f>
        <v/>
      </c>
      <c r="M3772" s="34" t="str">
        <f aca="false">IF(K3772="Neraca",INDEX(I_COA!$E$6:$E$265,MATCH(D3772,I_COA!$A$6:$A$265,0)),"")</f>
        <v/>
      </c>
      <c r="N3772" s="34" t="str">
        <f aca="false">IF(D3772="","",IFERROR(INDEX(I_COA!$G$6:$G$265,MATCH(D3772,I_COA!$A$6:$A$265,0)),"N"))</f>
        <v/>
      </c>
      <c r="O3772" s="11" t="str">
        <f aca="false">IF(N3772="N",ABS(J3772),"")</f>
        <v/>
      </c>
      <c r="P3772" s="18" t="str">
        <f aca="false">IF(N3772="N",B3772&amp;"|"&amp;ROUND(O3772,0),"")</f>
        <v/>
      </c>
      <c r="Q3772" s="18" t="str">
        <f aca="false">IF(N3772&lt;&gt;"Y","",IFERROR(INDEX($D$6:$D$4005,MATCH(B3772&amp;"|"&amp;ROUND(_xlfn.MAXIFS($O$6:$O$4005,$B$6:$B$4005,B3772,$N$6:$N$4005,"N"),0),$P$6:$P$4005,0)),"(tanpa lawan)"))</f>
        <v/>
      </c>
      <c r="R3772" s="44"/>
      <c r="S3772" s="9" t="str">
        <f aca="false">IF(N3772&lt;&gt;"Y","",IF(R3772&lt;&gt;"",R3772,IF(Q3772="(tanpa lawan)","Transfer antar rekening",IFERROR(INDEX(I_COA!$F$6:$F$265,MATCH(Q3772,I_COA!$A$6:$A$265,0)),"?"))))</f>
        <v/>
      </c>
    </row>
    <row r="3773" customFormat="false" ht="15" hidden="false" customHeight="false" outlineLevel="0" collapsed="false">
      <c r="A3773" s="37"/>
      <c r="B3773" s="44"/>
      <c r="C3773" s="44"/>
      <c r="D3773" s="44"/>
      <c r="E3773" s="44"/>
      <c r="F3773" s="44"/>
      <c r="G3773" s="42"/>
      <c r="H3773" s="42"/>
      <c r="I3773" s="44"/>
      <c r="J3773" s="11" t="str">
        <f aca="false">IF(D3773="","",N(G3773)-N(H3773))</f>
        <v/>
      </c>
      <c r="K3773" s="34" t="str">
        <f aca="false">IF(D3773="","",IFERROR(INDEX(I_COA!$C$6:$C$265,MATCH(D3773,I_COA!$A$6:$A$265,0)),"AKUN BARU"))</f>
        <v/>
      </c>
      <c r="L3773" s="34" t="str">
        <f aca="false">IF(K3773="LabaRugi",INDEX(I_COA!$D$6:$D$265,MATCH(D3773,I_COA!$A$6:$A$265,0)),"")</f>
        <v/>
      </c>
      <c r="M3773" s="34" t="str">
        <f aca="false">IF(K3773="Neraca",INDEX(I_COA!$E$6:$E$265,MATCH(D3773,I_COA!$A$6:$A$265,0)),"")</f>
        <v/>
      </c>
      <c r="N3773" s="34" t="str">
        <f aca="false">IF(D3773="","",IFERROR(INDEX(I_COA!$G$6:$G$265,MATCH(D3773,I_COA!$A$6:$A$265,0)),"N"))</f>
        <v/>
      </c>
      <c r="O3773" s="11" t="str">
        <f aca="false">IF(N3773="N",ABS(J3773),"")</f>
        <v/>
      </c>
      <c r="P3773" s="18" t="str">
        <f aca="false">IF(N3773="N",B3773&amp;"|"&amp;ROUND(O3773,0),"")</f>
        <v/>
      </c>
      <c r="Q3773" s="18" t="str">
        <f aca="false">IF(N3773&lt;&gt;"Y","",IFERROR(INDEX($D$6:$D$4005,MATCH(B3773&amp;"|"&amp;ROUND(_xlfn.MAXIFS($O$6:$O$4005,$B$6:$B$4005,B3773,$N$6:$N$4005,"N"),0),$P$6:$P$4005,0)),"(tanpa lawan)"))</f>
        <v/>
      </c>
      <c r="R3773" s="44"/>
      <c r="S3773" s="9" t="str">
        <f aca="false">IF(N3773&lt;&gt;"Y","",IF(R3773&lt;&gt;"",R3773,IF(Q3773="(tanpa lawan)","Transfer antar rekening",IFERROR(INDEX(I_COA!$F$6:$F$265,MATCH(Q3773,I_COA!$A$6:$A$265,0)),"?"))))</f>
        <v/>
      </c>
    </row>
    <row r="3774" customFormat="false" ht="15" hidden="false" customHeight="false" outlineLevel="0" collapsed="false">
      <c r="A3774" s="37"/>
      <c r="B3774" s="44"/>
      <c r="C3774" s="44"/>
      <c r="D3774" s="44"/>
      <c r="E3774" s="44"/>
      <c r="F3774" s="44"/>
      <c r="G3774" s="42"/>
      <c r="H3774" s="42"/>
      <c r="I3774" s="44"/>
      <c r="J3774" s="11" t="str">
        <f aca="false">IF(D3774="","",N(G3774)-N(H3774))</f>
        <v/>
      </c>
      <c r="K3774" s="34" t="str">
        <f aca="false">IF(D3774="","",IFERROR(INDEX(I_COA!$C$6:$C$265,MATCH(D3774,I_COA!$A$6:$A$265,0)),"AKUN BARU"))</f>
        <v/>
      </c>
      <c r="L3774" s="34" t="str">
        <f aca="false">IF(K3774="LabaRugi",INDEX(I_COA!$D$6:$D$265,MATCH(D3774,I_COA!$A$6:$A$265,0)),"")</f>
        <v/>
      </c>
      <c r="M3774" s="34" t="str">
        <f aca="false">IF(K3774="Neraca",INDEX(I_COA!$E$6:$E$265,MATCH(D3774,I_COA!$A$6:$A$265,0)),"")</f>
        <v/>
      </c>
      <c r="N3774" s="34" t="str">
        <f aca="false">IF(D3774="","",IFERROR(INDEX(I_COA!$G$6:$G$265,MATCH(D3774,I_COA!$A$6:$A$265,0)),"N"))</f>
        <v/>
      </c>
      <c r="O3774" s="11" t="str">
        <f aca="false">IF(N3774="N",ABS(J3774),"")</f>
        <v/>
      </c>
      <c r="P3774" s="18" t="str">
        <f aca="false">IF(N3774="N",B3774&amp;"|"&amp;ROUND(O3774,0),"")</f>
        <v/>
      </c>
      <c r="Q3774" s="18" t="str">
        <f aca="false">IF(N3774&lt;&gt;"Y","",IFERROR(INDEX($D$6:$D$4005,MATCH(B3774&amp;"|"&amp;ROUND(_xlfn.MAXIFS($O$6:$O$4005,$B$6:$B$4005,B3774,$N$6:$N$4005,"N"),0),$P$6:$P$4005,0)),"(tanpa lawan)"))</f>
        <v/>
      </c>
      <c r="R3774" s="44"/>
      <c r="S3774" s="9" t="str">
        <f aca="false">IF(N3774&lt;&gt;"Y","",IF(R3774&lt;&gt;"",R3774,IF(Q3774="(tanpa lawan)","Transfer antar rekening",IFERROR(INDEX(I_COA!$F$6:$F$265,MATCH(Q3774,I_COA!$A$6:$A$265,0)),"?"))))</f>
        <v/>
      </c>
    </row>
    <row r="3775" customFormat="false" ht="15" hidden="false" customHeight="false" outlineLevel="0" collapsed="false">
      <c r="A3775" s="37"/>
      <c r="B3775" s="44"/>
      <c r="C3775" s="44"/>
      <c r="D3775" s="44"/>
      <c r="E3775" s="44"/>
      <c r="F3775" s="44"/>
      <c r="G3775" s="42"/>
      <c r="H3775" s="42"/>
      <c r="I3775" s="44"/>
      <c r="J3775" s="11" t="str">
        <f aca="false">IF(D3775="","",N(G3775)-N(H3775))</f>
        <v/>
      </c>
      <c r="K3775" s="34" t="str">
        <f aca="false">IF(D3775="","",IFERROR(INDEX(I_COA!$C$6:$C$265,MATCH(D3775,I_COA!$A$6:$A$265,0)),"AKUN BARU"))</f>
        <v/>
      </c>
      <c r="L3775" s="34" t="str">
        <f aca="false">IF(K3775="LabaRugi",INDEX(I_COA!$D$6:$D$265,MATCH(D3775,I_COA!$A$6:$A$265,0)),"")</f>
        <v/>
      </c>
      <c r="M3775" s="34" t="str">
        <f aca="false">IF(K3775="Neraca",INDEX(I_COA!$E$6:$E$265,MATCH(D3775,I_COA!$A$6:$A$265,0)),"")</f>
        <v/>
      </c>
      <c r="N3775" s="34" t="str">
        <f aca="false">IF(D3775="","",IFERROR(INDEX(I_COA!$G$6:$G$265,MATCH(D3775,I_COA!$A$6:$A$265,0)),"N"))</f>
        <v/>
      </c>
      <c r="O3775" s="11" t="str">
        <f aca="false">IF(N3775="N",ABS(J3775),"")</f>
        <v/>
      </c>
      <c r="P3775" s="18" t="str">
        <f aca="false">IF(N3775="N",B3775&amp;"|"&amp;ROUND(O3775,0),"")</f>
        <v/>
      </c>
      <c r="Q3775" s="18" t="str">
        <f aca="false">IF(N3775&lt;&gt;"Y","",IFERROR(INDEX($D$6:$D$4005,MATCH(B3775&amp;"|"&amp;ROUND(_xlfn.MAXIFS($O$6:$O$4005,$B$6:$B$4005,B3775,$N$6:$N$4005,"N"),0),$P$6:$P$4005,0)),"(tanpa lawan)"))</f>
        <v/>
      </c>
      <c r="R3775" s="44"/>
      <c r="S3775" s="9" t="str">
        <f aca="false">IF(N3775&lt;&gt;"Y","",IF(R3775&lt;&gt;"",R3775,IF(Q3775="(tanpa lawan)","Transfer antar rekening",IFERROR(INDEX(I_COA!$F$6:$F$265,MATCH(Q3775,I_COA!$A$6:$A$265,0)),"?"))))</f>
        <v/>
      </c>
    </row>
    <row r="3776" customFormat="false" ht="15" hidden="false" customHeight="false" outlineLevel="0" collapsed="false">
      <c r="A3776" s="37"/>
      <c r="B3776" s="44"/>
      <c r="C3776" s="44"/>
      <c r="D3776" s="44"/>
      <c r="E3776" s="44"/>
      <c r="F3776" s="44"/>
      <c r="G3776" s="42"/>
      <c r="H3776" s="42"/>
      <c r="I3776" s="44"/>
      <c r="J3776" s="11" t="str">
        <f aca="false">IF(D3776="","",N(G3776)-N(H3776))</f>
        <v/>
      </c>
      <c r="K3776" s="34" t="str">
        <f aca="false">IF(D3776="","",IFERROR(INDEX(I_COA!$C$6:$C$265,MATCH(D3776,I_COA!$A$6:$A$265,0)),"AKUN BARU"))</f>
        <v/>
      </c>
      <c r="L3776" s="34" t="str">
        <f aca="false">IF(K3776="LabaRugi",INDEX(I_COA!$D$6:$D$265,MATCH(D3776,I_COA!$A$6:$A$265,0)),"")</f>
        <v/>
      </c>
      <c r="M3776" s="34" t="str">
        <f aca="false">IF(K3776="Neraca",INDEX(I_COA!$E$6:$E$265,MATCH(D3776,I_COA!$A$6:$A$265,0)),"")</f>
        <v/>
      </c>
      <c r="N3776" s="34" t="str">
        <f aca="false">IF(D3776="","",IFERROR(INDEX(I_COA!$G$6:$G$265,MATCH(D3776,I_COA!$A$6:$A$265,0)),"N"))</f>
        <v/>
      </c>
      <c r="O3776" s="11" t="str">
        <f aca="false">IF(N3776="N",ABS(J3776),"")</f>
        <v/>
      </c>
      <c r="P3776" s="18" t="str">
        <f aca="false">IF(N3776="N",B3776&amp;"|"&amp;ROUND(O3776,0),"")</f>
        <v/>
      </c>
      <c r="Q3776" s="18" t="str">
        <f aca="false">IF(N3776&lt;&gt;"Y","",IFERROR(INDEX($D$6:$D$4005,MATCH(B3776&amp;"|"&amp;ROUND(_xlfn.MAXIFS($O$6:$O$4005,$B$6:$B$4005,B3776,$N$6:$N$4005,"N"),0),$P$6:$P$4005,0)),"(tanpa lawan)"))</f>
        <v/>
      </c>
      <c r="R3776" s="44"/>
      <c r="S3776" s="9" t="str">
        <f aca="false">IF(N3776&lt;&gt;"Y","",IF(R3776&lt;&gt;"",R3776,IF(Q3776="(tanpa lawan)","Transfer antar rekening",IFERROR(INDEX(I_COA!$F$6:$F$265,MATCH(Q3776,I_COA!$A$6:$A$265,0)),"?"))))</f>
        <v/>
      </c>
    </row>
    <row r="3777" customFormat="false" ht="15" hidden="false" customHeight="false" outlineLevel="0" collapsed="false">
      <c r="A3777" s="37"/>
      <c r="B3777" s="44"/>
      <c r="C3777" s="44"/>
      <c r="D3777" s="44"/>
      <c r="E3777" s="44"/>
      <c r="F3777" s="44"/>
      <c r="G3777" s="42"/>
      <c r="H3777" s="42"/>
      <c r="I3777" s="44"/>
      <c r="J3777" s="11" t="str">
        <f aca="false">IF(D3777="","",N(G3777)-N(H3777))</f>
        <v/>
      </c>
      <c r="K3777" s="34" t="str">
        <f aca="false">IF(D3777="","",IFERROR(INDEX(I_COA!$C$6:$C$265,MATCH(D3777,I_COA!$A$6:$A$265,0)),"AKUN BARU"))</f>
        <v/>
      </c>
      <c r="L3777" s="34" t="str">
        <f aca="false">IF(K3777="LabaRugi",INDEX(I_COA!$D$6:$D$265,MATCH(D3777,I_COA!$A$6:$A$265,0)),"")</f>
        <v/>
      </c>
      <c r="M3777" s="34" t="str">
        <f aca="false">IF(K3777="Neraca",INDEX(I_COA!$E$6:$E$265,MATCH(D3777,I_COA!$A$6:$A$265,0)),"")</f>
        <v/>
      </c>
      <c r="N3777" s="34" t="str">
        <f aca="false">IF(D3777="","",IFERROR(INDEX(I_COA!$G$6:$G$265,MATCH(D3777,I_COA!$A$6:$A$265,0)),"N"))</f>
        <v/>
      </c>
      <c r="O3777" s="11" t="str">
        <f aca="false">IF(N3777="N",ABS(J3777),"")</f>
        <v/>
      </c>
      <c r="P3777" s="18" t="str">
        <f aca="false">IF(N3777="N",B3777&amp;"|"&amp;ROUND(O3777,0),"")</f>
        <v/>
      </c>
      <c r="Q3777" s="18" t="str">
        <f aca="false">IF(N3777&lt;&gt;"Y","",IFERROR(INDEX($D$6:$D$4005,MATCH(B3777&amp;"|"&amp;ROUND(_xlfn.MAXIFS($O$6:$O$4005,$B$6:$B$4005,B3777,$N$6:$N$4005,"N"),0),$P$6:$P$4005,0)),"(tanpa lawan)"))</f>
        <v/>
      </c>
      <c r="R3777" s="44"/>
      <c r="S3777" s="9" t="str">
        <f aca="false">IF(N3777&lt;&gt;"Y","",IF(R3777&lt;&gt;"",R3777,IF(Q3777="(tanpa lawan)","Transfer antar rekening",IFERROR(INDEX(I_COA!$F$6:$F$265,MATCH(Q3777,I_COA!$A$6:$A$265,0)),"?"))))</f>
        <v/>
      </c>
    </row>
    <row r="3778" customFormat="false" ht="15" hidden="false" customHeight="false" outlineLevel="0" collapsed="false">
      <c r="A3778" s="37"/>
      <c r="B3778" s="44"/>
      <c r="C3778" s="44"/>
      <c r="D3778" s="44"/>
      <c r="E3778" s="44"/>
      <c r="F3778" s="44"/>
      <c r="G3778" s="42"/>
      <c r="H3778" s="42"/>
      <c r="I3778" s="44"/>
      <c r="J3778" s="11" t="str">
        <f aca="false">IF(D3778="","",N(G3778)-N(H3778))</f>
        <v/>
      </c>
      <c r="K3778" s="34" t="str">
        <f aca="false">IF(D3778="","",IFERROR(INDEX(I_COA!$C$6:$C$265,MATCH(D3778,I_COA!$A$6:$A$265,0)),"AKUN BARU"))</f>
        <v/>
      </c>
      <c r="L3778" s="34" t="str">
        <f aca="false">IF(K3778="LabaRugi",INDEX(I_COA!$D$6:$D$265,MATCH(D3778,I_COA!$A$6:$A$265,0)),"")</f>
        <v/>
      </c>
      <c r="M3778" s="34" t="str">
        <f aca="false">IF(K3778="Neraca",INDEX(I_COA!$E$6:$E$265,MATCH(D3778,I_COA!$A$6:$A$265,0)),"")</f>
        <v/>
      </c>
      <c r="N3778" s="34" t="str">
        <f aca="false">IF(D3778="","",IFERROR(INDEX(I_COA!$G$6:$G$265,MATCH(D3778,I_COA!$A$6:$A$265,0)),"N"))</f>
        <v/>
      </c>
      <c r="O3778" s="11" t="str">
        <f aca="false">IF(N3778="N",ABS(J3778),"")</f>
        <v/>
      </c>
      <c r="P3778" s="18" t="str">
        <f aca="false">IF(N3778="N",B3778&amp;"|"&amp;ROUND(O3778,0),"")</f>
        <v/>
      </c>
      <c r="Q3778" s="18" t="str">
        <f aca="false">IF(N3778&lt;&gt;"Y","",IFERROR(INDEX($D$6:$D$4005,MATCH(B3778&amp;"|"&amp;ROUND(_xlfn.MAXIFS($O$6:$O$4005,$B$6:$B$4005,B3778,$N$6:$N$4005,"N"),0),$P$6:$P$4005,0)),"(tanpa lawan)"))</f>
        <v/>
      </c>
      <c r="R3778" s="44"/>
      <c r="S3778" s="9" t="str">
        <f aca="false">IF(N3778&lt;&gt;"Y","",IF(R3778&lt;&gt;"",R3778,IF(Q3778="(tanpa lawan)","Transfer antar rekening",IFERROR(INDEX(I_COA!$F$6:$F$265,MATCH(Q3778,I_COA!$A$6:$A$265,0)),"?"))))</f>
        <v/>
      </c>
    </row>
    <row r="3779" customFormat="false" ht="15" hidden="false" customHeight="false" outlineLevel="0" collapsed="false">
      <c r="A3779" s="37"/>
      <c r="B3779" s="44"/>
      <c r="C3779" s="44"/>
      <c r="D3779" s="44"/>
      <c r="E3779" s="44"/>
      <c r="F3779" s="44"/>
      <c r="G3779" s="42"/>
      <c r="H3779" s="42"/>
      <c r="I3779" s="44"/>
      <c r="J3779" s="11" t="str">
        <f aca="false">IF(D3779="","",N(G3779)-N(H3779))</f>
        <v/>
      </c>
      <c r="K3779" s="34" t="str">
        <f aca="false">IF(D3779="","",IFERROR(INDEX(I_COA!$C$6:$C$265,MATCH(D3779,I_COA!$A$6:$A$265,0)),"AKUN BARU"))</f>
        <v/>
      </c>
      <c r="L3779" s="34" t="str">
        <f aca="false">IF(K3779="LabaRugi",INDEX(I_COA!$D$6:$D$265,MATCH(D3779,I_COA!$A$6:$A$265,0)),"")</f>
        <v/>
      </c>
      <c r="M3779" s="34" t="str">
        <f aca="false">IF(K3779="Neraca",INDEX(I_COA!$E$6:$E$265,MATCH(D3779,I_COA!$A$6:$A$265,0)),"")</f>
        <v/>
      </c>
      <c r="N3779" s="34" t="str">
        <f aca="false">IF(D3779="","",IFERROR(INDEX(I_COA!$G$6:$G$265,MATCH(D3779,I_COA!$A$6:$A$265,0)),"N"))</f>
        <v/>
      </c>
      <c r="O3779" s="11" t="str">
        <f aca="false">IF(N3779="N",ABS(J3779),"")</f>
        <v/>
      </c>
      <c r="P3779" s="18" t="str">
        <f aca="false">IF(N3779="N",B3779&amp;"|"&amp;ROUND(O3779,0),"")</f>
        <v/>
      </c>
      <c r="Q3779" s="18" t="str">
        <f aca="false">IF(N3779&lt;&gt;"Y","",IFERROR(INDEX($D$6:$D$4005,MATCH(B3779&amp;"|"&amp;ROUND(_xlfn.MAXIFS($O$6:$O$4005,$B$6:$B$4005,B3779,$N$6:$N$4005,"N"),0),$P$6:$P$4005,0)),"(tanpa lawan)"))</f>
        <v/>
      </c>
      <c r="R3779" s="44"/>
      <c r="S3779" s="9" t="str">
        <f aca="false">IF(N3779&lt;&gt;"Y","",IF(R3779&lt;&gt;"",R3779,IF(Q3779="(tanpa lawan)","Transfer antar rekening",IFERROR(INDEX(I_COA!$F$6:$F$265,MATCH(Q3779,I_COA!$A$6:$A$265,0)),"?"))))</f>
        <v/>
      </c>
    </row>
    <row r="3780" customFormat="false" ht="15" hidden="false" customHeight="false" outlineLevel="0" collapsed="false">
      <c r="A3780" s="37"/>
      <c r="B3780" s="44"/>
      <c r="C3780" s="44"/>
      <c r="D3780" s="44"/>
      <c r="E3780" s="44"/>
      <c r="F3780" s="44"/>
      <c r="G3780" s="42"/>
      <c r="H3780" s="42"/>
      <c r="I3780" s="44"/>
      <c r="J3780" s="11" t="str">
        <f aca="false">IF(D3780="","",N(G3780)-N(H3780))</f>
        <v/>
      </c>
      <c r="K3780" s="34" t="str">
        <f aca="false">IF(D3780="","",IFERROR(INDEX(I_COA!$C$6:$C$265,MATCH(D3780,I_COA!$A$6:$A$265,0)),"AKUN BARU"))</f>
        <v/>
      </c>
      <c r="L3780" s="34" t="str">
        <f aca="false">IF(K3780="LabaRugi",INDEX(I_COA!$D$6:$D$265,MATCH(D3780,I_COA!$A$6:$A$265,0)),"")</f>
        <v/>
      </c>
      <c r="M3780" s="34" t="str">
        <f aca="false">IF(K3780="Neraca",INDEX(I_COA!$E$6:$E$265,MATCH(D3780,I_COA!$A$6:$A$265,0)),"")</f>
        <v/>
      </c>
      <c r="N3780" s="34" t="str">
        <f aca="false">IF(D3780="","",IFERROR(INDEX(I_COA!$G$6:$G$265,MATCH(D3780,I_COA!$A$6:$A$265,0)),"N"))</f>
        <v/>
      </c>
      <c r="O3780" s="11" t="str">
        <f aca="false">IF(N3780="N",ABS(J3780),"")</f>
        <v/>
      </c>
      <c r="P3780" s="18" t="str">
        <f aca="false">IF(N3780="N",B3780&amp;"|"&amp;ROUND(O3780,0),"")</f>
        <v/>
      </c>
      <c r="Q3780" s="18" t="str">
        <f aca="false">IF(N3780&lt;&gt;"Y","",IFERROR(INDEX($D$6:$D$4005,MATCH(B3780&amp;"|"&amp;ROUND(_xlfn.MAXIFS($O$6:$O$4005,$B$6:$B$4005,B3780,$N$6:$N$4005,"N"),0),$P$6:$P$4005,0)),"(tanpa lawan)"))</f>
        <v/>
      </c>
      <c r="R3780" s="44"/>
      <c r="S3780" s="9" t="str">
        <f aca="false">IF(N3780&lt;&gt;"Y","",IF(R3780&lt;&gt;"",R3780,IF(Q3780="(tanpa lawan)","Transfer antar rekening",IFERROR(INDEX(I_COA!$F$6:$F$265,MATCH(Q3780,I_COA!$A$6:$A$265,0)),"?"))))</f>
        <v/>
      </c>
    </row>
    <row r="3781" customFormat="false" ht="15" hidden="false" customHeight="false" outlineLevel="0" collapsed="false">
      <c r="A3781" s="37"/>
      <c r="B3781" s="44"/>
      <c r="C3781" s="44"/>
      <c r="D3781" s="44"/>
      <c r="E3781" s="44"/>
      <c r="F3781" s="44"/>
      <c r="G3781" s="42"/>
      <c r="H3781" s="42"/>
      <c r="I3781" s="44"/>
      <c r="J3781" s="11" t="str">
        <f aca="false">IF(D3781="","",N(G3781)-N(H3781))</f>
        <v/>
      </c>
      <c r="K3781" s="34" t="str">
        <f aca="false">IF(D3781="","",IFERROR(INDEX(I_COA!$C$6:$C$265,MATCH(D3781,I_COA!$A$6:$A$265,0)),"AKUN BARU"))</f>
        <v/>
      </c>
      <c r="L3781" s="34" t="str">
        <f aca="false">IF(K3781="LabaRugi",INDEX(I_COA!$D$6:$D$265,MATCH(D3781,I_COA!$A$6:$A$265,0)),"")</f>
        <v/>
      </c>
      <c r="M3781" s="34" t="str">
        <f aca="false">IF(K3781="Neraca",INDEX(I_COA!$E$6:$E$265,MATCH(D3781,I_COA!$A$6:$A$265,0)),"")</f>
        <v/>
      </c>
      <c r="N3781" s="34" t="str">
        <f aca="false">IF(D3781="","",IFERROR(INDEX(I_COA!$G$6:$G$265,MATCH(D3781,I_COA!$A$6:$A$265,0)),"N"))</f>
        <v/>
      </c>
      <c r="O3781" s="11" t="str">
        <f aca="false">IF(N3781="N",ABS(J3781),"")</f>
        <v/>
      </c>
      <c r="P3781" s="18" t="str">
        <f aca="false">IF(N3781="N",B3781&amp;"|"&amp;ROUND(O3781,0),"")</f>
        <v/>
      </c>
      <c r="Q3781" s="18" t="str">
        <f aca="false">IF(N3781&lt;&gt;"Y","",IFERROR(INDEX($D$6:$D$4005,MATCH(B3781&amp;"|"&amp;ROUND(_xlfn.MAXIFS($O$6:$O$4005,$B$6:$B$4005,B3781,$N$6:$N$4005,"N"),0),$P$6:$P$4005,0)),"(tanpa lawan)"))</f>
        <v/>
      </c>
      <c r="R3781" s="44"/>
      <c r="S3781" s="9" t="str">
        <f aca="false">IF(N3781&lt;&gt;"Y","",IF(R3781&lt;&gt;"",R3781,IF(Q3781="(tanpa lawan)","Transfer antar rekening",IFERROR(INDEX(I_COA!$F$6:$F$265,MATCH(Q3781,I_COA!$A$6:$A$265,0)),"?"))))</f>
        <v/>
      </c>
    </row>
    <row r="3782" customFormat="false" ht="15" hidden="false" customHeight="false" outlineLevel="0" collapsed="false">
      <c r="A3782" s="37"/>
      <c r="B3782" s="44"/>
      <c r="C3782" s="44"/>
      <c r="D3782" s="44"/>
      <c r="E3782" s="44"/>
      <c r="F3782" s="44"/>
      <c r="G3782" s="42"/>
      <c r="H3782" s="42"/>
      <c r="I3782" s="44"/>
      <c r="J3782" s="11" t="str">
        <f aca="false">IF(D3782="","",N(G3782)-N(H3782))</f>
        <v/>
      </c>
      <c r="K3782" s="34" t="str">
        <f aca="false">IF(D3782="","",IFERROR(INDEX(I_COA!$C$6:$C$265,MATCH(D3782,I_COA!$A$6:$A$265,0)),"AKUN BARU"))</f>
        <v/>
      </c>
      <c r="L3782" s="34" t="str">
        <f aca="false">IF(K3782="LabaRugi",INDEX(I_COA!$D$6:$D$265,MATCH(D3782,I_COA!$A$6:$A$265,0)),"")</f>
        <v/>
      </c>
      <c r="M3782" s="34" t="str">
        <f aca="false">IF(K3782="Neraca",INDEX(I_COA!$E$6:$E$265,MATCH(D3782,I_COA!$A$6:$A$265,0)),"")</f>
        <v/>
      </c>
      <c r="N3782" s="34" t="str">
        <f aca="false">IF(D3782="","",IFERROR(INDEX(I_COA!$G$6:$G$265,MATCH(D3782,I_COA!$A$6:$A$265,0)),"N"))</f>
        <v/>
      </c>
      <c r="O3782" s="11" t="str">
        <f aca="false">IF(N3782="N",ABS(J3782),"")</f>
        <v/>
      </c>
      <c r="P3782" s="18" t="str">
        <f aca="false">IF(N3782="N",B3782&amp;"|"&amp;ROUND(O3782,0),"")</f>
        <v/>
      </c>
      <c r="Q3782" s="18" t="str">
        <f aca="false">IF(N3782&lt;&gt;"Y","",IFERROR(INDEX($D$6:$D$4005,MATCH(B3782&amp;"|"&amp;ROUND(_xlfn.MAXIFS($O$6:$O$4005,$B$6:$B$4005,B3782,$N$6:$N$4005,"N"),0),$P$6:$P$4005,0)),"(tanpa lawan)"))</f>
        <v/>
      </c>
      <c r="R3782" s="44"/>
      <c r="S3782" s="9" t="str">
        <f aca="false">IF(N3782&lt;&gt;"Y","",IF(R3782&lt;&gt;"",R3782,IF(Q3782="(tanpa lawan)","Transfer antar rekening",IFERROR(INDEX(I_COA!$F$6:$F$265,MATCH(Q3782,I_COA!$A$6:$A$265,0)),"?"))))</f>
        <v/>
      </c>
    </row>
    <row r="3783" customFormat="false" ht="15" hidden="false" customHeight="false" outlineLevel="0" collapsed="false">
      <c r="A3783" s="37"/>
      <c r="B3783" s="44"/>
      <c r="C3783" s="44"/>
      <c r="D3783" s="44"/>
      <c r="E3783" s="44"/>
      <c r="F3783" s="44"/>
      <c r="G3783" s="42"/>
      <c r="H3783" s="42"/>
      <c r="I3783" s="44"/>
      <c r="J3783" s="11" t="str">
        <f aca="false">IF(D3783="","",N(G3783)-N(H3783))</f>
        <v/>
      </c>
      <c r="K3783" s="34" t="str">
        <f aca="false">IF(D3783="","",IFERROR(INDEX(I_COA!$C$6:$C$265,MATCH(D3783,I_COA!$A$6:$A$265,0)),"AKUN BARU"))</f>
        <v/>
      </c>
      <c r="L3783" s="34" t="str">
        <f aca="false">IF(K3783="LabaRugi",INDEX(I_COA!$D$6:$D$265,MATCH(D3783,I_COA!$A$6:$A$265,0)),"")</f>
        <v/>
      </c>
      <c r="M3783" s="34" t="str">
        <f aca="false">IF(K3783="Neraca",INDEX(I_COA!$E$6:$E$265,MATCH(D3783,I_COA!$A$6:$A$265,0)),"")</f>
        <v/>
      </c>
      <c r="N3783" s="34" t="str">
        <f aca="false">IF(D3783="","",IFERROR(INDEX(I_COA!$G$6:$G$265,MATCH(D3783,I_COA!$A$6:$A$265,0)),"N"))</f>
        <v/>
      </c>
      <c r="O3783" s="11" t="str">
        <f aca="false">IF(N3783="N",ABS(J3783),"")</f>
        <v/>
      </c>
      <c r="P3783" s="18" t="str">
        <f aca="false">IF(N3783="N",B3783&amp;"|"&amp;ROUND(O3783,0),"")</f>
        <v/>
      </c>
      <c r="Q3783" s="18" t="str">
        <f aca="false">IF(N3783&lt;&gt;"Y","",IFERROR(INDEX($D$6:$D$4005,MATCH(B3783&amp;"|"&amp;ROUND(_xlfn.MAXIFS($O$6:$O$4005,$B$6:$B$4005,B3783,$N$6:$N$4005,"N"),0),$P$6:$P$4005,0)),"(tanpa lawan)"))</f>
        <v/>
      </c>
      <c r="R3783" s="44"/>
      <c r="S3783" s="9" t="str">
        <f aca="false">IF(N3783&lt;&gt;"Y","",IF(R3783&lt;&gt;"",R3783,IF(Q3783="(tanpa lawan)","Transfer antar rekening",IFERROR(INDEX(I_COA!$F$6:$F$265,MATCH(Q3783,I_COA!$A$6:$A$265,0)),"?"))))</f>
        <v/>
      </c>
    </row>
    <row r="3784" customFormat="false" ht="15" hidden="false" customHeight="false" outlineLevel="0" collapsed="false">
      <c r="A3784" s="37"/>
      <c r="B3784" s="44"/>
      <c r="C3784" s="44"/>
      <c r="D3784" s="44"/>
      <c r="E3784" s="44"/>
      <c r="F3784" s="44"/>
      <c r="G3784" s="42"/>
      <c r="H3784" s="42"/>
      <c r="I3784" s="44"/>
      <c r="J3784" s="11" t="str">
        <f aca="false">IF(D3784="","",N(G3784)-N(H3784))</f>
        <v/>
      </c>
      <c r="K3784" s="34" t="str">
        <f aca="false">IF(D3784="","",IFERROR(INDEX(I_COA!$C$6:$C$265,MATCH(D3784,I_COA!$A$6:$A$265,0)),"AKUN BARU"))</f>
        <v/>
      </c>
      <c r="L3784" s="34" t="str">
        <f aca="false">IF(K3784="LabaRugi",INDEX(I_COA!$D$6:$D$265,MATCH(D3784,I_COA!$A$6:$A$265,0)),"")</f>
        <v/>
      </c>
      <c r="M3784" s="34" t="str">
        <f aca="false">IF(K3784="Neraca",INDEX(I_COA!$E$6:$E$265,MATCH(D3784,I_COA!$A$6:$A$265,0)),"")</f>
        <v/>
      </c>
      <c r="N3784" s="34" t="str">
        <f aca="false">IF(D3784="","",IFERROR(INDEX(I_COA!$G$6:$G$265,MATCH(D3784,I_COA!$A$6:$A$265,0)),"N"))</f>
        <v/>
      </c>
      <c r="O3784" s="11" t="str">
        <f aca="false">IF(N3784="N",ABS(J3784),"")</f>
        <v/>
      </c>
      <c r="P3784" s="18" t="str">
        <f aca="false">IF(N3784="N",B3784&amp;"|"&amp;ROUND(O3784,0),"")</f>
        <v/>
      </c>
      <c r="Q3784" s="18" t="str">
        <f aca="false">IF(N3784&lt;&gt;"Y","",IFERROR(INDEX($D$6:$D$4005,MATCH(B3784&amp;"|"&amp;ROUND(_xlfn.MAXIFS($O$6:$O$4005,$B$6:$B$4005,B3784,$N$6:$N$4005,"N"),0),$P$6:$P$4005,0)),"(tanpa lawan)"))</f>
        <v/>
      </c>
      <c r="R3784" s="44"/>
      <c r="S3784" s="9" t="str">
        <f aca="false">IF(N3784&lt;&gt;"Y","",IF(R3784&lt;&gt;"",R3784,IF(Q3784="(tanpa lawan)","Transfer antar rekening",IFERROR(INDEX(I_COA!$F$6:$F$265,MATCH(Q3784,I_COA!$A$6:$A$265,0)),"?"))))</f>
        <v/>
      </c>
    </row>
    <row r="3785" customFormat="false" ht="15" hidden="false" customHeight="false" outlineLevel="0" collapsed="false">
      <c r="A3785" s="37"/>
      <c r="B3785" s="44"/>
      <c r="C3785" s="44"/>
      <c r="D3785" s="44"/>
      <c r="E3785" s="44"/>
      <c r="F3785" s="44"/>
      <c r="G3785" s="42"/>
      <c r="H3785" s="42"/>
      <c r="I3785" s="44"/>
      <c r="J3785" s="11" t="str">
        <f aca="false">IF(D3785="","",N(G3785)-N(H3785))</f>
        <v/>
      </c>
      <c r="K3785" s="34" t="str">
        <f aca="false">IF(D3785="","",IFERROR(INDEX(I_COA!$C$6:$C$265,MATCH(D3785,I_COA!$A$6:$A$265,0)),"AKUN BARU"))</f>
        <v/>
      </c>
      <c r="L3785" s="34" t="str">
        <f aca="false">IF(K3785="LabaRugi",INDEX(I_COA!$D$6:$D$265,MATCH(D3785,I_COA!$A$6:$A$265,0)),"")</f>
        <v/>
      </c>
      <c r="M3785" s="34" t="str">
        <f aca="false">IF(K3785="Neraca",INDEX(I_COA!$E$6:$E$265,MATCH(D3785,I_COA!$A$6:$A$265,0)),"")</f>
        <v/>
      </c>
      <c r="N3785" s="34" t="str">
        <f aca="false">IF(D3785="","",IFERROR(INDEX(I_COA!$G$6:$G$265,MATCH(D3785,I_COA!$A$6:$A$265,0)),"N"))</f>
        <v/>
      </c>
      <c r="O3785" s="11" t="str">
        <f aca="false">IF(N3785="N",ABS(J3785),"")</f>
        <v/>
      </c>
      <c r="P3785" s="18" t="str">
        <f aca="false">IF(N3785="N",B3785&amp;"|"&amp;ROUND(O3785,0),"")</f>
        <v/>
      </c>
      <c r="Q3785" s="18" t="str">
        <f aca="false">IF(N3785&lt;&gt;"Y","",IFERROR(INDEX($D$6:$D$4005,MATCH(B3785&amp;"|"&amp;ROUND(_xlfn.MAXIFS($O$6:$O$4005,$B$6:$B$4005,B3785,$N$6:$N$4005,"N"),0),$P$6:$P$4005,0)),"(tanpa lawan)"))</f>
        <v/>
      </c>
      <c r="R3785" s="44"/>
      <c r="S3785" s="9" t="str">
        <f aca="false">IF(N3785&lt;&gt;"Y","",IF(R3785&lt;&gt;"",R3785,IF(Q3785="(tanpa lawan)","Transfer antar rekening",IFERROR(INDEX(I_COA!$F$6:$F$265,MATCH(Q3785,I_COA!$A$6:$A$265,0)),"?"))))</f>
        <v/>
      </c>
    </row>
    <row r="3786" customFormat="false" ht="15" hidden="false" customHeight="false" outlineLevel="0" collapsed="false">
      <c r="A3786" s="37"/>
      <c r="B3786" s="44"/>
      <c r="C3786" s="44"/>
      <c r="D3786" s="44"/>
      <c r="E3786" s="44"/>
      <c r="F3786" s="44"/>
      <c r="G3786" s="42"/>
      <c r="H3786" s="42"/>
      <c r="I3786" s="44"/>
      <c r="J3786" s="11" t="str">
        <f aca="false">IF(D3786="","",N(G3786)-N(H3786))</f>
        <v/>
      </c>
      <c r="K3786" s="34" t="str">
        <f aca="false">IF(D3786="","",IFERROR(INDEX(I_COA!$C$6:$C$265,MATCH(D3786,I_COA!$A$6:$A$265,0)),"AKUN BARU"))</f>
        <v/>
      </c>
      <c r="L3786" s="34" t="str">
        <f aca="false">IF(K3786="LabaRugi",INDEX(I_COA!$D$6:$D$265,MATCH(D3786,I_COA!$A$6:$A$265,0)),"")</f>
        <v/>
      </c>
      <c r="M3786" s="34" t="str">
        <f aca="false">IF(K3786="Neraca",INDEX(I_COA!$E$6:$E$265,MATCH(D3786,I_COA!$A$6:$A$265,0)),"")</f>
        <v/>
      </c>
      <c r="N3786" s="34" t="str">
        <f aca="false">IF(D3786="","",IFERROR(INDEX(I_COA!$G$6:$G$265,MATCH(D3786,I_COA!$A$6:$A$265,0)),"N"))</f>
        <v/>
      </c>
      <c r="O3786" s="11" t="str">
        <f aca="false">IF(N3786="N",ABS(J3786),"")</f>
        <v/>
      </c>
      <c r="P3786" s="18" t="str">
        <f aca="false">IF(N3786="N",B3786&amp;"|"&amp;ROUND(O3786,0),"")</f>
        <v/>
      </c>
      <c r="Q3786" s="18" t="str">
        <f aca="false">IF(N3786&lt;&gt;"Y","",IFERROR(INDEX($D$6:$D$4005,MATCH(B3786&amp;"|"&amp;ROUND(_xlfn.MAXIFS($O$6:$O$4005,$B$6:$B$4005,B3786,$N$6:$N$4005,"N"),0),$P$6:$P$4005,0)),"(tanpa lawan)"))</f>
        <v/>
      </c>
      <c r="R3786" s="44"/>
      <c r="S3786" s="9" t="str">
        <f aca="false">IF(N3786&lt;&gt;"Y","",IF(R3786&lt;&gt;"",R3786,IF(Q3786="(tanpa lawan)","Transfer antar rekening",IFERROR(INDEX(I_COA!$F$6:$F$265,MATCH(Q3786,I_COA!$A$6:$A$265,0)),"?"))))</f>
        <v/>
      </c>
    </row>
    <row r="3787" customFormat="false" ht="15" hidden="false" customHeight="false" outlineLevel="0" collapsed="false">
      <c r="A3787" s="37"/>
      <c r="B3787" s="44"/>
      <c r="C3787" s="44"/>
      <c r="D3787" s="44"/>
      <c r="E3787" s="44"/>
      <c r="F3787" s="44"/>
      <c r="G3787" s="42"/>
      <c r="H3787" s="42"/>
      <c r="I3787" s="44"/>
      <c r="J3787" s="11" t="str">
        <f aca="false">IF(D3787="","",N(G3787)-N(H3787))</f>
        <v/>
      </c>
      <c r="K3787" s="34" t="str">
        <f aca="false">IF(D3787="","",IFERROR(INDEX(I_COA!$C$6:$C$265,MATCH(D3787,I_COA!$A$6:$A$265,0)),"AKUN BARU"))</f>
        <v/>
      </c>
      <c r="L3787" s="34" t="str">
        <f aca="false">IF(K3787="LabaRugi",INDEX(I_COA!$D$6:$D$265,MATCH(D3787,I_COA!$A$6:$A$265,0)),"")</f>
        <v/>
      </c>
      <c r="M3787" s="34" t="str">
        <f aca="false">IF(K3787="Neraca",INDEX(I_COA!$E$6:$E$265,MATCH(D3787,I_COA!$A$6:$A$265,0)),"")</f>
        <v/>
      </c>
      <c r="N3787" s="34" t="str">
        <f aca="false">IF(D3787="","",IFERROR(INDEX(I_COA!$G$6:$G$265,MATCH(D3787,I_COA!$A$6:$A$265,0)),"N"))</f>
        <v/>
      </c>
      <c r="O3787" s="11" t="str">
        <f aca="false">IF(N3787="N",ABS(J3787),"")</f>
        <v/>
      </c>
      <c r="P3787" s="18" t="str">
        <f aca="false">IF(N3787="N",B3787&amp;"|"&amp;ROUND(O3787,0),"")</f>
        <v/>
      </c>
      <c r="Q3787" s="18" t="str">
        <f aca="false">IF(N3787&lt;&gt;"Y","",IFERROR(INDEX($D$6:$D$4005,MATCH(B3787&amp;"|"&amp;ROUND(_xlfn.MAXIFS($O$6:$O$4005,$B$6:$B$4005,B3787,$N$6:$N$4005,"N"),0),$P$6:$P$4005,0)),"(tanpa lawan)"))</f>
        <v/>
      </c>
      <c r="R3787" s="44"/>
      <c r="S3787" s="9" t="str">
        <f aca="false">IF(N3787&lt;&gt;"Y","",IF(R3787&lt;&gt;"",R3787,IF(Q3787="(tanpa lawan)","Transfer antar rekening",IFERROR(INDEX(I_COA!$F$6:$F$265,MATCH(Q3787,I_COA!$A$6:$A$265,0)),"?"))))</f>
        <v/>
      </c>
    </row>
    <row r="3788" customFormat="false" ht="15" hidden="false" customHeight="false" outlineLevel="0" collapsed="false">
      <c r="A3788" s="37"/>
      <c r="B3788" s="44"/>
      <c r="C3788" s="44"/>
      <c r="D3788" s="44"/>
      <c r="E3788" s="44"/>
      <c r="F3788" s="44"/>
      <c r="G3788" s="42"/>
      <c r="H3788" s="42"/>
      <c r="I3788" s="44"/>
      <c r="J3788" s="11" t="str">
        <f aca="false">IF(D3788="","",N(G3788)-N(H3788))</f>
        <v/>
      </c>
      <c r="K3788" s="34" t="str">
        <f aca="false">IF(D3788="","",IFERROR(INDEX(I_COA!$C$6:$C$265,MATCH(D3788,I_COA!$A$6:$A$265,0)),"AKUN BARU"))</f>
        <v/>
      </c>
      <c r="L3788" s="34" t="str">
        <f aca="false">IF(K3788="LabaRugi",INDEX(I_COA!$D$6:$D$265,MATCH(D3788,I_COA!$A$6:$A$265,0)),"")</f>
        <v/>
      </c>
      <c r="M3788" s="34" t="str">
        <f aca="false">IF(K3788="Neraca",INDEX(I_COA!$E$6:$E$265,MATCH(D3788,I_COA!$A$6:$A$265,0)),"")</f>
        <v/>
      </c>
      <c r="N3788" s="34" t="str">
        <f aca="false">IF(D3788="","",IFERROR(INDEX(I_COA!$G$6:$G$265,MATCH(D3788,I_COA!$A$6:$A$265,0)),"N"))</f>
        <v/>
      </c>
      <c r="O3788" s="11" t="str">
        <f aca="false">IF(N3788="N",ABS(J3788),"")</f>
        <v/>
      </c>
      <c r="P3788" s="18" t="str">
        <f aca="false">IF(N3788="N",B3788&amp;"|"&amp;ROUND(O3788,0),"")</f>
        <v/>
      </c>
      <c r="Q3788" s="18" t="str">
        <f aca="false">IF(N3788&lt;&gt;"Y","",IFERROR(INDEX($D$6:$D$4005,MATCH(B3788&amp;"|"&amp;ROUND(_xlfn.MAXIFS($O$6:$O$4005,$B$6:$B$4005,B3788,$N$6:$N$4005,"N"),0),$P$6:$P$4005,0)),"(tanpa lawan)"))</f>
        <v/>
      </c>
      <c r="R3788" s="44"/>
      <c r="S3788" s="9" t="str">
        <f aca="false">IF(N3788&lt;&gt;"Y","",IF(R3788&lt;&gt;"",R3788,IF(Q3788="(tanpa lawan)","Transfer antar rekening",IFERROR(INDEX(I_COA!$F$6:$F$265,MATCH(Q3788,I_COA!$A$6:$A$265,0)),"?"))))</f>
        <v/>
      </c>
    </row>
    <row r="3789" customFormat="false" ht="15" hidden="false" customHeight="false" outlineLevel="0" collapsed="false">
      <c r="A3789" s="37"/>
      <c r="B3789" s="44"/>
      <c r="C3789" s="44"/>
      <c r="D3789" s="44"/>
      <c r="E3789" s="44"/>
      <c r="F3789" s="44"/>
      <c r="G3789" s="42"/>
      <c r="H3789" s="42"/>
      <c r="I3789" s="44"/>
      <c r="J3789" s="11" t="str">
        <f aca="false">IF(D3789="","",N(G3789)-N(H3789))</f>
        <v/>
      </c>
      <c r="K3789" s="34" t="str">
        <f aca="false">IF(D3789="","",IFERROR(INDEX(I_COA!$C$6:$C$265,MATCH(D3789,I_COA!$A$6:$A$265,0)),"AKUN BARU"))</f>
        <v/>
      </c>
      <c r="L3789" s="34" t="str">
        <f aca="false">IF(K3789="LabaRugi",INDEX(I_COA!$D$6:$D$265,MATCH(D3789,I_COA!$A$6:$A$265,0)),"")</f>
        <v/>
      </c>
      <c r="M3789" s="34" t="str">
        <f aca="false">IF(K3789="Neraca",INDEX(I_COA!$E$6:$E$265,MATCH(D3789,I_COA!$A$6:$A$265,0)),"")</f>
        <v/>
      </c>
      <c r="N3789" s="34" t="str">
        <f aca="false">IF(D3789="","",IFERROR(INDEX(I_COA!$G$6:$G$265,MATCH(D3789,I_COA!$A$6:$A$265,0)),"N"))</f>
        <v/>
      </c>
      <c r="O3789" s="11" t="str">
        <f aca="false">IF(N3789="N",ABS(J3789),"")</f>
        <v/>
      </c>
      <c r="P3789" s="18" t="str">
        <f aca="false">IF(N3789="N",B3789&amp;"|"&amp;ROUND(O3789,0),"")</f>
        <v/>
      </c>
      <c r="Q3789" s="18" t="str">
        <f aca="false">IF(N3789&lt;&gt;"Y","",IFERROR(INDEX($D$6:$D$4005,MATCH(B3789&amp;"|"&amp;ROUND(_xlfn.MAXIFS($O$6:$O$4005,$B$6:$B$4005,B3789,$N$6:$N$4005,"N"),0),$P$6:$P$4005,0)),"(tanpa lawan)"))</f>
        <v/>
      </c>
      <c r="R3789" s="44"/>
      <c r="S3789" s="9" t="str">
        <f aca="false">IF(N3789&lt;&gt;"Y","",IF(R3789&lt;&gt;"",R3789,IF(Q3789="(tanpa lawan)","Transfer antar rekening",IFERROR(INDEX(I_COA!$F$6:$F$265,MATCH(Q3789,I_COA!$A$6:$A$265,0)),"?"))))</f>
        <v/>
      </c>
    </row>
    <row r="3790" customFormat="false" ht="15" hidden="false" customHeight="false" outlineLevel="0" collapsed="false">
      <c r="A3790" s="37"/>
      <c r="B3790" s="44"/>
      <c r="C3790" s="44"/>
      <c r="D3790" s="44"/>
      <c r="E3790" s="44"/>
      <c r="F3790" s="44"/>
      <c r="G3790" s="42"/>
      <c r="H3790" s="42"/>
      <c r="I3790" s="44"/>
      <c r="J3790" s="11" t="str">
        <f aca="false">IF(D3790="","",N(G3790)-N(H3790))</f>
        <v/>
      </c>
      <c r="K3790" s="34" t="str">
        <f aca="false">IF(D3790="","",IFERROR(INDEX(I_COA!$C$6:$C$265,MATCH(D3790,I_COA!$A$6:$A$265,0)),"AKUN BARU"))</f>
        <v/>
      </c>
      <c r="L3790" s="34" t="str">
        <f aca="false">IF(K3790="LabaRugi",INDEX(I_COA!$D$6:$D$265,MATCH(D3790,I_COA!$A$6:$A$265,0)),"")</f>
        <v/>
      </c>
      <c r="M3790" s="34" t="str">
        <f aca="false">IF(K3790="Neraca",INDEX(I_COA!$E$6:$E$265,MATCH(D3790,I_COA!$A$6:$A$265,0)),"")</f>
        <v/>
      </c>
      <c r="N3790" s="34" t="str">
        <f aca="false">IF(D3790="","",IFERROR(INDEX(I_COA!$G$6:$G$265,MATCH(D3790,I_COA!$A$6:$A$265,0)),"N"))</f>
        <v/>
      </c>
      <c r="O3790" s="11" t="str">
        <f aca="false">IF(N3790="N",ABS(J3790),"")</f>
        <v/>
      </c>
      <c r="P3790" s="18" t="str">
        <f aca="false">IF(N3790="N",B3790&amp;"|"&amp;ROUND(O3790,0),"")</f>
        <v/>
      </c>
      <c r="Q3790" s="18" t="str">
        <f aca="false">IF(N3790&lt;&gt;"Y","",IFERROR(INDEX($D$6:$D$4005,MATCH(B3790&amp;"|"&amp;ROUND(_xlfn.MAXIFS($O$6:$O$4005,$B$6:$B$4005,B3790,$N$6:$N$4005,"N"),0),$P$6:$P$4005,0)),"(tanpa lawan)"))</f>
        <v/>
      </c>
      <c r="R3790" s="44"/>
      <c r="S3790" s="9" t="str">
        <f aca="false">IF(N3790&lt;&gt;"Y","",IF(R3790&lt;&gt;"",R3790,IF(Q3790="(tanpa lawan)","Transfer antar rekening",IFERROR(INDEX(I_COA!$F$6:$F$265,MATCH(Q3790,I_COA!$A$6:$A$265,0)),"?"))))</f>
        <v/>
      </c>
    </row>
    <row r="3791" customFormat="false" ht="15" hidden="false" customHeight="false" outlineLevel="0" collapsed="false">
      <c r="A3791" s="37"/>
      <c r="B3791" s="44"/>
      <c r="C3791" s="44"/>
      <c r="D3791" s="44"/>
      <c r="E3791" s="44"/>
      <c r="F3791" s="44"/>
      <c r="G3791" s="42"/>
      <c r="H3791" s="42"/>
      <c r="I3791" s="44"/>
      <c r="J3791" s="11" t="str">
        <f aca="false">IF(D3791="","",N(G3791)-N(H3791))</f>
        <v/>
      </c>
      <c r="K3791" s="34" t="str">
        <f aca="false">IF(D3791="","",IFERROR(INDEX(I_COA!$C$6:$C$265,MATCH(D3791,I_COA!$A$6:$A$265,0)),"AKUN BARU"))</f>
        <v/>
      </c>
      <c r="L3791" s="34" t="str">
        <f aca="false">IF(K3791="LabaRugi",INDEX(I_COA!$D$6:$D$265,MATCH(D3791,I_COA!$A$6:$A$265,0)),"")</f>
        <v/>
      </c>
      <c r="M3791" s="34" t="str">
        <f aca="false">IF(K3791="Neraca",INDEX(I_COA!$E$6:$E$265,MATCH(D3791,I_COA!$A$6:$A$265,0)),"")</f>
        <v/>
      </c>
      <c r="N3791" s="34" t="str">
        <f aca="false">IF(D3791="","",IFERROR(INDEX(I_COA!$G$6:$G$265,MATCH(D3791,I_COA!$A$6:$A$265,0)),"N"))</f>
        <v/>
      </c>
      <c r="O3791" s="11" t="str">
        <f aca="false">IF(N3791="N",ABS(J3791),"")</f>
        <v/>
      </c>
      <c r="P3791" s="18" t="str">
        <f aca="false">IF(N3791="N",B3791&amp;"|"&amp;ROUND(O3791,0),"")</f>
        <v/>
      </c>
      <c r="Q3791" s="18" t="str">
        <f aca="false">IF(N3791&lt;&gt;"Y","",IFERROR(INDEX($D$6:$D$4005,MATCH(B3791&amp;"|"&amp;ROUND(_xlfn.MAXIFS($O$6:$O$4005,$B$6:$B$4005,B3791,$N$6:$N$4005,"N"),0),$P$6:$P$4005,0)),"(tanpa lawan)"))</f>
        <v/>
      </c>
      <c r="R3791" s="44"/>
      <c r="S3791" s="9" t="str">
        <f aca="false">IF(N3791&lt;&gt;"Y","",IF(R3791&lt;&gt;"",R3791,IF(Q3791="(tanpa lawan)","Transfer antar rekening",IFERROR(INDEX(I_COA!$F$6:$F$265,MATCH(Q3791,I_COA!$A$6:$A$265,0)),"?"))))</f>
        <v/>
      </c>
    </row>
    <row r="3792" customFormat="false" ht="15" hidden="false" customHeight="false" outlineLevel="0" collapsed="false">
      <c r="A3792" s="37"/>
      <c r="B3792" s="44"/>
      <c r="C3792" s="44"/>
      <c r="D3792" s="44"/>
      <c r="E3792" s="44"/>
      <c r="F3792" s="44"/>
      <c r="G3792" s="42"/>
      <c r="H3792" s="42"/>
      <c r="I3792" s="44"/>
      <c r="J3792" s="11" t="str">
        <f aca="false">IF(D3792="","",N(G3792)-N(H3792))</f>
        <v/>
      </c>
      <c r="K3792" s="34" t="str">
        <f aca="false">IF(D3792="","",IFERROR(INDEX(I_COA!$C$6:$C$265,MATCH(D3792,I_COA!$A$6:$A$265,0)),"AKUN BARU"))</f>
        <v/>
      </c>
      <c r="L3792" s="34" t="str">
        <f aca="false">IF(K3792="LabaRugi",INDEX(I_COA!$D$6:$D$265,MATCH(D3792,I_COA!$A$6:$A$265,0)),"")</f>
        <v/>
      </c>
      <c r="M3792" s="34" t="str">
        <f aca="false">IF(K3792="Neraca",INDEX(I_COA!$E$6:$E$265,MATCH(D3792,I_COA!$A$6:$A$265,0)),"")</f>
        <v/>
      </c>
      <c r="N3792" s="34" t="str">
        <f aca="false">IF(D3792="","",IFERROR(INDEX(I_COA!$G$6:$G$265,MATCH(D3792,I_COA!$A$6:$A$265,0)),"N"))</f>
        <v/>
      </c>
      <c r="O3792" s="11" t="str">
        <f aca="false">IF(N3792="N",ABS(J3792),"")</f>
        <v/>
      </c>
      <c r="P3792" s="18" t="str">
        <f aca="false">IF(N3792="N",B3792&amp;"|"&amp;ROUND(O3792,0),"")</f>
        <v/>
      </c>
      <c r="Q3792" s="18" t="str">
        <f aca="false">IF(N3792&lt;&gt;"Y","",IFERROR(INDEX($D$6:$D$4005,MATCH(B3792&amp;"|"&amp;ROUND(_xlfn.MAXIFS($O$6:$O$4005,$B$6:$B$4005,B3792,$N$6:$N$4005,"N"),0),$P$6:$P$4005,0)),"(tanpa lawan)"))</f>
        <v/>
      </c>
      <c r="R3792" s="44"/>
      <c r="S3792" s="9" t="str">
        <f aca="false">IF(N3792&lt;&gt;"Y","",IF(R3792&lt;&gt;"",R3792,IF(Q3792="(tanpa lawan)","Transfer antar rekening",IFERROR(INDEX(I_COA!$F$6:$F$265,MATCH(Q3792,I_COA!$A$6:$A$265,0)),"?"))))</f>
        <v/>
      </c>
    </row>
    <row r="3793" customFormat="false" ht="15" hidden="false" customHeight="false" outlineLevel="0" collapsed="false">
      <c r="A3793" s="37"/>
      <c r="B3793" s="44"/>
      <c r="C3793" s="44"/>
      <c r="D3793" s="44"/>
      <c r="E3793" s="44"/>
      <c r="F3793" s="44"/>
      <c r="G3793" s="42"/>
      <c r="H3793" s="42"/>
      <c r="I3793" s="44"/>
      <c r="J3793" s="11" t="str">
        <f aca="false">IF(D3793="","",N(G3793)-N(H3793))</f>
        <v/>
      </c>
      <c r="K3793" s="34" t="str">
        <f aca="false">IF(D3793="","",IFERROR(INDEX(I_COA!$C$6:$C$265,MATCH(D3793,I_COA!$A$6:$A$265,0)),"AKUN BARU"))</f>
        <v/>
      </c>
      <c r="L3793" s="34" t="str">
        <f aca="false">IF(K3793="LabaRugi",INDEX(I_COA!$D$6:$D$265,MATCH(D3793,I_COA!$A$6:$A$265,0)),"")</f>
        <v/>
      </c>
      <c r="M3793" s="34" t="str">
        <f aca="false">IF(K3793="Neraca",INDEX(I_COA!$E$6:$E$265,MATCH(D3793,I_COA!$A$6:$A$265,0)),"")</f>
        <v/>
      </c>
      <c r="N3793" s="34" t="str">
        <f aca="false">IF(D3793="","",IFERROR(INDEX(I_COA!$G$6:$G$265,MATCH(D3793,I_COA!$A$6:$A$265,0)),"N"))</f>
        <v/>
      </c>
      <c r="O3793" s="11" t="str">
        <f aca="false">IF(N3793="N",ABS(J3793),"")</f>
        <v/>
      </c>
      <c r="P3793" s="18" t="str">
        <f aca="false">IF(N3793="N",B3793&amp;"|"&amp;ROUND(O3793,0),"")</f>
        <v/>
      </c>
      <c r="Q3793" s="18" t="str">
        <f aca="false">IF(N3793&lt;&gt;"Y","",IFERROR(INDEX($D$6:$D$4005,MATCH(B3793&amp;"|"&amp;ROUND(_xlfn.MAXIFS($O$6:$O$4005,$B$6:$B$4005,B3793,$N$6:$N$4005,"N"),0),$P$6:$P$4005,0)),"(tanpa lawan)"))</f>
        <v/>
      </c>
      <c r="R3793" s="44"/>
      <c r="S3793" s="9" t="str">
        <f aca="false">IF(N3793&lt;&gt;"Y","",IF(R3793&lt;&gt;"",R3793,IF(Q3793="(tanpa lawan)","Transfer antar rekening",IFERROR(INDEX(I_COA!$F$6:$F$265,MATCH(Q3793,I_COA!$A$6:$A$265,0)),"?"))))</f>
        <v/>
      </c>
    </row>
    <row r="3794" customFormat="false" ht="15" hidden="false" customHeight="false" outlineLevel="0" collapsed="false">
      <c r="A3794" s="37"/>
      <c r="B3794" s="44"/>
      <c r="C3794" s="44"/>
      <c r="D3794" s="44"/>
      <c r="E3794" s="44"/>
      <c r="F3794" s="44"/>
      <c r="G3794" s="42"/>
      <c r="H3794" s="42"/>
      <c r="I3794" s="44"/>
      <c r="J3794" s="11" t="str">
        <f aca="false">IF(D3794="","",N(G3794)-N(H3794))</f>
        <v/>
      </c>
      <c r="K3794" s="34" t="str">
        <f aca="false">IF(D3794="","",IFERROR(INDEX(I_COA!$C$6:$C$265,MATCH(D3794,I_COA!$A$6:$A$265,0)),"AKUN BARU"))</f>
        <v/>
      </c>
      <c r="L3794" s="34" t="str">
        <f aca="false">IF(K3794="LabaRugi",INDEX(I_COA!$D$6:$D$265,MATCH(D3794,I_COA!$A$6:$A$265,0)),"")</f>
        <v/>
      </c>
      <c r="M3794" s="34" t="str">
        <f aca="false">IF(K3794="Neraca",INDEX(I_COA!$E$6:$E$265,MATCH(D3794,I_COA!$A$6:$A$265,0)),"")</f>
        <v/>
      </c>
      <c r="N3794" s="34" t="str">
        <f aca="false">IF(D3794="","",IFERROR(INDEX(I_COA!$G$6:$G$265,MATCH(D3794,I_COA!$A$6:$A$265,0)),"N"))</f>
        <v/>
      </c>
      <c r="O3794" s="11" t="str">
        <f aca="false">IF(N3794="N",ABS(J3794),"")</f>
        <v/>
      </c>
      <c r="P3794" s="18" t="str">
        <f aca="false">IF(N3794="N",B3794&amp;"|"&amp;ROUND(O3794,0),"")</f>
        <v/>
      </c>
      <c r="Q3794" s="18" t="str">
        <f aca="false">IF(N3794&lt;&gt;"Y","",IFERROR(INDEX($D$6:$D$4005,MATCH(B3794&amp;"|"&amp;ROUND(_xlfn.MAXIFS($O$6:$O$4005,$B$6:$B$4005,B3794,$N$6:$N$4005,"N"),0),$P$6:$P$4005,0)),"(tanpa lawan)"))</f>
        <v/>
      </c>
      <c r="R3794" s="44"/>
      <c r="S3794" s="9" t="str">
        <f aca="false">IF(N3794&lt;&gt;"Y","",IF(R3794&lt;&gt;"",R3794,IF(Q3794="(tanpa lawan)","Transfer antar rekening",IFERROR(INDEX(I_COA!$F$6:$F$265,MATCH(Q3794,I_COA!$A$6:$A$265,0)),"?"))))</f>
        <v/>
      </c>
    </row>
    <row r="3795" customFormat="false" ht="15" hidden="false" customHeight="false" outlineLevel="0" collapsed="false">
      <c r="A3795" s="37"/>
      <c r="B3795" s="44"/>
      <c r="C3795" s="44"/>
      <c r="D3795" s="44"/>
      <c r="E3795" s="44"/>
      <c r="F3795" s="44"/>
      <c r="G3795" s="42"/>
      <c r="H3795" s="42"/>
      <c r="I3795" s="44"/>
      <c r="J3795" s="11" t="str">
        <f aca="false">IF(D3795="","",N(G3795)-N(H3795))</f>
        <v/>
      </c>
      <c r="K3795" s="34" t="str">
        <f aca="false">IF(D3795="","",IFERROR(INDEX(I_COA!$C$6:$C$265,MATCH(D3795,I_COA!$A$6:$A$265,0)),"AKUN BARU"))</f>
        <v/>
      </c>
      <c r="L3795" s="34" t="str">
        <f aca="false">IF(K3795="LabaRugi",INDEX(I_COA!$D$6:$D$265,MATCH(D3795,I_COA!$A$6:$A$265,0)),"")</f>
        <v/>
      </c>
      <c r="M3795" s="34" t="str">
        <f aca="false">IF(K3795="Neraca",INDEX(I_COA!$E$6:$E$265,MATCH(D3795,I_COA!$A$6:$A$265,0)),"")</f>
        <v/>
      </c>
      <c r="N3795" s="34" t="str">
        <f aca="false">IF(D3795="","",IFERROR(INDEX(I_COA!$G$6:$G$265,MATCH(D3795,I_COA!$A$6:$A$265,0)),"N"))</f>
        <v/>
      </c>
      <c r="O3795" s="11" t="str">
        <f aca="false">IF(N3795="N",ABS(J3795),"")</f>
        <v/>
      </c>
      <c r="P3795" s="18" t="str">
        <f aca="false">IF(N3795="N",B3795&amp;"|"&amp;ROUND(O3795,0),"")</f>
        <v/>
      </c>
      <c r="Q3795" s="18" t="str">
        <f aca="false">IF(N3795&lt;&gt;"Y","",IFERROR(INDEX($D$6:$D$4005,MATCH(B3795&amp;"|"&amp;ROUND(_xlfn.MAXIFS($O$6:$O$4005,$B$6:$B$4005,B3795,$N$6:$N$4005,"N"),0),$P$6:$P$4005,0)),"(tanpa lawan)"))</f>
        <v/>
      </c>
      <c r="R3795" s="44"/>
      <c r="S3795" s="9" t="str">
        <f aca="false">IF(N3795&lt;&gt;"Y","",IF(R3795&lt;&gt;"",R3795,IF(Q3795="(tanpa lawan)","Transfer antar rekening",IFERROR(INDEX(I_COA!$F$6:$F$265,MATCH(Q3795,I_COA!$A$6:$A$265,0)),"?"))))</f>
        <v/>
      </c>
    </row>
    <row r="3796" customFormat="false" ht="15" hidden="false" customHeight="false" outlineLevel="0" collapsed="false">
      <c r="A3796" s="37"/>
      <c r="B3796" s="44"/>
      <c r="C3796" s="44"/>
      <c r="D3796" s="44"/>
      <c r="E3796" s="44"/>
      <c r="F3796" s="44"/>
      <c r="G3796" s="42"/>
      <c r="H3796" s="42"/>
      <c r="I3796" s="44"/>
      <c r="J3796" s="11" t="str">
        <f aca="false">IF(D3796="","",N(G3796)-N(H3796))</f>
        <v/>
      </c>
      <c r="K3796" s="34" t="str">
        <f aca="false">IF(D3796="","",IFERROR(INDEX(I_COA!$C$6:$C$265,MATCH(D3796,I_COA!$A$6:$A$265,0)),"AKUN BARU"))</f>
        <v/>
      </c>
      <c r="L3796" s="34" t="str">
        <f aca="false">IF(K3796="LabaRugi",INDEX(I_COA!$D$6:$D$265,MATCH(D3796,I_COA!$A$6:$A$265,0)),"")</f>
        <v/>
      </c>
      <c r="M3796" s="34" t="str">
        <f aca="false">IF(K3796="Neraca",INDEX(I_COA!$E$6:$E$265,MATCH(D3796,I_COA!$A$6:$A$265,0)),"")</f>
        <v/>
      </c>
      <c r="N3796" s="34" t="str">
        <f aca="false">IF(D3796="","",IFERROR(INDEX(I_COA!$G$6:$G$265,MATCH(D3796,I_COA!$A$6:$A$265,0)),"N"))</f>
        <v/>
      </c>
      <c r="O3796" s="11" t="str">
        <f aca="false">IF(N3796="N",ABS(J3796),"")</f>
        <v/>
      </c>
      <c r="P3796" s="18" t="str">
        <f aca="false">IF(N3796="N",B3796&amp;"|"&amp;ROUND(O3796,0),"")</f>
        <v/>
      </c>
      <c r="Q3796" s="18" t="str">
        <f aca="false">IF(N3796&lt;&gt;"Y","",IFERROR(INDEX($D$6:$D$4005,MATCH(B3796&amp;"|"&amp;ROUND(_xlfn.MAXIFS($O$6:$O$4005,$B$6:$B$4005,B3796,$N$6:$N$4005,"N"),0),$P$6:$P$4005,0)),"(tanpa lawan)"))</f>
        <v/>
      </c>
      <c r="R3796" s="44"/>
      <c r="S3796" s="9" t="str">
        <f aca="false">IF(N3796&lt;&gt;"Y","",IF(R3796&lt;&gt;"",R3796,IF(Q3796="(tanpa lawan)","Transfer antar rekening",IFERROR(INDEX(I_COA!$F$6:$F$265,MATCH(Q3796,I_COA!$A$6:$A$265,0)),"?"))))</f>
        <v/>
      </c>
    </row>
    <row r="3797" customFormat="false" ht="15" hidden="false" customHeight="false" outlineLevel="0" collapsed="false">
      <c r="A3797" s="37"/>
      <c r="B3797" s="44"/>
      <c r="C3797" s="44"/>
      <c r="D3797" s="44"/>
      <c r="E3797" s="44"/>
      <c r="F3797" s="44"/>
      <c r="G3797" s="42"/>
      <c r="H3797" s="42"/>
      <c r="I3797" s="44"/>
      <c r="J3797" s="11" t="str">
        <f aca="false">IF(D3797="","",N(G3797)-N(H3797))</f>
        <v/>
      </c>
      <c r="K3797" s="34" t="str">
        <f aca="false">IF(D3797="","",IFERROR(INDEX(I_COA!$C$6:$C$265,MATCH(D3797,I_COA!$A$6:$A$265,0)),"AKUN BARU"))</f>
        <v/>
      </c>
      <c r="L3797" s="34" t="str">
        <f aca="false">IF(K3797="LabaRugi",INDEX(I_COA!$D$6:$D$265,MATCH(D3797,I_COA!$A$6:$A$265,0)),"")</f>
        <v/>
      </c>
      <c r="M3797" s="34" t="str">
        <f aca="false">IF(K3797="Neraca",INDEX(I_COA!$E$6:$E$265,MATCH(D3797,I_COA!$A$6:$A$265,0)),"")</f>
        <v/>
      </c>
      <c r="N3797" s="34" t="str">
        <f aca="false">IF(D3797="","",IFERROR(INDEX(I_COA!$G$6:$G$265,MATCH(D3797,I_COA!$A$6:$A$265,0)),"N"))</f>
        <v/>
      </c>
      <c r="O3797" s="11" t="str">
        <f aca="false">IF(N3797="N",ABS(J3797),"")</f>
        <v/>
      </c>
      <c r="P3797" s="18" t="str">
        <f aca="false">IF(N3797="N",B3797&amp;"|"&amp;ROUND(O3797,0),"")</f>
        <v/>
      </c>
      <c r="Q3797" s="18" t="str">
        <f aca="false">IF(N3797&lt;&gt;"Y","",IFERROR(INDEX($D$6:$D$4005,MATCH(B3797&amp;"|"&amp;ROUND(_xlfn.MAXIFS($O$6:$O$4005,$B$6:$B$4005,B3797,$N$6:$N$4005,"N"),0),$P$6:$P$4005,0)),"(tanpa lawan)"))</f>
        <v/>
      </c>
      <c r="R3797" s="44"/>
      <c r="S3797" s="9" t="str">
        <f aca="false">IF(N3797&lt;&gt;"Y","",IF(R3797&lt;&gt;"",R3797,IF(Q3797="(tanpa lawan)","Transfer antar rekening",IFERROR(INDEX(I_COA!$F$6:$F$265,MATCH(Q3797,I_COA!$A$6:$A$265,0)),"?"))))</f>
        <v/>
      </c>
    </row>
    <row r="3798" customFormat="false" ht="15" hidden="false" customHeight="false" outlineLevel="0" collapsed="false">
      <c r="A3798" s="37"/>
      <c r="B3798" s="44"/>
      <c r="C3798" s="44"/>
      <c r="D3798" s="44"/>
      <c r="E3798" s="44"/>
      <c r="F3798" s="44"/>
      <c r="G3798" s="42"/>
      <c r="H3798" s="42"/>
      <c r="I3798" s="44"/>
      <c r="J3798" s="11" t="str">
        <f aca="false">IF(D3798="","",N(G3798)-N(H3798))</f>
        <v/>
      </c>
      <c r="K3798" s="34" t="str">
        <f aca="false">IF(D3798="","",IFERROR(INDEX(I_COA!$C$6:$C$265,MATCH(D3798,I_COA!$A$6:$A$265,0)),"AKUN BARU"))</f>
        <v/>
      </c>
      <c r="L3798" s="34" t="str">
        <f aca="false">IF(K3798="LabaRugi",INDEX(I_COA!$D$6:$D$265,MATCH(D3798,I_COA!$A$6:$A$265,0)),"")</f>
        <v/>
      </c>
      <c r="M3798" s="34" t="str">
        <f aca="false">IF(K3798="Neraca",INDEX(I_COA!$E$6:$E$265,MATCH(D3798,I_COA!$A$6:$A$265,0)),"")</f>
        <v/>
      </c>
      <c r="N3798" s="34" t="str">
        <f aca="false">IF(D3798="","",IFERROR(INDEX(I_COA!$G$6:$G$265,MATCH(D3798,I_COA!$A$6:$A$265,0)),"N"))</f>
        <v/>
      </c>
      <c r="O3798" s="11" t="str">
        <f aca="false">IF(N3798="N",ABS(J3798),"")</f>
        <v/>
      </c>
      <c r="P3798" s="18" t="str">
        <f aca="false">IF(N3798="N",B3798&amp;"|"&amp;ROUND(O3798,0),"")</f>
        <v/>
      </c>
      <c r="Q3798" s="18" t="str">
        <f aca="false">IF(N3798&lt;&gt;"Y","",IFERROR(INDEX($D$6:$D$4005,MATCH(B3798&amp;"|"&amp;ROUND(_xlfn.MAXIFS($O$6:$O$4005,$B$6:$B$4005,B3798,$N$6:$N$4005,"N"),0),$P$6:$P$4005,0)),"(tanpa lawan)"))</f>
        <v/>
      </c>
      <c r="R3798" s="44"/>
      <c r="S3798" s="9" t="str">
        <f aca="false">IF(N3798&lt;&gt;"Y","",IF(R3798&lt;&gt;"",R3798,IF(Q3798="(tanpa lawan)","Transfer antar rekening",IFERROR(INDEX(I_COA!$F$6:$F$265,MATCH(Q3798,I_COA!$A$6:$A$265,0)),"?"))))</f>
        <v/>
      </c>
    </row>
    <row r="3799" customFormat="false" ht="15" hidden="false" customHeight="false" outlineLevel="0" collapsed="false">
      <c r="A3799" s="37"/>
      <c r="B3799" s="44"/>
      <c r="C3799" s="44"/>
      <c r="D3799" s="44"/>
      <c r="E3799" s="44"/>
      <c r="F3799" s="44"/>
      <c r="G3799" s="42"/>
      <c r="H3799" s="42"/>
      <c r="I3799" s="44"/>
      <c r="J3799" s="11" t="str">
        <f aca="false">IF(D3799="","",N(G3799)-N(H3799))</f>
        <v/>
      </c>
      <c r="K3799" s="34" t="str">
        <f aca="false">IF(D3799="","",IFERROR(INDEX(I_COA!$C$6:$C$265,MATCH(D3799,I_COA!$A$6:$A$265,0)),"AKUN BARU"))</f>
        <v/>
      </c>
      <c r="L3799" s="34" t="str">
        <f aca="false">IF(K3799="LabaRugi",INDEX(I_COA!$D$6:$D$265,MATCH(D3799,I_COA!$A$6:$A$265,0)),"")</f>
        <v/>
      </c>
      <c r="M3799" s="34" t="str">
        <f aca="false">IF(K3799="Neraca",INDEX(I_COA!$E$6:$E$265,MATCH(D3799,I_COA!$A$6:$A$265,0)),"")</f>
        <v/>
      </c>
      <c r="N3799" s="34" t="str">
        <f aca="false">IF(D3799="","",IFERROR(INDEX(I_COA!$G$6:$G$265,MATCH(D3799,I_COA!$A$6:$A$265,0)),"N"))</f>
        <v/>
      </c>
      <c r="O3799" s="11" t="str">
        <f aca="false">IF(N3799="N",ABS(J3799),"")</f>
        <v/>
      </c>
      <c r="P3799" s="18" t="str">
        <f aca="false">IF(N3799="N",B3799&amp;"|"&amp;ROUND(O3799,0),"")</f>
        <v/>
      </c>
      <c r="Q3799" s="18" t="str">
        <f aca="false">IF(N3799&lt;&gt;"Y","",IFERROR(INDEX($D$6:$D$4005,MATCH(B3799&amp;"|"&amp;ROUND(_xlfn.MAXIFS($O$6:$O$4005,$B$6:$B$4005,B3799,$N$6:$N$4005,"N"),0),$P$6:$P$4005,0)),"(tanpa lawan)"))</f>
        <v/>
      </c>
      <c r="R3799" s="44"/>
      <c r="S3799" s="9" t="str">
        <f aca="false">IF(N3799&lt;&gt;"Y","",IF(R3799&lt;&gt;"",R3799,IF(Q3799="(tanpa lawan)","Transfer antar rekening",IFERROR(INDEX(I_COA!$F$6:$F$265,MATCH(Q3799,I_COA!$A$6:$A$265,0)),"?"))))</f>
        <v/>
      </c>
    </row>
    <row r="3800" customFormat="false" ht="15" hidden="false" customHeight="false" outlineLevel="0" collapsed="false">
      <c r="A3800" s="37"/>
      <c r="B3800" s="44"/>
      <c r="C3800" s="44"/>
      <c r="D3800" s="44"/>
      <c r="E3800" s="44"/>
      <c r="F3800" s="44"/>
      <c r="G3800" s="42"/>
      <c r="H3800" s="42"/>
      <c r="I3800" s="44"/>
      <c r="J3800" s="11" t="str">
        <f aca="false">IF(D3800="","",N(G3800)-N(H3800))</f>
        <v/>
      </c>
      <c r="K3800" s="34" t="str">
        <f aca="false">IF(D3800="","",IFERROR(INDEX(I_COA!$C$6:$C$265,MATCH(D3800,I_COA!$A$6:$A$265,0)),"AKUN BARU"))</f>
        <v/>
      </c>
      <c r="L3800" s="34" t="str">
        <f aca="false">IF(K3800="LabaRugi",INDEX(I_COA!$D$6:$D$265,MATCH(D3800,I_COA!$A$6:$A$265,0)),"")</f>
        <v/>
      </c>
      <c r="M3800" s="34" t="str">
        <f aca="false">IF(K3800="Neraca",INDEX(I_COA!$E$6:$E$265,MATCH(D3800,I_COA!$A$6:$A$265,0)),"")</f>
        <v/>
      </c>
      <c r="N3800" s="34" t="str">
        <f aca="false">IF(D3800="","",IFERROR(INDEX(I_COA!$G$6:$G$265,MATCH(D3800,I_COA!$A$6:$A$265,0)),"N"))</f>
        <v/>
      </c>
      <c r="O3800" s="11" t="str">
        <f aca="false">IF(N3800="N",ABS(J3800),"")</f>
        <v/>
      </c>
      <c r="P3800" s="18" t="str">
        <f aca="false">IF(N3800="N",B3800&amp;"|"&amp;ROUND(O3800,0),"")</f>
        <v/>
      </c>
      <c r="Q3800" s="18" t="str">
        <f aca="false">IF(N3800&lt;&gt;"Y","",IFERROR(INDEX($D$6:$D$4005,MATCH(B3800&amp;"|"&amp;ROUND(_xlfn.MAXIFS($O$6:$O$4005,$B$6:$B$4005,B3800,$N$6:$N$4005,"N"),0),$P$6:$P$4005,0)),"(tanpa lawan)"))</f>
        <v/>
      </c>
      <c r="R3800" s="44"/>
      <c r="S3800" s="9" t="str">
        <f aca="false">IF(N3800&lt;&gt;"Y","",IF(R3800&lt;&gt;"",R3800,IF(Q3800="(tanpa lawan)","Transfer antar rekening",IFERROR(INDEX(I_COA!$F$6:$F$265,MATCH(Q3800,I_COA!$A$6:$A$265,0)),"?"))))</f>
        <v/>
      </c>
    </row>
    <row r="3801" customFormat="false" ht="15" hidden="false" customHeight="false" outlineLevel="0" collapsed="false">
      <c r="A3801" s="37"/>
      <c r="B3801" s="44"/>
      <c r="C3801" s="44"/>
      <c r="D3801" s="44"/>
      <c r="E3801" s="44"/>
      <c r="F3801" s="44"/>
      <c r="G3801" s="42"/>
      <c r="H3801" s="42"/>
      <c r="I3801" s="44"/>
      <c r="J3801" s="11" t="str">
        <f aca="false">IF(D3801="","",N(G3801)-N(H3801))</f>
        <v/>
      </c>
      <c r="K3801" s="34" t="str">
        <f aca="false">IF(D3801="","",IFERROR(INDEX(I_COA!$C$6:$C$265,MATCH(D3801,I_COA!$A$6:$A$265,0)),"AKUN BARU"))</f>
        <v/>
      </c>
      <c r="L3801" s="34" t="str">
        <f aca="false">IF(K3801="LabaRugi",INDEX(I_COA!$D$6:$D$265,MATCH(D3801,I_COA!$A$6:$A$265,0)),"")</f>
        <v/>
      </c>
      <c r="M3801" s="34" t="str">
        <f aca="false">IF(K3801="Neraca",INDEX(I_COA!$E$6:$E$265,MATCH(D3801,I_COA!$A$6:$A$265,0)),"")</f>
        <v/>
      </c>
      <c r="N3801" s="34" t="str">
        <f aca="false">IF(D3801="","",IFERROR(INDEX(I_COA!$G$6:$G$265,MATCH(D3801,I_COA!$A$6:$A$265,0)),"N"))</f>
        <v/>
      </c>
      <c r="O3801" s="11" t="str">
        <f aca="false">IF(N3801="N",ABS(J3801),"")</f>
        <v/>
      </c>
      <c r="P3801" s="18" t="str">
        <f aca="false">IF(N3801="N",B3801&amp;"|"&amp;ROUND(O3801,0),"")</f>
        <v/>
      </c>
      <c r="Q3801" s="18" t="str">
        <f aca="false">IF(N3801&lt;&gt;"Y","",IFERROR(INDEX($D$6:$D$4005,MATCH(B3801&amp;"|"&amp;ROUND(_xlfn.MAXIFS($O$6:$O$4005,$B$6:$B$4005,B3801,$N$6:$N$4005,"N"),0),$P$6:$P$4005,0)),"(tanpa lawan)"))</f>
        <v/>
      </c>
      <c r="R3801" s="44"/>
      <c r="S3801" s="9" t="str">
        <f aca="false">IF(N3801&lt;&gt;"Y","",IF(R3801&lt;&gt;"",R3801,IF(Q3801="(tanpa lawan)","Transfer antar rekening",IFERROR(INDEX(I_COA!$F$6:$F$265,MATCH(Q3801,I_COA!$A$6:$A$265,0)),"?"))))</f>
        <v/>
      </c>
    </row>
    <row r="3802" customFormat="false" ht="15" hidden="false" customHeight="false" outlineLevel="0" collapsed="false">
      <c r="A3802" s="37"/>
      <c r="B3802" s="44"/>
      <c r="C3802" s="44"/>
      <c r="D3802" s="44"/>
      <c r="E3802" s="44"/>
      <c r="F3802" s="44"/>
      <c r="G3802" s="42"/>
      <c r="H3802" s="42"/>
      <c r="I3802" s="44"/>
      <c r="J3802" s="11" t="str">
        <f aca="false">IF(D3802="","",N(G3802)-N(H3802))</f>
        <v/>
      </c>
      <c r="K3802" s="34" t="str">
        <f aca="false">IF(D3802="","",IFERROR(INDEX(I_COA!$C$6:$C$265,MATCH(D3802,I_COA!$A$6:$A$265,0)),"AKUN BARU"))</f>
        <v/>
      </c>
      <c r="L3802" s="34" t="str">
        <f aca="false">IF(K3802="LabaRugi",INDEX(I_COA!$D$6:$D$265,MATCH(D3802,I_COA!$A$6:$A$265,0)),"")</f>
        <v/>
      </c>
      <c r="M3802" s="34" t="str">
        <f aca="false">IF(K3802="Neraca",INDEX(I_COA!$E$6:$E$265,MATCH(D3802,I_COA!$A$6:$A$265,0)),"")</f>
        <v/>
      </c>
      <c r="N3802" s="34" t="str">
        <f aca="false">IF(D3802="","",IFERROR(INDEX(I_COA!$G$6:$G$265,MATCH(D3802,I_COA!$A$6:$A$265,0)),"N"))</f>
        <v/>
      </c>
      <c r="O3802" s="11" t="str">
        <f aca="false">IF(N3802="N",ABS(J3802),"")</f>
        <v/>
      </c>
      <c r="P3802" s="18" t="str">
        <f aca="false">IF(N3802="N",B3802&amp;"|"&amp;ROUND(O3802,0),"")</f>
        <v/>
      </c>
      <c r="Q3802" s="18" t="str">
        <f aca="false">IF(N3802&lt;&gt;"Y","",IFERROR(INDEX($D$6:$D$4005,MATCH(B3802&amp;"|"&amp;ROUND(_xlfn.MAXIFS($O$6:$O$4005,$B$6:$B$4005,B3802,$N$6:$N$4005,"N"),0),$P$6:$P$4005,0)),"(tanpa lawan)"))</f>
        <v/>
      </c>
      <c r="R3802" s="44"/>
      <c r="S3802" s="9" t="str">
        <f aca="false">IF(N3802&lt;&gt;"Y","",IF(R3802&lt;&gt;"",R3802,IF(Q3802="(tanpa lawan)","Transfer antar rekening",IFERROR(INDEX(I_COA!$F$6:$F$265,MATCH(Q3802,I_COA!$A$6:$A$265,0)),"?"))))</f>
        <v/>
      </c>
    </row>
    <row r="3803" customFormat="false" ht="15" hidden="false" customHeight="false" outlineLevel="0" collapsed="false">
      <c r="A3803" s="37"/>
      <c r="B3803" s="44"/>
      <c r="C3803" s="44"/>
      <c r="D3803" s="44"/>
      <c r="E3803" s="44"/>
      <c r="F3803" s="44"/>
      <c r="G3803" s="42"/>
      <c r="H3803" s="42"/>
      <c r="I3803" s="44"/>
      <c r="J3803" s="11" t="str">
        <f aca="false">IF(D3803="","",N(G3803)-N(H3803))</f>
        <v/>
      </c>
      <c r="K3803" s="34" t="str">
        <f aca="false">IF(D3803="","",IFERROR(INDEX(I_COA!$C$6:$C$265,MATCH(D3803,I_COA!$A$6:$A$265,0)),"AKUN BARU"))</f>
        <v/>
      </c>
      <c r="L3803" s="34" t="str">
        <f aca="false">IF(K3803="LabaRugi",INDEX(I_COA!$D$6:$D$265,MATCH(D3803,I_COA!$A$6:$A$265,0)),"")</f>
        <v/>
      </c>
      <c r="M3803" s="34" t="str">
        <f aca="false">IF(K3803="Neraca",INDEX(I_COA!$E$6:$E$265,MATCH(D3803,I_COA!$A$6:$A$265,0)),"")</f>
        <v/>
      </c>
      <c r="N3803" s="34" t="str">
        <f aca="false">IF(D3803="","",IFERROR(INDEX(I_COA!$G$6:$G$265,MATCH(D3803,I_COA!$A$6:$A$265,0)),"N"))</f>
        <v/>
      </c>
      <c r="O3803" s="11" t="str">
        <f aca="false">IF(N3803="N",ABS(J3803),"")</f>
        <v/>
      </c>
      <c r="P3803" s="18" t="str">
        <f aca="false">IF(N3803="N",B3803&amp;"|"&amp;ROUND(O3803,0),"")</f>
        <v/>
      </c>
      <c r="Q3803" s="18" t="str">
        <f aca="false">IF(N3803&lt;&gt;"Y","",IFERROR(INDEX($D$6:$D$4005,MATCH(B3803&amp;"|"&amp;ROUND(_xlfn.MAXIFS($O$6:$O$4005,$B$6:$B$4005,B3803,$N$6:$N$4005,"N"),0),$P$6:$P$4005,0)),"(tanpa lawan)"))</f>
        <v/>
      </c>
      <c r="R3803" s="44"/>
      <c r="S3803" s="9" t="str">
        <f aca="false">IF(N3803&lt;&gt;"Y","",IF(R3803&lt;&gt;"",R3803,IF(Q3803="(tanpa lawan)","Transfer antar rekening",IFERROR(INDEX(I_COA!$F$6:$F$265,MATCH(Q3803,I_COA!$A$6:$A$265,0)),"?"))))</f>
        <v/>
      </c>
    </row>
    <row r="3804" customFormat="false" ht="15" hidden="false" customHeight="false" outlineLevel="0" collapsed="false">
      <c r="A3804" s="37"/>
      <c r="B3804" s="44"/>
      <c r="C3804" s="44"/>
      <c r="D3804" s="44"/>
      <c r="E3804" s="44"/>
      <c r="F3804" s="44"/>
      <c r="G3804" s="42"/>
      <c r="H3804" s="42"/>
      <c r="I3804" s="44"/>
      <c r="J3804" s="11" t="str">
        <f aca="false">IF(D3804="","",N(G3804)-N(H3804))</f>
        <v/>
      </c>
      <c r="K3804" s="34" t="str">
        <f aca="false">IF(D3804="","",IFERROR(INDEX(I_COA!$C$6:$C$265,MATCH(D3804,I_COA!$A$6:$A$265,0)),"AKUN BARU"))</f>
        <v/>
      </c>
      <c r="L3804" s="34" t="str">
        <f aca="false">IF(K3804="LabaRugi",INDEX(I_COA!$D$6:$D$265,MATCH(D3804,I_COA!$A$6:$A$265,0)),"")</f>
        <v/>
      </c>
      <c r="M3804" s="34" t="str">
        <f aca="false">IF(K3804="Neraca",INDEX(I_COA!$E$6:$E$265,MATCH(D3804,I_COA!$A$6:$A$265,0)),"")</f>
        <v/>
      </c>
      <c r="N3804" s="34" t="str">
        <f aca="false">IF(D3804="","",IFERROR(INDEX(I_COA!$G$6:$G$265,MATCH(D3804,I_COA!$A$6:$A$265,0)),"N"))</f>
        <v/>
      </c>
      <c r="O3804" s="11" t="str">
        <f aca="false">IF(N3804="N",ABS(J3804),"")</f>
        <v/>
      </c>
      <c r="P3804" s="18" t="str">
        <f aca="false">IF(N3804="N",B3804&amp;"|"&amp;ROUND(O3804,0),"")</f>
        <v/>
      </c>
      <c r="Q3804" s="18" t="str">
        <f aca="false">IF(N3804&lt;&gt;"Y","",IFERROR(INDEX($D$6:$D$4005,MATCH(B3804&amp;"|"&amp;ROUND(_xlfn.MAXIFS($O$6:$O$4005,$B$6:$B$4005,B3804,$N$6:$N$4005,"N"),0),$P$6:$P$4005,0)),"(tanpa lawan)"))</f>
        <v/>
      </c>
      <c r="R3804" s="44"/>
      <c r="S3804" s="9" t="str">
        <f aca="false">IF(N3804&lt;&gt;"Y","",IF(R3804&lt;&gt;"",R3804,IF(Q3804="(tanpa lawan)","Transfer antar rekening",IFERROR(INDEX(I_COA!$F$6:$F$265,MATCH(Q3804,I_COA!$A$6:$A$265,0)),"?"))))</f>
        <v/>
      </c>
    </row>
    <row r="3805" customFormat="false" ht="15" hidden="false" customHeight="false" outlineLevel="0" collapsed="false">
      <c r="A3805" s="37"/>
      <c r="B3805" s="44"/>
      <c r="C3805" s="44"/>
      <c r="D3805" s="44"/>
      <c r="E3805" s="44"/>
      <c r="F3805" s="44"/>
      <c r="G3805" s="42"/>
      <c r="H3805" s="42"/>
      <c r="I3805" s="44"/>
      <c r="J3805" s="11" t="str">
        <f aca="false">IF(D3805="","",N(G3805)-N(H3805))</f>
        <v/>
      </c>
      <c r="K3805" s="34" t="str">
        <f aca="false">IF(D3805="","",IFERROR(INDEX(I_COA!$C$6:$C$265,MATCH(D3805,I_COA!$A$6:$A$265,0)),"AKUN BARU"))</f>
        <v/>
      </c>
      <c r="L3805" s="34" t="str">
        <f aca="false">IF(K3805="LabaRugi",INDEX(I_COA!$D$6:$D$265,MATCH(D3805,I_COA!$A$6:$A$265,0)),"")</f>
        <v/>
      </c>
      <c r="M3805" s="34" t="str">
        <f aca="false">IF(K3805="Neraca",INDEX(I_COA!$E$6:$E$265,MATCH(D3805,I_COA!$A$6:$A$265,0)),"")</f>
        <v/>
      </c>
      <c r="N3805" s="34" t="str">
        <f aca="false">IF(D3805="","",IFERROR(INDEX(I_COA!$G$6:$G$265,MATCH(D3805,I_COA!$A$6:$A$265,0)),"N"))</f>
        <v/>
      </c>
      <c r="O3805" s="11" t="str">
        <f aca="false">IF(N3805="N",ABS(J3805),"")</f>
        <v/>
      </c>
      <c r="P3805" s="18" t="str">
        <f aca="false">IF(N3805="N",B3805&amp;"|"&amp;ROUND(O3805,0),"")</f>
        <v/>
      </c>
      <c r="Q3805" s="18" t="str">
        <f aca="false">IF(N3805&lt;&gt;"Y","",IFERROR(INDEX($D$6:$D$4005,MATCH(B3805&amp;"|"&amp;ROUND(_xlfn.MAXIFS($O$6:$O$4005,$B$6:$B$4005,B3805,$N$6:$N$4005,"N"),0),$P$6:$P$4005,0)),"(tanpa lawan)"))</f>
        <v/>
      </c>
      <c r="R3805" s="44"/>
      <c r="S3805" s="9" t="str">
        <f aca="false">IF(N3805&lt;&gt;"Y","",IF(R3805&lt;&gt;"",R3805,IF(Q3805="(tanpa lawan)","Transfer antar rekening",IFERROR(INDEX(I_COA!$F$6:$F$265,MATCH(Q3805,I_COA!$A$6:$A$265,0)),"?"))))</f>
        <v/>
      </c>
    </row>
    <row r="3806" customFormat="false" ht="15" hidden="false" customHeight="false" outlineLevel="0" collapsed="false">
      <c r="A3806" s="37"/>
      <c r="B3806" s="44"/>
      <c r="C3806" s="44"/>
      <c r="D3806" s="44"/>
      <c r="E3806" s="44"/>
      <c r="F3806" s="44"/>
      <c r="G3806" s="42"/>
      <c r="H3806" s="42"/>
      <c r="I3806" s="44"/>
      <c r="J3806" s="11" t="str">
        <f aca="false">IF(D3806="","",N(G3806)-N(H3806))</f>
        <v/>
      </c>
      <c r="K3806" s="34" t="str">
        <f aca="false">IF(D3806="","",IFERROR(INDEX(I_COA!$C$6:$C$265,MATCH(D3806,I_COA!$A$6:$A$265,0)),"AKUN BARU"))</f>
        <v/>
      </c>
      <c r="L3806" s="34" t="str">
        <f aca="false">IF(K3806="LabaRugi",INDEX(I_COA!$D$6:$D$265,MATCH(D3806,I_COA!$A$6:$A$265,0)),"")</f>
        <v/>
      </c>
      <c r="M3806" s="34" t="str">
        <f aca="false">IF(K3806="Neraca",INDEX(I_COA!$E$6:$E$265,MATCH(D3806,I_COA!$A$6:$A$265,0)),"")</f>
        <v/>
      </c>
      <c r="N3806" s="34" t="str">
        <f aca="false">IF(D3806="","",IFERROR(INDEX(I_COA!$G$6:$G$265,MATCH(D3806,I_COA!$A$6:$A$265,0)),"N"))</f>
        <v/>
      </c>
      <c r="O3806" s="11" t="str">
        <f aca="false">IF(N3806="N",ABS(J3806),"")</f>
        <v/>
      </c>
      <c r="P3806" s="18" t="str">
        <f aca="false">IF(N3806="N",B3806&amp;"|"&amp;ROUND(O3806,0),"")</f>
        <v/>
      </c>
      <c r="Q3806" s="18" t="str">
        <f aca="false">IF(N3806&lt;&gt;"Y","",IFERROR(INDEX($D$6:$D$4005,MATCH(B3806&amp;"|"&amp;ROUND(_xlfn.MAXIFS($O$6:$O$4005,$B$6:$B$4005,B3806,$N$6:$N$4005,"N"),0),$P$6:$P$4005,0)),"(tanpa lawan)"))</f>
        <v/>
      </c>
      <c r="R3806" s="44"/>
      <c r="S3806" s="9" t="str">
        <f aca="false">IF(N3806&lt;&gt;"Y","",IF(R3806&lt;&gt;"",R3806,IF(Q3806="(tanpa lawan)","Transfer antar rekening",IFERROR(INDEX(I_COA!$F$6:$F$265,MATCH(Q3806,I_COA!$A$6:$A$265,0)),"?"))))</f>
        <v/>
      </c>
    </row>
    <row r="3807" customFormat="false" ht="15" hidden="false" customHeight="false" outlineLevel="0" collapsed="false">
      <c r="A3807" s="37"/>
      <c r="B3807" s="44"/>
      <c r="C3807" s="44"/>
      <c r="D3807" s="44"/>
      <c r="E3807" s="44"/>
      <c r="F3807" s="44"/>
      <c r="G3807" s="42"/>
      <c r="H3807" s="42"/>
      <c r="I3807" s="44"/>
      <c r="J3807" s="11" t="str">
        <f aca="false">IF(D3807="","",N(G3807)-N(H3807))</f>
        <v/>
      </c>
      <c r="K3807" s="34" t="str">
        <f aca="false">IF(D3807="","",IFERROR(INDEX(I_COA!$C$6:$C$265,MATCH(D3807,I_COA!$A$6:$A$265,0)),"AKUN BARU"))</f>
        <v/>
      </c>
      <c r="L3807" s="34" t="str">
        <f aca="false">IF(K3807="LabaRugi",INDEX(I_COA!$D$6:$D$265,MATCH(D3807,I_COA!$A$6:$A$265,0)),"")</f>
        <v/>
      </c>
      <c r="M3807" s="34" t="str">
        <f aca="false">IF(K3807="Neraca",INDEX(I_COA!$E$6:$E$265,MATCH(D3807,I_COA!$A$6:$A$265,0)),"")</f>
        <v/>
      </c>
      <c r="N3807" s="34" t="str">
        <f aca="false">IF(D3807="","",IFERROR(INDEX(I_COA!$G$6:$G$265,MATCH(D3807,I_COA!$A$6:$A$265,0)),"N"))</f>
        <v/>
      </c>
      <c r="O3807" s="11" t="str">
        <f aca="false">IF(N3807="N",ABS(J3807),"")</f>
        <v/>
      </c>
      <c r="P3807" s="18" t="str">
        <f aca="false">IF(N3807="N",B3807&amp;"|"&amp;ROUND(O3807,0),"")</f>
        <v/>
      </c>
      <c r="Q3807" s="18" t="str">
        <f aca="false">IF(N3807&lt;&gt;"Y","",IFERROR(INDEX($D$6:$D$4005,MATCH(B3807&amp;"|"&amp;ROUND(_xlfn.MAXIFS($O$6:$O$4005,$B$6:$B$4005,B3807,$N$6:$N$4005,"N"),0),$P$6:$P$4005,0)),"(tanpa lawan)"))</f>
        <v/>
      </c>
      <c r="R3807" s="44"/>
      <c r="S3807" s="9" t="str">
        <f aca="false">IF(N3807&lt;&gt;"Y","",IF(R3807&lt;&gt;"",R3807,IF(Q3807="(tanpa lawan)","Transfer antar rekening",IFERROR(INDEX(I_COA!$F$6:$F$265,MATCH(Q3807,I_COA!$A$6:$A$265,0)),"?"))))</f>
        <v/>
      </c>
    </row>
    <row r="3808" customFormat="false" ht="15" hidden="false" customHeight="false" outlineLevel="0" collapsed="false">
      <c r="A3808" s="37"/>
      <c r="B3808" s="44"/>
      <c r="C3808" s="44"/>
      <c r="D3808" s="44"/>
      <c r="E3808" s="44"/>
      <c r="F3808" s="44"/>
      <c r="G3808" s="42"/>
      <c r="H3808" s="42"/>
      <c r="I3808" s="44"/>
      <c r="J3808" s="11" t="str">
        <f aca="false">IF(D3808="","",N(G3808)-N(H3808))</f>
        <v/>
      </c>
      <c r="K3808" s="34" t="str">
        <f aca="false">IF(D3808="","",IFERROR(INDEX(I_COA!$C$6:$C$265,MATCH(D3808,I_COA!$A$6:$A$265,0)),"AKUN BARU"))</f>
        <v/>
      </c>
      <c r="L3808" s="34" t="str">
        <f aca="false">IF(K3808="LabaRugi",INDEX(I_COA!$D$6:$D$265,MATCH(D3808,I_COA!$A$6:$A$265,0)),"")</f>
        <v/>
      </c>
      <c r="M3808" s="34" t="str">
        <f aca="false">IF(K3808="Neraca",INDEX(I_COA!$E$6:$E$265,MATCH(D3808,I_COA!$A$6:$A$265,0)),"")</f>
        <v/>
      </c>
      <c r="N3808" s="34" t="str">
        <f aca="false">IF(D3808="","",IFERROR(INDEX(I_COA!$G$6:$G$265,MATCH(D3808,I_COA!$A$6:$A$265,0)),"N"))</f>
        <v/>
      </c>
      <c r="O3808" s="11" t="str">
        <f aca="false">IF(N3808="N",ABS(J3808),"")</f>
        <v/>
      </c>
      <c r="P3808" s="18" t="str">
        <f aca="false">IF(N3808="N",B3808&amp;"|"&amp;ROUND(O3808,0),"")</f>
        <v/>
      </c>
      <c r="Q3808" s="18" t="str">
        <f aca="false">IF(N3808&lt;&gt;"Y","",IFERROR(INDEX($D$6:$D$4005,MATCH(B3808&amp;"|"&amp;ROUND(_xlfn.MAXIFS($O$6:$O$4005,$B$6:$B$4005,B3808,$N$6:$N$4005,"N"),0),$P$6:$P$4005,0)),"(tanpa lawan)"))</f>
        <v/>
      </c>
      <c r="R3808" s="44"/>
      <c r="S3808" s="9" t="str">
        <f aca="false">IF(N3808&lt;&gt;"Y","",IF(R3808&lt;&gt;"",R3808,IF(Q3808="(tanpa lawan)","Transfer antar rekening",IFERROR(INDEX(I_COA!$F$6:$F$265,MATCH(Q3808,I_COA!$A$6:$A$265,0)),"?"))))</f>
        <v/>
      </c>
    </row>
    <row r="3809" customFormat="false" ht="15" hidden="false" customHeight="false" outlineLevel="0" collapsed="false">
      <c r="A3809" s="37"/>
      <c r="B3809" s="44"/>
      <c r="C3809" s="44"/>
      <c r="D3809" s="44"/>
      <c r="E3809" s="44"/>
      <c r="F3809" s="44"/>
      <c r="G3809" s="42"/>
      <c r="H3809" s="42"/>
      <c r="I3809" s="44"/>
      <c r="J3809" s="11" t="str">
        <f aca="false">IF(D3809="","",N(G3809)-N(H3809))</f>
        <v/>
      </c>
      <c r="K3809" s="34" t="str">
        <f aca="false">IF(D3809="","",IFERROR(INDEX(I_COA!$C$6:$C$265,MATCH(D3809,I_COA!$A$6:$A$265,0)),"AKUN BARU"))</f>
        <v/>
      </c>
      <c r="L3809" s="34" t="str">
        <f aca="false">IF(K3809="LabaRugi",INDEX(I_COA!$D$6:$D$265,MATCH(D3809,I_COA!$A$6:$A$265,0)),"")</f>
        <v/>
      </c>
      <c r="M3809" s="34" t="str">
        <f aca="false">IF(K3809="Neraca",INDEX(I_COA!$E$6:$E$265,MATCH(D3809,I_COA!$A$6:$A$265,0)),"")</f>
        <v/>
      </c>
      <c r="N3809" s="34" t="str">
        <f aca="false">IF(D3809="","",IFERROR(INDEX(I_COA!$G$6:$G$265,MATCH(D3809,I_COA!$A$6:$A$265,0)),"N"))</f>
        <v/>
      </c>
      <c r="O3809" s="11" t="str">
        <f aca="false">IF(N3809="N",ABS(J3809),"")</f>
        <v/>
      </c>
      <c r="P3809" s="18" t="str">
        <f aca="false">IF(N3809="N",B3809&amp;"|"&amp;ROUND(O3809,0),"")</f>
        <v/>
      </c>
      <c r="Q3809" s="18" t="str">
        <f aca="false">IF(N3809&lt;&gt;"Y","",IFERROR(INDEX($D$6:$D$4005,MATCH(B3809&amp;"|"&amp;ROUND(_xlfn.MAXIFS($O$6:$O$4005,$B$6:$B$4005,B3809,$N$6:$N$4005,"N"),0),$P$6:$P$4005,0)),"(tanpa lawan)"))</f>
        <v/>
      </c>
      <c r="R3809" s="44"/>
      <c r="S3809" s="9" t="str">
        <f aca="false">IF(N3809&lt;&gt;"Y","",IF(R3809&lt;&gt;"",R3809,IF(Q3809="(tanpa lawan)","Transfer antar rekening",IFERROR(INDEX(I_COA!$F$6:$F$265,MATCH(Q3809,I_COA!$A$6:$A$265,0)),"?"))))</f>
        <v/>
      </c>
    </row>
    <row r="3810" customFormat="false" ht="15" hidden="false" customHeight="false" outlineLevel="0" collapsed="false">
      <c r="A3810" s="37"/>
      <c r="B3810" s="44"/>
      <c r="C3810" s="44"/>
      <c r="D3810" s="44"/>
      <c r="E3810" s="44"/>
      <c r="F3810" s="44"/>
      <c r="G3810" s="42"/>
      <c r="H3810" s="42"/>
      <c r="I3810" s="44"/>
      <c r="J3810" s="11" t="str">
        <f aca="false">IF(D3810="","",N(G3810)-N(H3810))</f>
        <v/>
      </c>
      <c r="K3810" s="34" t="str">
        <f aca="false">IF(D3810="","",IFERROR(INDEX(I_COA!$C$6:$C$265,MATCH(D3810,I_COA!$A$6:$A$265,0)),"AKUN BARU"))</f>
        <v/>
      </c>
      <c r="L3810" s="34" t="str">
        <f aca="false">IF(K3810="LabaRugi",INDEX(I_COA!$D$6:$D$265,MATCH(D3810,I_COA!$A$6:$A$265,0)),"")</f>
        <v/>
      </c>
      <c r="M3810" s="34" t="str">
        <f aca="false">IF(K3810="Neraca",INDEX(I_COA!$E$6:$E$265,MATCH(D3810,I_COA!$A$6:$A$265,0)),"")</f>
        <v/>
      </c>
      <c r="N3810" s="34" t="str">
        <f aca="false">IF(D3810="","",IFERROR(INDEX(I_COA!$G$6:$G$265,MATCH(D3810,I_COA!$A$6:$A$265,0)),"N"))</f>
        <v/>
      </c>
      <c r="O3810" s="11" t="str">
        <f aca="false">IF(N3810="N",ABS(J3810),"")</f>
        <v/>
      </c>
      <c r="P3810" s="18" t="str">
        <f aca="false">IF(N3810="N",B3810&amp;"|"&amp;ROUND(O3810,0),"")</f>
        <v/>
      </c>
      <c r="Q3810" s="18" t="str">
        <f aca="false">IF(N3810&lt;&gt;"Y","",IFERROR(INDEX($D$6:$D$4005,MATCH(B3810&amp;"|"&amp;ROUND(_xlfn.MAXIFS($O$6:$O$4005,$B$6:$B$4005,B3810,$N$6:$N$4005,"N"),0),$P$6:$P$4005,0)),"(tanpa lawan)"))</f>
        <v/>
      </c>
      <c r="R3810" s="44"/>
      <c r="S3810" s="9" t="str">
        <f aca="false">IF(N3810&lt;&gt;"Y","",IF(R3810&lt;&gt;"",R3810,IF(Q3810="(tanpa lawan)","Transfer antar rekening",IFERROR(INDEX(I_COA!$F$6:$F$265,MATCH(Q3810,I_COA!$A$6:$A$265,0)),"?"))))</f>
        <v/>
      </c>
    </row>
    <row r="3811" customFormat="false" ht="15" hidden="false" customHeight="false" outlineLevel="0" collapsed="false">
      <c r="A3811" s="37"/>
      <c r="B3811" s="44"/>
      <c r="C3811" s="44"/>
      <c r="D3811" s="44"/>
      <c r="E3811" s="44"/>
      <c r="F3811" s="44"/>
      <c r="G3811" s="42"/>
      <c r="H3811" s="42"/>
      <c r="I3811" s="44"/>
      <c r="J3811" s="11" t="str">
        <f aca="false">IF(D3811="","",N(G3811)-N(H3811))</f>
        <v/>
      </c>
      <c r="K3811" s="34" t="str">
        <f aca="false">IF(D3811="","",IFERROR(INDEX(I_COA!$C$6:$C$265,MATCH(D3811,I_COA!$A$6:$A$265,0)),"AKUN BARU"))</f>
        <v/>
      </c>
      <c r="L3811" s="34" t="str">
        <f aca="false">IF(K3811="LabaRugi",INDEX(I_COA!$D$6:$D$265,MATCH(D3811,I_COA!$A$6:$A$265,0)),"")</f>
        <v/>
      </c>
      <c r="M3811" s="34" t="str">
        <f aca="false">IF(K3811="Neraca",INDEX(I_COA!$E$6:$E$265,MATCH(D3811,I_COA!$A$6:$A$265,0)),"")</f>
        <v/>
      </c>
      <c r="N3811" s="34" t="str">
        <f aca="false">IF(D3811="","",IFERROR(INDEX(I_COA!$G$6:$G$265,MATCH(D3811,I_COA!$A$6:$A$265,0)),"N"))</f>
        <v/>
      </c>
      <c r="O3811" s="11" t="str">
        <f aca="false">IF(N3811="N",ABS(J3811),"")</f>
        <v/>
      </c>
      <c r="P3811" s="18" t="str">
        <f aca="false">IF(N3811="N",B3811&amp;"|"&amp;ROUND(O3811,0),"")</f>
        <v/>
      </c>
      <c r="Q3811" s="18" t="str">
        <f aca="false">IF(N3811&lt;&gt;"Y","",IFERROR(INDEX($D$6:$D$4005,MATCH(B3811&amp;"|"&amp;ROUND(_xlfn.MAXIFS($O$6:$O$4005,$B$6:$B$4005,B3811,$N$6:$N$4005,"N"),0),$P$6:$P$4005,0)),"(tanpa lawan)"))</f>
        <v/>
      </c>
      <c r="R3811" s="44"/>
      <c r="S3811" s="9" t="str">
        <f aca="false">IF(N3811&lt;&gt;"Y","",IF(R3811&lt;&gt;"",R3811,IF(Q3811="(tanpa lawan)","Transfer antar rekening",IFERROR(INDEX(I_COA!$F$6:$F$265,MATCH(Q3811,I_COA!$A$6:$A$265,0)),"?"))))</f>
        <v/>
      </c>
    </row>
    <row r="3812" customFormat="false" ht="15" hidden="false" customHeight="false" outlineLevel="0" collapsed="false">
      <c r="A3812" s="37"/>
      <c r="B3812" s="44"/>
      <c r="C3812" s="44"/>
      <c r="D3812" s="44"/>
      <c r="E3812" s="44"/>
      <c r="F3812" s="44"/>
      <c r="G3812" s="42"/>
      <c r="H3812" s="42"/>
      <c r="I3812" s="44"/>
      <c r="J3812" s="11" t="str">
        <f aca="false">IF(D3812="","",N(G3812)-N(H3812))</f>
        <v/>
      </c>
      <c r="K3812" s="34" t="str">
        <f aca="false">IF(D3812="","",IFERROR(INDEX(I_COA!$C$6:$C$265,MATCH(D3812,I_COA!$A$6:$A$265,0)),"AKUN BARU"))</f>
        <v/>
      </c>
      <c r="L3812" s="34" t="str">
        <f aca="false">IF(K3812="LabaRugi",INDEX(I_COA!$D$6:$D$265,MATCH(D3812,I_COA!$A$6:$A$265,0)),"")</f>
        <v/>
      </c>
      <c r="M3812" s="34" t="str">
        <f aca="false">IF(K3812="Neraca",INDEX(I_COA!$E$6:$E$265,MATCH(D3812,I_COA!$A$6:$A$265,0)),"")</f>
        <v/>
      </c>
      <c r="N3812" s="34" t="str">
        <f aca="false">IF(D3812="","",IFERROR(INDEX(I_COA!$G$6:$G$265,MATCH(D3812,I_COA!$A$6:$A$265,0)),"N"))</f>
        <v/>
      </c>
      <c r="O3812" s="11" t="str">
        <f aca="false">IF(N3812="N",ABS(J3812),"")</f>
        <v/>
      </c>
      <c r="P3812" s="18" t="str">
        <f aca="false">IF(N3812="N",B3812&amp;"|"&amp;ROUND(O3812,0),"")</f>
        <v/>
      </c>
      <c r="Q3812" s="18" t="str">
        <f aca="false">IF(N3812&lt;&gt;"Y","",IFERROR(INDEX($D$6:$D$4005,MATCH(B3812&amp;"|"&amp;ROUND(_xlfn.MAXIFS($O$6:$O$4005,$B$6:$B$4005,B3812,$N$6:$N$4005,"N"),0),$P$6:$P$4005,0)),"(tanpa lawan)"))</f>
        <v/>
      </c>
      <c r="R3812" s="44"/>
      <c r="S3812" s="9" t="str">
        <f aca="false">IF(N3812&lt;&gt;"Y","",IF(R3812&lt;&gt;"",R3812,IF(Q3812="(tanpa lawan)","Transfer antar rekening",IFERROR(INDEX(I_COA!$F$6:$F$265,MATCH(Q3812,I_COA!$A$6:$A$265,0)),"?"))))</f>
        <v/>
      </c>
    </row>
    <row r="3813" customFormat="false" ht="15" hidden="false" customHeight="false" outlineLevel="0" collapsed="false">
      <c r="A3813" s="37"/>
      <c r="B3813" s="44"/>
      <c r="C3813" s="44"/>
      <c r="D3813" s="44"/>
      <c r="E3813" s="44"/>
      <c r="F3813" s="44"/>
      <c r="G3813" s="42"/>
      <c r="H3813" s="42"/>
      <c r="I3813" s="44"/>
      <c r="J3813" s="11" t="str">
        <f aca="false">IF(D3813="","",N(G3813)-N(H3813))</f>
        <v/>
      </c>
      <c r="K3813" s="34" t="str">
        <f aca="false">IF(D3813="","",IFERROR(INDEX(I_COA!$C$6:$C$265,MATCH(D3813,I_COA!$A$6:$A$265,0)),"AKUN BARU"))</f>
        <v/>
      </c>
      <c r="L3813" s="34" t="str">
        <f aca="false">IF(K3813="LabaRugi",INDEX(I_COA!$D$6:$D$265,MATCH(D3813,I_COA!$A$6:$A$265,0)),"")</f>
        <v/>
      </c>
      <c r="M3813" s="34" t="str">
        <f aca="false">IF(K3813="Neraca",INDEX(I_COA!$E$6:$E$265,MATCH(D3813,I_COA!$A$6:$A$265,0)),"")</f>
        <v/>
      </c>
      <c r="N3813" s="34" t="str">
        <f aca="false">IF(D3813="","",IFERROR(INDEX(I_COA!$G$6:$G$265,MATCH(D3813,I_COA!$A$6:$A$265,0)),"N"))</f>
        <v/>
      </c>
      <c r="O3813" s="11" t="str">
        <f aca="false">IF(N3813="N",ABS(J3813),"")</f>
        <v/>
      </c>
      <c r="P3813" s="18" t="str">
        <f aca="false">IF(N3813="N",B3813&amp;"|"&amp;ROUND(O3813,0),"")</f>
        <v/>
      </c>
      <c r="Q3813" s="18" t="str">
        <f aca="false">IF(N3813&lt;&gt;"Y","",IFERROR(INDEX($D$6:$D$4005,MATCH(B3813&amp;"|"&amp;ROUND(_xlfn.MAXIFS($O$6:$O$4005,$B$6:$B$4005,B3813,$N$6:$N$4005,"N"),0),$P$6:$P$4005,0)),"(tanpa lawan)"))</f>
        <v/>
      </c>
      <c r="R3813" s="44"/>
      <c r="S3813" s="9" t="str">
        <f aca="false">IF(N3813&lt;&gt;"Y","",IF(R3813&lt;&gt;"",R3813,IF(Q3813="(tanpa lawan)","Transfer antar rekening",IFERROR(INDEX(I_COA!$F$6:$F$265,MATCH(Q3813,I_COA!$A$6:$A$265,0)),"?"))))</f>
        <v/>
      </c>
    </row>
    <row r="3814" customFormat="false" ht="15" hidden="false" customHeight="false" outlineLevel="0" collapsed="false">
      <c r="A3814" s="37"/>
      <c r="B3814" s="44"/>
      <c r="C3814" s="44"/>
      <c r="D3814" s="44"/>
      <c r="E3814" s="44"/>
      <c r="F3814" s="44"/>
      <c r="G3814" s="42"/>
      <c r="H3814" s="42"/>
      <c r="I3814" s="44"/>
      <c r="J3814" s="11" t="str">
        <f aca="false">IF(D3814="","",N(G3814)-N(H3814))</f>
        <v/>
      </c>
      <c r="K3814" s="34" t="str">
        <f aca="false">IF(D3814="","",IFERROR(INDEX(I_COA!$C$6:$C$265,MATCH(D3814,I_COA!$A$6:$A$265,0)),"AKUN BARU"))</f>
        <v/>
      </c>
      <c r="L3814" s="34" t="str">
        <f aca="false">IF(K3814="LabaRugi",INDEX(I_COA!$D$6:$D$265,MATCH(D3814,I_COA!$A$6:$A$265,0)),"")</f>
        <v/>
      </c>
      <c r="M3814" s="34" t="str">
        <f aca="false">IF(K3814="Neraca",INDEX(I_COA!$E$6:$E$265,MATCH(D3814,I_COA!$A$6:$A$265,0)),"")</f>
        <v/>
      </c>
      <c r="N3814" s="34" t="str">
        <f aca="false">IF(D3814="","",IFERROR(INDEX(I_COA!$G$6:$G$265,MATCH(D3814,I_COA!$A$6:$A$265,0)),"N"))</f>
        <v/>
      </c>
      <c r="O3814" s="11" t="str">
        <f aca="false">IF(N3814="N",ABS(J3814),"")</f>
        <v/>
      </c>
      <c r="P3814" s="18" t="str">
        <f aca="false">IF(N3814="N",B3814&amp;"|"&amp;ROUND(O3814,0),"")</f>
        <v/>
      </c>
      <c r="Q3814" s="18" t="str">
        <f aca="false">IF(N3814&lt;&gt;"Y","",IFERROR(INDEX($D$6:$D$4005,MATCH(B3814&amp;"|"&amp;ROUND(_xlfn.MAXIFS($O$6:$O$4005,$B$6:$B$4005,B3814,$N$6:$N$4005,"N"),0),$P$6:$P$4005,0)),"(tanpa lawan)"))</f>
        <v/>
      </c>
      <c r="R3814" s="44"/>
      <c r="S3814" s="9" t="str">
        <f aca="false">IF(N3814&lt;&gt;"Y","",IF(R3814&lt;&gt;"",R3814,IF(Q3814="(tanpa lawan)","Transfer antar rekening",IFERROR(INDEX(I_COA!$F$6:$F$265,MATCH(Q3814,I_COA!$A$6:$A$265,0)),"?"))))</f>
        <v/>
      </c>
    </row>
    <row r="3815" customFormat="false" ht="15" hidden="false" customHeight="false" outlineLevel="0" collapsed="false">
      <c r="A3815" s="37"/>
      <c r="B3815" s="44"/>
      <c r="C3815" s="44"/>
      <c r="D3815" s="44"/>
      <c r="E3815" s="44"/>
      <c r="F3815" s="44"/>
      <c r="G3815" s="42"/>
      <c r="H3815" s="42"/>
      <c r="I3815" s="44"/>
      <c r="J3815" s="11" t="str">
        <f aca="false">IF(D3815="","",N(G3815)-N(H3815))</f>
        <v/>
      </c>
      <c r="K3815" s="34" t="str">
        <f aca="false">IF(D3815="","",IFERROR(INDEX(I_COA!$C$6:$C$265,MATCH(D3815,I_COA!$A$6:$A$265,0)),"AKUN BARU"))</f>
        <v/>
      </c>
      <c r="L3815" s="34" t="str">
        <f aca="false">IF(K3815="LabaRugi",INDEX(I_COA!$D$6:$D$265,MATCH(D3815,I_COA!$A$6:$A$265,0)),"")</f>
        <v/>
      </c>
      <c r="M3815" s="34" t="str">
        <f aca="false">IF(K3815="Neraca",INDEX(I_COA!$E$6:$E$265,MATCH(D3815,I_COA!$A$6:$A$265,0)),"")</f>
        <v/>
      </c>
      <c r="N3815" s="34" t="str">
        <f aca="false">IF(D3815="","",IFERROR(INDEX(I_COA!$G$6:$G$265,MATCH(D3815,I_COA!$A$6:$A$265,0)),"N"))</f>
        <v/>
      </c>
      <c r="O3815" s="11" t="str">
        <f aca="false">IF(N3815="N",ABS(J3815),"")</f>
        <v/>
      </c>
      <c r="P3815" s="18" t="str">
        <f aca="false">IF(N3815="N",B3815&amp;"|"&amp;ROUND(O3815,0),"")</f>
        <v/>
      </c>
      <c r="Q3815" s="18" t="str">
        <f aca="false">IF(N3815&lt;&gt;"Y","",IFERROR(INDEX($D$6:$D$4005,MATCH(B3815&amp;"|"&amp;ROUND(_xlfn.MAXIFS($O$6:$O$4005,$B$6:$B$4005,B3815,$N$6:$N$4005,"N"),0),$P$6:$P$4005,0)),"(tanpa lawan)"))</f>
        <v/>
      </c>
      <c r="R3815" s="44"/>
      <c r="S3815" s="9" t="str">
        <f aca="false">IF(N3815&lt;&gt;"Y","",IF(R3815&lt;&gt;"",R3815,IF(Q3815="(tanpa lawan)","Transfer antar rekening",IFERROR(INDEX(I_COA!$F$6:$F$265,MATCH(Q3815,I_COA!$A$6:$A$265,0)),"?"))))</f>
        <v/>
      </c>
    </row>
    <row r="3816" customFormat="false" ht="15" hidden="false" customHeight="false" outlineLevel="0" collapsed="false">
      <c r="A3816" s="37"/>
      <c r="B3816" s="44"/>
      <c r="C3816" s="44"/>
      <c r="D3816" s="44"/>
      <c r="E3816" s="44"/>
      <c r="F3816" s="44"/>
      <c r="G3816" s="42"/>
      <c r="H3816" s="42"/>
      <c r="I3816" s="44"/>
      <c r="J3816" s="11" t="str">
        <f aca="false">IF(D3816="","",N(G3816)-N(H3816))</f>
        <v/>
      </c>
      <c r="K3816" s="34" t="str">
        <f aca="false">IF(D3816="","",IFERROR(INDEX(I_COA!$C$6:$C$265,MATCH(D3816,I_COA!$A$6:$A$265,0)),"AKUN BARU"))</f>
        <v/>
      </c>
      <c r="L3816" s="34" t="str">
        <f aca="false">IF(K3816="LabaRugi",INDEX(I_COA!$D$6:$D$265,MATCH(D3816,I_COA!$A$6:$A$265,0)),"")</f>
        <v/>
      </c>
      <c r="M3816" s="34" t="str">
        <f aca="false">IF(K3816="Neraca",INDEX(I_COA!$E$6:$E$265,MATCH(D3816,I_COA!$A$6:$A$265,0)),"")</f>
        <v/>
      </c>
      <c r="N3816" s="34" t="str">
        <f aca="false">IF(D3816="","",IFERROR(INDEX(I_COA!$G$6:$G$265,MATCH(D3816,I_COA!$A$6:$A$265,0)),"N"))</f>
        <v/>
      </c>
      <c r="O3816" s="11" t="str">
        <f aca="false">IF(N3816="N",ABS(J3816),"")</f>
        <v/>
      </c>
      <c r="P3816" s="18" t="str">
        <f aca="false">IF(N3816="N",B3816&amp;"|"&amp;ROUND(O3816,0),"")</f>
        <v/>
      </c>
      <c r="Q3816" s="18" t="str">
        <f aca="false">IF(N3816&lt;&gt;"Y","",IFERROR(INDEX($D$6:$D$4005,MATCH(B3816&amp;"|"&amp;ROUND(_xlfn.MAXIFS($O$6:$O$4005,$B$6:$B$4005,B3816,$N$6:$N$4005,"N"),0),$P$6:$P$4005,0)),"(tanpa lawan)"))</f>
        <v/>
      </c>
      <c r="R3816" s="44"/>
      <c r="S3816" s="9" t="str">
        <f aca="false">IF(N3816&lt;&gt;"Y","",IF(R3816&lt;&gt;"",R3816,IF(Q3816="(tanpa lawan)","Transfer antar rekening",IFERROR(INDEX(I_COA!$F$6:$F$265,MATCH(Q3816,I_COA!$A$6:$A$265,0)),"?"))))</f>
        <v/>
      </c>
    </row>
    <row r="3817" customFormat="false" ht="15" hidden="false" customHeight="false" outlineLevel="0" collapsed="false">
      <c r="A3817" s="37"/>
      <c r="B3817" s="44"/>
      <c r="C3817" s="44"/>
      <c r="D3817" s="44"/>
      <c r="E3817" s="44"/>
      <c r="F3817" s="44"/>
      <c r="G3817" s="42"/>
      <c r="H3817" s="42"/>
      <c r="I3817" s="44"/>
      <c r="J3817" s="11" t="str">
        <f aca="false">IF(D3817="","",N(G3817)-N(H3817))</f>
        <v/>
      </c>
      <c r="K3817" s="34" t="str">
        <f aca="false">IF(D3817="","",IFERROR(INDEX(I_COA!$C$6:$C$265,MATCH(D3817,I_COA!$A$6:$A$265,0)),"AKUN BARU"))</f>
        <v/>
      </c>
      <c r="L3817" s="34" t="str">
        <f aca="false">IF(K3817="LabaRugi",INDEX(I_COA!$D$6:$D$265,MATCH(D3817,I_COA!$A$6:$A$265,0)),"")</f>
        <v/>
      </c>
      <c r="M3817" s="34" t="str">
        <f aca="false">IF(K3817="Neraca",INDEX(I_COA!$E$6:$E$265,MATCH(D3817,I_COA!$A$6:$A$265,0)),"")</f>
        <v/>
      </c>
      <c r="N3817" s="34" t="str">
        <f aca="false">IF(D3817="","",IFERROR(INDEX(I_COA!$G$6:$G$265,MATCH(D3817,I_COA!$A$6:$A$265,0)),"N"))</f>
        <v/>
      </c>
      <c r="O3817" s="11" t="str">
        <f aca="false">IF(N3817="N",ABS(J3817),"")</f>
        <v/>
      </c>
      <c r="P3817" s="18" t="str">
        <f aca="false">IF(N3817="N",B3817&amp;"|"&amp;ROUND(O3817,0),"")</f>
        <v/>
      </c>
      <c r="Q3817" s="18" t="str">
        <f aca="false">IF(N3817&lt;&gt;"Y","",IFERROR(INDEX($D$6:$D$4005,MATCH(B3817&amp;"|"&amp;ROUND(_xlfn.MAXIFS($O$6:$O$4005,$B$6:$B$4005,B3817,$N$6:$N$4005,"N"),0),$P$6:$P$4005,0)),"(tanpa lawan)"))</f>
        <v/>
      </c>
      <c r="R3817" s="44"/>
      <c r="S3817" s="9" t="str">
        <f aca="false">IF(N3817&lt;&gt;"Y","",IF(R3817&lt;&gt;"",R3817,IF(Q3817="(tanpa lawan)","Transfer antar rekening",IFERROR(INDEX(I_COA!$F$6:$F$265,MATCH(Q3817,I_COA!$A$6:$A$265,0)),"?"))))</f>
        <v/>
      </c>
    </row>
    <row r="3818" customFormat="false" ht="15" hidden="false" customHeight="false" outlineLevel="0" collapsed="false">
      <c r="A3818" s="37"/>
      <c r="B3818" s="44"/>
      <c r="C3818" s="44"/>
      <c r="D3818" s="44"/>
      <c r="E3818" s="44"/>
      <c r="F3818" s="44"/>
      <c r="G3818" s="42"/>
      <c r="H3818" s="42"/>
      <c r="I3818" s="44"/>
      <c r="J3818" s="11" t="str">
        <f aca="false">IF(D3818="","",N(G3818)-N(H3818))</f>
        <v/>
      </c>
      <c r="K3818" s="34" t="str">
        <f aca="false">IF(D3818="","",IFERROR(INDEX(I_COA!$C$6:$C$265,MATCH(D3818,I_COA!$A$6:$A$265,0)),"AKUN BARU"))</f>
        <v/>
      </c>
      <c r="L3818" s="34" t="str">
        <f aca="false">IF(K3818="LabaRugi",INDEX(I_COA!$D$6:$D$265,MATCH(D3818,I_COA!$A$6:$A$265,0)),"")</f>
        <v/>
      </c>
      <c r="M3818" s="34" t="str">
        <f aca="false">IF(K3818="Neraca",INDEX(I_COA!$E$6:$E$265,MATCH(D3818,I_COA!$A$6:$A$265,0)),"")</f>
        <v/>
      </c>
      <c r="N3818" s="34" t="str">
        <f aca="false">IF(D3818="","",IFERROR(INDEX(I_COA!$G$6:$G$265,MATCH(D3818,I_COA!$A$6:$A$265,0)),"N"))</f>
        <v/>
      </c>
      <c r="O3818" s="11" t="str">
        <f aca="false">IF(N3818="N",ABS(J3818),"")</f>
        <v/>
      </c>
      <c r="P3818" s="18" t="str">
        <f aca="false">IF(N3818="N",B3818&amp;"|"&amp;ROUND(O3818,0),"")</f>
        <v/>
      </c>
      <c r="Q3818" s="18" t="str">
        <f aca="false">IF(N3818&lt;&gt;"Y","",IFERROR(INDEX($D$6:$D$4005,MATCH(B3818&amp;"|"&amp;ROUND(_xlfn.MAXIFS($O$6:$O$4005,$B$6:$B$4005,B3818,$N$6:$N$4005,"N"),0),$P$6:$P$4005,0)),"(tanpa lawan)"))</f>
        <v/>
      </c>
      <c r="R3818" s="44"/>
      <c r="S3818" s="9" t="str">
        <f aca="false">IF(N3818&lt;&gt;"Y","",IF(R3818&lt;&gt;"",R3818,IF(Q3818="(tanpa lawan)","Transfer antar rekening",IFERROR(INDEX(I_COA!$F$6:$F$265,MATCH(Q3818,I_COA!$A$6:$A$265,0)),"?"))))</f>
        <v/>
      </c>
    </row>
    <row r="3819" customFormat="false" ht="15" hidden="false" customHeight="false" outlineLevel="0" collapsed="false">
      <c r="A3819" s="37"/>
      <c r="B3819" s="44"/>
      <c r="C3819" s="44"/>
      <c r="D3819" s="44"/>
      <c r="E3819" s="44"/>
      <c r="F3819" s="44"/>
      <c r="G3819" s="42"/>
      <c r="H3819" s="42"/>
      <c r="I3819" s="44"/>
      <c r="J3819" s="11" t="str">
        <f aca="false">IF(D3819="","",N(G3819)-N(H3819))</f>
        <v/>
      </c>
      <c r="K3819" s="34" t="str">
        <f aca="false">IF(D3819="","",IFERROR(INDEX(I_COA!$C$6:$C$265,MATCH(D3819,I_COA!$A$6:$A$265,0)),"AKUN BARU"))</f>
        <v/>
      </c>
      <c r="L3819" s="34" t="str">
        <f aca="false">IF(K3819="LabaRugi",INDEX(I_COA!$D$6:$D$265,MATCH(D3819,I_COA!$A$6:$A$265,0)),"")</f>
        <v/>
      </c>
      <c r="M3819" s="34" t="str">
        <f aca="false">IF(K3819="Neraca",INDEX(I_COA!$E$6:$E$265,MATCH(D3819,I_COA!$A$6:$A$265,0)),"")</f>
        <v/>
      </c>
      <c r="N3819" s="34" t="str">
        <f aca="false">IF(D3819="","",IFERROR(INDEX(I_COA!$G$6:$G$265,MATCH(D3819,I_COA!$A$6:$A$265,0)),"N"))</f>
        <v/>
      </c>
      <c r="O3819" s="11" t="str">
        <f aca="false">IF(N3819="N",ABS(J3819),"")</f>
        <v/>
      </c>
      <c r="P3819" s="18" t="str">
        <f aca="false">IF(N3819="N",B3819&amp;"|"&amp;ROUND(O3819,0),"")</f>
        <v/>
      </c>
      <c r="Q3819" s="18" t="str">
        <f aca="false">IF(N3819&lt;&gt;"Y","",IFERROR(INDEX($D$6:$D$4005,MATCH(B3819&amp;"|"&amp;ROUND(_xlfn.MAXIFS($O$6:$O$4005,$B$6:$B$4005,B3819,$N$6:$N$4005,"N"),0),$P$6:$P$4005,0)),"(tanpa lawan)"))</f>
        <v/>
      </c>
      <c r="R3819" s="44"/>
      <c r="S3819" s="9" t="str">
        <f aca="false">IF(N3819&lt;&gt;"Y","",IF(R3819&lt;&gt;"",R3819,IF(Q3819="(tanpa lawan)","Transfer antar rekening",IFERROR(INDEX(I_COA!$F$6:$F$265,MATCH(Q3819,I_COA!$A$6:$A$265,0)),"?"))))</f>
        <v/>
      </c>
    </row>
    <row r="3820" customFormat="false" ht="15" hidden="false" customHeight="false" outlineLevel="0" collapsed="false">
      <c r="A3820" s="37"/>
      <c r="B3820" s="44"/>
      <c r="C3820" s="44"/>
      <c r="D3820" s="44"/>
      <c r="E3820" s="44"/>
      <c r="F3820" s="44"/>
      <c r="G3820" s="42"/>
      <c r="H3820" s="42"/>
      <c r="I3820" s="44"/>
      <c r="J3820" s="11" t="str">
        <f aca="false">IF(D3820="","",N(G3820)-N(H3820))</f>
        <v/>
      </c>
      <c r="K3820" s="34" t="str">
        <f aca="false">IF(D3820="","",IFERROR(INDEX(I_COA!$C$6:$C$265,MATCH(D3820,I_COA!$A$6:$A$265,0)),"AKUN BARU"))</f>
        <v/>
      </c>
      <c r="L3820" s="34" t="str">
        <f aca="false">IF(K3820="LabaRugi",INDEX(I_COA!$D$6:$D$265,MATCH(D3820,I_COA!$A$6:$A$265,0)),"")</f>
        <v/>
      </c>
      <c r="M3820" s="34" t="str">
        <f aca="false">IF(K3820="Neraca",INDEX(I_COA!$E$6:$E$265,MATCH(D3820,I_COA!$A$6:$A$265,0)),"")</f>
        <v/>
      </c>
      <c r="N3820" s="34" t="str">
        <f aca="false">IF(D3820="","",IFERROR(INDEX(I_COA!$G$6:$G$265,MATCH(D3820,I_COA!$A$6:$A$265,0)),"N"))</f>
        <v/>
      </c>
      <c r="O3820" s="11" t="str">
        <f aca="false">IF(N3820="N",ABS(J3820),"")</f>
        <v/>
      </c>
      <c r="P3820" s="18" t="str">
        <f aca="false">IF(N3820="N",B3820&amp;"|"&amp;ROUND(O3820,0),"")</f>
        <v/>
      </c>
      <c r="Q3820" s="18" t="str">
        <f aca="false">IF(N3820&lt;&gt;"Y","",IFERROR(INDEX($D$6:$D$4005,MATCH(B3820&amp;"|"&amp;ROUND(_xlfn.MAXIFS($O$6:$O$4005,$B$6:$B$4005,B3820,$N$6:$N$4005,"N"),0),$P$6:$P$4005,0)),"(tanpa lawan)"))</f>
        <v/>
      </c>
      <c r="R3820" s="44"/>
      <c r="S3820" s="9" t="str">
        <f aca="false">IF(N3820&lt;&gt;"Y","",IF(R3820&lt;&gt;"",R3820,IF(Q3820="(tanpa lawan)","Transfer antar rekening",IFERROR(INDEX(I_COA!$F$6:$F$265,MATCH(Q3820,I_COA!$A$6:$A$265,0)),"?"))))</f>
        <v/>
      </c>
    </row>
    <row r="3821" customFormat="false" ht="15" hidden="false" customHeight="false" outlineLevel="0" collapsed="false">
      <c r="A3821" s="37"/>
      <c r="B3821" s="44"/>
      <c r="C3821" s="44"/>
      <c r="D3821" s="44"/>
      <c r="E3821" s="44"/>
      <c r="F3821" s="44"/>
      <c r="G3821" s="42"/>
      <c r="H3821" s="42"/>
      <c r="I3821" s="44"/>
      <c r="J3821" s="11" t="str">
        <f aca="false">IF(D3821="","",N(G3821)-N(H3821))</f>
        <v/>
      </c>
      <c r="K3821" s="34" t="str">
        <f aca="false">IF(D3821="","",IFERROR(INDEX(I_COA!$C$6:$C$265,MATCH(D3821,I_COA!$A$6:$A$265,0)),"AKUN BARU"))</f>
        <v/>
      </c>
      <c r="L3821" s="34" t="str">
        <f aca="false">IF(K3821="LabaRugi",INDEX(I_COA!$D$6:$D$265,MATCH(D3821,I_COA!$A$6:$A$265,0)),"")</f>
        <v/>
      </c>
      <c r="M3821" s="34" t="str">
        <f aca="false">IF(K3821="Neraca",INDEX(I_COA!$E$6:$E$265,MATCH(D3821,I_COA!$A$6:$A$265,0)),"")</f>
        <v/>
      </c>
      <c r="N3821" s="34" t="str">
        <f aca="false">IF(D3821="","",IFERROR(INDEX(I_COA!$G$6:$G$265,MATCH(D3821,I_COA!$A$6:$A$265,0)),"N"))</f>
        <v/>
      </c>
      <c r="O3821" s="11" t="str">
        <f aca="false">IF(N3821="N",ABS(J3821),"")</f>
        <v/>
      </c>
      <c r="P3821" s="18" t="str">
        <f aca="false">IF(N3821="N",B3821&amp;"|"&amp;ROUND(O3821,0),"")</f>
        <v/>
      </c>
      <c r="Q3821" s="18" t="str">
        <f aca="false">IF(N3821&lt;&gt;"Y","",IFERROR(INDEX($D$6:$D$4005,MATCH(B3821&amp;"|"&amp;ROUND(_xlfn.MAXIFS($O$6:$O$4005,$B$6:$B$4005,B3821,$N$6:$N$4005,"N"),0),$P$6:$P$4005,0)),"(tanpa lawan)"))</f>
        <v/>
      </c>
      <c r="R3821" s="44"/>
      <c r="S3821" s="9" t="str">
        <f aca="false">IF(N3821&lt;&gt;"Y","",IF(R3821&lt;&gt;"",R3821,IF(Q3821="(tanpa lawan)","Transfer antar rekening",IFERROR(INDEX(I_COA!$F$6:$F$265,MATCH(Q3821,I_COA!$A$6:$A$265,0)),"?"))))</f>
        <v/>
      </c>
    </row>
    <row r="3822" customFormat="false" ht="15" hidden="false" customHeight="false" outlineLevel="0" collapsed="false">
      <c r="A3822" s="37"/>
      <c r="B3822" s="44"/>
      <c r="C3822" s="44"/>
      <c r="D3822" s="44"/>
      <c r="E3822" s="44"/>
      <c r="F3822" s="44"/>
      <c r="G3822" s="42"/>
      <c r="H3822" s="42"/>
      <c r="I3822" s="44"/>
      <c r="J3822" s="11" t="str">
        <f aca="false">IF(D3822="","",N(G3822)-N(H3822))</f>
        <v/>
      </c>
      <c r="K3822" s="34" t="str">
        <f aca="false">IF(D3822="","",IFERROR(INDEX(I_COA!$C$6:$C$265,MATCH(D3822,I_COA!$A$6:$A$265,0)),"AKUN BARU"))</f>
        <v/>
      </c>
      <c r="L3822" s="34" t="str">
        <f aca="false">IF(K3822="LabaRugi",INDEX(I_COA!$D$6:$D$265,MATCH(D3822,I_COA!$A$6:$A$265,0)),"")</f>
        <v/>
      </c>
      <c r="M3822" s="34" t="str">
        <f aca="false">IF(K3822="Neraca",INDEX(I_COA!$E$6:$E$265,MATCH(D3822,I_COA!$A$6:$A$265,0)),"")</f>
        <v/>
      </c>
      <c r="N3822" s="34" t="str">
        <f aca="false">IF(D3822="","",IFERROR(INDEX(I_COA!$G$6:$G$265,MATCH(D3822,I_COA!$A$6:$A$265,0)),"N"))</f>
        <v/>
      </c>
      <c r="O3822" s="11" t="str">
        <f aca="false">IF(N3822="N",ABS(J3822),"")</f>
        <v/>
      </c>
      <c r="P3822" s="18" t="str">
        <f aca="false">IF(N3822="N",B3822&amp;"|"&amp;ROUND(O3822,0),"")</f>
        <v/>
      </c>
      <c r="Q3822" s="18" t="str">
        <f aca="false">IF(N3822&lt;&gt;"Y","",IFERROR(INDEX($D$6:$D$4005,MATCH(B3822&amp;"|"&amp;ROUND(_xlfn.MAXIFS($O$6:$O$4005,$B$6:$B$4005,B3822,$N$6:$N$4005,"N"),0),$P$6:$P$4005,0)),"(tanpa lawan)"))</f>
        <v/>
      </c>
      <c r="R3822" s="44"/>
      <c r="S3822" s="9" t="str">
        <f aca="false">IF(N3822&lt;&gt;"Y","",IF(R3822&lt;&gt;"",R3822,IF(Q3822="(tanpa lawan)","Transfer antar rekening",IFERROR(INDEX(I_COA!$F$6:$F$265,MATCH(Q3822,I_COA!$A$6:$A$265,0)),"?"))))</f>
        <v/>
      </c>
    </row>
    <row r="3823" customFormat="false" ht="15" hidden="false" customHeight="false" outlineLevel="0" collapsed="false">
      <c r="A3823" s="37"/>
      <c r="B3823" s="44"/>
      <c r="C3823" s="44"/>
      <c r="D3823" s="44"/>
      <c r="E3823" s="44"/>
      <c r="F3823" s="44"/>
      <c r="G3823" s="42"/>
      <c r="H3823" s="42"/>
      <c r="I3823" s="44"/>
      <c r="J3823" s="11" t="str">
        <f aca="false">IF(D3823="","",N(G3823)-N(H3823))</f>
        <v/>
      </c>
      <c r="K3823" s="34" t="str">
        <f aca="false">IF(D3823="","",IFERROR(INDEX(I_COA!$C$6:$C$265,MATCH(D3823,I_COA!$A$6:$A$265,0)),"AKUN BARU"))</f>
        <v/>
      </c>
      <c r="L3823" s="34" t="str">
        <f aca="false">IF(K3823="LabaRugi",INDEX(I_COA!$D$6:$D$265,MATCH(D3823,I_COA!$A$6:$A$265,0)),"")</f>
        <v/>
      </c>
      <c r="M3823" s="34" t="str">
        <f aca="false">IF(K3823="Neraca",INDEX(I_COA!$E$6:$E$265,MATCH(D3823,I_COA!$A$6:$A$265,0)),"")</f>
        <v/>
      </c>
      <c r="N3823" s="34" t="str">
        <f aca="false">IF(D3823="","",IFERROR(INDEX(I_COA!$G$6:$G$265,MATCH(D3823,I_COA!$A$6:$A$265,0)),"N"))</f>
        <v/>
      </c>
      <c r="O3823" s="11" t="str">
        <f aca="false">IF(N3823="N",ABS(J3823),"")</f>
        <v/>
      </c>
      <c r="P3823" s="18" t="str">
        <f aca="false">IF(N3823="N",B3823&amp;"|"&amp;ROUND(O3823,0),"")</f>
        <v/>
      </c>
      <c r="Q3823" s="18" t="str">
        <f aca="false">IF(N3823&lt;&gt;"Y","",IFERROR(INDEX($D$6:$D$4005,MATCH(B3823&amp;"|"&amp;ROUND(_xlfn.MAXIFS($O$6:$O$4005,$B$6:$B$4005,B3823,$N$6:$N$4005,"N"),0),$P$6:$P$4005,0)),"(tanpa lawan)"))</f>
        <v/>
      </c>
      <c r="R3823" s="44"/>
      <c r="S3823" s="9" t="str">
        <f aca="false">IF(N3823&lt;&gt;"Y","",IF(R3823&lt;&gt;"",R3823,IF(Q3823="(tanpa lawan)","Transfer antar rekening",IFERROR(INDEX(I_COA!$F$6:$F$265,MATCH(Q3823,I_COA!$A$6:$A$265,0)),"?"))))</f>
        <v/>
      </c>
    </row>
    <row r="3824" customFormat="false" ht="15" hidden="false" customHeight="false" outlineLevel="0" collapsed="false">
      <c r="A3824" s="37"/>
      <c r="B3824" s="44"/>
      <c r="C3824" s="44"/>
      <c r="D3824" s="44"/>
      <c r="E3824" s="44"/>
      <c r="F3824" s="44"/>
      <c r="G3824" s="42"/>
      <c r="H3824" s="42"/>
      <c r="I3824" s="44"/>
      <c r="J3824" s="11" t="str">
        <f aca="false">IF(D3824="","",N(G3824)-N(H3824))</f>
        <v/>
      </c>
      <c r="K3824" s="34" t="str">
        <f aca="false">IF(D3824="","",IFERROR(INDEX(I_COA!$C$6:$C$265,MATCH(D3824,I_COA!$A$6:$A$265,0)),"AKUN BARU"))</f>
        <v/>
      </c>
      <c r="L3824" s="34" t="str">
        <f aca="false">IF(K3824="LabaRugi",INDEX(I_COA!$D$6:$D$265,MATCH(D3824,I_COA!$A$6:$A$265,0)),"")</f>
        <v/>
      </c>
      <c r="M3824" s="34" t="str">
        <f aca="false">IF(K3824="Neraca",INDEX(I_COA!$E$6:$E$265,MATCH(D3824,I_COA!$A$6:$A$265,0)),"")</f>
        <v/>
      </c>
      <c r="N3824" s="34" t="str">
        <f aca="false">IF(D3824="","",IFERROR(INDEX(I_COA!$G$6:$G$265,MATCH(D3824,I_COA!$A$6:$A$265,0)),"N"))</f>
        <v/>
      </c>
      <c r="O3824" s="11" t="str">
        <f aca="false">IF(N3824="N",ABS(J3824),"")</f>
        <v/>
      </c>
      <c r="P3824" s="18" t="str">
        <f aca="false">IF(N3824="N",B3824&amp;"|"&amp;ROUND(O3824,0),"")</f>
        <v/>
      </c>
      <c r="Q3824" s="18" t="str">
        <f aca="false">IF(N3824&lt;&gt;"Y","",IFERROR(INDEX($D$6:$D$4005,MATCH(B3824&amp;"|"&amp;ROUND(_xlfn.MAXIFS($O$6:$O$4005,$B$6:$B$4005,B3824,$N$6:$N$4005,"N"),0),$P$6:$P$4005,0)),"(tanpa lawan)"))</f>
        <v/>
      </c>
      <c r="R3824" s="44"/>
      <c r="S3824" s="9" t="str">
        <f aca="false">IF(N3824&lt;&gt;"Y","",IF(R3824&lt;&gt;"",R3824,IF(Q3824="(tanpa lawan)","Transfer antar rekening",IFERROR(INDEX(I_COA!$F$6:$F$265,MATCH(Q3824,I_COA!$A$6:$A$265,0)),"?"))))</f>
        <v/>
      </c>
    </row>
    <row r="3825" customFormat="false" ht="15" hidden="false" customHeight="false" outlineLevel="0" collapsed="false">
      <c r="A3825" s="37"/>
      <c r="B3825" s="44"/>
      <c r="C3825" s="44"/>
      <c r="D3825" s="44"/>
      <c r="E3825" s="44"/>
      <c r="F3825" s="44"/>
      <c r="G3825" s="42"/>
      <c r="H3825" s="42"/>
      <c r="I3825" s="44"/>
      <c r="J3825" s="11" t="str">
        <f aca="false">IF(D3825="","",N(G3825)-N(H3825))</f>
        <v/>
      </c>
      <c r="K3825" s="34" t="str">
        <f aca="false">IF(D3825="","",IFERROR(INDEX(I_COA!$C$6:$C$265,MATCH(D3825,I_COA!$A$6:$A$265,0)),"AKUN BARU"))</f>
        <v/>
      </c>
      <c r="L3825" s="34" t="str">
        <f aca="false">IF(K3825="LabaRugi",INDEX(I_COA!$D$6:$D$265,MATCH(D3825,I_COA!$A$6:$A$265,0)),"")</f>
        <v/>
      </c>
      <c r="M3825" s="34" t="str">
        <f aca="false">IF(K3825="Neraca",INDEX(I_COA!$E$6:$E$265,MATCH(D3825,I_COA!$A$6:$A$265,0)),"")</f>
        <v/>
      </c>
      <c r="N3825" s="34" t="str">
        <f aca="false">IF(D3825="","",IFERROR(INDEX(I_COA!$G$6:$G$265,MATCH(D3825,I_COA!$A$6:$A$265,0)),"N"))</f>
        <v/>
      </c>
      <c r="O3825" s="11" t="str">
        <f aca="false">IF(N3825="N",ABS(J3825),"")</f>
        <v/>
      </c>
      <c r="P3825" s="18" t="str">
        <f aca="false">IF(N3825="N",B3825&amp;"|"&amp;ROUND(O3825,0),"")</f>
        <v/>
      </c>
      <c r="Q3825" s="18" t="str">
        <f aca="false">IF(N3825&lt;&gt;"Y","",IFERROR(INDEX($D$6:$D$4005,MATCH(B3825&amp;"|"&amp;ROUND(_xlfn.MAXIFS($O$6:$O$4005,$B$6:$B$4005,B3825,$N$6:$N$4005,"N"),0),$P$6:$P$4005,0)),"(tanpa lawan)"))</f>
        <v/>
      </c>
      <c r="R3825" s="44"/>
      <c r="S3825" s="9" t="str">
        <f aca="false">IF(N3825&lt;&gt;"Y","",IF(R3825&lt;&gt;"",R3825,IF(Q3825="(tanpa lawan)","Transfer antar rekening",IFERROR(INDEX(I_COA!$F$6:$F$265,MATCH(Q3825,I_COA!$A$6:$A$265,0)),"?"))))</f>
        <v/>
      </c>
    </row>
    <row r="3826" customFormat="false" ht="15" hidden="false" customHeight="false" outlineLevel="0" collapsed="false">
      <c r="A3826" s="37"/>
      <c r="B3826" s="44"/>
      <c r="C3826" s="44"/>
      <c r="D3826" s="44"/>
      <c r="E3826" s="44"/>
      <c r="F3826" s="44"/>
      <c r="G3826" s="42"/>
      <c r="H3826" s="42"/>
      <c r="I3826" s="44"/>
      <c r="J3826" s="11" t="str">
        <f aca="false">IF(D3826="","",N(G3826)-N(H3826))</f>
        <v/>
      </c>
      <c r="K3826" s="34" t="str">
        <f aca="false">IF(D3826="","",IFERROR(INDEX(I_COA!$C$6:$C$265,MATCH(D3826,I_COA!$A$6:$A$265,0)),"AKUN BARU"))</f>
        <v/>
      </c>
      <c r="L3826" s="34" t="str">
        <f aca="false">IF(K3826="LabaRugi",INDEX(I_COA!$D$6:$D$265,MATCH(D3826,I_COA!$A$6:$A$265,0)),"")</f>
        <v/>
      </c>
      <c r="M3826" s="34" t="str">
        <f aca="false">IF(K3826="Neraca",INDEX(I_COA!$E$6:$E$265,MATCH(D3826,I_COA!$A$6:$A$265,0)),"")</f>
        <v/>
      </c>
      <c r="N3826" s="34" t="str">
        <f aca="false">IF(D3826="","",IFERROR(INDEX(I_COA!$G$6:$G$265,MATCH(D3826,I_COA!$A$6:$A$265,0)),"N"))</f>
        <v/>
      </c>
      <c r="O3826" s="11" t="str">
        <f aca="false">IF(N3826="N",ABS(J3826),"")</f>
        <v/>
      </c>
      <c r="P3826" s="18" t="str">
        <f aca="false">IF(N3826="N",B3826&amp;"|"&amp;ROUND(O3826,0),"")</f>
        <v/>
      </c>
      <c r="Q3826" s="18" t="str">
        <f aca="false">IF(N3826&lt;&gt;"Y","",IFERROR(INDEX($D$6:$D$4005,MATCH(B3826&amp;"|"&amp;ROUND(_xlfn.MAXIFS($O$6:$O$4005,$B$6:$B$4005,B3826,$N$6:$N$4005,"N"),0),$P$6:$P$4005,0)),"(tanpa lawan)"))</f>
        <v/>
      </c>
      <c r="R3826" s="44"/>
      <c r="S3826" s="9" t="str">
        <f aca="false">IF(N3826&lt;&gt;"Y","",IF(R3826&lt;&gt;"",R3826,IF(Q3826="(tanpa lawan)","Transfer antar rekening",IFERROR(INDEX(I_COA!$F$6:$F$265,MATCH(Q3826,I_COA!$A$6:$A$265,0)),"?"))))</f>
        <v/>
      </c>
    </row>
    <row r="3827" customFormat="false" ht="15" hidden="false" customHeight="false" outlineLevel="0" collapsed="false">
      <c r="A3827" s="37"/>
      <c r="B3827" s="44"/>
      <c r="C3827" s="44"/>
      <c r="D3827" s="44"/>
      <c r="E3827" s="44"/>
      <c r="F3827" s="44"/>
      <c r="G3827" s="42"/>
      <c r="H3827" s="42"/>
      <c r="I3827" s="44"/>
      <c r="J3827" s="11" t="str">
        <f aca="false">IF(D3827="","",N(G3827)-N(H3827))</f>
        <v/>
      </c>
      <c r="K3827" s="34" t="str">
        <f aca="false">IF(D3827="","",IFERROR(INDEX(I_COA!$C$6:$C$265,MATCH(D3827,I_COA!$A$6:$A$265,0)),"AKUN BARU"))</f>
        <v/>
      </c>
      <c r="L3827" s="34" t="str">
        <f aca="false">IF(K3827="LabaRugi",INDEX(I_COA!$D$6:$D$265,MATCH(D3827,I_COA!$A$6:$A$265,0)),"")</f>
        <v/>
      </c>
      <c r="M3827" s="34" t="str">
        <f aca="false">IF(K3827="Neraca",INDEX(I_COA!$E$6:$E$265,MATCH(D3827,I_COA!$A$6:$A$265,0)),"")</f>
        <v/>
      </c>
      <c r="N3827" s="34" t="str">
        <f aca="false">IF(D3827="","",IFERROR(INDEX(I_COA!$G$6:$G$265,MATCH(D3827,I_COA!$A$6:$A$265,0)),"N"))</f>
        <v/>
      </c>
      <c r="O3827" s="11" t="str">
        <f aca="false">IF(N3827="N",ABS(J3827),"")</f>
        <v/>
      </c>
      <c r="P3827" s="18" t="str">
        <f aca="false">IF(N3827="N",B3827&amp;"|"&amp;ROUND(O3827,0),"")</f>
        <v/>
      </c>
      <c r="Q3827" s="18" t="str">
        <f aca="false">IF(N3827&lt;&gt;"Y","",IFERROR(INDEX($D$6:$D$4005,MATCH(B3827&amp;"|"&amp;ROUND(_xlfn.MAXIFS($O$6:$O$4005,$B$6:$B$4005,B3827,$N$6:$N$4005,"N"),0),$P$6:$P$4005,0)),"(tanpa lawan)"))</f>
        <v/>
      </c>
      <c r="R3827" s="44"/>
      <c r="S3827" s="9" t="str">
        <f aca="false">IF(N3827&lt;&gt;"Y","",IF(R3827&lt;&gt;"",R3827,IF(Q3827="(tanpa lawan)","Transfer antar rekening",IFERROR(INDEX(I_COA!$F$6:$F$265,MATCH(Q3827,I_COA!$A$6:$A$265,0)),"?"))))</f>
        <v/>
      </c>
    </row>
    <row r="3828" customFormat="false" ht="15" hidden="false" customHeight="false" outlineLevel="0" collapsed="false">
      <c r="A3828" s="37"/>
      <c r="B3828" s="44"/>
      <c r="C3828" s="44"/>
      <c r="D3828" s="44"/>
      <c r="E3828" s="44"/>
      <c r="F3828" s="44"/>
      <c r="G3828" s="42"/>
      <c r="H3828" s="42"/>
      <c r="I3828" s="44"/>
      <c r="J3828" s="11" t="str">
        <f aca="false">IF(D3828="","",N(G3828)-N(H3828))</f>
        <v/>
      </c>
      <c r="K3828" s="34" t="str">
        <f aca="false">IF(D3828="","",IFERROR(INDEX(I_COA!$C$6:$C$265,MATCH(D3828,I_COA!$A$6:$A$265,0)),"AKUN BARU"))</f>
        <v/>
      </c>
      <c r="L3828" s="34" t="str">
        <f aca="false">IF(K3828="LabaRugi",INDEX(I_COA!$D$6:$D$265,MATCH(D3828,I_COA!$A$6:$A$265,0)),"")</f>
        <v/>
      </c>
      <c r="M3828" s="34" t="str">
        <f aca="false">IF(K3828="Neraca",INDEX(I_COA!$E$6:$E$265,MATCH(D3828,I_COA!$A$6:$A$265,0)),"")</f>
        <v/>
      </c>
      <c r="N3828" s="34" t="str">
        <f aca="false">IF(D3828="","",IFERROR(INDEX(I_COA!$G$6:$G$265,MATCH(D3828,I_COA!$A$6:$A$265,0)),"N"))</f>
        <v/>
      </c>
      <c r="O3828" s="11" t="str">
        <f aca="false">IF(N3828="N",ABS(J3828),"")</f>
        <v/>
      </c>
      <c r="P3828" s="18" t="str">
        <f aca="false">IF(N3828="N",B3828&amp;"|"&amp;ROUND(O3828,0),"")</f>
        <v/>
      </c>
      <c r="Q3828" s="18" t="str">
        <f aca="false">IF(N3828&lt;&gt;"Y","",IFERROR(INDEX($D$6:$D$4005,MATCH(B3828&amp;"|"&amp;ROUND(_xlfn.MAXIFS($O$6:$O$4005,$B$6:$B$4005,B3828,$N$6:$N$4005,"N"),0),$P$6:$P$4005,0)),"(tanpa lawan)"))</f>
        <v/>
      </c>
      <c r="R3828" s="44"/>
      <c r="S3828" s="9" t="str">
        <f aca="false">IF(N3828&lt;&gt;"Y","",IF(R3828&lt;&gt;"",R3828,IF(Q3828="(tanpa lawan)","Transfer antar rekening",IFERROR(INDEX(I_COA!$F$6:$F$265,MATCH(Q3828,I_COA!$A$6:$A$265,0)),"?"))))</f>
        <v/>
      </c>
    </row>
    <row r="3829" customFormat="false" ht="15" hidden="false" customHeight="false" outlineLevel="0" collapsed="false">
      <c r="A3829" s="37"/>
      <c r="B3829" s="44"/>
      <c r="C3829" s="44"/>
      <c r="D3829" s="44"/>
      <c r="E3829" s="44"/>
      <c r="F3829" s="44"/>
      <c r="G3829" s="42"/>
      <c r="H3829" s="42"/>
      <c r="I3829" s="44"/>
      <c r="J3829" s="11" t="str">
        <f aca="false">IF(D3829="","",N(G3829)-N(H3829))</f>
        <v/>
      </c>
      <c r="K3829" s="34" t="str">
        <f aca="false">IF(D3829="","",IFERROR(INDEX(I_COA!$C$6:$C$265,MATCH(D3829,I_COA!$A$6:$A$265,0)),"AKUN BARU"))</f>
        <v/>
      </c>
      <c r="L3829" s="34" t="str">
        <f aca="false">IF(K3829="LabaRugi",INDEX(I_COA!$D$6:$D$265,MATCH(D3829,I_COA!$A$6:$A$265,0)),"")</f>
        <v/>
      </c>
      <c r="M3829" s="34" t="str">
        <f aca="false">IF(K3829="Neraca",INDEX(I_COA!$E$6:$E$265,MATCH(D3829,I_COA!$A$6:$A$265,0)),"")</f>
        <v/>
      </c>
      <c r="N3829" s="34" t="str">
        <f aca="false">IF(D3829="","",IFERROR(INDEX(I_COA!$G$6:$G$265,MATCH(D3829,I_COA!$A$6:$A$265,0)),"N"))</f>
        <v/>
      </c>
      <c r="O3829" s="11" t="str">
        <f aca="false">IF(N3829="N",ABS(J3829),"")</f>
        <v/>
      </c>
      <c r="P3829" s="18" t="str">
        <f aca="false">IF(N3829="N",B3829&amp;"|"&amp;ROUND(O3829,0),"")</f>
        <v/>
      </c>
      <c r="Q3829" s="18" t="str">
        <f aca="false">IF(N3829&lt;&gt;"Y","",IFERROR(INDEX($D$6:$D$4005,MATCH(B3829&amp;"|"&amp;ROUND(_xlfn.MAXIFS($O$6:$O$4005,$B$6:$B$4005,B3829,$N$6:$N$4005,"N"),0),$P$6:$P$4005,0)),"(tanpa lawan)"))</f>
        <v/>
      </c>
      <c r="R3829" s="44"/>
      <c r="S3829" s="9" t="str">
        <f aca="false">IF(N3829&lt;&gt;"Y","",IF(R3829&lt;&gt;"",R3829,IF(Q3829="(tanpa lawan)","Transfer antar rekening",IFERROR(INDEX(I_COA!$F$6:$F$265,MATCH(Q3829,I_COA!$A$6:$A$265,0)),"?"))))</f>
        <v/>
      </c>
    </row>
    <row r="3830" customFormat="false" ht="15" hidden="false" customHeight="false" outlineLevel="0" collapsed="false">
      <c r="A3830" s="37"/>
      <c r="B3830" s="44"/>
      <c r="C3830" s="44"/>
      <c r="D3830" s="44"/>
      <c r="E3830" s="44"/>
      <c r="F3830" s="44"/>
      <c r="G3830" s="42"/>
      <c r="H3830" s="42"/>
      <c r="I3830" s="44"/>
      <c r="J3830" s="11" t="str">
        <f aca="false">IF(D3830="","",N(G3830)-N(H3830))</f>
        <v/>
      </c>
      <c r="K3830" s="34" t="str">
        <f aca="false">IF(D3830="","",IFERROR(INDEX(I_COA!$C$6:$C$265,MATCH(D3830,I_COA!$A$6:$A$265,0)),"AKUN BARU"))</f>
        <v/>
      </c>
      <c r="L3830" s="34" t="str">
        <f aca="false">IF(K3830="LabaRugi",INDEX(I_COA!$D$6:$D$265,MATCH(D3830,I_COA!$A$6:$A$265,0)),"")</f>
        <v/>
      </c>
      <c r="M3830" s="34" t="str">
        <f aca="false">IF(K3830="Neraca",INDEX(I_COA!$E$6:$E$265,MATCH(D3830,I_COA!$A$6:$A$265,0)),"")</f>
        <v/>
      </c>
      <c r="N3830" s="34" t="str">
        <f aca="false">IF(D3830="","",IFERROR(INDEX(I_COA!$G$6:$G$265,MATCH(D3830,I_COA!$A$6:$A$265,0)),"N"))</f>
        <v/>
      </c>
      <c r="O3830" s="11" t="str">
        <f aca="false">IF(N3830="N",ABS(J3830),"")</f>
        <v/>
      </c>
      <c r="P3830" s="18" t="str">
        <f aca="false">IF(N3830="N",B3830&amp;"|"&amp;ROUND(O3830,0),"")</f>
        <v/>
      </c>
      <c r="Q3830" s="18" t="str">
        <f aca="false">IF(N3830&lt;&gt;"Y","",IFERROR(INDEX($D$6:$D$4005,MATCH(B3830&amp;"|"&amp;ROUND(_xlfn.MAXIFS($O$6:$O$4005,$B$6:$B$4005,B3830,$N$6:$N$4005,"N"),0),$P$6:$P$4005,0)),"(tanpa lawan)"))</f>
        <v/>
      </c>
      <c r="R3830" s="44"/>
      <c r="S3830" s="9" t="str">
        <f aca="false">IF(N3830&lt;&gt;"Y","",IF(R3830&lt;&gt;"",R3830,IF(Q3830="(tanpa lawan)","Transfer antar rekening",IFERROR(INDEX(I_COA!$F$6:$F$265,MATCH(Q3830,I_COA!$A$6:$A$265,0)),"?"))))</f>
        <v/>
      </c>
    </row>
    <row r="3831" customFormat="false" ht="15" hidden="false" customHeight="false" outlineLevel="0" collapsed="false">
      <c r="A3831" s="37"/>
      <c r="B3831" s="44"/>
      <c r="C3831" s="44"/>
      <c r="D3831" s="44"/>
      <c r="E3831" s="44"/>
      <c r="F3831" s="44"/>
      <c r="G3831" s="42"/>
      <c r="H3831" s="42"/>
      <c r="I3831" s="44"/>
      <c r="J3831" s="11" t="str">
        <f aca="false">IF(D3831="","",N(G3831)-N(H3831))</f>
        <v/>
      </c>
      <c r="K3831" s="34" t="str">
        <f aca="false">IF(D3831="","",IFERROR(INDEX(I_COA!$C$6:$C$265,MATCH(D3831,I_COA!$A$6:$A$265,0)),"AKUN BARU"))</f>
        <v/>
      </c>
      <c r="L3831" s="34" t="str">
        <f aca="false">IF(K3831="LabaRugi",INDEX(I_COA!$D$6:$D$265,MATCH(D3831,I_COA!$A$6:$A$265,0)),"")</f>
        <v/>
      </c>
      <c r="M3831" s="34" t="str">
        <f aca="false">IF(K3831="Neraca",INDEX(I_COA!$E$6:$E$265,MATCH(D3831,I_COA!$A$6:$A$265,0)),"")</f>
        <v/>
      </c>
      <c r="N3831" s="34" t="str">
        <f aca="false">IF(D3831="","",IFERROR(INDEX(I_COA!$G$6:$G$265,MATCH(D3831,I_COA!$A$6:$A$265,0)),"N"))</f>
        <v/>
      </c>
      <c r="O3831" s="11" t="str">
        <f aca="false">IF(N3831="N",ABS(J3831),"")</f>
        <v/>
      </c>
      <c r="P3831" s="18" t="str">
        <f aca="false">IF(N3831="N",B3831&amp;"|"&amp;ROUND(O3831,0),"")</f>
        <v/>
      </c>
      <c r="Q3831" s="18" t="str">
        <f aca="false">IF(N3831&lt;&gt;"Y","",IFERROR(INDEX($D$6:$D$4005,MATCH(B3831&amp;"|"&amp;ROUND(_xlfn.MAXIFS($O$6:$O$4005,$B$6:$B$4005,B3831,$N$6:$N$4005,"N"),0),$P$6:$P$4005,0)),"(tanpa lawan)"))</f>
        <v/>
      </c>
      <c r="R3831" s="44"/>
      <c r="S3831" s="9" t="str">
        <f aca="false">IF(N3831&lt;&gt;"Y","",IF(R3831&lt;&gt;"",R3831,IF(Q3831="(tanpa lawan)","Transfer antar rekening",IFERROR(INDEX(I_COA!$F$6:$F$265,MATCH(Q3831,I_COA!$A$6:$A$265,0)),"?"))))</f>
        <v/>
      </c>
    </row>
    <row r="3832" customFormat="false" ht="15" hidden="false" customHeight="false" outlineLevel="0" collapsed="false">
      <c r="A3832" s="37"/>
      <c r="B3832" s="44"/>
      <c r="C3832" s="44"/>
      <c r="D3832" s="44"/>
      <c r="E3832" s="44"/>
      <c r="F3832" s="44"/>
      <c r="G3832" s="42"/>
      <c r="H3832" s="42"/>
      <c r="I3832" s="44"/>
      <c r="J3832" s="11" t="str">
        <f aca="false">IF(D3832="","",N(G3832)-N(H3832))</f>
        <v/>
      </c>
      <c r="K3832" s="34" t="str">
        <f aca="false">IF(D3832="","",IFERROR(INDEX(I_COA!$C$6:$C$265,MATCH(D3832,I_COA!$A$6:$A$265,0)),"AKUN BARU"))</f>
        <v/>
      </c>
      <c r="L3832" s="34" t="str">
        <f aca="false">IF(K3832="LabaRugi",INDEX(I_COA!$D$6:$D$265,MATCH(D3832,I_COA!$A$6:$A$265,0)),"")</f>
        <v/>
      </c>
      <c r="M3832" s="34" t="str">
        <f aca="false">IF(K3832="Neraca",INDEX(I_COA!$E$6:$E$265,MATCH(D3832,I_COA!$A$6:$A$265,0)),"")</f>
        <v/>
      </c>
      <c r="N3832" s="34" t="str">
        <f aca="false">IF(D3832="","",IFERROR(INDEX(I_COA!$G$6:$G$265,MATCH(D3832,I_COA!$A$6:$A$265,0)),"N"))</f>
        <v/>
      </c>
      <c r="O3832" s="11" t="str">
        <f aca="false">IF(N3832="N",ABS(J3832),"")</f>
        <v/>
      </c>
      <c r="P3832" s="18" t="str">
        <f aca="false">IF(N3832="N",B3832&amp;"|"&amp;ROUND(O3832,0),"")</f>
        <v/>
      </c>
      <c r="Q3832" s="18" t="str">
        <f aca="false">IF(N3832&lt;&gt;"Y","",IFERROR(INDEX($D$6:$D$4005,MATCH(B3832&amp;"|"&amp;ROUND(_xlfn.MAXIFS($O$6:$O$4005,$B$6:$B$4005,B3832,$N$6:$N$4005,"N"),0),$P$6:$P$4005,0)),"(tanpa lawan)"))</f>
        <v/>
      </c>
      <c r="R3832" s="44"/>
      <c r="S3832" s="9" t="str">
        <f aca="false">IF(N3832&lt;&gt;"Y","",IF(R3832&lt;&gt;"",R3832,IF(Q3832="(tanpa lawan)","Transfer antar rekening",IFERROR(INDEX(I_COA!$F$6:$F$265,MATCH(Q3832,I_COA!$A$6:$A$265,0)),"?"))))</f>
        <v/>
      </c>
    </row>
    <row r="3833" customFormat="false" ht="15" hidden="false" customHeight="false" outlineLevel="0" collapsed="false">
      <c r="A3833" s="37"/>
      <c r="B3833" s="44"/>
      <c r="C3833" s="44"/>
      <c r="D3833" s="44"/>
      <c r="E3833" s="44"/>
      <c r="F3833" s="44"/>
      <c r="G3833" s="42"/>
      <c r="H3833" s="42"/>
      <c r="I3833" s="44"/>
      <c r="J3833" s="11" t="str">
        <f aca="false">IF(D3833="","",N(G3833)-N(H3833))</f>
        <v/>
      </c>
      <c r="K3833" s="34" t="str">
        <f aca="false">IF(D3833="","",IFERROR(INDEX(I_COA!$C$6:$C$265,MATCH(D3833,I_COA!$A$6:$A$265,0)),"AKUN BARU"))</f>
        <v/>
      </c>
      <c r="L3833" s="34" t="str">
        <f aca="false">IF(K3833="LabaRugi",INDEX(I_COA!$D$6:$D$265,MATCH(D3833,I_COA!$A$6:$A$265,0)),"")</f>
        <v/>
      </c>
      <c r="M3833" s="34" t="str">
        <f aca="false">IF(K3833="Neraca",INDEX(I_COA!$E$6:$E$265,MATCH(D3833,I_COA!$A$6:$A$265,0)),"")</f>
        <v/>
      </c>
      <c r="N3833" s="34" t="str">
        <f aca="false">IF(D3833="","",IFERROR(INDEX(I_COA!$G$6:$G$265,MATCH(D3833,I_COA!$A$6:$A$265,0)),"N"))</f>
        <v/>
      </c>
      <c r="O3833" s="11" t="str">
        <f aca="false">IF(N3833="N",ABS(J3833),"")</f>
        <v/>
      </c>
      <c r="P3833" s="18" t="str">
        <f aca="false">IF(N3833="N",B3833&amp;"|"&amp;ROUND(O3833,0),"")</f>
        <v/>
      </c>
      <c r="Q3833" s="18" t="str">
        <f aca="false">IF(N3833&lt;&gt;"Y","",IFERROR(INDEX($D$6:$D$4005,MATCH(B3833&amp;"|"&amp;ROUND(_xlfn.MAXIFS($O$6:$O$4005,$B$6:$B$4005,B3833,$N$6:$N$4005,"N"),0),$P$6:$P$4005,0)),"(tanpa lawan)"))</f>
        <v/>
      </c>
      <c r="R3833" s="44"/>
      <c r="S3833" s="9" t="str">
        <f aca="false">IF(N3833&lt;&gt;"Y","",IF(R3833&lt;&gt;"",R3833,IF(Q3833="(tanpa lawan)","Transfer antar rekening",IFERROR(INDEX(I_COA!$F$6:$F$265,MATCH(Q3833,I_COA!$A$6:$A$265,0)),"?"))))</f>
        <v/>
      </c>
    </row>
    <row r="3834" customFormat="false" ht="15" hidden="false" customHeight="false" outlineLevel="0" collapsed="false">
      <c r="A3834" s="37"/>
      <c r="B3834" s="44"/>
      <c r="C3834" s="44"/>
      <c r="D3834" s="44"/>
      <c r="E3834" s="44"/>
      <c r="F3834" s="44"/>
      <c r="G3834" s="42"/>
      <c r="H3834" s="42"/>
      <c r="I3834" s="44"/>
      <c r="J3834" s="11" t="str">
        <f aca="false">IF(D3834="","",N(G3834)-N(H3834))</f>
        <v/>
      </c>
      <c r="K3834" s="34" t="str">
        <f aca="false">IF(D3834="","",IFERROR(INDEX(I_COA!$C$6:$C$265,MATCH(D3834,I_COA!$A$6:$A$265,0)),"AKUN BARU"))</f>
        <v/>
      </c>
      <c r="L3834" s="34" t="str">
        <f aca="false">IF(K3834="LabaRugi",INDEX(I_COA!$D$6:$D$265,MATCH(D3834,I_COA!$A$6:$A$265,0)),"")</f>
        <v/>
      </c>
      <c r="M3834" s="34" t="str">
        <f aca="false">IF(K3834="Neraca",INDEX(I_COA!$E$6:$E$265,MATCH(D3834,I_COA!$A$6:$A$265,0)),"")</f>
        <v/>
      </c>
      <c r="N3834" s="34" t="str">
        <f aca="false">IF(D3834="","",IFERROR(INDEX(I_COA!$G$6:$G$265,MATCH(D3834,I_COA!$A$6:$A$265,0)),"N"))</f>
        <v/>
      </c>
      <c r="O3834" s="11" t="str">
        <f aca="false">IF(N3834="N",ABS(J3834),"")</f>
        <v/>
      </c>
      <c r="P3834" s="18" t="str">
        <f aca="false">IF(N3834="N",B3834&amp;"|"&amp;ROUND(O3834,0),"")</f>
        <v/>
      </c>
      <c r="Q3834" s="18" t="str">
        <f aca="false">IF(N3834&lt;&gt;"Y","",IFERROR(INDEX($D$6:$D$4005,MATCH(B3834&amp;"|"&amp;ROUND(_xlfn.MAXIFS($O$6:$O$4005,$B$6:$B$4005,B3834,$N$6:$N$4005,"N"),0),$P$6:$P$4005,0)),"(tanpa lawan)"))</f>
        <v/>
      </c>
      <c r="R3834" s="44"/>
      <c r="S3834" s="9" t="str">
        <f aca="false">IF(N3834&lt;&gt;"Y","",IF(R3834&lt;&gt;"",R3834,IF(Q3834="(tanpa lawan)","Transfer antar rekening",IFERROR(INDEX(I_COA!$F$6:$F$265,MATCH(Q3834,I_COA!$A$6:$A$265,0)),"?"))))</f>
        <v/>
      </c>
    </row>
    <row r="3835" customFormat="false" ht="15" hidden="false" customHeight="false" outlineLevel="0" collapsed="false">
      <c r="A3835" s="37"/>
      <c r="B3835" s="44"/>
      <c r="C3835" s="44"/>
      <c r="D3835" s="44"/>
      <c r="E3835" s="44"/>
      <c r="F3835" s="44"/>
      <c r="G3835" s="42"/>
      <c r="H3835" s="42"/>
      <c r="I3835" s="44"/>
      <c r="J3835" s="11" t="str">
        <f aca="false">IF(D3835="","",N(G3835)-N(H3835))</f>
        <v/>
      </c>
      <c r="K3835" s="34" t="str">
        <f aca="false">IF(D3835="","",IFERROR(INDEX(I_COA!$C$6:$C$265,MATCH(D3835,I_COA!$A$6:$A$265,0)),"AKUN BARU"))</f>
        <v/>
      </c>
      <c r="L3835" s="34" t="str">
        <f aca="false">IF(K3835="LabaRugi",INDEX(I_COA!$D$6:$D$265,MATCH(D3835,I_COA!$A$6:$A$265,0)),"")</f>
        <v/>
      </c>
      <c r="M3835" s="34" t="str">
        <f aca="false">IF(K3835="Neraca",INDEX(I_COA!$E$6:$E$265,MATCH(D3835,I_COA!$A$6:$A$265,0)),"")</f>
        <v/>
      </c>
      <c r="N3835" s="34" t="str">
        <f aca="false">IF(D3835="","",IFERROR(INDEX(I_COA!$G$6:$G$265,MATCH(D3835,I_COA!$A$6:$A$265,0)),"N"))</f>
        <v/>
      </c>
      <c r="O3835" s="11" t="str">
        <f aca="false">IF(N3835="N",ABS(J3835),"")</f>
        <v/>
      </c>
      <c r="P3835" s="18" t="str">
        <f aca="false">IF(N3835="N",B3835&amp;"|"&amp;ROUND(O3835,0),"")</f>
        <v/>
      </c>
      <c r="Q3835" s="18" t="str">
        <f aca="false">IF(N3835&lt;&gt;"Y","",IFERROR(INDEX($D$6:$D$4005,MATCH(B3835&amp;"|"&amp;ROUND(_xlfn.MAXIFS($O$6:$O$4005,$B$6:$B$4005,B3835,$N$6:$N$4005,"N"),0),$P$6:$P$4005,0)),"(tanpa lawan)"))</f>
        <v/>
      </c>
      <c r="R3835" s="44"/>
      <c r="S3835" s="9" t="str">
        <f aca="false">IF(N3835&lt;&gt;"Y","",IF(R3835&lt;&gt;"",R3835,IF(Q3835="(tanpa lawan)","Transfer antar rekening",IFERROR(INDEX(I_COA!$F$6:$F$265,MATCH(Q3835,I_COA!$A$6:$A$265,0)),"?"))))</f>
        <v/>
      </c>
    </row>
    <row r="3836" customFormat="false" ht="15" hidden="false" customHeight="false" outlineLevel="0" collapsed="false">
      <c r="A3836" s="37"/>
      <c r="B3836" s="44"/>
      <c r="C3836" s="44"/>
      <c r="D3836" s="44"/>
      <c r="E3836" s="44"/>
      <c r="F3836" s="44"/>
      <c r="G3836" s="42"/>
      <c r="H3836" s="42"/>
      <c r="I3836" s="44"/>
      <c r="J3836" s="11" t="str">
        <f aca="false">IF(D3836="","",N(G3836)-N(H3836))</f>
        <v/>
      </c>
      <c r="K3836" s="34" t="str">
        <f aca="false">IF(D3836="","",IFERROR(INDEX(I_COA!$C$6:$C$265,MATCH(D3836,I_COA!$A$6:$A$265,0)),"AKUN BARU"))</f>
        <v/>
      </c>
      <c r="L3836" s="34" t="str">
        <f aca="false">IF(K3836="LabaRugi",INDEX(I_COA!$D$6:$D$265,MATCH(D3836,I_COA!$A$6:$A$265,0)),"")</f>
        <v/>
      </c>
      <c r="M3836" s="34" t="str">
        <f aca="false">IF(K3836="Neraca",INDEX(I_COA!$E$6:$E$265,MATCH(D3836,I_COA!$A$6:$A$265,0)),"")</f>
        <v/>
      </c>
      <c r="N3836" s="34" t="str">
        <f aca="false">IF(D3836="","",IFERROR(INDEX(I_COA!$G$6:$G$265,MATCH(D3836,I_COA!$A$6:$A$265,0)),"N"))</f>
        <v/>
      </c>
      <c r="O3836" s="11" t="str">
        <f aca="false">IF(N3836="N",ABS(J3836),"")</f>
        <v/>
      </c>
      <c r="P3836" s="18" t="str">
        <f aca="false">IF(N3836="N",B3836&amp;"|"&amp;ROUND(O3836,0),"")</f>
        <v/>
      </c>
      <c r="Q3836" s="18" t="str">
        <f aca="false">IF(N3836&lt;&gt;"Y","",IFERROR(INDEX($D$6:$D$4005,MATCH(B3836&amp;"|"&amp;ROUND(_xlfn.MAXIFS($O$6:$O$4005,$B$6:$B$4005,B3836,$N$6:$N$4005,"N"),0),$P$6:$P$4005,0)),"(tanpa lawan)"))</f>
        <v/>
      </c>
      <c r="R3836" s="44"/>
      <c r="S3836" s="9" t="str">
        <f aca="false">IF(N3836&lt;&gt;"Y","",IF(R3836&lt;&gt;"",R3836,IF(Q3836="(tanpa lawan)","Transfer antar rekening",IFERROR(INDEX(I_COA!$F$6:$F$265,MATCH(Q3836,I_COA!$A$6:$A$265,0)),"?"))))</f>
        <v/>
      </c>
    </row>
    <row r="3837" customFormat="false" ht="15" hidden="false" customHeight="false" outlineLevel="0" collapsed="false">
      <c r="A3837" s="37"/>
      <c r="B3837" s="44"/>
      <c r="C3837" s="44"/>
      <c r="D3837" s="44"/>
      <c r="E3837" s="44"/>
      <c r="F3837" s="44"/>
      <c r="G3837" s="42"/>
      <c r="H3837" s="42"/>
      <c r="I3837" s="44"/>
      <c r="J3837" s="11" t="str">
        <f aca="false">IF(D3837="","",N(G3837)-N(H3837))</f>
        <v/>
      </c>
      <c r="K3837" s="34" t="str">
        <f aca="false">IF(D3837="","",IFERROR(INDEX(I_COA!$C$6:$C$265,MATCH(D3837,I_COA!$A$6:$A$265,0)),"AKUN BARU"))</f>
        <v/>
      </c>
      <c r="L3837" s="34" t="str">
        <f aca="false">IF(K3837="LabaRugi",INDEX(I_COA!$D$6:$D$265,MATCH(D3837,I_COA!$A$6:$A$265,0)),"")</f>
        <v/>
      </c>
      <c r="M3837" s="34" t="str">
        <f aca="false">IF(K3837="Neraca",INDEX(I_COA!$E$6:$E$265,MATCH(D3837,I_COA!$A$6:$A$265,0)),"")</f>
        <v/>
      </c>
      <c r="N3837" s="34" t="str">
        <f aca="false">IF(D3837="","",IFERROR(INDEX(I_COA!$G$6:$G$265,MATCH(D3837,I_COA!$A$6:$A$265,0)),"N"))</f>
        <v/>
      </c>
      <c r="O3837" s="11" t="str">
        <f aca="false">IF(N3837="N",ABS(J3837),"")</f>
        <v/>
      </c>
      <c r="P3837" s="18" t="str">
        <f aca="false">IF(N3837="N",B3837&amp;"|"&amp;ROUND(O3837,0),"")</f>
        <v/>
      </c>
      <c r="Q3837" s="18" t="str">
        <f aca="false">IF(N3837&lt;&gt;"Y","",IFERROR(INDEX($D$6:$D$4005,MATCH(B3837&amp;"|"&amp;ROUND(_xlfn.MAXIFS($O$6:$O$4005,$B$6:$B$4005,B3837,$N$6:$N$4005,"N"),0),$P$6:$P$4005,0)),"(tanpa lawan)"))</f>
        <v/>
      </c>
      <c r="R3837" s="44"/>
      <c r="S3837" s="9" t="str">
        <f aca="false">IF(N3837&lt;&gt;"Y","",IF(R3837&lt;&gt;"",R3837,IF(Q3837="(tanpa lawan)","Transfer antar rekening",IFERROR(INDEX(I_COA!$F$6:$F$265,MATCH(Q3837,I_COA!$A$6:$A$265,0)),"?"))))</f>
        <v/>
      </c>
    </row>
    <row r="3838" customFormat="false" ht="15" hidden="false" customHeight="false" outlineLevel="0" collapsed="false">
      <c r="A3838" s="37"/>
      <c r="B3838" s="44"/>
      <c r="C3838" s="44"/>
      <c r="D3838" s="44"/>
      <c r="E3838" s="44"/>
      <c r="F3838" s="44"/>
      <c r="G3838" s="42"/>
      <c r="H3838" s="42"/>
      <c r="I3838" s="44"/>
      <c r="J3838" s="11" t="str">
        <f aca="false">IF(D3838="","",N(G3838)-N(H3838))</f>
        <v/>
      </c>
      <c r="K3838" s="34" t="str">
        <f aca="false">IF(D3838="","",IFERROR(INDEX(I_COA!$C$6:$C$265,MATCH(D3838,I_COA!$A$6:$A$265,0)),"AKUN BARU"))</f>
        <v/>
      </c>
      <c r="L3838" s="34" t="str">
        <f aca="false">IF(K3838="LabaRugi",INDEX(I_COA!$D$6:$D$265,MATCH(D3838,I_COA!$A$6:$A$265,0)),"")</f>
        <v/>
      </c>
      <c r="M3838" s="34" t="str">
        <f aca="false">IF(K3838="Neraca",INDEX(I_COA!$E$6:$E$265,MATCH(D3838,I_COA!$A$6:$A$265,0)),"")</f>
        <v/>
      </c>
      <c r="N3838" s="34" t="str">
        <f aca="false">IF(D3838="","",IFERROR(INDEX(I_COA!$G$6:$G$265,MATCH(D3838,I_COA!$A$6:$A$265,0)),"N"))</f>
        <v/>
      </c>
      <c r="O3838" s="11" t="str">
        <f aca="false">IF(N3838="N",ABS(J3838),"")</f>
        <v/>
      </c>
      <c r="P3838" s="18" t="str">
        <f aca="false">IF(N3838="N",B3838&amp;"|"&amp;ROUND(O3838,0),"")</f>
        <v/>
      </c>
      <c r="Q3838" s="18" t="str">
        <f aca="false">IF(N3838&lt;&gt;"Y","",IFERROR(INDEX($D$6:$D$4005,MATCH(B3838&amp;"|"&amp;ROUND(_xlfn.MAXIFS($O$6:$O$4005,$B$6:$B$4005,B3838,$N$6:$N$4005,"N"),0),$P$6:$P$4005,0)),"(tanpa lawan)"))</f>
        <v/>
      </c>
      <c r="R3838" s="44"/>
      <c r="S3838" s="9" t="str">
        <f aca="false">IF(N3838&lt;&gt;"Y","",IF(R3838&lt;&gt;"",R3838,IF(Q3838="(tanpa lawan)","Transfer antar rekening",IFERROR(INDEX(I_COA!$F$6:$F$265,MATCH(Q3838,I_COA!$A$6:$A$265,0)),"?"))))</f>
        <v/>
      </c>
    </row>
    <row r="3839" customFormat="false" ht="15" hidden="false" customHeight="false" outlineLevel="0" collapsed="false">
      <c r="A3839" s="37"/>
      <c r="B3839" s="44"/>
      <c r="C3839" s="44"/>
      <c r="D3839" s="44"/>
      <c r="E3839" s="44"/>
      <c r="F3839" s="44"/>
      <c r="G3839" s="42"/>
      <c r="H3839" s="42"/>
      <c r="I3839" s="44"/>
      <c r="J3839" s="11" t="str">
        <f aca="false">IF(D3839="","",N(G3839)-N(H3839))</f>
        <v/>
      </c>
      <c r="K3839" s="34" t="str">
        <f aca="false">IF(D3839="","",IFERROR(INDEX(I_COA!$C$6:$C$265,MATCH(D3839,I_COA!$A$6:$A$265,0)),"AKUN BARU"))</f>
        <v/>
      </c>
      <c r="L3839" s="34" t="str">
        <f aca="false">IF(K3839="LabaRugi",INDEX(I_COA!$D$6:$D$265,MATCH(D3839,I_COA!$A$6:$A$265,0)),"")</f>
        <v/>
      </c>
      <c r="M3839" s="34" t="str">
        <f aca="false">IF(K3839="Neraca",INDEX(I_COA!$E$6:$E$265,MATCH(D3839,I_COA!$A$6:$A$265,0)),"")</f>
        <v/>
      </c>
      <c r="N3839" s="34" t="str">
        <f aca="false">IF(D3839="","",IFERROR(INDEX(I_COA!$G$6:$G$265,MATCH(D3839,I_COA!$A$6:$A$265,0)),"N"))</f>
        <v/>
      </c>
      <c r="O3839" s="11" t="str">
        <f aca="false">IF(N3839="N",ABS(J3839),"")</f>
        <v/>
      </c>
      <c r="P3839" s="18" t="str">
        <f aca="false">IF(N3839="N",B3839&amp;"|"&amp;ROUND(O3839,0),"")</f>
        <v/>
      </c>
      <c r="Q3839" s="18" t="str">
        <f aca="false">IF(N3839&lt;&gt;"Y","",IFERROR(INDEX($D$6:$D$4005,MATCH(B3839&amp;"|"&amp;ROUND(_xlfn.MAXIFS($O$6:$O$4005,$B$6:$B$4005,B3839,$N$6:$N$4005,"N"),0),$P$6:$P$4005,0)),"(tanpa lawan)"))</f>
        <v/>
      </c>
      <c r="R3839" s="44"/>
      <c r="S3839" s="9" t="str">
        <f aca="false">IF(N3839&lt;&gt;"Y","",IF(R3839&lt;&gt;"",R3839,IF(Q3839="(tanpa lawan)","Transfer antar rekening",IFERROR(INDEX(I_COA!$F$6:$F$265,MATCH(Q3839,I_COA!$A$6:$A$265,0)),"?"))))</f>
        <v/>
      </c>
    </row>
    <row r="3840" customFormat="false" ht="15" hidden="false" customHeight="false" outlineLevel="0" collapsed="false">
      <c r="A3840" s="37"/>
      <c r="B3840" s="44"/>
      <c r="C3840" s="44"/>
      <c r="D3840" s="44"/>
      <c r="E3840" s="44"/>
      <c r="F3840" s="44"/>
      <c r="G3840" s="42"/>
      <c r="H3840" s="42"/>
      <c r="I3840" s="44"/>
      <c r="J3840" s="11" t="str">
        <f aca="false">IF(D3840="","",N(G3840)-N(H3840))</f>
        <v/>
      </c>
      <c r="K3840" s="34" t="str">
        <f aca="false">IF(D3840="","",IFERROR(INDEX(I_COA!$C$6:$C$265,MATCH(D3840,I_COA!$A$6:$A$265,0)),"AKUN BARU"))</f>
        <v/>
      </c>
      <c r="L3840" s="34" t="str">
        <f aca="false">IF(K3840="LabaRugi",INDEX(I_COA!$D$6:$D$265,MATCH(D3840,I_COA!$A$6:$A$265,0)),"")</f>
        <v/>
      </c>
      <c r="M3840" s="34" t="str">
        <f aca="false">IF(K3840="Neraca",INDEX(I_COA!$E$6:$E$265,MATCH(D3840,I_COA!$A$6:$A$265,0)),"")</f>
        <v/>
      </c>
      <c r="N3840" s="34" t="str">
        <f aca="false">IF(D3840="","",IFERROR(INDEX(I_COA!$G$6:$G$265,MATCH(D3840,I_COA!$A$6:$A$265,0)),"N"))</f>
        <v/>
      </c>
      <c r="O3840" s="11" t="str">
        <f aca="false">IF(N3840="N",ABS(J3840),"")</f>
        <v/>
      </c>
      <c r="P3840" s="18" t="str">
        <f aca="false">IF(N3840="N",B3840&amp;"|"&amp;ROUND(O3840,0),"")</f>
        <v/>
      </c>
      <c r="Q3840" s="18" t="str">
        <f aca="false">IF(N3840&lt;&gt;"Y","",IFERROR(INDEX($D$6:$D$4005,MATCH(B3840&amp;"|"&amp;ROUND(_xlfn.MAXIFS($O$6:$O$4005,$B$6:$B$4005,B3840,$N$6:$N$4005,"N"),0),$P$6:$P$4005,0)),"(tanpa lawan)"))</f>
        <v/>
      </c>
      <c r="R3840" s="44"/>
      <c r="S3840" s="9" t="str">
        <f aca="false">IF(N3840&lt;&gt;"Y","",IF(R3840&lt;&gt;"",R3840,IF(Q3840="(tanpa lawan)","Transfer antar rekening",IFERROR(INDEX(I_COA!$F$6:$F$265,MATCH(Q3840,I_COA!$A$6:$A$265,0)),"?"))))</f>
        <v/>
      </c>
    </row>
    <row r="3841" customFormat="false" ht="15" hidden="false" customHeight="false" outlineLevel="0" collapsed="false">
      <c r="A3841" s="37"/>
      <c r="B3841" s="44"/>
      <c r="C3841" s="44"/>
      <c r="D3841" s="44"/>
      <c r="E3841" s="44"/>
      <c r="F3841" s="44"/>
      <c r="G3841" s="42"/>
      <c r="H3841" s="42"/>
      <c r="I3841" s="44"/>
      <c r="J3841" s="11" t="str">
        <f aca="false">IF(D3841="","",N(G3841)-N(H3841))</f>
        <v/>
      </c>
      <c r="K3841" s="34" t="str">
        <f aca="false">IF(D3841="","",IFERROR(INDEX(I_COA!$C$6:$C$265,MATCH(D3841,I_COA!$A$6:$A$265,0)),"AKUN BARU"))</f>
        <v/>
      </c>
      <c r="L3841" s="34" t="str">
        <f aca="false">IF(K3841="LabaRugi",INDEX(I_COA!$D$6:$D$265,MATCH(D3841,I_COA!$A$6:$A$265,0)),"")</f>
        <v/>
      </c>
      <c r="M3841" s="34" t="str">
        <f aca="false">IF(K3841="Neraca",INDEX(I_COA!$E$6:$E$265,MATCH(D3841,I_COA!$A$6:$A$265,0)),"")</f>
        <v/>
      </c>
      <c r="N3841" s="34" t="str">
        <f aca="false">IF(D3841="","",IFERROR(INDEX(I_COA!$G$6:$G$265,MATCH(D3841,I_COA!$A$6:$A$265,0)),"N"))</f>
        <v/>
      </c>
      <c r="O3841" s="11" t="str">
        <f aca="false">IF(N3841="N",ABS(J3841),"")</f>
        <v/>
      </c>
      <c r="P3841" s="18" t="str">
        <f aca="false">IF(N3841="N",B3841&amp;"|"&amp;ROUND(O3841,0),"")</f>
        <v/>
      </c>
      <c r="Q3841" s="18" t="str">
        <f aca="false">IF(N3841&lt;&gt;"Y","",IFERROR(INDEX($D$6:$D$4005,MATCH(B3841&amp;"|"&amp;ROUND(_xlfn.MAXIFS($O$6:$O$4005,$B$6:$B$4005,B3841,$N$6:$N$4005,"N"),0),$P$6:$P$4005,0)),"(tanpa lawan)"))</f>
        <v/>
      </c>
      <c r="R3841" s="44"/>
      <c r="S3841" s="9" t="str">
        <f aca="false">IF(N3841&lt;&gt;"Y","",IF(R3841&lt;&gt;"",R3841,IF(Q3841="(tanpa lawan)","Transfer antar rekening",IFERROR(INDEX(I_COA!$F$6:$F$265,MATCH(Q3841,I_COA!$A$6:$A$265,0)),"?"))))</f>
        <v/>
      </c>
    </row>
    <row r="3842" customFormat="false" ht="15" hidden="false" customHeight="false" outlineLevel="0" collapsed="false">
      <c r="A3842" s="37"/>
      <c r="B3842" s="44"/>
      <c r="C3842" s="44"/>
      <c r="D3842" s="44"/>
      <c r="E3842" s="44"/>
      <c r="F3842" s="44"/>
      <c r="G3842" s="42"/>
      <c r="H3842" s="42"/>
      <c r="I3842" s="44"/>
      <c r="J3842" s="11" t="str">
        <f aca="false">IF(D3842="","",N(G3842)-N(H3842))</f>
        <v/>
      </c>
      <c r="K3842" s="34" t="str">
        <f aca="false">IF(D3842="","",IFERROR(INDEX(I_COA!$C$6:$C$265,MATCH(D3842,I_COA!$A$6:$A$265,0)),"AKUN BARU"))</f>
        <v/>
      </c>
      <c r="L3842" s="34" t="str">
        <f aca="false">IF(K3842="LabaRugi",INDEX(I_COA!$D$6:$D$265,MATCH(D3842,I_COA!$A$6:$A$265,0)),"")</f>
        <v/>
      </c>
      <c r="M3842" s="34" t="str">
        <f aca="false">IF(K3842="Neraca",INDEX(I_COA!$E$6:$E$265,MATCH(D3842,I_COA!$A$6:$A$265,0)),"")</f>
        <v/>
      </c>
      <c r="N3842" s="34" t="str">
        <f aca="false">IF(D3842="","",IFERROR(INDEX(I_COA!$G$6:$G$265,MATCH(D3842,I_COA!$A$6:$A$265,0)),"N"))</f>
        <v/>
      </c>
      <c r="O3842" s="11" t="str">
        <f aca="false">IF(N3842="N",ABS(J3842),"")</f>
        <v/>
      </c>
      <c r="P3842" s="18" t="str">
        <f aca="false">IF(N3842="N",B3842&amp;"|"&amp;ROUND(O3842,0),"")</f>
        <v/>
      </c>
      <c r="Q3842" s="18" t="str">
        <f aca="false">IF(N3842&lt;&gt;"Y","",IFERROR(INDEX($D$6:$D$4005,MATCH(B3842&amp;"|"&amp;ROUND(_xlfn.MAXIFS($O$6:$O$4005,$B$6:$B$4005,B3842,$N$6:$N$4005,"N"),0),$P$6:$P$4005,0)),"(tanpa lawan)"))</f>
        <v/>
      </c>
      <c r="R3842" s="44"/>
      <c r="S3842" s="9" t="str">
        <f aca="false">IF(N3842&lt;&gt;"Y","",IF(R3842&lt;&gt;"",R3842,IF(Q3842="(tanpa lawan)","Transfer antar rekening",IFERROR(INDEX(I_COA!$F$6:$F$265,MATCH(Q3842,I_COA!$A$6:$A$265,0)),"?"))))</f>
        <v/>
      </c>
    </row>
    <row r="3843" customFormat="false" ht="15" hidden="false" customHeight="false" outlineLevel="0" collapsed="false">
      <c r="A3843" s="37"/>
      <c r="B3843" s="44"/>
      <c r="C3843" s="44"/>
      <c r="D3843" s="44"/>
      <c r="E3843" s="44"/>
      <c r="F3843" s="44"/>
      <c r="G3843" s="42"/>
      <c r="H3843" s="42"/>
      <c r="I3843" s="44"/>
      <c r="J3843" s="11" t="str">
        <f aca="false">IF(D3843="","",N(G3843)-N(H3843))</f>
        <v/>
      </c>
      <c r="K3843" s="34" t="str">
        <f aca="false">IF(D3843="","",IFERROR(INDEX(I_COA!$C$6:$C$265,MATCH(D3843,I_COA!$A$6:$A$265,0)),"AKUN BARU"))</f>
        <v/>
      </c>
      <c r="L3843" s="34" t="str">
        <f aca="false">IF(K3843="LabaRugi",INDEX(I_COA!$D$6:$D$265,MATCH(D3843,I_COA!$A$6:$A$265,0)),"")</f>
        <v/>
      </c>
      <c r="M3843" s="34" t="str">
        <f aca="false">IF(K3843="Neraca",INDEX(I_COA!$E$6:$E$265,MATCH(D3843,I_COA!$A$6:$A$265,0)),"")</f>
        <v/>
      </c>
      <c r="N3843" s="34" t="str">
        <f aca="false">IF(D3843="","",IFERROR(INDEX(I_COA!$G$6:$G$265,MATCH(D3843,I_COA!$A$6:$A$265,0)),"N"))</f>
        <v/>
      </c>
      <c r="O3843" s="11" t="str">
        <f aca="false">IF(N3843="N",ABS(J3843),"")</f>
        <v/>
      </c>
      <c r="P3843" s="18" t="str">
        <f aca="false">IF(N3843="N",B3843&amp;"|"&amp;ROUND(O3843,0),"")</f>
        <v/>
      </c>
      <c r="Q3843" s="18" t="str">
        <f aca="false">IF(N3843&lt;&gt;"Y","",IFERROR(INDEX($D$6:$D$4005,MATCH(B3843&amp;"|"&amp;ROUND(_xlfn.MAXIFS($O$6:$O$4005,$B$6:$B$4005,B3843,$N$6:$N$4005,"N"),0),$P$6:$P$4005,0)),"(tanpa lawan)"))</f>
        <v/>
      </c>
      <c r="R3843" s="44"/>
      <c r="S3843" s="9" t="str">
        <f aca="false">IF(N3843&lt;&gt;"Y","",IF(R3843&lt;&gt;"",R3843,IF(Q3843="(tanpa lawan)","Transfer antar rekening",IFERROR(INDEX(I_COA!$F$6:$F$265,MATCH(Q3843,I_COA!$A$6:$A$265,0)),"?"))))</f>
        <v/>
      </c>
    </row>
    <row r="3844" customFormat="false" ht="15" hidden="false" customHeight="false" outlineLevel="0" collapsed="false">
      <c r="A3844" s="37"/>
      <c r="B3844" s="44"/>
      <c r="C3844" s="44"/>
      <c r="D3844" s="44"/>
      <c r="E3844" s="44"/>
      <c r="F3844" s="44"/>
      <c r="G3844" s="42"/>
      <c r="H3844" s="42"/>
      <c r="I3844" s="44"/>
      <c r="J3844" s="11" t="str">
        <f aca="false">IF(D3844="","",N(G3844)-N(H3844))</f>
        <v/>
      </c>
      <c r="K3844" s="34" t="str">
        <f aca="false">IF(D3844="","",IFERROR(INDEX(I_COA!$C$6:$C$265,MATCH(D3844,I_COA!$A$6:$A$265,0)),"AKUN BARU"))</f>
        <v/>
      </c>
      <c r="L3844" s="34" t="str">
        <f aca="false">IF(K3844="LabaRugi",INDEX(I_COA!$D$6:$D$265,MATCH(D3844,I_COA!$A$6:$A$265,0)),"")</f>
        <v/>
      </c>
      <c r="M3844" s="34" t="str">
        <f aca="false">IF(K3844="Neraca",INDEX(I_COA!$E$6:$E$265,MATCH(D3844,I_COA!$A$6:$A$265,0)),"")</f>
        <v/>
      </c>
      <c r="N3844" s="34" t="str">
        <f aca="false">IF(D3844="","",IFERROR(INDEX(I_COA!$G$6:$G$265,MATCH(D3844,I_COA!$A$6:$A$265,0)),"N"))</f>
        <v/>
      </c>
      <c r="O3844" s="11" t="str">
        <f aca="false">IF(N3844="N",ABS(J3844),"")</f>
        <v/>
      </c>
      <c r="P3844" s="18" t="str">
        <f aca="false">IF(N3844="N",B3844&amp;"|"&amp;ROUND(O3844,0),"")</f>
        <v/>
      </c>
      <c r="Q3844" s="18" t="str">
        <f aca="false">IF(N3844&lt;&gt;"Y","",IFERROR(INDEX($D$6:$D$4005,MATCH(B3844&amp;"|"&amp;ROUND(_xlfn.MAXIFS($O$6:$O$4005,$B$6:$B$4005,B3844,$N$6:$N$4005,"N"),0),$P$6:$P$4005,0)),"(tanpa lawan)"))</f>
        <v/>
      </c>
      <c r="R3844" s="44"/>
      <c r="S3844" s="9" t="str">
        <f aca="false">IF(N3844&lt;&gt;"Y","",IF(R3844&lt;&gt;"",R3844,IF(Q3844="(tanpa lawan)","Transfer antar rekening",IFERROR(INDEX(I_COA!$F$6:$F$265,MATCH(Q3844,I_COA!$A$6:$A$265,0)),"?"))))</f>
        <v/>
      </c>
    </row>
    <row r="3845" customFormat="false" ht="15" hidden="false" customHeight="false" outlineLevel="0" collapsed="false">
      <c r="A3845" s="37"/>
      <c r="B3845" s="44"/>
      <c r="C3845" s="44"/>
      <c r="D3845" s="44"/>
      <c r="E3845" s="44"/>
      <c r="F3845" s="44"/>
      <c r="G3845" s="42"/>
      <c r="H3845" s="42"/>
      <c r="I3845" s="44"/>
      <c r="J3845" s="11" t="str">
        <f aca="false">IF(D3845="","",N(G3845)-N(H3845))</f>
        <v/>
      </c>
      <c r="K3845" s="34" t="str">
        <f aca="false">IF(D3845="","",IFERROR(INDEX(I_COA!$C$6:$C$265,MATCH(D3845,I_COA!$A$6:$A$265,0)),"AKUN BARU"))</f>
        <v/>
      </c>
      <c r="L3845" s="34" t="str">
        <f aca="false">IF(K3845="LabaRugi",INDEX(I_COA!$D$6:$D$265,MATCH(D3845,I_COA!$A$6:$A$265,0)),"")</f>
        <v/>
      </c>
      <c r="M3845" s="34" t="str">
        <f aca="false">IF(K3845="Neraca",INDEX(I_COA!$E$6:$E$265,MATCH(D3845,I_COA!$A$6:$A$265,0)),"")</f>
        <v/>
      </c>
      <c r="N3845" s="34" t="str">
        <f aca="false">IF(D3845="","",IFERROR(INDEX(I_COA!$G$6:$G$265,MATCH(D3845,I_COA!$A$6:$A$265,0)),"N"))</f>
        <v/>
      </c>
      <c r="O3845" s="11" t="str">
        <f aca="false">IF(N3845="N",ABS(J3845),"")</f>
        <v/>
      </c>
      <c r="P3845" s="18" t="str">
        <f aca="false">IF(N3845="N",B3845&amp;"|"&amp;ROUND(O3845,0),"")</f>
        <v/>
      </c>
      <c r="Q3845" s="18" t="str">
        <f aca="false">IF(N3845&lt;&gt;"Y","",IFERROR(INDEX($D$6:$D$4005,MATCH(B3845&amp;"|"&amp;ROUND(_xlfn.MAXIFS($O$6:$O$4005,$B$6:$B$4005,B3845,$N$6:$N$4005,"N"),0),$P$6:$P$4005,0)),"(tanpa lawan)"))</f>
        <v/>
      </c>
      <c r="R3845" s="44"/>
      <c r="S3845" s="9" t="str">
        <f aca="false">IF(N3845&lt;&gt;"Y","",IF(R3845&lt;&gt;"",R3845,IF(Q3845="(tanpa lawan)","Transfer antar rekening",IFERROR(INDEX(I_COA!$F$6:$F$265,MATCH(Q3845,I_COA!$A$6:$A$265,0)),"?"))))</f>
        <v/>
      </c>
    </row>
    <row r="3846" customFormat="false" ht="15" hidden="false" customHeight="false" outlineLevel="0" collapsed="false">
      <c r="A3846" s="37"/>
      <c r="B3846" s="44"/>
      <c r="C3846" s="44"/>
      <c r="D3846" s="44"/>
      <c r="E3846" s="44"/>
      <c r="F3846" s="44"/>
      <c r="G3846" s="42"/>
      <c r="H3846" s="42"/>
      <c r="I3846" s="44"/>
      <c r="J3846" s="11" t="str">
        <f aca="false">IF(D3846="","",N(G3846)-N(H3846))</f>
        <v/>
      </c>
      <c r="K3846" s="34" t="str">
        <f aca="false">IF(D3846="","",IFERROR(INDEX(I_COA!$C$6:$C$265,MATCH(D3846,I_COA!$A$6:$A$265,0)),"AKUN BARU"))</f>
        <v/>
      </c>
      <c r="L3846" s="34" t="str">
        <f aca="false">IF(K3846="LabaRugi",INDEX(I_COA!$D$6:$D$265,MATCH(D3846,I_COA!$A$6:$A$265,0)),"")</f>
        <v/>
      </c>
      <c r="M3846" s="34" t="str">
        <f aca="false">IF(K3846="Neraca",INDEX(I_COA!$E$6:$E$265,MATCH(D3846,I_COA!$A$6:$A$265,0)),"")</f>
        <v/>
      </c>
      <c r="N3846" s="34" t="str">
        <f aca="false">IF(D3846="","",IFERROR(INDEX(I_COA!$G$6:$G$265,MATCH(D3846,I_COA!$A$6:$A$265,0)),"N"))</f>
        <v/>
      </c>
      <c r="O3846" s="11" t="str">
        <f aca="false">IF(N3846="N",ABS(J3846),"")</f>
        <v/>
      </c>
      <c r="P3846" s="18" t="str">
        <f aca="false">IF(N3846="N",B3846&amp;"|"&amp;ROUND(O3846,0),"")</f>
        <v/>
      </c>
      <c r="Q3846" s="18" t="str">
        <f aca="false">IF(N3846&lt;&gt;"Y","",IFERROR(INDEX($D$6:$D$4005,MATCH(B3846&amp;"|"&amp;ROUND(_xlfn.MAXIFS($O$6:$O$4005,$B$6:$B$4005,B3846,$N$6:$N$4005,"N"),0),$P$6:$P$4005,0)),"(tanpa lawan)"))</f>
        <v/>
      </c>
      <c r="R3846" s="44"/>
      <c r="S3846" s="9" t="str">
        <f aca="false">IF(N3846&lt;&gt;"Y","",IF(R3846&lt;&gt;"",R3846,IF(Q3846="(tanpa lawan)","Transfer antar rekening",IFERROR(INDEX(I_COA!$F$6:$F$265,MATCH(Q3846,I_COA!$A$6:$A$265,0)),"?"))))</f>
        <v/>
      </c>
    </row>
    <row r="3847" customFormat="false" ht="15" hidden="false" customHeight="false" outlineLevel="0" collapsed="false">
      <c r="A3847" s="37"/>
      <c r="B3847" s="44"/>
      <c r="C3847" s="44"/>
      <c r="D3847" s="44"/>
      <c r="E3847" s="44"/>
      <c r="F3847" s="44"/>
      <c r="G3847" s="42"/>
      <c r="H3847" s="42"/>
      <c r="I3847" s="44"/>
      <c r="J3847" s="11" t="str">
        <f aca="false">IF(D3847="","",N(G3847)-N(H3847))</f>
        <v/>
      </c>
      <c r="K3847" s="34" t="str">
        <f aca="false">IF(D3847="","",IFERROR(INDEX(I_COA!$C$6:$C$265,MATCH(D3847,I_COA!$A$6:$A$265,0)),"AKUN BARU"))</f>
        <v/>
      </c>
      <c r="L3847" s="34" t="str">
        <f aca="false">IF(K3847="LabaRugi",INDEX(I_COA!$D$6:$D$265,MATCH(D3847,I_COA!$A$6:$A$265,0)),"")</f>
        <v/>
      </c>
      <c r="M3847" s="34" t="str">
        <f aca="false">IF(K3847="Neraca",INDEX(I_COA!$E$6:$E$265,MATCH(D3847,I_COA!$A$6:$A$265,0)),"")</f>
        <v/>
      </c>
      <c r="N3847" s="34" t="str">
        <f aca="false">IF(D3847="","",IFERROR(INDEX(I_COA!$G$6:$G$265,MATCH(D3847,I_COA!$A$6:$A$265,0)),"N"))</f>
        <v/>
      </c>
      <c r="O3847" s="11" t="str">
        <f aca="false">IF(N3847="N",ABS(J3847),"")</f>
        <v/>
      </c>
      <c r="P3847" s="18" t="str">
        <f aca="false">IF(N3847="N",B3847&amp;"|"&amp;ROUND(O3847,0),"")</f>
        <v/>
      </c>
      <c r="Q3847" s="18" t="str">
        <f aca="false">IF(N3847&lt;&gt;"Y","",IFERROR(INDEX($D$6:$D$4005,MATCH(B3847&amp;"|"&amp;ROUND(_xlfn.MAXIFS($O$6:$O$4005,$B$6:$B$4005,B3847,$N$6:$N$4005,"N"),0),$P$6:$P$4005,0)),"(tanpa lawan)"))</f>
        <v/>
      </c>
      <c r="R3847" s="44"/>
      <c r="S3847" s="9" t="str">
        <f aca="false">IF(N3847&lt;&gt;"Y","",IF(R3847&lt;&gt;"",R3847,IF(Q3847="(tanpa lawan)","Transfer antar rekening",IFERROR(INDEX(I_COA!$F$6:$F$265,MATCH(Q3847,I_COA!$A$6:$A$265,0)),"?"))))</f>
        <v/>
      </c>
    </row>
    <row r="3848" customFormat="false" ht="15" hidden="false" customHeight="false" outlineLevel="0" collapsed="false">
      <c r="A3848" s="37"/>
      <c r="B3848" s="44"/>
      <c r="C3848" s="44"/>
      <c r="D3848" s="44"/>
      <c r="E3848" s="44"/>
      <c r="F3848" s="44"/>
      <c r="G3848" s="42"/>
      <c r="H3848" s="42"/>
      <c r="I3848" s="44"/>
      <c r="J3848" s="11" t="str">
        <f aca="false">IF(D3848="","",N(G3848)-N(H3848))</f>
        <v/>
      </c>
      <c r="K3848" s="34" t="str">
        <f aca="false">IF(D3848="","",IFERROR(INDEX(I_COA!$C$6:$C$265,MATCH(D3848,I_COA!$A$6:$A$265,0)),"AKUN BARU"))</f>
        <v/>
      </c>
      <c r="L3848" s="34" t="str">
        <f aca="false">IF(K3848="LabaRugi",INDEX(I_COA!$D$6:$D$265,MATCH(D3848,I_COA!$A$6:$A$265,0)),"")</f>
        <v/>
      </c>
      <c r="M3848" s="34" t="str">
        <f aca="false">IF(K3848="Neraca",INDEX(I_COA!$E$6:$E$265,MATCH(D3848,I_COA!$A$6:$A$265,0)),"")</f>
        <v/>
      </c>
      <c r="N3848" s="34" t="str">
        <f aca="false">IF(D3848="","",IFERROR(INDEX(I_COA!$G$6:$G$265,MATCH(D3848,I_COA!$A$6:$A$265,0)),"N"))</f>
        <v/>
      </c>
      <c r="O3848" s="11" t="str">
        <f aca="false">IF(N3848="N",ABS(J3848),"")</f>
        <v/>
      </c>
      <c r="P3848" s="18" t="str">
        <f aca="false">IF(N3848="N",B3848&amp;"|"&amp;ROUND(O3848,0),"")</f>
        <v/>
      </c>
      <c r="Q3848" s="18" t="str">
        <f aca="false">IF(N3848&lt;&gt;"Y","",IFERROR(INDEX($D$6:$D$4005,MATCH(B3848&amp;"|"&amp;ROUND(_xlfn.MAXIFS($O$6:$O$4005,$B$6:$B$4005,B3848,$N$6:$N$4005,"N"),0),$P$6:$P$4005,0)),"(tanpa lawan)"))</f>
        <v/>
      </c>
      <c r="R3848" s="44"/>
      <c r="S3848" s="9" t="str">
        <f aca="false">IF(N3848&lt;&gt;"Y","",IF(R3848&lt;&gt;"",R3848,IF(Q3848="(tanpa lawan)","Transfer antar rekening",IFERROR(INDEX(I_COA!$F$6:$F$265,MATCH(Q3848,I_COA!$A$6:$A$265,0)),"?"))))</f>
        <v/>
      </c>
    </row>
    <row r="3849" customFormat="false" ht="15" hidden="false" customHeight="false" outlineLevel="0" collapsed="false">
      <c r="A3849" s="37"/>
      <c r="B3849" s="44"/>
      <c r="C3849" s="44"/>
      <c r="D3849" s="44"/>
      <c r="E3849" s="44"/>
      <c r="F3849" s="44"/>
      <c r="G3849" s="42"/>
      <c r="H3849" s="42"/>
      <c r="I3849" s="44"/>
      <c r="J3849" s="11" t="str">
        <f aca="false">IF(D3849="","",N(G3849)-N(H3849))</f>
        <v/>
      </c>
      <c r="K3849" s="34" t="str">
        <f aca="false">IF(D3849="","",IFERROR(INDEX(I_COA!$C$6:$C$265,MATCH(D3849,I_COA!$A$6:$A$265,0)),"AKUN BARU"))</f>
        <v/>
      </c>
      <c r="L3849" s="34" t="str">
        <f aca="false">IF(K3849="LabaRugi",INDEX(I_COA!$D$6:$D$265,MATCH(D3849,I_COA!$A$6:$A$265,0)),"")</f>
        <v/>
      </c>
      <c r="M3849" s="34" t="str">
        <f aca="false">IF(K3849="Neraca",INDEX(I_COA!$E$6:$E$265,MATCH(D3849,I_COA!$A$6:$A$265,0)),"")</f>
        <v/>
      </c>
      <c r="N3849" s="34" t="str">
        <f aca="false">IF(D3849="","",IFERROR(INDEX(I_COA!$G$6:$G$265,MATCH(D3849,I_COA!$A$6:$A$265,0)),"N"))</f>
        <v/>
      </c>
      <c r="O3849" s="11" t="str">
        <f aca="false">IF(N3849="N",ABS(J3849),"")</f>
        <v/>
      </c>
      <c r="P3849" s="18" t="str">
        <f aca="false">IF(N3849="N",B3849&amp;"|"&amp;ROUND(O3849,0),"")</f>
        <v/>
      </c>
      <c r="Q3849" s="18" t="str">
        <f aca="false">IF(N3849&lt;&gt;"Y","",IFERROR(INDEX($D$6:$D$4005,MATCH(B3849&amp;"|"&amp;ROUND(_xlfn.MAXIFS($O$6:$O$4005,$B$6:$B$4005,B3849,$N$6:$N$4005,"N"),0),$P$6:$P$4005,0)),"(tanpa lawan)"))</f>
        <v/>
      </c>
      <c r="R3849" s="44"/>
      <c r="S3849" s="9" t="str">
        <f aca="false">IF(N3849&lt;&gt;"Y","",IF(R3849&lt;&gt;"",R3849,IF(Q3849="(tanpa lawan)","Transfer antar rekening",IFERROR(INDEX(I_COA!$F$6:$F$265,MATCH(Q3849,I_COA!$A$6:$A$265,0)),"?"))))</f>
        <v/>
      </c>
    </row>
    <row r="3850" customFormat="false" ht="15" hidden="false" customHeight="false" outlineLevel="0" collapsed="false">
      <c r="A3850" s="37"/>
      <c r="B3850" s="44"/>
      <c r="C3850" s="44"/>
      <c r="D3850" s="44"/>
      <c r="E3850" s="44"/>
      <c r="F3850" s="44"/>
      <c r="G3850" s="42"/>
      <c r="H3850" s="42"/>
      <c r="I3850" s="44"/>
      <c r="J3850" s="11" t="str">
        <f aca="false">IF(D3850="","",N(G3850)-N(H3850))</f>
        <v/>
      </c>
      <c r="K3850" s="34" t="str">
        <f aca="false">IF(D3850="","",IFERROR(INDEX(I_COA!$C$6:$C$265,MATCH(D3850,I_COA!$A$6:$A$265,0)),"AKUN BARU"))</f>
        <v/>
      </c>
      <c r="L3850" s="34" t="str">
        <f aca="false">IF(K3850="LabaRugi",INDEX(I_COA!$D$6:$D$265,MATCH(D3850,I_COA!$A$6:$A$265,0)),"")</f>
        <v/>
      </c>
      <c r="M3850" s="34" t="str">
        <f aca="false">IF(K3850="Neraca",INDEX(I_COA!$E$6:$E$265,MATCH(D3850,I_COA!$A$6:$A$265,0)),"")</f>
        <v/>
      </c>
      <c r="N3850" s="34" t="str">
        <f aca="false">IF(D3850="","",IFERROR(INDEX(I_COA!$G$6:$G$265,MATCH(D3850,I_COA!$A$6:$A$265,0)),"N"))</f>
        <v/>
      </c>
      <c r="O3850" s="11" t="str">
        <f aca="false">IF(N3850="N",ABS(J3850),"")</f>
        <v/>
      </c>
      <c r="P3850" s="18" t="str">
        <f aca="false">IF(N3850="N",B3850&amp;"|"&amp;ROUND(O3850,0),"")</f>
        <v/>
      </c>
      <c r="Q3850" s="18" t="str">
        <f aca="false">IF(N3850&lt;&gt;"Y","",IFERROR(INDEX($D$6:$D$4005,MATCH(B3850&amp;"|"&amp;ROUND(_xlfn.MAXIFS($O$6:$O$4005,$B$6:$B$4005,B3850,$N$6:$N$4005,"N"),0),$P$6:$P$4005,0)),"(tanpa lawan)"))</f>
        <v/>
      </c>
      <c r="R3850" s="44"/>
      <c r="S3850" s="9" t="str">
        <f aca="false">IF(N3850&lt;&gt;"Y","",IF(R3850&lt;&gt;"",R3850,IF(Q3850="(tanpa lawan)","Transfer antar rekening",IFERROR(INDEX(I_COA!$F$6:$F$265,MATCH(Q3850,I_COA!$A$6:$A$265,0)),"?"))))</f>
        <v/>
      </c>
    </row>
    <row r="3851" customFormat="false" ht="15" hidden="false" customHeight="false" outlineLevel="0" collapsed="false">
      <c r="A3851" s="37"/>
      <c r="B3851" s="44"/>
      <c r="C3851" s="44"/>
      <c r="D3851" s="44"/>
      <c r="E3851" s="44"/>
      <c r="F3851" s="44"/>
      <c r="G3851" s="42"/>
      <c r="H3851" s="42"/>
      <c r="I3851" s="44"/>
      <c r="J3851" s="11" t="str">
        <f aca="false">IF(D3851="","",N(G3851)-N(H3851))</f>
        <v/>
      </c>
      <c r="K3851" s="34" t="str">
        <f aca="false">IF(D3851="","",IFERROR(INDEX(I_COA!$C$6:$C$265,MATCH(D3851,I_COA!$A$6:$A$265,0)),"AKUN BARU"))</f>
        <v/>
      </c>
      <c r="L3851" s="34" t="str">
        <f aca="false">IF(K3851="LabaRugi",INDEX(I_COA!$D$6:$D$265,MATCH(D3851,I_COA!$A$6:$A$265,0)),"")</f>
        <v/>
      </c>
      <c r="M3851" s="34" t="str">
        <f aca="false">IF(K3851="Neraca",INDEX(I_COA!$E$6:$E$265,MATCH(D3851,I_COA!$A$6:$A$265,0)),"")</f>
        <v/>
      </c>
      <c r="N3851" s="34" t="str">
        <f aca="false">IF(D3851="","",IFERROR(INDEX(I_COA!$G$6:$G$265,MATCH(D3851,I_COA!$A$6:$A$265,0)),"N"))</f>
        <v/>
      </c>
      <c r="O3851" s="11" t="str">
        <f aca="false">IF(N3851="N",ABS(J3851),"")</f>
        <v/>
      </c>
      <c r="P3851" s="18" t="str">
        <f aca="false">IF(N3851="N",B3851&amp;"|"&amp;ROUND(O3851,0),"")</f>
        <v/>
      </c>
      <c r="Q3851" s="18" t="str">
        <f aca="false">IF(N3851&lt;&gt;"Y","",IFERROR(INDEX($D$6:$D$4005,MATCH(B3851&amp;"|"&amp;ROUND(_xlfn.MAXIFS($O$6:$O$4005,$B$6:$B$4005,B3851,$N$6:$N$4005,"N"),0),$P$6:$P$4005,0)),"(tanpa lawan)"))</f>
        <v/>
      </c>
      <c r="R3851" s="44"/>
      <c r="S3851" s="9" t="str">
        <f aca="false">IF(N3851&lt;&gt;"Y","",IF(R3851&lt;&gt;"",R3851,IF(Q3851="(tanpa lawan)","Transfer antar rekening",IFERROR(INDEX(I_COA!$F$6:$F$265,MATCH(Q3851,I_COA!$A$6:$A$265,0)),"?"))))</f>
        <v/>
      </c>
    </row>
    <row r="3852" customFormat="false" ht="15" hidden="false" customHeight="false" outlineLevel="0" collapsed="false">
      <c r="A3852" s="37"/>
      <c r="B3852" s="44"/>
      <c r="C3852" s="44"/>
      <c r="D3852" s="44"/>
      <c r="E3852" s="44"/>
      <c r="F3852" s="44"/>
      <c r="G3852" s="42"/>
      <c r="H3852" s="42"/>
      <c r="I3852" s="44"/>
      <c r="J3852" s="11" t="str">
        <f aca="false">IF(D3852="","",N(G3852)-N(H3852))</f>
        <v/>
      </c>
      <c r="K3852" s="34" t="str">
        <f aca="false">IF(D3852="","",IFERROR(INDEX(I_COA!$C$6:$C$265,MATCH(D3852,I_COA!$A$6:$A$265,0)),"AKUN BARU"))</f>
        <v/>
      </c>
      <c r="L3852" s="34" t="str">
        <f aca="false">IF(K3852="LabaRugi",INDEX(I_COA!$D$6:$D$265,MATCH(D3852,I_COA!$A$6:$A$265,0)),"")</f>
        <v/>
      </c>
      <c r="M3852" s="34" t="str">
        <f aca="false">IF(K3852="Neraca",INDEX(I_COA!$E$6:$E$265,MATCH(D3852,I_COA!$A$6:$A$265,0)),"")</f>
        <v/>
      </c>
      <c r="N3852" s="34" t="str">
        <f aca="false">IF(D3852="","",IFERROR(INDEX(I_COA!$G$6:$G$265,MATCH(D3852,I_COA!$A$6:$A$265,0)),"N"))</f>
        <v/>
      </c>
      <c r="O3852" s="11" t="str">
        <f aca="false">IF(N3852="N",ABS(J3852),"")</f>
        <v/>
      </c>
      <c r="P3852" s="18" t="str">
        <f aca="false">IF(N3852="N",B3852&amp;"|"&amp;ROUND(O3852,0),"")</f>
        <v/>
      </c>
      <c r="Q3852" s="18" t="str">
        <f aca="false">IF(N3852&lt;&gt;"Y","",IFERROR(INDEX($D$6:$D$4005,MATCH(B3852&amp;"|"&amp;ROUND(_xlfn.MAXIFS($O$6:$O$4005,$B$6:$B$4005,B3852,$N$6:$N$4005,"N"),0),$P$6:$P$4005,0)),"(tanpa lawan)"))</f>
        <v/>
      </c>
      <c r="R3852" s="44"/>
      <c r="S3852" s="9" t="str">
        <f aca="false">IF(N3852&lt;&gt;"Y","",IF(R3852&lt;&gt;"",R3852,IF(Q3852="(tanpa lawan)","Transfer antar rekening",IFERROR(INDEX(I_COA!$F$6:$F$265,MATCH(Q3852,I_COA!$A$6:$A$265,0)),"?"))))</f>
        <v/>
      </c>
    </row>
    <row r="3853" customFormat="false" ht="15" hidden="false" customHeight="false" outlineLevel="0" collapsed="false">
      <c r="A3853" s="37"/>
      <c r="B3853" s="44"/>
      <c r="C3853" s="44"/>
      <c r="D3853" s="44"/>
      <c r="E3853" s="44"/>
      <c r="F3853" s="44"/>
      <c r="G3853" s="42"/>
      <c r="H3853" s="42"/>
      <c r="I3853" s="44"/>
      <c r="J3853" s="11" t="str">
        <f aca="false">IF(D3853="","",N(G3853)-N(H3853))</f>
        <v/>
      </c>
      <c r="K3853" s="34" t="str">
        <f aca="false">IF(D3853="","",IFERROR(INDEX(I_COA!$C$6:$C$265,MATCH(D3853,I_COA!$A$6:$A$265,0)),"AKUN BARU"))</f>
        <v/>
      </c>
      <c r="L3853" s="34" t="str">
        <f aca="false">IF(K3853="LabaRugi",INDEX(I_COA!$D$6:$D$265,MATCH(D3853,I_COA!$A$6:$A$265,0)),"")</f>
        <v/>
      </c>
      <c r="M3853" s="34" t="str">
        <f aca="false">IF(K3853="Neraca",INDEX(I_COA!$E$6:$E$265,MATCH(D3853,I_COA!$A$6:$A$265,0)),"")</f>
        <v/>
      </c>
      <c r="N3853" s="34" t="str">
        <f aca="false">IF(D3853="","",IFERROR(INDEX(I_COA!$G$6:$G$265,MATCH(D3853,I_COA!$A$6:$A$265,0)),"N"))</f>
        <v/>
      </c>
      <c r="O3853" s="11" t="str">
        <f aca="false">IF(N3853="N",ABS(J3853),"")</f>
        <v/>
      </c>
      <c r="P3853" s="18" t="str">
        <f aca="false">IF(N3853="N",B3853&amp;"|"&amp;ROUND(O3853,0),"")</f>
        <v/>
      </c>
      <c r="Q3853" s="18" t="str">
        <f aca="false">IF(N3853&lt;&gt;"Y","",IFERROR(INDEX($D$6:$D$4005,MATCH(B3853&amp;"|"&amp;ROUND(_xlfn.MAXIFS($O$6:$O$4005,$B$6:$B$4005,B3853,$N$6:$N$4005,"N"),0),$P$6:$P$4005,0)),"(tanpa lawan)"))</f>
        <v/>
      </c>
      <c r="R3853" s="44"/>
      <c r="S3853" s="9" t="str">
        <f aca="false">IF(N3853&lt;&gt;"Y","",IF(R3853&lt;&gt;"",R3853,IF(Q3853="(tanpa lawan)","Transfer antar rekening",IFERROR(INDEX(I_COA!$F$6:$F$265,MATCH(Q3853,I_COA!$A$6:$A$265,0)),"?"))))</f>
        <v/>
      </c>
    </row>
    <row r="3854" customFormat="false" ht="15" hidden="false" customHeight="false" outlineLevel="0" collapsed="false">
      <c r="A3854" s="37"/>
      <c r="B3854" s="44"/>
      <c r="C3854" s="44"/>
      <c r="D3854" s="44"/>
      <c r="E3854" s="44"/>
      <c r="F3854" s="44"/>
      <c r="G3854" s="42"/>
      <c r="H3854" s="42"/>
      <c r="I3854" s="44"/>
      <c r="J3854" s="11" t="str">
        <f aca="false">IF(D3854="","",N(G3854)-N(H3854))</f>
        <v/>
      </c>
      <c r="K3854" s="34" t="str">
        <f aca="false">IF(D3854="","",IFERROR(INDEX(I_COA!$C$6:$C$265,MATCH(D3854,I_COA!$A$6:$A$265,0)),"AKUN BARU"))</f>
        <v/>
      </c>
      <c r="L3854" s="34" t="str">
        <f aca="false">IF(K3854="LabaRugi",INDEX(I_COA!$D$6:$D$265,MATCH(D3854,I_COA!$A$6:$A$265,0)),"")</f>
        <v/>
      </c>
      <c r="M3854" s="34" t="str">
        <f aca="false">IF(K3854="Neraca",INDEX(I_COA!$E$6:$E$265,MATCH(D3854,I_COA!$A$6:$A$265,0)),"")</f>
        <v/>
      </c>
      <c r="N3854" s="34" t="str">
        <f aca="false">IF(D3854="","",IFERROR(INDEX(I_COA!$G$6:$G$265,MATCH(D3854,I_COA!$A$6:$A$265,0)),"N"))</f>
        <v/>
      </c>
      <c r="O3854" s="11" t="str">
        <f aca="false">IF(N3854="N",ABS(J3854),"")</f>
        <v/>
      </c>
      <c r="P3854" s="18" t="str">
        <f aca="false">IF(N3854="N",B3854&amp;"|"&amp;ROUND(O3854,0),"")</f>
        <v/>
      </c>
      <c r="Q3854" s="18" t="str">
        <f aca="false">IF(N3854&lt;&gt;"Y","",IFERROR(INDEX($D$6:$D$4005,MATCH(B3854&amp;"|"&amp;ROUND(_xlfn.MAXIFS($O$6:$O$4005,$B$6:$B$4005,B3854,$N$6:$N$4005,"N"),0),$P$6:$P$4005,0)),"(tanpa lawan)"))</f>
        <v/>
      </c>
      <c r="R3854" s="44"/>
      <c r="S3854" s="9" t="str">
        <f aca="false">IF(N3854&lt;&gt;"Y","",IF(R3854&lt;&gt;"",R3854,IF(Q3854="(tanpa lawan)","Transfer antar rekening",IFERROR(INDEX(I_COA!$F$6:$F$265,MATCH(Q3854,I_COA!$A$6:$A$265,0)),"?"))))</f>
        <v/>
      </c>
    </row>
    <row r="3855" customFormat="false" ht="15" hidden="false" customHeight="false" outlineLevel="0" collapsed="false">
      <c r="A3855" s="37"/>
      <c r="B3855" s="44"/>
      <c r="C3855" s="44"/>
      <c r="D3855" s="44"/>
      <c r="E3855" s="44"/>
      <c r="F3855" s="44"/>
      <c r="G3855" s="42"/>
      <c r="H3855" s="42"/>
      <c r="I3855" s="44"/>
      <c r="J3855" s="11" t="str">
        <f aca="false">IF(D3855="","",N(G3855)-N(H3855))</f>
        <v/>
      </c>
      <c r="K3855" s="34" t="str">
        <f aca="false">IF(D3855="","",IFERROR(INDEX(I_COA!$C$6:$C$265,MATCH(D3855,I_COA!$A$6:$A$265,0)),"AKUN BARU"))</f>
        <v/>
      </c>
      <c r="L3855" s="34" t="str">
        <f aca="false">IF(K3855="LabaRugi",INDEX(I_COA!$D$6:$D$265,MATCH(D3855,I_COA!$A$6:$A$265,0)),"")</f>
        <v/>
      </c>
      <c r="M3855" s="34" t="str">
        <f aca="false">IF(K3855="Neraca",INDEX(I_COA!$E$6:$E$265,MATCH(D3855,I_COA!$A$6:$A$265,0)),"")</f>
        <v/>
      </c>
      <c r="N3855" s="34" t="str">
        <f aca="false">IF(D3855="","",IFERROR(INDEX(I_COA!$G$6:$G$265,MATCH(D3855,I_COA!$A$6:$A$265,0)),"N"))</f>
        <v/>
      </c>
      <c r="O3855" s="11" t="str">
        <f aca="false">IF(N3855="N",ABS(J3855),"")</f>
        <v/>
      </c>
      <c r="P3855" s="18" t="str">
        <f aca="false">IF(N3855="N",B3855&amp;"|"&amp;ROUND(O3855,0),"")</f>
        <v/>
      </c>
      <c r="Q3855" s="18" t="str">
        <f aca="false">IF(N3855&lt;&gt;"Y","",IFERROR(INDEX($D$6:$D$4005,MATCH(B3855&amp;"|"&amp;ROUND(_xlfn.MAXIFS($O$6:$O$4005,$B$6:$B$4005,B3855,$N$6:$N$4005,"N"),0),$P$6:$P$4005,0)),"(tanpa lawan)"))</f>
        <v/>
      </c>
      <c r="R3855" s="44"/>
      <c r="S3855" s="9" t="str">
        <f aca="false">IF(N3855&lt;&gt;"Y","",IF(R3855&lt;&gt;"",R3855,IF(Q3855="(tanpa lawan)","Transfer antar rekening",IFERROR(INDEX(I_COA!$F$6:$F$265,MATCH(Q3855,I_COA!$A$6:$A$265,0)),"?"))))</f>
        <v/>
      </c>
    </row>
    <row r="3856" customFormat="false" ht="15" hidden="false" customHeight="false" outlineLevel="0" collapsed="false">
      <c r="A3856" s="37"/>
      <c r="B3856" s="44"/>
      <c r="C3856" s="44"/>
      <c r="D3856" s="44"/>
      <c r="E3856" s="44"/>
      <c r="F3856" s="44"/>
      <c r="G3856" s="42"/>
      <c r="H3856" s="42"/>
      <c r="I3856" s="44"/>
      <c r="J3856" s="11" t="str">
        <f aca="false">IF(D3856="","",N(G3856)-N(H3856))</f>
        <v/>
      </c>
      <c r="K3856" s="34" t="str">
        <f aca="false">IF(D3856="","",IFERROR(INDEX(I_COA!$C$6:$C$265,MATCH(D3856,I_COA!$A$6:$A$265,0)),"AKUN BARU"))</f>
        <v/>
      </c>
      <c r="L3856" s="34" t="str">
        <f aca="false">IF(K3856="LabaRugi",INDEX(I_COA!$D$6:$D$265,MATCH(D3856,I_COA!$A$6:$A$265,0)),"")</f>
        <v/>
      </c>
      <c r="M3856" s="34" t="str">
        <f aca="false">IF(K3856="Neraca",INDEX(I_COA!$E$6:$E$265,MATCH(D3856,I_COA!$A$6:$A$265,0)),"")</f>
        <v/>
      </c>
      <c r="N3856" s="34" t="str">
        <f aca="false">IF(D3856="","",IFERROR(INDEX(I_COA!$G$6:$G$265,MATCH(D3856,I_COA!$A$6:$A$265,0)),"N"))</f>
        <v/>
      </c>
      <c r="O3856" s="11" t="str">
        <f aca="false">IF(N3856="N",ABS(J3856),"")</f>
        <v/>
      </c>
      <c r="P3856" s="18" t="str">
        <f aca="false">IF(N3856="N",B3856&amp;"|"&amp;ROUND(O3856,0),"")</f>
        <v/>
      </c>
      <c r="Q3856" s="18" t="str">
        <f aca="false">IF(N3856&lt;&gt;"Y","",IFERROR(INDEX($D$6:$D$4005,MATCH(B3856&amp;"|"&amp;ROUND(_xlfn.MAXIFS($O$6:$O$4005,$B$6:$B$4005,B3856,$N$6:$N$4005,"N"),0),$P$6:$P$4005,0)),"(tanpa lawan)"))</f>
        <v/>
      </c>
      <c r="R3856" s="44"/>
      <c r="S3856" s="9" t="str">
        <f aca="false">IF(N3856&lt;&gt;"Y","",IF(R3856&lt;&gt;"",R3856,IF(Q3856="(tanpa lawan)","Transfer antar rekening",IFERROR(INDEX(I_COA!$F$6:$F$265,MATCH(Q3856,I_COA!$A$6:$A$265,0)),"?"))))</f>
        <v/>
      </c>
    </row>
    <row r="3857" customFormat="false" ht="15" hidden="false" customHeight="false" outlineLevel="0" collapsed="false">
      <c r="A3857" s="37"/>
      <c r="B3857" s="44"/>
      <c r="C3857" s="44"/>
      <c r="D3857" s="44"/>
      <c r="E3857" s="44"/>
      <c r="F3857" s="44"/>
      <c r="G3857" s="42"/>
      <c r="H3857" s="42"/>
      <c r="I3857" s="44"/>
      <c r="J3857" s="11" t="str">
        <f aca="false">IF(D3857="","",N(G3857)-N(H3857))</f>
        <v/>
      </c>
      <c r="K3857" s="34" t="str">
        <f aca="false">IF(D3857="","",IFERROR(INDEX(I_COA!$C$6:$C$265,MATCH(D3857,I_COA!$A$6:$A$265,0)),"AKUN BARU"))</f>
        <v/>
      </c>
      <c r="L3857" s="34" t="str">
        <f aca="false">IF(K3857="LabaRugi",INDEX(I_COA!$D$6:$D$265,MATCH(D3857,I_COA!$A$6:$A$265,0)),"")</f>
        <v/>
      </c>
      <c r="M3857" s="34" t="str">
        <f aca="false">IF(K3857="Neraca",INDEX(I_COA!$E$6:$E$265,MATCH(D3857,I_COA!$A$6:$A$265,0)),"")</f>
        <v/>
      </c>
      <c r="N3857" s="34" t="str">
        <f aca="false">IF(D3857="","",IFERROR(INDEX(I_COA!$G$6:$G$265,MATCH(D3857,I_COA!$A$6:$A$265,0)),"N"))</f>
        <v/>
      </c>
      <c r="O3857" s="11" t="str">
        <f aca="false">IF(N3857="N",ABS(J3857),"")</f>
        <v/>
      </c>
      <c r="P3857" s="18" t="str">
        <f aca="false">IF(N3857="N",B3857&amp;"|"&amp;ROUND(O3857,0),"")</f>
        <v/>
      </c>
      <c r="Q3857" s="18" t="str">
        <f aca="false">IF(N3857&lt;&gt;"Y","",IFERROR(INDEX($D$6:$D$4005,MATCH(B3857&amp;"|"&amp;ROUND(_xlfn.MAXIFS($O$6:$O$4005,$B$6:$B$4005,B3857,$N$6:$N$4005,"N"),0),$P$6:$P$4005,0)),"(tanpa lawan)"))</f>
        <v/>
      </c>
      <c r="R3857" s="44"/>
      <c r="S3857" s="9" t="str">
        <f aca="false">IF(N3857&lt;&gt;"Y","",IF(R3857&lt;&gt;"",R3857,IF(Q3857="(tanpa lawan)","Transfer antar rekening",IFERROR(INDEX(I_COA!$F$6:$F$265,MATCH(Q3857,I_COA!$A$6:$A$265,0)),"?"))))</f>
        <v/>
      </c>
    </row>
    <row r="3858" customFormat="false" ht="15" hidden="false" customHeight="false" outlineLevel="0" collapsed="false">
      <c r="A3858" s="37"/>
      <c r="B3858" s="44"/>
      <c r="C3858" s="44"/>
      <c r="D3858" s="44"/>
      <c r="E3858" s="44"/>
      <c r="F3858" s="44"/>
      <c r="G3858" s="42"/>
      <c r="H3858" s="42"/>
      <c r="I3858" s="44"/>
      <c r="J3858" s="11" t="str">
        <f aca="false">IF(D3858="","",N(G3858)-N(H3858))</f>
        <v/>
      </c>
      <c r="K3858" s="34" t="str">
        <f aca="false">IF(D3858="","",IFERROR(INDEX(I_COA!$C$6:$C$265,MATCH(D3858,I_COA!$A$6:$A$265,0)),"AKUN BARU"))</f>
        <v/>
      </c>
      <c r="L3858" s="34" t="str">
        <f aca="false">IF(K3858="LabaRugi",INDEX(I_COA!$D$6:$D$265,MATCH(D3858,I_COA!$A$6:$A$265,0)),"")</f>
        <v/>
      </c>
      <c r="M3858" s="34" t="str">
        <f aca="false">IF(K3858="Neraca",INDEX(I_COA!$E$6:$E$265,MATCH(D3858,I_COA!$A$6:$A$265,0)),"")</f>
        <v/>
      </c>
      <c r="N3858" s="34" t="str">
        <f aca="false">IF(D3858="","",IFERROR(INDEX(I_COA!$G$6:$G$265,MATCH(D3858,I_COA!$A$6:$A$265,0)),"N"))</f>
        <v/>
      </c>
      <c r="O3858" s="11" t="str">
        <f aca="false">IF(N3858="N",ABS(J3858),"")</f>
        <v/>
      </c>
      <c r="P3858" s="18" t="str">
        <f aca="false">IF(N3858="N",B3858&amp;"|"&amp;ROUND(O3858,0),"")</f>
        <v/>
      </c>
      <c r="Q3858" s="18" t="str">
        <f aca="false">IF(N3858&lt;&gt;"Y","",IFERROR(INDEX($D$6:$D$4005,MATCH(B3858&amp;"|"&amp;ROUND(_xlfn.MAXIFS($O$6:$O$4005,$B$6:$B$4005,B3858,$N$6:$N$4005,"N"),0),$P$6:$P$4005,0)),"(tanpa lawan)"))</f>
        <v/>
      </c>
      <c r="R3858" s="44"/>
      <c r="S3858" s="9" t="str">
        <f aca="false">IF(N3858&lt;&gt;"Y","",IF(R3858&lt;&gt;"",R3858,IF(Q3858="(tanpa lawan)","Transfer antar rekening",IFERROR(INDEX(I_COA!$F$6:$F$265,MATCH(Q3858,I_COA!$A$6:$A$265,0)),"?"))))</f>
        <v/>
      </c>
    </row>
    <row r="3859" customFormat="false" ht="15" hidden="false" customHeight="false" outlineLevel="0" collapsed="false">
      <c r="A3859" s="37"/>
      <c r="B3859" s="44"/>
      <c r="C3859" s="44"/>
      <c r="D3859" s="44"/>
      <c r="E3859" s="44"/>
      <c r="F3859" s="44"/>
      <c r="G3859" s="42"/>
      <c r="H3859" s="42"/>
      <c r="I3859" s="44"/>
      <c r="J3859" s="11" t="str">
        <f aca="false">IF(D3859="","",N(G3859)-N(H3859))</f>
        <v/>
      </c>
      <c r="K3859" s="34" t="str">
        <f aca="false">IF(D3859="","",IFERROR(INDEX(I_COA!$C$6:$C$265,MATCH(D3859,I_COA!$A$6:$A$265,0)),"AKUN BARU"))</f>
        <v/>
      </c>
      <c r="L3859" s="34" t="str">
        <f aca="false">IF(K3859="LabaRugi",INDEX(I_COA!$D$6:$D$265,MATCH(D3859,I_COA!$A$6:$A$265,0)),"")</f>
        <v/>
      </c>
      <c r="M3859" s="34" t="str">
        <f aca="false">IF(K3859="Neraca",INDEX(I_COA!$E$6:$E$265,MATCH(D3859,I_COA!$A$6:$A$265,0)),"")</f>
        <v/>
      </c>
      <c r="N3859" s="34" t="str">
        <f aca="false">IF(D3859="","",IFERROR(INDEX(I_COA!$G$6:$G$265,MATCH(D3859,I_COA!$A$6:$A$265,0)),"N"))</f>
        <v/>
      </c>
      <c r="O3859" s="11" t="str">
        <f aca="false">IF(N3859="N",ABS(J3859),"")</f>
        <v/>
      </c>
      <c r="P3859" s="18" t="str">
        <f aca="false">IF(N3859="N",B3859&amp;"|"&amp;ROUND(O3859,0),"")</f>
        <v/>
      </c>
      <c r="Q3859" s="18" t="str">
        <f aca="false">IF(N3859&lt;&gt;"Y","",IFERROR(INDEX($D$6:$D$4005,MATCH(B3859&amp;"|"&amp;ROUND(_xlfn.MAXIFS($O$6:$O$4005,$B$6:$B$4005,B3859,$N$6:$N$4005,"N"),0),$P$6:$P$4005,0)),"(tanpa lawan)"))</f>
        <v/>
      </c>
      <c r="R3859" s="44"/>
      <c r="S3859" s="9" t="str">
        <f aca="false">IF(N3859&lt;&gt;"Y","",IF(R3859&lt;&gt;"",R3859,IF(Q3859="(tanpa lawan)","Transfer antar rekening",IFERROR(INDEX(I_COA!$F$6:$F$265,MATCH(Q3859,I_COA!$A$6:$A$265,0)),"?"))))</f>
        <v/>
      </c>
    </row>
    <row r="3860" customFormat="false" ht="15" hidden="false" customHeight="false" outlineLevel="0" collapsed="false">
      <c r="A3860" s="37"/>
      <c r="B3860" s="44"/>
      <c r="C3860" s="44"/>
      <c r="D3860" s="44"/>
      <c r="E3860" s="44"/>
      <c r="F3860" s="44"/>
      <c r="G3860" s="42"/>
      <c r="H3860" s="42"/>
      <c r="I3860" s="44"/>
      <c r="J3860" s="11" t="str">
        <f aca="false">IF(D3860="","",N(G3860)-N(H3860))</f>
        <v/>
      </c>
      <c r="K3860" s="34" t="str">
        <f aca="false">IF(D3860="","",IFERROR(INDEX(I_COA!$C$6:$C$265,MATCH(D3860,I_COA!$A$6:$A$265,0)),"AKUN BARU"))</f>
        <v/>
      </c>
      <c r="L3860" s="34" t="str">
        <f aca="false">IF(K3860="LabaRugi",INDEX(I_COA!$D$6:$D$265,MATCH(D3860,I_COA!$A$6:$A$265,0)),"")</f>
        <v/>
      </c>
      <c r="M3860" s="34" t="str">
        <f aca="false">IF(K3860="Neraca",INDEX(I_COA!$E$6:$E$265,MATCH(D3860,I_COA!$A$6:$A$265,0)),"")</f>
        <v/>
      </c>
      <c r="N3860" s="34" t="str">
        <f aca="false">IF(D3860="","",IFERROR(INDEX(I_COA!$G$6:$G$265,MATCH(D3860,I_COA!$A$6:$A$265,0)),"N"))</f>
        <v/>
      </c>
      <c r="O3860" s="11" t="str">
        <f aca="false">IF(N3860="N",ABS(J3860),"")</f>
        <v/>
      </c>
      <c r="P3860" s="18" t="str">
        <f aca="false">IF(N3860="N",B3860&amp;"|"&amp;ROUND(O3860,0),"")</f>
        <v/>
      </c>
      <c r="Q3860" s="18" t="str">
        <f aca="false">IF(N3860&lt;&gt;"Y","",IFERROR(INDEX($D$6:$D$4005,MATCH(B3860&amp;"|"&amp;ROUND(_xlfn.MAXIFS($O$6:$O$4005,$B$6:$B$4005,B3860,$N$6:$N$4005,"N"),0),$P$6:$P$4005,0)),"(tanpa lawan)"))</f>
        <v/>
      </c>
      <c r="R3860" s="44"/>
      <c r="S3860" s="9" t="str">
        <f aca="false">IF(N3860&lt;&gt;"Y","",IF(R3860&lt;&gt;"",R3860,IF(Q3860="(tanpa lawan)","Transfer antar rekening",IFERROR(INDEX(I_COA!$F$6:$F$265,MATCH(Q3860,I_COA!$A$6:$A$265,0)),"?"))))</f>
        <v/>
      </c>
    </row>
    <row r="3861" customFormat="false" ht="15" hidden="false" customHeight="false" outlineLevel="0" collapsed="false">
      <c r="A3861" s="37"/>
      <c r="B3861" s="44"/>
      <c r="C3861" s="44"/>
      <c r="D3861" s="44"/>
      <c r="E3861" s="44"/>
      <c r="F3861" s="44"/>
      <c r="G3861" s="42"/>
      <c r="H3861" s="42"/>
      <c r="I3861" s="44"/>
      <c r="J3861" s="11" t="str">
        <f aca="false">IF(D3861="","",N(G3861)-N(H3861))</f>
        <v/>
      </c>
      <c r="K3861" s="34" t="str">
        <f aca="false">IF(D3861="","",IFERROR(INDEX(I_COA!$C$6:$C$265,MATCH(D3861,I_COA!$A$6:$A$265,0)),"AKUN BARU"))</f>
        <v/>
      </c>
      <c r="L3861" s="34" t="str">
        <f aca="false">IF(K3861="LabaRugi",INDEX(I_COA!$D$6:$D$265,MATCH(D3861,I_COA!$A$6:$A$265,0)),"")</f>
        <v/>
      </c>
      <c r="M3861" s="34" t="str">
        <f aca="false">IF(K3861="Neraca",INDEX(I_COA!$E$6:$E$265,MATCH(D3861,I_COA!$A$6:$A$265,0)),"")</f>
        <v/>
      </c>
      <c r="N3861" s="34" t="str">
        <f aca="false">IF(D3861="","",IFERROR(INDEX(I_COA!$G$6:$G$265,MATCH(D3861,I_COA!$A$6:$A$265,0)),"N"))</f>
        <v/>
      </c>
      <c r="O3861" s="11" t="str">
        <f aca="false">IF(N3861="N",ABS(J3861),"")</f>
        <v/>
      </c>
      <c r="P3861" s="18" t="str">
        <f aca="false">IF(N3861="N",B3861&amp;"|"&amp;ROUND(O3861,0),"")</f>
        <v/>
      </c>
      <c r="Q3861" s="18" t="str">
        <f aca="false">IF(N3861&lt;&gt;"Y","",IFERROR(INDEX($D$6:$D$4005,MATCH(B3861&amp;"|"&amp;ROUND(_xlfn.MAXIFS($O$6:$O$4005,$B$6:$B$4005,B3861,$N$6:$N$4005,"N"),0),$P$6:$P$4005,0)),"(tanpa lawan)"))</f>
        <v/>
      </c>
      <c r="R3861" s="44"/>
      <c r="S3861" s="9" t="str">
        <f aca="false">IF(N3861&lt;&gt;"Y","",IF(R3861&lt;&gt;"",R3861,IF(Q3861="(tanpa lawan)","Transfer antar rekening",IFERROR(INDEX(I_COA!$F$6:$F$265,MATCH(Q3861,I_COA!$A$6:$A$265,0)),"?"))))</f>
        <v/>
      </c>
    </row>
    <row r="3862" customFormat="false" ht="15" hidden="false" customHeight="false" outlineLevel="0" collapsed="false">
      <c r="A3862" s="37"/>
      <c r="B3862" s="44"/>
      <c r="C3862" s="44"/>
      <c r="D3862" s="44"/>
      <c r="E3862" s="44"/>
      <c r="F3862" s="44"/>
      <c r="G3862" s="42"/>
      <c r="H3862" s="42"/>
      <c r="I3862" s="44"/>
      <c r="J3862" s="11" t="str">
        <f aca="false">IF(D3862="","",N(G3862)-N(H3862))</f>
        <v/>
      </c>
      <c r="K3862" s="34" t="str">
        <f aca="false">IF(D3862="","",IFERROR(INDEX(I_COA!$C$6:$C$265,MATCH(D3862,I_COA!$A$6:$A$265,0)),"AKUN BARU"))</f>
        <v/>
      </c>
      <c r="L3862" s="34" t="str">
        <f aca="false">IF(K3862="LabaRugi",INDEX(I_COA!$D$6:$D$265,MATCH(D3862,I_COA!$A$6:$A$265,0)),"")</f>
        <v/>
      </c>
      <c r="M3862" s="34" t="str">
        <f aca="false">IF(K3862="Neraca",INDEX(I_COA!$E$6:$E$265,MATCH(D3862,I_COA!$A$6:$A$265,0)),"")</f>
        <v/>
      </c>
      <c r="N3862" s="34" t="str">
        <f aca="false">IF(D3862="","",IFERROR(INDEX(I_COA!$G$6:$G$265,MATCH(D3862,I_COA!$A$6:$A$265,0)),"N"))</f>
        <v/>
      </c>
      <c r="O3862" s="11" t="str">
        <f aca="false">IF(N3862="N",ABS(J3862),"")</f>
        <v/>
      </c>
      <c r="P3862" s="18" t="str">
        <f aca="false">IF(N3862="N",B3862&amp;"|"&amp;ROUND(O3862,0),"")</f>
        <v/>
      </c>
      <c r="Q3862" s="18" t="str">
        <f aca="false">IF(N3862&lt;&gt;"Y","",IFERROR(INDEX($D$6:$D$4005,MATCH(B3862&amp;"|"&amp;ROUND(_xlfn.MAXIFS($O$6:$O$4005,$B$6:$B$4005,B3862,$N$6:$N$4005,"N"),0),$P$6:$P$4005,0)),"(tanpa lawan)"))</f>
        <v/>
      </c>
      <c r="R3862" s="44"/>
      <c r="S3862" s="9" t="str">
        <f aca="false">IF(N3862&lt;&gt;"Y","",IF(R3862&lt;&gt;"",R3862,IF(Q3862="(tanpa lawan)","Transfer antar rekening",IFERROR(INDEX(I_COA!$F$6:$F$265,MATCH(Q3862,I_COA!$A$6:$A$265,0)),"?"))))</f>
        <v/>
      </c>
    </row>
    <row r="3863" customFormat="false" ht="15" hidden="false" customHeight="false" outlineLevel="0" collapsed="false">
      <c r="A3863" s="37"/>
      <c r="B3863" s="44"/>
      <c r="C3863" s="44"/>
      <c r="D3863" s="44"/>
      <c r="E3863" s="44"/>
      <c r="F3863" s="44"/>
      <c r="G3863" s="42"/>
      <c r="H3863" s="42"/>
      <c r="I3863" s="44"/>
      <c r="J3863" s="11" t="str">
        <f aca="false">IF(D3863="","",N(G3863)-N(H3863))</f>
        <v/>
      </c>
      <c r="K3863" s="34" t="str">
        <f aca="false">IF(D3863="","",IFERROR(INDEX(I_COA!$C$6:$C$265,MATCH(D3863,I_COA!$A$6:$A$265,0)),"AKUN BARU"))</f>
        <v/>
      </c>
      <c r="L3863" s="34" t="str">
        <f aca="false">IF(K3863="LabaRugi",INDEX(I_COA!$D$6:$D$265,MATCH(D3863,I_COA!$A$6:$A$265,0)),"")</f>
        <v/>
      </c>
      <c r="M3863" s="34" t="str">
        <f aca="false">IF(K3863="Neraca",INDEX(I_COA!$E$6:$E$265,MATCH(D3863,I_COA!$A$6:$A$265,0)),"")</f>
        <v/>
      </c>
      <c r="N3863" s="34" t="str">
        <f aca="false">IF(D3863="","",IFERROR(INDEX(I_COA!$G$6:$G$265,MATCH(D3863,I_COA!$A$6:$A$265,0)),"N"))</f>
        <v/>
      </c>
      <c r="O3863" s="11" t="str">
        <f aca="false">IF(N3863="N",ABS(J3863),"")</f>
        <v/>
      </c>
      <c r="P3863" s="18" t="str">
        <f aca="false">IF(N3863="N",B3863&amp;"|"&amp;ROUND(O3863,0),"")</f>
        <v/>
      </c>
      <c r="Q3863" s="18" t="str">
        <f aca="false">IF(N3863&lt;&gt;"Y","",IFERROR(INDEX($D$6:$D$4005,MATCH(B3863&amp;"|"&amp;ROUND(_xlfn.MAXIFS($O$6:$O$4005,$B$6:$B$4005,B3863,$N$6:$N$4005,"N"),0),$P$6:$P$4005,0)),"(tanpa lawan)"))</f>
        <v/>
      </c>
      <c r="R3863" s="44"/>
      <c r="S3863" s="9" t="str">
        <f aca="false">IF(N3863&lt;&gt;"Y","",IF(R3863&lt;&gt;"",R3863,IF(Q3863="(tanpa lawan)","Transfer antar rekening",IFERROR(INDEX(I_COA!$F$6:$F$265,MATCH(Q3863,I_COA!$A$6:$A$265,0)),"?"))))</f>
        <v/>
      </c>
    </row>
    <row r="3864" customFormat="false" ht="15" hidden="false" customHeight="false" outlineLevel="0" collapsed="false">
      <c r="A3864" s="37"/>
      <c r="B3864" s="44"/>
      <c r="C3864" s="44"/>
      <c r="D3864" s="44"/>
      <c r="E3864" s="44"/>
      <c r="F3864" s="44"/>
      <c r="G3864" s="42"/>
      <c r="H3864" s="42"/>
      <c r="I3864" s="44"/>
      <c r="J3864" s="11" t="str">
        <f aca="false">IF(D3864="","",N(G3864)-N(H3864))</f>
        <v/>
      </c>
      <c r="K3864" s="34" t="str">
        <f aca="false">IF(D3864="","",IFERROR(INDEX(I_COA!$C$6:$C$265,MATCH(D3864,I_COA!$A$6:$A$265,0)),"AKUN BARU"))</f>
        <v/>
      </c>
      <c r="L3864" s="34" t="str">
        <f aca="false">IF(K3864="LabaRugi",INDEX(I_COA!$D$6:$D$265,MATCH(D3864,I_COA!$A$6:$A$265,0)),"")</f>
        <v/>
      </c>
      <c r="M3864" s="34" t="str">
        <f aca="false">IF(K3864="Neraca",INDEX(I_COA!$E$6:$E$265,MATCH(D3864,I_COA!$A$6:$A$265,0)),"")</f>
        <v/>
      </c>
      <c r="N3864" s="34" t="str">
        <f aca="false">IF(D3864="","",IFERROR(INDEX(I_COA!$G$6:$G$265,MATCH(D3864,I_COA!$A$6:$A$265,0)),"N"))</f>
        <v/>
      </c>
      <c r="O3864" s="11" t="str">
        <f aca="false">IF(N3864="N",ABS(J3864),"")</f>
        <v/>
      </c>
      <c r="P3864" s="18" t="str">
        <f aca="false">IF(N3864="N",B3864&amp;"|"&amp;ROUND(O3864,0),"")</f>
        <v/>
      </c>
      <c r="Q3864" s="18" t="str">
        <f aca="false">IF(N3864&lt;&gt;"Y","",IFERROR(INDEX($D$6:$D$4005,MATCH(B3864&amp;"|"&amp;ROUND(_xlfn.MAXIFS($O$6:$O$4005,$B$6:$B$4005,B3864,$N$6:$N$4005,"N"),0),$P$6:$P$4005,0)),"(tanpa lawan)"))</f>
        <v/>
      </c>
      <c r="R3864" s="44"/>
      <c r="S3864" s="9" t="str">
        <f aca="false">IF(N3864&lt;&gt;"Y","",IF(R3864&lt;&gt;"",R3864,IF(Q3864="(tanpa lawan)","Transfer antar rekening",IFERROR(INDEX(I_COA!$F$6:$F$265,MATCH(Q3864,I_COA!$A$6:$A$265,0)),"?"))))</f>
        <v/>
      </c>
    </row>
    <row r="3865" customFormat="false" ht="15" hidden="false" customHeight="false" outlineLevel="0" collapsed="false">
      <c r="A3865" s="37"/>
      <c r="B3865" s="44"/>
      <c r="C3865" s="44"/>
      <c r="D3865" s="44"/>
      <c r="E3865" s="44"/>
      <c r="F3865" s="44"/>
      <c r="G3865" s="42"/>
      <c r="H3865" s="42"/>
      <c r="I3865" s="44"/>
      <c r="J3865" s="11" t="str">
        <f aca="false">IF(D3865="","",N(G3865)-N(H3865))</f>
        <v/>
      </c>
      <c r="K3865" s="34" t="str">
        <f aca="false">IF(D3865="","",IFERROR(INDEX(I_COA!$C$6:$C$265,MATCH(D3865,I_COA!$A$6:$A$265,0)),"AKUN BARU"))</f>
        <v/>
      </c>
      <c r="L3865" s="34" t="str">
        <f aca="false">IF(K3865="LabaRugi",INDEX(I_COA!$D$6:$D$265,MATCH(D3865,I_COA!$A$6:$A$265,0)),"")</f>
        <v/>
      </c>
      <c r="M3865" s="34" t="str">
        <f aca="false">IF(K3865="Neraca",INDEX(I_COA!$E$6:$E$265,MATCH(D3865,I_COA!$A$6:$A$265,0)),"")</f>
        <v/>
      </c>
      <c r="N3865" s="34" t="str">
        <f aca="false">IF(D3865="","",IFERROR(INDEX(I_COA!$G$6:$G$265,MATCH(D3865,I_COA!$A$6:$A$265,0)),"N"))</f>
        <v/>
      </c>
      <c r="O3865" s="11" t="str">
        <f aca="false">IF(N3865="N",ABS(J3865),"")</f>
        <v/>
      </c>
      <c r="P3865" s="18" t="str">
        <f aca="false">IF(N3865="N",B3865&amp;"|"&amp;ROUND(O3865,0),"")</f>
        <v/>
      </c>
      <c r="Q3865" s="18" t="str">
        <f aca="false">IF(N3865&lt;&gt;"Y","",IFERROR(INDEX($D$6:$D$4005,MATCH(B3865&amp;"|"&amp;ROUND(_xlfn.MAXIFS($O$6:$O$4005,$B$6:$B$4005,B3865,$N$6:$N$4005,"N"),0),$P$6:$P$4005,0)),"(tanpa lawan)"))</f>
        <v/>
      </c>
      <c r="R3865" s="44"/>
      <c r="S3865" s="9" t="str">
        <f aca="false">IF(N3865&lt;&gt;"Y","",IF(R3865&lt;&gt;"",R3865,IF(Q3865="(tanpa lawan)","Transfer antar rekening",IFERROR(INDEX(I_COA!$F$6:$F$265,MATCH(Q3865,I_COA!$A$6:$A$265,0)),"?"))))</f>
        <v/>
      </c>
    </row>
    <row r="3866" customFormat="false" ht="15" hidden="false" customHeight="false" outlineLevel="0" collapsed="false">
      <c r="A3866" s="37"/>
      <c r="B3866" s="44"/>
      <c r="C3866" s="44"/>
      <c r="D3866" s="44"/>
      <c r="E3866" s="44"/>
      <c r="F3866" s="44"/>
      <c r="G3866" s="42"/>
      <c r="H3866" s="42"/>
      <c r="I3866" s="44"/>
      <c r="J3866" s="11" t="str">
        <f aca="false">IF(D3866="","",N(G3866)-N(H3866))</f>
        <v/>
      </c>
      <c r="K3866" s="34" t="str">
        <f aca="false">IF(D3866="","",IFERROR(INDEX(I_COA!$C$6:$C$265,MATCH(D3866,I_COA!$A$6:$A$265,0)),"AKUN BARU"))</f>
        <v/>
      </c>
      <c r="L3866" s="34" t="str">
        <f aca="false">IF(K3866="LabaRugi",INDEX(I_COA!$D$6:$D$265,MATCH(D3866,I_COA!$A$6:$A$265,0)),"")</f>
        <v/>
      </c>
      <c r="M3866" s="34" t="str">
        <f aca="false">IF(K3866="Neraca",INDEX(I_COA!$E$6:$E$265,MATCH(D3866,I_COA!$A$6:$A$265,0)),"")</f>
        <v/>
      </c>
      <c r="N3866" s="34" t="str">
        <f aca="false">IF(D3866="","",IFERROR(INDEX(I_COA!$G$6:$G$265,MATCH(D3866,I_COA!$A$6:$A$265,0)),"N"))</f>
        <v/>
      </c>
      <c r="O3866" s="11" t="str">
        <f aca="false">IF(N3866="N",ABS(J3866),"")</f>
        <v/>
      </c>
      <c r="P3866" s="18" t="str">
        <f aca="false">IF(N3866="N",B3866&amp;"|"&amp;ROUND(O3866,0),"")</f>
        <v/>
      </c>
      <c r="Q3866" s="18" t="str">
        <f aca="false">IF(N3866&lt;&gt;"Y","",IFERROR(INDEX($D$6:$D$4005,MATCH(B3866&amp;"|"&amp;ROUND(_xlfn.MAXIFS($O$6:$O$4005,$B$6:$B$4005,B3866,$N$6:$N$4005,"N"),0),$P$6:$P$4005,0)),"(tanpa lawan)"))</f>
        <v/>
      </c>
      <c r="R3866" s="44"/>
      <c r="S3866" s="9" t="str">
        <f aca="false">IF(N3866&lt;&gt;"Y","",IF(R3866&lt;&gt;"",R3866,IF(Q3866="(tanpa lawan)","Transfer antar rekening",IFERROR(INDEX(I_COA!$F$6:$F$265,MATCH(Q3866,I_COA!$A$6:$A$265,0)),"?"))))</f>
        <v/>
      </c>
    </row>
    <row r="3867" customFormat="false" ht="15" hidden="false" customHeight="false" outlineLevel="0" collapsed="false">
      <c r="A3867" s="37"/>
      <c r="B3867" s="44"/>
      <c r="C3867" s="44"/>
      <c r="D3867" s="44"/>
      <c r="E3867" s="44"/>
      <c r="F3867" s="44"/>
      <c r="G3867" s="42"/>
      <c r="H3867" s="42"/>
      <c r="I3867" s="44"/>
      <c r="J3867" s="11" t="str">
        <f aca="false">IF(D3867="","",N(G3867)-N(H3867))</f>
        <v/>
      </c>
      <c r="K3867" s="34" t="str">
        <f aca="false">IF(D3867="","",IFERROR(INDEX(I_COA!$C$6:$C$265,MATCH(D3867,I_COA!$A$6:$A$265,0)),"AKUN BARU"))</f>
        <v/>
      </c>
      <c r="L3867" s="34" t="str">
        <f aca="false">IF(K3867="LabaRugi",INDEX(I_COA!$D$6:$D$265,MATCH(D3867,I_COA!$A$6:$A$265,0)),"")</f>
        <v/>
      </c>
      <c r="M3867" s="34" t="str">
        <f aca="false">IF(K3867="Neraca",INDEX(I_COA!$E$6:$E$265,MATCH(D3867,I_COA!$A$6:$A$265,0)),"")</f>
        <v/>
      </c>
      <c r="N3867" s="34" t="str">
        <f aca="false">IF(D3867="","",IFERROR(INDEX(I_COA!$G$6:$G$265,MATCH(D3867,I_COA!$A$6:$A$265,0)),"N"))</f>
        <v/>
      </c>
      <c r="O3867" s="11" t="str">
        <f aca="false">IF(N3867="N",ABS(J3867),"")</f>
        <v/>
      </c>
      <c r="P3867" s="18" t="str">
        <f aca="false">IF(N3867="N",B3867&amp;"|"&amp;ROUND(O3867,0),"")</f>
        <v/>
      </c>
      <c r="Q3867" s="18" t="str">
        <f aca="false">IF(N3867&lt;&gt;"Y","",IFERROR(INDEX($D$6:$D$4005,MATCH(B3867&amp;"|"&amp;ROUND(_xlfn.MAXIFS($O$6:$O$4005,$B$6:$B$4005,B3867,$N$6:$N$4005,"N"),0),$P$6:$P$4005,0)),"(tanpa lawan)"))</f>
        <v/>
      </c>
      <c r="R3867" s="44"/>
      <c r="S3867" s="9" t="str">
        <f aca="false">IF(N3867&lt;&gt;"Y","",IF(R3867&lt;&gt;"",R3867,IF(Q3867="(tanpa lawan)","Transfer antar rekening",IFERROR(INDEX(I_COA!$F$6:$F$265,MATCH(Q3867,I_COA!$A$6:$A$265,0)),"?"))))</f>
        <v/>
      </c>
    </row>
    <row r="3868" customFormat="false" ht="15" hidden="false" customHeight="false" outlineLevel="0" collapsed="false">
      <c r="A3868" s="37"/>
      <c r="B3868" s="44"/>
      <c r="C3868" s="44"/>
      <c r="D3868" s="44"/>
      <c r="E3868" s="44"/>
      <c r="F3868" s="44"/>
      <c r="G3868" s="42"/>
      <c r="H3868" s="42"/>
      <c r="I3868" s="44"/>
      <c r="J3868" s="11" t="str">
        <f aca="false">IF(D3868="","",N(G3868)-N(H3868))</f>
        <v/>
      </c>
      <c r="K3868" s="34" t="str">
        <f aca="false">IF(D3868="","",IFERROR(INDEX(I_COA!$C$6:$C$265,MATCH(D3868,I_COA!$A$6:$A$265,0)),"AKUN BARU"))</f>
        <v/>
      </c>
      <c r="L3868" s="34" t="str">
        <f aca="false">IF(K3868="LabaRugi",INDEX(I_COA!$D$6:$D$265,MATCH(D3868,I_COA!$A$6:$A$265,0)),"")</f>
        <v/>
      </c>
      <c r="M3868" s="34" t="str">
        <f aca="false">IF(K3868="Neraca",INDEX(I_COA!$E$6:$E$265,MATCH(D3868,I_COA!$A$6:$A$265,0)),"")</f>
        <v/>
      </c>
      <c r="N3868" s="34" t="str">
        <f aca="false">IF(D3868="","",IFERROR(INDEX(I_COA!$G$6:$G$265,MATCH(D3868,I_COA!$A$6:$A$265,0)),"N"))</f>
        <v/>
      </c>
      <c r="O3868" s="11" t="str">
        <f aca="false">IF(N3868="N",ABS(J3868),"")</f>
        <v/>
      </c>
      <c r="P3868" s="18" t="str">
        <f aca="false">IF(N3868="N",B3868&amp;"|"&amp;ROUND(O3868,0),"")</f>
        <v/>
      </c>
      <c r="Q3868" s="18" t="str">
        <f aca="false">IF(N3868&lt;&gt;"Y","",IFERROR(INDEX($D$6:$D$4005,MATCH(B3868&amp;"|"&amp;ROUND(_xlfn.MAXIFS($O$6:$O$4005,$B$6:$B$4005,B3868,$N$6:$N$4005,"N"),0),$P$6:$P$4005,0)),"(tanpa lawan)"))</f>
        <v/>
      </c>
      <c r="R3868" s="44"/>
      <c r="S3868" s="9" t="str">
        <f aca="false">IF(N3868&lt;&gt;"Y","",IF(R3868&lt;&gt;"",R3868,IF(Q3868="(tanpa lawan)","Transfer antar rekening",IFERROR(INDEX(I_COA!$F$6:$F$265,MATCH(Q3868,I_COA!$A$6:$A$265,0)),"?"))))</f>
        <v/>
      </c>
    </row>
    <row r="3869" customFormat="false" ht="15" hidden="false" customHeight="false" outlineLevel="0" collapsed="false">
      <c r="A3869" s="37"/>
      <c r="B3869" s="44"/>
      <c r="C3869" s="44"/>
      <c r="D3869" s="44"/>
      <c r="E3869" s="44"/>
      <c r="F3869" s="44"/>
      <c r="G3869" s="42"/>
      <c r="H3869" s="42"/>
      <c r="I3869" s="44"/>
      <c r="J3869" s="11" t="str">
        <f aca="false">IF(D3869="","",N(G3869)-N(H3869))</f>
        <v/>
      </c>
      <c r="K3869" s="34" t="str">
        <f aca="false">IF(D3869="","",IFERROR(INDEX(I_COA!$C$6:$C$265,MATCH(D3869,I_COA!$A$6:$A$265,0)),"AKUN BARU"))</f>
        <v/>
      </c>
      <c r="L3869" s="34" t="str">
        <f aca="false">IF(K3869="LabaRugi",INDEX(I_COA!$D$6:$D$265,MATCH(D3869,I_COA!$A$6:$A$265,0)),"")</f>
        <v/>
      </c>
      <c r="M3869" s="34" t="str">
        <f aca="false">IF(K3869="Neraca",INDEX(I_COA!$E$6:$E$265,MATCH(D3869,I_COA!$A$6:$A$265,0)),"")</f>
        <v/>
      </c>
      <c r="N3869" s="34" t="str">
        <f aca="false">IF(D3869="","",IFERROR(INDEX(I_COA!$G$6:$G$265,MATCH(D3869,I_COA!$A$6:$A$265,0)),"N"))</f>
        <v/>
      </c>
      <c r="O3869" s="11" t="str">
        <f aca="false">IF(N3869="N",ABS(J3869),"")</f>
        <v/>
      </c>
      <c r="P3869" s="18" t="str">
        <f aca="false">IF(N3869="N",B3869&amp;"|"&amp;ROUND(O3869,0),"")</f>
        <v/>
      </c>
      <c r="Q3869" s="18" t="str">
        <f aca="false">IF(N3869&lt;&gt;"Y","",IFERROR(INDEX($D$6:$D$4005,MATCH(B3869&amp;"|"&amp;ROUND(_xlfn.MAXIFS($O$6:$O$4005,$B$6:$B$4005,B3869,$N$6:$N$4005,"N"),0),$P$6:$P$4005,0)),"(tanpa lawan)"))</f>
        <v/>
      </c>
      <c r="R3869" s="44"/>
      <c r="S3869" s="9" t="str">
        <f aca="false">IF(N3869&lt;&gt;"Y","",IF(R3869&lt;&gt;"",R3869,IF(Q3869="(tanpa lawan)","Transfer antar rekening",IFERROR(INDEX(I_COA!$F$6:$F$265,MATCH(Q3869,I_COA!$A$6:$A$265,0)),"?"))))</f>
        <v/>
      </c>
    </row>
    <row r="3870" customFormat="false" ht="15" hidden="false" customHeight="false" outlineLevel="0" collapsed="false">
      <c r="A3870" s="37"/>
      <c r="B3870" s="44"/>
      <c r="C3870" s="44"/>
      <c r="D3870" s="44"/>
      <c r="E3870" s="44"/>
      <c r="F3870" s="44"/>
      <c r="G3870" s="42"/>
      <c r="H3870" s="42"/>
      <c r="I3870" s="44"/>
      <c r="J3870" s="11" t="str">
        <f aca="false">IF(D3870="","",N(G3870)-N(H3870))</f>
        <v/>
      </c>
      <c r="K3870" s="34" t="str">
        <f aca="false">IF(D3870="","",IFERROR(INDEX(I_COA!$C$6:$C$265,MATCH(D3870,I_COA!$A$6:$A$265,0)),"AKUN BARU"))</f>
        <v/>
      </c>
      <c r="L3870" s="34" t="str">
        <f aca="false">IF(K3870="LabaRugi",INDEX(I_COA!$D$6:$D$265,MATCH(D3870,I_COA!$A$6:$A$265,0)),"")</f>
        <v/>
      </c>
      <c r="M3870" s="34" t="str">
        <f aca="false">IF(K3870="Neraca",INDEX(I_COA!$E$6:$E$265,MATCH(D3870,I_COA!$A$6:$A$265,0)),"")</f>
        <v/>
      </c>
      <c r="N3870" s="34" t="str">
        <f aca="false">IF(D3870="","",IFERROR(INDEX(I_COA!$G$6:$G$265,MATCH(D3870,I_COA!$A$6:$A$265,0)),"N"))</f>
        <v/>
      </c>
      <c r="O3870" s="11" t="str">
        <f aca="false">IF(N3870="N",ABS(J3870),"")</f>
        <v/>
      </c>
      <c r="P3870" s="18" t="str">
        <f aca="false">IF(N3870="N",B3870&amp;"|"&amp;ROUND(O3870,0),"")</f>
        <v/>
      </c>
      <c r="Q3870" s="18" t="str">
        <f aca="false">IF(N3870&lt;&gt;"Y","",IFERROR(INDEX($D$6:$D$4005,MATCH(B3870&amp;"|"&amp;ROUND(_xlfn.MAXIFS($O$6:$O$4005,$B$6:$B$4005,B3870,$N$6:$N$4005,"N"),0),$P$6:$P$4005,0)),"(tanpa lawan)"))</f>
        <v/>
      </c>
      <c r="R3870" s="44"/>
      <c r="S3870" s="9" t="str">
        <f aca="false">IF(N3870&lt;&gt;"Y","",IF(R3870&lt;&gt;"",R3870,IF(Q3870="(tanpa lawan)","Transfer antar rekening",IFERROR(INDEX(I_COA!$F$6:$F$265,MATCH(Q3870,I_COA!$A$6:$A$265,0)),"?"))))</f>
        <v/>
      </c>
    </row>
    <row r="3871" customFormat="false" ht="15" hidden="false" customHeight="false" outlineLevel="0" collapsed="false">
      <c r="A3871" s="37"/>
      <c r="B3871" s="44"/>
      <c r="C3871" s="44"/>
      <c r="D3871" s="44"/>
      <c r="E3871" s="44"/>
      <c r="F3871" s="44"/>
      <c r="G3871" s="42"/>
      <c r="H3871" s="42"/>
      <c r="I3871" s="44"/>
      <c r="J3871" s="11" t="str">
        <f aca="false">IF(D3871="","",N(G3871)-N(H3871))</f>
        <v/>
      </c>
      <c r="K3871" s="34" t="str">
        <f aca="false">IF(D3871="","",IFERROR(INDEX(I_COA!$C$6:$C$265,MATCH(D3871,I_COA!$A$6:$A$265,0)),"AKUN BARU"))</f>
        <v/>
      </c>
      <c r="L3871" s="34" t="str">
        <f aca="false">IF(K3871="LabaRugi",INDEX(I_COA!$D$6:$D$265,MATCH(D3871,I_COA!$A$6:$A$265,0)),"")</f>
        <v/>
      </c>
      <c r="M3871" s="34" t="str">
        <f aca="false">IF(K3871="Neraca",INDEX(I_COA!$E$6:$E$265,MATCH(D3871,I_COA!$A$6:$A$265,0)),"")</f>
        <v/>
      </c>
      <c r="N3871" s="34" t="str">
        <f aca="false">IF(D3871="","",IFERROR(INDEX(I_COA!$G$6:$G$265,MATCH(D3871,I_COA!$A$6:$A$265,0)),"N"))</f>
        <v/>
      </c>
      <c r="O3871" s="11" t="str">
        <f aca="false">IF(N3871="N",ABS(J3871),"")</f>
        <v/>
      </c>
      <c r="P3871" s="18" t="str">
        <f aca="false">IF(N3871="N",B3871&amp;"|"&amp;ROUND(O3871,0),"")</f>
        <v/>
      </c>
      <c r="Q3871" s="18" t="str">
        <f aca="false">IF(N3871&lt;&gt;"Y","",IFERROR(INDEX($D$6:$D$4005,MATCH(B3871&amp;"|"&amp;ROUND(_xlfn.MAXIFS($O$6:$O$4005,$B$6:$B$4005,B3871,$N$6:$N$4005,"N"),0),$P$6:$P$4005,0)),"(tanpa lawan)"))</f>
        <v/>
      </c>
      <c r="R3871" s="44"/>
      <c r="S3871" s="9" t="str">
        <f aca="false">IF(N3871&lt;&gt;"Y","",IF(R3871&lt;&gt;"",R3871,IF(Q3871="(tanpa lawan)","Transfer antar rekening",IFERROR(INDEX(I_COA!$F$6:$F$265,MATCH(Q3871,I_COA!$A$6:$A$265,0)),"?"))))</f>
        <v/>
      </c>
    </row>
    <row r="3872" customFormat="false" ht="15" hidden="false" customHeight="false" outlineLevel="0" collapsed="false">
      <c r="A3872" s="37"/>
      <c r="B3872" s="44"/>
      <c r="C3872" s="44"/>
      <c r="D3872" s="44"/>
      <c r="E3872" s="44"/>
      <c r="F3872" s="44"/>
      <c r="G3872" s="42"/>
      <c r="H3872" s="42"/>
      <c r="I3872" s="44"/>
      <c r="J3872" s="11" t="str">
        <f aca="false">IF(D3872="","",N(G3872)-N(H3872))</f>
        <v/>
      </c>
      <c r="K3872" s="34" t="str">
        <f aca="false">IF(D3872="","",IFERROR(INDEX(I_COA!$C$6:$C$265,MATCH(D3872,I_COA!$A$6:$A$265,0)),"AKUN BARU"))</f>
        <v/>
      </c>
      <c r="L3872" s="34" t="str">
        <f aca="false">IF(K3872="LabaRugi",INDEX(I_COA!$D$6:$D$265,MATCH(D3872,I_COA!$A$6:$A$265,0)),"")</f>
        <v/>
      </c>
      <c r="M3872" s="34" t="str">
        <f aca="false">IF(K3872="Neraca",INDEX(I_COA!$E$6:$E$265,MATCH(D3872,I_COA!$A$6:$A$265,0)),"")</f>
        <v/>
      </c>
      <c r="N3872" s="34" t="str">
        <f aca="false">IF(D3872="","",IFERROR(INDEX(I_COA!$G$6:$G$265,MATCH(D3872,I_COA!$A$6:$A$265,0)),"N"))</f>
        <v/>
      </c>
      <c r="O3872" s="11" t="str">
        <f aca="false">IF(N3872="N",ABS(J3872),"")</f>
        <v/>
      </c>
      <c r="P3872" s="18" t="str">
        <f aca="false">IF(N3872="N",B3872&amp;"|"&amp;ROUND(O3872,0),"")</f>
        <v/>
      </c>
      <c r="Q3872" s="18" t="str">
        <f aca="false">IF(N3872&lt;&gt;"Y","",IFERROR(INDEX($D$6:$D$4005,MATCH(B3872&amp;"|"&amp;ROUND(_xlfn.MAXIFS($O$6:$O$4005,$B$6:$B$4005,B3872,$N$6:$N$4005,"N"),0),$P$6:$P$4005,0)),"(tanpa lawan)"))</f>
        <v/>
      </c>
      <c r="R3872" s="44"/>
      <c r="S3872" s="9" t="str">
        <f aca="false">IF(N3872&lt;&gt;"Y","",IF(R3872&lt;&gt;"",R3872,IF(Q3872="(tanpa lawan)","Transfer antar rekening",IFERROR(INDEX(I_COA!$F$6:$F$265,MATCH(Q3872,I_COA!$A$6:$A$265,0)),"?"))))</f>
        <v/>
      </c>
    </row>
    <row r="3873" customFormat="false" ht="15" hidden="false" customHeight="false" outlineLevel="0" collapsed="false">
      <c r="A3873" s="37"/>
      <c r="B3873" s="44"/>
      <c r="C3873" s="44"/>
      <c r="D3873" s="44"/>
      <c r="E3873" s="44"/>
      <c r="F3873" s="44"/>
      <c r="G3873" s="42"/>
      <c r="H3873" s="42"/>
      <c r="I3873" s="44"/>
      <c r="J3873" s="11" t="str">
        <f aca="false">IF(D3873="","",N(G3873)-N(H3873))</f>
        <v/>
      </c>
      <c r="K3873" s="34" t="str">
        <f aca="false">IF(D3873="","",IFERROR(INDEX(I_COA!$C$6:$C$265,MATCH(D3873,I_COA!$A$6:$A$265,0)),"AKUN BARU"))</f>
        <v/>
      </c>
      <c r="L3873" s="34" t="str">
        <f aca="false">IF(K3873="LabaRugi",INDEX(I_COA!$D$6:$D$265,MATCH(D3873,I_COA!$A$6:$A$265,0)),"")</f>
        <v/>
      </c>
      <c r="M3873" s="34" t="str">
        <f aca="false">IF(K3873="Neraca",INDEX(I_COA!$E$6:$E$265,MATCH(D3873,I_COA!$A$6:$A$265,0)),"")</f>
        <v/>
      </c>
      <c r="N3873" s="34" t="str">
        <f aca="false">IF(D3873="","",IFERROR(INDEX(I_COA!$G$6:$G$265,MATCH(D3873,I_COA!$A$6:$A$265,0)),"N"))</f>
        <v/>
      </c>
      <c r="O3873" s="11" t="str">
        <f aca="false">IF(N3873="N",ABS(J3873),"")</f>
        <v/>
      </c>
      <c r="P3873" s="18" t="str">
        <f aca="false">IF(N3873="N",B3873&amp;"|"&amp;ROUND(O3873,0),"")</f>
        <v/>
      </c>
      <c r="Q3873" s="18" t="str">
        <f aca="false">IF(N3873&lt;&gt;"Y","",IFERROR(INDEX($D$6:$D$4005,MATCH(B3873&amp;"|"&amp;ROUND(_xlfn.MAXIFS($O$6:$O$4005,$B$6:$B$4005,B3873,$N$6:$N$4005,"N"),0),$P$6:$P$4005,0)),"(tanpa lawan)"))</f>
        <v/>
      </c>
      <c r="R3873" s="44"/>
      <c r="S3873" s="9" t="str">
        <f aca="false">IF(N3873&lt;&gt;"Y","",IF(R3873&lt;&gt;"",R3873,IF(Q3873="(tanpa lawan)","Transfer antar rekening",IFERROR(INDEX(I_COA!$F$6:$F$265,MATCH(Q3873,I_COA!$A$6:$A$265,0)),"?"))))</f>
        <v/>
      </c>
    </row>
    <row r="3874" customFormat="false" ht="15" hidden="false" customHeight="false" outlineLevel="0" collapsed="false">
      <c r="A3874" s="37"/>
      <c r="B3874" s="44"/>
      <c r="C3874" s="44"/>
      <c r="D3874" s="44"/>
      <c r="E3874" s="44"/>
      <c r="F3874" s="44"/>
      <c r="G3874" s="42"/>
      <c r="H3874" s="42"/>
      <c r="I3874" s="44"/>
      <c r="J3874" s="11" t="str">
        <f aca="false">IF(D3874="","",N(G3874)-N(H3874))</f>
        <v/>
      </c>
      <c r="K3874" s="34" t="str">
        <f aca="false">IF(D3874="","",IFERROR(INDEX(I_COA!$C$6:$C$265,MATCH(D3874,I_COA!$A$6:$A$265,0)),"AKUN BARU"))</f>
        <v/>
      </c>
      <c r="L3874" s="34" t="str">
        <f aca="false">IF(K3874="LabaRugi",INDEX(I_COA!$D$6:$D$265,MATCH(D3874,I_COA!$A$6:$A$265,0)),"")</f>
        <v/>
      </c>
      <c r="M3874" s="34" t="str">
        <f aca="false">IF(K3874="Neraca",INDEX(I_COA!$E$6:$E$265,MATCH(D3874,I_COA!$A$6:$A$265,0)),"")</f>
        <v/>
      </c>
      <c r="N3874" s="34" t="str">
        <f aca="false">IF(D3874="","",IFERROR(INDEX(I_COA!$G$6:$G$265,MATCH(D3874,I_COA!$A$6:$A$265,0)),"N"))</f>
        <v/>
      </c>
      <c r="O3874" s="11" t="str">
        <f aca="false">IF(N3874="N",ABS(J3874),"")</f>
        <v/>
      </c>
      <c r="P3874" s="18" t="str">
        <f aca="false">IF(N3874="N",B3874&amp;"|"&amp;ROUND(O3874,0),"")</f>
        <v/>
      </c>
      <c r="Q3874" s="18" t="str">
        <f aca="false">IF(N3874&lt;&gt;"Y","",IFERROR(INDEX($D$6:$D$4005,MATCH(B3874&amp;"|"&amp;ROUND(_xlfn.MAXIFS($O$6:$O$4005,$B$6:$B$4005,B3874,$N$6:$N$4005,"N"),0),$P$6:$P$4005,0)),"(tanpa lawan)"))</f>
        <v/>
      </c>
      <c r="R3874" s="44"/>
      <c r="S3874" s="9" t="str">
        <f aca="false">IF(N3874&lt;&gt;"Y","",IF(R3874&lt;&gt;"",R3874,IF(Q3874="(tanpa lawan)","Transfer antar rekening",IFERROR(INDEX(I_COA!$F$6:$F$265,MATCH(Q3874,I_COA!$A$6:$A$265,0)),"?"))))</f>
        <v/>
      </c>
    </row>
    <row r="3875" customFormat="false" ht="15" hidden="false" customHeight="false" outlineLevel="0" collapsed="false">
      <c r="A3875" s="37"/>
      <c r="B3875" s="44"/>
      <c r="C3875" s="44"/>
      <c r="D3875" s="44"/>
      <c r="E3875" s="44"/>
      <c r="F3875" s="44"/>
      <c r="G3875" s="42"/>
      <c r="H3875" s="42"/>
      <c r="I3875" s="44"/>
      <c r="J3875" s="11" t="str">
        <f aca="false">IF(D3875="","",N(G3875)-N(H3875))</f>
        <v/>
      </c>
      <c r="K3875" s="34" t="str">
        <f aca="false">IF(D3875="","",IFERROR(INDEX(I_COA!$C$6:$C$265,MATCH(D3875,I_COA!$A$6:$A$265,0)),"AKUN BARU"))</f>
        <v/>
      </c>
      <c r="L3875" s="34" t="str">
        <f aca="false">IF(K3875="LabaRugi",INDEX(I_COA!$D$6:$D$265,MATCH(D3875,I_COA!$A$6:$A$265,0)),"")</f>
        <v/>
      </c>
      <c r="M3875" s="34" t="str">
        <f aca="false">IF(K3875="Neraca",INDEX(I_COA!$E$6:$E$265,MATCH(D3875,I_COA!$A$6:$A$265,0)),"")</f>
        <v/>
      </c>
      <c r="N3875" s="34" t="str">
        <f aca="false">IF(D3875="","",IFERROR(INDEX(I_COA!$G$6:$G$265,MATCH(D3875,I_COA!$A$6:$A$265,0)),"N"))</f>
        <v/>
      </c>
      <c r="O3875" s="11" t="str">
        <f aca="false">IF(N3875="N",ABS(J3875),"")</f>
        <v/>
      </c>
      <c r="P3875" s="18" t="str">
        <f aca="false">IF(N3875="N",B3875&amp;"|"&amp;ROUND(O3875,0),"")</f>
        <v/>
      </c>
      <c r="Q3875" s="18" t="str">
        <f aca="false">IF(N3875&lt;&gt;"Y","",IFERROR(INDEX($D$6:$D$4005,MATCH(B3875&amp;"|"&amp;ROUND(_xlfn.MAXIFS($O$6:$O$4005,$B$6:$B$4005,B3875,$N$6:$N$4005,"N"),0),$P$6:$P$4005,0)),"(tanpa lawan)"))</f>
        <v/>
      </c>
      <c r="R3875" s="44"/>
      <c r="S3875" s="9" t="str">
        <f aca="false">IF(N3875&lt;&gt;"Y","",IF(R3875&lt;&gt;"",R3875,IF(Q3875="(tanpa lawan)","Transfer antar rekening",IFERROR(INDEX(I_COA!$F$6:$F$265,MATCH(Q3875,I_COA!$A$6:$A$265,0)),"?"))))</f>
        <v/>
      </c>
    </row>
    <row r="3876" customFormat="false" ht="15" hidden="false" customHeight="false" outlineLevel="0" collapsed="false">
      <c r="A3876" s="37"/>
      <c r="B3876" s="44"/>
      <c r="C3876" s="44"/>
      <c r="D3876" s="44"/>
      <c r="E3876" s="44"/>
      <c r="F3876" s="44"/>
      <c r="G3876" s="42"/>
      <c r="H3876" s="42"/>
      <c r="I3876" s="44"/>
      <c r="J3876" s="11" t="str">
        <f aca="false">IF(D3876="","",N(G3876)-N(H3876))</f>
        <v/>
      </c>
      <c r="K3876" s="34" t="str">
        <f aca="false">IF(D3876="","",IFERROR(INDEX(I_COA!$C$6:$C$265,MATCH(D3876,I_COA!$A$6:$A$265,0)),"AKUN BARU"))</f>
        <v/>
      </c>
      <c r="L3876" s="34" t="str">
        <f aca="false">IF(K3876="LabaRugi",INDEX(I_COA!$D$6:$D$265,MATCH(D3876,I_COA!$A$6:$A$265,0)),"")</f>
        <v/>
      </c>
      <c r="M3876" s="34" t="str">
        <f aca="false">IF(K3876="Neraca",INDEX(I_COA!$E$6:$E$265,MATCH(D3876,I_COA!$A$6:$A$265,0)),"")</f>
        <v/>
      </c>
      <c r="N3876" s="34" t="str">
        <f aca="false">IF(D3876="","",IFERROR(INDEX(I_COA!$G$6:$G$265,MATCH(D3876,I_COA!$A$6:$A$265,0)),"N"))</f>
        <v/>
      </c>
      <c r="O3876" s="11" t="str">
        <f aca="false">IF(N3876="N",ABS(J3876),"")</f>
        <v/>
      </c>
      <c r="P3876" s="18" t="str">
        <f aca="false">IF(N3876="N",B3876&amp;"|"&amp;ROUND(O3876,0),"")</f>
        <v/>
      </c>
      <c r="Q3876" s="18" t="str">
        <f aca="false">IF(N3876&lt;&gt;"Y","",IFERROR(INDEX($D$6:$D$4005,MATCH(B3876&amp;"|"&amp;ROUND(_xlfn.MAXIFS($O$6:$O$4005,$B$6:$B$4005,B3876,$N$6:$N$4005,"N"),0),$P$6:$P$4005,0)),"(tanpa lawan)"))</f>
        <v/>
      </c>
      <c r="R3876" s="44"/>
      <c r="S3876" s="9" t="str">
        <f aca="false">IF(N3876&lt;&gt;"Y","",IF(R3876&lt;&gt;"",R3876,IF(Q3876="(tanpa lawan)","Transfer antar rekening",IFERROR(INDEX(I_COA!$F$6:$F$265,MATCH(Q3876,I_COA!$A$6:$A$265,0)),"?"))))</f>
        <v/>
      </c>
    </row>
    <row r="3877" customFormat="false" ht="15" hidden="false" customHeight="false" outlineLevel="0" collapsed="false">
      <c r="A3877" s="37"/>
      <c r="B3877" s="44"/>
      <c r="C3877" s="44"/>
      <c r="D3877" s="44"/>
      <c r="E3877" s="44"/>
      <c r="F3877" s="44"/>
      <c r="G3877" s="42"/>
      <c r="H3877" s="42"/>
      <c r="I3877" s="44"/>
      <c r="J3877" s="11" t="str">
        <f aca="false">IF(D3877="","",N(G3877)-N(H3877))</f>
        <v/>
      </c>
      <c r="K3877" s="34" t="str">
        <f aca="false">IF(D3877="","",IFERROR(INDEX(I_COA!$C$6:$C$265,MATCH(D3877,I_COA!$A$6:$A$265,0)),"AKUN BARU"))</f>
        <v/>
      </c>
      <c r="L3877" s="34" t="str">
        <f aca="false">IF(K3877="LabaRugi",INDEX(I_COA!$D$6:$D$265,MATCH(D3877,I_COA!$A$6:$A$265,0)),"")</f>
        <v/>
      </c>
      <c r="M3877" s="34" t="str">
        <f aca="false">IF(K3877="Neraca",INDEX(I_COA!$E$6:$E$265,MATCH(D3877,I_COA!$A$6:$A$265,0)),"")</f>
        <v/>
      </c>
      <c r="N3877" s="34" t="str">
        <f aca="false">IF(D3877="","",IFERROR(INDEX(I_COA!$G$6:$G$265,MATCH(D3877,I_COA!$A$6:$A$265,0)),"N"))</f>
        <v/>
      </c>
      <c r="O3877" s="11" t="str">
        <f aca="false">IF(N3877="N",ABS(J3877),"")</f>
        <v/>
      </c>
      <c r="P3877" s="18" t="str">
        <f aca="false">IF(N3877="N",B3877&amp;"|"&amp;ROUND(O3877,0),"")</f>
        <v/>
      </c>
      <c r="Q3877" s="18" t="str">
        <f aca="false">IF(N3877&lt;&gt;"Y","",IFERROR(INDEX($D$6:$D$4005,MATCH(B3877&amp;"|"&amp;ROUND(_xlfn.MAXIFS($O$6:$O$4005,$B$6:$B$4005,B3877,$N$6:$N$4005,"N"),0),$P$6:$P$4005,0)),"(tanpa lawan)"))</f>
        <v/>
      </c>
      <c r="R3877" s="44"/>
      <c r="S3877" s="9" t="str">
        <f aca="false">IF(N3877&lt;&gt;"Y","",IF(R3877&lt;&gt;"",R3877,IF(Q3877="(tanpa lawan)","Transfer antar rekening",IFERROR(INDEX(I_COA!$F$6:$F$265,MATCH(Q3877,I_COA!$A$6:$A$265,0)),"?"))))</f>
        <v/>
      </c>
    </row>
    <row r="3878" customFormat="false" ht="15" hidden="false" customHeight="false" outlineLevel="0" collapsed="false">
      <c r="A3878" s="37"/>
      <c r="B3878" s="44"/>
      <c r="C3878" s="44"/>
      <c r="D3878" s="44"/>
      <c r="E3878" s="44"/>
      <c r="F3878" s="44"/>
      <c r="G3878" s="42"/>
      <c r="H3878" s="42"/>
      <c r="I3878" s="44"/>
      <c r="J3878" s="11" t="str">
        <f aca="false">IF(D3878="","",N(G3878)-N(H3878))</f>
        <v/>
      </c>
      <c r="K3878" s="34" t="str">
        <f aca="false">IF(D3878="","",IFERROR(INDEX(I_COA!$C$6:$C$265,MATCH(D3878,I_COA!$A$6:$A$265,0)),"AKUN BARU"))</f>
        <v/>
      </c>
      <c r="L3878" s="34" t="str">
        <f aca="false">IF(K3878="LabaRugi",INDEX(I_COA!$D$6:$D$265,MATCH(D3878,I_COA!$A$6:$A$265,0)),"")</f>
        <v/>
      </c>
      <c r="M3878" s="34" t="str">
        <f aca="false">IF(K3878="Neraca",INDEX(I_COA!$E$6:$E$265,MATCH(D3878,I_COA!$A$6:$A$265,0)),"")</f>
        <v/>
      </c>
      <c r="N3878" s="34" t="str">
        <f aca="false">IF(D3878="","",IFERROR(INDEX(I_COA!$G$6:$G$265,MATCH(D3878,I_COA!$A$6:$A$265,0)),"N"))</f>
        <v/>
      </c>
      <c r="O3878" s="11" t="str">
        <f aca="false">IF(N3878="N",ABS(J3878),"")</f>
        <v/>
      </c>
      <c r="P3878" s="18" t="str">
        <f aca="false">IF(N3878="N",B3878&amp;"|"&amp;ROUND(O3878,0),"")</f>
        <v/>
      </c>
      <c r="Q3878" s="18" t="str">
        <f aca="false">IF(N3878&lt;&gt;"Y","",IFERROR(INDEX($D$6:$D$4005,MATCH(B3878&amp;"|"&amp;ROUND(_xlfn.MAXIFS($O$6:$O$4005,$B$6:$B$4005,B3878,$N$6:$N$4005,"N"),0),$P$6:$P$4005,0)),"(tanpa lawan)"))</f>
        <v/>
      </c>
      <c r="R3878" s="44"/>
      <c r="S3878" s="9" t="str">
        <f aca="false">IF(N3878&lt;&gt;"Y","",IF(R3878&lt;&gt;"",R3878,IF(Q3878="(tanpa lawan)","Transfer antar rekening",IFERROR(INDEX(I_COA!$F$6:$F$265,MATCH(Q3878,I_COA!$A$6:$A$265,0)),"?"))))</f>
        <v/>
      </c>
    </row>
    <row r="3879" customFormat="false" ht="15" hidden="false" customHeight="false" outlineLevel="0" collapsed="false">
      <c r="A3879" s="37"/>
      <c r="B3879" s="44"/>
      <c r="C3879" s="44"/>
      <c r="D3879" s="44"/>
      <c r="E3879" s="44"/>
      <c r="F3879" s="44"/>
      <c r="G3879" s="42"/>
      <c r="H3879" s="42"/>
      <c r="I3879" s="44"/>
      <c r="J3879" s="11" t="str">
        <f aca="false">IF(D3879="","",N(G3879)-N(H3879))</f>
        <v/>
      </c>
      <c r="K3879" s="34" t="str">
        <f aca="false">IF(D3879="","",IFERROR(INDEX(I_COA!$C$6:$C$265,MATCH(D3879,I_COA!$A$6:$A$265,0)),"AKUN BARU"))</f>
        <v/>
      </c>
      <c r="L3879" s="34" t="str">
        <f aca="false">IF(K3879="LabaRugi",INDEX(I_COA!$D$6:$D$265,MATCH(D3879,I_COA!$A$6:$A$265,0)),"")</f>
        <v/>
      </c>
      <c r="M3879" s="34" t="str">
        <f aca="false">IF(K3879="Neraca",INDEX(I_COA!$E$6:$E$265,MATCH(D3879,I_COA!$A$6:$A$265,0)),"")</f>
        <v/>
      </c>
      <c r="N3879" s="34" t="str">
        <f aca="false">IF(D3879="","",IFERROR(INDEX(I_COA!$G$6:$G$265,MATCH(D3879,I_COA!$A$6:$A$265,0)),"N"))</f>
        <v/>
      </c>
      <c r="O3879" s="11" t="str">
        <f aca="false">IF(N3879="N",ABS(J3879),"")</f>
        <v/>
      </c>
      <c r="P3879" s="18" t="str">
        <f aca="false">IF(N3879="N",B3879&amp;"|"&amp;ROUND(O3879,0),"")</f>
        <v/>
      </c>
      <c r="Q3879" s="18" t="str">
        <f aca="false">IF(N3879&lt;&gt;"Y","",IFERROR(INDEX($D$6:$D$4005,MATCH(B3879&amp;"|"&amp;ROUND(_xlfn.MAXIFS($O$6:$O$4005,$B$6:$B$4005,B3879,$N$6:$N$4005,"N"),0),$P$6:$P$4005,0)),"(tanpa lawan)"))</f>
        <v/>
      </c>
      <c r="R3879" s="44"/>
      <c r="S3879" s="9" t="str">
        <f aca="false">IF(N3879&lt;&gt;"Y","",IF(R3879&lt;&gt;"",R3879,IF(Q3879="(tanpa lawan)","Transfer antar rekening",IFERROR(INDEX(I_COA!$F$6:$F$265,MATCH(Q3879,I_COA!$A$6:$A$265,0)),"?"))))</f>
        <v/>
      </c>
    </row>
    <row r="3880" customFormat="false" ht="15" hidden="false" customHeight="false" outlineLevel="0" collapsed="false">
      <c r="A3880" s="37"/>
      <c r="B3880" s="44"/>
      <c r="C3880" s="44"/>
      <c r="D3880" s="44"/>
      <c r="E3880" s="44"/>
      <c r="F3880" s="44"/>
      <c r="G3880" s="42"/>
      <c r="H3880" s="42"/>
      <c r="I3880" s="44"/>
      <c r="J3880" s="11" t="str">
        <f aca="false">IF(D3880="","",N(G3880)-N(H3880))</f>
        <v/>
      </c>
      <c r="K3880" s="34" t="str">
        <f aca="false">IF(D3880="","",IFERROR(INDEX(I_COA!$C$6:$C$265,MATCH(D3880,I_COA!$A$6:$A$265,0)),"AKUN BARU"))</f>
        <v/>
      </c>
      <c r="L3880" s="34" t="str">
        <f aca="false">IF(K3880="LabaRugi",INDEX(I_COA!$D$6:$D$265,MATCH(D3880,I_COA!$A$6:$A$265,0)),"")</f>
        <v/>
      </c>
      <c r="M3880" s="34" t="str">
        <f aca="false">IF(K3880="Neraca",INDEX(I_COA!$E$6:$E$265,MATCH(D3880,I_COA!$A$6:$A$265,0)),"")</f>
        <v/>
      </c>
      <c r="N3880" s="34" t="str">
        <f aca="false">IF(D3880="","",IFERROR(INDEX(I_COA!$G$6:$G$265,MATCH(D3880,I_COA!$A$6:$A$265,0)),"N"))</f>
        <v/>
      </c>
      <c r="O3880" s="11" t="str">
        <f aca="false">IF(N3880="N",ABS(J3880),"")</f>
        <v/>
      </c>
      <c r="P3880" s="18" t="str">
        <f aca="false">IF(N3880="N",B3880&amp;"|"&amp;ROUND(O3880,0),"")</f>
        <v/>
      </c>
      <c r="Q3880" s="18" t="str">
        <f aca="false">IF(N3880&lt;&gt;"Y","",IFERROR(INDEX($D$6:$D$4005,MATCH(B3880&amp;"|"&amp;ROUND(_xlfn.MAXIFS($O$6:$O$4005,$B$6:$B$4005,B3880,$N$6:$N$4005,"N"),0),$P$6:$P$4005,0)),"(tanpa lawan)"))</f>
        <v/>
      </c>
      <c r="R3880" s="44"/>
      <c r="S3880" s="9" t="str">
        <f aca="false">IF(N3880&lt;&gt;"Y","",IF(R3880&lt;&gt;"",R3880,IF(Q3880="(tanpa lawan)","Transfer antar rekening",IFERROR(INDEX(I_COA!$F$6:$F$265,MATCH(Q3880,I_COA!$A$6:$A$265,0)),"?"))))</f>
        <v/>
      </c>
    </row>
    <row r="3881" customFormat="false" ht="15" hidden="false" customHeight="false" outlineLevel="0" collapsed="false">
      <c r="A3881" s="37"/>
      <c r="B3881" s="44"/>
      <c r="C3881" s="44"/>
      <c r="D3881" s="44"/>
      <c r="E3881" s="44"/>
      <c r="F3881" s="44"/>
      <c r="G3881" s="42"/>
      <c r="H3881" s="42"/>
      <c r="I3881" s="44"/>
      <c r="J3881" s="11" t="str">
        <f aca="false">IF(D3881="","",N(G3881)-N(H3881))</f>
        <v/>
      </c>
      <c r="K3881" s="34" t="str">
        <f aca="false">IF(D3881="","",IFERROR(INDEX(I_COA!$C$6:$C$265,MATCH(D3881,I_COA!$A$6:$A$265,0)),"AKUN BARU"))</f>
        <v/>
      </c>
      <c r="L3881" s="34" t="str">
        <f aca="false">IF(K3881="LabaRugi",INDEX(I_COA!$D$6:$D$265,MATCH(D3881,I_COA!$A$6:$A$265,0)),"")</f>
        <v/>
      </c>
      <c r="M3881" s="34" t="str">
        <f aca="false">IF(K3881="Neraca",INDEX(I_COA!$E$6:$E$265,MATCH(D3881,I_COA!$A$6:$A$265,0)),"")</f>
        <v/>
      </c>
      <c r="N3881" s="34" t="str">
        <f aca="false">IF(D3881="","",IFERROR(INDEX(I_COA!$G$6:$G$265,MATCH(D3881,I_COA!$A$6:$A$265,0)),"N"))</f>
        <v/>
      </c>
      <c r="O3881" s="11" t="str">
        <f aca="false">IF(N3881="N",ABS(J3881),"")</f>
        <v/>
      </c>
      <c r="P3881" s="18" t="str">
        <f aca="false">IF(N3881="N",B3881&amp;"|"&amp;ROUND(O3881,0),"")</f>
        <v/>
      </c>
      <c r="Q3881" s="18" t="str">
        <f aca="false">IF(N3881&lt;&gt;"Y","",IFERROR(INDEX($D$6:$D$4005,MATCH(B3881&amp;"|"&amp;ROUND(_xlfn.MAXIFS($O$6:$O$4005,$B$6:$B$4005,B3881,$N$6:$N$4005,"N"),0),$P$6:$P$4005,0)),"(tanpa lawan)"))</f>
        <v/>
      </c>
      <c r="R3881" s="44"/>
      <c r="S3881" s="9" t="str">
        <f aca="false">IF(N3881&lt;&gt;"Y","",IF(R3881&lt;&gt;"",R3881,IF(Q3881="(tanpa lawan)","Transfer antar rekening",IFERROR(INDEX(I_COA!$F$6:$F$265,MATCH(Q3881,I_COA!$A$6:$A$265,0)),"?"))))</f>
        <v/>
      </c>
    </row>
    <row r="3882" customFormat="false" ht="15" hidden="false" customHeight="false" outlineLevel="0" collapsed="false">
      <c r="A3882" s="37"/>
      <c r="B3882" s="44"/>
      <c r="C3882" s="44"/>
      <c r="D3882" s="44"/>
      <c r="E3882" s="44"/>
      <c r="F3882" s="44"/>
      <c r="G3882" s="42"/>
      <c r="H3882" s="42"/>
      <c r="I3882" s="44"/>
      <c r="J3882" s="11" t="str">
        <f aca="false">IF(D3882="","",N(G3882)-N(H3882))</f>
        <v/>
      </c>
      <c r="K3882" s="34" t="str">
        <f aca="false">IF(D3882="","",IFERROR(INDEX(I_COA!$C$6:$C$265,MATCH(D3882,I_COA!$A$6:$A$265,0)),"AKUN BARU"))</f>
        <v/>
      </c>
      <c r="L3882" s="34" t="str">
        <f aca="false">IF(K3882="LabaRugi",INDEX(I_COA!$D$6:$D$265,MATCH(D3882,I_COA!$A$6:$A$265,0)),"")</f>
        <v/>
      </c>
      <c r="M3882" s="34" t="str">
        <f aca="false">IF(K3882="Neraca",INDEX(I_COA!$E$6:$E$265,MATCH(D3882,I_COA!$A$6:$A$265,0)),"")</f>
        <v/>
      </c>
      <c r="N3882" s="34" t="str">
        <f aca="false">IF(D3882="","",IFERROR(INDEX(I_COA!$G$6:$G$265,MATCH(D3882,I_COA!$A$6:$A$265,0)),"N"))</f>
        <v/>
      </c>
      <c r="O3882" s="11" t="str">
        <f aca="false">IF(N3882="N",ABS(J3882),"")</f>
        <v/>
      </c>
      <c r="P3882" s="18" t="str">
        <f aca="false">IF(N3882="N",B3882&amp;"|"&amp;ROUND(O3882,0),"")</f>
        <v/>
      </c>
      <c r="Q3882" s="18" t="str">
        <f aca="false">IF(N3882&lt;&gt;"Y","",IFERROR(INDEX($D$6:$D$4005,MATCH(B3882&amp;"|"&amp;ROUND(_xlfn.MAXIFS($O$6:$O$4005,$B$6:$B$4005,B3882,$N$6:$N$4005,"N"),0),$P$6:$P$4005,0)),"(tanpa lawan)"))</f>
        <v/>
      </c>
      <c r="R3882" s="44"/>
      <c r="S3882" s="9" t="str">
        <f aca="false">IF(N3882&lt;&gt;"Y","",IF(R3882&lt;&gt;"",R3882,IF(Q3882="(tanpa lawan)","Transfer antar rekening",IFERROR(INDEX(I_COA!$F$6:$F$265,MATCH(Q3882,I_COA!$A$6:$A$265,0)),"?"))))</f>
        <v/>
      </c>
    </row>
    <row r="3883" customFormat="false" ht="15" hidden="false" customHeight="false" outlineLevel="0" collapsed="false">
      <c r="A3883" s="37"/>
      <c r="B3883" s="44"/>
      <c r="C3883" s="44"/>
      <c r="D3883" s="44"/>
      <c r="E3883" s="44"/>
      <c r="F3883" s="44"/>
      <c r="G3883" s="42"/>
      <c r="H3883" s="42"/>
      <c r="I3883" s="44"/>
      <c r="J3883" s="11" t="str">
        <f aca="false">IF(D3883="","",N(G3883)-N(H3883))</f>
        <v/>
      </c>
      <c r="K3883" s="34" t="str">
        <f aca="false">IF(D3883="","",IFERROR(INDEX(I_COA!$C$6:$C$265,MATCH(D3883,I_COA!$A$6:$A$265,0)),"AKUN BARU"))</f>
        <v/>
      </c>
      <c r="L3883" s="34" t="str">
        <f aca="false">IF(K3883="LabaRugi",INDEX(I_COA!$D$6:$D$265,MATCH(D3883,I_COA!$A$6:$A$265,0)),"")</f>
        <v/>
      </c>
      <c r="M3883" s="34" t="str">
        <f aca="false">IF(K3883="Neraca",INDEX(I_COA!$E$6:$E$265,MATCH(D3883,I_COA!$A$6:$A$265,0)),"")</f>
        <v/>
      </c>
      <c r="N3883" s="34" t="str">
        <f aca="false">IF(D3883="","",IFERROR(INDEX(I_COA!$G$6:$G$265,MATCH(D3883,I_COA!$A$6:$A$265,0)),"N"))</f>
        <v/>
      </c>
      <c r="O3883" s="11" t="str">
        <f aca="false">IF(N3883="N",ABS(J3883),"")</f>
        <v/>
      </c>
      <c r="P3883" s="18" t="str">
        <f aca="false">IF(N3883="N",B3883&amp;"|"&amp;ROUND(O3883,0),"")</f>
        <v/>
      </c>
      <c r="Q3883" s="18" t="str">
        <f aca="false">IF(N3883&lt;&gt;"Y","",IFERROR(INDEX($D$6:$D$4005,MATCH(B3883&amp;"|"&amp;ROUND(_xlfn.MAXIFS($O$6:$O$4005,$B$6:$B$4005,B3883,$N$6:$N$4005,"N"),0),$P$6:$P$4005,0)),"(tanpa lawan)"))</f>
        <v/>
      </c>
      <c r="R3883" s="44"/>
      <c r="S3883" s="9" t="str">
        <f aca="false">IF(N3883&lt;&gt;"Y","",IF(R3883&lt;&gt;"",R3883,IF(Q3883="(tanpa lawan)","Transfer antar rekening",IFERROR(INDEX(I_COA!$F$6:$F$265,MATCH(Q3883,I_COA!$A$6:$A$265,0)),"?"))))</f>
        <v/>
      </c>
    </row>
    <row r="3884" customFormat="false" ht="15" hidden="false" customHeight="false" outlineLevel="0" collapsed="false">
      <c r="A3884" s="37"/>
      <c r="B3884" s="44"/>
      <c r="C3884" s="44"/>
      <c r="D3884" s="44"/>
      <c r="E3884" s="44"/>
      <c r="F3884" s="44"/>
      <c r="G3884" s="42"/>
      <c r="H3884" s="42"/>
      <c r="I3884" s="44"/>
      <c r="J3884" s="11" t="str">
        <f aca="false">IF(D3884="","",N(G3884)-N(H3884))</f>
        <v/>
      </c>
      <c r="K3884" s="34" t="str">
        <f aca="false">IF(D3884="","",IFERROR(INDEX(I_COA!$C$6:$C$265,MATCH(D3884,I_COA!$A$6:$A$265,0)),"AKUN BARU"))</f>
        <v/>
      </c>
      <c r="L3884" s="34" t="str">
        <f aca="false">IF(K3884="LabaRugi",INDEX(I_COA!$D$6:$D$265,MATCH(D3884,I_COA!$A$6:$A$265,0)),"")</f>
        <v/>
      </c>
      <c r="M3884" s="34" t="str">
        <f aca="false">IF(K3884="Neraca",INDEX(I_COA!$E$6:$E$265,MATCH(D3884,I_COA!$A$6:$A$265,0)),"")</f>
        <v/>
      </c>
      <c r="N3884" s="34" t="str">
        <f aca="false">IF(D3884="","",IFERROR(INDEX(I_COA!$G$6:$G$265,MATCH(D3884,I_COA!$A$6:$A$265,0)),"N"))</f>
        <v/>
      </c>
      <c r="O3884" s="11" t="str">
        <f aca="false">IF(N3884="N",ABS(J3884),"")</f>
        <v/>
      </c>
      <c r="P3884" s="18" t="str">
        <f aca="false">IF(N3884="N",B3884&amp;"|"&amp;ROUND(O3884,0),"")</f>
        <v/>
      </c>
      <c r="Q3884" s="18" t="str">
        <f aca="false">IF(N3884&lt;&gt;"Y","",IFERROR(INDEX($D$6:$D$4005,MATCH(B3884&amp;"|"&amp;ROUND(_xlfn.MAXIFS($O$6:$O$4005,$B$6:$B$4005,B3884,$N$6:$N$4005,"N"),0),$P$6:$P$4005,0)),"(tanpa lawan)"))</f>
        <v/>
      </c>
      <c r="R3884" s="44"/>
      <c r="S3884" s="9" t="str">
        <f aca="false">IF(N3884&lt;&gt;"Y","",IF(R3884&lt;&gt;"",R3884,IF(Q3884="(tanpa lawan)","Transfer antar rekening",IFERROR(INDEX(I_COA!$F$6:$F$265,MATCH(Q3884,I_COA!$A$6:$A$265,0)),"?"))))</f>
        <v/>
      </c>
    </row>
    <row r="3885" customFormat="false" ht="15" hidden="false" customHeight="false" outlineLevel="0" collapsed="false">
      <c r="A3885" s="37"/>
      <c r="B3885" s="44"/>
      <c r="C3885" s="44"/>
      <c r="D3885" s="44"/>
      <c r="E3885" s="44"/>
      <c r="F3885" s="44"/>
      <c r="G3885" s="42"/>
      <c r="H3885" s="42"/>
      <c r="I3885" s="44"/>
      <c r="J3885" s="11" t="str">
        <f aca="false">IF(D3885="","",N(G3885)-N(H3885))</f>
        <v/>
      </c>
      <c r="K3885" s="34" t="str">
        <f aca="false">IF(D3885="","",IFERROR(INDEX(I_COA!$C$6:$C$265,MATCH(D3885,I_COA!$A$6:$A$265,0)),"AKUN BARU"))</f>
        <v/>
      </c>
      <c r="L3885" s="34" t="str">
        <f aca="false">IF(K3885="LabaRugi",INDEX(I_COA!$D$6:$D$265,MATCH(D3885,I_COA!$A$6:$A$265,0)),"")</f>
        <v/>
      </c>
      <c r="M3885" s="34" t="str">
        <f aca="false">IF(K3885="Neraca",INDEX(I_COA!$E$6:$E$265,MATCH(D3885,I_COA!$A$6:$A$265,0)),"")</f>
        <v/>
      </c>
      <c r="N3885" s="34" t="str">
        <f aca="false">IF(D3885="","",IFERROR(INDEX(I_COA!$G$6:$G$265,MATCH(D3885,I_COA!$A$6:$A$265,0)),"N"))</f>
        <v/>
      </c>
      <c r="O3885" s="11" t="str">
        <f aca="false">IF(N3885="N",ABS(J3885),"")</f>
        <v/>
      </c>
      <c r="P3885" s="18" t="str">
        <f aca="false">IF(N3885="N",B3885&amp;"|"&amp;ROUND(O3885,0),"")</f>
        <v/>
      </c>
      <c r="Q3885" s="18" t="str">
        <f aca="false">IF(N3885&lt;&gt;"Y","",IFERROR(INDEX($D$6:$D$4005,MATCH(B3885&amp;"|"&amp;ROUND(_xlfn.MAXIFS($O$6:$O$4005,$B$6:$B$4005,B3885,$N$6:$N$4005,"N"),0),$P$6:$P$4005,0)),"(tanpa lawan)"))</f>
        <v/>
      </c>
      <c r="R3885" s="44"/>
      <c r="S3885" s="9" t="str">
        <f aca="false">IF(N3885&lt;&gt;"Y","",IF(R3885&lt;&gt;"",R3885,IF(Q3885="(tanpa lawan)","Transfer antar rekening",IFERROR(INDEX(I_COA!$F$6:$F$265,MATCH(Q3885,I_COA!$A$6:$A$265,0)),"?"))))</f>
        <v/>
      </c>
    </row>
    <row r="3886" customFormat="false" ht="15" hidden="false" customHeight="false" outlineLevel="0" collapsed="false">
      <c r="A3886" s="37"/>
      <c r="B3886" s="44"/>
      <c r="C3886" s="44"/>
      <c r="D3886" s="44"/>
      <c r="E3886" s="44"/>
      <c r="F3886" s="44"/>
      <c r="G3886" s="42"/>
      <c r="H3886" s="42"/>
      <c r="I3886" s="44"/>
      <c r="J3886" s="11" t="str">
        <f aca="false">IF(D3886="","",N(G3886)-N(H3886))</f>
        <v/>
      </c>
      <c r="K3886" s="34" t="str">
        <f aca="false">IF(D3886="","",IFERROR(INDEX(I_COA!$C$6:$C$265,MATCH(D3886,I_COA!$A$6:$A$265,0)),"AKUN BARU"))</f>
        <v/>
      </c>
      <c r="L3886" s="34" t="str">
        <f aca="false">IF(K3886="LabaRugi",INDEX(I_COA!$D$6:$D$265,MATCH(D3886,I_COA!$A$6:$A$265,0)),"")</f>
        <v/>
      </c>
      <c r="M3886" s="34" t="str">
        <f aca="false">IF(K3886="Neraca",INDEX(I_COA!$E$6:$E$265,MATCH(D3886,I_COA!$A$6:$A$265,0)),"")</f>
        <v/>
      </c>
      <c r="N3886" s="34" t="str">
        <f aca="false">IF(D3886="","",IFERROR(INDEX(I_COA!$G$6:$G$265,MATCH(D3886,I_COA!$A$6:$A$265,0)),"N"))</f>
        <v/>
      </c>
      <c r="O3886" s="11" t="str">
        <f aca="false">IF(N3886="N",ABS(J3886),"")</f>
        <v/>
      </c>
      <c r="P3886" s="18" t="str">
        <f aca="false">IF(N3886="N",B3886&amp;"|"&amp;ROUND(O3886,0),"")</f>
        <v/>
      </c>
      <c r="Q3886" s="18" t="str">
        <f aca="false">IF(N3886&lt;&gt;"Y","",IFERROR(INDEX($D$6:$D$4005,MATCH(B3886&amp;"|"&amp;ROUND(_xlfn.MAXIFS($O$6:$O$4005,$B$6:$B$4005,B3886,$N$6:$N$4005,"N"),0),$P$6:$P$4005,0)),"(tanpa lawan)"))</f>
        <v/>
      </c>
      <c r="R3886" s="44"/>
      <c r="S3886" s="9" t="str">
        <f aca="false">IF(N3886&lt;&gt;"Y","",IF(R3886&lt;&gt;"",R3886,IF(Q3886="(tanpa lawan)","Transfer antar rekening",IFERROR(INDEX(I_COA!$F$6:$F$265,MATCH(Q3886,I_COA!$A$6:$A$265,0)),"?"))))</f>
        <v/>
      </c>
    </row>
    <row r="3887" customFormat="false" ht="15" hidden="false" customHeight="false" outlineLevel="0" collapsed="false">
      <c r="A3887" s="37"/>
      <c r="B3887" s="44"/>
      <c r="C3887" s="44"/>
      <c r="D3887" s="44"/>
      <c r="E3887" s="44"/>
      <c r="F3887" s="44"/>
      <c r="G3887" s="42"/>
      <c r="H3887" s="42"/>
      <c r="I3887" s="44"/>
      <c r="J3887" s="11" t="str">
        <f aca="false">IF(D3887="","",N(G3887)-N(H3887))</f>
        <v/>
      </c>
      <c r="K3887" s="34" t="str">
        <f aca="false">IF(D3887="","",IFERROR(INDEX(I_COA!$C$6:$C$265,MATCH(D3887,I_COA!$A$6:$A$265,0)),"AKUN BARU"))</f>
        <v/>
      </c>
      <c r="L3887" s="34" t="str">
        <f aca="false">IF(K3887="LabaRugi",INDEX(I_COA!$D$6:$D$265,MATCH(D3887,I_COA!$A$6:$A$265,0)),"")</f>
        <v/>
      </c>
      <c r="M3887" s="34" t="str">
        <f aca="false">IF(K3887="Neraca",INDEX(I_COA!$E$6:$E$265,MATCH(D3887,I_COA!$A$6:$A$265,0)),"")</f>
        <v/>
      </c>
      <c r="N3887" s="34" t="str">
        <f aca="false">IF(D3887="","",IFERROR(INDEX(I_COA!$G$6:$G$265,MATCH(D3887,I_COA!$A$6:$A$265,0)),"N"))</f>
        <v/>
      </c>
      <c r="O3887" s="11" t="str">
        <f aca="false">IF(N3887="N",ABS(J3887),"")</f>
        <v/>
      </c>
      <c r="P3887" s="18" t="str">
        <f aca="false">IF(N3887="N",B3887&amp;"|"&amp;ROUND(O3887,0),"")</f>
        <v/>
      </c>
      <c r="Q3887" s="18" t="str">
        <f aca="false">IF(N3887&lt;&gt;"Y","",IFERROR(INDEX($D$6:$D$4005,MATCH(B3887&amp;"|"&amp;ROUND(_xlfn.MAXIFS($O$6:$O$4005,$B$6:$B$4005,B3887,$N$6:$N$4005,"N"),0),$P$6:$P$4005,0)),"(tanpa lawan)"))</f>
        <v/>
      </c>
      <c r="R3887" s="44"/>
      <c r="S3887" s="9" t="str">
        <f aca="false">IF(N3887&lt;&gt;"Y","",IF(R3887&lt;&gt;"",R3887,IF(Q3887="(tanpa lawan)","Transfer antar rekening",IFERROR(INDEX(I_COA!$F$6:$F$265,MATCH(Q3887,I_COA!$A$6:$A$265,0)),"?"))))</f>
        <v/>
      </c>
    </row>
    <row r="3888" customFormat="false" ht="15" hidden="false" customHeight="false" outlineLevel="0" collapsed="false">
      <c r="A3888" s="37"/>
      <c r="B3888" s="44"/>
      <c r="C3888" s="44"/>
      <c r="D3888" s="44"/>
      <c r="E3888" s="44"/>
      <c r="F3888" s="44"/>
      <c r="G3888" s="42"/>
      <c r="H3888" s="42"/>
      <c r="I3888" s="44"/>
      <c r="J3888" s="11" t="str">
        <f aca="false">IF(D3888="","",N(G3888)-N(H3888))</f>
        <v/>
      </c>
      <c r="K3888" s="34" t="str">
        <f aca="false">IF(D3888="","",IFERROR(INDEX(I_COA!$C$6:$C$265,MATCH(D3888,I_COA!$A$6:$A$265,0)),"AKUN BARU"))</f>
        <v/>
      </c>
      <c r="L3888" s="34" t="str">
        <f aca="false">IF(K3888="LabaRugi",INDEX(I_COA!$D$6:$D$265,MATCH(D3888,I_COA!$A$6:$A$265,0)),"")</f>
        <v/>
      </c>
      <c r="M3888" s="34" t="str">
        <f aca="false">IF(K3888="Neraca",INDEX(I_COA!$E$6:$E$265,MATCH(D3888,I_COA!$A$6:$A$265,0)),"")</f>
        <v/>
      </c>
      <c r="N3888" s="34" t="str">
        <f aca="false">IF(D3888="","",IFERROR(INDEX(I_COA!$G$6:$G$265,MATCH(D3888,I_COA!$A$6:$A$265,0)),"N"))</f>
        <v/>
      </c>
      <c r="O3888" s="11" t="str">
        <f aca="false">IF(N3888="N",ABS(J3888),"")</f>
        <v/>
      </c>
      <c r="P3888" s="18" t="str">
        <f aca="false">IF(N3888="N",B3888&amp;"|"&amp;ROUND(O3888,0),"")</f>
        <v/>
      </c>
      <c r="Q3888" s="18" t="str">
        <f aca="false">IF(N3888&lt;&gt;"Y","",IFERROR(INDEX($D$6:$D$4005,MATCH(B3888&amp;"|"&amp;ROUND(_xlfn.MAXIFS($O$6:$O$4005,$B$6:$B$4005,B3888,$N$6:$N$4005,"N"),0),$P$6:$P$4005,0)),"(tanpa lawan)"))</f>
        <v/>
      </c>
      <c r="R3888" s="44"/>
      <c r="S3888" s="9" t="str">
        <f aca="false">IF(N3888&lt;&gt;"Y","",IF(R3888&lt;&gt;"",R3888,IF(Q3888="(tanpa lawan)","Transfer antar rekening",IFERROR(INDEX(I_COA!$F$6:$F$265,MATCH(Q3888,I_COA!$A$6:$A$265,0)),"?"))))</f>
        <v/>
      </c>
    </row>
    <row r="3889" customFormat="false" ht="15" hidden="false" customHeight="false" outlineLevel="0" collapsed="false">
      <c r="A3889" s="37"/>
      <c r="B3889" s="44"/>
      <c r="C3889" s="44"/>
      <c r="D3889" s="44"/>
      <c r="E3889" s="44"/>
      <c r="F3889" s="44"/>
      <c r="G3889" s="42"/>
      <c r="H3889" s="42"/>
      <c r="I3889" s="44"/>
      <c r="J3889" s="11" t="str">
        <f aca="false">IF(D3889="","",N(G3889)-N(H3889))</f>
        <v/>
      </c>
      <c r="K3889" s="34" t="str">
        <f aca="false">IF(D3889="","",IFERROR(INDEX(I_COA!$C$6:$C$265,MATCH(D3889,I_COA!$A$6:$A$265,0)),"AKUN BARU"))</f>
        <v/>
      </c>
      <c r="L3889" s="34" t="str">
        <f aca="false">IF(K3889="LabaRugi",INDEX(I_COA!$D$6:$D$265,MATCH(D3889,I_COA!$A$6:$A$265,0)),"")</f>
        <v/>
      </c>
      <c r="M3889" s="34" t="str">
        <f aca="false">IF(K3889="Neraca",INDEX(I_COA!$E$6:$E$265,MATCH(D3889,I_COA!$A$6:$A$265,0)),"")</f>
        <v/>
      </c>
      <c r="N3889" s="34" t="str">
        <f aca="false">IF(D3889="","",IFERROR(INDEX(I_COA!$G$6:$G$265,MATCH(D3889,I_COA!$A$6:$A$265,0)),"N"))</f>
        <v/>
      </c>
      <c r="O3889" s="11" t="str">
        <f aca="false">IF(N3889="N",ABS(J3889),"")</f>
        <v/>
      </c>
      <c r="P3889" s="18" t="str">
        <f aca="false">IF(N3889="N",B3889&amp;"|"&amp;ROUND(O3889,0),"")</f>
        <v/>
      </c>
      <c r="Q3889" s="18" t="str">
        <f aca="false">IF(N3889&lt;&gt;"Y","",IFERROR(INDEX($D$6:$D$4005,MATCH(B3889&amp;"|"&amp;ROUND(_xlfn.MAXIFS($O$6:$O$4005,$B$6:$B$4005,B3889,$N$6:$N$4005,"N"),0),$P$6:$P$4005,0)),"(tanpa lawan)"))</f>
        <v/>
      </c>
      <c r="R3889" s="44"/>
      <c r="S3889" s="9" t="str">
        <f aca="false">IF(N3889&lt;&gt;"Y","",IF(R3889&lt;&gt;"",R3889,IF(Q3889="(tanpa lawan)","Transfer antar rekening",IFERROR(INDEX(I_COA!$F$6:$F$265,MATCH(Q3889,I_COA!$A$6:$A$265,0)),"?"))))</f>
        <v/>
      </c>
    </row>
    <row r="3890" customFormat="false" ht="15" hidden="false" customHeight="false" outlineLevel="0" collapsed="false">
      <c r="A3890" s="37"/>
      <c r="B3890" s="44"/>
      <c r="C3890" s="44"/>
      <c r="D3890" s="44"/>
      <c r="E3890" s="44"/>
      <c r="F3890" s="44"/>
      <c r="G3890" s="42"/>
      <c r="H3890" s="42"/>
      <c r="I3890" s="44"/>
      <c r="J3890" s="11" t="str">
        <f aca="false">IF(D3890="","",N(G3890)-N(H3890))</f>
        <v/>
      </c>
      <c r="K3890" s="34" t="str">
        <f aca="false">IF(D3890="","",IFERROR(INDEX(I_COA!$C$6:$C$265,MATCH(D3890,I_COA!$A$6:$A$265,0)),"AKUN BARU"))</f>
        <v/>
      </c>
      <c r="L3890" s="34" t="str">
        <f aca="false">IF(K3890="LabaRugi",INDEX(I_COA!$D$6:$D$265,MATCH(D3890,I_COA!$A$6:$A$265,0)),"")</f>
        <v/>
      </c>
      <c r="M3890" s="34" t="str">
        <f aca="false">IF(K3890="Neraca",INDEX(I_COA!$E$6:$E$265,MATCH(D3890,I_COA!$A$6:$A$265,0)),"")</f>
        <v/>
      </c>
      <c r="N3890" s="34" t="str">
        <f aca="false">IF(D3890="","",IFERROR(INDEX(I_COA!$G$6:$G$265,MATCH(D3890,I_COA!$A$6:$A$265,0)),"N"))</f>
        <v/>
      </c>
      <c r="O3890" s="11" t="str">
        <f aca="false">IF(N3890="N",ABS(J3890),"")</f>
        <v/>
      </c>
      <c r="P3890" s="18" t="str">
        <f aca="false">IF(N3890="N",B3890&amp;"|"&amp;ROUND(O3890,0),"")</f>
        <v/>
      </c>
      <c r="Q3890" s="18" t="str">
        <f aca="false">IF(N3890&lt;&gt;"Y","",IFERROR(INDEX($D$6:$D$4005,MATCH(B3890&amp;"|"&amp;ROUND(_xlfn.MAXIFS($O$6:$O$4005,$B$6:$B$4005,B3890,$N$6:$N$4005,"N"),0),$P$6:$P$4005,0)),"(tanpa lawan)"))</f>
        <v/>
      </c>
      <c r="R3890" s="44"/>
      <c r="S3890" s="9" t="str">
        <f aca="false">IF(N3890&lt;&gt;"Y","",IF(R3890&lt;&gt;"",R3890,IF(Q3890="(tanpa lawan)","Transfer antar rekening",IFERROR(INDEX(I_COA!$F$6:$F$265,MATCH(Q3890,I_COA!$A$6:$A$265,0)),"?"))))</f>
        <v/>
      </c>
    </row>
    <row r="3891" customFormat="false" ht="15" hidden="false" customHeight="false" outlineLevel="0" collapsed="false">
      <c r="A3891" s="37"/>
      <c r="B3891" s="44"/>
      <c r="C3891" s="44"/>
      <c r="D3891" s="44"/>
      <c r="E3891" s="44"/>
      <c r="F3891" s="44"/>
      <c r="G3891" s="42"/>
      <c r="H3891" s="42"/>
      <c r="I3891" s="44"/>
      <c r="J3891" s="11" t="str">
        <f aca="false">IF(D3891="","",N(G3891)-N(H3891))</f>
        <v/>
      </c>
      <c r="K3891" s="34" t="str">
        <f aca="false">IF(D3891="","",IFERROR(INDEX(I_COA!$C$6:$C$265,MATCH(D3891,I_COA!$A$6:$A$265,0)),"AKUN BARU"))</f>
        <v/>
      </c>
      <c r="L3891" s="34" t="str">
        <f aca="false">IF(K3891="LabaRugi",INDEX(I_COA!$D$6:$D$265,MATCH(D3891,I_COA!$A$6:$A$265,0)),"")</f>
        <v/>
      </c>
      <c r="M3891" s="34" t="str">
        <f aca="false">IF(K3891="Neraca",INDEX(I_COA!$E$6:$E$265,MATCH(D3891,I_COA!$A$6:$A$265,0)),"")</f>
        <v/>
      </c>
      <c r="N3891" s="34" t="str">
        <f aca="false">IF(D3891="","",IFERROR(INDEX(I_COA!$G$6:$G$265,MATCH(D3891,I_COA!$A$6:$A$265,0)),"N"))</f>
        <v/>
      </c>
      <c r="O3891" s="11" t="str">
        <f aca="false">IF(N3891="N",ABS(J3891),"")</f>
        <v/>
      </c>
      <c r="P3891" s="18" t="str">
        <f aca="false">IF(N3891="N",B3891&amp;"|"&amp;ROUND(O3891,0),"")</f>
        <v/>
      </c>
      <c r="Q3891" s="18" t="str">
        <f aca="false">IF(N3891&lt;&gt;"Y","",IFERROR(INDEX($D$6:$D$4005,MATCH(B3891&amp;"|"&amp;ROUND(_xlfn.MAXIFS($O$6:$O$4005,$B$6:$B$4005,B3891,$N$6:$N$4005,"N"),0),$P$6:$P$4005,0)),"(tanpa lawan)"))</f>
        <v/>
      </c>
      <c r="R3891" s="44"/>
      <c r="S3891" s="9" t="str">
        <f aca="false">IF(N3891&lt;&gt;"Y","",IF(R3891&lt;&gt;"",R3891,IF(Q3891="(tanpa lawan)","Transfer antar rekening",IFERROR(INDEX(I_COA!$F$6:$F$265,MATCH(Q3891,I_COA!$A$6:$A$265,0)),"?"))))</f>
        <v/>
      </c>
    </row>
    <row r="3892" customFormat="false" ht="15" hidden="false" customHeight="false" outlineLevel="0" collapsed="false">
      <c r="A3892" s="37"/>
      <c r="B3892" s="44"/>
      <c r="C3892" s="44"/>
      <c r="D3892" s="44"/>
      <c r="E3892" s="44"/>
      <c r="F3892" s="44"/>
      <c r="G3892" s="42"/>
      <c r="H3892" s="42"/>
      <c r="I3892" s="44"/>
      <c r="J3892" s="11" t="str">
        <f aca="false">IF(D3892="","",N(G3892)-N(H3892))</f>
        <v/>
      </c>
      <c r="K3892" s="34" t="str">
        <f aca="false">IF(D3892="","",IFERROR(INDEX(I_COA!$C$6:$C$265,MATCH(D3892,I_COA!$A$6:$A$265,0)),"AKUN BARU"))</f>
        <v/>
      </c>
      <c r="L3892" s="34" t="str">
        <f aca="false">IF(K3892="LabaRugi",INDEX(I_COA!$D$6:$D$265,MATCH(D3892,I_COA!$A$6:$A$265,0)),"")</f>
        <v/>
      </c>
      <c r="M3892" s="34" t="str">
        <f aca="false">IF(K3892="Neraca",INDEX(I_COA!$E$6:$E$265,MATCH(D3892,I_COA!$A$6:$A$265,0)),"")</f>
        <v/>
      </c>
      <c r="N3892" s="34" t="str">
        <f aca="false">IF(D3892="","",IFERROR(INDEX(I_COA!$G$6:$G$265,MATCH(D3892,I_COA!$A$6:$A$265,0)),"N"))</f>
        <v/>
      </c>
      <c r="O3892" s="11" t="str">
        <f aca="false">IF(N3892="N",ABS(J3892),"")</f>
        <v/>
      </c>
      <c r="P3892" s="18" t="str">
        <f aca="false">IF(N3892="N",B3892&amp;"|"&amp;ROUND(O3892,0),"")</f>
        <v/>
      </c>
      <c r="Q3892" s="18" t="str">
        <f aca="false">IF(N3892&lt;&gt;"Y","",IFERROR(INDEX($D$6:$D$4005,MATCH(B3892&amp;"|"&amp;ROUND(_xlfn.MAXIFS($O$6:$O$4005,$B$6:$B$4005,B3892,$N$6:$N$4005,"N"),0),$P$6:$P$4005,0)),"(tanpa lawan)"))</f>
        <v/>
      </c>
      <c r="R3892" s="44"/>
      <c r="S3892" s="9" t="str">
        <f aca="false">IF(N3892&lt;&gt;"Y","",IF(R3892&lt;&gt;"",R3892,IF(Q3892="(tanpa lawan)","Transfer antar rekening",IFERROR(INDEX(I_COA!$F$6:$F$265,MATCH(Q3892,I_COA!$A$6:$A$265,0)),"?"))))</f>
        <v/>
      </c>
    </row>
    <row r="3893" customFormat="false" ht="15" hidden="false" customHeight="false" outlineLevel="0" collapsed="false">
      <c r="A3893" s="37"/>
      <c r="B3893" s="44"/>
      <c r="C3893" s="44"/>
      <c r="D3893" s="44"/>
      <c r="E3893" s="44"/>
      <c r="F3893" s="44"/>
      <c r="G3893" s="42"/>
      <c r="H3893" s="42"/>
      <c r="I3893" s="44"/>
      <c r="J3893" s="11" t="str">
        <f aca="false">IF(D3893="","",N(G3893)-N(H3893))</f>
        <v/>
      </c>
      <c r="K3893" s="34" t="str">
        <f aca="false">IF(D3893="","",IFERROR(INDEX(I_COA!$C$6:$C$265,MATCH(D3893,I_COA!$A$6:$A$265,0)),"AKUN BARU"))</f>
        <v/>
      </c>
      <c r="L3893" s="34" t="str">
        <f aca="false">IF(K3893="LabaRugi",INDEX(I_COA!$D$6:$D$265,MATCH(D3893,I_COA!$A$6:$A$265,0)),"")</f>
        <v/>
      </c>
      <c r="M3893" s="34" t="str">
        <f aca="false">IF(K3893="Neraca",INDEX(I_COA!$E$6:$E$265,MATCH(D3893,I_COA!$A$6:$A$265,0)),"")</f>
        <v/>
      </c>
      <c r="N3893" s="34" t="str">
        <f aca="false">IF(D3893="","",IFERROR(INDEX(I_COA!$G$6:$G$265,MATCH(D3893,I_COA!$A$6:$A$265,0)),"N"))</f>
        <v/>
      </c>
      <c r="O3893" s="11" t="str">
        <f aca="false">IF(N3893="N",ABS(J3893),"")</f>
        <v/>
      </c>
      <c r="P3893" s="18" t="str">
        <f aca="false">IF(N3893="N",B3893&amp;"|"&amp;ROUND(O3893,0),"")</f>
        <v/>
      </c>
      <c r="Q3893" s="18" t="str">
        <f aca="false">IF(N3893&lt;&gt;"Y","",IFERROR(INDEX($D$6:$D$4005,MATCH(B3893&amp;"|"&amp;ROUND(_xlfn.MAXIFS($O$6:$O$4005,$B$6:$B$4005,B3893,$N$6:$N$4005,"N"),0),$P$6:$P$4005,0)),"(tanpa lawan)"))</f>
        <v/>
      </c>
      <c r="R3893" s="44"/>
      <c r="S3893" s="9" t="str">
        <f aca="false">IF(N3893&lt;&gt;"Y","",IF(R3893&lt;&gt;"",R3893,IF(Q3893="(tanpa lawan)","Transfer antar rekening",IFERROR(INDEX(I_COA!$F$6:$F$265,MATCH(Q3893,I_COA!$A$6:$A$265,0)),"?"))))</f>
        <v/>
      </c>
    </row>
    <row r="3894" customFormat="false" ht="15" hidden="false" customHeight="false" outlineLevel="0" collapsed="false">
      <c r="A3894" s="37"/>
      <c r="B3894" s="44"/>
      <c r="C3894" s="44"/>
      <c r="D3894" s="44"/>
      <c r="E3894" s="44"/>
      <c r="F3894" s="44"/>
      <c r="G3894" s="42"/>
      <c r="H3894" s="42"/>
      <c r="I3894" s="44"/>
      <c r="J3894" s="11" t="str">
        <f aca="false">IF(D3894="","",N(G3894)-N(H3894))</f>
        <v/>
      </c>
      <c r="K3894" s="34" t="str">
        <f aca="false">IF(D3894="","",IFERROR(INDEX(I_COA!$C$6:$C$265,MATCH(D3894,I_COA!$A$6:$A$265,0)),"AKUN BARU"))</f>
        <v/>
      </c>
      <c r="L3894" s="34" t="str">
        <f aca="false">IF(K3894="LabaRugi",INDEX(I_COA!$D$6:$D$265,MATCH(D3894,I_COA!$A$6:$A$265,0)),"")</f>
        <v/>
      </c>
      <c r="M3894" s="34" t="str">
        <f aca="false">IF(K3894="Neraca",INDEX(I_COA!$E$6:$E$265,MATCH(D3894,I_COA!$A$6:$A$265,0)),"")</f>
        <v/>
      </c>
      <c r="N3894" s="34" t="str">
        <f aca="false">IF(D3894="","",IFERROR(INDEX(I_COA!$G$6:$G$265,MATCH(D3894,I_COA!$A$6:$A$265,0)),"N"))</f>
        <v/>
      </c>
      <c r="O3894" s="11" t="str">
        <f aca="false">IF(N3894="N",ABS(J3894),"")</f>
        <v/>
      </c>
      <c r="P3894" s="18" t="str">
        <f aca="false">IF(N3894="N",B3894&amp;"|"&amp;ROUND(O3894,0),"")</f>
        <v/>
      </c>
      <c r="Q3894" s="18" t="str">
        <f aca="false">IF(N3894&lt;&gt;"Y","",IFERROR(INDEX($D$6:$D$4005,MATCH(B3894&amp;"|"&amp;ROUND(_xlfn.MAXIFS($O$6:$O$4005,$B$6:$B$4005,B3894,$N$6:$N$4005,"N"),0),$P$6:$P$4005,0)),"(tanpa lawan)"))</f>
        <v/>
      </c>
      <c r="R3894" s="44"/>
      <c r="S3894" s="9" t="str">
        <f aca="false">IF(N3894&lt;&gt;"Y","",IF(R3894&lt;&gt;"",R3894,IF(Q3894="(tanpa lawan)","Transfer antar rekening",IFERROR(INDEX(I_COA!$F$6:$F$265,MATCH(Q3894,I_COA!$A$6:$A$265,0)),"?"))))</f>
        <v/>
      </c>
    </row>
    <row r="3895" customFormat="false" ht="15" hidden="false" customHeight="false" outlineLevel="0" collapsed="false">
      <c r="A3895" s="37"/>
      <c r="B3895" s="44"/>
      <c r="C3895" s="44"/>
      <c r="D3895" s="44"/>
      <c r="E3895" s="44"/>
      <c r="F3895" s="44"/>
      <c r="G3895" s="42"/>
      <c r="H3895" s="42"/>
      <c r="I3895" s="44"/>
      <c r="J3895" s="11" t="str">
        <f aca="false">IF(D3895="","",N(G3895)-N(H3895))</f>
        <v/>
      </c>
      <c r="K3895" s="34" t="str">
        <f aca="false">IF(D3895="","",IFERROR(INDEX(I_COA!$C$6:$C$265,MATCH(D3895,I_COA!$A$6:$A$265,0)),"AKUN BARU"))</f>
        <v/>
      </c>
      <c r="L3895" s="34" t="str">
        <f aca="false">IF(K3895="LabaRugi",INDEX(I_COA!$D$6:$D$265,MATCH(D3895,I_COA!$A$6:$A$265,0)),"")</f>
        <v/>
      </c>
      <c r="M3895" s="34" t="str">
        <f aca="false">IF(K3895="Neraca",INDEX(I_COA!$E$6:$E$265,MATCH(D3895,I_COA!$A$6:$A$265,0)),"")</f>
        <v/>
      </c>
      <c r="N3895" s="34" t="str">
        <f aca="false">IF(D3895="","",IFERROR(INDEX(I_COA!$G$6:$G$265,MATCH(D3895,I_COA!$A$6:$A$265,0)),"N"))</f>
        <v/>
      </c>
      <c r="O3895" s="11" t="str">
        <f aca="false">IF(N3895="N",ABS(J3895),"")</f>
        <v/>
      </c>
      <c r="P3895" s="18" t="str">
        <f aca="false">IF(N3895="N",B3895&amp;"|"&amp;ROUND(O3895,0),"")</f>
        <v/>
      </c>
      <c r="Q3895" s="18" t="str">
        <f aca="false">IF(N3895&lt;&gt;"Y","",IFERROR(INDEX($D$6:$D$4005,MATCH(B3895&amp;"|"&amp;ROUND(_xlfn.MAXIFS($O$6:$O$4005,$B$6:$B$4005,B3895,$N$6:$N$4005,"N"),0),$P$6:$P$4005,0)),"(tanpa lawan)"))</f>
        <v/>
      </c>
      <c r="R3895" s="44"/>
      <c r="S3895" s="9" t="str">
        <f aca="false">IF(N3895&lt;&gt;"Y","",IF(R3895&lt;&gt;"",R3895,IF(Q3895="(tanpa lawan)","Transfer antar rekening",IFERROR(INDEX(I_COA!$F$6:$F$265,MATCH(Q3895,I_COA!$A$6:$A$265,0)),"?"))))</f>
        <v/>
      </c>
    </row>
    <row r="3896" customFormat="false" ht="15" hidden="false" customHeight="false" outlineLevel="0" collapsed="false">
      <c r="A3896" s="37"/>
      <c r="B3896" s="44"/>
      <c r="C3896" s="44"/>
      <c r="D3896" s="44"/>
      <c r="E3896" s="44"/>
      <c r="F3896" s="44"/>
      <c r="G3896" s="42"/>
      <c r="H3896" s="42"/>
      <c r="I3896" s="44"/>
      <c r="J3896" s="11" t="str">
        <f aca="false">IF(D3896="","",N(G3896)-N(H3896))</f>
        <v/>
      </c>
      <c r="K3896" s="34" t="str">
        <f aca="false">IF(D3896="","",IFERROR(INDEX(I_COA!$C$6:$C$265,MATCH(D3896,I_COA!$A$6:$A$265,0)),"AKUN BARU"))</f>
        <v/>
      </c>
      <c r="L3896" s="34" t="str">
        <f aca="false">IF(K3896="LabaRugi",INDEX(I_COA!$D$6:$D$265,MATCH(D3896,I_COA!$A$6:$A$265,0)),"")</f>
        <v/>
      </c>
      <c r="M3896" s="34" t="str">
        <f aca="false">IF(K3896="Neraca",INDEX(I_COA!$E$6:$E$265,MATCH(D3896,I_COA!$A$6:$A$265,0)),"")</f>
        <v/>
      </c>
      <c r="N3896" s="34" t="str">
        <f aca="false">IF(D3896="","",IFERROR(INDEX(I_COA!$G$6:$G$265,MATCH(D3896,I_COA!$A$6:$A$265,0)),"N"))</f>
        <v/>
      </c>
      <c r="O3896" s="11" t="str">
        <f aca="false">IF(N3896="N",ABS(J3896),"")</f>
        <v/>
      </c>
      <c r="P3896" s="18" t="str">
        <f aca="false">IF(N3896="N",B3896&amp;"|"&amp;ROUND(O3896,0),"")</f>
        <v/>
      </c>
      <c r="Q3896" s="18" t="str">
        <f aca="false">IF(N3896&lt;&gt;"Y","",IFERROR(INDEX($D$6:$D$4005,MATCH(B3896&amp;"|"&amp;ROUND(_xlfn.MAXIFS($O$6:$O$4005,$B$6:$B$4005,B3896,$N$6:$N$4005,"N"),0),$P$6:$P$4005,0)),"(tanpa lawan)"))</f>
        <v/>
      </c>
      <c r="R3896" s="44"/>
      <c r="S3896" s="9" t="str">
        <f aca="false">IF(N3896&lt;&gt;"Y","",IF(R3896&lt;&gt;"",R3896,IF(Q3896="(tanpa lawan)","Transfer antar rekening",IFERROR(INDEX(I_COA!$F$6:$F$265,MATCH(Q3896,I_COA!$A$6:$A$265,0)),"?"))))</f>
        <v/>
      </c>
    </row>
    <row r="3897" customFormat="false" ht="15" hidden="false" customHeight="false" outlineLevel="0" collapsed="false">
      <c r="A3897" s="37"/>
      <c r="B3897" s="44"/>
      <c r="C3897" s="44"/>
      <c r="D3897" s="44"/>
      <c r="E3897" s="44"/>
      <c r="F3897" s="44"/>
      <c r="G3897" s="42"/>
      <c r="H3897" s="42"/>
      <c r="I3897" s="44"/>
      <c r="J3897" s="11" t="str">
        <f aca="false">IF(D3897="","",N(G3897)-N(H3897))</f>
        <v/>
      </c>
      <c r="K3897" s="34" t="str">
        <f aca="false">IF(D3897="","",IFERROR(INDEX(I_COA!$C$6:$C$265,MATCH(D3897,I_COA!$A$6:$A$265,0)),"AKUN BARU"))</f>
        <v/>
      </c>
      <c r="L3897" s="34" t="str">
        <f aca="false">IF(K3897="LabaRugi",INDEX(I_COA!$D$6:$D$265,MATCH(D3897,I_COA!$A$6:$A$265,0)),"")</f>
        <v/>
      </c>
      <c r="M3897" s="34" t="str">
        <f aca="false">IF(K3897="Neraca",INDEX(I_COA!$E$6:$E$265,MATCH(D3897,I_COA!$A$6:$A$265,0)),"")</f>
        <v/>
      </c>
      <c r="N3897" s="34" t="str">
        <f aca="false">IF(D3897="","",IFERROR(INDEX(I_COA!$G$6:$G$265,MATCH(D3897,I_COA!$A$6:$A$265,0)),"N"))</f>
        <v/>
      </c>
      <c r="O3897" s="11" t="str">
        <f aca="false">IF(N3897="N",ABS(J3897),"")</f>
        <v/>
      </c>
      <c r="P3897" s="18" t="str">
        <f aca="false">IF(N3897="N",B3897&amp;"|"&amp;ROUND(O3897,0),"")</f>
        <v/>
      </c>
      <c r="Q3897" s="18" t="str">
        <f aca="false">IF(N3897&lt;&gt;"Y","",IFERROR(INDEX($D$6:$D$4005,MATCH(B3897&amp;"|"&amp;ROUND(_xlfn.MAXIFS($O$6:$O$4005,$B$6:$B$4005,B3897,$N$6:$N$4005,"N"),0),$P$6:$P$4005,0)),"(tanpa lawan)"))</f>
        <v/>
      </c>
      <c r="R3897" s="44"/>
      <c r="S3897" s="9" t="str">
        <f aca="false">IF(N3897&lt;&gt;"Y","",IF(R3897&lt;&gt;"",R3897,IF(Q3897="(tanpa lawan)","Transfer antar rekening",IFERROR(INDEX(I_COA!$F$6:$F$265,MATCH(Q3897,I_COA!$A$6:$A$265,0)),"?"))))</f>
        <v/>
      </c>
    </row>
    <row r="3898" customFormat="false" ht="15" hidden="false" customHeight="false" outlineLevel="0" collapsed="false">
      <c r="A3898" s="37"/>
      <c r="B3898" s="44"/>
      <c r="C3898" s="44"/>
      <c r="D3898" s="44"/>
      <c r="E3898" s="44"/>
      <c r="F3898" s="44"/>
      <c r="G3898" s="42"/>
      <c r="H3898" s="42"/>
      <c r="I3898" s="44"/>
      <c r="J3898" s="11" t="str">
        <f aca="false">IF(D3898="","",N(G3898)-N(H3898))</f>
        <v/>
      </c>
      <c r="K3898" s="34" t="str">
        <f aca="false">IF(D3898="","",IFERROR(INDEX(I_COA!$C$6:$C$265,MATCH(D3898,I_COA!$A$6:$A$265,0)),"AKUN BARU"))</f>
        <v/>
      </c>
      <c r="L3898" s="34" t="str">
        <f aca="false">IF(K3898="LabaRugi",INDEX(I_COA!$D$6:$D$265,MATCH(D3898,I_COA!$A$6:$A$265,0)),"")</f>
        <v/>
      </c>
      <c r="M3898" s="34" t="str">
        <f aca="false">IF(K3898="Neraca",INDEX(I_COA!$E$6:$E$265,MATCH(D3898,I_COA!$A$6:$A$265,0)),"")</f>
        <v/>
      </c>
      <c r="N3898" s="34" t="str">
        <f aca="false">IF(D3898="","",IFERROR(INDEX(I_COA!$G$6:$G$265,MATCH(D3898,I_COA!$A$6:$A$265,0)),"N"))</f>
        <v/>
      </c>
      <c r="O3898" s="11" t="str">
        <f aca="false">IF(N3898="N",ABS(J3898),"")</f>
        <v/>
      </c>
      <c r="P3898" s="18" t="str">
        <f aca="false">IF(N3898="N",B3898&amp;"|"&amp;ROUND(O3898,0),"")</f>
        <v/>
      </c>
      <c r="Q3898" s="18" t="str">
        <f aca="false">IF(N3898&lt;&gt;"Y","",IFERROR(INDEX($D$6:$D$4005,MATCH(B3898&amp;"|"&amp;ROUND(_xlfn.MAXIFS($O$6:$O$4005,$B$6:$B$4005,B3898,$N$6:$N$4005,"N"),0),$P$6:$P$4005,0)),"(tanpa lawan)"))</f>
        <v/>
      </c>
      <c r="R3898" s="44"/>
      <c r="S3898" s="9" t="str">
        <f aca="false">IF(N3898&lt;&gt;"Y","",IF(R3898&lt;&gt;"",R3898,IF(Q3898="(tanpa lawan)","Transfer antar rekening",IFERROR(INDEX(I_COA!$F$6:$F$265,MATCH(Q3898,I_COA!$A$6:$A$265,0)),"?"))))</f>
        <v/>
      </c>
    </row>
    <row r="3899" customFormat="false" ht="15" hidden="false" customHeight="false" outlineLevel="0" collapsed="false">
      <c r="A3899" s="37"/>
      <c r="B3899" s="44"/>
      <c r="C3899" s="44"/>
      <c r="D3899" s="44"/>
      <c r="E3899" s="44"/>
      <c r="F3899" s="44"/>
      <c r="G3899" s="42"/>
      <c r="H3899" s="42"/>
      <c r="I3899" s="44"/>
      <c r="J3899" s="11" t="str">
        <f aca="false">IF(D3899="","",N(G3899)-N(H3899))</f>
        <v/>
      </c>
      <c r="K3899" s="34" t="str">
        <f aca="false">IF(D3899="","",IFERROR(INDEX(I_COA!$C$6:$C$265,MATCH(D3899,I_COA!$A$6:$A$265,0)),"AKUN BARU"))</f>
        <v/>
      </c>
      <c r="L3899" s="34" t="str">
        <f aca="false">IF(K3899="LabaRugi",INDEX(I_COA!$D$6:$D$265,MATCH(D3899,I_COA!$A$6:$A$265,0)),"")</f>
        <v/>
      </c>
      <c r="M3899" s="34" t="str">
        <f aca="false">IF(K3899="Neraca",INDEX(I_COA!$E$6:$E$265,MATCH(D3899,I_COA!$A$6:$A$265,0)),"")</f>
        <v/>
      </c>
      <c r="N3899" s="34" t="str">
        <f aca="false">IF(D3899="","",IFERROR(INDEX(I_COA!$G$6:$G$265,MATCH(D3899,I_COA!$A$6:$A$265,0)),"N"))</f>
        <v/>
      </c>
      <c r="O3899" s="11" t="str">
        <f aca="false">IF(N3899="N",ABS(J3899),"")</f>
        <v/>
      </c>
      <c r="P3899" s="18" t="str">
        <f aca="false">IF(N3899="N",B3899&amp;"|"&amp;ROUND(O3899,0),"")</f>
        <v/>
      </c>
      <c r="Q3899" s="18" t="str">
        <f aca="false">IF(N3899&lt;&gt;"Y","",IFERROR(INDEX($D$6:$D$4005,MATCH(B3899&amp;"|"&amp;ROUND(_xlfn.MAXIFS($O$6:$O$4005,$B$6:$B$4005,B3899,$N$6:$N$4005,"N"),0),$P$6:$P$4005,0)),"(tanpa lawan)"))</f>
        <v/>
      </c>
      <c r="R3899" s="44"/>
      <c r="S3899" s="9" t="str">
        <f aca="false">IF(N3899&lt;&gt;"Y","",IF(R3899&lt;&gt;"",R3899,IF(Q3899="(tanpa lawan)","Transfer antar rekening",IFERROR(INDEX(I_COA!$F$6:$F$265,MATCH(Q3899,I_COA!$A$6:$A$265,0)),"?"))))</f>
        <v/>
      </c>
    </row>
    <row r="3900" customFormat="false" ht="15" hidden="false" customHeight="false" outlineLevel="0" collapsed="false">
      <c r="A3900" s="37"/>
      <c r="B3900" s="44"/>
      <c r="C3900" s="44"/>
      <c r="D3900" s="44"/>
      <c r="E3900" s="44"/>
      <c r="F3900" s="44"/>
      <c r="G3900" s="42"/>
      <c r="H3900" s="42"/>
      <c r="I3900" s="44"/>
      <c r="J3900" s="11" t="str">
        <f aca="false">IF(D3900="","",N(G3900)-N(H3900))</f>
        <v/>
      </c>
      <c r="K3900" s="34" t="str">
        <f aca="false">IF(D3900="","",IFERROR(INDEX(I_COA!$C$6:$C$265,MATCH(D3900,I_COA!$A$6:$A$265,0)),"AKUN BARU"))</f>
        <v/>
      </c>
      <c r="L3900" s="34" t="str">
        <f aca="false">IF(K3900="LabaRugi",INDEX(I_COA!$D$6:$D$265,MATCH(D3900,I_COA!$A$6:$A$265,0)),"")</f>
        <v/>
      </c>
      <c r="M3900" s="34" t="str">
        <f aca="false">IF(K3900="Neraca",INDEX(I_COA!$E$6:$E$265,MATCH(D3900,I_COA!$A$6:$A$265,0)),"")</f>
        <v/>
      </c>
      <c r="N3900" s="34" t="str">
        <f aca="false">IF(D3900="","",IFERROR(INDEX(I_COA!$G$6:$G$265,MATCH(D3900,I_COA!$A$6:$A$265,0)),"N"))</f>
        <v/>
      </c>
      <c r="O3900" s="11" t="str">
        <f aca="false">IF(N3900="N",ABS(J3900),"")</f>
        <v/>
      </c>
      <c r="P3900" s="18" t="str">
        <f aca="false">IF(N3900="N",B3900&amp;"|"&amp;ROUND(O3900,0),"")</f>
        <v/>
      </c>
      <c r="Q3900" s="18" t="str">
        <f aca="false">IF(N3900&lt;&gt;"Y","",IFERROR(INDEX($D$6:$D$4005,MATCH(B3900&amp;"|"&amp;ROUND(_xlfn.MAXIFS($O$6:$O$4005,$B$6:$B$4005,B3900,$N$6:$N$4005,"N"),0),$P$6:$P$4005,0)),"(tanpa lawan)"))</f>
        <v/>
      </c>
      <c r="R3900" s="44"/>
      <c r="S3900" s="9" t="str">
        <f aca="false">IF(N3900&lt;&gt;"Y","",IF(R3900&lt;&gt;"",R3900,IF(Q3900="(tanpa lawan)","Transfer antar rekening",IFERROR(INDEX(I_COA!$F$6:$F$265,MATCH(Q3900,I_COA!$A$6:$A$265,0)),"?"))))</f>
        <v/>
      </c>
    </row>
    <row r="3901" customFormat="false" ht="15" hidden="false" customHeight="false" outlineLevel="0" collapsed="false">
      <c r="A3901" s="37"/>
      <c r="B3901" s="44"/>
      <c r="C3901" s="44"/>
      <c r="D3901" s="44"/>
      <c r="E3901" s="44"/>
      <c r="F3901" s="44"/>
      <c r="G3901" s="42"/>
      <c r="H3901" s="42"/>
      <c r="I3901" s="44"/>
      <c r="J3901" s="11" t="str">
        <f aca="false">IF(D3901="","",N(G3901)-N(H3901))</f>
        <v/>
      </c>
      <c r="K3901" s="34" t="str">
        <f aca="false">IF(D3901="","",IFERROR(INDEX(I_COA!$C$6:$C$265,MATCH(D3901,I_COA!$A$6:$A$265,0)),"AKUN BARU"))</f>
        <v/>
      </c>
      <c r="L3901" s="34" t="str">
        <f aca="false">IF(K3901="LabaRugi",INDEX(I_COA!$D$6:$D$265,MATCH(D3901,I_COA!$A$6:$A$265,0)),"")</f>
        <v/>
      </c>
      <c r="M3901" s="34" t="str">
        <f aca="false">IF(K3901="Neraca",INDEX(I_COA!$E$6:$E$265,MATCH(D3901,I_COA!$A$6:$A$265,0)),"")</f>
        <v/>
      </c>
      <c r="N3901" s="34" t="str">
        <f aca="false">IF(D3901="","",IFERROR(INDEX(I_COA!$G$6:$G$265,MATCH(D3901,I_COA!$A$6:$A$265,0)),"N"))</f>
        <v/>
      </c>
      <c r="O3901" s="11" t="str">
        <f aca="false">IF(N3901="N",ABS(J3901),"")</f>
        <v/>
      </c>
      <c r="P3901" s="18" t="str">
        <f aca="false">IF(N3901="N",B3901&amp;"|"&amp;ROUND(O3901,0),"")</f>
        <v/>
      </c>
      <c r="Q3901" s="18" t="str">
        <f aca="false">IF(N3901&lt;&gt;"Y","",IFERROR(INDEX($D$6:$D$4005,MATCH(B3901&amp;"|"&amp;ROUND(_xlfn.MAXIFS($O$6:$O$4005,$B$6:$B$4005,B3901,$N$6:$N$4005,"N"),0),$P$6:$P$4005,0)),"(tanpa lawan)"))</f>
        <v/>
      </c>
      <c r="R3901" s="44"/>
      <c r="S3901" s="9" t="str">
        <f aca="false">IF(N3901&lt;&gt;"Y","",IF(R3901&lt;&gt;"",R3901,IF(Q3901="(tanpa lawan)","Transfer antar rekening",IFERROR(INDEX(I_COA!$F$6:$F$265,MATCH(Q3901,I_COA!$A$6:$A$265,0)),"?"))))</f>
        <v/>
      </c>
    </row>
    <row r="3902" customFormat="false" ht="15" hidden="false" customHeight="false" outlineLevel="0" collapsed="false">
      <c r="A3902" s="37"/>
      <c r="B3902" s="44"/>
      <c r="C3902" s="44"/>
      <c r="D3902" s="44"/>
      <c r="E3902" s="44"/>
      <c r="F3902" s="44"/>
      <c r="G3902" s="42"/>
      <c r="H3902" s="42"/>
      <c r="I3902" s="44"/>
      <c r="J3902" s="11" t="str">
        <f aca="false">IF(D3902="","",N(G3902)-N(H3902))</f>
        <v/>
      </c>
      <c r="K3902" s="34" t="str">
        <f aca="false">IF(D3902="","",IFERROR(INDEX(I_COA!$C$6:$C$265,MATCH(D3902,I_COA!$A$6:$A$265,0)),"AKUN BARU"))</f>
        <v/>
      </c>
      <c r="L3902" s="34" t="str">
        <f aca="false">IF(K3902="LabaRugi",INDEX(I_COA!$D$6:$D$265,MATCH(D3902,I_COA!$A$6:$A$265,0)),"")</f>
        <v/>
      </c>
      <c r="M3902" s="34" t="str">
        <f aca="false">IF(K3902="Neraca",INDEX(I_COA!$E$6:$E$265,MATCH(D3902,I_COA!$A$6:$A$265,0)),"")</f>
        <v/>
      </c>
      <c r="N3902" s="34" t="str">
        <f aca="false">IF(D3902="","",IFERROR(INDEX(I_COA!$G$6:$G$265,MATCH(D3902,I_COA!$A$6:$A$265,0)),"N"))</f>
        <v/>
      </c>
      <c r="O3902" s="11" t="str">
        <f aca="false">IF(N3902="N",ABS(J3902),"")</f>
        <v/>
      </c>
      <c r="P3902" s="18" t="str">
        <f aca="false">IF(N3902="N",B3902&amp;"|"&amp;ROUND(O3902,0),"")</f>
        <v/>
      </c>
      <c r="Q3902" s="18" t="str">
        <f aca="false">IF(N3902&lt;&gt;"Y","",IFERROR(INDEX($D$6:$D$4005,MATCH(B3902&amp;"|"&amp;ROUND(_xlfn.MAXIFS($O$6:$O$4005,$B$6:$B$4005,B3902,$N$6:$N$4005,"N"),0),$P$6:$P$4005,0)),"(tanpa lawan)"))</f>
        <v/>
      </c>
      <c r="R3902" s="44"/>
      <c r="S3902" s="9" t="str">
        <f aca="false">IF(N3902&lt;&gt;"Y","",IF(R3902&lt;&gt;"",R3902,IF(Q3902="(tanpa lawan)","Transfer antar rekening",IFERROR(INDEX(I_COA!$F$6:$F$265,MATCH(Q3902,I_COA!$A$6:$A$265,0)),"?"))))</f>
        <v/>
      </c>
    </row>
    <row r="3903" customFormat="false" ht="15" hidden="false" customHeight="false" outlineLevel="0" collapsed="false">
      <c r="A3903" s="37"/>
      <c r="B3903" s="44"/>
      <c r="C3903" s="44"/>
      <c r="D3903" s="44"/>
      <c r="E3903" s="44"/>
      <c r="F3903" s="44"/>
      <c r="G3903" s="42"/>
      <c r="H3903" s="42"/>
      <c r="I3903" s="44"/>
      <c r="J3903" s="11" t="str">
        <f aca="false">IF(D3903="","",N(G3903)-N(H3903))</f>
        <v/>
      </c>
      <c r="K3903" s="34" t="str">
        <f aca="false">IF(D3903="","",IFERROR(INDEX(I_COA!$C$6:$C$265,MATCH(D3903,I_COA!$A$6:$A$265,0)),"AKUN BARU"))</f>
        <v/>
      </c>
      <c r="L3903" s="34" t="str">
        <f aca="false">IF(K3903="LabaRugi",INDEX(I_COA!$D$6:$D$265,MATCH(D3903,I_COA!$A$6:$A$265,0)),"")</f>
        <v/>
      </c>
      <c r="M3903" s="34" t="str">
        <f aca="false">IF(K3903="Neraca",INDEX(I_COA!$E$6:$E$265,MATCH(D3903,I_COA!$A$6:$A$265,0)),"")</f>
        <v/>
      </c>
      <c r="N3903" s="34" t="str">
        <f aca="false">IF(D3903="","",IFERROR(INDEX(I_COA!$G$6:$G$265,MATCH(D3903,I_COA!$A$6:$A$265,0)),"N"))</f>
        <v/>
      </c>
      <c r="O3903" s="11" t="str">
        <f aca="false">IF(N3903="N",ABS(J3903),"")</f>
        <v/>
      </c>
      <c r="P3903" s="18" t="str">
        <f aca="false">IF(N3903="N",B3903&amp;"|"&amp;ROUND(O3903,0),"")</f>
        <v/>
      </c>
      <c r="Q3903" s="18" t="str">
        <f aca="false">IF(N3903&lt;&gt;"Y","",IFERROR(INDEX($D$6:$D$4005,MATCH(B3903&amp;"|"&amp;ROUND(_xlfn.MAXIFS($O$6:$O$4005,$B$6:$B$4005,B3903,$N$6:$N$4005,"N"),0),$P$6:$P$4005,0)),"(tanpa lawan)"))</f>
        <v/>
      </c>
      <c r="R3903" s="44"/>
      <c r="S3903" s="9" t="str">
        <f aca="false">IF(N3903&lt;&gt;"Y","",IF(R3903&lt;&gt;"",R3903,IF(Q3903="(tanpa lawan)","Transfer antar rekening",IFERROR(INDEX(I_COA!$F$6:$F$265,MATCH(Q3903,I_COA!$A$6:$A$265,0)),"?"))))</f>
        <v/>
      </c>
    </row>
    <row r="3904" customFormat="false" ht="15" hidden="false" customHeight="false" outlineLevel="0" collapsed="false">
      <c r="A3904" s="37"/>
      <c r="B3904" s="44"/>
      <c r="C3904" s="44"/>
      <c r="D3904" s="44"/>
      <c r="E3904" s="44"/>
      <c r="F3904" s="44"/>
      <c r="G3904" s="42"/>
      <c r="H3904" s="42"/>
      <c r="I3904" s="44"/>
      <c r="J3904" s="11" t="str">
        <f aca="false">IF(D3904="","",N(G3904)-N(H3904))</f>
        <v/>
      </c>
      <c r="K3904" s="34" t="str">
        <f aca="false">IF(D3904="","",IFERROR(INDEX(I_COA!$C$6:$C$265,MATCH(D3904,I_COA!$A$6:$A$265,0)),"AKUN BARU"))</f>
        <v/>
      </c>
      <c r="L3904" s="34" t="str">
        <f aca="false">IF(K3904="LabaRugi",INDEX(I_COA!$D$6:$D$265,MATCH(D3904,I_COA!$A$6:$A$265,0)),"")</f>
        <v/>
      </c>
      <c r="M3904" s="34" t="str">
        <f aca="false">IF(K3904="Neraca",INDEX(I_COA!$E$6:$E$265,MATCH(D3904,I_COA!$A$6:$A$265,0)),"")</f>
        <v/>
      </c>
      <c r="N3904" s="34" t="str">
        <f aca="false">IF(D3904="","",IFERROR(INDEX(I_COA!$G$6:$G$265,MATCH(D3904,I_COA!$A$6:$A$265,0)),"N"))</f>
        <v/>
      </c>
      <c r="O3904" s="11" t="str">
        <f aca="false">IF(N3904="N",ABS(J3904),"")</f>
        <v/>
      </c>
      <c r="P3904" s="18" t="str">
        <f aca="false">IF(N3904="N",B3904&amp;"|"&amp;ROUND(O3904,0),"")</f>
        <v/>
      </c>
      <c r="Q3904" s="18" t="str">
        <f aca="false">IF(N3904&lt;&gt;"Y","",IFERROR(INDEX($D$6:$D$4005,MATCH(B3904&amp;"|"&amp;ROUND(_xlfn.MAXIFS($O$6:$O$4005,$B$6:$B$4005,B3904,$N$6:$N$4005,"N"),0),$P$6:$P$4005,0)),"(tanpa lawan)"))</f>
        <v/>
      </c>
      <c r="R3904" s="44"/>
      <c r="S3904" s="9" t="str">
        <f aca="false">IF(N3904&lt;&gt;"Y","",IF(R3904&lt;&gt;"",R3904,IF(Q3904="(tanpa lawan)","Transfer antar rekening",IFERROR(INDEX(I_COA!$F$6:$F$265,MATCH(Q3904,I_COA!$A$6:$A$265,0)),"?"))))</f>
        <v/>
      </c>
    </row>
    <row r="3905" customFormat="false" ht="15" hidden="false" customHeight="false" outlineLevel="0" collapsed="false">
      <c r="A3905" s="37"/>
      <c r="B3905" s="44"/>
      <c r="C3905" s="44"/>
      <c r="D3905" s="44"/>
      <c r="E3905" s="44"/>
      <c r="F3905" s="44"/>
      <c r="G3905" s="42"/>
      <c r="H3905" s="42"/>
      <c r="I3905" s="44"/>
      <c r="J3905" s="11" t="str">
        <f aca="false">IF(D3905="","",N(G3905)-N(H3905))</f>
        <v/>
      </c>
      <c r="K3905" s="34" t="str">
        <f aca="false">IF(D3905="","",IFERROR(INDEX(I_COA!$C$6:$C$265,MATCH(D3905,I_COA!$A$6:$A$265,0)),"AKUN BARU"))</f>
        <v/>
      </c>
      <c r="L3905" s="34" t="str">
        <f aca="false">IF(K3905="LabaRugi",INDEX(I_COA!$D$6:$D$265,MATCH(D3905,I_COA!$A$6:$A$265,0)),"")</f>
        <v/>
      </c>
      <c r="M3905" s="34" t="str">
        <f aca="false">IF(K3905="Neraca",INDEX(I_COA!$E$6:$E$265,MATCH(D3905,I_COA!$A$6:$A$265,0)),"")</f>
        <v/>
      </c>
      <c r="N3905" s="34" t="str">
        <f aca="false">IF(D3905="","",IFERROR(INDEX(I_COA!$G$6:$G$265,MATCH(D3905,I_COA!$A$6:$A$265,0)),"N"))</f>
        <v/>
      </c>
      <c r="O3905" s="11" t="str">
        <f aca="false">IF(N3905="N",ABS(J3905),"")</f>
        <v/>
      </c>
      <c r="P3905" s="18" t="str">
        <f aca="false">IF(N3905="N",B3905&amp;"|"&amp;ROUND(O3905,0),"")</f>
        <v/>
      </c>
      <c r="Q3905" s="18" t="str">
        <f aca="false">IF(N3905&lt;&gt;"Y","",IFERROR(INDEX($D$6:$D$4005,MATCH(B3905&amp;"|"&amp;ROUND(_xlfn.MAXIFS($O$6:$O$4005,$B$6:$B$4005,B3905,$N$6:$N$4005,"N"),0),$P$6:$P$4005,0)),"(tanpa lawan)"))</f>
        <v/>
      </c>
      <c r="R3905" s="44"/>
      <c r="S3905" s="9" t="str">
        <f aca="false">IF(N3905&lt;&gt;"Y","",IF(R3905&lt;&gt;"",R3905,IF(Q3905="(tanpa lawan)","Transfer antar rekening",IFERROR(INDEX(I_COA!$F$6:$F$265,MATCH(Q3905,I_COA!$A$6:$A$265,0)),"?"))))</f>
        <v/>
      </c>
    </row>
    <row r="3906" customFormat="false" ht="15" hidden="false" customHeight="false" outlineLevel="0" collapsed="false">
      <c r="A3906" s="37"/>
      <c r="B3906" s="44"/>
      <c r="C3906" s="44"/>
      <c r="D3906" s="44"/>
      <c r="E3906" s="44"/>
      <c r="F3906" s="44"/>
      <c r="G3906" s="42"/>
      <c r="H3906" s="42"/>
      <c r="I3906" s="44"/>
      <c r="J3906" s="11" t="str">
        <f aca="false">IF(D3906="","",N(G3906)-N(H3906))</f>
        <v/>
      </c>
      <c r="K3906" s="34" t="str">
        <f aca="false">IF(D3906="","",IFERROR(INDEX(I_COA!$C$6:$C$265,MATCH(D3906,I_COA!$A$6:$A$265,0)),"AKUN BARU"))</f>
        <v/>
      </c>
      <c r="L3906" s="34" t="str">
        <f aca="false">IF(K3906="LabaRugi",INDEX(I_COA!$D$6:$D$265,MATCH(D3906,I_COA!$A$6:$A$265,0)),"")</f>
        <v/>
      </c>
      <c r="M3906" s="34" t="str">
        <f aca="false">IF(K3906="Neraca",INDEX(I_COA!$E$6:$E$265,MATCH(D3906,I_COA!$A$6:$A$265,0)),"")</f>
        <v/>
      </c>
      <c r="N3906" s="34" t="str">
        <f aca="false">IF(D3906="","",IFERROR(INDEX(I_COA!$G$6:$G$265,MATCH(D3906,I_COA!$A$6:$A$265,0)),"N"))</f>
        <v/>
      </c>
      <c r="O3906" s="11" t="str">
        <f aca="false">IF(N3906="N",ABS(J3906),"")</f>
        <v/>
      </c>
      <c r="P3906" s="18" t="str">
        <f aca="false">IF(N3906="N",B3906&amp;"|"&amp;ROUND(O3906,0),"")</f>
        <v/>
      </c>
      <c r="Q3906" s="18" t="str">
        <f aca="false">IF(N3906&lt;&gt;"Y","",IFERROR(INDEX($D$6:$D$4005,MATCH(B3906&amp;"|"&amp;ROUND(_xlfn.MAXIFS($O$6:$O$4005,$B$6:$B$4005,B3906,$N$6:$N$4005,"N"),0),$P$6:$P$4005,0)),"(tanpa lawan)"))</f>
        <v/>
      </c>
      <c r="R3906" s="44"/>
      <c r="S3906" s="9" t="str">
        <f aca="false">IF(N3906&lt;&gt;"Y","",IF(R3906&lt;&gt;"",R3906,IF(Q3906="(tanpa lawan)","Transfer antar rekening",IFERROR(INDEX(I_COA!$F$6:$F$265,MATCH(Q3906,I_COA!$A$6:$A$265,0)),"?"))))</f>
        <v/>
      </c>
    </row>
    <row r="3907" customFormat="false" ht="15" hidden="false" customHeight="false" outlineLevel="0" collapsed="false">
      <c r="A3907" s="37"/>
      <c r="B3907" s="44"/>
      <c r="C3907" s="44"/>
      <c r="D3907" s="44"/>
      <c r="E3907" s="44"/>
      <c r="F3907" s="44"/>
      <c r="G3907" s="42"/>
      <c r="H3907" s="42"/>
      <c r="I3907" s="44"/>
      <c r="J3907" s="11" t="str">
        <f aca="false">IF(D3907="","",N(G3907)-N(H3907))</f>
        <v/>
      </c>
      <c r="K3907" s="34" t="str">
        <f aca="false">IF(D3907="","",IFERROR(INDEX(I_COA!$C$6:$C$265,MATCH(D3907,I_COA!$A$6:$A$265,0)),"AKUN BARU"))</f>
        <v/>
      </c>
      <c r="L3907" s="34" t="str">
        <f aca="false">IF(K3907="LabaRugi",INDEX(I_COA!$D$6:$D$265,MATCH(D3907,I_COA!$A$6:$A$265,0)),"")</f>
        <v/>
      </c>
      <c r="M3907" s="34" t="str">
        <f aca="false">IF(K3907="Neraca",INDEX(I_COA!$E$6:$E$265,MATCH(D3907,I_COA!$A$6:$A$265,0)),"")</f>
        <v/>
      </c>
      <c r="N3907" s="34" t="str">
        <f aca="false">IF(D3907="","",IFERROR(INDEX(I_COA!$G$6:$G$265,MATCH(D3907,I_COA!$A$6:$A$265,0)),"N"))</f>
        <v/>
      </c>
      <c r="O3907" s="11" t="str">
        <f aca="false">IF(N3907="N",ABS(J3907),"")</f>
        <v/>
      </c>
      <c r="P3907" s="18" t="str">
        <f aca="false">IF(N3907="N",B3907&amp;"|"&amp;ROUND(O3907,0),"")</f>
        <v/>
      </c>
      <c r="Q3907" s="18" t="str">
        <f aca="false">IF(N3907&lt;&gt;"Y","",IFERROR(INDEX($D$6:$D$4005,MATCH(B3907&amp;"|"&amp;ROUND(_xlfn.MAXIFS($O$6:$O$4005,$B$6:$B$4005,B3907,$N$6:$N$4005,"N"),0),$P$6:$P$4005,0)),"(tanpa lawan)"))</f>
        <v/>
      </c>
      <c r="R3907" s="44"/>
      <c r="S3907" s="9" t="str">
        <f aca="false">IF(N3907&lt;&gt;"Y","",IF(R3907&lt;&gt;"",R3907,IF(Q3907="(tanpa lawan)","Transfer antar rekening",IFERROR(INDEX(I_COA!$F$6:$F$265,MATCH(Q3907,I_COA!$A$6:$A$265,0)),"?"))))</f>
        <v/>
      </c>
    </row>
    <row r="3908" customFormat="false" ht="15" hidden="false" customHeight="false" outlineLevel="0" collapsed="false">
      <c r="A3908" s="37"/>
      <c r="B3908" s="44"/>
      <c r="C3908" s="44"/>
      <c r="D3908" s="44"/>
      <c r="E3908" s="44"/>
      <c r="F3908" s="44"/>
      <c r="G3908" s="42"/>
      <c r="H3908" s="42"/>
      <c r="I3908" s="44"/>
      <c r="J3908" s="11" t="str">
        <f aca="false">IF(D3908="","",N(G3908)-N(H3908))</f>
        <v/>
      </c>
      <c r="K3908" s="34" t="str">
        <f aca="false">IF(D3908="","",IFERROR(INDEX(I_COA!$C$6:$C$265,MATCH(D3908,I_COA!$A$6:$A$265,0)),"AKUN BARU"))</f>
        <v/>
      </c>
      <c r="L3908" s="34" t="str">
        <f aca="false">IF(K3908="LabaRugi",INDEX(I_COA!$D$6:$D$265,MATCH(D3908,I_COA!$A$6:$A$265,0)),"")</f>
        <v/>
      </c>
      <c r="M3908" s="34" t="str">
        <f aca="false">IF(K3908="Neraca",INDEX(I_COA!$E$6:$E$265,MATCH(D3908,I_COA!$A$6:$A$265,0)),"")</f>
        <v/>
      </c>
      <c r="N3908" s="34" t="str">
        <f aca="false">IF(D3908="","",IFERROR(INDEX(I_COA!$G$6:$G$265,MATCH(D3908,I_COA!$A$6:$A$265,0)),"N"))</f>
        <v/>
      </c>
      <c r="O3908" s="11" t="str">
        <f aca="false">IF(N3908="N",ABS(J3908),"")</f>
        <v/>
      </c>
      <c r="P3908" s="18" t="str">
        <f aca="false">IF(N3908="N",B3908&amp;"|"&amp;ROUND(O3908,0),"")</f>
        <v/>
      </c>
      <c r="Q3908" s="18" t="str">
        <f aca="false">IF(N3908&lt;&gt;"Y","",IFERROR(INDEX($D$6:$D$4005,MATCH(B3908&amp;"|"&amp;ROUND(_xlfn.MAXIFS($O$6:$O$4005,$B$6:$B$4005,B3908,$N$6:$N$4005,"N"),0),$P$6:$P$4005,0)),"(tanpa lawan)"))</f>
        <v/>
      </c>
      <c r="R3908" s="44"/>
      <c r="S3908" s="9" t="str">
        <f aca="false">IF(N3908&lt;&gt;"Y","",IF(R3908&lt;&gt;"",R3908,IF(Q3908="(tanpa lawan)","Transfer antar rekening",IFERROR(INDEX(I_COA!$F$6:$F$265,MATCH(Q3908,I_COA!$A$6:$A$265,0)),"?"))))</f>
        <v/>
      </c>
    </row>
    <row r="3909" customFormat="false" ht="15" hidden="false" customHeight="false" outlineLevel="0" collapsed="false">
      <c r="A3909" s="37"/>
      <c r="B3909" s="44"/>
      <c r="C3909" s="44"/>
      <c r="D3909" s="44"/>
      <c r="E3909" s="44"/>
      <c r="F3909" s="44"/>
      <c r="G3909" s="42"/>
      <c r="H3909" s="42"/>
      <c r="I3909" s="44"/>
      <c r="J3909" s="11" t="str">
        <f aca="false">IF(D3909="","",N(G3909)-N(H3909))</f>
        <v/>
      </c>
      <c r="K3909" s="34" t="str">
        <f aca="false">IF(D3909="","",IFERROR(INDEX(I_COA!$C$6:$C$265,MATCH(D3909,I_COA!$A$6:$A$265,0)),"AKUN BARU"))</f>
        <v/>
      </c>
      <c r="L3909" s="34" t="str">
        <f aca="false">IF(K3909="LabaRugi",INDEX(I_COA!$D$6:$D$265,MATCH(D3909,I_COA!$A$6:$A$265,0)),"")</f>
        <v/>
      </c>
      <c r="M3909" s="34" t="str">
        <f aca="false">IF(K3909="Neraca",INDEX(I_COA!$E$6:$E$265,MATCH(D3909,I_COA!$A$6:$A$265,0)),"")</f>
        <v/>
      </c>
      <c r="N3909" s="34" t="str">
        <f aca="false">IF(D3909="","",IFERROR(INDEX(I_COA!$G$6:$G$265,MATCH(D3909,I_COA!$A$6:$A$265,0)),"N"))</f>
        <v/>
      </c>
      <c r="O3909" s="11" t="str">
        <f aca="false">IF(N3909="N",ABS(J3909),"")</f>
        <v/>
      </c>
      <c r="P3909" s="18" t="str">
        <f aca="false">IF(N3909="N",B3909&amp;"|"&amp;ROUND(O3909,0),"")</f>
        <v/>
      </c>
      <c r="Q3909" s="18" t="str">
        <f aca="false">IF(N3909&lt;&gt;"Y","",IFERROR(INDEX($D$6:$D$4005,MATCH(B3909&amp;"|"&amp;ROUND(_xlfn.MAXIFS($O$6:$O$4005,$B$6:$B$4005,B3909,$N$6:$N$4005,"N"),0),$P$6:$P$4005,0)),"(tanpa lawan)"))</f>
        <v/>
      </c>
      <c r="R3909" s="44"/>
      <c r="S3909" s="9" t="str">
        <f aca="false">IF(N3909&lt;&gt;"Y","",IF(R3909&lt;&gt;"",R3909,IF(Q3909="(tanpa lawan)","Transfer antar rekening",IFERROR(INDEX(I_COA!$F$6:$F$265,MATCH(Q3909,I_COA!$A$6:$A$265,0)),"?"))))</f>
        <v/>
      </c>
    </row>
    <row r="3910" customFormat="false" ht="15" hidden="false" customHeight="false" outlineLevel="0" collapsed="false">
      <c r="A3910" s="37"/>
      <c r="B3910" s="44"/>
      <c r="C3910" s="44"/>
      <c r="D3910" s="44"/>
      <c r="E3910" s="44"/>
      <c r="F3910" s="44"/>
      <c r="G3910" s="42"/>
      <c r="H3910" s="42"/>
      <c r="I3910" s="44"/>
      <c r="J3910" s="11" t="str">
        <f aca="false">IF(D3910="","",N(G3910)-N(H3910))</f>
        <v/>
      </c>
      <c r="K3910" s="34" t="str">
        <f aca="false">IF(D3910="","",IFERROR(INDEX(I_COA!$C$6:$C$265,MATCH(D3910,I_COA!$A$6:$A$265,0)),"AKUN BARU"))</f>
        <v/>
      </c>
      <c r="L3910" s="34" t="str">
        <f aca="false">IF(K3910="LabaRugi",INDEX(I_COA!$D$6:$D$265,MATCH(D3910,I_COA!$A$6:$A$265,0)),"")</f>
        <v/>
      </c>
      <c r="M3910" s="34" t="str">
        <f aca="false">IF(K3910="Neraca",INDEX(I_COA!$E$6:$E$265,MATCH(D3910,I_COA!$A$6:$A$265,0)),"")</f>
        <v/>
      </c>
      <c r="N3910" s="34" t="str">
        <f aca="false">IF(D3910="","",IFERROR(INDEX(I_COA!$G$6:$G$265,MATCH(D3910,I_COA!$A$6:$A$265,0)),"N"))</f>
        <v/>
      </c>
      <c r="O3910" s="11" t="str">
        <f aca="false">IF(N3910="N",ABS(J3910),"")</f>
        <v/>
      </c>
      <c r="P3910" s="18" t="str">
        <f aca="false">IF(N3910="N",B3910&amp;"|"&amp;ROUND(O3910,0),"")</f>
        <v/>
      </c>
      <c r="Q3910" s="18" t="str">
        <f aca="false">IF(N3910&lt;&gt;"Y","",IFERROR(INDEX($D$6:$D$4005,MATCH(B3910&amp;"|"&amp;ROUND(_xlfn.MAXIFS($O$6:$O$4005,$B$6:$B$4005,B3910,$N$6:$N$4005,"N"),0),$P$6:$P$4005,0)),"(tanpa lawan)"))</f>
        <v/>
      </c>
      <c r="R3910" s="44"/>
      <c r="S3910" s="9" t="str">
        <f aca="false">IF(N3910&lt;&gt;"Y","",IF(R3910&lt;&gt;"",R3910,IF(Q3910="(tanpa lawan)","Transfer antar rekening",IFERROR(INDEX(I_COA!$F$6:$F$265,MATCH(Q3910,I_COA!$A$6:$A$265,0)),"?"))))</f>
        <v/>
      </c>
    </row>
    <row r="3911" customFormat="false" ht="15" hidden="false" customHeight="false" outlineLevel="0" collapsed="false">
      <c r="A3911" s="37"/>
      <c r="B3911" s="44"/>
      <c r="C3911" s="44"/>
      <c r="D3911" s="44"/>
      <c r="E3911" s="44"/>
      <c r="F3911" s="44"/>
      <c r="G3911" s="42"/>
      <c r="H3911" s="42"/>
      <c r="I3911" s="44"/>
      <c r="J3911" s="11" t="str">
        <f aca="false">IF(D3911="","",N(G3911)-N(H3911))</f>
        <v/>
      </c>
      <c r="K3911" s="34" t="str">
        <f aca="false">IF(D3911="","",IFERROR(INDEX(I_COA!$C$6:$C$265,MATCH(D3911,I_COA!$A$6:$A$265,0)),"AKUN BARU"))</f>
        <v/>
      </c>
      <c r="L3911" s="34" t="str">
        <f aca="false">IF(K3911="LabaRugi",INDEX(I_COA!$D$6:$D$265,MATCH(D3911,I_COA!$A$6:$A$265,0)),"")</f>
        <v/>
      </c>
      <c r="M3911" s="34" t="str">
        <f aca="false">IF(K3911="Neraca",INDEX(I_COA!$E$6:$E$265,MATCH(D3911,I_COA!$A$6:$A$265,0)),"")</f>
        <v/>
      </c>
      <c r="N3911" s="34" t="str">
        <f aca="false">IF(D3911="","",IFERROR(INDEX(I_COA!$G$6:$G$265,MATCH(D3911,I_COA!$A$6:$A$265,0)),"N"))</f>
        <v/>
      </c>
      <c r="O3911" s="11" t="str">
        <f aca="false">IF(N3911="N",ABS(J3911),"")</f>
        <v/>
      </c>
      <c r="P3911" s="18" t="str">
        <f aca="false">IF(N3911="N",B3911&amp;"|"&amp;ROUND(O3911,0),"")</f>
        <v/>
      </c>
      <c r="Q3911" s="18" t="str">
        <f aca="false">IF(N3911&lt;&gt;"Y","",IFERROR(INDEX($D$6:$D$4005,MATCH(B3911&amp;"|"&amp;ROUND(_xlfn.MAXIFS($O$6:$O$4005,$B$6:$B$4005,B3911,$N$6:$N$4005,"N"),0),$P$6:$P$4005,0)),"(tanpa lawan)"))</f>
        <v/>
      </c>
      <c r="R3911" s="44"/>
      <c r="S3911" s="9" t="str">
        <f aca="false">IF(N3911&lt;&gt;"Y","",IF(R3911&lt;&gt;"",R3911,IF(Q3911="(tanpa lawan)","Transfer antar rekening",IFERROR(INDEX(I_COA!$F$6:$F$265,MATCH(Q3911,I_COA!$A$6:$A$265,0)),"?"))))</f>
        <v/>
      </c>
    </row>
    <row r="3912" customFormat="false" ht="15" hidden="false" customHeight="false" outlineLevel="0" collapsed="false">
      <c r="A3912" s="37"/>
      <c r="B3912" s="44"/>
      <c r="C3912" s="44"/>
      <c r="D3912" s="44"/>
      <c r="E3912" s="44"/>
      <c r="F3912" s="44"/>
      <c r="G3912" s="42"/>
      <c r="H3912" s="42"/>
      <c r="I3912" s="44"/>
      <c r="J3912" s="11" t="str">
        <f aca="false">IF(D3912="","",N(G3912)-N(H3912))</f>
        <v/>
      </c>
      <c r="K3912" s="34" t="str">
        <f aca="false">IF(D3912="","",IFERROR(INDEX(I_COA!$C$6:$C$265,MATCH(D3912,I_COA!$A$6:$A$265,0)),"AKUN BARU"))</f>
        <v/>
      </c>
      <c r="L3912" s="34" t="str">
        <f aca="false">IF(K3912="LabaRugi",INDEX(I_COA!$D$6:$D$265,MATCH(D3912,I_COA!$A$6:$A$265,0)),"")</f>
        <v/>
      </c>
      <c r="M3912" s="34" t="str">
        <f aca="false">IF(K3912="Neraca",INDEX(I_COA!$E$6:$E$265,MATCH(D3912,I_COA!$A$6:$A$265,0)),"")</f>
        <v/>
      </c>
      <c r="N3912" s="34" t="str">
        <f aca="false">IF(D3912="","",IFERROR(INDEX(I_COA!$G$6:$G$265,MATCH(D3912,I_COA!$A$6:$A$265,0)),"N"))</f>
        <v/>
      </c>
      <c r="O3912" s="11" t="str">
        <f aca="false">IF(N3912="N",ABS(J3912),"")</f>
        <v/>
      </c>
      <c r="P3912" s="18" t="str">
        <f aca="false">IF(N3912="N",B3912&amp;"|"&amp;ROUND(O3912,0),"")</f>
        <v/>
      </c>
      <c r="Q3912" s="18" t="str">
        <f aca="false">IF(N3912&lt;&gt;"Y","",IFERROR(INDEX($D$6:$D$4005,MATCH(B3912&amp;"|"&amp;ROUND(_xlfn.MAXIFS($O$6:$O$4005,$B$6:$B$4005,B3912,$N$6:$N$4005,"N"),0),$P$6:$P$4005,0)),"(tanpa lawan)"))</f>
        <v/>
      </c>
      <c r="R3912" s="44"/>
      <c r="S3912" s="9" t="str">
        <f aca="false">IF(N3912&lt;&gt;"Y","",IF(R3912&lt;&gt;"",R3912,IF(Q3912="(tanpa lawan)","Transfer antar rekening",IFERROR(INDEX(I_COA!$F$6:$F$265,MATCH(Q3912,I_COA!$A$6:$A$265,0)),"?"))))</f>
        <v/>
      </c>
    </row>
    <row r="3913" customFormat="false" ht="15" hidden="false" customHeight="false" outlineLevel="0" collapsed="false">
      <c r="A3913" s="37"/>
      <c r="B3913" s="44"/>
      <c r="C3913" s="44"/>
      <c r="D3913" s="44"/>
      <c r="E3913" s="44"/>
      <c r="F3913" s="44"/>
      <c r="G3913" s="42"/>
      <c r="H3913" s="42"/>
      <c r="I3913" s="44"/>
      <c r="J3913" s="11" t="str">
        <f aca="false">IF(D3913="","",N(G3913)-N(H3913))</f>
        <v/>
      </c>
      <c r="K3913" s="34" t="str">
        <f aca="false">IF(D3913="","",IFERROR(INDEX(I_COA!$C$6:$C$265,MATCH(D3913,I_COA!$A$6:$A$265,0)),"AKUN BARU"))</f>
        <v/>
      </c>
      <c r="L3913" s="34" t="str">
        <f aca="false">IF(K3913="LabaRugi",INDEX(I_COA!$D$6:$D$265,MATCH(D3913,I_COA!$A$6:$A$265,0)),"")</f>
        <v/>
      </c>
      <c r="M3913" s="34" t="str">
        <f aca="false">IF(K3913="Neraca",INDEX(I_COA!$E$6:$E$265,MATCH(D3913,I_COA!$A$6:$A$265,0)),"")</f>
        <v/>
      </c>
      <c r="N3913" s="34" t="str">
        <f aca="false">IF(D3913="","",IFERROR(INDEX(I_COA!$G$6:$G$265,MATCH(D3913,I_COA!$A$6:$A$265,0)),"N"))</f>
        <v/>
      </c>
      <c r="O3913" s="11" t="str">
        <f aca="false">IF(N3913="N",ABS(J3913),"")</f>
        <v/>
      </c>
      <c r="P3913" s="18" t="str">
        <f aca="false">IF(N3913="N",B3913&amp;"|"&amp;ROUND(O3913,0),"")</f>
        <v/>
      </c>
      <c r="Q3913" s="18" t="str">
        <f aca="false">IF(N3913&lt;&gt;"Y","",IFERROR(INDEX($D$6:$D$4005,MATCH(B3913&amp;"|"&amp;ROUND(_xlfn.MAXIFS($O$6:$O$4005,$B$6:$B$4005,B3913,$N$6:$N$4005,"N"),0),$P$6:$P$4005,0)),"(tanpa lawan)"))</f>
        <v/>
      </c>
      <c r="R3913" s="44"/>
      <c r="S3913" s="9" t="str">
        <f aca="false">IF(N3913&lt;&gt;"Y","",IF(R3913&lt;&gt;"",R3913,IF(Q3913="(tanpa lawan)","Transfer antar rekening",IFERROR(INDEX(I_COA!$F$6:$F$265,MATCH(Q3913,I_COA!$A$6:$A$265,0)),"?"))))</f>
        <v/>
      </c>
    </row>
    <row r="3914" customFormat="false" ht="15" hidden="false" customHeight="false" outlineLevel="0" collapsed="false">
      <c r="A3914" s="37"/>
      <c r="B3914" s="44"/>
      <c r="C3914" s="44"/>
      <c r="D3914" s="44"/>
      <c r="E3914" s="44"/>
      <c r="F3914" s="44"/>
      <c r="G3914" s="42"/>
      <c r="H3914" s="42"/>
      <c r="I3914" s="44"/>
      <c r="J3914" s="11" t="str">
        <f aca="false">IF(D3914="","",N(G3914)-N(H3914))</f>
        <v/>
      </c>
      <c r="K3914" s="34" t="str">
        <f aca="false">IF(D3914="","",IFERROR(INDEX(I_COA!$C$6:$C$265,MATCH(D3914,I_COA!$A$6:$A$265,0)),"AKUN BARU"))</f>
        <v/>
      </c>
      <c r="L3914" s="34" t="str">
        <f aca="false">IF(K3914="LabaRugi",INDEX(I_COA!$D$6:$D$265,MATCH(D3914,I_COA!$A$6:$A$265,0)),"")</f>
        <v/>
      </c>
      <c r="M3914" s="34" t="str">
        <f aca="false">IF(K3914="Neraca",INDEX(I_COA!$E$6:$E$265,MATCH(D3914,I_COA!$A$6:$A$265,0)),"")</f>
        <v/>
      </c>
      <c r="N3914" s="34" t="str">
        <f aca="false">IF(D3914="","",IFERROR(INDEX(I_COA!$G$6:$G$265,MATCH(D3914,I_COA!$A$6:$A$265,0)),"N"))</f>
        <v/>
      </c>
      <c r="O3914" s="11" t="str">
        <f aca="false">IF(N3914="N",ABS(J3914),"")</f>
        <v/>
      </c>
      <c r="P3914" s="18" t="str">
        <f aca="false">IF(N3914="N",B3914&amp;"|"&amp;ROUND(O3914,0),"")</f>
        <v/>
      </c>
      <c r="Q3914" s="18" t="str">
        <f aca="false">IF(N3914&lt;&gt;"Y","",IFERROR(INDEX($D$6:$D$4005,MATCH(B3914&amp;"|"&amp;ROUND(_xlfn.MAXIFS($O$6:$O$4005,$B$6:$B$4005,B3914,$N$6:$N$4005,"N"),0),$P$6:$P$4005,0)),"(tanpa lawan)"))</f>
        <v/>
      </c>
      <c r="R3914" s="44"/>
      <c r="S3914" s="9" t="str">
        <f aca="false">IF(N3914&lt;&gt;"Y","",IF(R3914&lt;&gt;"",R3914,IF(Q3914="(tanpa lawan)","Transfer antar rekening",IFERROR(INDEX(I_COA!$F$6:$F$265,MATCH(Q3914,I_COA!$A$6:$A$265,0)),"?"))))</f>
        <v/>
      </c>
    </row>
    <row r="3915" customFormat="false" ht="15" hidden="false" customHeight="false" outlineLevel="0" collapsed="false">
      <c r="A3915" s="37"/>
      <c r="B3915" s="44"/>
      <c r="C3915" s="44"/>
      <c r="D3915" s="44"/>
      <c r="E3915" s="44"/>
      <c r="F3915" s="44"/>
      <c r="G3915" s="42"/>
      <c r="H3915" s="42"/>
      <c r="I3915" s="44"/>
      <c r="J3915" s="11" t="str">
        <f aca="false">IF(D3915="","",N(G3915)-N(H3915))</f>
        <v/>
      </c>
      <c r="K3915" s="34" t="str">
        <f aca="false">IF(D3915="","",IFERROR(INDEX(I_COA!$C$6:$C$265,MATCH(D3915,I_COA!$A$6:$A$265,0)),"AKUN BARU"))</f>
        <v/>
      </c>
      <c r="L3915" s="34" t="str">
        <f aca="false">IF(K3915="LabaRugi",INDEX(I_COA!$D$6:$D$265,MATCH(D3915,I_COA!$A$6:$A$265,0)),"")</f>
        <v/>
      </c>
      <c r="M3915" s="34" t="str">
        <f aca="false">IF(K3915="Neraca",INDEX(I_COA!$E$6:$E$265,MATCH(D3915,I_COA!$A$6:$A$265,0)),"")</f>
        <v/>
      </c>
      <c r="N3915" s="34" t="str">
        <f aca="false">IF(D3915="","",IFERROR(INDEX(I_COA!$G$6:$G$265,MATCH(D3915,I_COA!$A$6:$A$265,0)),"N"))</f>
        <v/>
      </c>
      <c r="O3915" s="11" t="str">
        <f aca="false">IF(N3915="N",ABS(J3915),"")</f>
        <v/>
      </c>
      <c r="P3915" s="18" t="str">
        <f aca="false">IF(N3915="N",B3915&amp;"|"&amp;ROUND(O3915,0),"")</f>
        <v/>
      </c>
      <c r="Q3915" s="18" t="str">
        <f aca="false">IF(N3915&lt;&gt;"Y","",IFERROR(INDEX($D$6:$D$4005,MATCH(B3915&amp;"|"&amp;ROUND(_xlfn.MAXIFS($O$6:$O$4005,$B$6:$B$4005,B3915,$N$6:$N$4005,"N"),0),$P$6:$P$4005,0)),"(tanpa lawan)"))</f>
        <v/>
      </c>
      <c r="R3915" s="44"/>
      <c r="S3915" s="9" t="str">
        <f aca="false">IF(N3915&lt;&gt;"Y","",IF(R3915&lt;&gt;"",R3915,IF(Q3915="(tanpa lawan)","Transfer antar rekening",IFERROR(INDEX(I_COA!$F$6:$F$265,MATCH(Q3915,I_COA!$A$6:$A$265,0)),"?"))))</f>
        <v/>
      </c>
    </row>
    <row r="3916" customFormat="false" ht="15" hidden="false" customHeight="false" outlineLevel="0" collapsed="false">
      <c r="A3916" s="37"/>
      <c r="B3916" s="44"/>
      <c r="C3916" s="44"/>
      <c r="D3916" s="44"/>
      <c r="E3916" s="44"/>
      <c r="F3916" s="44"/>
      <c r="G3916" s="42"/>
      <c r="H3916" s="42"/>
      <c r="I3916" s="44"/>
      <c r="J3916" s="11" t="str">
        <f aca="false">IF(D3916="","",N(G3916)-N(H3916))</f>
        <v/>
      </c>
      <c r="K3916" s="34" t="str">
        <f aca="false">IF(D3916="","",IFERROR(INDEX(I_COA!$C$6:$C$265,MATCH(D3916,I_COA!$A$6:$A$265,0)),"AKUN BARU"))</f>
        <v/>
      </c>
      <c r="L3916" s="34" t="str">
        <f aca="false">IF(K3916="LabaRugi",INDEX(I_COA!$D$6:$D$265,MATCH(D3916,I_COA!$A$6:$A$265,0)),"")</f>
        <v/>
      </c>
      <c r="M3916" s="34" t="str">
        <f aca="false">IF(K3916="Neraca",INDEX(I_COA!$E$6:$E$265,MATCH(D3916,I_COA!$A$6:$A$265,0)),"")</f>
        <v/>
      </c>
      <c r="N3916" s="34" t="str">
        <f aca="false">IF(D3916="","",IFERROR(INDEX(I_COA!$G$6:$G$265,MATCH(D3916,I_COA!$A$6:$A$265,0)),"N"))</f>
        <v/>
      </c>
      <c r="O3916" s="11" t="str">
        <f aca="false">IF(N3916="N",ABS(J3916),"")</f>
        <v/>
      </c>
      <c r="P3916" s="18" t="str">
        <f aca="false">IF(N3916="N",B3916&amp;"|"&amp;ROUND(O3916,0),"")</f>
        <v/>
      </c>
      <c r="Q3916" s="18" t="str">
        <f aca="false">IF(N3916&lt;&gt;"Y","",IFERROR(INDEX($D$6:$D$4005,MATCH(B3916&amp;"|"&amp;ROUND(_xlfn.MAXIFS($O$6:$O$4005,$B$6:$B$4005,B3916,$N$6:$N$4005,"N"),0),$P$6:$P$4005,0)),"(tanpa lawan)"))</f>
        <v/>
      </c>
      <c r="R3916" s="44"/>
      <c r="S3916" s="9" t="str">
        <f aca="false">IF(N3916&lt;&gt;"Y","",IF(R3916&lt;&gt;"",R3916,IF(Q3916="(tanpa lawan)","Transfer antar rekening",IFERROR(INDEX(I_COA!$F$6:$F$265,MATCH(Q3916,I_COA!$A$6:$A$265,0)),"?"))))</f>
        <v/>
      </c>
    </row>
    <row r="3917" customFormat="false" ht="15" hidden="false" customHeight="false" outlineLevel="0" collapsed="false">
      <c r="A3917" s="37"/>
      <c r="B3917" s="44"/>
      <c r="C3917" s="44"/>
      <c r="D3917" s="44"/>
      <c r="E3917" s="44"/>
      <c r="F3917" s="44"/>
      <c r="G3917" s="42"/>
      <c r="H3917" s="42"/>
      <c r="I3917" s="44"/>
      <c r="J3917" s="11" t="str">
        <f aca="false">IF(D3917="","",N(G3917)-N(H3917))</f>
        <v/>
      </c>
      <c r="K3917" s="34" t="str">
        <f aca="false">IF(D3917="","",IFERROR(INDEX(I_COA!$C$6:$C$265,MATCH(D3917,I_COA!$A$6:$A$265,0)),"AKUN BARU"))</f>
        <v/>
      </c>
      <c r="L3917" s="34" t="str">
        <f aca="false">IF(K3917="LabaRugi",INDEX(I_COA!$D$6:$D$265,MATCH(D3917,I_COA!$A$6:$A$265,0)),"")</f>
        <v/>
      </c>
      <c r="M3917" s="34" t="str">
        <f aca="false">IF(K3917="Neraca",INDEX(I_COA!$E$6:$E$265,MATCH(D3917,I_COA!$A$6:$A$265,0)),"")</f>
        <v/>
      </c>
      <c r="N3917" s="34" t="str">
        <f aca="false">IF(D3917="","",IFERROR(INDEX(I_COA!$G$6:$G$265,MATCH(D3917,I_COA!$A$6:$A$265,0)),"N"))</f>
        <v/>
      </c>
      <c r="O3917" s="11" t="str">
        <f aca="false">IF(N3917="N",ABS(J3917),"")</f>
        <v/>
      </c>
      <c r="P3917" s="18" t="str">
        <f aca="false">IF(N3917="N",B3917&amp;"|"&amp;ROUND(O3917,0),"")</f>
        <v/>
      </c>
      <c r="Q3917" s="18" t="str">
        <f aca="false">IF(N3917&lt;&gt;"Y","",IFERROR(INDEX($D$6:$D$4005,MATCH(B3917&amp;"|"&amp;ROUND(_xlfn.MAXIFS($O$6:$O$4005,$B$6:$B$4005,B3917,$N$6:$N$4005,"N"),0),$P$6:$P$4005,0)),"(tanpa lawan)"))</f>
        <v/>
      </c>
      <c r="R3917" s="44"/>
      <c r="S3917" s="9" t="str">
        <f aca="false">IF(N3917&lt;&gt;"Y","",IF(R3917&lt;&gt;"",R3917,IF(Q3917="(tanpa lawan)","Transfer antar rekening",IFERROR(INDEX(I_COA!$F$6:$F$265,MATCH(Q3917,I_COA!$A$6:$A$265,0)),"?"))))</f>
        <v/>
      </c>
    </row>
    <row r="3918" customFormat="false" ht="15" hidden="false" customHeight="false" outlineLevel="0" collapsed="false">
      <c r="A3918" s="37"/>
      <c r="B3918" s="44"/>
      <c r="C3918" s="44"/>
      <c r="D3918" s="44"/>
      <c r="E3918" s="44"/>
      <c r="F3918" s="44"/>
      <c r="G3918" s="42"/>
      <c r="H3918" s="42"/>
      <c r="I3918" s="44"/>
      <c r="J3918" s="11" t="str">
        <f aca="false">IF(D3918="","",N(G3918)-N(H3918))</f>
        <v/>
      </c>
      <c r="K3918" s="34" t="str">
        <f aca="false">IF(D3918="","",IFERROR(INDEX(I_COA!$C$6:$C$265,MATCH(D3918,I_COA!$A$6:$A$265,0)),"AKUN BARU"))</f>
        <v/>
      </c>
      <c r="L3918" s="34" t="str">
        <f aca="false">IF(K3918="LabaRugi",INDEX(I_COA!$D$6:$D$265,MATCH(D3918,I_COA!$A$6:$A$265,0)),"")</f>
        <v/>
      </c>
      <c r="M3918" s="34" t="str">
        <f aca="false">IF(K3918="Neraca",INDEX(I_COA!$E$6:$E$265,MATCH(D3918,I_COA!$A$6:$A$265,0)),"")</f>
        <v/>
      </c>
      <c r="N3918" s="34" t="str">
        <f aca="false">IF(D3918="","",IFERROR(INDEX(I_COA!$G$6:$G$265,MATCH(D3918,I_COA!$A$6:$A$265,0)),"N"))</f>
        <v/>
      </c>
      <c r="O3918" s="11" t="str">
        <f aca="false">IF(N3918="N",ABS(J3918),"")</f>
        <v/>
      </c>
      <c r="P3918" s="18" t="str">
        <f aca="false">IF(N3918="N",B3918&amp;"|"&amp;ROUND(O3918,0),"")</f>
        <v/>
      </c>
      <c r="Q3918" s="18" t="str">
        <f aca="false">IF(N3918&lt;&gt;"Y","",IFERROR(INDEX($D$6:$D$4005,MATCH(B3918&amp;"|"&amp;ROUND(_xlfn.MAXIFS($O$6:$O$4005,$B$6:$B$4005,B3918,$N$6:$N$4005,"N"),0),$P$6:$P$4005,0)),"(tanpa lawan)"))</f>
        <v/>
      </c>
      <c r="R3918" s="44"/>
      <c r="S3918" s="9" t="str">
        <f aca="false">IF(N3918&lt;&gt;"Y","",IF(R3918&lt;&gt;"",R3918,IF(Q3918="(tanpa lawan)","Transfer antar rekening",IFERROR(INDEX(I_COA!$F$6:$F$265,MATCH(Q3918,I_COA!$A$6:$A$265,0)),"?"))))</f>
        <v/>
      </c>
    </row>
    <row r="3919" customFormat="false" ht="15" hidden="false" customHeight="false" outlineLevel="0" collapsed="false">
      <c r="A3919" s="37"/>
      <c r="B3919" s="44"/>
      <c r="C3919" s="44"/>
      <c r="D3919" s="44"/>
      <c r="E3919" s="44"/>
      <c r="F3919" s="44"/>
      <c r="G3919" s="42"/>
      <c r="H3919" s="42"/>
      <c r="I3919" s="44"/>
      <c r="J3919" s="11" t="str">
        <f aca="false">IF(D3919="","",N(G3919)-N(H3919))</f>
        <v/>
      </c>
      <c r="K3919" s="34" t="str">
        <f aca="false">IF(D3919="","",IFERROR(INDEX(I_COA!$C$6:$C$265,MATCH(D3919,I_COA!$A$6:$A$265,0)),"AKUN BARU"))</f>
        <v/>
      </c>
      <c r="L3919" s="34" t="str">
        <f aca="false">IF(K3919="LabaRugi",INDEX(I_COA!$D$6:$D$265,MATCH(D3919,I_COA!$A$6:$A$265,0)),"")</f>
        <v/>
      </c>
      <c r="M3919" s="34" t="str">
        <f aca="false">IF(K3919="Neraca",INDEX(I_COA!$E$6:$E$265,MATCH(D3919,I_COA!$A$6:$A$265,0)),"")</f>
        <v/>
      </c>
      <c r="N3919" s="34" t="str">
        <f aca="false">IF(D3919="","",IFERROR(INDEX(I_COA!$G$6:$G$265,MATCH(D3919,I_COA!$A$6:$A$265,0)),"N"))</f>
        <v/>
      </c>
      <c r="O3919" s="11" t="str">
        <f aca="false">IF(N3919="N",ABS(J3919),"")</f>
        <v/>
      </c>
      <c r="P3919" s="18" t="str">
        <f aca="false">IF(N3919="N",B3919&amp;"|"&amp;ROUND(O3919,0),"")</f>
        <v/>
      </c>
      <c r="Q3919" s="18" t="str">
        <f aca="false">IF(N3919&lt;&gt;"Y","",IFERROR(INDEX($D$6:$D$4005,MATCH(B3919&amp;"|"&amp;ROUND(_xlfn.MAXIFS($O$6:$O$4005,$B$6:$B$4005,B3919,$N$6:$N$4005,"N"),0),$P$6:$P$4005,0)),"(tanpa lawan)"))</f>
        <v/>
      </c>
      <c r="R3919" s="44"/>
      <c r="S3919" s="9" t="str">
        <f aca="false">IF(N3919&lt;&gt;"Y","",IF(R3919&lt;&gt;"",R3919,IF(Q3919="(tanpa lawan)","Transfer antar rekening",IFERROR(INDEX(I_COA!$F$6:$F$265,MATCH(Q3919,I_COA!$A$6:$A$265,0)),"?"))))</f>
        <v/>
      </c>
    </row>
    <row r="3920" customFormat="false" ht="15" hidden="false" customHeight="false" outlineLevel="0" collapsed="false">
      <c r="A3920" s="37"/>
      <c r="B3920" s="44"/>
      <c r="C3920" s="44"/>
      <c r="D3920" s="44"/>
      <c r="E3920" s="44"/>
      <c r="F3920" s="44"/>
      <c r="G3920" s="42"/>
      <c r="H3920" s="42"/>
      <c r="I3920" s="44"/>
      <c r="J3920" s="11" t="str">
        <f aca="false">IF(D3920="","",N(G3920)-N(H3920))</f>
        <v/>
      </c>
      <c r="K3920" s="34" t="str">
        <f aca="false">IF(D3920="","",IFERROR(INDEX(I_COA!$C$6:$C$265,MATCH(D3920,I_COA!$A$6:$A$265,0)),"AKUN BARU"))</f>
        <v/>
      </c>
      <c r="L3920" s="34" t="str">
        <f aca="false">IF(K3920="LabaRugi",INDEX(I_COA!$D$6:$D$265,MATCH(D3920,I_COA!$A$6:$A$265,0)),"")</f>
        <v/>
      </c>
      <c r="M3920" s="34" t="str">
        <f aca="false">IF(K3920="Neraca",INDEX(I_COA!$E$6:$E$265,MATCH(D3920,I_COA!$A$6:$A$265,0)),"")</f>
        <v/>
      </c>
      <c r="N3920" s="34" t="str">
        <f aca="false">IF(D3920="","",IFERROR(INDEX(I_COA!$G$6:$G$265,MATCH(D3920,I_COA!$A$6:$A$265,0)),"N"))</f>
        <v/>
      </c>
      <c r="O3920" s="11" t="str">
        <f aca="false">IF(N3920="N",ABS(J3920),"")</f>
        <v/>
      </c>
      <c r="P3920" s="18" t="str">
        <f aca="false">IF(N3920="N",B3920&amp;"|"&amp;ROUND(O3920,0),"")</f>
        <v/>
      </c>
      <c r="Q3920" s="18" t="str">
        <f aca="false">IF(N3920&lt;&gt;"Y","",IFERROR(INDEX($D$6:$D$4005,MATCH(B3920&amp;"|"&amp;ROUND(_xlfn.MAXIFS($O$6:$O$4005,$B$6:$B$4005,B3920,$N$6:$N$4005,"N"),0),$P$6:$P$4005,0)),"(tanpa lawan)"))</f>
        <v/>
      </c>
      <c r="R3920" s="44"/>
      <c r="S3920" s="9" t="str">
        <f aca="false">IF(N3920&lt;&gt;"Y","",IF(R3920&lt;&gt;"",R3920,IF(Q3920="(tanpa lawan)","Transfer antar rekening",IFERROR(INDEX(I_COA!$F$6:$F$265,MATCH(Q3920,I_COA!$A$6:$A$265,0)),"?"))))</f>
        <v/>
      </c>
    </row>
    <row r="3921" customFormat="false" ht="15" hidden="false" customHeight="false" outlineLevel="0" collapsed="false">
      <c r="A3921" s="37"/>
      <c r="B3921" s="44"/>
      <c r="C3921" s="44"/>
      <c r="D3921" s="44"/>
      <c r="E3921" s="44"/>
      <c r="F3921" s="44"/>
      <c r="G3921" s="42"/>
      <c r="H3921" s="42"/>
      <c r="I3921" s="44"/>
      <c r="J3921" s="11" t="str">
        <f aca="false">IF(D3921="","",N(G3921)-N(H3921))</f>
        <v/>
      </c>
      <c r="K3921" s="34" t="str">
        <f aca="false">IF(D3921="","",IFERROR(INDEX(I_COA!$C$6:$C$265,MATCH(D3921,I_COA!$A$6:$A$265,0)),"AKUN BARU"))</f>
        <v/>
      </c>
      <c r="L3921" s="34" t="str">
        <f aca="false">IF(K3921="LabaRugi",INDEX(I_COA!$D$6:$D$265,MATCH(D3921,I_COA!$A$6:$A$265,0)),"")</f>
        <v/>
      </c>
      <c r="M3921" s="34" t="str">
        <f aca="false">IF(K3921="Neraca",INDEX(I_COA!$E$6:$E$265,MATCH(D3921,I_COA!$A$6:$A$265,0)),"")</f>
        <v/>
      </c>
      <c r="N3921" s="34" t="str">
        <f aca="false">IF(D3921="","",IFERROR(INDEX(I_COA!$G$6:$G$265,MATCH(D3921,I_COA!$A$6:$A$265,0)),"N"))</f>
        <v/>
      </c>
      <c r="O3921" s="11" t="str">
        <f aca="false">IF(N3921="N",ABS(J3921),"")</f>
        <v/>
      </c>
      <c r="P3921" s="18" t="str">
        <f aca="false">IF(N3921="N",B3921&amp;"|"&amp;ROUND(O3921,0),"")</f>
        <v/>
      </c>
      <c r="Q3921" s="18" t="str">
        <f aca="false">IF(N3921&lt;&gt;"Y","",IFERROR(INDEX($D$6:$D$4005,MATCH(B3921&amp;"|"&amp;ROUND(_xlfn.MAXIFS($O$6:$O$4005,$B$6:$B$4005,B3921,$N$6:$N$4005,"N"),0),$P$6:$P$4005,0)),"(tanpa lawan)"))</f>
        <v/>
      </c>
      <c r="R3921" s="44"/>
      <c r="S3921" s="9" t="str">
        <f aca="false">IF(N3921&lt;&gt;"Y","",IF(R3921&lt;&gt;"",R3921,IF(Q3921="(tanpa lawan)","Transfer antar rekening",IFERROR(INDEX(I_COA!$F$6:$F$265,MATCH(Q3921,I_COA!$A$6:$A$265,0)),"?"))))</f>
        <v/>
      </c>
    </row>
    <row r="3922" customFormat="false" ht="15" hidden="false" customHeight="false" outlineLevel="0" collapsed="false">
      <c r="A3922" s="37"/>
      <c r="B3922" s="44"/>
      <c r="C3922" s="44"/>
      <c r="D3922" s="44"/>
      <c r="E3922" s="44"/>
      <c r="F3922" s="44"/>
      <c r="G3922" s="42"/>
      <c r="H3922" s="42"/>
      <c r="I3922" s="44"/>
      <c r="J3922" s="11" t="str">
        <f aca="false">IF(D3922="","",N(G3922)-N(H3922))</f>
        <v/>
      </c>
      <c r="K3922" s="34" t="str">
        <f aca="false">IF(D3922="","",IFERROR(INDEX(I_COA!$C$6:$C$265,MATCH(D3922,I_COA!$A$6:$A$265,0)),"AKUN BARU"))</f>
        <v/>
      </c>
      <c r="L3922" s="34" t="str">
        <f aca="false">IF(K3922="LabaRugi",INDEX(I_COA!$D$6:$D$265,MATCH(D3922,I_COA!$A$6:$A$265,0)),"")</f>
        <v/>
      </c>
      <c r="M3922" s="34" t="str">
        <f aca="false">IF(K3922="Neraca",INDEX(I_COA!$E$6:$E$265,MATCH(D3922,I_COA!$A$6:$A$265,0)),"")</f>
        <v/>
      </c>
      <c r="N3922" s="34" t="str">
        <f aca="false">IF(D3922="","",IFERROR(INDEX(I_COA!$G$6:$G$265,MATCH(D3922,I_COA!$A$6:$A$265,0)),"N"))</f>
        <v/>
      </c>
      <c r="O3922" s="11" t="str">
        <f aca="false">IF(N3922="N",ABS(J3922),"")</f>
        <v/>
      </c>
      <c r="P3922" s="18" t="str">
        <f aca="false">IF(N3922="N",B3922&amp;"|"&amp;ROUND(O3922,0),"")</f>
        <v/>
      </c>
      <c r="Q3922" s="18" t="str">
        <f aca="false">IF(N3922&lt;&gt;"Y","",IFERROR(INDEX($D$6:$D$4005,MATCH(B3922&amp;"|"&amp;ROUND(_xlfn.MAXIFS($O$6:$O$4005,$B$6:$B$4005,B3922,$N$6:$N$4005,"N"),0),$P$6:$P$4005,0)),"(tanpa lawan)"))</f>
        <v/>
      </c>
      <c r="R3922" s="44"/>
      <c r="S3922" s="9" t="str">
        <f aca="false">IF(N3922&lt;&gt;"Y","",IF(R3922&lt;&gt;"",R3922,IF(Q3922="(tanpa lawan)","Transfer antar rekening",IFERROR(INDEX(I_COA!$F$6:$F$265,MATCH(Q3922,I_COA!$A$6:$A$265,0)),"?"))))</f>
        <v/>
      </c>
    </row>
    <row r="3923" customFormat="false" ht="15" hidden="false" customHeight="false" outlineLevel="0" collapsed="false">
      <c r="A3923" s="37"/>
      <c r="B3923" s="44"/>
      <c r="C3923" s="44"/>
      <c r="D3923" s="44"/>
      <c r="E3923" s="44"/>
      <c r="F3923" s="44"/>
      <c r="G3923" s="42"/>
      <c r="H3923" s="42"/>
      <c r="I3923" s="44"/>
      <c r="J3923" s="11" t="str">
        <f aca="false">IF(D3923="","",N(G3923)-N(H3923))</f>
        <v/>
      </c>
      <c r="K3923" s="34" t="str">
        <f aca="false">IF(D3923="","",IFERROR(INDEX(I_COA!$C$6:$C$265,MATCH(D3923,I_COA!$A$6:$A$265,0)),"AKUN BARU"))</f>
        <v/>
      </c>
      <c r="L3923" s="34" t="str">
        <f aca="false">IF(K3923="LabaRugi",INDEX(I_COA!$D$6:$D$265,MATCH(D3923,I_COA!$A$6:$A$265,0)),"")</f>
        <v/>
      </c>
      <c r="M3923" s="34" t="str">
        <f aca="false">IF(K3923="Neraca",INDEX(I_COA!$E$6:$E$265,MATCH(D3923,I_COA!$A$6:$A$265,0)),"")</f>
        <v/>
      </c>
      <c r="N3923" s="34" t="str">
        <f aca="false">IF(D3923="","",IFERROR(INDEX(I_COA!$G$6:$G$265,MATCH(D3923,I_COA!$A$6:$A$265,0)),"N"))</f>
        <v/>
      </c>
      <c r="O3923" s="11" t="str">
        <f aca="false">IF(N3923="N",ABS(J3923),"")</f>
        <v/>
      </c>
      <c r="P3923" s="18" t="str">
        <f aca="false">IF(N3923="N",B3923&amp;"|"&amp;ROUND(O3923,0),"")</f>
        <v/>
      </c>
      <c r="Q3923" s="18" t="str">
        <f aca="false">IF(N3923&lt;&gt;"Y","",IFERROR(INDEX($D$6:$D$4005,MATCH(B3923&amp;"|"&amp;ROUND(_xlfn.MAXIFS($O$6:$O$4005,$B$6:$B$4005,B3923,$N$6:$N$4005,"N"),0),$P$6:$P$4005,0)),"(tanpa lawan)"))</f>
        <v/>
      </c>
      <c r="R3923" s="44"/>
      <c r="S3923" s="9" t="str">
        <f aca="false">IF(N3923&lt;&gt;"Y","",IF(R3923&lt;&gt;"",R3923,IF(Q3923="(tanpa lawan)","Transfer antar rekening",IFERROR(INDEX(I_COA!$F$6:$F$265,MATCH(Q3923,I_COA!$A$6:$A$265,0)),"?"))))</f>
        <v/>
      </c>
    </row>
    <row r="3924" customFormat="false" ht="15" hidden="false" customHeight="false" outlineLevel="0" collapsed="false">
      <c r="A3924" s="37"/>
      <c r="B3924" s="44"/>
      <c r="C3924" s="44"/>
      <c r="D3924" s="44"/>
      <c r="E3924" s="44"/>
      <c r="F3924" s="44"/>
      <c r="G3924" s="42"/>
      <c r="H3924" s="42"/>
      <c r="I3924" s="44"/>
      <c r="J3924" s="11" t="str">
        <f aca="false">IF(D3924="","",N(G3924)-N(H3924))</f>
        <v/>
      </c>
      <c r="K3924" s="34" t="str">
        <f aca="false">IF(D3924="","",IFERROR(INDEX(I_COA!$C$6:$C$265,MATCH(D3924,I_COA!$A$6:$A$265,0)),"AKUN BARU"))</f>
        <v/>
      </c>
      <c r="L3924" s="34" t="str">
        <f aca="false">IF(K3924="LabaRugi",INDEX(I_COA!$D$6:$D$265,MATCH(D3924,I_COA!$A$6:$A$265,0)),"")</f>
        <v/>
      </c>
      <c r="M3924" s="34" t="str">
        <f aca="false">IF(K3924="Neraca",INDEX(I_COA!$E$6:$E$265,MATCH(D3924,I_COA!$A$6:$A$265,0)),"")</f>
        <v/>
      </c>
      <c r="N3924" s="34" t="str">
        <f aca="false">IF(D3924="","",IFERROR(INDEX(I_COA!$G$6:$G$265,MATCH(D3924,I_COA!$A$6:$A$265,0)),"N"))</f>
        <v/>
      </c>
      <c r="O3924" s="11" t="str">
        <f aca="false">IF(N3924="N",ABS(J3924),"")</f>
        <v/>
      </c>
      <c r="P3924" s="18" t="str">
        <f aca="false">IF(N3924="N",B3924&amp;"|"&amp;ROUND(O3924,0),"")</f>
        <v/>
      </c>
      <c r="Q3924" s="18" t="str">
        <f aca="false">IF(N3924&lt;&gt;"Y","",IFERROR(INDEX($D$6:$D$4005,MATCH(B3924&amp;"|"&amp;ROUND(_xlfn.MAXIFS($O$6:$O$4005,$B$6:$B$4005,B3924,$N$6:$N$4005,"N"),0),$P$6:$P$4005,0)),"(tanpa lawan)"))</f>
        <v/>
      </c>
      <c r="R3924" s="44"/>
      <c r="S3924" s="9" t="str">
        <f aca="false">IF(N3924&lt;&gt;"Y","",IF(R3924&lt;&gt;"",R3924,IF(Q3924="(tanpa lawan)","Transfer antar rekening",IFERROR(INDEX(I_COA!$F$6:$F$265,MATCH(Q3924,I_COA!$A$6:$A$265,0)),"?"))))</f>
        <v/>
      </c>
    </row>
    <row r="3925" customFormat="false" ht="15" hidden="false" customHeight="false" outlineLevel="0" collapsed="false">
      <c r="A3925" s="37"/>
      <c r="B3925" s="44"/>
      <c r="C3925" s="44"/>
      <c r="D3925" s="44"/>
      <c r="E3925" s="44"/>
      <c r="F3925" s="44"/>
      <c r="G3925" s="42"/>
      <c r="H3925" s="42"/>
      <c r="I3925" s="44"/>
      <c r="J3925" s="11" t="str">
        <f aca="false">IF(D3925="","",N(G3925)-N(H3925))</f>
        <v/>
      </c>
      <c r="K3925" s="34" t="str">
        <f aca="false">IF(D3925="","",IFERROR(INDEX(I_COA!$C$6:$C$265,MATCH(D3925,I_COA!$A$6:$A$265,0)),"AKUN BARU"))</f>
        <v/>
      </c>
      <c r="L3925" s="34" t="str">
        <f aca="false">IF(K3925="LabaRugi",INDEX(I_COA!$D$6:$D$265,MATCH(D3925,I_COA!$A$6:$A$265,0)),"")</f>
        <v/>
      </c>
      <c r="M3925" s="34" t="str">
        <f aca="false">IF(K3925="Neraca",INDEX(I_COA!$E$6:$E$265,MATCH(D3925,I_COA!$A$6:$A$265,0)),"")</f>
        <v/>
      </c>
      <c r="N3925" s="34" t="str">
        <f aca="false">IF(D3925="","",IFERROR(INDEX(I_COA!$G$6:$G$265,MATCH(D3925,I_COA!$A$6:$A$265,0)),"N"))</f>
        <v/>
      </c>
      <c r="O3925" s="11" t="str">
        <f aca="false">IF(N3925="N",ABS(J3925),"")</f>
        <v/>
      </c>
      <c r="P3925" s="18" t="str">
        <f aca="false">IF(N3925="N",B3925&amp;"|"&amp;ROUND(O3925,0),"")</f>
        <v/>
      </c>
      <c r="Q3925" s="18" t="str">
        <f aca="false">IF(N3925&lt;&gt;"Y","",IFERROR(INDEX($D$6:$D$4005,MATCH(B3925&amp;"|"&amp;ROUND(_xlfn.MAXIFS($O$6:$O$4005,$B$6:$B$4005,B3925,$N$6:$N$4005,"N"),0),$P$6:$P$4005,0)),"(tanpa lawan)"))</f>
        <v/>
      </c>
      <c r="R3925" s="44"/>
      <c r="S3925" s="9" t="str">
        <f aca="false">IF(N3925&lt;&gt;"Y","",IF(R3925&lt;&gt;"",R3925,IF(Q3925="(tanpa lawan)","Transfer antar rekening",IFERROR(INDEX(I_COA!$F$6:$F$265,MATCH(Q3925,I_COA!$A$6:$A$265,0)),"?"))))</f>
        <v/>
      </c>
    </row>
    <row r="3926" customFormat="false" ht="15" hidden="false" customHeight="false" outlineLevel="0" collapsed="false">
      <c r="A3926" s="37"/>
      <c r="B3926" s="44"/>
      <c r="C3926" s="44"/>
      <c r="D3926" s="44"/>
      <c r="E3926" s="44"/>
      <c r="F3926" s="44"/>
      <c r="G3926" s="42"/>
      <c r="H3926" s="42"/>
      <c r="I3926" s="44"/>
      <c r="J3926" s="11" t="str">
        <f aca="false">IF(D3926="","",N(G3926)-N(H3926))</f>
        <v/>
      </c>
      <c r="K3926" s="34" t="str">
        <f aca="false">IF(D3926="","",IFERROR(INDEX(I_COA!$C$6:$C$265,MATCH(D3926,I_COA!$A$6:$A$265,0)),"AKUN BARU"))</f>
        <v/>
      </c>
      <c r="L3926" s="34" t="str">
        <f aca="false">IF(K3926="LabaRugi",INDEX(I_COA!$D$6:$D$265,MATCH(D3926,I_COA!$A$6:$A$265,0)),"")</f>
        <v/>
      </c>
      <c r="M3926" s="34" t="str">
        <f aca="false">IF(K3926="Neraca",INDEX(I_COA!$E$6:$E$265,MATCH(D3926,I_COA!$A$6:$A$265,0)),"")</f>
        <v/>
      </c>
      <c r="N3926" s="34" t="str">
        <f aca="false">IF(D3926="","",IFERROR(INDEX(I_COA!$G$6:$G$265,MATCH(D3926,I_COA!$A$6:$A$265,0)),"N"))</f>
        <v/>
      </c>
      <c r="O3926" s="11" t="str">
        <f aca="false">IF(N3926="N",ABS(J3926),"")</f>
        <v/>
      </c>
      <c r="P3926" s="18" t="str">
        <f aca="false">IF(N3926="N",B3926&amp;"|"&amp;ROUND(O3926,0),"")</f>
        <v/>
      </c>
      <c r="Q3926" s="18" t="str">
        <f aca="false">IF(N3926&lt;&gt;"Y","",IFERROR(INDEX($D$6:$D$4005,MATCH(B3926&amp;"|"&amp;ROUND(_xlfn.MAXIFS($O$6:$O$4005,$B$6:$B$4005,B3926,$N$6:$N$4005,"N"),0),$P$6:$P$4005,0)),"(tanpa lawan)"))</f>
        <v/>
      </c>
      <c r="R3926" s="44"/>
      <c r="S3926" s="9" t="str">
        <f aca="false">IF(N3926&lt;&gt;"Y","",IF(R3926&lt;&gt;"",R3926,IF(Q3926="(tanpa lawan)","Transfer antar rekening",IFERROR(INDEX(I_COA!$F$6:$F$265,MATCH(Q3926,I_COA!$A$6:$A$265,0)),"?"))))</f>
        <v/>
      </c>
    </row>
    <row r="3927" customFormat="false" ht="15" hidden="false" customHeight="false" outlineLevel="0" collapsed="false">
      <c r="A3927" s="37"/>
      <c r="B3927" s="44"/>
      <c r="C3927" s="44"/>
      <c r="D3927" s="44"/>
      <c r="E3927" s="44"/>
      <c r="F3927" s="44"/>
      <c r="G3927" s="42"/>
      <c r="H3927" s="42"/>
      <c r="I3927" s="44"/>
      <c r="J3927" s="11" t="str">
        <f aca="false">IF(D3927="","",N(G3927)-N(H3927))</f>
        <v/>
      </c>
      <c r="K3927" s="34" t="str">
        <f aca="false">IF(D3927="","",IFERROR(INDEX(I_COA!$C$6:$C$265,MATCH(D3927,I_COA!$A$6:$A$265,0)),"AKUN BARU"))</f>
        <v/>
      </c>
      <c r="L3927" s="34" t="str">
        <f aca="false">IF(K3927="LabaRugi",INDEX(I_COA!$D$6:$D$265,MATCH(D3927,I_COA!$A$6:$A$265,0)),"")</f>
        <v/>
      </c>
      <c r="M3927" s="34" t="str">
        <f aca="false">IF(K3927="Neraca",INDEX(I_COA!$E$6:$E$265,MATCH(D3927,I_COA!$A$6:$A$265,0)),"")</f>
        <v/>
      </c>
      <c r="N3927" s="34" t="str">
        <f aca="false">IF(D3927="","",IFERROR(INDEX(I_COA!$G$6:$G$265,MATCH(D3927,I_COA!$A$6:$A$265,0)),"N"))</f>
        <v/>
      </c>
      <c r="O3927" s="11" t="str">
        <f aca="false">IF(N3927="N",ABS(J3927),"")</f>
        <v/>
      </c>
      <c r="P3927" s="18" t="str">
        <f aca="false">IF(N3927="N",B3927&amp;"|"&amp;ROUND(O3927,0),"")</f>
        <v/>
      </c>
      <c r="Q3927" s="18" t="str">
        <f aca="false">IF(N3927&lt;&gt;"Y","",IFERROR(INDEX($D$6:$D$4005,MATCH(B3927&amp;"|"&amp;ROUND(_xlfn.MAXIFS($O$6:$O$4005,$B$6:$B$4005,B3927,$N$6:$N$4005,"N"),0),$P$6:$P$4005,0)),"(tanpa lawan)"))</f>
        <v/>
      </c>
      <c r="R3927" s="44"/>
      <c r="S3927" s="9" t="str">
        <f aca="false">IF(N3927&lt;&gt;"Y","",IF(R3927&lt;&gt;"",R3927,IF(Q3927="(tanpa lawan)","Transfer antar rekening",IFERROR(INDEX(I_COA!$F$6:$F$265,MATCH(Q3927,I_COA!$A$6:$A$265,0)),"?"))))</f>
        <v/>
      </c>
    </row>
    <row r="3928" customFormat="false" ht="15" hidden="false" customHeight="false" outlineLevel="0" collapsed="false">
      <c r="A3928" s="37"/>
      <c r="B3928" s="44"/>
      <c r="C3928" s="44"/>
      <c r="D3928" s="44"/>
      <c r="E3928" s="44"/>
      <c r="F3928" s="44"/>
      <c r="G3928" s="42"/>
      <c r="H3928" s="42"/>
      <c r="I3928" s="44"/>
      <c r="J3928" s="11" t="str">
        <f aca="false">IF(D3928="","",N(G3928)-N(H3928))</f>
        <v/>
      </c>
      <c r="K3928" s="34" t="str">
        <f aca="false">IF(D3928="","",IFERROR(INDEX(I_COA!$C$6:$C$265,MATCH(D3928,I_COA!$A$6:$A$265,0)),"AKUN BARU"))</f>
        <v/>
      </c>
      <c r="L3928" s="34" t="str">
        <f aca="false">IF(K3928="LabaRugi",INDEX(I_COA!$D$6:$D$265,MATCH(D3928,I_COA!$A$6:$A$265,0)),"")</f>
        <v/>
      </c>
      <c r="M3928" s="34" t="str">
        <f aca="false">IF(K3928="Neraca",INDEX(I_COA!$E$6:$E$265,MATCH(D3928,I_COA!$A$6:$A$265,0)),"")</f>
        <v/>
      </c>
      <c r="N3928" s="34" t="str">
        <f aca="false">IF(D3928="","",IFERROR(INDEX(I_COA!$G$6:$G$265,MATCH(D3928,I_COA!$A$6:$A$265,0)),"N"))</f>
        <v/>
      </c>
      <c r="O3928" s="11" t="str">
        <f aca="false">IF(N3928="N",ABS(J3928),"")</f>
        <v/>
      </c>
      <c r="P3928" s="18" t="str">
        <f aca="false">IF(N3928="N",B3928&amp;"|"&amp;ROUND(O3928,0),"")</f>
        <v/>
      </c>
      <c r="Q3928" s="18" t="str">
        <f aca="false">IF(N3928&lt;&gt;"Y","",IFERROR(INDEX($D$6:$D$4005,MATCH(B3928&amp;"|"&amp;ROUND(_xlfn.MAXIFS($O$6:$O$4005,$B$6:$B$4005,B3928,$N$6:$N$4005,"N"),0),$P$6:$P$4005,0)),"(tanpa lawan)"))</f>
        <v/>
      </c>
      <c r="R3928" s="44"/>
      <c r="S3928" s="9" t="str">
        <f aca="false">IF(N3928&lt;&gt;"Y","",IF(R3928&lt;&gt;"",R3928,IF(Q3928="(tanpa lawan)","Transfer antar rekening",IFERROR(INDEX(I_COA!$F$6:$F$265,MATCH(Q3928,I_COA!$A$6:$A$265,0)),"?"))))</f>
        <v/>
      </c>
    </row>
    <row r="3929" customFormat="false" ht="15" hidden="false" customHeight="false" outlineLevel="0" collapsed="false">
      <c r="A3929" s="37"/>
      <c r="B3929" s="44"/>
      <c r="C3929" s="44"/>
      <c r="D3929" s="44"/>
      <c r="E3929" s="44"/>
      <c r="F3929" s="44"/>
      <c r="G3929" s="42"/>
      <c r="H3929" s="42"/>
      <c r="I3929" s="44"/>
      <c r="J3929" s="11" t="str">
        <f aca="false">IF(D3929="","",N(G3929)-N(H3929))</f>
        <v/>
      </c>
      <c r="K3929" s="34" t="str">
        <f aca="false">IF(D3929="","",IFERROR(INDEX(I_COA!$C$6:$C$265,MATCH(D3929,I_COA!$A$6:$A$265,0)),"AKUN BARU"))</f>
        <v/>
      </c>
      <c r="L3929" s="34" t="str">
        <f aca="false">IF(K3929="LabaRugi",INDEX(I_COA!$D$6:$D$265,MATCH(D3929,I_COA!$A$6:$A$265,0)),"")</f>
        <v/>
      </c>
      <c r="M3929" s="34" t="str">
        <f aca="false">IF(K3929="Neraca",INDEX(I_COA!$E$6:$E$265,MATCH(D3929,I_COA!$A$6:$A$265,0)),"")</f>
        <v/>
      </c>
      <c r="N3929" s="34" t="str">
        <f aca="false">IF(D3929="","",IFERROR(INDEX(I_COA!$G$6:$G$265,MATCH(D3929,I_COA!$A$6:$A$265,0)),"N"))</f>
        <v/>
      </c>
      <c r="O3929" s="11" t="str">
        <f aca="false">IF(N3929="N",ABS(J3929),"")</f>
        <v/>
      </c>
      <c r="P3929" s="18" t="str">
        <f aca="false">IF(N3929="N",B3929&amp;"|"&amp;ROUND(O3929,0),"")</f>
        <v/>
      </c>
      <c r="Q3929" s="18" t="str">
        <f aca="false">IF(N3929&lt;&gt;"Y","",IFERROR(INDEX($D$6:$D$4005,MATCH(B3929&amp;"|"&amp;ROUND(_xlfn.MAXIFS($O$6:$O$4005,$B$6:$B$4005,B3929,$N$6:$N$4005,"N"),0),$P$6:$P$4005,0)),"(tanpa lawan)"))</f>
        <v/>
      </c>
      <c r="R3929" s="44"/>
      <c r="S3929" s="9" t="str">
        <f aca="false">IF(N3929&lt;&gt;"Y","",IF(R3929&lt;&gt;"",R3929,IF(Q3929="(tanpa lawan)","Transfer antar rekening",IFERROR(INDEX(I_COA!$F$6:$F$265,MATCH(Q3929,I_COA!$A$6:$A$265,0)),"?"))))</f>
        <v/>
      </c>
    </row>
    <row r="3930" customFormat="false" ht="15" hidden="false" customHeight="false" outlineLevel="0" collapsed="false">
      <c r="A3930" s="37"/>
      <c r="B3930" s="44"/>
      <c r="C3930" s="44"/>
      <c r="D3930" s="44"/>
      <c r="E3930" s="44"/>
      <c r="F3930" s="44"/>
      <c r="G3930" s="42"/>
      <c r="H3930" s="42"/>
      <c r="I3930" s="44"/>
      <c r="J3930" s="11" t="str">
        <f aca="false">IF(D3930="","",N(G3930)-N(H3930))</f>
        <v/>
      </c>
      <c r="K3930" s="34" t="str">
        <f aca="false">IF(D3930="","",IFERROR(INDEX(I_COA!$C$6:$C$265,MATCH(D3930,I_COA!$A$6:$A$265,0)),"AKUN BARU"))</f>
        <v/>
      </c>
      <c r="L3930" s="34" t="str">
        <f aca="false">IF(K3930="LabaRugi",INDEX(I_COA!$D$6:$D$265,MATCH(D3930,I_COA!$A$6:$A$265,0)),"")</f>
        <v/>
      </c>
      <c r="M3930" s="34" t="str">
        <f aca="false">IF(K3930="Neraca",INDEX(I_COA!$E$6:$E$265,MATCH(D3930,I_COA!$A$6:$A$265,0)),"")</f>
        <v/>
      </c>
      <c r="N3930" s="34" t="str">
        <f aca="false">IF(D3930="","",IFERROR(INDEX(I_COA!$G$6:$G$265,MATCH(D3930,I_COA!$A$6:$A$265,0)),"N"))</f>
        <v/>
      </c>
      <c r="O3930" s="11" t="str">
        <f aca="false">IF(N3930="N",ABS(J3930),"")</f>
        <v/>
      </c>
      <c r="P3930" s="18" t="str">
        <f aca="false">IF(N3930="N",B3930&amp;"|"&amp;ROUND(O3930,0),"")</f>
        <v/>
      </c>
      <c r="Q3930" s="18" t="str">
        <f aca="false">IF(N3930&lt;&gt;"Y","",IFERROR(INDEX($D$6:$D$4005,MATCH(B3930&amp;"|"&amp;ROUND(_xlfn.MAXIFS($O$6:$O$4005,$B$6:$B$4005,B3930,$N$6:$N$4005,"N"),0),$P$6:$P$4005,0)),"(tanpa lawan)"))</f>
        <v/>
      </c>
      <c r="R3930" s="44"/>
      <c r="S3930" s="9" t="str">
        <f aca="false">IF(N3930&lt;&gt;"Y","",IF(R3930&lt;&gt;"",R3930,IF(Q3930="(tanpa lawan)","Transfer antar rekening",IFERROR(INDEX(I_COA!$F$6:$F$265,MATCH(Q3930,I_COA!$A$6:$A$265,0)),"?"))))</f>
        <v/>
      </c>
    </row>
    <row r="3931" customFormat="false" ht="15" hidden="false" customHeight="false" outlineLevel="0" collapsed="false">
      <c r="A3931" s="37"/>
      <c r="B3931" s="44"/>
      <c r="C3931" s="44"/>
      <c r="D3931" s="44"/>
      <c r="E3931" s="44"/>
      <c r="F3931" s="44"/>
      <c r="G3931" s="42"/>
      <c r="H3931" s="42"/>
      <c r="I3931" s="44"/>
      <c r="J3931" s="11" t="str">
        <f aca="false">IF(D3931="","",N(G3931)-N(H3931))</f>
        <v/>
      </c>
      <c r="K3931" s="34" t="str">
        <f aca="false">IF(D3931="","",IFERROR(INDEX(I_COA!$C$6:$C$265,MATCH(D3931,I_COA!$A$6:$A$265,0)),"AKUN BARU"))</f>
        <v/>
      </c>
      <c r="L3931" s="34" t="str">
        <f aca="false">IF(K3931="LabaRugi",INDEX(I_COA!$D$6:$D$265,MATCH(D3931,I_COA!$A$6:$A$265,0)),"")</f>
        <v/>
      </c>
      <c r="M3931" s="34" t="str">
        <f aca="false">IF(K3931="Neraca",INDEX(I_COA!$E$6:$E$265,MATCH(D3931,I_COA!$A$6:$A$265,0)),"")</f>
        <v/>
      </c>
      <c r="N3931" s="34" t="str">
        <f aca="false">IF(D3931="","",IFERROR(INDEX(I_COA!$G$6:$G$265,MATCH(D3931,I_COA!$A$6:$A$265,0)),"N"))</f>
        <v/>
      </c>
      <c r="O3931" s="11" t="str">
        <f aca="false">IF(N3931="N",ABS(J3931),"")</f>
        <v/>
      </c>
      <c r="P3931" s="18" t="str">
        <f aca="false">IF(N3931="N",B3931&amp;"|"&amp;ROUND(O3931,0),"")</f>
        <v/>
      </c>
      <c r="Q3931" s="18" t="str">
        <f aca="false">IF(N3931&lt;&gt;"Y","",IFERROR(INDEX($D$6:$D$4005,MATCH(B3931&amp;"|"&amp;ROUND(_xlfn.MAXIFS($O$6:$O$4005,$B$6:$B$4005,B3931,$N$6:$N$4005,"N"),0),$P$6:$P$4005,0)),"(tanpa lawan)"))</f>
        <v/>
      </c>
      <c r="R3931" s="44"/>
      <c r="S3931" s="9" t="str">
        <f aca="false">IF(N3931&lt;&gt;"Y","",IF(R3931&lt;&gt;"",R3931,IF(Q3931="(tanpa lawan)","Transfer antar rekening",IFERROR(INDEX(I_COA!$F$6:$F$265,MATCH(Q3931,I_COA!$A$6:$A$265,0)),"?"))))</f>
        <v/>
      </c>
    </row>
    <row r="3932" customFormat="false" ht="15" hidden="false" customHeight="false" outlineLevel="0" collapsed="false">
      <c r="A3932" s="37"/>
      <c r="B3932" s="44"/>
      <c r="C3932" s="44"/>
      <c r="D3932" s="44"/>
      <c r="E3932" s="44"/>
      <c r="F3932" s="44"/>
      <c r="G3932" s="42"/>
      <c r="H3932" s="42"/>
      <c r="I3932" s="44"/>
      <c r="J3932" s="11" t="str">
        <f aca="false">IF(D3932="","",N(G3932)-N(H3932))</f>
        <v/>
      </c>
      <c r="K3932" s="34" t="str">
        <f aca="false">IF(D3932="","",IFERROR(INDEX(I_COA!$C$6:$C$265,MATCH(D3932,I_COA!$A$6:$A$265,0)),"AKUN BARU"))</f>
        <v/>
      </c>
      <c r="L3932" s="34" t="str">
        <f aca="false">IF(K3932="LabaRugi",INDEX(I_COA!$D$6:$D$265,MATCH(D3932,I_COA!$A$6:$A$265,0)),"")</f>
        <v/>
      </c>
      <c r="M3932" s="34" t="str">
        <f aca="false">IF(K3932="Neraca",INDEX(I_COA!$E$6:$E$265,MATCH(D3932,I_COA!$A$6:$A$265,0)),"")</f>
        <v/>
      </c>
      <c r="N3932" s="34" t="str">
        <f aca="false">IF(D3932="","",IFERROR(INDEX(I_COA!$G$6:$G$265,MATCH(D3932,I_COA!$A$6:$A$265,0)),"N"))</f>
        <v/>
      </c>
      <c r="O3932" s="11" t="str">
        <f aca="false">IF(N3932="N",ABS(J3932),"")</f>
        <v/>
      </c>
      <c r="P3932" s="18" t="str">
        <f aca="false">IF(N3932="N",B3932&amp;"|"&amp;ROUND(O3932,0),"")</f>
        <v/>
      </c>
      <c r="Q3932" s="18" t="str">
        <f aca="false">IF(N3932&lt;&gt;"Y","",IFERROR(INDEX($D$6:$D$4005,MATCH(B3932&amp;"|"&amp;ROUND(_xlfn.MAXIFS($O$6:$O$4005,$B$6:$B$4005,B3932,$N$6:$N$4005,"N"),0),$P$6:$P$4005,0)),"(tanpa lawan)"))</f>
        <v/>
      </c>
      <c r="R3932" s="44"/>
      <c r="S3932" s="9" t="str">
        <f aca="false">IF(N3932&lt;&gt;"Y","",IF(R3932&lt;&gt;"",R3932,IF(Q3932="(tanpa lawan)","Transfer antar rekening",IFERROR(INDEX(I_COA!$F$6:$F$265,MATCH(Q3932,I_COA!$A$6:$A$265,0)),"?"))))</f>
        <v/>
      </c>
    </row>
    <row r="3933" customFormat="false" ht="15" hidden="false" customHeight="false" outlineLevel="0" collapsed="false">
      <c r="A3933" s="37"/>
      <c r="B3933" s="44"/>
      <c r="C3933" s="44"/>
      <c r="D3933" s="44"/>
      <c r="E3933" s="44"/>
      <c r="F3933" s="44"/>
      <c r="G3933" s="42"/>
      <c r="H3933" s="42"/>
      <c r="I3933" s="44"/>
      <c r="J3933" s="11" t="str">
        <f aca="false">IF(D3933="","",N(G3933)-N(H3933))</f>
        <v/>
      </c>
      <c r="K3933" s="34" t="str">
        <f aca="false">IF(D3933="","",IFERROR(INDEX(I_COA!$C$6:$C$265,MATCH(D3933,I_COA!$A$6:$A$265,0)),"AKUN BARU"))</f>
        <v/>
      </c>
      <c r="L3933" s="34" t="str">
        <f aca="false">IF(K3933="LabaRugi",INDEX(I_COA!$D$6:$D$265,MATCH(D3933,I_COA!$A$6:$A$265,0)),"")</f>
        <v/>
      </c>
      <c r="M3933" s="34" t="str">
        <f aca="false">IF(K3933="Neraca",INDEX(I_COA!$E$6:$E$265,MATCH(D3933,I_COA!$A$6:$A$265,0)),"")</f>
        <v/>
      </c>
      <c r="N3933" s="34" t="str">
        <f aca="false">IF(D3933="","",IFERROR(INDEX(I_COA!$G$6:$G$265,MATCH(D3933,I_COA!$A$6:$A$265,0)),"N"))</f>
        <v/>
      </c>
      <c r="O3933" s="11" t="str">
        <f aca="false">IF(N3933="N",ABS(J3933),"")</f>
        <v/>
      </c>
      <c r="P3933" s="18" t="str">
        <f aca="false">IF(N3933="N",B3933&amp;"|"&amp;ROUND(O3933,0),"")</f>
        <v/>
      </c>
      <c r="Q3933" s="18" t="str">
        <f aca="false">IF(N3933&lt;&gt;"Y","",IFERROR(INDEX($D$6:$D$4005,MATCH(B3933&amp;"|"&amp;ROUND(_xlfn.MAXIFS($O$6:$O$4005,$B$6:$B$4005,B3933,$N$6:$N$4005,"N"),0),$P$6:$P$4005,0)),"(tanpa lawan)"))</f>
        <v/>
      </c>
      <c r="R3933" s="44"/>
      <c r="S3933" s="9" t="str">
        <f aca="false">IF(N3933&lt;&gt;"Y","",IF(R3933&lt;&gt;"",R3933,IF(Q3933="(tanpa lawan)","Transfer antar rekening",IFERROR(INDEX(I_COA!$F$6:$F$265,MATCH(Q3933,I_COA!$A$6:$A$265,0)),"?"))))</f>
        <v/>
      </c>
    </row>
    <row r="3934" customFormat="false" ht="15" hidden="false" customHeight="false" outlineLevel="0" collapsed="false">
      <c r="A3934" s="37"/>
      <c r="B3934" s="44"/>
      <c r="C3934" s="44"/>
      <c r="D3934" s="44"/>
      <c r="E3934" s="44"/>
      <c r="F3934" s="44"/>
      <c r="G3934" s="42"/>
      <c r="H3934" s="42"/>
      <c r="I3934" s="44"/>
      <c r="J3934" s="11" t="str">
        <f aca="false">IF(D3934="","",N(G3934)-N(H3934))</f>
        <v/>
      </c>
      <c r="K3934" s="34" t="str">
        <f aca="false">IF(D3934="","",IFERROR(INDEX(I_COA!$C$6:$C$265,MATCH(D3934,I_COA!$A$6:$A$265,0)),"AKUN BARU"))</f>
        <v/>
      </c>
      <c r="L3934" s="34" t="str">
        <f aca="false">IF(K3934="LabaRugi",INDEX(I_COA!$D$6:$D$265,MATCH(D3934,I_COA!$A$6:$A$265,0)),"")</f>
        <v/>
      </c>
      <c r="M3934" s="34" t="str">
        <f aca="false">IF(K3934="Neraca",INDEX(I_COA!$E$6:$E$265,MATCH(D3934,I_COA!$A$6:$A$265,0)),"")</f>
        <v/>
      </c>
      <c r="N3934" s="34" t="str">
        <f aca="false">IF(D3934="","",IFERROR(INDEX(I_COA!$G$6:$G$265,MATCH(D3934,I_COA!$A$6:$A$265,0)),"N"))</f>
        <v/>
      </c>
      <c r="O3934" s="11" t="str">
        <f aca="false">IF(N3934="N",ABS(J3934),"")</f>
        <v/>
      </c>
      <c r="P3934" s="18" t="str">
        <f aca="false">IF(N3934="N",B3934&amp;"|"&amp;ROUND(O3934,0),"")</f>
        <v/>
      </c>
      <c r="Q3934" s="18" t="str">
        <f aca="false">IF(N3934&lt;&gt;"Y","",IFERROR(INDEX($D$6:$D$4005,MATCH(B3934&amp;"|"&amp;ROUND(_xlfn.MAXIFS($O$6:$O$4005,$B$6:$B$4005,B3934,$N$6:$N$4005,"N"),0),$P$6:$P$4005,0)),"(tanpa lawan)"))</f>
        <v/>
      </c>
      <c r="R3934" s="44"/>
      <c r="S3934" s="9" t="str">
        <f aca="false">IF(N3934&lt;&gt;"Y","",IF(R3934&lt;&gt;"",R3934,IF(Q3934="(tanpa lawan)","Transfer antar rekening",IFERROR(INDEX(I_COA!$F$6:$F$265,MATCH(Q3934,I_COA!$A$6:$A$265,0)),"?"))))</f>
        <v/>
      </c>
    </row>
    <row r="3935" customFormat="false" ht="15" hidden="false" customHeight="false" outlineLevel="0" collapsed="false">
      <c r="A3935" s="37"/>
      <c r="B3935" s="44"/>
      <c r="C3935" s="44"/>
      <c r="D3935" s="44"/>
      <c r="E3935" s="44"/>
      <c r="F3935" s="44"/>
      <c r="G3935" s="42"/>
      <c r="H3935" s="42"/>
      <c r="I3935" s="44"/>
      <c r="J3935" s="11" t="str">
        <f aca="false">IF(D3935="","",N(G3935)-N(H3935))</f>
        <v/>
      </c>
      <c r="K3935" s="34" t="str">
        <f aca="false">IF(D3935="","",IFERROR(INDEX(I_COA!$C$6:$C$265,MATCH(D3935,I_COA!$A$6:$A$265,0)),"AKUN BARU"))</f>
        <v/>
      </c>
      <c r="L3935" s="34" t="str">
        <f aca="false">IF(K3935="LabaRugi",INDEX(I_COA!$D$6:$D$265,MATCH(D3935,I_COA!$A$6:$A$265,0)),"")</f>
        <v/>
      </c>
      <c r="M3935" s="34" t="str">
        <f aca="false">IF(K3935="Neraca",INDEX(I_COA!$E$6:$E$265,MATCH(D3935,I_COA!$A$6:$A$265,0)),"")</f>
        <v/>
      </c>
      <c r="N3935" s="34" t="str">
        <f aca="false">IF(D3935="","",IFERROR(INDEX(I_COA!$G$6:$G$265,MATCH(D3935,I_COA!$A$6:$A$265,0)),"N"))</f>
        <v/>
      </c>
      <c r="O3935" s="11" t="str">
        <f aca="false">IF(N3935="N",ABS(J3935),"")</f>
        <v/>
      </c>
      <c r="P3935" s="18" t="str">
        <f aca="false">IF(N3935="N",B3935&amp;"|"&amp;ROUND(O3935,0),"")</f>
        <v/>
      </c>
      <c r="Q3935" s="18" t="str">
        <f aca="false">IF(N3935&lt;&gt;"Y","",IFERROR(INDEX($D$6:$D$4005,MATCH(B3935&amp;"|"&amp;ROUND(_xlfn.MAXIFS($O$6:$O$4005,$B$6:$B$4005,B3935,$N$6:$N$4005,"N"),0),$P$6:$P$4005,0)),"(tanpa lawan)"))</f>
        <v/>
      </c>
      <c r="R3935" s="44"/>
      <c r="S3935" s="9" t="str">
        <f aca="false">IF(N3935&lt;&gt;"Y","",IF(R3935&lt;&gt;"",R3935,IF(Q3935="(tanpa lawan)","Transfer antar rekening",IFERROR(INDEX(I_COA!$F$6:$F$265,MATCH(Q3935,I_COA!$A$6:$A$265,0)),"?"))))</f>
        <v/>
      </c>
    </row>
    <row r="3936" customFormat="false" ht="15" hidden="false" customHeight="false" outlineLevel="0" collapsed="false">
      <c r="A3936" s="37"/>
      <c r="B3936" s="44"/>
      <c r="C3936" s="44"/>
      <c r="D3936" s="44"/>
      <c r="E3936" s="44"/>
      <c r="F3936" s="44"/>
      <c r="G3936" s="42"/>
      <c r="H3936" s="42"/>
      <c r="I3936" s="44"/>
      <c r="J3936" s="11" t="str">
        <f aca="false">IF(D3936="","",N(G3936)-N(H3936))</f>
        <v/>
      </c>
      <c r="K3936" s="34" t="str">
        <f aca="false">IF(D3936="","",IFERROR(INDEX(I_COA!$C$6:$C$265,MATCH(D3936,I_COA!$A$6:$A$265,0)),"AKUN BARU"))</f>
        <v/>
      </c>
      <c r="L3936" s="34" t="str">
        <f aca="false">IF(K3936="LabaRugi",INDEX(I_COA!$D$6:$D$265,MATCH(D3936,I_COA!$A$6:$A$265,0)),"")</f>
        <v/>
      </c>
      <c r="M3936" s="34" t="str">
        <f aca="false">IF(K3936="Neraca",INDEX(I_COA!$E$6:$E$265,MATCH(D3936,I_COA!$A$6:$A$265,0)),"")</f>
        <v/>
      </c>
      <c r="N3936" s="34" t="str">
        <f aca="false">IF(D3936="","",IFERROR(INDEX(I_COA!$G$6:$G$265,MATCH(D3936,I_COA!$A$6:$A$265,0)),"N"))</f>
        <v/>
      </c>
      <c r="O3936" s="11" t="str">
        <f aca="false">IF(N3936="N",ABS(J3936),"")</f>
        <v/>
      </c>
      <c r="P3936" s="18" t="str">
        <f aca="false">IF(N3936="N",B3936&amp;"|"&amp;ROUND(O3936,0),"")</f>
        <v/>
      </c>
      <c r="Q3936" s="18" t="str">
        <f aca="false">IF(N3936&lt;&gt;"Y","",IFERROR(INDEX($D$6:$D$4005,MATCH(B3936&amp;"|"&amp;ROUND(_xlfn.MAXIFS($O$6:$O$4005,$B$6:$B$4005,B3936,$N$6:$N$4005,"N"),0),$P$6:$P$4005,0)),"(tanpa lawan)"))</f>
        <v/>
      </c>
      <c r="R3936" s="44"/>
      <c r="S3936" s="9" t="str">
        <f aca="false">IF(N3936&lt;&gt;"Y","",IF(R3936&lt;&gt;"",R3936,IF(Q3936="(tanpa lawan)","Transfer antar rekening",IFERROR(INDEX(I_COA!$F$6:$F$265,MATCH(Q3936,I_COA!$A$6:$A$265,0)),"?"))))</f>
        <v/>
      </c>
    </row>
    <row r="3937" customFormat="false" ht="15" hidden="false" customHeight="false" outlineLevel="0" collapsed="false">
      <c r="A3937" s="37"/>
      <c r="B3937" s="44"/>
      <c r="C3937" s="44"/>
      <c r="D3937" s="44"/>
      <c r="E3937" s="44"/>
      <c r="F3937" s="44"/>
      <c r="G3937" s="42"/>
      <c r="H3937" s="42"/>
      <c r="I3937" s="44"/>
      <c r="J3937" s="11" t="str">
        <f aca="false">IF(D3937="","",N(G3937)-N(H3937))</f>
        <v/>
      </c>
      <c r="K3937" s="34" t="str">
        <f aca="false">IF(D3937="","",IFERROR(INDEX(I_COA!$C$6:$C$265,MATCH(D3937,I_COA!$A$6:$A$265,0)),"AKUN BARU"))</f>
        <v/>
      </c>
      <c r="L3937" s="34" t="str">
        <f aca="false">IF(K3937="LabaRugi",INDEX(I_COA!$D$6:$D$265,MATCH(D3937,I_COA!$A$6:$A$265,0)),"")</f>
        <v/>
      </c>
      <c r="M3937" s="34" t="str">
        <f aca="false">IF(K3937="Neraca",INDEX(I_COA!$E$6:$E$265,MATCH(D3937,I_COA!$A$6:$A$265,0)),"")</f>
        <v/>
      </c>
      <c r="N3937" s="34" t="str">
        <f aca="false">IF(D3937="","",IFERROR(INDEX(I_COA!$G$6:$G$265,MATCH(D3937,I_COA!$A$6:$A$265,0)),"N"))</f>
        <v/>
      </c>
      <c r="O3937" s="11" t="str">
        <f aca="false">IF(N3937="N",ABS(J3937),"")</f>
        <v/>
      </c>
      <c r="P3937" s="18" t="str">
        <f aca="false">IF(N3937="N",B3937&amp;"|"&amp;ROUND(O3937,0),"")</f>
        <v/>
      </c>
      <c r="Q3937" s="18" t="str">
        <f aca="false">IF(N3937&lt;&gt;"Y","",IFERROR(INDEX($D$6:$D$4005,MATCH(B3937&amp;"|"&amp;ROUND(_xlfn.MAXIFS($O$6:$O$4005,$B$6:$B$4005,B3937,$N$6:$N$4005,"N"),0),$P$6:$P$4005,0)),"(tanpa lawan)"))</f>
        <v/>
      </c>
      <c r="R3937" s="44"/>
      <c r="S3937" s="9" t="str">
        <f aca="false">IF(N3937&lt;&gt;"Y","",IF(R3937&lt;&gt;"",R3937,IF(Q3937="(tanpa lawan)","Transfer antar rekening",IFERROR(INDEX(I_COA!$F$6:$F$265,MATCH(Q3937,I_COA!$A$6:$A$265,0)),"?"))))</f>
        <v/>
      </c>
    </row>
    <row r="3938" customFormat="false" ht="15" hidden="false" customHeight="false" outlineLevel="0" collapsed="false">
      <c r="A3938" s="37"/>
      <c r="B3938" s="44"/>
      <c r="C3938" s="44"/>
      <c r="D3938" s="44"/>
      <c r="E3938" s="44"/>
      <c r="F3938" s="44"/>
      <c r="G3938" s="42"/>
      <c r="H3938" s="42"/>
      <c r="I3938" s="44"/>
      <c r="J3938" s="11" t="str">
        <f aca="false">IF(D3938="","",N(G3938)-N(H3938))</f>
        <v/>
      </c>
      <c r="K3938" s="34" t="str">
        <f aca="false">IF(D3938="","",IFERROR(INDEX(I_COA!$C$6:$C$265,MATCH(D3938,I_COA!$A$6:$A$265,0)),"AKUN BARU"))</f>
        <v/>
      </c>
      <c r="L3938" s="34" t="str">
        <f aca="false">IF(K3938="LabaRugi",INDEX(I_COA!$D$6:$D$265,MATCH(D3938,I_COA!$A$6:$A$265,0)),"")</f>
        <v/>
      </c>
      <c r="M3938" s="34" t="str">
        <f aca="false">IF(K3938="Neraca",INDEX(I_COA!$E$6:$E$265,MATCH(D3938,I_COA!$A$6:$A$265,0)),"")</f>
        <v/>
      </c>
      <c r="N3938" s="34" t="str">
        <f aca="false">IF(D3938="","",IFERROR(INDEX(I_COA!$G$6:$G$265,MATCH(D3938,I_COA!$A$6:$A$265,0)),"N"))</f>
        <v/>
      </c>
      <c r="O3938" s="11" t="str">
        <f aca="false">IF(N3938="N",ABS(J3938),"")</f>
        <v/>
      </c>
      <c r="P3938" s="18" t="str">
        <f aca="false">IF(N3938="N",B3938&amp;"|"&amp;ROUND(O3938,0),"")</f>
        <v/>
      </c>
      <c r="Q3938" s="18" t="str">
        <f aca="false">IF(N3938&lt;&gt;"Y","",IFERROR(INDEX($D$6:$D$4005,MATCH(B3938&amp;"|"&amp;ROUND(_xlfn.MAXIFS($O$6:$O$4005,$B$6:$B$4005,B3938,$N$6:$N$4005,"N"),0),$P$6:$P$4005,0)),"(tanpa lawan)"))</f>
        <v/>
      </c>
      <c r="R3938" s="44"/>
      <c r="S3938" s="9" t="str">
        <f aca="false">IF(N3938&lt;&gt;"Y","",IF(R3938&lt;&gt;"",R3938,IF(Q3938="(tanpa lawan)","Transfer antar rekening",IFERROR(INDEX(I_COA!$F$6:$F$265,MATCH(Q3938,I_COA!$A$6:$A$265,0)),"?"))))</f>
        <v/>
      </c>
    </row>
    <row r="3939" customFormat="false" ht="15" hidden="false" customHeight="false" outlineLevel="0" collapsed="false">
      <c r="A3939" s="37"/>
      <c r="B3939" s="44"/>
      <c r="C3939" s="44"/>
      <c r="D3939" s="44"/>
      <c r="E3939" s="44"/>
      <c r="F3939" s="44"/>
      <c r="G3939" s="42"/>
      <c r="H3939" s="42"/>
      <c r="I3939" s="44"/>
      <c r="J3939" s="11" t="str">
        <f aca="false">IF(D3939="","",N(G3939)-N(H3939))</f>
        <v/>
      </c>
      <c r="K3939" s="34" t="str">
        <f aca="false">IF(D3939="","",IFERROR(INDEX(I_COA!$C$6:$C$265,MATCH(D3939,I_COA!$A$6:$A$265,0)),"AKUN BARU"))</f>
        <v/>
      </c>
      <c r="L3939" s="34" t="str">
        <f aca="false">IF(K3939="LabaRugi",INDEX(I_COA!$D$6:$D$265,MATCH(D3939,I_COA!$A$6:$A$265,0)),"")</f>
        <v/>
      </c>
      <c r="M3939" s="34" t="str">
        <f aca="false">IF(K3939="Neraca",INDEX(I_COA!$E$6:$E$265,MATCH(D3939,I_COA!$A$6:$A$265,0)),"")</f>
        <v/>
      </c>
      <c r="N3939" s="34" t="str">
        <f aca="false">IF(D3939="","",IFERROR(INDEX(I_COA!$G$6:$G$265,MATCH(D3939,I_COA!$A$6:$A$265,0)),"N"))</f>
        <v/>
      </c>
      <c r="O3939" s="11" t="str">
        <f aca="false">IF(N3939="N",ABS(J3939),"")</f>
        <v/>
      </c>
      <c r="P3939" s="18" t="str">
        <f aca="false">IF(N3939="N",B3939&amp;"|"&amp;ROUND(O3939,0),"")</f>
        <v/>
      </c>
      <c r="Q3939" s="18" t="str">
        <f aca="false">IF(N3939&lt;&gt;"Y","",IFERROR(INDEX($D$6:$D$4005,MATCH(B3939&amp;"|"&amp;ROUND(_xlfn.MAXIFS($O$6:$O$4005,$B$6:$B$4005,B3939,$N$6:$N$4005,"N"),0),$P$6:$P$4005,0)),"(tanpa lawan)"))</f>
        <v/>
      </c>
      <c r="R3939" s="44"/>
      <c r="S3939" s="9" t="str">
        <f aca="false">IF(N3939&lt;&gt;"Y","",IF(R3939&lt;&gt;"",R3939,IF(Q3939="(tanpa lawan)","Transfer antar rekening",IFERROR(INDEX(I_COA!$F$6:$F$265,MATCH(Q3939,I_COA!$A$6:$A$265,0)),"?"))))</f>
        <v/>
      </c>
    </row>
    <row r="3940" customFormat="false" ht="15" hidden="false" customHeight="false" outlineLevel="0" collapsed="false">
      <c r="A3940" s="37"/>
      <c r="B3940" s="44"/>
      <c r="C3940" s="44"/>
      <c r="D3940" s="44"/>
      <c r="E3940" s="44"/>
      <c r="F3940" s="44"/>
      <c r="G3940" s="42"/>
      <c r="H3940" s="42"/>
      <c r="I3940" s="44"/>
      <c r="J3940" s="11" t="str">
        <f aca="false">IF(D3940="","",N(G3940)-N(H3940))</f>
        <v/>
      </c>
      <c r="K3940" s="34" t="str">
        <f aca="false">IF(D3940="","",IFERROR(INDEX(I_COA!$C$6:$C$265,MATCH(D3940,I_COA!$A$6:$A$265,0)),"AKUN BARU"))</f>
        <v/>
      </c>
      <c r="L3940" s="34" t="str">
        <f aca="false">IF(K3940="LabaRugi",INDEX(I_COA!$D$6:$D$265,MATCH(D3940,I_COA!$A$6:$A$265,0)),"")</f>
        <v/>
      </c>
      <c r="M3940" s="34" t="str">
        <f aca="false">IF(K3940="Neraca",INDEX(I_COA!$E$6:$E$265,MATCH(D3940,I_COA!$A$6:$A$265,0)),"")</f>
        <v/>
      </c>
      <c r="N3940" s="34" t="str">
        <f aca="false">IF(D3940="","",IFERROR(INDEX(I_COA!$G$6:$G$265,MATCH(D3940,I_COA!$A$6:$A$265,0)),"N"))</f>
        <v/>
      </c>
      <c r="O3940" s="11" t="str">
        <f aca="false">IF(N3940="N",ABS(J3940),"")</f>
        <v/>
      </c>
      <c r="P3940" s="18" t="str">
        <f aca="false">IF(N3940="N",B3940&amp;"|"&amp;ROUND(O3940,0),"")</f>
        <v/>
      </c>
      <c r="Q3940" s="18" t="str">
        <f aca="false">IF(N3940&lt;&gt;"Y","",IFERROR(INDEX($D$6:$D$4005,MATCH(B3940&amp;"|"&amp;ROUND(_xlfn.MAXIFS($O$6:$O$4005,$B$6:$B$4005,B3940,$N$6:$N$4005,"N"),0),$P$6:$P$4005,0)),"(tanpa lawan)"))</f>
        <v/>
      </c>
      <c r="R3940" s="44"/>
      <c r="S3940" s="9" t="str">
        <f aca="false">IF(N3940&lt;&gt;"Y","",IF(R3940&lt;&gt;"",R3940,IF(Q3940="(tanpa lawan)","Transfer antar rekening",IFERROR(INDEX(I_COA!$F$6:$F$265,MATCH(Q3940,I_COA!$A$6:$A$265,0)),"?"))))</f>
        <v/>
      </c>
    </row>
    <row r="3941" customFormat="false" ht="15" hidden="false" customHeight="false" outlineLevel="0" collapsed="false">
      <c r="A3941" s="37"/>
      <c r="B3941" s="44"/>
      <c r="C3941" s="44"/>
      <c r="D3941" s="44"/>
      <c r="E3941" s="44"/>
      <c r="F3941" s="44"/>
      <c r="G3941" s="42"/>
      <c r="H3941" s="42"/>
      <c r="I3941" s="44"/>
      <c r="J3941" s="11" t="str">
        <f aca="false">IF(D3941="","",N(G3941)-N(H3941))</f>
        <v/>
      </c>
      <c r="K3941" s="34" t="str">
        <f aca="false">IF(D3941="","",IFERROR(INDEX(I_COA!$C$6:$C$265,MATCH(D3941,I_COA!$A$6:$A$265,0)),"AKUN BARU"))</f>
        <v/>
      </c>
      <c r="L3941" s="34" t="str">
        <f aca="false">IF(K3941="LabaRugi",INDEX(I_COA!$D$6:$D$265,MATCH(D3941,I_COA!$A$6:$A$265,0)),"")</f>
        <v/>
      </c>
      <c r="M3941" s="34" t="str">
        <f aca="false">IF(K3941="Neraca",INDEX(I_COA!$E$6:$E$265,MATCH(D3941,I_COA!$A$6:$A$265,0)),"")</f>
        <v/>
      </c>
      <c r="N3941" s="34" t="str">
        <f aca="false">IF(D3941="","",IFERROR(INDEX(I_COA!$G$6:$G$265,MATCH(D3941,I_COA!$A$6:$A$265,0)),"N"))</f>
        <v/>
      </c>
      <c r="O3941" s="11" t="str">
        <f aca="false">IF(N3941="N",ABS(J3941),"")</f>
        <v/>
      </c>
      <c r="P3941" s="18" t="str">
        <f aca="false">IF(N3941="N",B3941&amp;"|"&amp;ROUND(O3941,0),"")</f>
        <v/>
      </c>
      <c r="Q3941" s="18" t="str">
        <f aca="false">IF(N3941&lt;&gt;"Y","",IFERROR(INDEX($D$6:$D$4005,MATCH(B3941&amp;"|"&amp;ROUND(_xlfn.MAXIFS($O$6:$O$4005,$B$6:$B$4005,B3941,$N$6:$N$4005,"N"),0),$P$6:$P$4005,0)),"(tanpa lawan)"))</f>
        <v/>
      </c>
      <c r="R3941" s="44"/>
      <c r="S3941" s="9" t="str">
        <f aca="false">IF(N3941&lt;&gt;"Y","",IF(R3941&lt;&gt;"",R3941,IF(Q3941="(tanpa lawan)","Transfer antar rekening",IFERROR(INDEX(I_COA!$F$6:$F$265,MATCH(Q3941,I_COA!$A$6:$A$265,0)),"?"))))</f>
        <v/>
      </c>
    </row>
    <row r="3942" customFormat="false" ht="15" hidden="false" customHeight="false" outlineLevel="0" collapsed="false">
      <c r="A3942" s="37"/>
      <c r="B3942" s="44"/>
      <c r="C3942" s="44"/>
      <c r="D3942" s="44"/>
      <c r="E3942" s="44"/>
      <c r="F3942" s="44"/>
      <c r="G3942" s="42"/>
      <c r="H3942" s="42"/>
      <c r="I3942" s="44"/>
      <c r="J3942" s="11" t="str">
        <f aca="false">IF(D3942="","",N(G3942)-N(H3942))</f>
        <v/>
      </c>
      <c r="K3942" s="34" t="str">
        <f aca="false">IF(D3942="","",IFERROR(INDEX(I_COA!$C$6:$C$265,MATCH(D3942,I_COA!$A$6:$A$265,0)),"AKUN BARU"))</f>
        <v/>
      </c>
      <c r="L3942" s="34" t="str">
        <f aca="false">IF(K3942="LabaRugi",INDEX(I_COA!$D$6:$D$265,MATCH(D3942,I_COA!$A$6:$A$265,0)),"")</f>
        <v/>
      </c>
      <c r="M3942" s="34" t="str">
        <f aca="false">IF(K3942="Neraca",INDEX(I_COA!$E$6:$E$265,MATCH(D3942,I_COA!$A$6:$A$265,0)),"")</f>
        <v/>
      </c>
      <c r="N3942" s="34" t="str">
        <f aca="false">IF(D3942="","",IFERROR(INDEX(I_COA!$G$6:$G$265,MATCH(D3942,I_COA!$A$6:$A$265,0)),"N"))</f>
        <v/>
      </c>
      <c r="O3942" s="11" t="str">
        <f aca="false">IF(N3942="N",ABS(J3942),"")</f>
        <v/>
      </c>
      <c r="P3942" s="18" t="str">
        <f aca="false">IF(N3942="N",B3942&amp;"|"&amp;ROUND(O3942,0),"")</f>
        <v/>
      </c>
      <c r="Q3942" s="18" t="str">
        <f aca="false">IF(N3942&lt;&gt;"Y","",IFERROR(INDEX($D$6:$D$4005,MATCH(B3942&amp;"|"&amp;ROUND(_xlfn.MAXIFS($O$6:$O$4005,$B$6:$B$4005,B3942,$N$6:$N$4005,"N"),0),$P$6:$P$4005,0)),"(tanpa lawan)"))</f>
        <v/>
      </c>
      <c r="R3942" s="44"/>
      <c r="S3942" s="9" t="str">
        <f aca="false">IF(N3942&lt;&gt;"Y","",IF(R3942&lt;&gt;"",R3942,IF(Q3942="(tanpa lawan)","Transfer antar rekening",IFERROR(INDEX(I_COA!$F$6:$F$265,MATCH(Q3942,I_COA!$A$6:$A$265,0)),"?"))))</f>
        <v/>
      </c>
    </row>
    <row r="3943" customFormat="false" ht="15" hidden="false" customHeight="false" outlineLevel="0" collapsed="false">
      <c r="A3943" s="37"/>
      <c r="B3943" s="44"/>
      <c r="C3943" s="44"/>
      <c r="D3943" s="44"/>
      <c r="E3943" s="44"/>
      <c r="F3943" s="44"/>
      <c r="G3943" s="42"/>
      <c r="H3943" s="42"/>
      <c r="I3943" s="44"/>
      <c r="J3943" s="11" t="str">
        <f aca="false">IF(D3943="","",N(G3943)-N(H3943))</f>
        <v/>
      </c>
      <c r="K3943" s="34" t="str">
        <f aca="false">IF(D3943="","",IFERROR(INDEX(I_COA!$C$6:$C$265,MATCH(D3943,I_COA!$A$6:$A$265,0)),"AKUN BARU"))</f>
        <v/>
      </c>
      <c r="L3943" s="34" t="str">
        <f aca="false">IF(K3943="LabaRugi",INDEX(I_COA!$D$6:$D$265,MATCH(D3943,I_COA!$A$6:$A$265,0)),"")</f>
        <v/>
      </c>
      <c r="M3943" s="34" t="str">
        <f aca="false">IF(K3943="Neraca",INDEX(I_COA!$E$6:$E$265,MATCH(D3943,I_COA!$A$6:$A$265,0)),"")</f>
        <v/>
      </c>
      <c r="N3943" s="34" t="str">
        <f aca="false">IF(D3943="","",IFERROR(INDEX(I_COA!$G$6:$G$265,MATCH(D3943,I_COA!$A$6:$A$265,0)),"N"))</f>
        <v/>
      </c>
      <c r="O3943" s="11" t="str">
        <f aca="false">IF(N3943="N",ABS(J3943),"")</f>
        <v/>
      </c>
      <c r="P3943" s="18" t="str">
        <f aca="false">IF(N3943="N",B3943&amp;"|"&amp;ROUND(O3943,0),"")</f>
        <v/>
      </c>
      <c r="Q3943" s="18" t="str">
        <f aca="false">IF(N3943&lt;&gt;"Y","",IFERROR(INDEX($D$6:$D$4005,MATCH(B3943&amp;"|"&amp;ROUND(_xlfn.MAXIFS($O$6:$O$4005,$B$6:$B$4005,B3943,$N$6:$N$4005,"N"),0),$P$6:$P$4005,0)),"(tanpa lawan)"))</f>
        <v/>
      </c>
      <c r="R3943" s="44"/>
      <c r="S3943" s="9" t="str">
        <f aca="false">IF(N3943&lt;&gt;"Y","",IF(R3943&lt;&gt;"",R3943,IF(Q3943="(tanpa lawan)","Transfer antar rekening",IFERROR(INDEX(I_COA!$F$6:$F$265,MATCH(Q3943,I_COA!$A$6:$A$265,0)),"?"))))</f>
        <v/>
      </c>
    </row>
    <row r="3944" customFormat="false" ht="15" hidden="false" customHeight="false" outlineLevel="0" collapsed="false">
      <c r="A3944" s="37"/>
      <c r="B3944" s="44"/>
      <c r="C3944" s="44"/>
      <c r="D3944" s="44"/>
      <c r="E3944" s="44"/>
      <c r="F3944" s="44"/>
      <c r="G3944" s="42"/>
      <c r="H3944" s="42"/>
      <c r="I3944" s="44"/>
      <c r="J3944" s="11" t="str">
        <f aca="false">IF(D3944="","",N(G3944)-N(H3944))</f>
        <v/>
      </c>
      <c r="K3944" s="34" t="str">
        <f aca="false">IF(D3944="","",IFERROR(INDEX(I_COA!$C$6:$C$265,MATCH(D3944,I_COA!$A$6:$A$265,0)),"AKUN BARU"))</f>
        <v/>
      </c>
      <c r="L3944" s="34" t="str">
        <f aca="false">IF(K3944="LabaRugi",INDEX(I_COA!$D$6:$D$265,MATCH(D3944,I_COA!$A$6:$A$265,0)),"")</f>
        <v/>
      </c>
      <c r="M3944" s="34" t="str">
        <f aca="false">IF(K3944="Neraca",INDEX(I_COA!$E$6:$E$265,MATCH(D3944,I_COA!$A$6:$A$265,0)),"")</f>
        <v/>
      </c>
      <c r="N3944" s="34" t="str">
        <f aca="false">IF(D3944="","",IFERROR(INDEX(I_COA!$G$6:$G$265,MATCH(D3944,I_COA!$A$6:$A$265,0)),"N"))</f>
        <v/>
      </c>
      <c r="O3944" s="11" t="str">
        <f aca="false">IF(N3944="N",ABS(J3944),"")</f>
        <v/>
      </c>
      <c r="P3944" s="18" t="str">
        <f aca="false">IF(N3944="N",B3944&amp;"|"&amp;ROUND(O3944,0),"")</f>
        <v/>
      </c>
      <c r="Q3944" s="18" t="str">
        <f aca="false">IF(N3944&lt;&gt;"Y","",IFERROR(INDEX($D$6:$D$4005,MATCH(B3944&amp;"|"&amp;ROUND(_xlfn.MAXIFS($O$6:$O$4005,$B$6:$B$4005,B3944,$N$6:$N$4005,"N"),0),$P$6:$P$4005,0)),"(tanpa lawan)"))</f>
        <v/>
      </c>
      <c r="R3944" s="44"/>
      <c r="S3944" s="9" t="str">
        <f aca="false">IF(N3944&lt;&gt;"Y","",IF(R3944&lt;&gt;"",R3944,IF(Q3944="(tanpa lawan)","Transfer antar rekening",IFERROR(INDEX(I_COA!$F$6:$F$265,MATCH(Q3944,I_COA!$A$6:$A$265,0)),"?"))))</f>
        <v/>
      </c>
    </row>
    <row r="3945" customFormat="false" ht="15" hidden="false" customHeight="false" outlineLevel="0" collapsed="false">
      <c r="A3945" s="37"/>
      <c r="B3945" s="44"/>
      <c r="C3945" s="44"/>
      <c r="D3945" s="44"/>
      <c r="E3945" s="44"/>
      <c r="F3945" s="44"/>
      <c r="G3945" s="42"/>
      <c r="H3945" s="42"/>
      <c r="I3945" s="44"/>
      <c r="J3945" s="11" t="str">
        <f aca="false">IF(D3945="","",N(G3945)-N(H3945))</f>
        <v/>
      </c>
      <c r="K3945" s="34" t="str">
        <f aca="false">IF(D3945="","",IFERROR(INDEX(I_COA!$C$6:$C$265,MATCH(D3945,I_COA!$A$6:$A$265,0)),"AKUN BARU"))</f>
        <v/>
      </c>
      <c r="L3945" s="34" t="str">
        <f aca="false">IF(K3945="LabaRugi",INDEX(I_COA!$D$6:$D$265,MATCH(D3945,I_COA!$A$6:$A$265,0)),"")</f>
        <v/>
      </c>
      <c r="M3945" s="34" t="str">
        <f aca="false">IF(K3945="Neraca",INDEX(I_COA!$E$6:$E$265,MATCH(D3945,I_COA!$A$6:$A$265,0)),"")</f>
        <v/>
      </c>
      <c r="N3945" s="34" t="str">
        <f aca="false">IF(D3945="","",IFERROR(INDEX(I_COA!$G$6:$G$265,MATCH(D3945,I_COA!$A$6:$A$265,0)),"N"))</f>
        <v/>
      </c>
      <c r="O3945" s="11" t="str">
        <f aca="false">IF(N3945="N",ABS(J3945),"")</f>
        <v/>
      </c>
      <c r="P3945" s="18" t="str">
        <f aca="false">IF(N3945="N",B3945&amp;"|"&amp;ROUND(O3945,0),"")</f>
        <v/>
      </c>
      <c r="Q3945" s="18" t="str">
        <f aca="false">IF(N3945&lt;&gt;"Y","",IFERROR(INDEX($D$6:$D$4005,MATCH(B3945&amp;"|"&amp;ROUND(_xlfn.MAXIFS($O$6:$O$4005,$B$6:$B$4005,B3945,$N$6:$N$4005,"N"),0),$P$6:$P$4005,0)),"(tanpa lawan)"))</f>
        <v/>
      </c>
      <c r="R3945" s="44"/>
      <c r="S3945" s="9" t="str">
        <f aca="false">IF(N3945&lt;&gt;"Y","",IF(R3945&lt;&gt;"",R3945,IF(Q3945="(tanpa lawan)","Transfer antar rekening",IFERROR(INDEX(I_COA!$F$6:$F$265,MATCH(Q3945,I_COA!$A$6:$A$265,0)),"?"))))</f>
        <v/>
      </c>
    </row>
    <row r="3946" customFormat="false" ht="15" hidden="false" customHeight="false" outlineLevel="0" collapsed="false">
      <c r="A3946" s="37"/>
      <c r="B3946" s="44"/>
      <c r="C3946" s="44"/>
      <c r="D3946" s="44"/>
      <c r="E3946" s="44"/>
      <c r="F3946" s="44"/>
      <c r="G3946" s="42"/>
      <c r="H3946" s="42"/>
      <c r="I3946" s="44"/>
      <c r="J3946" s="11" t="str">
        <f aca="false">IF(D3946="","",N(G3946)-N(H3946))</f>
        <v/>
      </c>
      <c r="K3946" s="34" t="str">
        <f aca="false">IF(D3946="","",IFERROR(INDEX(I_COA!$C$6:$C$265,MATCH(D3946,I_COA!$A$6:$A$265,0)),"AKUN BARU"))</f>
        <v/>
      </c>
      <c r="L3946" s="34" t="str">
        <f aca="false">IF(K3946="LabaRugi",INDEX(I_COA!$D$6:$D$265,MATCH(D3946,I_COA!$A$6:$A$265,0)),"")</f>
        <v/>
      </c>
      <c r="M3946" s="34" t="str">
        <f aca="false">IF(K3946="Neraca",INDEX(I_COA!$E$6:$E$265,MATCH(D3946,I_COA!$A$6:$A$265,0)),"")</f>
        <v/>
      </c>
      <c r="N3946" s="34" t="str">
        <f aca="false">IF(D3946="","",IFERROR(INDEX(I_COA!$G$6:$G$265,MATCH(D3946,I_COA!$A$6:$A$265,0)),"N"))</f>
        <v/>
      </c>
      <c r="O3946" s="11" t="str">
        <f aca="false">IF(N3946="N",ABS(J3946),"")</f>
        <v/>
      </c>
      <c r="P3946" s="18" t="str">
        <f aca="false">IF(N3946="N",B3946&amp;"|"&amp;ROUND(O3946,0),"")</f>
        <v/>
      </c>
      <c r="Q3946" s="18" t="str">
        <f aca="false">IF(N3946&lt;&gt;"Y","",IFERROR(INDEX($D$6:$D$4005,MATCH(B3946&amp;"|"&amp;ROUND(_xlfn.MAXIFS($O$6:$O$4005,$B$6:$B$4005,B3946,$N$6:$N$4005,"N"),0),$P$6:$P$4005,0)),"(tanpa lawan)"))</f>
        <v/>
      </c>
      <c r="R3946" s="44"/>
      <c r="S3946" s="9" t="str">
        <f aca="false">IF(N3946&lt;&gt;"Y","",IF(R3946&lt;&gt;"",R3946,IF(Q3946="(tanpa lawan)","Transfer antar rekening",IFERROR(INDEX(I_COA!$F$6:$F$265,MATCH(Q3946,I_COA!$A$6:$A$265,0)),"?"))))</f>
        <v/>
      </c>
    </row>
    <row r="3947" customFormat="false" ht="15" hidden="false" customHeight="false" outlineLevel="0" collapsed="false">
      <c r="A3947" s="37"/>
      <c r="B3947" s="44"/>
      <c r="C3947" s="44"/>
      <c r="D3947" s="44"/>
      <c r="E3947" s="44"/>
      <c r="F3947" s="44"/>
      <c r="G3947" s="42"/>
      <c r="H3947" s="42"/>
      <c r="I3947" s="44"/>
      <c r="J3947" s="11" t="str">
        <f aca="false">IF(D3947="","",N(G3947)-N(H3947))</f>
        <v/>
      </c>
      <c r="K3947" s="34" t="str">
        <f aca="false">IF(D3947="","",IFERROR(INDEX(I_COA!$C$6:$C$265,MATCH(D3947,I_COA!$A$6:$A$265,0)),"AKUN BARU"))</f>
        <v/>
      </c>
      <c r="L3947" s="34" t="str">
        <f aca="false">IF(K3947="LabaRugi",INDEX(I_COA!$D$6:$D$265,MATCH(D3947,I_COA!$A$6:$A$265,0)),"")</f>
        <v/>
      </c>
      <c r="M3947" s="34" t="str">
        <f aca="false">IF(K3947="Neraca",INDEX(I_COA!$E$6:$E$265,MATCH(D3947,I_COA!$A$6:$A$265,0)),"")</f>
        <v/>
      </c>
      <c r="N3947" s="34" t="str">
        <f aca="false">IF(D3947="","",IFERROR(INDEX(I_COA!$G$6:$G$265,MATCH(D3947,I_COA!$A$6:$A$265,0)),"N"))</f>
        <v/>
      </c>
      <c r="O3947" s="11" t="str">
        <f aca="false">IF(N3947="N",ABS(J3947),"")</f>
        <v/>
      </c>
      <c r="P3947" s="18" t="str">
        <f aca="false">IF(N3947="N",B3947&amp;"|"&amp;ROUND(O3947,0),"")</f>
        <v/>
      </c>
      <c r="Q3947" s="18" t="str">
        <f aca="false">IF(N3947&lt;&gt;"Y","",IFERROR(INDEX($D$6:$D$4005,MATCH(B3947&amp;"|"&amp;ROUND(_xlfn.MAXIFS($O$6:$O$4005,$B$6:$B$4005,B3947,$N$6:$N$4005,"N"),0),$P$6:$P$4005,0)),"(tanpa lawan)"))</f>
        <v/>
      </c>
      <c r="R3947" s="44"/>
      <c r="S3947" s="9" t="str">
        <f aca="false">IF(N3947&lt;&gt;"Y","",IF(R3947&lt;&gt;"",R3947,IF(Q3947="(tanpa lawan)","Transfer antar rekening",IFERROR(INDEX(I_COA!$F$6:$F$265,MATCH(Q3947,I_COA!$A$6:$A$265,0)),"?"))))</f>
        <v/>
      </c>
    </row>
    <row r="3948" customFormat="false" ht="15" hidden="false" customHeight="false" outlineLevel="0" collapsed="false">
      <c r="A3948" s="37"/>
      <c r="B3948" s="44"/>
      <c r="C3948" s="44"/>
      <c r="D3948" s="44"/>
      <c r="E3948" s="44"/>
      <c r="F3948" s="44"/>
      <c r="G3948" s="42"/>
      <c r="H3948" s="42"/>
      <c r="I3948" s="44"/>
      <c r="J3948" s="11" t="str">
        <f aca="false">IF(D3948="","",N(G3948)-N(H3948))</f>
        <v/>
      </c>
      <c r="K3948" s="34" t="str">
        <f aca="false">IF(D3948="","",IFERROR(INDEX(I_COA!$C$6:$C$265,MATCH(D3948,I_COA!$A$6:$A$265,0)),"AKUN BARU"))</f>
        <v/>
      </c>
      <c r="L3948" s="34" t="str">
        <f aca="false">IF(K3948="LabaRugi",INDEX(I_COA!$D$6:$D$265,MATCH(D3948,I_COA!$A$6:$A$265,0)),"")</f>
        <v/>
      </c>
      <c r="M3948" s="34" t="str">
        <f aca="false">IF(K3948="Neraca",INDEX(I_COA!$E$6:$E$265,MATCH(D3948,I_COA!$A$6:$A$265,0)),"")</f>
        <v/>
      </c>
      <c r="N3948" s="34" t="str">
        <f aca="false">IF(D3948="","",IFERROR(INDEX(I_COA!$G$6:$G$265,MATCH(D3948,I_COA!$A$6:$A$265,0)),"N"))</f>
        <v/>
      </c>
      <c r="O3948" s="11" t="str">
        <f aca="false">IF(N3948="N",ABS(J3948),"")</f>
        <v/>
      </c>
      <c r="P3948" s="18" t="str">
        <f aca="false">IF(N3948="N",B3948&amp;"|"&amp;ROUND(O3948,0),"")</f>
        <v/>
      </c>
      <c r="Q3948" s="18" t="str">
        <f aca="false">IF(N3948&lt;&gt;"Y","",IFERROR(INDEX($D$6:$D$4005,MATCH(B3948&amp;"|"&amp;ROUND(_xlfn.MAXIFS($O$6:$O$4005,$B$6:$B$4005,B3948,$N$6:$N$4005,"N"),0),$P$6:$P$4005,0)),"(tanpa lawan)"))</f>
        <v/>
      </c>
      <c r="R3948" s="44"/>
      <c r="S3948" s="9" t="str">
        <f aca="false">IF(N3948&lt;&gt;"Y","",IF(R3948&lt;&gt;"",R3948,IF(Q3948="(tanpa lawan)","Transfer antar rekening",IFERROR(INDEX(I_COA!$F$6:$F$265,MATCH(Q3948,I_COA!$A$6:$A$265,0)),"?"))))</f>
        <v/>
      </c>
    </row>
    <row r="3949" customFormat="false" ht="15" hidden="false" customHeight="false" outlineLevel="0" collapsed="false">
      <c r="A3949" s="37"/>
      <c r="B3949" s="44"/>
      <c r="C3949" s="44"/>
      <c r="D3949" s="44"/>
      <c r="E3949" s="44"/>
      <c r="F3949" s="44"/>
      <c r="G3949" s="42"/>
      <c r="H3949" s="42"/>
      <c r="I3949" s="44"/>
      <c r="J3949" s="11" t="str">
        <f aca="false">IF(D3949="","",N(G3949)-N(H3949))</f>
        <v/>
      </c>
      <c r="K3949" s="34" t="str">
        <f aca="false">IF(D3949="","",IFERROR(INDEX(I_COA!$C$6:$C$265,MATCH(D3949,I_COA!$A$6:$A$265,0)),"AKUN BARU"))</f>
        <v/>
      </c>
      <c r="L3949" s="34" t="str">
        <f aca="false">IF(K3949="LabaRugi",INDEX(I_COA!$D$6:$D$265,MATCH(D3949,I_COA!$A$6:$A$265,0)),"")</f>
        <v/>
      </c>
      <c r="M3949" s="34" t="str">
        <f aca="false">IF(K3949="Neraca",INDEX(I_COA!$E$6:$E$265,MATCH(D3949,I_COA!$A$6:$A$265,0)),"")</f>
        <v/>
      </c>
      <c r="N3949" s="34" t="str">
        <f aca="false">IF(D3949="","",IFERROR(INDEX(I_COA!$G$6:$G$265,MATCH(D3949,I_COA!$A$6:$A$265,0)),"N"))</f>
        <v/>
      </c>
      <c r="O3949" s="11" t="str">
        <f aca="false">IF(N3949="N",ABS(J3949),"")</f>
        <v/>
      </c>
      <c r="P3949" s="18" t="str">
        <f aca="false">IF(N3949="N",B3949&amp;"|"&amp;ROUND(O3949,0),"")</f>
        <v/>
      </c>
      <c r="Q3949" s="18" t="str">
        <f aca="false">IF(N3949&lt;&gt;"Y","",IFERROR(INDEX($D$6:$D$4005,MATCH(B3949&amp;"|"&amp;ROUND(_xlfn.MAXIFS($O$6:$O$4005,$B$6:$B$4005,B3949,$N$6:$N$4005,"N"),0),$P$6:$P$4005,0)),"(tanpa lawan)"))</f>
        <v/>
      </c>
      <c r="R3949" s="44"/>
      <c r="S3949" s="9" t="str">
        <f aca="false">IF(N3949&lt;&gt;"Y","",IF(R3949&lt;&gt;"",R3949,IF(Q3949="(tanpa lawan)","Transfer antar rekening",IFERROR(INDEX(I_COA!$F$6:$F$265,MATCH(Q3949,I_COA!$A$6:$A$265,0)),"?"))))</f>
        <v/>
      </c>
    </row>
    <row r="3950" customFormat="false" ht="15" hidden="false" customHeight="false" outlineLevel="0" collapsed="false">
      <c r="A3950" s="37"/>
      <c r="B3950" s="44"/>
      <c r="C3950" s="44"/>
      <c r="D3950" s="44"/>
      <c r="E3950" s="44"/>
      <c r="F3950" s="44"/>
      <c r="G3950" s="42"/>
      <c r="H3950" s="42"/>
      <c r="I3950" s="44"/>
      <c r="J3950" s="11" t="str">
        <f aca="false">IF(D3950="","",N(G3950)-N(H3950))</f>
        <v/>
      </c>
      <c r="K3950" s="34" t="str">
        <f aca="false">IF(D3950="","",IFERROR(INDEX(I_COA!$C$6:$C$265,MATCH(D3950,I_COA!$A$6:$A$265,0)),"AKUN BARU"))</f>
        <v/>
      </c>
      <c r="L3950" s="34" t="str">
        <f aca="false">IF(K3950="LabaRugi",INDEX(I_COA!$D$6:$D$265,MATCH(D3950,I_COA!$A$6:$A$265,0)),"")</f>
        <v/>
      </c>
      <c r="M3950" s="34" t="str">
        <f aca="false">IF(K3950="Neraca",INDEX(I_COA!$E$6:$E$265,MATCH(D3950,I_COA!$A$6:$A$265,0)),"")</f>
        <v/>
      </c>
      <c r="N3950" s="34" t="str">
        <f aca="false">IF(D3950="","",IFERROR(INDEX(I_COA!$G$6:$G$265,MATCH(D3950,I_COA!$A$6:$A$265,0)),"N"))</f>
        <v/>
      </c>
      <c r="O3950" s="11" t="str">
        <f aca="false">IF(N3950="N",ABS(J3950),"")</f>
        <v/>
      </c>
      <c r="P3950" s="18" t="str">
        <f aca="false">IF(N3950="N",B3950&amp;"|"&amp;ROUND(O3950,0),"")</f>
        <v/>
      </c>
      <c r="Q3950" s="18" t="str">
        <f aca="false">IF(N3950&lt;&gt;"Y","",IFERROR(INDEX($D$6:$D$4005,MATCH(B3950&amp;"|"&amp;ROUND(_xlfn.MAXIFS($O$6:$O$4005,$B$6:$B$4005,B3950,$N$6:$N$4005,"N"),0),$P$6:$P$4005,0)),"(tanpa lawan)"))</f>
        <v/>
      </c>
      <c r="R3950" s="44"/>
      <c r="S3950" s="9" t="str">
        <f aca="false">IF(N3950&lt;&gt;"Y","",IF(R3950&lt;&gt;"",R3950,IF(Q3950="(tanpa lawan)","Transfer antar rekening",IFERROR(INDEX(I_COA!$F$6:$F$265,MATCH(Q3950,I_COA!$A$6:$A$265,0)),"?"))))</f>
        <v/>
      </c>
    </row>
    <row r="3951" customFormat="false" ht="15" hidden="false" customHeight="false" outlineLevel="0" collapsed="false">
      <c r="A3951" s="37"/>
      <c r="B3951" s="44"/>
      <c r="C3951" s="44"/>
      <c r="D3951" s="44"/>
      <c r="E3951" s="44"/>
      <c r="F3951" s="44"/>
      <c r="G3951" s="42"/>
      <c r="H3951" s="42"/>
      <c r="I3951" s="44"/>
      <c r="J3951" s="11" t="str">
        <f aca="false">IF(D3951="","",N(G3951)-N(H3951))</f>
        <v/>
      </c>
      <c r="K3951" s="34" t="str">
        <f aca="false">IF(D3951="","",IFERROR(INDEX(I_COA!$C$6:$C$265,MATCH(D3951,I_COA!$A$6:$A$265,0)),"AKUN BARU"))</f>
        <v/>
      </c>
      <c r="L3951" s="34" t="str">
        <f aca="false">IF(K3951="LabaRugi",INDEX(I_COA!$D$6:$D$265,MATCH(D3951,I_COA!$A$6:$A$265,0)),"")</f>
        <v/>
      </c>
      <c r="M3951" s="34" t="str">
        <f aca="false">IF(K3951="Neraca",INDEX(I_COA!$E$6:$E$265,MATCH(D3951,I_COA!$A$6:$A$265,0)),"")</f>
        <v/>
      </c>
      <c r="N3951" s="34" t="str">
        <f aca="false">IF(D3951="","",IFERROR(INDEX(I_COA!$G$6:$G$265,MATCH(D3951,I_COA!$A$6:$A$265,0)),"N"))</f>
        <v/>
      </c>
      <c r="O3951" s="11" t="str">
        <f aca="false">IF(N3951="N",ABS(J3951),"")</f>
        <v/>
      </c>
      <c r="P3951" s="18" t="str">
        <f aca="false">IF(N3951="N",B3951&amp;"|"&amp;ROUND(O3951,0),"")</f>
        <v/>
      </c>
      <c r="Q3951" s="18" t="str">
        <f aca="false">IF(N3951&lt;&gt;"Y","",IFERROR(INDEX($D$6:$D$4005,MATCH(B3951&amp;"|"&amp;ROUND(_xlfn.MAXIFS($O$6:$O$4005,$B$6:$B$4005,B3951,$N$6:$N$4005,"N"),0),$P$6:$P$4005,0)),"(tanpa lawan)"))</f>
        <v/>
      </c>
      <c r="R3951" s="44"/>
      <c r="S3951" s="9" t="str">
        <f aca="false">IF(N3951&lt;&gt;"Y","",IF(R3951&lt;&gt;"",R3951,IF(Q3951="(tanpa lawan)","Transfer antar rekening",IFERROR(INDEX(I_COA!$F$6:$F$265,MATCH(Q3951,I_COA!$A$6:$A$265,0)),"?"))))</f>
        <v/>
      </c>
    </row>
    <row r="3952" customFormat="false" ht="15" hidden="false" customHeight="false" outlineLevel="0" collapsed="false">
      <c r="A3952" s="37"/>
      <c r="B3952" s="44"/>
      <c r="C3952" s="44"/>
      <c r="D3952" s="44"/>
      <c r="E3952" s="44"/>
      <c r="F3952" s="44"/>
      <c r="G3952" s="42"/>
      <c r="H3952" s="42"/>
      <c r="I3952" s="44"/>
      <c r="J3952" s="11" t="str">
        <f aca="false">IF(D3952="","",N(G3952)-N(H3952))</f>
        <v/>
      </c>
      <c r="K3952" s="34" t="str">
        <f aca="false">IF(D3952="","",IFERROR(INDEX(I_COA!$C$6:$C$265,MATCH(D3952,I_COA!$A$6:$A$265,0)),"AKUN BARU"))</f>
        <v/>
      </c>
      <c r="L3952" s="34" t="str">
        <f aca="false">IF(K3952="LabaRugi",INDEX(I_COA!$D$6:$D$265,MATCH(D3952,I_COA!$A$6:$A$265,0)),"")</f>
        <v/>
      </c>
      <c r="M3952" s="34" t="str">
        <f aca="false">IF(K3952="Neraca",INDEX(I_COA!$E$6:$E$265,MATCH(D3952,I_COA!$A$6:$A$265,0)),"")</f>
        <v/>
      </c>
      <c r="N3952" s="34" t="str">
        <f aca="false">IF(D3952="","",IFERROR(INDEX(I_COA!$G$6:$G$265,MATCH(D3952,I_COA!$A$6:$A$265,0)),"N"))</f>
        <v/>
      </c>
      <c r="O3952" s="11" t="str">
        <f aca="false">IF(N3952="N",ABS(J3952),"")</f>
        <v/>
      </c>
      <c r="P3952" s="18" t="str">
        <f aca="false">IF(N3952="N",B3952&amp;"|"&amp;ROUND(O3952,0),"")</f>
        <v/>
      </c>
      <c r="Q3952" s="18" t="str">
        <f aca="false">IF(N3952&lt;&gt;"Y","",IFERROR(INDEX($D$6:$D$4005,MATCH(B3952&amp;"|"&amp;ROUND(_xlfn.MAXIFS($O$6:$O$4005,$B$6:$B$4005,B3952,$N$6:$N$4005,"N"),0),$P$6:$P$4005,0)),"(tanpa lawan)"))</f>
        <v/>
      </c>
      <c r="R3952" s="44"/>
      <c r="S3952" s="9" t="str">
        <f aca="false">IF(N3952&lt;&gt;"Y","",IF(R3952&lt;&gt;"",R3952,IF(Q3952="(tanpa lawan)","Transfer antar rekening",IFERROR(INDEX(I_COA!$F$6:$F$265,MATCH(Q3952,I_COA!$A$6:$A$265,0)),"?"))))</f>
        <v/>
      </c>
    </row>
    <row r="3953" customFormat="false" ht="15" hidden="false" customHeight="false" outlineLevel="0" collapsed="false">
      <c r="A3953" s="37"/>
      <c r="B3953" s="44"/>
      <c r="C3953" s="44"/>
      <c r="D3953" s="44"/>
      <c r="E3953" s="44"/>
      <c r="F3953" s="44"/>
      <c r="G3953" s="42"/>
      <c r="H3953" s="42"/>
      <c r="I3953" s="44"/>
      <c r="J3953" s="11" t="str">
        <f aca="false">IF(D3953="","",N(G3953)-N(H3953))</f>
        <v/>
      </c>
      <c r="K3953" s="34" t="str">
        <f aca="false">IF(D3953="","",IFERROR(INDEX(I_COA!$C$6:$C$265,MATCH(D3953,I_COA!$A$6:$A$265,0)),"AKUN BARU"))</f>
        <v/>
      </c>
      <c r="L3953" s="34" t="str">
        <f aca="false">IF(K3953="LabaRugi",INDEX(I_COA!$D$6:$D$265,MATCH(D3953,I_COA!$A$6:$A$265,0)),"")</f>
        <v/>
      </c>
      <c r="M3953" s="34" t="str">
        <f aca="false">IF(K3953="Neraca",INDEX(I_COA!$E$6:$E$265,MATCH(D3953,I_COA!$A$6:$A$265,0)),"")</f>
        <v/>
      </c>
      <c r="N3953" s="34" t="str">
        <f aca="false">IF(D3953="","",IFERROR(INDEX(I_COA!$G$6:$G$265,MATCH(D3953,I_COA!$A$6:$A$265,0)),"N"))</f>
        <v/>
      </c>
      <c r="O3953" s="11" t="str">
        <f aca="false">IF(N3953="N",ABS(J3953),"")</f>
        <v/>
      </c>
      <c r="P3953" s="18" t="str">
        <f aca="false">IF(N3953="N",B3953&amp;"|"&amp;ROUND(O3953,0),"")</f>
        <v/>
      </c>
      <c r="Q3953" s="18" t="str">
        <f aca="false">IF(N3953&lt;&gt;"Y","",IFERROR(INDEX($D$6:$D$4005,MATCH(B3953&amp;"|"&amp;ROUND(_xlfn.MAXIFS($O$6:$O$4005,$B$6:$B$4005,B3953,$N$6:$N$4005,"N"),0),$P$6:$P$4005,0)),"(tanpa lawan)"))</f>
        <v/>
      </c>
      <c r="R3953" s="44"/>
      <c r="S3953" s="9" t="str">
        <f aca="false">IF(N3953&lt;&gt;"Y","",IF(R3953&lt;&gt;"",R3953,IF(Q3953="(tanpa lawan)","Transfer antar rekening",IFERROR(INDEX(I_COA!$F$6:$F$265,MATCH(Q3953,I_COA!$A$6:$A$265,0)),"?"))))</f>
        <v/>
      </c>
    </row>
    <row r="3954" customFormat="false" ht="15" hidden="false" customHeight="false" outlineLevel="0" collapsed="false">
      <c r="A3954" s="37"/>
      <c r="B3954" s="44"/>
      <c r="C3954" s="44"/>
      <c r="D3954" s="44"/>
      <c r="E3954" s="44"/>
      <c r="F3954" s="44"/>
      <c r="G3954" s="42"/>
      <c r="H3954" s="42"/>
      <c r="I3954" s="44"/>
      <c r="J3954" s="11" t="str">
        <f aca="false">IF(D3954="","",N(G3954)-N(H3954))</f>
        <v/>
      </c>
      <c r="K3954" s="34" t="str">
        <f aca="false">IF(D3954="","",IFERROR(INDEX(I_COA!$C$6:$C$265,MATCH(D3954,I_COA!$A$6:$A$265,0)),"AKUN BARU"))</f>
        <v/>
      </c>
      <c r="L3954" s="34" t="str">
        <f aca="false">IF(K3954="LabaRugi",INDEX(I_COA!$D$6:$D$265,MATCH(D3954,I_COA!$A$6:$A$265,0)),"")</f>
        <v/>
      </c>
      <c r="M3954" s="34" t="str">
        <f aca="false">IF(K3954="Neraca",INDEX(I_COA!$E$6:$E$265,MATCH(D3954,I_COA!$A$6:$A$265,0)),"")</f>
        <v/>
      </c>
      <c r="N3954" s="34" t="str">
        <f aca="false">IF(D3954="","",IFERROR(INDEX(I_COA!$G$6:$G$265,MATCH(D3954,I_COA!$A$6:$A$265,0)),"N"))</f>
        <v/>
      </c>
      <c r="O3954" s="11" t="str">
        <f aca="false">IF(N3954="N",ABS(J3954),"")</f>
        <v/>
      </c>
      <c r="P3954" s="18" t="str">
        <f aca="false">IF(N3954="N",B3954&amp;"|"&amp;ROUND(O3954,0),"")</f>
        <v/>
      </c>
      <c r="Q3954" s="18" t="str">
        <f aca="false">IF(N3954&lt;&gt;"Y","",IFERROR(INDEX($D$6:$D$4005,MATCH(B3954&amp;"|"&amp;ROUND(_xlfn.MAXIFS($O$6:$O$4005,$B$6:$B$4005,B3954,$N$6:$N$4005,"N"),0),$P$6:$P$4005,0)),"(tanpa lawan)"))</f>
        <v/>
      </c>
      <c r="R3954" s="44"/>
      <c r="S3954" s="9" t="str">
        <f aca="false">IF(N3954&lt;&gt;"Y","",IF(R3954&lt;&gt;"",R3954,IF(Q3954="(tanpa lawan)","Transfer antar rekening",IFERROR(INDEX(I_COA!$F$6:$F$265,MATCH(Q3954,I_COA!$A$6:$A$265,0)),"?"))))</f>
        <v/>
      </c>
    </row>
    <row r="3955" customFormat="false" ht="15" hidden="false" customHeight="false" outlineLevel="0" collapsed="false">
      <c r="A3955" s="37"/>
      <c r="B3955" s="44"/>
      <c r="C3955" s="44"/>
      <c r="D3955" s="44"/>
      <c r="E3955" s="44"/>
      <c r="F3955" s="44"/>
      <c r="G3955" s="42"/>
      <c r="H3955" s="42"/>
      <c r="I3955" s="44"/>
      <c r="J3955" s="11" t="str">
        <f aca="false">IF(D3955="","",N(G3955)-N(H3955))</f>
        <v/>
      </c>
      <c r="K3955" s="34" t="str">
        <f aca="false">IF(D3955="","",IFERROR(INDEX(I_COA!$C$6:$C$265,MATCH(D3955,I_COA!$A$6:$A$265,0)),"AKUN BARU"))</f>
        <v/>
      </c>
      <c r="L3955" s="34" t="str">
        <f aca="false">IF(K3955="LabaRugi",INDEX(I_COA!$D$6:$D$265,MATCH(D3955,I_COA!$A$6:$A$265,0)),"")</f>
        <v/>
      </c>
      <c r="M3955" s="34" t="str">
        <f aca="false">IF(K3955="Neraca",INDEX(I_COA!$E$6:$E$265,MATCH(D3955,I_COA!$A$6:$A$265,0)),"")</f>
        <v/>
      </c>
      <c r="N3955" s="34" t="str">
        <f aca="false">IF(D3955="","",IFERROR(INDEX(I_COA!$G$6:$G$265,MATCH(D3955,I_COA!$A$6:$A$265,0)),"N"))</f>
        <v/>
      </c>
      <c r="O3955" s="11" t="str">
        <f aca="false">IF(N3955="N",ABS(J3955),"")</f>
        <v/>
      </c>
      <c r="P3955" s="18" t="str">
        <f aca="false">IF(N3955="N",B3955&amp;"|"&amp;ROUND(O3955,0),"")</f>
        <v/>
      </c>
      <c r="Q3955" s="18" t="str">
        <f aca="false">IF(N3955&lt;&gt;"Y","",IFERROR(INDEX($D$6:$D$4005,MATCH(B3955&amp;"|"&amp;ROUND(_xlfn.MAXIFS($O$6:$O$4005,$B$6:$B$4005,B3955,$N$6:$N$4005,"N"),0),$P$6:$P$4005,0)),"(tanpa lawan)"))</f>
        <v/>
      </c>
      <c r="R3955" s="44"/>
      <c r="S3955" s="9" t="str">
        <f aca="false">IF(N3955&lt;&gt;"Y","",IF(R3955&lt;&gt;"",R3955,IF(Q3955="(tanpa lawan)","Transfer antar rekening",IFERROR(INDEX(I_COA!$F$6:$F$265,MATCH(Q3955,I_COA!$A$6:$A$265,0)),"?"))))</f>
        <v/>
      </c>
    </row>
    <row r="3956" customFormat="false" ht="15" hidden="false" customHeight="false" outlineLevel="0" collapsed="false">
      <c r="A3956" s="37"/>
      <c r="B3956" s="44"/>
      <c r="C3956" s="44"/>
      <c r="D3956" s="44"/>
      <c r="E3956" s="44"/>
      <c r="F3956" s="44"/>
      <c r="G3956" s="42"/>
      <c r="H3956" s="42"/>
      <c r="I3956" s="44"/>
      <c r="J3956" s="11" t="str">
        <f aca="false">IF(D3956="","",N(G3956)-N(H3956))</f>
        <v/>
      </c>
      <c r="K3956" s="34" t="str">
        <f aca="false">IF(D3956="","",IFERROR(INDEX(I_COA!$C$6:$C$265,MATCH(D3956,I_COA!$A$6:$A$265,0)),"AKUN BARU"))</f>
        <v/>
      </c>
      <c r="L3956" s="34" t="str">
        <f aca="false">IF(K3956="LabaRugi",INDEX(I_COA!$D$6:$D$265,MATCH(D3956,I_COA!$A$6:$A$265,0)),"")</f>
        <v/>
      </c>
      <c r="M3956" s="34" t="str">
        <f aca="false">IF(K3956="Neraca",INDEX(I_COA!$E$6:$E$265,MATCH(D3956,I_COA!$A$6:$A$265,0)),"")</f>
        <v/>
      </c>
      <c r="N3956" s="34" t="str">
        <f aca="false">IF(D3956="","",IFERROR(INDEX(I_COA!$G$6:$G$265,MATCH(D3956,I_COA!$A$6:$A$265,0)),"N"))</f>
        <v/>
      </c>
      <c r="O3956" s="11" t="str">
        <f aca="false">IF(N3956="N",ABS(J3956),"")</f>
        <v/>
      </c>
      <c r="P3956" s="18" t="str">
        <f aca="false">IF(N3956="N",B3956&amp;"|"&amp;ROUND(O3956,0),"")</f>
        <v/>
      </c>
      <c r="Q3956" s="18" t="str">
        <f aca="false">IF(N3956&lt;&gt;"Y","",IFERROR(INDEX($D$6:$D$4005,MATCH(B3956&amp;"|"&amp;ROUND(_xlfn.MAXIFS($O$6:$O$4005,$B$6:$B$4005,B3956,$N$6:$N$4005,"N"),0),$P$6:$P$4005,0)),"(tanpa lawan)"))</f>
        <v/>
      </c>
      <c r="R3956" s="44"/>
      <c r="S3956" s="9" t="str">
        <f aca="false">IF(N3956&lt;&gt;"Y","",IF(R3956&lt;&gt;"",R3956,IF(Q3956="(tanpa lawan)","Transfer antar rekening",IFERROR(INDEX(I_COA!$F$6:$F$265,MATCH(Q3956,I_COA!$A$6:$A$265,0)),"?"))))</f>
        <v/>
      </c>
    </row>
    <row r="3957" customFormat="false" ht="15" hidden="false" customHeight="false" outlineLevel="0" collapsed="false">
      <c r="A3957" s="37"/>
      <c r="B3957" s="44"/>
      <c r="C3957" s="44"/>
      <c r="D3957" s="44"/>
      <c r="E3957" s="44"/>
      <c r="F3957" s="44"/>
      <c r="G3957" s="42"/>
      <c r="H3957" s="42"/>
      <c r="I3957" s="44"/>
      <c r="J3957" s="11" t="str">
        <f aca="false">IF(D3957="","",N(G3957)-N(H3957))</f>
        <v/>
      </c>
      <c r="K3957" s="34" t="str">
        <f aca="false">IF(D3957="","",IFERROR(INDEX(I_COA!$C$6:$C$265,MATCH(D3957,I_COA!$A$6:$A$265,0)),"AKUN BARU"))</f>
        <v/>
      </c>
      <c r="L3957" s="34" t="str">
        <f aca="false">IF(K3957="LabaRugi",INDEX(I_COA!$D$6:$D$265,MATCH(D3957,I_COA!$A$6:$A$265,0)),"")</f>
        <v/>
      </c>
      <c r="M3957" s="34" t="str">
        <f aca="false">IF(K3957="Neraca",INDEX(I_COA!$E$6:$E$265,MATCH(D3957,I_COA!$A$6:$A$265,0)),"")</f>
        <v/>
      </c>
      <c r="N3957" s="34" t="str">
        <f aca="false">IF(D3957="","",IFERROR(INDEX(I_COA!$G$6:$G$265,MATCH(D3957,I_COA!$A$6:$A$265,0)),"N"))</f>
        <v/>
      </c>
      <c r="O3957" s="11" t="str">
        <f aca="false">IF(N3957="N",ABS(J3957),"")</f>
        <v/>
      </c>
      <c r="P3957" s="18" t="str">
        <f aca="false">IF(N3957="N",B3957&amp;"|"&amp;ROUND(O3957,0),"")</f>
        <v/>
      </c>
      <c r="Q3957" s="18" t="str">
        <f aca="false">IF(N3957&lt;&gt;"Y","",IFERROR(INDEX($D$6:$D$4005,MATCH(B3957&amp;"|"&amp;ROUND(_xlfn.MAXIFS($O$6:$O$4005,$B$6:$B$4005,B3957,$N$6:$N$4005,"N"),0),$P$6:$P$4005,0)),"(tanpa lawan)"))</f>
        <v/>
      </c>
      <c r="R3957" s="44"/>
      <c r="S3957" s="9" t="str">
        <f aca="false">IF(N3957&lt;&gt;"Y","",IF(R3957&lt;&gt;"",R3957,IF(Q3957="(tanpa lawan)","Transfer antar rekening",IFERROR(INDEX(I_COA!$F$6:$F$265,MATCH(Q3957,I_COA!$A$6:$A$265,0)),"?"))))</f>
        <v/>
      </c>
    </row>
    <row r="3958" customFormat="false" ht="15" hidden="false" customHeight="false" outlineLevel="0" collapsed="false">
      <c r="A3958" s="37"/>
      <c r="B3958" s="44"/>
      <c r="C3958" s="44"/>
      <c r="D3958" s="44"/>
      <c r="E3958" s="44"/>
      <c r="F3958" s="44"/>
      <c r="G3958" s="42"/>
      <c r="H3958" s="42"/>
      <c r="I3958" s="44"/>
      <c r="J3958" s="11" t="str">
        <f aca="false">IF(D3958="","",N(G3958)-N(H3958))</f>
        <v/>
      </c>
      <c r="K3958" s="34" t="str">
        <f aca="false">IF(D3958="","",IFERROR(INDEX(I_COA!$C$6:$C$265,MATCH(D3958,I_COA!$A$6:$A$265,0)),"AKUN BARU"))</f>
        <v/>
      </c>
      <c r="L3958" s="34" t="str">
        <f aca="false">IF(K3958="LabaRugi",INDEX(I_COA!$D$6:$D$265,MATCH(D3958,I_COA!$A$6:$A$265,0)),"")</f>
        <v/>
      </c>
      <c r="M3958" s="34" t="str">
        <f aca="false">IF(K3958="Neraca",INDEX(I_COA!$E$6:$E$265,MATCH(D3958,I_COA!$A$6:$A$265,0)),"")</f>
        <v/>
      </c>
      <c r="N3958" s="34" t="str">
        <f aca="false">IF(D3958="","",IFERROR(INDEX(I_COA!$G$6:$G$265,MATCH(D3958,I_COA!$A$6:$A$265,0)),"N"))</f>
        <v/>
      </c>
      <c r="O3958" s="11" t="str">
        <f aca="false">IF(N3958="N",ABS(J3958),"")</f>
        <v/>
      </c>
      <c r="P3958" s="18" t="str">
        <f aca="false">IF(N3958="N",B3958&amp;"|"&amp;ROUND(O3958,0),"")</f>
        <v/>
      </c>
      <c r="Q3958" s="18" t="str">
        <f aca="false">IF(N3958&lt;&gt;"Y","",IFERROR(INDEX($D$6:$D$4005,MATCH(B3958&amp;"|"&amp;ROUND(_xlfn.MAXIFS($O$6:$O$4005,$B$6:$B$4005,B3958,$N$6:$N$4005,"N"),0),$P$6:$P$4005,0)),"(tanpa lawan)"))</f>
        <v/>
      </c>
      <c r="R3958" s="44"/>
      <c r="S3958" s="9" t="str">
        <f aca="false">IF(N3958&lt;&gt;"Y","",IF(R3958&lt;&gt;"",R3958,IF(Q3958="(tanpa lawan)","Transfer antar rekening",IFERROR(INDEX(I_COA!$F$6:$F$265,MATCH(Q3958,I_COA!$A$6:$A$265,0)),"?"))))</f>
        <v/>
      </c>
    </row>
    <row r="3959" customFormat="false" ht="15" hidden="false" customHeight="false" outlineLevel="0" collapsed="false">
      <c r="A3959" s="37"/>
      <c r="B3959" s="44"/>
      <c r="C3959" s="44"/>
      <c r="D3959" s="44"/>
      <c r="E3959" s="44"/>
      <c r="F3959" s="44"/>
      <c r="G3959" s="42"/>
      <c r="H3959" s="42"/>
      <c r="I3959" s="44"/>
      <c r="J3959" s="11" t="str">
        <f aca="false">IF(D3959="","",N(G3959)-N(H3959))</f>
        <v/>
      </c>
      <c r="K3959" s="34" t="str">
        <f aca="false">IF(D3959="","",IFERROR(INDEX(I_COA!$C$6:$C$265,MATCH(D3959,I_COA!$A$6:$A$265,0)),"AKUN BARU"))</f>
        <v/>
      </c>
      <c r="L3959" s="34" t="str">
        <f aca="false">IF(K3959="LabaRugi",INDEX(I_COA!$D$6:$D$265,MATCH(D3959,I_COA!$A$6:$A$265,0)),"")</f>
        <v/>
      </c>
      <c r="M3959" s="34" t="str">
        <f aca="false">IF(K3959="Neraca",INDEX(I_COA!$E$6:$E$265,MATCH(D3959,I_COA!$A$6:$A$265,0)),"")</f>
        <v/>
      </c>
      <c r="N3959" s="34" t="str">
        <f aca="false">IF(D3959="","",IFERROR(INDEX(I_COA!$G$6:$G$265,MATCH(D3959,I_COA!$A$6:$A$265,0)),"N"))</f>
        <v/>
      </c>
      <c r="O3959" s="11" t="str">
        <f aca="false">IF(N3959="N",ABS(J3959),"")</f>
        <v/>
      </c>
      <c r="P3959" s="18" t="str">
        <f aca="false">IF(N3959="N",B3959&amp;"|"&amp;ROUND(O3959,0),"")</f>
        <v/>
      </c>
      <c r="Q3959" s="18" t="str">
        <f aca="false">IF(N3959&lt;&gt;"Y","",IFERROR(INDEX($D$6:$D$4005,MATCH(B3959&amp;"|"&amp;ROUND(_xlfn.MAXIFS($O$6:$O$4005,$B$6:$B$4005,B3959,$N$6:$N$4005,"N"),0),$P$6:$P$4005,0)),"(tanpa lawan)"))</f>
        <v/>
      </c>
      <c r="R3959" s="44"/>
      <c r="S3959" s="9" t="str">
        <f aca="false">IF(N3959&lt;&gt;"Y","",IF(R3959&lt;&gt;"",R3959,IF(Q3959="(tanpa lawan)","Transfer antar rekening",IFERROR(INDEX(I_COA!$F$6:$F$265,MATCH(Q3959,I_COA!$A$6:$A$265,0)),"?"))))</f>
        <v/>
      </c>
    </row>
    <row r="3960" customFormat="false" ht="15" hidden="false" customHeight="false" outlineLevel="0" collapsed="false">
      <c r="A3960" s="37"/>
      <c r="B3960" s="44"/>
      <c r="C3960" s="44"/>
      <c r="D3960" s="44"/>
      <c r="E3960" s="44"/>
      <c r="F3960" s="44"/>
      <c r="G3960" s="42"/>
      <c r="H3960" s="42"/>
      <c r="I3960" s="44"/>
      <c r="J3960" s="11" t="str">
        <f aca="false">IF(D3960="","",N(G3960)-N(H3960))</f>
        <v/>
      </c>
      <c r="K3960" s="34" t="str">
        <f aca="false">IF(D3960="","",IFERROR(INDEX(I_COA!$C$6:$C$265,MATCH(D3960,I_COA!$A$6:$A$265,0)),"AKUN BARU"))</f>
        <v/>
      </c>
      <c r="L3960" s="34" t="str">
        <f aca="false">IF(K3960="LabaRugi",INDEX(I_COA!$D$6:$D$265,MATCH(D3960,I_COA!$A$6:$A$265,0)),"")</f>
        <v/>
      </c>
      <c r="M3960" s="34" t="str">
        <f aca="false">IF(K3960="Neraca",INDEX(I_COA!$E$6:$E$265,MATCH(D3960,I_COA!$A$6:$A$265,0)),"")</f>
        <v/>
      </c>
      <c r="N3960" s="34" t="str">
        <f aca="false">IF(D3960="","",IFERROR(INDEX(I_COA!$G$6:$G$265,MATCH(D3960,I_COA!$A$6:$A$265,0)),"N"))</f>
        <v/>
      </c>
      <c r="O3960" s="11" t="str">
        <f aca="false">IF(N3960="N",ABS(J3960),"")</f>
        <v/>
      </c>
      <c r="P3960" s="18" t="str">
        <f aca="false">IF(N3960="N",B3960&amp;"|"&amp;ROUND(O3960,0),"")</f>
        <v/>
      </c>
      <c r="Q3960" s="18" t="str">
        <f aca="false">IF(N3960&lt;&gt;"Y","",IFERROR(INDEX($D$6:$D$4005,MATCH(B3960&amp;"|"&amp;ROUND(_xlfn.MAXIFS($O$6:$O$4005,$B$6:$B$4005,B3960,$N$6:$N$4005,"N"),0),$P$6:$P$4005,0)),"(tanpa lawan)"))</f>
        <v/>
      </c>
      <c r="R3960" s="44"/>
      <c r="S3960" s="9" t="str">
        <f aca="false">IF(N3960&lt;&gt;"Y","",IF(R3960&lt;&gt;"",R3960,IF(Q3960="(tanpa lawan)","Transfer antar rekening",IFERROR(INDEX(I_COA!$F$6:$F$265,MATCH(Q3960,I_COA!$A$6:$A$265,0)),"?"))))</f>
        <v/>
      </c>
    </row>
    <row r="3961" customFormat="false" ht="15" hidden="false" customHeight="false" outlineLevel="0" collapsed="false">
      <c r="A3961" s="37"/>
      <c r="B3961" s="44"/>
      <c r="C3961" s="44"/>
      <c r="D3961" s="44"/>
      <c r="E3961" s="44"/>
      <c r="F3961" s="44"/>
      <c r="G3961" s="42"/>
      <c r="H3961" s="42"/>
      <c r="I3961" s="44"/>
      <c r="J3961" s="11" t="str">
        <f aca="false">IF(D3961="","",N(G3961)-N(H3961))</f>
        <v/>
      </c>
      <c r="K3961" s="34" t="str">
        <f aca="false">IF(D3961="","",IFERROR(INDEX(I_COA!$C$6:$C$265,MATCH(D3961,I_COA!$A$6:$A$265,0)),"AKUN BARU"))</f>
        <v/>
      </c>
      <c r="L3961" s="34" t="str">
        <f aca="false">IF(K3961="LabaRugi",INDEX(I_COA!$D$6:$D$265,MATCH(D3961,I_COA!$A$6:$A$265,0)),"")</f>
        <v/>
      </c>
      <c r="M3961" s="34" t="str">
        <f aca="false">IF(K3961="Neraca",INDEX(I_COA!$E$6:$E$265,MATCH(D3961,I_COA!$A$6:$A$265,0)),"")</f>
        <v/>
      </c>
      <c r="N3961" s="34" t="str">
        <f aca="false">IF(D3961="","",IFERROR(INDEX(I_COA!$G$6:$G$265,MATCH(D3961,I_COA!$A$6:$A$265,0)),"N"))</f>
        <v/>
      </c>
      <c r="O3961" s="11" t="str">
        <f aca="false">IF(N3961="N",ABS(J3961),"")</f>
        <v/>
      </c>
      <c r="P3961" s="18" t="str">
        <f aca="false">IF(N3961="N",B3961&amp;"|"&amp;ROUND(O3961,0),"")</f>
        <v/>
      </c>
      <c r="Q3961" s="18" t="str">
        <f aca="false">IF(N3961&lt;&gt;"Y","",IFERROR(INDEX($D$6:$D$4005,MATCH(B3961&amp;"|"&amp;ROUND(_xlfn.MAXIFS($O$6:$O$4005,$B$6:$B$4005,B3961,$N$6:$N$4005,"N"),0),$P$6:$P$4005,0)),"(tanpa lawan)"))</f>
        <v/>
      </c>
      <c r="R3961" s="44"/>
      <c r="S3961" s="9" t="str">
        <f aca="false">IF(N3961&lt;&gt;"Y","",IF(R3961&lt;&gt;"",R3961,IF(Q3961="(tanpa lawan)","Transfer antar rekening",IFERROR(INDEX(I_COA!$F$6:$F$265,MATCH(Q3961,I_COA!$A$6:$A$265,0)),"?"))))</f>
        <v/>
      </c>
    </row>
    <row r="3962" customFormat="false" ht="15" hidden="false" customHeight="false" outlineLevel="0" collapsed="false">
      <c r="A3962" s="37"/>
      <c r="B3962" s="44"/>
      <c r="C3962" s="44"/>
      <c r="D3962" s="44"/>
      <c r="E3962" s="44"/>
      <c r="F3962" s="44"/>
      <c r="G3962" s="42"/>
      <c r="H3962" s="42"/>
      <c r="I3962" s="44"/>
      <c r="J3962" s="11" t="str">
        <f aca="false">IF(D3962="","",N(G3962)-N(H3962))</f>
        <v/>
      </c>
      <c r="K3962" s="34" t="str">
        <f aca="false">IF(D3962="","",IFERROR(INDEX(I_COA!$C$6:$C$265,MATCH(D3962,I_COA!$A$6:$A$265,0)),"AKUN BARU"))</f>
        <v/>
      </c>
      <c r="L3962" s="34" t="str">
        <f aca="false">IF(K3962="LabaRugi",INDEX(I_COA!$D$6:$D$265,MATCH(D3962,I_COA!$A$6:$A$265,0)),"")</f>
        <v/>
      </c>
      <c r="M3962" s="34" t="str">
        <f aca="false">IF(K3962="Neraca",INDEX(I_COA!$E$6:$E$265,MATCH(D3962,I_COA!$A$6:$A$265,0)),"")</f>
        <v/>
      </c>
      <c r="N3962" s="34" t="str">
        <f aca="false">IF(D3962="","",IFERROR(INDEX(I_COA!$G$6:$G$265,MATCH(D3962,I_COA!$A$6:$A$265,0)),"N"))</f>
        <v/>
      </c>
      <c r="O3962" s="11" t="str">
        <f aca="false">IF(N3962="N",ABS(J3962),"")</f>
        <v/>
      </c>
      <c r="P3962" s="18" t="str">
        <f aca="false">IF(N3962="N",B3962&amp;"|"&amp;ROUND(O3962,0),"")</f>
        <v/>
      </c>
      <c r="Q3962" s="18" t="str">
        <f aca="false">IF(N3962&lt;&gt;"Y","",IFERROR(INDEX($D$6:$D$4005,MATCH(B3962&amp;"|"&amp;ROUND(_xlfn.MAXIFS($O$6:$O$4005,$B$6:$B$4005,B3962,$N$6:$N$4005,"N"),0),$P$6:$P$4005,0)),"(tanpa lawan)"))</f>
        <v/>
      </c>
      <c r="R3962" s="44"/>
      <c r="S3962" s="9" t="str">
        <f aca="false">IF(N3962&lt;&gt;"Y","",IF(R3962&lt;&gt;"",R3962,IF(Q3962="(tanpa lawan)","Transfer antar rekening",IFERROR(INDEX(I_COA!$F$6:$F$265,MATCH(Q3962,I_COA!$A$6:$A$265,0)),"?"))))</f>
        <v/>
      </c>
    </row>
    <row r="3963" customFormat="false" ht="15" hidden="false" customHeight="false" outlineLevel="0" collapsed="false">
      <c r="A3963" s="37"/>
      <c r="B3963" s="44"/>
      <c r="C3963" s="44"/>
      <c r="D3963" s="44"/>
      <c r="E3963" s="44"/>
      <c r="F3963" s="44"/>
      <c r="G3963" s="42"/>
      <c r="H3963" s="42"/>
      <c r="I3963" s="44"/>
      <c r="J3963" s="11" t="str">
        <f aca="false">IF(D3963="","",N(G3963)-N(H3963))</f>
        <v/>
      </c>
      <c r="K3963" s="34" t="str">
        <f aca="false">IF(D3963="","",IFERROR(INDEX(I_COA!$C$6:$C$265,MATCH(D3963,I_COA!$A$6:$A$265,0)),"AKUN BARU"))</f>
        <v/>
      </c>
      <c r="L3963" s="34" t="str">
        <f aca="false">IF(K3963="LabaRugi",INDEX(I_COA!$D$6:$D$265,MATCH(D3963,I_COA!$A$6:$A$265,0)),"")</f>
        <v/>
      </c>
      <c r="M3963" s="34" t="str">
        <f aca="false">IF(K3963="Neraca",INDEX(I_COA!$E$6:$E$265,MATCH(D3963,I_COA!$A$6:$A$265,0)),"")</f>
        <v/>
      </c>
      <c r="N3963" s="34" t="str">
        <f aca="false">IF(D3963="","",IFERROR(INDEX(I_COA!$G$6:$G$265,MATCH(D3963,I_COA!$A$6:$A$265,0)),"N"))</f>
        <v/>
      </c>
      <c r="O3963" s="11" t="str">
        <f aca="false">IF(N3963="N",ABS(J3963),"")</f>
        <v/>
      </c>
      <c r="P3963" s="18" t="str">
        <f aca="false">IF(N3963="N",B3963&amp;"|"&amp;ROUND(O3963,0),"")</f>
        <v/>
      </c>
      <c r="Q3963" s="18" t="str">
        <f aca="false">IF(N3963&lt;&gt;"Y","",IFERROR(INDEX($D$6:$D$4005,MATCH(B3963&amp;"|"&amp;ROUND(_xlfn.MAXIFS($O$6:$O$4005,$B$6:$B$4005,B3963,$N$6:$N$4005,"N"),0),$P$6:$P$4005,0)),"(tanpa lawan)"))</f>
        <v/>
      </c>
      <c r="R3963" s="44"/>
      <c r="S3963" s="9" t="str">
        <f aca="false">IF(N3963&lt;&gt;"Y","",IF(R3963&lt;&gt;"",R3963,IF(Q3963="(tanpa lawan)","Transfer antar rekening",IFERROR(INDEX(I_COA!$F$6:$F$265,MATCH(Q3963,I_COA!$A$6:$A$265,0)),"?"))))</f>
        <v/>
      </c>
    </row>
    <row r="3964" customFormat="false" ht="15" hidden="false" customHeight="false" outlineLevel="0" collapsed="false">
      <c r="A3964" s="37"/>
      <c r="B3964" s="44"/>
      <c r="C3964" s="44"/>
      <c r="D3964" s="44"/>
      <c r="E3964" s="44"/>
      <c r="F3964" s="44"/>
      <c r="G3964" s="42"/>
      <c r="H3964" s="42"/>
      <c r="I3964" s="44"/>
      <c r="J3964" s="11" t="str">
        <f aca="false">IF(D3964="","",N(G3964)-N(H3964))</f>
        <v/>
      </c>
      <c r="K3964" s="34" t="str">
        <f aca="false">IF(D3964="","",IFERROR(INDEX(I_COA!$C$6:$C$265,MATCH(D3964,I_COA!$A$6:$A$265,0)),"AKUN BARU"))</f>
        <v/>
      </c>
      <c r="L3964" s="34" t="str">
        <f aca="false">IF(K3964="LabaRugi",INDEX(I_COA!$D$6:$D$265,MATCH(D3964,I_COA!$A$6:$A$265,0)),"")</f>
        <v/>
      </c>
      <c r="M3964" s="34" t="str">
        <f aca="false">IF(K3964="Neraca",INDEX(I_COA!$E$6:$E$265,MATCH(D3964,I_COA!$A$6:$A$265,0)),"")</f>
        <v/>
      </c>
      <c r="N3964" s="34" t="str">
        <f aca="false">IF(D3964="","",IFERROR(INDEX(I_COA!$G$6:$G$265,MATCH(D3964,I_COA!$A$6:$A$265,0)),"N"))</f>
        <v/>
      </c>
      <c r="O3964" s="11" t="str">
        <f aca="false">IF(N3964="N",ABS(J3964),"")</f>
        <v/>
      </c>
      <c r="P3964" s="18" t="str">
        <f aca="false">IF(N3964="N",B3964&amp;"|"&amp;ROUND(O3964,0),"")</f>
        <v/>
      </c>
      <c r="Q3964" s="18" t="str">
        <f aca="false">IF(N3964&lt;&gt;"Y","",IFERROR(INDEX($D$6:$D$4005,MATCH(B3964&amp;"|"&amp;ROUND(_xlfn.MAXIFS($O$6:$O$4005,$B$6:$B$4005,B3964,$N$6:$N$4005,"N"),0),$P$6:$P$4005,0)),"(tanpa lawan)"))</f>
        <v/>
      </c>
      <c r="R3964" s="44"/>
      <c r="S3964" s="9" t="str">
        <f aca="false">IF(N3964&lt;&gt;"Y","",IF(R3964&lt;&gt;"",R3964,IF(Q3964="(tanpa lawan)","Transfer antar rekening",IFERROR(INDEX(I_COA!$F$6:$F$265,MATCH(Q3964,I_COA!$A$6:$A$265,0)),"?"))))</f>
        <v/>
      </c>
    </row>
    <row r="3965" customFormat="false" ht="15" hidden="false" customHeight="false" outlineLevel="0" collapsed="false">
      <c r="A3965" s="37"/>
      <c r="B3965" s="44"/>
      <c r="C3965" s="44"/>
      <c r="D3965" s="44"/>
      <c r="E3965" s="44"/>
      <c r="F3965" s="44"/>
      <c r="G3965" s="42"/>
      <c r="H3965" s="42"/>
      <c r="I3965" s="44"/>
      <c r="J3965" s="11" t="str">
        <f aca="false">IF(D3965="","",N(G3965)-N(H3965))</f>
        <v/>
      </c>
      <c r="K3965" s="34" t="str">
        <f aca="false">IF(D3965="","",IFERROR(INDEX(I_COA!$C$6:$C$265,MATCH(D3965,I_COA!$A$6:$A$265,0)),"AKUN BARU"))</f>
        <v/>
      </c>
      <c r="L3965" s="34" t="str">
        <f aca="false">IF(K3965="LabaRugi",INDEX(I_COA!$D$6:$D$265,MATCH(D3965,I_COA!$A$6:$A$265,0)),"")</f>
        <v/>
      </c>
      <c r="M3965" s="34" t="str">
        <f aca="false">IF(K3965="Neraca",INDEX(I_COA!$E$6:$E$265,MATCH(D3965,I_COA!$A$6:$A$265,0)),"")</f>
        <v/>
      </c>
      <c r="N3965" s="34" t="str">
        <f aca="false">IF(D3965="","",IFERROR(INDEX(I_COA!$G$6:$G$265,MATCH(D3965,I_COA!$A$6:$A$265,0)),"N"))</f>
        <v/>
      </c>
      <c r="O3965" s="11" t="str">
        <f aca="false">IF(N3965="N",ABS(J3965),"")</f>
        <v/>
      </c>
      <c r="P3965" s="18" t="str">
        <f aca="false">IF(N3965="N",B3965&amp;"|"&amp;ROUND(O3965,0),"")</f>
        <v/>
      </c>
      <c r="Q3965" s="18" t="str">
        <f aca="false">IF(N3965&lt;&gt;"Y","",IFERROR(INDEX($D$6:$D$4005,MATCH(B3965&amp;"|"&amp;ROUND(_xlfn.MAXIFS($O$6:$O$4005,$B$6:$B$4005,B3965,$N$6:$N$4005,"N"),0),$P$6:$P$4005,0)),"(tanpa lawan)"))</f>
        <v/>
      </c>
      <c r="R3965" s="44"/>
      <c r="S3965" s="9" t="str">
        <f aca="false">IF(N3965&lt;&gt;"Y","",IF(R3965&lt;&gt;"",R3965,IF(Q3965="(tanpa lawan)","Transfer antar rekening",IFERROR(INDEX(I_COA!$F$6:$F$265,MATCH(Q3965,I_COA!$A$6:$A$265,0)),"?"))))</f>
        <v/>
      </c>
    </row>
    <row r="3966" customFormat="false" ht="15" hidden="false" customHeight="false" outlineLevel="0" collapsed="false">
      <c r="A3966" s="37"/>
      <c r="B3966" s="44"/>
      <c r="C3966" s="44"/>
      <c r="D3966" s="44"/>
      <c r="E3966" s="44"/>
      <c r="F3966" s="44"/>
      <c r="G3966" s="42"/>
      <c r="H3966" s="42"/>
      <c r="I3966" s="44"/>
      <c r="J3966" s="11" t="str">
        <f aca="false">IF(D3966="","",N(G3966)-N(H3966))</f>
        <v/>
      </c>
      <c r="K3966" s="34" t="str">
        <f aca="false">IF(D3966="","",IFERROR(INDEX(I_COA!$C$6:$C$265,MATCH(D3966,I_COA!$A$6:$A$265,0)),"AKUN BARU"))</f>
        <v/>
      </c>
      <c r="L3966" s="34" t="str">
        <f aca="false">IF(K3966="LabaRugi",INDEX(I_COA!$D$6:$D$265,MATCH(D3966,I_COA!$A$6:$A$265,0)),"")</f>
        <v/>
      </c>
      <c r="M3966" s="34" t="str">
        <f aca="false">IF(K3966="Neraca",INDEX(I_COA!$E$6:$E$265,MATCH(D3966,I_COA!$A$6:$A$265,0)),"")</f>
        <v/>
      </c>
      <c r="N3966" s="34" t="str">
        <f aca="false">IF(D3966="","",IFERROR(INDEX(I_COA!$G$6:$G$265,MATCH(D3966,I_COA!$A$6:$A$265,0)),"N"))</f>
        <v/>
      </c>
      <c r="O3966" s="11" t="str">
        <f aca="false">IF(N3966="N",ABS(J3966),"")</f>
        <v/>
      </c>
      <c r="P3966" s="18" t="str">
        <f aca="false">IF(N3966="N",B3966&amp;"|"&amp;ROUND(O3966,0),"")</f>
        <v/>
      </c>
      <c r="Q3966" s="18" t="str">
        <f aca="false">IF(N3966&lt;&gt;"Y","",IFERROR(INDEX($D$6:$D$4005,MATCH(B3966&amp;"|"&amp;ROUND(_xlfn.MAXIFS($O$6:$O$4005,$B$6:$B$4005,B3966,$N$6:$N$4005,"N"),0),$P$6:$P$4005,0)),"(tanpa lawan)"))</f>
        <v/>
      </c>
      <c r="R3966" s="44"/>
      <c r="S3966" s="9" t="str">
        <f aca="false">IF(N3966&lt;&gt;"Y","",IF(R3966&lt;&gt;"",R3966,IF(Q3966="(tanpa lawan)","Transfer antar rekening",IFERROR(INDEX(I_COA!$F$6:$F$265,MATCH(Q3966,I_COA!$A$6:$A$265,0)),"?"))))</f>
        <v/>
      </c>
    </row>
    <row r="3967" customFormat="false" ht="15" hidden="false" customHeight="false" outlineLevel="0" collapsed="false">
      <c r="A3967" s="37"/>
      <c r="B3967" s="44"/>
      <c r="C3967" s="44"/>
      <c r="D3967" s="44"/>
      <c r="E3967" s="44"/>
      <c r="F3967" s="44"/>
      <c r="G3967" s="42"/>
      <c r="H3967" s="42"/>
      <c r="I3967" s="44"/>
      <c r="J3967" s="11" t="str">
        <f aca="false">IF(D3967="","",N(G3967)-N(H3967))</f>
        <v/>
      </c>
      <c r="K3967" s="34" t="str">
        <f aca="false">IF(D3967="","",IFERROR(INDEX(I_COA!$C$6:$C$265,MATCH(D3967,I_COA!$A$6:$A$265,0)),"AKUN BARU"))</f>
        <v/>
      </c>
      <c r="L3967" s="34" t="str">
        <f aca="false">IF(K3967="LabaRugi",INDEX(I_COA!$D$6:$D$265,MATCH(D3967,I_COA!$A$6:$A$265,0)),"")</f>
        <v/>
      </c>
      <c r="M3967" s="34" t="str">
        <f aca="false">IF(K3967="Neraca",INDEX(I_COA!$E$6:$E$265,MATCH(D3967,I_COA!$A$6:$A$265,0)),"")</f>
        <v/>
      </c>
      <c r="N3967" s="34" t="str">
        <f aca="false">IF(D3967="","",IFERROR(INDEX(I_COA!$G$6:$G$265,MATCH(D3967,I_COA!$A$6:$A$265,0)),"N"))</f>
        <v/>
      </c>
      <c r="O3967" s="11" t="str">
        <f aca="false">IF(N3967="N",ABS(J3967),"")</f>
        <v/>
      </c>
      <c r="P3967" s="18" t="str">
        <f aca="false">IF(N3967="N",B3967&amp;"|"&amp;ROUND(O3967,0),"")</f>
        <v/>
      </c>
      <c r="Q3967" s="18" t="str">
        <f aca="false">IF(N3967&lt;&gt;"Y","",IFERROR(INDEX($D$6:$D$4005,MATCH(B3967&amp;"|"&amp;ROUND(_xlfn.MAXIFS($O$6:$O$4005,$B$6:$B$4005,B3967,$N$6:$N$4005,"N"),0),$P$6:$P$4005,0)),"(tanpa lawan)"))</f>
        <v/>
      </c>
      <c r="R3967" s="44"/>
      <c r="S3967" s="9" t="str">
        <f aca="false">IF(N3967&lt;&gt;"Y","",IF(R3967&lt;&gt;"",R3967,IF(Q3967="(tanpa lawan)","Transfer antar rekening",IFERROR(INDEX(I_COA!$F$6:$F$265,MATCH(Q3967,I_COA!$A$6:$A$265,0)),"?"))))</f>
        <v/>
      </c>
    </row>
    <row r="3968" customFormat="false" ht="15" hidden="false" customHeight="false" outlineLevel="0" collapsed="false">
      <c r="A3968" s="37"/>
      <c r="B3968" s="44"/>
      <c r="C3968" s="44"/>
      <c r="D3968" s="44"/>
      <c r="E3968" s="44"/>
      <c r="F3968" s="44"/>
      <c r="G3968" s="42"/>
      <c r="H3968" s="42"/>
      <c r="I3968" s="44"/>
      <c r="J3968" s="11" t="str">
        <f aca="false">IF(D3968="","",N(G3968)-N(H3968))</f>
        <v/>
      </c>
      <c r="K3968" s="34" t="str">
        <f aca="false">IF(D3968="","",IFERROR(INDEX(I_COA!$C$6:$C$265,MATCH(D3968,I_COA!$A$6:$A$265,0)),"AKUN BARU"))</f>
        <v/>
      </c>
      <c r="L3968" s="34" t="str">
        <f aca="false">IF(K3968="LabaRugi",INDEX(I_COA!$D$6:$D$265,MATCH(D3968,I_COA!$A$6:$A$265,0)),"")</f>
        <v/>
      </c>
      <c r="M3968" s="34" t="str">
        <f aca="false">IF(K3968="Neraca",INDEX(I_COA!$E$6:$E$265,MATCH(D3968,I_COA!$A$6:$A$265,0)),"")</f>
        <v/>
      </c>
      <c r="N3968" s="34" t="str">
        <f aca="false">IF(D3968="","",IFERROR(INDEX(I_COA!$G$6:$G$265,MATCH(D3968,I_COA!$A$6:$A$265,0)),"N"))</f>
        <v/>
      </c>
      <c r="O3968" s="11" t="str">
        <f aca="false">IF(N3968="N",ABS(J3968),"")</f>
        <v/>
      </c>
      <c r="P3968" s="18" t="str">
        <f aca="false">IF(N3968="N",B3968&amp;"|"&amp;ROUND(O3968,0),"")</f>
        <v/>
      </c>
      <c r="Q3968" s="18" t="str">
        <f aca="false">IF(N3968&lt;&gt;"Y","",IFERROR(INDEX($D$6:$D$4005,MATCH(B3968&amp;"|"&amp;ROUND(_xlfn.MAXIFS($O$6:$O$4005,$B$6:$B$4005,B3968,$N$6:$N$4005,"N"),0),$P$6:$P$4005,0)),"(tanpa lawan)"))</f>
        <v/>
      </c>
      <c r="R3968" s="44"/>
      <c r="S3968" s="9" t="str">
        <f aca="false">IF(N3968&lt;&gt;"Y","",IF(R3968&lt;&gt;"",R3968,IF(Q3968="(tanpa lawan)","Transfer antar rekening",IFERROR(INDEX(I_COA!$F$6:$F$265,MATCH(Q3968,I_COA!$A$6:$A$265,0)),"?"))))</f>
        <v/>
      </c>
    </row>
    <row r="3969" customFormat="false" ht="15" hidden="false" customHeight="false" outlineLevel="0" collapsed="false">
      <c r="A3969" s="37"/>
      <c r="B3969" s="44"/>
      <c r="C3969" s="44"/>
      <c r="D3969" s="44"/>
      <c r="E3969" s="44"/>
      <c r="F3969" s="44"/>
      <c r="G3969" s="42"/>
      <c r="H3969" s="42"/>
      <c r="I3969" s="44"/>
      <c r="J3969" s="11" t="str">
        <f aca="false">IF(D3969="","",N(G3969)-N(H3969))</f>
        <v/>
      </c>
      <c r="K3969" s="34" t="str">
        <f aca="false">IF(D3969="","",IFERROR(INDEX(I_COA!$C$6:$C$265,MATCH(D3969,I_COA!$A$6:$A$265,0)),"AKUN BARU"))</f>
        <v/>
      </c>
      <c r="L3969" s="34" t="str">
        <f aca="false">IF(K3969="LabaRugi",INDEX(I_COA!$D$6:$D$265,MATCH(D3969,I_COA!$A$6:$A$265,0)),"")</f>
        <v/>
      </c>
      <c r="M3969" s="34" t="str">
        <f aca="false">IF(K3969="Neraca",INDEX(I_COA!$E$6:$E$265,MATCH(D3969,I_COA!$A$6:$A$265,0)),"")</f>
        <v/>
      </c>
      <c r="N3969" s="34" t="str">
        <f aca="false">IF(D3969="","",IFERROR(INDEX(I_COA!$G$6:$G$265,MATCH(D3969,I_COA!$A$6:$A$265,0)),"N"))</f>
        <v/>
      </c>
      <c r="O3969" s="11" t="str">
        <f aca="false">IF(N3969="N",ABS(J3969),"")</f>
        <v/>
      </c>
      <c r="P3969" s="18" t="str">
        <f aca="false">IF(N3969="N",B3969&amp;"|"&amp;ROUND(O3969,0),"")</f>
        <v/>
      </c>
      <c r="Q3969" s="18" t="str">
        <f aca="false">IF(N3969&lt;&gt;"Y","",IFERROR(INDEX($D$6:$D$4005,MATCH(B3969&amp;"|"&amp;ROUND(_xlfn.MAXIFS($O$6:$O$4005,$B$6:$B$4005,B3969,$N$6:$N$4005,"N"),0),$P$6:$P$4005,0)),"(tanpa lawan)"))</f>
        <v/>
      </c>
      <c r="R3969" s="44"/>
      <c r="S3969" s="9" t="str">
        <f aca="false">IF(N3969&lt;&gt;"Y","",IF(R3969&lt;&gt;"",R3969,IF(Q3969="(tanpa lawan)","Transfer antar rekening",IFERROR(INDEX(I_COA!$F$6:$F$265,MATCH(Q3969,I_COA!$A$6:$A$265,0)),"?"))))</f>
        <v/>
      </c>
    </row>
    <row r="3970" customFormat="false" ht="15" hidden="false" customHeight="false" outlineLevel="0" collapsed="false">
      <c r="A3970" s="37"/>
      <c r="B3970" s="44"/>
      <c r="C3970" s="44"/>
      <c r="D3970" s="44"/>
      <c r="E3970" s="44"/>
      <c r="F3970" s="44"/>
      <c r="G3970" s="42"/>
      <c r="H3970" s="42"/>
      <c r="I3970" s="44"/>
      <c r="J3970" s="11" t="str">
        <f aca="false">IF(D3970="","",N(G3970)-N(H3970))</f>
        <v/>
      </c>
      <c r="K3970" s="34" t="str">
        <f aca="false">IF(D3970="","",IFERROR(INDEX(I_COA!$C$6:$C$265,MATCH(D3970,I_COA!$A$6:$A$265,0)),"AKUN BARU"))</f>
        <v/>
      </c>
      <c r="L3970" s="34" t="str">
        <f aca="false">IF(K3970="LabaRugi",INDEX(I_COA!$D$6:$D$265,MATCH(D3970,I_COA!$A$6:$A$265,0)),"")</f>
        <v/>
      </c>
      <c r="M3970" s="34" t="str">
        <f aca="false">IF(K3970="Neraca",INDEX(I_COA!$E$6:$E$265,MATCH(D3970,I_COA!$A$6:$A$265,0)),"")</f>
        <v/>
      </c>
      <c r="N3970" s="34" t="str">
        <f aca="false">IF(D3970="","",IFERROR(INDEX(I_COA!$G$6:$G$265,MATCH(D3970,I_COA!$A$6:$A$265,0)),"N"))</f>
        <v/>
      </c>
      <c r="O3970" s="11" t="str">
        <f aca="false">IF(N3970="N",ABS(J3970),"")</f>
        <v/>
      </c>
      <c r="P3970" s="18" t="str">
        <f aca="false">IF(N3970="N",B3970&amp;"|"&amp;ROUND(O3970,0),"")</f>
        <v/>
      </c>
      <c r="Q3970" s="18" t="str">
        <f aca="false">IF(N3970&lt;&gt;"Y","",IFERROR(INDEX($D$6:$D$4005,MATCH(B3970&amp;"|"&amp;ROUND(_xlfn.MAXIFS($O$6:$O$4005,$B$6:$B$4005,B3970,$N$6:$N$4005,"N"),0),$P$6:$P$4005,0)),"(tanpa lawan)"))</f>
        <v/>
      </c>
      <c r="R3970" s="44"/>
      <c r="S3970" s="9" t="str">
        <f aca="false">IF(N3970&lt;&gt;"Y","",IF(R3970&lt;&gt;"",R3970,IF(Q3970="(tanpa lawan)","Transfer antar rekening",IFERROR(INDEX(I_COA!$F$6:$F$265,MATCH(Q3970,I_COA!$A$6:$A$265,0)),"?"))))</f>
        <v/>
      </c>
    </row>
    <row r="3971" customFormat="false" ht="15" hidden="false" customHeight="false" outlineLevel="0" collapsed="false">
      <c r="A3971" s="37"/>
      <c r="B3971" s="44"/>
      <c r="C3971" s="44"/>
      <c r="D3971" s="44"/>
      <c r="E3971" s="44"/>
      <c r="F3971" s="44"/>
      <c r="G3971" s="42"/>
      <c r="H3971" s="42"/>
      <c r="I3971" s="44"/>
      <c r="J3971" s="11" t="str">
        <f aca="false">IF(D3971="","",N(G3971)-N(H3971))</f>
        <v/>
      </c>
      <c r="K3971" s="34" t="str">
        <f aca="false">IF(D3971="","",IFERROR(INDEX(I_COA!$C$6:$C$265,MATCH(D3971,I_COA!$A$6:$A$265,0)),"AKUN BARU"))</f>
        <v/>
      </c>
      <c r="L3971" s="34" t="str">
        <f aca="false">IF(K3971="LabaRugi",INDEX(I_COA!$D$6:$D$265,MATCH(D3971,I_COA!$A$6:$A$265,0)),"")</f>
        <v/>
      </c>
      <c r="M3971" s="34" t="str">
        <f aca="false">IF(K3971="Neraca",INDEX(I_COA!$E$6:$E$265,MATCH(D3971,I_COA!$A$6:$A$265,0)),"")</f>
        <v/>
      </c>
      <c r="N3971" s="34" t="str">
        <f aca="false">IF(D3971="","",IFERROR(INDEX(I_COA!$G$6:$G$265,MATCH(D3971,I_COA!$A$6:$A$265,0)),"N"))</f>
        <v/>
      </c>
      <c r="O3971" s="11" t="str">
        <f aca="false">IF(N3971="N",ABS(J3971),"")</f>
        <v/>
      </c>
      <c r="P3971" s="18" t="str">
        <f aca="false">IF(N3971="N",B3971&amp;"|"&amp;ROUND(O3971,0),"")</f>
        <v/>
      </c>
      <c r="Q3971" s="18" t="str">
        <f aca="false">IF(N3971&lt;&gt;"Y","",IFERROR(INDEX($D$6:$D$4005,MATCH(B3971&amp;"|"&amp;ROUND(_xlfn.MAXIFS($O$6:$O$4005,$B$6:$B$4005,B3971,$N$6:$N$4005,"N"),0),$P$6:$P$4005,0)),"(tanpa lawan)"))</f>
        <v/>
      </c>
      <c r="R3971" s="44"/>
      <c r="S3971" s="9" t="str">
        <f aca="false">IF(N3971&lt;&gt;"Y","",IF(R3971&lt;&gt;"",R3971,IF(Q3971="(tanpa lawan)","Transfer antar rekening",IFERROR(INDEX(I_COA!$F$6:$F$265,MATCH(Q3971,I_COA!$A$6:$A$265,0)),"?"))))</f>
        <v/>
      </c>
    </row>
    <row r="3972" customFormat="false" ht="15" hidden="false" customHeight="false" outlineLevel="0" collapsed="false">
      <c r="A3972" s="37"/>
      <c r="B3972" s="44"/>
      <c r="C3972" s="44"/>
      <c r="D3972" s="44"/>
      <c r="E3972" s="44"/>
      <c r="F3972" s="44"/>
      <c r="G3972" s="42"/>
      <c r="H3972" s="42"/>
      <c r="I3972" s="44"/>
      <c r="J3972" s="11" t="str">
        <f aca="false">IF(D3972="","",N(G3972)-N(H3972))</f>
        <v/>
      </c>
      <c r="K3972" s="34" t="str">
        <f aca="false">IF(D3972="","",IFERROR(INDEX(I_COA!$C$6:$C$265,MATCH(D3972,I_COA!$A$6:$A$265,0)),"AKUN BARU"))</f>
        <v/>
      </c>
      <c r="L3972" s="34" t="str">
        <f aca="false">IF(K3972="LabaRugi",INDEX(I_COA!$D$6:$D$265,MATCH(D3972,I_COA!$A$6:$A$265,0)),"")</f>
        <v/>
      </c>
      <c r="M3972" s="34" t="str">
        <f aca="false">IF(K3972="Neraca",INDEX(I_COA!$E$6:$E$265,MATCH(D3972,I_COA!$A$6:$A$265,0)),"")</f>
        <v/>
      </c>
      <c r="N3972" s="34" t="str">
        <f aca="false">IF(D3972="","",IFERROR(INDEX(I_COA!$G$6:$G$265,MATCH(D3972,I_COA!$A$6:$A$265,0)),"N"))</f>
        <v/>
      </c>
      <c r="O3972" s="11" t="str">
        <f aca="false">IF(N3972="N",ABS(J3972),"")</f>
        <v/>
      </c>
      <c r="P3972" s="18" t="str">
        <f aca="false">IF(N3972="N",B3972&amp;"|"&amp;ROUND(O3972,0),"")</f>
        <v/>
      </c>
      <c r="Q3972" s="18" t="str">
        <f aca="false">IF(N3972&lt;&gt;"Y","",IFERROR(INDEX($D$6:$D$4005,MATCH(B3972&amp;"|"&amp;ROUND(_xlfn.MAXIFS($O$6:$O$4005,$B$6:$B$4005,B3972,$N$6:$N$4005,"N"),0),$P$6:$P$4005,0)),"(tanpa lawan)"))</f>
        <v/>
      </c>
      <c r="R3972" s="44"/>
      <c r="S3972" s="9" t="str">
        <f aca="false">IF(N3972&lt;&gt;"Y","",IF(R3972&lt;&gt;"",R3972,IF(Q3972="(tanpa lawan)","Transfer antar rekening",IFERROR(INDEX(I_COA!$F$6:$F$265,MATCH(Q3972,I_COA!$A$6:$A$265,0)),"?"))))</f>
        <v/>
      </c>
    </row>
    <row r="3973" customFormat="false" ht="15" hidden="false" customHeight="false" outlineLevel="0" collapsed="false">
      <c r="A3973" s="37"/>
      <c r="B3973" s="44"/>
      <c r="C3973" s="44"/>
      <c r="D3973" s="44"/>
      <c r="E3973" s="44"/>
      <c r="F3973" s="44"/>
      <c r="G3973" s="42"/>
      <c r="H3973" s="42"/>
      <c r="I3973" s="44"/>
      <c r="J3973" s="11" t="str">
        <f aca="false">IF(D3973="","",N(G3973)-N(H3973))</f>
        <v/>
      </c>
      <c r="K3973" s="34" t="str">
        <f aca="false">IF(D3973="","",IFERROR(INDEX(I_COA!$C$6:$C$265,MATCH(D3973,I_COA!$A$6:$A$265,0)),"AKUN BARU"))</f>
        <v/>
      </c>
      <c r="L3973" s="34" t="str">
        <f aca="false">IF(K3973="LabaRugi",INDEX(I_COA!$D$6:$D$265,MATCH(D3973,I_COA!$A$6:$A$265,0)),"")</f>
        <v/>
      </c>
      <c r="M3973" s="34" t="str">
        <f aca="false">IF(K3973="Neraca",INDEX(I_COA!$E$6:$E$265,MATCH(D3973,I_COA!$A$6:$A$265,0)),"")</f>
        <v/>
      </c>
      <c r="N3973" s="34" t="str">
        <f aca="false">IF(D3973="","",IFERROR(INDEX(I_COA!$G$6:$G$265,MATCH(D3973,I_COA!$A$6:$A$265,0)),"N"))</f>
        <v/>
      </c>
      <c r="O3973" s="11" t="str">
        <f aca="false">IF(N3973="N",ABS(J3973),"")</f>
        <v/>
      </c>
      <c r="P3973" s="18" t="str">
        <f aca="false">IF(N3973="N",B3973&amp;"|"&amp;ROUND(O3973,0),"")</f>
        <v/>
      </c>
      <c r="Q3973" s="18" t="str">
        <f aca="false">IF(N3973&lt;&gt;"Y","",IFERROR(INDEX($D$6:$D$4005,MATCH(B3973&amp;"|"&amp;ROUND(_xlfn.MAXIFS($O$6:$O$4005,$B$6:$B$4005,B3973,$N$6:$N$4005,"N"),0),$P$6:$P$4005,0)),"(tanpa lawan)"))</f>
        <v/>
      </c>
      <c r="R3973" s="44"/>
      <c r="S3973" s="9" t="str">
        <f aca="false">IF(N3973&lt;&gt;"Y","",IF(R3973&lt;&gt;"",R3973,IF(Q3973="(tanpa lawan)","Transfer antar rekening",IFERROR(INDEX(I_COA!$F$6:$F$265,MATCH(Q3973,I_COA!$A$6:$A$265,0)),"?"))))</f>
        <v/>
      </c>
    </row>
    <row r="3974" customFormat="false" ht="15" hidden="false" customHeight="false" outlineLevel="0" collapsed="false">
      <c r="A3974" s="37"/>
      <c r="B3974" s="44"/>
      <c r="C3974" s="44"/>
      <c r="D3974" s="44"/>
      <c r="E3974" s="44"/>
      <c r="F3974" s="44"/>
      <c r="G3974" s="42"/>
      <c r="H3974" s="42"/>
      <c r="I3974" s="44"/>
      <c r="J3974" s="11" t="str">
        <f aca="false">IF(D3974="","",N(G3974)-N(H3974))</f>
        <v/>
      </c>
      <c r="K3974" s="34" t="str">
        <f aca="false">IF(D3974="","",IFERROR(INDEX(I_COA!$C$6:$C$265,MATCH(D3974,I_COA!$A$6:$A$265,0)),"AKUN BARU"))</f>
        <v/>
      </c>
      <c r="L3974" s="34" t="str">
        <f aca="false">IF(K3974="LabaRugi",INDEX(I_COA!$D$6:$D$265,MATCH(D3974,I_COA!$A$6:$A$265,0)),"")</f>
        <v/>
      </c>
      <c r="M3974" s="34" t="str">
        <f aca="false">IF(K3974="Neraca",INDEX(I_COA!$E$6:$E$265,MATCH(D3974,I_COA!$A$6:$A$265,0)),"")</f>
        <v/>
      </c>
      <c r="N3974" s="34" t="str">
        <f aca="false">IF(D3974="","",IFERROR(INDEX(I_COA!$G$6:$G$265,MATCH(D3974,I_COA!$A$6:$A$265,0)),"N"))</f>
        <v/>
      </c>
      <c r="O3974" s="11" t="str">
        <f aca="false">IF(N3974="N",ABS(J3974),"")</f>
        <v/>
      </c>
      <c r="P3974" s="18" t="str">
        <f aca="false">IF(N3974="N",B3974&amp;"|"&amp;ROUND(O3974,0),"")</f>
        <v/>
      </c>
      <c r="Q3974" s="18" t="str">
        <f aca="false">IF(N3974&lt;&gt;"Y","",IFERROR(INDEX($D$6:$D$4005,MATCH(B3974&amp;"|"&amp;ROUND(_xlfn.MAXIFS($O$6:$O$4005,$B$6:$B$4005,B3974,$N$6:$N$4005,"N"),0),$P$6:$P$4005,0)),"(tanpa lawan)"))</f>
        <v/>
      </c>
      <c r="R3974" s="44"/>
      <c r="S3974" s="9" t="str">
        <f aca="false">IF(N3974&lt;&gt;"Y","",IF(R3974&lt;&gt;"",R3974,IF(Q3974="(tanpa lawan)","Transfer antar rekening",IFERROR(INDEX(I_COA!$F$6:$F$265,MATCH(Q3974,I_COA!$A$6:$A$265,0)),"?"))))</f>
        <v/>
      </c>
    </row>
    <row r="3975" customFormat="false" ht="15" hidden="false" customHeight="false" outlineLevel="0" collapsed="false">
      <c r="A3975" s="37"/>
      <c r="B3975" s="44"/>
      <c r="C3975" s="44"/>
      <c r="D3975" s="44"/>
      <c r="E3975" s="44"/>
      <c r="F3975" s="44"/>
      <c r="G3975" s="42"/>
      <c r="H3975" s="42"/>
      <c r="I3975" s="44"/>
      <c r="J3975" s="11" t="str">
        <f aca="false">IF(D3975="","",N(G3975)-N(H3975))</f>
        <v/>
      </c>
      <c r="K3975" s="34" t="str">
        <f aca="false">IF(D3975="","",IFERROR(INDEX(I_COA!$C$6:$C$265,MATCH(D3975,I_COA!$A$6:$A$265,0)),"AKUN BARU"))</f>
        <v/>
      </c>
      <c r="L3975" s="34" t="str">
        <f aca="false">IF(K3975="LabaRugi",INDEX(I_COA!$D$6:$D$265,MATCH(D3975,I_COA!$A$6:$A$265,0)),"")</f>
        <v/>
      </c>
      <c r="M3975" s="34" t="str">
        <f aca="false">IF(K3975="Neraca",INDEX(I_COA!$E$6:$E$265,MATCH(D3975,I_COA!$A$6:$A$265,0)),"")</f>
        <v/>
      </c>
      <c r="N3975" s="34" t="str">
        <f aca="false">IF(D3975="","",IFERROR(INDEX(I_COA!$G$6:$G$265,MATCH(D3975,I_COA!$A$6:$A$265,0)),"N"))</f>
        <v/>
      </c>
      <c r="O3975" s="11" t="str">
        <f aca="false">IF(N3975="N",ABS(J3975),"")</f>
        <v/>
      </c>
      <c r="P3975" s="18" t="str">
        <f aca="false">IF(N3975="N",B3975&amp;"|"&amp;ROUND(O3975,0),"")</f>
        <v/>
      </c>
      <c r="Q3975" s="18" t="str">
        <f aca="false">IF(N3975&lt;&gt;"Y","",IFERROR(INDEX($D$6:$D$4005,MATCH(B3975&amp;"|"&amp;ROUND(_xlfn.MAXIFS($O$6:$O$4005,$B$6:$B$4005,B3975,$N$6:$N$4005,"N"),0),$P$6:$P$4005,0)),"(tanpa lawan)"))</f>
        <v/>
      </c>
      <c r="R3975" s="44"/>
      <c r="S3975" s="9" t="str">
        <f aca="false">IF(N3975&lt;&gt;"Y","",IF(R3975&lt;&gt;"",R3975,IF(Q3975="(tanpa lawan)","Transfer antar rekening",IFERROR(INDEX(I_COA!$F$6:$F$265,MATCH(Q3975,I_COA!$A$6:$A$265,0)),"?"))))</f>
        <v/>
      </c>
    </row>
    <row r="3976" customFormat="false" ht="15" hidden="false" customHeight="false" outlineLevel="0" collapsed="false">
      <c r="A3976" s="37"/>
      <c r="B3976" s="44"/>
      <c r="C3976" s="44"/>
      <c r="D3976" s="44"/>
      <c r="E3976" s="44"/>
      <c r="F3976" s="44"/>
      <c r="G3976" s="42"/>
      <c r="H3976" s="42"/>
      <c r="I3976" s="44"/>
      <c r="J3976" s="11" t="str">
        <f aca="false">IF(D3976="","",N(G3976)-N(H3976))</f>
        <v/>
      </c>
      <c r="K3976" s="34" t="str">
        <f aca="false">IF(D3976="","",IFERROR(INDEX(I_COA!$C$6:$C$265,MATCH(D3976,I_COA!$A$6:$A$265,0)),"AKUN BARU"))</f>
        <v/>
      </c>
      <c r="L3976" s="34" t="str">
        <f aca="false">IF(K3976="LabaRugi",INDEX(I_COA!$D$6:$D$265,MATCH(D3976,I_COA!$A$6:$A$265,0)),"")</f>
        <v/>
      </c>
      <c r="M3976" s="34" t="str">
        <f aca="false">IF(K3976="Neraca",INDEX(I_COA!$E$6:$E$265,MATCH(D3976,I_COA!$A$6:$A$265,0)),"")</f>
        <v/>
      </c>
      <c r="N3976" s="34" t="str">
        <f aca="false">IF(D3976="","",IFERROR(INDEX(I_COA!$G$6:$G$265,MATCH(D3976,I_COA!$A$6:$A$265,0)),"N"))</f>
        <v/>
      </c>
      <c r="O3976" s="11" t="str">
        <f aca="false">IF(N3976="N",ABS(J3976),"")</f>
        <v/>
      </c>
      <c r="P3976" s="18" t="str">
        <f aca="false">IF(N3976="N",B3976&amp;"|"&amp;ROUND(O3976,0),"")</f>
        <v/>
      </c>
      <c r="Q3976" s="18" t="str">
        <f aca="false">IF(N3976&lt;&gt;"Y","",IFERROR(INDEX($D$6:$D$4005,MATCH(B3976&amp;"|"&amp;ROUND(_xlfn.MAXIFS($O$6:$O$4005,$B$6:$B$4005,B3976,$N$6:$N$4005,"N"),0),$P$6:$P$4005,0)),"(tanpa lawan)"))</f>
        <v/>
      </c>
      <c r="R3976" s="44"/>
      <c r="S3976" s="9" t="str">
        <f aca="false">IF(N3976&lt;&gt;"Y","",IF(R3976&lt;&gt;"",R3976,IF(Q3976="(tanpa lawan)","Transfer antar rekening",IFERROR(INDEX(I_COA!$F$6:$F$265,MATCH(Q3976,I_COA!$A$6:$A$265,0)),"?"))))</f>
        <v/>
      </c>
    </row>
    <row r="3977" customFormat="false" ht="15" hidden="false" customHeight="false" outlineLevel="0" collapsed="false">
      <c r="A3977" s="37"/>
      <c r="B3977" s="44"/>
      <c r="C3977" s="44"/>
      <c r="D3977" s="44"/>
      <c r="E3977" s="44"/>
      <c r="F3977" s="44"/>
      <c r="G3977" s="42"/>
      <c r="H3977" s="42"/>
      <c r="I3977" s="44"/>
      <c r="J3977" s="11" t="str">
        <f aca="false">IF(D3977="","",N(G3977)-N(H3977))</f>
        <v/>
      </c>
      <c r="K3977" s="34" t="str">
        <f aca="false">IF(D3977="","",IFERROR(INDEX(I_COA!$C$6:$C$265,MATCH(D3977,I_COA!$A$6:$A$265,0)),"AKUN BARU"))</f>
        <v/>
      </c>
      <c r="L3977" s="34" t="str">
        <f aca="false">IF(K3977="LabaRugi",INDEX(I_COA!$D$6:$D$265,MATCH(D3977,I_COA!$A$6:$A$265,0)),"")</f>
        <v/>
      </c>
      <c r="M3977" s="34" t="str">
        <f aca="false">IF(K3977="Neraca",INDEX(I_COA!$E$6:$E$265,MATCH(D3977,I_COA!$A$6:$A$265,0)),"")</f>
        <v/>
      </c>
      <c r="N3977" s="34" t="str">
        <f aca="false">IF(D3977="","",IFERROR(INDEX(I_COA!$G$6:$G$265,MATCH(D3977,I_COA!$A$6:$A$265,0)),"N"))</f>
        <v/>
      </c>
      <c r="O3977" s="11" t="str">
        <f aca="false">IF(N3977="N",ABS(J3977),"")</f>
        <v/>
      </c>
      <c r="P3977" s="18" t="str">
        <f aca="false">IF(N3977="N",B3977&amp;"|"&amp;ROUND(O3977,0),"")</f>
        <v/>
      </c>
      <c r="Q3977" s="18" t="str">
        <f aca="false">IF(N3977&lt;&gt;"Y","",IFERROR(INDEX($D$6:$D$4005,MATCH(B3977&amp;"|"&amp;ROUND(_xlfn.MAXIFS($O$6:$O$4005,$B$6:$B$4005,B3977,$N$6:$N$4005,"N"),0),$P$6:$P$4005,0)),"(tanpa lawan)"))</f>
        <v/>
      </c>
      <c r="R3977" s="44"/>
      <c r="S3977" s="9" t="str">
        <f aca="false">IF(N3977&lt;&gt;"Y","",IF(R3977&lt;&gt;"",R3977,IF(Q3977="(tanpa lawan)","Transfer antar rekening",IFERROR(INDEX(I_COA!$F$6:$F$265,MATCH(Q3977,I_COA!$A$6:$A$265,0)),"?"))))</f>
        <v/>
      </c>
    </row>
    <row r="3978" customFormat="false" ht="15" hidden="false" customHeight="false" outlineLevel="0" collapsed="false">
      <c r="A3978" s="37"/>
      <c r="B3978" s="44"/>
      <c r="C3978" s="44"/>
      <c r="D3978" s="44"/>
      <c r="E3978" s="44"/>
      <c r="F3978" s="44"/>
      <c r="G3978" s="42"/>
      <c r="H3978" s="42"/>
      <c r="I3978" s="44"/>
      <c r="J3978" s="11" t="str">
        <f aca="false">IF(D3978="","",N(G3978)-N(H3978))</f>
        <v/>
      </c>
      <c r="K3978" s="34" t="str">
        <f aca="false">IF(D3978="","",IFERROR(INDEX(I_COA!$C$6:$C$265,MATCH(D3978,I_COA!$A$6:$A$265,0)),"AKUN BARU"))</f>
        <v/>
      </c>
      <c r="L3978" s="34" t="str">
        <f aca="false">IF(K3978="LabaRugi",INDEX(I_COA!$D$6:$D$265,MATCH(D3978,I_COA!$A$6:$A$265,0)),"")</f>
        <v/>
      </c>
      <c r="M3978" s="34" t="str">
        <f aca="false">IF(K3978="Neraca",INDEX(I_COA!$E$6:$E$265,MATCH(D3978,I_COA!$A$6:$A$265,0)),"")</f>
        <v/>
      </c>
      <c r="N3978" s="34" t="str">
        <f aca="false">IF(D3978="","",IFERROR(INDEX(I_COA!$G$6:$G$265,MATCH(D3978,I_COA!$A$6:$A$265,0)),"N"))</f>
        <v/>
      </c>
      <c r="O3978" s="11" t="str">
        <f aca="false">IF(N3978="N",ABS(J3978),"")</f>
        <v/>
      </c>
      <c r="P3978" s="18" t="str">
        <f aca="false">IF(N3978="N",B3978&amp;"|"&amp;ROUND(O3978,0),"")</f>
        <v/>
      </c>
      <c r="Q3978" s="18" t="str">
        <f aca="false">IF(N3978&lt;&gt;"Y","",IFERROR(INDEX($D$6:$D$4005,MATCH(B3978&amp;"|"&amp;ROUND(_xlfn.MAXIFS($O$6:$O$4005,$B$6:$B$4005,B3978,$N$6:$N$4005,"N"),0),$P$6:$P$4005,0)),"(tanpa lawan)"))</f>
        <v/>
      </c>
      <c r="R3978" s="44"/>
      <c r="S3978" s="9" t="str">
        <f aca="false">IF(N3978&lt;&gt;"Y","",IF(R3978&lt;&gt;"",R3978,IF(Q3978="(tanpa lawan)","Transfer antar rekening",IFERROR(INDEX(I_COA!$F$6:$F$265,MATCH(Q3978,I_COA!$A$6:$A$265,0)),"?"))))</f>
        <v/>
      </c>
    </row>
    <row r="3979" customFormat="false" ht="15" hidden="false" customHeight="false" outlineLevel="0" collapsed="false">
      <c r="A3979" s="37"/>
      <c r="B3979" s="44"/>
      <c r="C3979" s="44"/>
      <c r="D3979" s="44"/>
      <c r="E3979" s="44"/>
      <c r="F3979" s="44"/>
      <c r="G3979" s="42"/>
      <c r="H3979" s="42"/>
      <c r="I3979" s="44"/>
      <c r="J3979" s="11" t="str">
        <f aca="false">IF(D3979="","",N(G3979)-N(H3979))</f>
        <v/>
      </c>
      <c r="K3979" s="34" t="str">
        <f aca="false">IF(D3979="","",IFERROR(INDEX(I_COA!$C$6:$C$265,MATCH(D3979,I_COA!$A$6:$A$265,0)),"AKUN BARU"))</f>
        <v/>
      </c>
      <c r="L3979" s="34" t="str">
        <f aca="false">IF(K3979="LabaRugi",INDEX(I_COA!$D$6:$D$265,MATCH(D3979,I_COA!$A$6:$A$265,0)),"")</f>
        <v/>
      </c>
      <c r="M3979" s="34" t="str">
        <f aca="false">IF(K3979="Neraca",INDEX(I_COA!$E$6:$E$265,MATCH(D3979,I_COA!$A$6:$A$265,0)),"")</f>
        <v/>
      </c>
      <c r="N3979" s="34" t="str">
        <f aca="false">IF(D3979="","",IFERROR(INDEX(I_COA!$G$6:$G$265,MATCH(D3979,I_COA!$A$6:$A$265,0)),"N"))</f>
        <v/>
      </c>
      <c r="O3979" s="11" t="str">
        <f aca="false">IF(N3979="N",ABS(J3979),"")</f>
        <v/>
      </c>
      <c r="P3979" s="18" t="str">
        <f aca="false">IF(N3979="N",B3979&amp;"|"&amp;ROUND(O3979,0),"")</f>
        <v/>
      </c>
      <c r="Q3979" s="18" t="str">
        <f aca="false">IF(N3979&lt;&gt;"Y","",IFERROR(INDEX($D$6:$D$4005,MATCH(B3979&amp;"|"&amp;ROUND(_xlfn.MAXIFS($O$6:$O$4005,$B$6:$B$4005,B3979,$N$6:$N$4005,"N"),0),$P$6:$P$4005,0)),"(tanpa lawan)"))</f>
        <v/>
      </c>
      <c r="R3979" s="44"/>
      <c r="S3979" s="9" t="str">
        <f aca="false">IF(N3979&lt;&gt;"Y","",IF(R3979&lt;&gt;"",R3979,IF(Q3979="(tanpa lawan)","Transfer antar rekening",IFERROR(INDEX(I_COA!$F$6:$F$265,MATCH(Q3979,I_COA!$A$6:$A$265,0)),"?"))))</f>
        <v/>
      </c>
    </row>
    <row r="3980" customFormat="false" ht="15" hidden="false" customHeight="false" outlineLevel="0" collapsed="false">
      <c r="A3980" s="37"/>
      <c r="B3980" s="44"/>
      <c r="C3980" s="44"/>
      <c r="D3980" s="44"/>
      <c r="E3980" s="44"/>
      <c r="F3980" s="44"/>
      <c r="G3980" s="42"/>
      <c r="H3980" s="42"/>
      <c r="I3980" s="44"/>
      <c r="J3980" s="11" t="str">
        <f aca="false">IF(D3980="","",N(G3980)-N(H3980))</f>
        <v/>
      </c>
      <c r="K3980" s="34" t="str">
        <f aca="false">IF(D3980="","",IFERROR(INDEX(I_COA!$C$6:$C$265,MATCH(D3980,I_COA!$A$6:$A$265,0)),"AKUN BARU"))</f>
        <v/>
      </c>
      <c r="L3980" s="34" t="str">
        <f aca="false">IF(K3980="LabaRugi",INDEX(I_COA!$D$6:$D$265,MATCH(D3980,I_COA!$A$6:$A$265,0)),"")</f>
        <v/>
      </c>
      <c r="M3980" s="34" t="str">
        <f aca="false">IF(K3980="Neraca",INDEX(I_COA!$E$6:$E$265,MATCH(D3980,I_COA!$A$6:$A$265,0)),"")</f>
        <v/>
      </c>
      <c r="N3980" s="34" t="str">
        <f aca="false">IF(D3980="","",IFERROR(INDEX(I_COA!$G$6:$G$265,MATCH(D3980,I_COA!$A$6:$A$265,0)),"N"))</f>
        <v/>
      </c>
      <c r="O3980" s="11" t="str">
        <f aca="false">IF(N3980="N",ABS(J3980),"")</f>
        <v/>
      </c>
      <c r="P3980" s="18" t="str">
        <f aca="false">IF(N3980="N",B3980&amp;"|"&amp;ROUND(O3980,0),"")</f>
        <v/>
      </c>
      <c r="Q3980" s="18" t="str">
        <f aca="false">IF(N3980&lt;&gt;"Y","",IFERROR(INDEX($D$6:$D$4005,MATCH(B3980&amp;"|"&amp;ROUND(_xlfn.MAXIFS($O$6:$O$4005,$B$6:$B$4005,B3980,$N$6:$N$4005,"N"),0),$P$6:$P$4005,0)),"(tanpa lawan)"))</f>
        <v/>
      </c>
      <c r="R3980" s="44"/>
      <c r="S3980" s="9" t="str">
        <f aca="false">IF(N3980&lt;&gt;"Y","",IF(R3980&lt;&gt;"",R3980,IF(Q3980="(tanpa lawan)","Transfer antar rekening",IFERROR(INDEX(I_COA!$F$6:$F$265,MATCH(Q3980,I_COA!$A$6:$A$265,0)),"?"))))</f>
        <v/>
      </c>
    </row>
    <row r="3981" customFormat="false" ht="15" hidden="false" customHeight="false" outlineLevel="0" collapsed="false">
      <c r="A3981" s="37"/>
      <c r="B3981" s="44"/>
      <c r="C3981" s="44"/>
      <c r="D3981" s="44"/>
      <c r="E3981" s="44"/>
      <c r="F3981" s="44"/>
      <c r="G3981" s="42"/>
      <c r="H3981" s="42"/>
      <c r="I3981" s="44"/>
      <c r="J3981" s="11" t="str">
        <f aca="false">IF(D3981="","",N(G3981)-N(H3981))</f>
        <v/>
      </c>
      <c r="K3981" s="34" t="str">
        <f aca="false">IF(D3981="","",IFERROR(INDEX(I_COA!$C$6:$C$265,MATCH(D3981,I_COA!$A$6:$A$265,0)),"AKUN BARU"))</f>
        <v/>
      </c>
      <c r="L3981" s="34" t="str">
        <f aca="false">IF(K3981="LabaRugi",INDEX(I_COA!$D$6:$D$265,MATCH(D3981,I_COA!$A$6:$A$265,0)),"")</f>
        <v/>
      </c>
      <c r="M3981" s="34" t="str">
        <f aca="false">IF(K3981="Neraca",INDEX(I_COA!$E$6:$E$265,MATCH(D3981,I_COA!$A$6:$A$265,0)),"")</f>
        <v/>
      </c>
      <c r="N3981" s="34" t="str">
        <f aca="false">IF(D3981="","",IFERROR(INDEX(I_COA!$G$6:$G$265,MATCH(D3981,I_COA!$A$6:$A$265,0)),"N"))</f>
        <v/>
      </c>
      <c r="O3981" s="11" t="str">
        <f aca="false">IF(N3981="N",ABS(J3981),"")</f>
        <v/>
      </c>
      <c r="P3981" s="18" t="str">
        <f aca="false">IF(N3981="N",B3981&amp;"|"&amp;ROUND(O3981,0),"")</f>
        <v/>
      </c>
      <c r="Q3981" s="18" t="str">
        <f aca="false">IF(N3981&lt;&gt;"Y","",IFERROR(INDEX($D$6:$D$4005,MATCH(B3981&amp;"|"&amp;ROUND(_xlfn.MAXIFS($O$6:$O$4005,$B$6:$B$4005,B3981,$N$6:$N$4005,"N"),0),$P$6:$P$4005,0)),"(tanpa lawan)"))</f>
        <v/>
      </c>
      <c r="R3981" s="44"/>
      <c r="S3981" s="9" t="str">
        <f aca="false">IF(N3981&lt;&gt;"Y","",IF(R3981&lt;&gt;"",R3981,IF(Q3981="(tanpa lawan)","Transfer antar rekening",IFERROR(INDEX(I_COA!$F$6:$F$265,MATCH(Q3981,I_COA!$A$6:$A$265,0)),"?"))))</f>
        <v/>
      </c>
    </row>
    <row r="3982" customFormat="false" ht="15" hidden="false" customHeight="false" outlineLevel="0" collapsed="false">
      <c r="A3982" s="37"/>
      <c r="B3982" s="44"/>
      <c r="C3982" s="44"/>
      <c r="D3982" s="44"/>
      <c r="E3982" s="44"/>
      <c r="F3982" s="44"/>
      <c r="G3982" s="42"/>
      <c r="H3982" s="42"/>
      <c r="I3982" s="44"/>
      <c r="J3982" s="11" t="str">
        <f aca="false">IF(D3982="","",N(G3982)-N(H3982))</f>
        <v/>
      </c>
      <c r="K3982" s="34" t="str">
        <f aca="false">IF(D3982="","",IFERROR(INDEX(I_COA!$C$6:$C$265,MATCH(D3982,I_COA!$A$6:$A$265,0)),"AKUN BARU"))</f>
        <v/>
      </c>
      <c r="L3982" s="34" t="str">
        <f aca="false">IF(K3982="LabaRugi",INDEX(I_COA!$D$6:$D$265,MATCH(D3982,I_COA!$A$6:$A$265,0)),"")</f>
        <v/>
      </c>
      <c r="M3982" s="34" t="str">
        <f aca="false">IF(K3982="Neraca",INDEX(I_COA!$E$6:$E$265,MATCH(D3982,I_COA!$A$6:$A$265,0)),"")</f>
        <v/>
      </c>
      <c r="N3982" s="34" t="str">
        <f aca="false">IF(D3982="","",IFERROR(INDEX(I_COA!$G$6:$G$265,MATCH(D3982,I_COA!$A$6:$A$265,0)),"N"))</f>
        <v/>
      </c>
      <c r="O3982" s="11" t="str">
        <f aca="false">IF(N3982="N",ABS(J3982),"")</f>
        <v/>
      </c>
      <c r="P3982" s="18" t="str">
        <f aca="false">IF(N3982="N",B3982&amp;"|"&amp;ROUND(O3982,0),"")</f>
        <v/>
      </c>
      <c r="Q3982" s="18" t="str">
        <f aca="false">IF(N3982&lt;&gt;"Y","",IFERROR(INDEX($D$6:$D$4005,MATCH(B3982&amp;"|"&amp;ROUND(_xlfn.MAXIFS($O$6:$O$4005,$B$6:$B$4005,B3982,$N$6:$N$4005,"N"),0),$P$6:$P$4005,0)),"(tanpa lawan)"))</f>
        <v/>
      </c>
      <c r="R3982" s="44"/>
      <c r="S3982" s="9" t="str">
        <f aca="false">IF(N3982&lt;&gt;"Y","",IF(R3982&lt;&gt;"",R3982,IF(Q3982="(tanpa lawan)","Transfer antar rekening",IFERROR(INDEX(I_COA!$F$6:$F$265,MATCH(Q3982,I_COA!$A$6:$A$265,0)),"?"))))</f>
        <v/>
      </c>
    </row>
    <row r="3983" customFormat="false" ht="15" hidden="false" customHeight="false" outlineLevel="0" collapsed="false">
      <c r="A3983" s="37"/>
      <c r="B3983" s="44"/>
      <c r="C3983" s="44"/>
      <c r="D3983" s="44"/>
      <c r="E3983" s="44"/>
      <c r="F3983" s="44"/>
      <c r="G3983" s="42"/>
      <c r="H3983" s="42"/>
      <c r="I3983" s="44"/>
      <c r="J3983" s="11" t="str">
        <f aca="false">IF(D3983="","",N(G3983)-N(H3983))</f>
        <v/>
      </c>
      <c r="K3983" s="34" t="str">
        <f aca="false">IF(D3983="","",IFERROR(INDEX(I_COA!$C$6:$C$265,MATCH(D3983,I_COA!$A$6:$A$265,0)),"AKUN BARU"))</f>
        <v/>
      </c>
      <c r="L3983" s="34" t="str">
        <f aca="false">IF(K3983="LabaRugi",INDEX(I_COA!$D$6:$D$265,MATCH(D3983,I_COA!$A$6:$A$265,0)),"")</f>
        <v/>
      </c>
      <c r="M3983" s="34" t="str">
        <f aca="false">IF(K3983="Neraca",INDEX(I_COA!$E$6:$E$265,MATCH(D3983,I_COA!$A$6:$A$265,0)),"")</f>
        <v/>
      </c>
      <c r="N3983" s="34" t="str">
        <f aca="false">IF(D3983="","",IFERROR(INDEX(I_COA!$G$6:$G$265,MATCH(D3983,I_COA!$A$6:$A$265,0)),"N"))</f>
        <v/>
      </c>
      <c r="O3983" s="11" t="str">
        <f aca="false">IF(N3983="N",ABS(J3983),"")</f>
        <v/>
      </c>
      <c r="P3983" s="18" t="str">
        <f aca="false">IF(N3983="N",B3983&amp;"|"&amp;ROUND(O3983,0),"")</f>
        <v/>
      </c>
      <c r="Q3983" s="18" t="str">
        <f aca="false">IF(N3983&lt;&gt;"Y","",IFERROR(INDEX($D$6:$D$4005,MATCH(B3983&amp;"|"&amp;ROUND(_xlfn.MAXIFS($O$6:$O$4005,$B$6:$B$4005,B3983,$N$6:$N$4005,"N"),0),$P$6:$P$4005,0)),"(tanpa lawan)"))</f>
        <v/>
      </c>
      <c r="R3983" s="44"/>
      <c r="S3983" s="9" t="str">
        <f aca="false">IF(N3983&lt;&gt;"Y","",IF(R3983&lt;&gt;"",R3983,IF(Q3983="(tanpa lawan)","Transfer antar rekening",IFERROR(INDEX(I_COA!$F$6:$F$265,MATCH(Q3983,I_COA!$A$6:$A$265,0)),"?"))))</f>
        <v/>
      </c>
    </row>
    <row r="3984" customFormat="false" ht="15" hidden="false" customHeight="false" outlineLevel="0" collapsed="false">
      <c r="A3984" s="37"/>
      <c r="B3984" s="44"/>
      <c r="C3984" s="44"/>
      <c r="D3984" s="44"/>
      <c r="E3984" s="44"/>
      <c r="F3984" s="44"/>
      <c r="G3984" s="42"/>
      <c r="H3984" s="42"/>
      <c r="I3984" s="44"/>
      <c r="J3984" s="11" t="str">
        <f aca="false">IF(D3984="","",N(G3984)-N(H3984))</f>
        <v/>
      </c>
      <c r="K3984" s="34" t="str">
        <f aca="false">IF(D3984="","",IFERROR(INDEX(I_COA!$C$6:$C$265,MATCH(D3984,I_COA!$A$6:$A$265,0)),"AKUN BARU"))</f>
        <v/>
      </c>
      <c r="L3984" s="34" t="str">
        <f aca="false">IF(K3984="LabaRugi",INDEX(I_COA!$D$6:$D$265,MATCH(D3984,I_COA!$A$6:$A$265,0)),"")</f>
        <v/>
      </c>
      <c r="M3984" s="34" t="str">
        <f aca="false">IF(K3984="Neraca",INDEX(I_COA!$E$6:$E$265,MATCH(D3984,I_COA!$A$6:$A$265,0)),"")</f>
        <v/>
      </c>
      <c r="N3984" s="34" t="str">
        <f aca="false">IF(D3984="","",IFERROR(INDEX(I_COA!$G$6:$G$265,MATCH(D3984,I_COA!$A$6:$A$265,0)),"N"))</f>
        <v/>
      </c>
      <c r="O3984" s="11" t="str">
        <f aca="false">IF(N3984="N",ABS(J3984),"")</f>
        <v/>
      </c>
      <c r="P3984" s="18" t="str">
        <f aca="false">IF(N3984="N",B3984&amp;"|"&amp;ROUND(O3984,0),"")</f>
        <v/>
      </c>
      <c r="Q3984" s="18" t="str">
        <f aca="false">IF(N3984&lt;&gt;"Y","",IFERROR(INDEX($D$6:$D$4005,MATCH(B3984&amp;"|"&amp;ROUND(_xlfn.MAXIFS($O$6:$O$4005,$B$6:$B$4005,B3984,$N$6:$N$4005,"N"),0),$P$6:$P$4005,0)),"(tanpa lawan)"))</f>
        <v/>
      </c>
      <c r="R3984" s="44"/>
      <c r="S3984" s="9" t="str">
        <f aca="false">IF(N3984&lt;&gt;"Y","",IF(R3984&lt;&gt;"",R3984,IF(Q3984="(tanpa lawan)","Transfer antar rekening",IFERROR(INDEX(I_COA!$F$6:$F$265,MATCH(Q3984,I_COA!$A$6:$A$265,0)),"?"))))</f>
        <v/>
      </c>
    </row>
    <row r="3985" customFormat="false" ht="15" hidden="false" customHeight="false" outlineLevel="0" collapsed="false">
      <c r="A3985" s="37"/>
      <c r="B3985" s="44"/>
      <c r="C3985" s="44"/>
      <c r="D3985" s="44"/>
      <c r="E3985" s="44"/>
      <c r="F3985" s="44"/>
      <c r="G3985" s="42"/>
      <c r="H3985" s="42"/>
      <c r="I3985" s="44"/>
      <c r="J3985" s="11" t="str">
        <f aca="false">IF(D3985="","",N(G3985)-N(H3985))</f>
        <v/>
      </c>
      <c r="K3985" s="34" t="str">
        <f aca="false">IF(D3985="","",IFERROR(INDEX(I_COA!$C$6:$C$265,MATCH(D3985,I_COA!$A$6:$A$265,0)),"AKUN BARU"))</f>
        <v/>
      </c>
      <c r="L3985" s="34" t="str">
        <f aca="false">IF(K3985="LabaRugi",INDEX(I_COA!$D$6:$D$265,MATCH(D3985,I_COA!$A$6:$A$265,0)),"")</f>
        <v/>
      </c>
      <c r="M3985" s="34" t="str">
        <f aca="false">IF(K3985="Neraca",INDEX(I_COA!$E$6:$E$265,MATCH(D3985,I_COA!$A$6:$A$265,0)),"")</f>
        <v/>
      </c>
      <c r="N3985" s="34" t="str">
        <f aca="false">IF(D3985="","",IFERROR(INDEX(I_COA!$G$6:$G$265,MATCH(D3985,I_COA!$A$6:$A$265,0)),"N"))</f>
        <v/>
      </c>
      <c r="O3985" s="11" t="str">
        <f aca="false">IF(N3985="N",ABS(J3985),"")</f>
        <v/>
      </c>
      <c r="P3985" s="18" t="str">
        <f aca="false">IF(N3985="N",B3985&amp;"|"&amp;ROUND(O3985,0),"")</f>
        <v/>
      </c>
      <c r="Q3985" s="18" t="str">
        <f aca="false">IF(N3985&lt;&gt;"Y","",IFERROR(INDEX($D$6:$D$4005,MATCH(B3985&amp;"|"&amp;ROUND(_xlfn.MAXIFS($O$6:$O$4005,$B$6:$B$4005,B3985,$N$6:$N$4005,"N"),0),$P$6:$P$4005,0)),"(tanpa lawan)"))</f>
        <v/>
      </c>
      <c r="R3985" s="44"/>
      <c r="S3985" s="9" t="str">
        <f aca="false">IF(N3985&lt;&gt;"Y","",IF(R3985&lt;&gt;"",R3985,IF(Q3985="(tanpa lawan)","Transfer antar rekening",IFERROR(INDEX(I_COA!$F$6:$F$265,MATCH(Q3985,I_COA!$A$6:$A$265,0)),"?"))))</f>
        <v/>
      </c>
    </row>
    <row r="3986" customFormat="false" ht="15" hidden="false" customHeight="false" outlineLevel="0" collapsed="false">
      <c r="A3986" s="37"/>
      <c r="B3986" s="44"/>
      <c r="C3986" s="44"/>
      <c r="D3986" s="44"/>
      <c r="E3986" s="44"/>
      <c r="F3986" s="44"/>
      <c r="G3986" s="42"/>
      <c r="H3986" s="42"/>
      <c r="I3986" s="44"/>
      <c r="J3986" s="11" t="str">
        <f aca="false">IF(D3986="","",N(G3986)-N(H3986))</f>
        <v/>
      </c>
      <c r="K3986" s="34" t="str">
        <f aca="false">IF(D3986="","",IFERROR(INDEX(I_COA!$C$6:$C$265,MATCH(D3986,I_COA!$A$6:$A$265,0)),"AKUN BARU"))</f>
        <v/>
      </c>
      <c r="L3986" s="34" t="str">
        <f aca="false">IF(K3986="LabaRugi",INDEX(I_COA!$D$6:$D$265,MATCH(D3986,I_COA!$A$6:$A$265,0)),"")</f>
        <v/>
      </c>
      <c r="M3986" s="34" t="str">
        <f aca="false">IF(K3986="Neraca",INDEX(I_COA!$E$6:$E$265,MATCH(D3986,I_COA!$A$6:$A$265,0)),"")</f>
        <v/>
      </c>
      <c r="N3986" s="34" t="str">
        <f aca="false">IF(D3986="","",IFERROR(INDEX(I_COA!$G$6:$G$265,MATCH(D3986,I_COA!$A$6:$A$265,0)),"N"))</f>
        <v/>
      </c>
      <c r="O3986" s="11" t="str">
        <f aca="false">IF(N3986="N",ABS(J3986),"")</f>
        <v/>
      </c>
      <c r="P3986" s="18" t="str">
        <f aca="false">IF(N3986="N",B3986&amp;"|"&amp;ROUND(O3986,0),"")</f>
        <v/>
      </c>
      <c r="Q3986" s="18" t="str">
        <f aca="false">IF(N3986&lt;&gt;"Y","",IFERROR(INDEX($D$6:$D$4005,MATCH(B3986&amp;"|"&amp;ROUND(_xlfn.MAXIFS($O$6:$O$4005,$B$6:$B$4005,B3986,$N$6:$N$4005,"N"),0),$P$6:$P$4005,0)),"(tanpa lawan)"))</f>
        <v/>
      </c>
      <c r="R3986" s="44"/>
      <c r="S3986" s="9" t="str">
        <f aca="false">IF(N3986&lt;&gt;"Y","",IF(R3986&lt;&gt;"",R3986,IF(Q3986="(tanpa lawan)","Transfer antar rekening",IFERROR(INDEX(I_COA!$F$6:$F$265,MATCH(Q3986,I_COA!$A$6:$A$265,0)),"?"))))</f>
        <v/>
      </c>
    </row>
    <row r="3987" customFormat="false" ht="15" hidden="false" customHeight="false" outlineLevel="0" collapsed="false">
      <c r="A3987" s="37"/>
      <c r="B3987" s="44"/>
      <c r="C3987" s="44"/>
      <c r="D3987" s="44"/>
      <c r="E3987" s="44"/>
      <c r="F3987" s="44"/>
      <c r="G3987" s="42"/>
      <c r="H3987" s="42"/>
      <c r="I3987" s="44"/>
      <c r="J3987" s="11" t="str">
        <f aca="false">IF(D3987="","",N(G3987)-N(H3987))</f>
        <v/>
      </c>
      <c r="K3987" s="34" t="str">
        <f aca="false">IF(D3987="","",IFERROR(INDEX(I_COA!$C$6:$C$265,MATCH(D3987,I_COA!$A$6:$A$265,0)),"AKUN BARU"))</f>
        <v/>
      </c>
      <c r="L3987" s="34" t="str">
        <f aca="false">IF(K3987="LabaRugi",INDEX(I_COA!$D$6:$D$265,MATCH(D3987,I_COA!$A$6:$A$265,0)),"")</f>
        <v/>
      </c>
      <c r="M3987" s="34" t="str">
        <f aca="false">IF(K3987="Neraca",INDEX(I_COA!$E$6:$E$265,MATCH(D3987,I_COA!$A$6:$A$265,0)),"")</f>
        <v/>
      </c>
      <c r="N3987" s="34" t="str">
        <f aca="false">IF(D3987="","",IFERROR(INDEX(I_COA!$G$6:$G$265,MATCH(D3987,I_COA!$A$6:$A$265,0)),"N"))</f>
        <v/>
      </c>
      <c r="O3987" s="11" t="str">
        <f aca="false">IF(N3987="N",ABS(J3987),"")</f>
        <v/>
      </c>
      <c r="P3987" s="18" t="str">
        <f aca="false">IF(N3987="N",B3987&amp;"|"&amp;ROUND(O3987,0),"")</f>
        <v/>
      </c>
      <c r="Q3987" s="18" t="str">
        <f aca="false">IF(N3987&lt;&gt;"Y","",IFERROR(INDEX($D$6:$D$4005,MATCH(B3987&amp;"|"&amp;ROUND(_xlfn.MAXIFS($O$6:$O$4005,$B$6:$B$4005,B3987,$N$6:$N$4005,"N"),0),$P$6:$P$4005,0)),"(tanpa lawan)"))</f>
        <v/>
      </c>
      <c r="R3987" s="44"/>
      <c r="S3987" s="9" t="str">
        <f aca="false">IF(N3987&lt;&gt;"Y","",IF(R3987&lt;&gt;"",R3987,IF(Q3987="(tanpa lawan)","Transfer antar rekening",IFERROR(INDEX(I_COA!$F$6:$F$265,MATCH(Q3987,I_COA!$A$6:$A$265,0)),"?"))))</f>
        <v/>
      </c>
    </row>
    <row r="3988" customFormat="false" ht="15" hidden="false" customHeight="false" outlineLevel="0" collapsed="false">
      <c r="A3988" s="37"/>
      <c r="B3988" s="44"/>
      <c r="C3988" s="44"/>
      <c r="D3988" s="44"/>
      <c r="E3988" s="44"/>
      <c r="F3988" s="44"/>
      <c r="G3988" s="42"/>
      <c r="H3988" s="42"/>
      <c r="I3988" s="44"/>
      <c r="J3988" s="11" t="str">
        <f aca="false">IF(D3988="","",N(G3988)-N(H3988))</f>
        <v/>
      </c>
      <c r="K3988" s="34" t="str">
        <f aca="false">IF(D3988="","",IFERROR(INDEX(I_COA!$C$6:$C$265,MATCH(D3988,I_COA!$A$6:$A$265,0)),"AKUN BARU"))</f>
        <v/>
      </c>
      <c r="L3988" s="34" t="str">
        <f aca="false">IF(K3988="LabaRugi",INDEX(I_COA!$D$6:$D$265,MATCH(D3988,I_COA!$A$6:$A$265,0)),"")</f>
        <v/>
      </c>
      <c r="M3988" s="34" t="str">
        <f aca="false">IF(K3988="Neraca",INDEX(I_COA!$E$6:$E$265,MATCH(D3988,I_COA!$A$6:$A$265,0)),"")</f>
        <v/>
      </c>
      <c r="N3988" s="34" t="str">
        <f aca="false">IF(D3988="","",IFERROR(INDEX(I_COA!$G$6:$G$265,MATCH(D3988,I_COA!$A$6:$A$265,0)),"N"))</f>
        <v/>
      </c>
      <c r="O3988" s="11" t="str">
        <f aca="false">IF(N3988="N",ABS(J3988),"")</f>
        <v/>
      </c>
      <c r="P3988" s="18" t="str">
        <f aca="false">IF(N3988="N",B3988&amp;"|"&amp;ROUND(O3988,0),"")</f>
        <v/>
      </c>
      <c r="Q3988" s="18" t="str">
        <f aca="false">IF(N3988&lt;&gt;"Y","",IFERROR(INDEX($D$6:$D$4005,MATCH(B3988&amp;"|"&amp;ROUND(_xlfn.MAXIFS($O$6:$O$4005,$B$6:$B$4005,B3988,$N$6:$N$4005,"N"),0),$P$6:$P$4005,0)),"(tanpa lawan)"))</f>
        <v/>
      </c>
      <c r="R3988" s="44"/>
      <c r="S3988" s="9" t="str">
        <f aca="false">IF(N3988&lt;&gt;"Y","",IF(R3988&lt;&gt;"",R3988,IF(Q3988="(tanpa lawan)","Transfer antar rekening",IFERROR(INDEX(I_COA!$F$6:$F$265,MATCH(Q3988,I_COA!$A$6:$A$265,0)),"?"))))</f>
        <v/>
      </c>
    </row>
    <row r="3989" customFormat="false" ht="15" hidden="false" customHeight="false" outlineLevel="0" collapsed="false">
      <c r="A3989" s="37"/>
      <c r="B3989" s="44"/>
      <c r="C3989" s="44"/>
      <c r="D3989" s="44"/>
      <c r="E3989" s="44"/>
      <c r="F3989" s="44"/>
      <c r="G3989" s="42"/>
      <c r="H3989" s="42"/>
      <c r="I3989" s="44"/>
      <c r="J3989" s="11" t="str">
        <f aca="false">IF(D3989="","",N(G3989)-N(H3989))</f>
        <v/>
      </c>
      <c r="K3989" s="34" t="str">
        <f aca="false">IF(D3989="","",IFERROR(INDEX(I_COA!$C$6:$C$265,MATCH(D3989,I_COA!$A$6:$A$265,0)),"AKUN BARU"))</f>
        <v/>
      </c>
      <c r="L3989" s="34" t="str">
        <f aca="false">IF(K3989="LabaRugi",INDEX(I_COA!$D$6:$D$265,MATCH(D3989,I_COA!$A$6:$A$265,0)),"")</f>
        <v/>
      </c>
      <c r="M3989" s="34" t="str">
        <f aca="false">IF(K3989="Neraca",INDEX(I_COA!$E$6:$E$265,MATCH(D3989,I_COA!$A$6:$A$265,0)),"")</f>
        <v/>
      </c>
      <c r="N3989" s="34" t="str">
        <f aca="false">IF(D3989="","",IFERROR(INDEX(I_COA!$G$6:$G$265,MATCH(D3989,I_COA!$A$6:$A$265,0)),"N"))</f>
        <v/>
      </c>
      <c r="O3989" s="11" t="str">
        <f aca="false">IF(N3989="N",ABS(J3989),"")</f>
        <v/>
      </c>
      <c r="P3989" s="18" t="str">
        <f aca="false">IF(N3989="N",B3989&amp;"|"&amp;ROUND(O3989,0),"")</f>
        <v/>
      </c>
      <c r="Q3989" s="18" t="str">
        <f aca="false">IF(N3989&lt;&gt;"Y","",IFERROR(INDEX($D$6:$D$4005,MATCH(B3989&amp;"|"&amp;ROUND(_xlfn.MAXIFS($O$6:$O$4005,$B$6:$B$4005,B3989,$N$6:$N$4005,"N"),0),$P$6:$P$4005,0)),"(tanpa lawan)"))</f>
        <v/>
      </c>
      <c r="R3989" s="44"/>
      <c r="S3989" s="9" t="str">
        <f aca="false">IF(N3989&lt;&gt;"Y","",IF(R3989&lt;&gt;"",R3989,IF(Q3989="(tanpa lawan)","Transfer antar rekening",IFERROR(INDEX(I_COA!$F$6:$F$265,MATCH(Q3989,I_COA!$A$6:$A$265,0)),"?"))))</f>
        <v/>
      </c>
    </row>
    <row r="3990" customFormat="false" ht="15" hidden="false" customHeight="false" outlineLevel="0" collapsed="false">
      <c r="A3990" s="37"/>
      <c r="B3990" s="44"/>
      <c r="C3990" s="44"/>
      <c r="D3990" s="44"/>
      <c r="E3990" s="44"/>
      <c r="F3990" s="44"/>
      <c r="G3990" s="42"/>
      <c r="H3990" s="42"/>
      <c r="I3990" s="44"/>
      <c r="J3990" s="11" t="str">
        <f aca="false">IF(D3990="","",N(G3990)-N(H3990))</f>
        <v/>
      </c>
      <c r="K3990" s="34" t="str">
        <f aca="false">IF(D3990="","",IFERROR(INDEX(I_COA!$C$6:$C$265,MATCH(D3990,I_COA!$A$6:$A$265,0)),"AKUN BARU"))</f>
        <v/>
      </c>
      <c r="L3990" s="34" t="str">
        <f aca="false">IF(K3990="LabaRugi",INDEX(I_COA!$D$6:$D$265,MATCH(D3990,I_COA!$A$6:$A$265,0)),"")</f>
        <v/>
      </c>
      <c r="M3990" s="34" t="str">
        <f aca="false">IF(K3990="Neraca",INDEX(I_COA!$E$6:$E$265,MATCH(D3990,I_COA!$A$6:$A$265,0)),"")</f>
        <v/>
      </c>
      <c r="N3990" s="34" t="str">
        <f aca="false">IF(D3990="","",IFERROR(INDEX(I_COA!$G$6:$G$265,MATCH(D3990,I_COA!$A$6:$A$265,0)),"N"))</f>
        <v/>
      </c>
      <c r="O3990" s="11" t="str">
        <f aca="false">IF(N3990="N",ABS(J3990),"")</f>
        <v/>
      </c>
      <c r="P3990" s="18" t="str">
        <f aca="false">IF(N3990="N",B3990&amp;"|"&amp;ROUND(O3990,0),"")</f>
        <v/>
      </c>
      <c r="Q3990" s="18" t="str">
        <f aca="false">IF(N3990&lt;&gt;"Y","",IFERROR(INDEX($D$6:$D$4005,MATCH(B3990&amp;"|"&amp;ROUND(_xlfn.MAXIFS($O$6:$O$4005,$B$6:$B$4005,B3990,$N$6:$N$4005,"N"),0),$P$6:$P$4005,0)),"(tanpa lawan)"))</f>
        <v/>
      </c>
      <c r="R3990" s="44"/>
      <c r="S3990" s="9" t="str">
        <f aca="false">IF(N3990&lt;&gt;"Y","",IF(R3990&lt;&gt;"",R3990,IF(Q3990="(tanpa lawan)","Transfer antar rekening",IFERROR(INDEX(I_COA!$F$6:$F$265,MATCH(Q3990,I_COA!$A$6:$A$265,0)),"?"))))</f>
        <v/>
      </c>
    </row>
    <row r="3991" customFormat="false" ht="15" hidden="false" customHeight="false" outlineLevel="0" collapsed="false">
      <c r="A3991" s="37"/>
      <c r="B3991" s="44"/>
      <c r="C3991" s="44"/>
      <c r="D3991" s="44"/>
      <c r="E3991" s="44"/>
      <c r="F3991" s="44"/>
      <c r="G3991" s="42"/>
      <c r="H3991" s="42"/>
      <c r="I3991" s="44"/>
      <c r="J3991" s="11" t="str">
        <f aca="false">IF(D3991="","",N(G3991)-N(H3991))</f>
        <v/>
      </c>
      <c r="K3991" s="34" t="str">
        <f aca="false">IF(D3991="","",IFERROR(INDEX(I_COA!$C$6:$C$265,MATCH(D3991,I_COA!$A$6:$A$265,0)),"AKUN BARU"))</f>
        <v/>
      </c>
      <c r="L3991" s="34" t="str">
        <f aca="false">IF(K3991="LabaRugi",INDEX(I_COA!$D$6:$D$265,MATCH(D3991,I_COA!$A$6:$A$265,0)),"")</f>
        <v/>
      </c>
      <c r="M3991" s="34" t="str">
        <f aca="false">IF(K3991="Neraca",INDEX(I_COA!$E$6:$E$265,MATCH(D3991,I_COA!$A$6:$A$265,0)),"")</f>
        <v/>
      </c>
      <c r="N3991" s="34" t="str">
        <f aca="false">IF(D3991="","",IFERROR(INDEX(I_COA!$G$6:$G$265,MATCH(D3991,I_COA!$A$6:$A$265,0)),"N"))</f>
        <v/>
      </c>
      <c r="O3991" s="11" t="str">
        <f aca="false">IF(N3991="N",ABS(J3991),"")</f>
        <v/>
      </c>
      <c r="P3991" s="18" t="str">
        <f aca="false">IF(N3991="N",B3991&amp;"|"&amp;ROUND(O3991,0),"")</f>
        <v/>
      </c>
      <c r="Q3991" s="18" t="str">
        <f aca="false">IF(N3991&lt;&gt;"Y","",IFERROR(INDEX($D$6:$D$4005,MATCH(B3991&amp;"|"&amp;ROUND(_xlfn.MAXIFS($O$6:$O$4005,$B$6:$B$4005,B3991,$N$6:$N$4005,"N"),0),$P$6:$P$4005,0)),"(tanpa lawan)"))</f>
        <v/>
      </c>
      <c r="R3991" s="44"/>
      <c r="S3991" s="9" t="str">
        <f aca="false">IF(N3991&lt;&gt;"Y","",IF(R3991&lt;&gt;"",R3991,IF(Q3991="(tanpa lawan)","Transfer antar rekening",IFERROR(INDEX(I_COA!$F$6:$F$265,MATCH(Q3991,I_COA!$A$6:$A$265,0)),"?"))))</f>
        <v/>
      </c>
    </row>
    <row r="3992" customFormat="false" ht="15" hidden="false" customHeight="false" outlineLevel="0" collapsed="false">
      <c r="A3992" s="37"/>
      <c r="B3992" s="44"/>
      <c r="C3992" s="44"/>
      <c r="D3992" s="44"/>
      <c r="E3992" s="44"/>
      <c r="F3992" s="44"/>
      <c r="G3992" s="42"/>
      <c r="H3992" s="42"/>
      <c r="I3992" s="44"/>
      <c r="J3992" s="11" t="str">
        <f aca="false">IF(D3992="","",N(G3992)-N(H3992))</f>
        <v/>
      </c>
      <c r="K3992" s="34" t="str">
        <f aca="false">IF(D3992="","",IFERROR(INDEX(I_COA!$C$6:$C$265,MATCH(D3992,I_COA!$A$6:$A$265,0)),"AKUN BARU"))</f>
        <v/>
      </c>
      <c r="L3992" s="34" t="str">
        <f aca="false">IF(K3992="LabaRugi",INDEX(I_COA!$D$6:$D$265,MATCH(D3992,I_COA!$A$6:$A$265,0)),"")</f>
        <v/>
      </c>
      <c r="M3992" s="34" t="str">
        <f aca="false">IF(K3992="Neraca",INDEX(I_COA!$E$6:$E$265,MATCH(D3992,I_COA!$A$6:$A$265,0)),"")</f>
        <v/>
      </c>
      <c r="N3992" s="34" t="str">
        <f aca="false">IF(D3992="","",IFERROR(INDEX(I_COA!$G$6:$G$265,MATCH(D3992,I_COA!$A$6:$A$265,0)),"N"))</f>
        <v/>
      </c>
      <c r="O3992" s="11" t="str">
        <f aca="false">IF(N3992="N",ABS(J3992),"")</f>
        <v/>
      </c>
      <c r="P3992" s="18" t="str">
        <f aca="false">IF(N3992="N",B3992&amp;"|"&amp;ROUND(O3992,0),"")</f>
        <v/>
      </c>
      <c r="Q3992" s="18" t="str">
        <f aca="false">IF(N3992&lt;&gt;"Y","",IFERROR(INDEX($D$6:$D$4005,MATCH(B3992&amp;"|"&amp;ROUND(_xlfn.MAXIFS($O$6:$O$4005,$B$6:$B$4005,B3992,$N$6:$N$4005,"N"),0),$P$6:$P$4005,0)),"(tanpa lawan)"))</f>
        <v/>
      </c>
      <c r="R3992" s="44"/>
      <c r="S3992" s="9" t="str">
        <f aca="false">IF(N3992&lt;&gt;"Y","",IF(R3992&lt;&gt;"",R3992,IF(Q3992="(tanpa lawan)","Transfer antar rekening",IFERROR(INDEX(I_COA!$F$6:$F$265,MATCH(Q3992,I_COA!$A$6:$A$265,0)),"?"))))</f>
        <v/>
      </c>
    </row>
    <row r="3993" customFormat="false" ht="15" hidden="false" customHeight="false" outlineLevel="0" collapsed="false">
      <c r="A3993" s="37"/>
      <c r="B3993" s="44"/>
      <c r="C3993" s="44"/>
      <c r="D3993" s="44"/>
      <c r="E3993" s="44"/>
      <c r="F3993" s="44"/>
      <c r="G3993" s="42"/>
      <c r="H3993" s="42"/>
      <c r="I3993" s="44"/>
      <c r="J3993" s="11" t="str">
        <f aca="false">IF(D3993="","",N(G3993)-N(H3993))</f>
        <v/>
      </c>
      <c r="K3993" s="34" t="str">
        <f aca="false">IF(D3993="","",IFERROR(INDEX(I_COA!$C$6:$C$265,MATCH(D3993,I_COA!$A$6:$A$265,0)),"AKUN BARU"))</f>
        <v/>
      </c>
      <c r="L3993" s="34" t="str">
        <f aca="false">IF(K3993="LabaRugi",INDEX(I_COA!$D$6:$D$265,MATCH(D3993,I_COA!$A$6:$A$265,0)),"")</f>
        <v/>
      </c>
      <c r="M3993" s="34" t="str">
        <f aca="false">IF(K3993="Neraca",INDEX(I_COA!$E$6:$E$265,MATCH(D3993,I_COA!$A$6:$A$265,0)),"")</f>
        <v/>
      </c>
      <c r="N3993" s="34" t="str">
        <f aca="false">IF(D3993="","",IFERROR(INDEX(I_COA!$G$6:$G$265,MATCH(D3993,I_COA!$A$6:$A$265,0)),"N"))</f>
        <v/>
      </c>
      <c r="O3993" s="11" t="str">
        <f aca="false">IF(N3993="N",ABS(J3993),"")</f>
        <v/>
      </c>
      <c r="P3993" s="18" t="str">
        <f aca="false">IF(N3993="N",B3993&amp;"|"&amp;ROUND(O3993,0),"")</f>
        <v/>
      </c>
      <c r="Q3993" s="18" t="str">
        <f aca="false">IF(N3993&lt;&gt;"Y","",IFERROR(INDEX($D$6:$D$4005,MATCH(B3993&amp;"|"&amp;ROUND(_xlfn.MAXIFS($O$6:$O$4005,$B$6:$B$4005,B3993,$N$6:$N$4005,"N"),0),$P$6:$P$4005,0)),"(tanpa lawan)"))</f>
        <v/>
      </c>
      <c r="R3993" s="44"/>
      <c r="S3993" s="9" t="str">
        <f aca="false">IF(N3993&lt;&gt;"Y","",IF(R3993&lt;&gt;"",R3993,IF(Q3993="(tanpa lawan)","Transfer antar rekening",IFERROR(INDEX(I_COA!$F$6:$F$265,MATCH(Q3993,I_COA!$A$6:$A$265,0)),"?"))))</f>
        <v/>
      </c>
    </row>
    <row r="3994" customFormat="false" ht="15" hidden="false" customHeight="false" outlineLevel="0" collapsed="false">
      <c r="A3994" s="37"/>
      <c r="B3994" s="44"/>
      <c r="C3994" s="44"/>
      <c r="D3994" s="44"/>
      <c r="E3994" s="44"/>
      <c r="F3994" s="44"/>
      <c r="G3994" s="42"/>
      <c r="H3994" s="42"/>
      <c r="I3994" s="44"/>
      <c r="J3994" s="11" t="str">
        <f aca="false">IF(D3994="","",N(G3994)-N(H3994))</f>
        <v/>
      </c>
      <c r="K3994" s="34" t="str">
        <f aca="false">IF(D3994="","",IFERROR(INDEX(I_COA!$C$6:$C$265,MATCH(D3994,I_COA!$A$6:$A$265,0)),"AKUN BARU"))</f>
        <v/>
      </c>
      <c r="L3994" s="34" t="str">
        <f aca="false">IF(K3994="LabaRugi",INDEX(I_COA!$D$6:$D$265,MATCH(D3994,I_COA!$A$6:$A$265,0)),"")</f>
        <v/>
      </c>
      <c r="M3994" s="34" t="str">
        <f aca="false">IF(K3994="Neraca",INDEX(I_COA!$E$6:$E$265,MATCH(D3994,I_COA!$A$6:$A$265,0)),"")</f>
        <v/>
      </c>
      <c r="N3994" s="34" t="str">
        <f aca="false">IF(D3994="","",IFERROR(INDEX(I_COA!$G$6:$G$265,MATCH(D3994,I_COA!$A$6:$A$265,0)),"N"))</f>
        <v/>
      </c>
      <c r="O3994" s="11" t="str">
        <f aca="false">IF(N3994="N",ABS(J3994),"")</f>
        <v/>
      </c>
      <c r="P3994" s="18" t="str">
        <f aca="false">IF(N3994="N",B3994&amp;"|"&amp;ROUND(O3994,0),"")</f>
        <v/>
      </c>
      <c r="Q3994" s="18" t="str">
        <f aca="false">IF(N3994&lt;&gt;"Y","",IFERROR(INDEX($D$6:$D$4005,MATCH(B3994&amp;"|"&amp;ROUND(_xlfn.MAXIFS($O$6:$O$4005,$B$6:$B$4005,B3994,$N$6:$N$4005,"N"),0),$P$6:$P$4005,0)),"(tanpa lawan)"))</f>
        <v/>
      </c>
      <c r="R3994" s="44"/>
      <c r="S3994" s="9" t="str">
        <f aca="false">IF(N3994&lt;&gt;"Y","",IF(R3994&lt;&gt;"",R3994,IF(Q3994="(tanpa lawan)","Transfer antar rekening",IFERROR(INDEX(I_COA!$F$6:$F$265,MATCH(Q3994,I_COA!$A$6:$A$265,0)),"?"))))</f>
        <v/>
      </c>
    </row>
    <row r="3995" customFormat="false" ht="15" hidden="false" customHeight="false" outlineLevel="0" collapsed="false">
      <c r="A3995" s="37"/>
      <c r="B3995" s="44"/>
      <c r="C3995" s="44"/>
      <c r="D3995" s="44"/>
      <c r="E3995" s="44"/>
      <c r="F3995" s="44"/>
      <c r="G3995" s="42"/>
      <c r="H3995" s="42"/>
      <c r="I3995" s="44"/>
      <c r="J3995" s="11" t="str">
        <f aca="false">IF(D3995="","",N(G3995)-N(H3995))</f>
        <v/>
      </c>
      <c r="K3995" s="34" t="str">
        <f aca="false">IF(D3995="","",IFERROR(INDEX(I_COA!$C$6:$C$265,MATCH(D3995,I_COA!$A$6:$A$265,0)),"AKUN BARU"))</f>
        <v/>
      </c>
      <c r="L3995" s="34" t="str">
        <f aca="false">IF(K3995="LabaRugi",INDEX(I_COA!$D$6:$D$265,MATCH(D3995,I_COA!$A$6:$A$265,0)),"")</f>
        <v/>
      </c>
      <c r="M3995" s="34" t="str">
        <f aca="false">IF(K3995="Neraca",INDEX(I_COA!$E$6:$E$265,MATCH(D3995,I_COA!$A$6:$A$265,0)),"")</f>
        <v/>
      </c>
      <c r="N3995" s="34" t="str">
        <f aca="false">IF(D3995="","",IFERROR(INDEX(I_COA!$G$6:$G$265,MATCH(D3995,I_COA!$A$6:$A$265,0)),"N"))</f>
        <v/>
      </c>
      <c r="O3995" s="11" t="str">
        <f aca="false">IF(N3995="N",ABS(J3995),"")</f>
        <v/>
      </c>
      <c r="P3995" s="18" t="str">
        <f aca="false">IF(N3995="N",B3995&amp;"|"&amp;ROUND(O3995,0),"")</f>
        <v/>
      </c>
      <c r="Q3995" s="18" t="str">
        <f aca="false">IF(N3995&lt;&gt;"Y","",IFERROR(INDEX($D$6:$D$4005,MATCH(B3995&amp;"|"&amp;ROUND(_xlfn.MAXIFS($O$6:$O$4005,$B$6:$B$4005,B3995,$N$6:$N$4005,"N"),0),$P$6:$P$4005,0)),"(tanpa lawan)"))</f>
        <v/>
      </c>
      <c r="R3995" s="44"/>
      <c r="S3995" s="9" t="str">
        <f aca="false">IF(N3995&lt;&gt;"Y","",IF(R3995&lt;&gt;"",R3995,IF(Q3995="(tanpa lawan)","Transfer antar rekening",IFERROR(INDEX(I_COA!$F$6:$F$265,MATCH(Q3995,I_COA!$A$6:$A$265,0)),"?"))))</f>
        <v/>
      </c>
    </row>
    <row r="3996" customFormat="false" ht="15" hidden="false" customHeight="false" outlineLevel="0" collapsed="false">
      <c r="A3996" s="37"/>
      <c r="B3996" s="44"/>
      <c r="C3996" s="44"/>
      <c r="D3996" s="44"/>
      <c r="E3996" s="44"/>
      <c r="F3996" s="44"/>
      <c r="G3996" s="42"/>
      <c r="H3996" s="42"/>
      <c r="I3996" s="44"/>
      <c r="J3996" s="11" t="str">
        <f aca="false">IF(D3996="","",N(G3996)-N(H3996))</f>
        <v/>
      </c>
      <c r="K3996" s="34" t="str">
        <f aca="false">IF(D3996="","",IFERROR(INDEX(I_COA!$C$6:$C$265,MATCH(D3996,I_COA!$A$6:$A$265,0)),"AKUN BARU"))</f>
        <v/>
      </c>
      <c r="L3996" s="34" t="str">
        <f aca="false">IF(K3996="LabaRugi",INDEX(I_COA!$D$6:$D$265,MATCH(D3996,I_COA!$A$6:$A$265,0)),"")</f>
        <v/>
      </c>
      <c r="M3996" s="34" t="str">
        <f aca="false">IF(K3996="Neraca",INDEX(I_COA!$E$6:$E$265,MATCH(D3996,I_COA!$A$6:$A$265,0)),"")</f>
        <v/>
      </c>
      <c r="N3996" s="34" t="str">
        <f aca="false">IF(D3996="","",IFERROR(INDEX(I_COA!$G$6:$G$265,MATCH(D3996,I_COA!$A$6:$A$265,0)),"N"))</f>
        <v/>
      </c>
      <c r="O3996" s="11" t="str">
        <f aca="false">IF(N3996="N",ABS(J3996),"")</f>
        <v/>
      </c>
      <c r="P3996" s="18" t="str">
        <f aca="false">IF(N3996="N",B3996&amp;"|"&amp;ROUND(O3996,0),"")</f>
        <v/>
      </c>
      <c r="Q3996" s="18" t="str">
        <f aca="false">IF(N3996&lt;&gt;"Y","",IFERROR(INDEX($D$6:$D$4005,MATCH(B3996&amp;"|"&amp;ROUND(_xlfn.MAXIFS($O$6:$O$4005,$B$6:$B$4005,B3996,$N$6:$N$4005,"N"),0),$P$6:$P$4005,0)),"(tanpa lawan)"))</f>
        <v/>
      </c>
      <c r="R3996" s="44"/>
      <c r="S3996" s="9" t="str">
        <f aca="false">IF(N3996&lt;&gt;"Y","",IF(R3996&lt;&gt;"",R3996,IF(Q3996="(tanpa lawan)","Transfer antar rekening",IFERROR(INDEX(I_COA!$F$6:$F$265,MATCH(Q3996,I_COA!$A$6:$A$265,0)),"?"))))</f>
        <v/>
      </c>
    </row>
    <row r="3997" customFormat="false" ht="15" hidden="false" customHeight="false" outlineLevel="0" collapsed="false">
      <c r="A3997" s="37"/>
      <c r="B3997" s="44"/>
      <c r="C3997" s="44"/>
      <c r="D3997" s="44"/>
      <c r="E3997" s="44"/>
      <c r="F3997" s="44"/>
      <c r="G3997" s="42"/>
      <c r="H3997" s="42"/>
      <c r="I3997" s="44"/>
      <c r="J3997" s="11" t="str">
        <f aca="false">IF(D3997="","",N(G3997)-N(H3997))</f>
        <v/>
      </c>
      <c r="K3997" s="34" t="str">
        <f aca="false">IF(D3997="","",IFERROR(INDEX(I_COA!$C$6:$C$265,MATCH(D3997,I_COA!$A$6:$A$265,0)),"AKUN BARU"))</f>
        <v/>
      </c>
      <c r="L3997" s="34" t="str">
        <f aca="false">IF(K3997="LabaRugi",INDEX(I_COA!$D$6:$D$265,MATCH(D3997,I_COA!$A$6:$A$265,0)),"")</f>
        <v/>
      </c>
      <c r="M3997" s="34" t="str">
        <f aca="false">IF(K3997="Neraca",INDEX(I_COA!$E$6:$E$265,MATCH(D3997,I_COA!$A$6:$A$265,0)),"")</f>
        <v/>
      </c>
      <c r="N3997" s="34" t="str">
        <f aca="false">IF(D3997="","",IFERROR(INDEX(I_COA!$G$6:$G$265,MATCH(D3997,I_COA!$A$6:$A$265,0)),"N"))</f>
        <v/>
      </c>
      <c r="O3997" s="11" t="str">
        <f aca="false">IF(N3997="N",ABS(J3997),"")</f>
        <v/>
      </c>
      <c r="P3997" s="18" t="str">
        <f aca="false">IF(N3997="N",B3997&amp;"|"&amp;ROUND(O3997,0),"")</f>
        <v/>
      </c>
      <c r="Q3997" s="18" t="str">
        <f aca="false">IF(N3997&lt;&gt;"Y","",IFERROR(INDEX($D$6:$D$4005,MATCH(B3997&amp;"|"&amp;ROUND(_xlfn.MAXIFS($O$6:$O$4005,$B$6:$B$4005,B3997,$N$6:$N$4005,"N"),0),$P$6:$P$4005,0)),"(tanpa lawan)"))</f>
        <v/>
      </c>
      <c r="R3997" s="44"/>
      <c r="S3997" s="9" t="str">
        <f aca="false">IF(N3997&lt;&gt;"Y","",IF(R3997&lt;&gt;"",R3997,IF(Q3997="(tanpa lawan)","Transfer antar rekening",IFERROR(INDEX(I_COA!$F$6:$F$265,MATCH(Q3997,I_COA!$A$6:$A$265,0)),"?"))))</f>
        <v/>
      </c>
    </row>
    <row r="3998" customFormat="false" ht="15" hidden="false" customHeight="false" outlineLevel="0" collapsed="false">
      <c r="A3998" s="37"/>
      <c r="B3998" s="44"/>
      <c r="C3998" s="44"/>
      <c r="D3998" s="44"/>
      <c r="E3998" s="44"/>
      <c r="F3998" s="44"/>
      <c r="G3998" s="42"/>
      <c r="H3998" s="42"/>
      <c r="I3998" s="44"/>
      <c r="J3998" s="11" t="str">
        <f aca="false">IF(D3998="","",N(G3998)-N(H3998))</f>
        <v/>
      </c>
      <c r="K3998" s="34" t="str">
        <f aca="false">IF(D3998="","",IFERROR(INDEX(I_COA!$C$6:$C$265,MATCH(D3998,I_COA!$A$6:$A$265,0)),"AKUN BARU"))</f>
        <v/>
      </c>
      <c r="L3998" s="34" t="str">
        <f aca="false">IF(K3998="LabaRugi",INDEX(I_COA!$D$6:$D$265,MATCH(D3998,I_COA!$A$6:$A$265,0)),"")</f>
        <v/>
      </c>
      <c r="M3998" s="34" t="str">
        <f aca="false">IF(K3998="Neraca",INDEX(I_COA!$E$6:$E$265,MATCH(D3998,I_COA!$A$6:$A$265,0)),"")</f>
        <v/>
      </c>
      <c r="N3998" s="34" t="str">
        <f aca="false">IF(D3998="","",IFERROR(INDEX(I_COA!$G$6:$G$265,MATCH(D3998,I_COA!$A$6:$A$265,0)),"N"))</f>
        <v/>
      </c>
      <c r="O3998" s="11" t="str">
        <f aca="false">IF(N3998="N",ABS(J3998),"")</f>
        <v/>
      </c>
      <c r="P3998" s="18" t="str">
        <f aca="false">IF(N3998="N",B3998&amp;"|"&amp;ROUND(O3998,0),"")</f>
        <v/>
      </c>
      <c r="Q3998" s="18" t="str">
        <f aca="false">IF(N3998&lt;&gt;"Y","",IFERROR(INDEX($D$6:$D$4005,MATCH(B3998&amp;"|"&amp;ROUND(_xlfn.MAXIFS($O$6:$O$4005,$B$6:$B$4005,B3998,$N$6:$N$4005,"N"),0),$P$6:$P$4005,0)),"(tanpa lawan)"))</f>
        <v/>
      </c>
      <c r="R3998" s="44"/>
      <c r="S3998" s="9" t="str">
        <f aca="false">IF(N3998&lt;&gt;"Y","",IF(R3998&lt;&gt;"",R3998,IF(Q3998="(tanpa lawan)","Transfer antar rekening",IFERROR(INDEX(I_COA!$F$6:$F$265,MATCH(Q3998,I_COA!$A$6:$A$265,0)),"?"))))</f>
        <v/>
      </c>
    </row>
    <row r="3999" customFormat="false" ht="15" hidden="false" customHeight="false" outlineLevel="0" collapsed="false">
      <c r="A3999" s="37"/>
      <c r="B3999" s="44"/>
      <c r="C3999" s="44"/>
      <c r="D3999" s="44"/>
      <c r="E3999" s="44"/>
      <c r="F3999" s="44"/>
      <c r="G3999" s="42"/>
      <c r="H3999" s="42"/>
      <c r="I3999" s="44"/>
      <c r="J3999" s="11" t="str">
        <f aca="false">IF(D3999="","",N(G3999)-N(H3999))</f>
        <v/>
      </c>
      <c r="K3999" s="34" t="str">
        <f aca="false">IF(D3999="","",IFERROR(INDEX(I_COA!$C$6:$C$265,MATCH(D3999,I_COA!$A$6:$A$265,0)),"AKUN BARU"))</f>
        <v/>
      </c>
      <c r="L3999" s="34" t="str">
        <f aca="false">IF(K3999="LabaRugi",INDEX(I_COA!$D$6:$D$265,MATCH(D3999,I_COA!$A$6:$A$265,0)),"")</f>
        <v/>
      </c>
      <c r="M3999" s="34" t="str">
        <f aca="false">IF(K3999="Neraca",INDEX(I_COA!$E$6:$E$265,MATCH(D3999,I_COA!$A$6:$A$265,0)),"")</f>
        <v/>
      </c>
      <c r="N3999" s="34" t="str">
        <f aca="false">IF(D3999="","",IFERROR(INDEX(I_COA!$G$6:$G$265,MATCH(D3999,I_COA!$A$6:$A$265,0)),"N"))</f>
        <v/>
      </c>
      <c r="O3999" s="11" t="str">
        <f aca="false">IF(N3999="N",ABS(J3999),"")</f>
        <v/>
      </c>
      <c r="P3999" s="18" t="str">
        <f aca="false">IF(N3999="N",B3999&amp;"|"&amp;ROUND(O3999,0),"")</f>
        <v/>
      </c>
      <c r="Q3999" s="18" t="str">
        <f aca="false">IF(N3999&lt;&gt;"Y","",IFERROR(INDEX($D$6:$D$4005,MATCH(B3999&amp;"|"&amp;ROUND(_xlfn.MAXIFS($O$6:$O$4005,$B$6:$B$4005,B3999,$N$6:$N$4005,"N"),0),$P$6:$P$4005,0)),"(tanpa lawan)"))</f>
        <v/>
      </c>
      <c r="R3999" s="44"/>
      <c r="S3999" s="9" t="str">
        <f aca="false">IF(N3999&lt;&gt;"Y","",IF(R3999&lt;&gt;"",R3999,IF(Q3999="(tanpa lawan)","Transfer antar rekening",IFERROR(INDEX(I_COA!$F$6:$F$265,MATCH(Q3999,I_COA!$A$6:$A$265,0)),"?"))))</f>
        <v/>
      </c>
    </row>
    <row r="4000" customFormat="false" ht="15" hidden="false" customHeight="false" outlineLevel="0" collapsed="false">
      <c r="A4000" s="37"/>
      <c r="B4000" s="44"/>
      <c r="C4000" s="44"/>
      <c r="D4000" s="44"/>
      <c r="E4000" s="44"/>
      <c r="F4000" s="44"/>
      <c r="G4000" s="42"/>
      <c r="H4000" s="42"/>
      <c r="I4000" s="44"/>
      <c r="J4000" s="11" t="str">
        <f aca="false">IF(D4000="","",N(G4000)-N(H4000))</f>
        <v/>
      </c>
      <c r="K4000" s="34" t="str">
        <f aca="false">IF(D4000="","",IFERROR(INDEX(I_COA!$C$6:$C$265,MATCH(D4000,I_COA!$A$6:$A$265,0)),"AKUN BARU"))</f>
        <v/>
      </c>
      <c r="L4000" s="34" t="str">
        <f aca="false">IF(K4000="LabaRugi",INDEX(I_COA!$D$6:$D$265,MATCH(D4000,I_COA!$A$6:$A$265,0)),"")</f>
        <v/>
      </c>
      <c r="M4000" s="34" t="str">
        <f aca="false">IF(K4000="Neraca",INDEX(I_COA!$E$6:$E$265,MATCH(D4000,I_COA!$A$6:$A$265,0)),"")</f>
        <v/>
      </c>
      <c r="N4000" s="34" t="str">
        <f aca="false">IF(D4000="","",IFERROR(INDEX(I_COA!$G$6:$G$265,MATCH(D4000,I_COA!$A$6:$A$265,0)),"N"))</f>
        <v/>
      </c>
      <c r="O4000" s="11" t="str">
        <f aca="false">IF(N4000="N",ABS(J4000),"")</f>
        <v/>
      </c>
      <c r="P4000" s="18" t="str">
        <f aca="false">IF(N4000="N",B4000&amp;"|"&amp;ROUND(O4000,0),"")</f>
        <v/>
      </c>
      <c r="Q4000" s="18" t="str">
        <f aca="false">IF(N4000&lt;&gt;"Y","",IFERROR(INDEX($D$6:$D$4005,MATCH(B4000&amp;"|"&amp;ROUND(_xlfn.MAXIFS($O$6:$O$4005,$B$6:$B$4005,B4000,$N$6:$N$4005,"N"),0),$P$6:$P$4005,0)),"(tanpa lawan)"))</f>
        <v/>
      </c>
      <c r="R4000" s="44"/>
      <c r="S4000" s="9" t="str">
        <f aca="false">IF(N4000&lt;&gt;"Y","",IF(R4000&lt;&gt;"",R4000,IF(Q4000="(tanpa lawan)","Transfer antar rekening",IFERROR(INDEX(I_COA!$F$6:$F$265,MATCH(Q4000,I_COA!$A$6:$A$265,0)),"?"))))</f>
        <v/>
      </c>
    </row>
    <row r="4001" customFormat="false" ht="15" hidden="false" customHeight="false" outlineLevel="0" collapsed="false">
      <c r="A4001" s="37"/>
      <c r="B4001" s="44"/>
      <c r="C4001" s="44"/>
      <c r="D4001" s="44"/>
      <c r="E4001" s="44"/>
      <c r="F4001" s="44"/>
      <c r="G4001" s="42"/>
      <c r="H4001" s="42"/>
      <c r="I4001" s="44"/>
      <c r="J4001" s="11" t="str">
        <f aca="false">IF(D4001="","",N(G4001)-N(H4001))</f>
        <v/>
      </c>
      <c r="K4001" s="34" t="str">
        <f aca="false">IF(D4001="","",IFERROR(INDEX(I_COA!$C$6:$C$265,MATCH(D4001,I_COA!$A$6:$A$265,0)),"AKUN BARU"))</f>
        <v/>
      </c>
      <c r="L4001" s="34" t="str">
        <f aca="false">IF(K4001="LabaRugi",INDEX(I_COA!$D$6:$D$265,MATCH(D4001,I_COA!$A$6:$A$265,0)),"")</f>
        <v/>
      </c>
      <c r="M4001" s="34" t="str">
        <f aca="false">IF(K4001="Neraca",INDEX(I_COA!$E$6:$E$265,MATCH(D4001,I_COA!$A$6:$A$265,0)),"")</f>
        <v/>
      </c>
      <c r="N4001" s="34" t="str">
        <f aca="false">IF(D4001="","",IFERROR(INDEX(I_COA!$G$6:$G$265,MATCH(D4001,I_COA!$A$6:$A$265,0)),"N"))</f>
        <v/>
      </c>
      <c r="O4001" s="11" t="str">
        <f aca="false">IF(N4001="N",ABS(J4001),"")</f>
        <v/>
      </c>
      <c r="P4001" s="18" t="str">
        <f aca="false">IF(N4001="N",B4001&amp;"|"&amp;ROUND(O4001,0),"")</f>
        <v/>
      </c>
      <c r="Q4001" s="18" t="str">
        <f aca="false">IF(N4001&lt;&gt;"Y","",IFERROR(INDEX($D$6:$D$4005,MATCH(B4001&amp;"|"&amp;ROUND(_xlfn.MAXIFS($O$6:$O$4005,$B$6:$B$4005,B4001,$N$6:$N$4005,"N"),0),$P$6:$P$4005,0)),"(tanpa lawan)"))</f>
        <v/>
      </c>
      <c r="R4001" s="44"/>
      <c r="S4001" s="9" t="str">
        <f aca="false">IF(N4001&lt;&gt;"Y","",IF(R4001&lt;&gt;"",R4001,IF(Q4001="(tanpa lawan)","Transfer antar rekening",IFERROR(INDEX(I_COA!$F$6:$F$265,MATCH(Q4001,I_COA!$A$6:$A$265,0)),"?"))))</f>
        <v/>
      </c>
    </row>
    <row r="4002" customFormat="false" ht="15" hidden="false" customHeight="false" outlineLevel="0" collapsed="false">
      <c r="A4002" s="37"/>
      <c r="B4002" s="44"/>
      <c r="C4002" s="44"/>
      <c r="D4002" s="44"/>
      <c r="E4002" s="44"/>
      <c r="F4002" s="44"/>
      <c r="G4002" s="42"/>
      <c r="H4002" s="42"/>
      <c r="I4002" s="44"/>
      <c r="J4002" s="11" t="str">
        <f aca="false">IF(D4002="","",N(G4002)-N(H4002))</f>
        <v/>
      </c>
      <c r="K4002" s="34" t="str">
        <f aca="false">IF(D4002="","",IFERROR(INDEX(I_COA!$C$6:$C$265,MATCH(D4002,I_COA!$A$6:$A$265,0)),"AKUN BARU"))</f>
        <v/>
      </c>
      <c r="L4002" s="34" t="str">
        <f aca="false">IF(K4002="LabaRugi",INDEX(I_COA!$D$6:$D$265,MATCH(D4002,I_COA!$A$6:$A$265,0)),"")</f>
        <v/>
      </c>
      <c r="M4002" s="34" t="str">
        <f aca="false">IF(K4002="Neraca",INDEX(I_COA!$E$6:$E$265,MATCH(D4002,I_COA!$A$6:$A$265,0)),"")</f>
        <v/>
      </c>
      <c r="N4002" s="34" t="str">
        <f aca="false">IF(D4002="","",IFERROR(INDEX(I_COA!$G$6:$G$265,MATCH(D4002,I_COA!$A$6:$A$265,0)),"N"))</f>
        <v/>
      </c>
      <c r="O4002" s="11" t="str">
        <f aca="false">IF(N4002="N",ABS(J4002),"")</f>
        <v/>
      </c>
      <c r="P4002" s="18" t="str">
        <f aca="false">IF(N4002="N",B4002&amp;"|"&amp;ROUND(O4002,0),"")</f>
        <v/>
      </c>
      <c r="Q4002" s="18" t="str">
        <f aca="false">IF(N4002&lt;&gt;"Y","",IFERROR(INDEX($D$6:$D$4005,MATCH(B4002&amp;"|"&amp;ROUND(_xlfn.MAXIFS($O$6:$O$4005,$B$6:$B$4005,B4002,$N$6:$N$4005,"N"),0),$P$6:$P$4005,0)),"(tanpa lawan)"))</f>
        <v/>
      </c>
      <c r="R4002" s="44"/>
      <c r="S4002" s="9" t="str">
        <f aca="false">IF(N4002&lt;&gt;"Y","",IF(R4002&lt;&gt;"",R4002,IF(Q4002="(tanpa lawan)","Transfer antar rekening",IFERROR(INDEX(I_COA!$F$6:$F$265,MATCH(Q4002,I_COA!$A$6:$A$265,0)),"?"))))</f>
        <v/>
      </c>
    </row>
    <row r="4003" customFormat="false" ht="15" hidden="false" customHeight="false" outlineLevel="0" collapsed="false">
      <c r="A4003" s="37"/>
      <c r="B4003" s="44"/>
      <c r="C4003" s="44"/>
      <c r="D4003" s="44"/>
      <c r="E4003" s="44"/>
      <c r="F4003" s="44"/>
      <c r="G4003" s="42"/>
      <c r="H4003" s="42"/>
      <c r="I4003" s="44"/>
      <c r="J4003" s="11" t="str">
        <f aca="false">IF(D4003="","",N(G4003)-N(H4003))</f>
        <v/>
      </c>
      <c r="K4003" s="34" t="str">
        <f aca="false">IF(D4003="","",IFERROR(INDEX(I_COA!$C$6:$C$265,MATCH(D4003,I_COA!$A$6:$A$265,0)),"AKUN BARU"))</f>
        <v/>
      </c>
      <c r="L4003" s="34" t="str">
        <f aca="false">IF(K4003="LabaRugi",INDEX(I_COA!$D$6:$D$265,MATCH(D4003,I_COA!$A$6:$A$265,0)),"")</f>
        <v/>
      </c>
      <c r="M4003" s="34" t="str">
        <f aca="false">IF(K4003="Neraca",INDEX(I_COA!$E$6:$E$265,MATCH(D4003,I_COA!$A$6:$A$265,0)),"")</f>
        <v/>
      </c>
      <c r="N4003" s="34" t="str">
        <f aca="false">IF(D4003="","",IFERROR(INDEX(I_COA!$G$6:$G$265,MATCH(D4003,I_COA!$A$6:$A$265,0)),"N"))</f>
        <v/>
      </c>
      <c r="O4003" s="11" t="str">
        <f aca="false">IF(N4003="N",ABS(J4003),"")</f>
        <v/>
      </c>
      <c r="P4003" s="18" t="str">
        <f aca="false">IF(N4003="N",B4003&amp;"|"&amp;ROUND(O4003,0),"")</f>
        <v/>
      </c>
      <c r="Q4003" s="18" t="str">
        <f aca="false">IF(N4003&lt;&gt;"Y","",IFERROR(INDEX($D$6:$D$4005,MATCH(B4003&amp;"|"&amp;ROUND(_xlfn.MAXIFS($O$6:$O$4005,$B$6:$B$4005,B4003,$N$6:$N$4005,"N"),0),$P$6:$P$4005,0)),"(tanpa lawan)"))</f>
        <v/>
      </c>
      <c r="R4003" s="44"/>
      <c r="S4003" s="9" t="str">
        <f aca="false">IF(N4003&lt;&gt;"Y","",IF(R4003&lt;&gt;"",R4003,IF(Q4003="(tanpa lawan)","Transfer antar rekening",IFERROR(INDEX(I_COA!$F$6:$F$265,MATCH(Q4003,I_COA!$A$6:$A$265,0)),"?"))))</f>
        <v/>
      </c>
    </row>
    <row r="4004" customFormat="false" ht="15" hidden="false" customHeight="false" outlineLevel="0" collapsed="false">
      <c r="A4004" s="37"/>
      <c r="B4004" s="44"/>
      <c r="C4004" s="44"/>
      <c r="D4004" s="44"/>
      <c r="E4004" s="44"/>
      <c r="F4004" s="44"/>
      <c r="G4004" s="42"/>
      <c r="H4004" s="42"/>
      <c r="I4004" s="44"/>
      <c r="J4004" s="11" t="str">
        <f aca="false">IF(D4004="","",N(G4004)-N(H4004))</f>
        <v/>
      </c>
      <c r="K4004" s="34" t="str">
        <f aca="false">IF(D4004="","",IFERROR(INDEX(I_COA!$C$6:$C$265,MATCH(D4004,I_COA!$A$6:$A$265,0)),"AKUN BARU"))</f>
        <v/>
      </c>
      <c r="L4004" s="34" t="str">
        <f aca="false">IF(K4004="LabaRugi",INDEX(I_COA!$D$6:$D$265,MATCH(D4004,I_COA!$A$6:$A$265,0)),"")</f>
        <v/>
      </c>
      <c r="M4004" s="34" t="str">
        <f aca="false">IF(K4004="Neraca",INDEX(I_COA!$E$6:$E$265,MATCH(D4004,I_COA!$A$6:$A$265,0)),"")</f>
        <v/>
      </c>
      <c r="N4004" s="34" t="str">
        <f aca="false">IF(D4004="","",IFERROR(INDEX(I_COA!$G$6:$G$265,MATCH(D4004,I_COA!$A$6:$A$265,0)),"N"))</f>
        <v/>
      </c>
      <c r="O4004" s="11" t="str">
        <f aca="false">IF(N4004="N",ABS(J4004),"")</f>
        <v/>
      </c>
      <c r="P4004" s="18" t="str">
        <f aca="false">IF(N4004="N",B4004&amp;"|"&amp;ROUND(O4004,0),"")</f>
        <v/>
      </c>
      <c r="Q4004" s="18" t="str">
        <f aca="false">IF(N4004&lt;&gt;"Y","",IFERROR(INDEX($D$6:$D$4005,MATCH(B4004&amp;"|"&amp;ROUND(_xlfn.MAXIFS($O$6:$O$4005,$B$6:$B$4005,B4004,$N$6:$N$4005,"N"),0),$P$6:$P$4005,0)),"(tanpa lawan)"))</f>
        <v/>
      </c>
      <c r="R4004" s="44"/>
      <c r="S4004" s="9" t="str">
        <f aca="false">IF(N4004&lt;&gt;"Y","",IF(R4004&lt;&gt;"",R4004,IF(Q4004="(tanpa lawan)","Transfer antar rekening",IFERROR(INDEX(I_COA!$F$6:$F$265,MATCH(Q4004,I_COA!$A$6:$A$265,0)),"?"))))</f>
        <v/>
      </c>
    </row>
    <row r="4005" customFormat="false" ht="15" hidden="false" customHeight="false" outlineLevel="0" collapsed="false">
      <c r="A4005" s="37"/>
      <c r="B4005" s="44"/>
      <c r="C4005" s="44"/>
      <c r="D4005" s="44"/>
      <c r="E4005" s="44"/>
      <c r="F4005" s="44"/>
      <c r="G4005" s="42"/>
      <c r="H4005" s="42"/>
      <c r="I4005" s="44"/>
      <c r="J4005" s="11" t="str">
        <f aca="false">IF(D4005="","",N(G4005)-N(H4005))</f>
        <v/>
      </c>
      <c r="K4005" s="34" t="str">
        <f aca="false">IF(D4005="","",IFERROR(INDEX(I_COA!$C$6:$C$265,MATCH(D4005,I_COA!$A$6:$A$265,0)),"AKUN BARU"))</f>
        <v/>
      </c>
      <c r="L4005" s="34" t="str">
        <f aca="false">IF(K4005="LabaRugi",INDEX(I_COA!$D$6:$D$265,MATCH(D4005,I_COA!$A$6:$A$265,0)),"")</f>
        <v/>
      </c>
      <c r="M4005" s="34" t="str">
        <f aca="false">IF(K4005="Neraca",INDEX(I_COA!$E$6:$E$265,MATCH(D4005,I_COA!$A$6:$A$265,0)),"")</f>
        <v/>
      </c>
      <c r="N4005" s="34" t="str">
        <f aca="false">IF(D4005="","",IFERROR(INDEX(I_COA!$G$6:$G$265,MATCH(D4005,I_COA!$A$6:$A$265,0)),"N"))</f>
        <v/>
      </c>
      <c r="O4005" s="11" t="str">
        <f aca="false">IF(N4005="N",ABS(J4005),"")</f>
        <v/>
      </c>
      <c r="P4005" s="18" t="str">
        <f aca="false">IF(N4005="N",B4005&amp;"|"&amp;ROUND(O4005,0),"")</f>
        <v/>
      </c>
      <c r="Q4005" s="18" t="str">
        <f aca="false">IF(N4005&lt;&gt;"Y","",IFERROR(INDEX($D$6:$D$4005,MATCH(B4005&amp;"|"&amp;ROUND(_xlfn.MAXIFS($O$6:$O$4005,$B$6:$B$4005,B4005,$N$6:$N$4005,"N"),0),$P$6:$P$4005,0)),"(tanpa lawan)"))</f>
        <v/>
      </c>
      <c r="R4005" s="44"/>
      <c r="S4005" s="9" t="str">
        <f aca="false">IF(N4005&lt;&gt;"Y","",IF(R4005&lt;&gt;"",R4005,IF(Q4005="(tanpa lawan)","Transfer antar rekening",IFERROR(INDEX(I_COA!$F$6:$F$265,MATCH(Q4005,I_COA!$A$6:$A$265,0)),"?"))))</f>
        <v/>
      </c>
    </row>
  </sheetData>
  <autoFilter ref="A5:S4005"/>
  <dataValidations count="1">
    <dataValidation allowBlank="true" errorStyle="stop" operator="between" showDropDown="false" showErrorMessage="false" showInputMessage="false" sqref="R6:R4005" type="list">
      <formula1>"Penerimaan dari pelanggan,Penerimaan lain,Bayar pemasok barang (live bird &amp; trading),Bayar jasa (maklon,angkut,cold storage,sewa),Bayar karyawan,Bayar biaya operasional lain,Bayar pajak,Bunga &amp; biaya bank,Belanja aset tetap,Pinjaman afiliasi (net),Setoran"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8"/>
  </cols>
  <sheetData>
    <row r="1" customFormat="false" ht="16.15" hidden="false" customHeight="false" outlineLevel="0" collapsed="false">
      <c r="A1" s="1" t="s">
        <v>1990</v>
      </c>
    </row>
    <row r="2" customFormat="false" ht="15" hidden="false" customHeight="false" outlineLevel="0" collapsed="false">
      <c r="A2" s="6" t="s">
        <v>1991</v>
      </c>
    </row>
    <row r="5" customFormat="false" ht="33.75" hidden="false" customHeight="true" outlineLevel="0" collapsed="false">
      <c r="A5" s="8" t="s">
        <v>110</v>
      </c>
      <c r="B5" s="8" t="s">
        <v>578</v>
      </c>
      <c r="C5" s="8" t="s">
        <v>1992</v>
      </c>
      <c r="D5" s="8" t="s">
        <v>346</v>
      </c>
      <c r="E5" s="8" t="s">
        <v>1993</v>
      </c>
      <c r="F5" s="8" t="s">
        <v>420</v>
      </c>
    </row>
    <row r="6" customFormat="false" ht="15" hidden="false" customHeight="false" outlineLevel="0" collapsed="false">
      <c r="A6" s="37" t="n">
        <v>46261</v>
      </c>
      <c r="B6" s="44" t="s">
        <v>258</v>
      </c>
      <c r="C6" s="44" t="s">
        <v>222</v>
      </c>
      <c r="D6" s="44" t="s">
        <v>1994</v>
      </c>
      <c r="E6" s="42" t="n">
        <v>-14030000</v>
      </c>
      <c r="F6" s="46" t="n">
        <f aca="false">IF(E6="","",IF(AND(A6&gt;=I_Parameter!$C$4,A6&lt;=I_Parameter!$C$6),1,0))</f>
        <v>1</v>
      </c>
    </row>
    <row r="7" customFormat="false" ht="15" hidden="false" customHeight="false" outlineLevel="0" collapsed="false">
      <c r="A7" s="37" t="n">
        <v>46261</v>
      </c>
      <c r="B7" s="44" t="s">
        <v>257</v>
      </c>
      <c r="C7" s="44" t="s">
        <v>210</v>
      </c>
      <c r="D7" s="44" t="s">
        <v>1995</v>
      </c>
      <c r="E7" s="42" t="n">
        <v>20077560</v>
      </c>
      <c r="F7" s="46" t="n">
        <f aca="false">IF(E7="","",IF(AND(A7&gt;=I_Parameter!$C$4,A7&lt;=I_Parameter!$C$6),1,0))</f>
        <v>1</v>
      </c>
    </row>
    <row r="8" customFormat="false" ht="15" hidden="false" customHeight="false" outlineLevel="0" collapsed="false">
      <c r="A8" s="37" t="n">
        <v>46261</v>
      </c>
      <c r="B8" s="44" t="s">
        <v>257</v>
      </c>
      <c r="C8" s="44" t="s">
        <v>210</v>
      </c>
      <c r="D8" s="44" t="s">
        <v>1996</v>
      </c>
      <c r="E8" s="42" t="n">
        <v>-17978000</v>
      </c>
      <c r="F8" s="46" t="n">
        <f aca="false">IF(E8="","",IF(AND(A8&gt;=I_Parameter!$C$4,A8&lt;=I_Parameter!$C$6),1,0))</f>
        <v>1</v>
      </c>
    </row>
    <row r="9" customFormat="false" ht="15" hidden="false" customHeight="false" outlineLevel="0" collapsed="false">
      <c r="A9" s="37" t="n">
        <v>46261</v>
      </c>
      <c r="B9" s="44" t="s">
        <v>257</v>
      </c>
      <c r="C9" s="44" t="s">
        <v>220</v>
      </c>
      <c r="D9" s="44" t="s">
        <v>1997</v>
      </c>
      <c r="E9" s="42" t="n">
        <v>-394822000</v>
      </c>
      <c r="F9" s="46" t="n">
        <f aca="false">IF(E9="","",IF(AND(A9&gt;=I_Parameter!$C$4,A9&lt;=I_Parameter!$C$6),1,0))</f>
        <v>1</v>
      </c>
    </row>
    <row r="10" customFormat="false" ht="15" hidden="false" customHeight="false" outlineLevel="0" collapsed="false">
      <c r="A10" s="37" t="n">
        <v>46261</v>
      </c>
      <c r="B10" s="44" t="s">
        <v>255</v>
      </c>
      <c r="C10" s="44" t="s">
        <v>206</v>
      </c>
      <c r="D10" s="44" t="s">
        <v>1998</v>
      </c>
      <c r="E10" s="42" t="n">
        <v>48044160</v>
      </c>
      <c r="F10" s="46" t="n">
        <f aca="false">IF(E10="","",IF(AND(A10&gt;=I_Parameter!$C$4,A10&lt;=I_Parameter!$C$6),1,0))</f>
        <v>1</v>
      </c>
    </row>
    <row r="11" customFormat="false" ht="15" hidden="false" customHeight="false" outlineLevel="0" collapsed="false">
      <c r="A11" s="37" t="n">
        <v>46261</v>
      </c>
      <c r="B11" s="44" t="s">
        <v>255</v>
      </c>
      <c r="C11" s="44" t="s">
        <v>206</v>
      </c>
      <c r="D11" s="44" t="s">
        <v>1999</v>
      </c>
      <c r="E11" s="42" t="n">
        <v>34909450</v>
      </c>
      <c r="F11" s="46" t="n">
        <f aca="false">IF(E11="","",IF(AND(A11&gt;=I_Parameter!$C$4,A11&lt;=I_Parameter!$C$6),1,0))</f>
        <v>1</v>
      </c>
    </row>
    <row r="12" customFormat="false" ht="15" hidden="false" customHeight="false" outlineLevel="0" collapsed="false">
      <c r="A12" s="37" t="n">
        <v>46261</v>
      </c>
      <c r="B12" s="44" t="s">
        <v>255</v>
      </c>
      <c r="C12" s="44" t="s">
        <v>206</v>
      </c>
      <c r="D12" s="44" t="s">
        <v>2000</v>
      </c>
      <c r="E12" s="42" t="n">
        <v>41037700</v>
      </c>
      <c r="F12" s="46" t="n">
        <f aca="false">IF(E12="","",IF(AND(A12&gt;=I_Parameter!$C$4,A12&lt;=I_Parameter!$C$6),1,0))</f>
        <v>1</v>
      </c>
    </row>
    <row r="13" customFormat="false" ht="15" hidden="false" customHeight="false" outlineLevel="0" collapsed="false">
      <c r="A13" s="37" t="n">
        <v>46261</v>
      </c>
      <c r="B13" s="44" t="s">
        <v>255</v>
      </c>
      <c r="C13" s="44" t="s">
        <v>206</v>
      </c>
      <c r="D13" s="44" t="s">
        <v>2001</v>
      </c>
      <c r="E13" s="42" t="n">
        <v>188409550</v>
      </c>
      <c r="F13" s="46" t="n">
        <f aca="false">IF(E13="","",IF(AND(A13&gt;=I_Parameter!$C$4,A13&lt;=I_Parameter!$C$6),1,0))</f>
        <v>1</v>
      </c>
    </row>
    <row r="14" customFormat="false" ht="15" hidden="false" customHeight="false" outlineLevel="0" collapsed="false">
      <c r="A14" s="37" t="n">
        <v>46261</v>
      </c>
      <c r="B14" s="44" t="s">
        <v>255</v>
      </c>
      <c r="C14" s="44" t="s">
        <v>206</v>
      </c>
      <c r="D14" s="44" t="s">
        <v>2002</v>
      </c>
      <c r="E14" s="42" t="n">
        <v>40000000</v>
      </c>
      <c r="F14" s="46" t="n">
        <f aca="false">IF(E14="","",IF(AND(A14&gt;=I_Parameter!$C$4,A14&lt;=I_Parameter!$C$6),1,0))</f>
        <v>1</v>
      </c>
    </row>
    <row r="15" customFormat="false" ht="15" hidden="false" customHeight="false" outlineLevel="0" collapsed="false">
      <c r="A15" s="37" t="n">
        <v>46261</v>
      </c>
      <c r="B15" s="44" t="s">
        <v>255</v>
      </c>
      <c r="C15" s="44" t="s">
        <v>206</v>
      </c>
      <c r="D15" s="44" t="s">
        <v>2002</v>
      </c>
      <c r="E15" s="42" t="n">
        <v>113372280</v>
      </c>
      <c r="F15" s="46" t="n">
        <f aca="false">IF(E15="","",IF(AND(A15&gt;=I_Parameter!$C$4,A15&lt;=I_Parameter!$C$6),1,0))</f>
        <v>1</v>
      </c>
    </row>
    <row r="16" customFormat="false" ht="15" hidden="false" customHeight="false" outlineLevel="0" collapsed="false">
      <c r="A16" s="37" t="n">
        <v>46261</v>
      </c>
      <c r="B16" s="44" t="s">
        <v>255</v>
      </c>
      <c r="C16" s="44" t="s">
        <v>225</v>
      </c>
      <c r="D16" s="44" t="s">
        <v>2003</v>
      </c>
      <c r="E16" s="42" t="n">
        <v>600000</v>
      </c>
      <c r="F16" s="46" t="n">
        <f aca="false">IF(E16="","",IF(AND(A16&gt;=I_Parameter!$C$4,A16&lt;=I_Parameter!$C$6),1,0))</f>
        <v>1</v>
      </c>
    </row>
    <row r="17" customFormat="false" ht="15" hidden="false" customHeight="false" outlineLevel="0" collapsed="false">
      <c r="A17" s="37" t="n">
        <v>46261</v>
      </c>
      <c r="B17" s="44" t="s">
        <v>266</v>
      </c>
      <c r="C17" s="44" t="s">
        <v>210</v>
      </c>
      <c r="D17" s="44" t="s">
        <v>2004</v>
      </c>
      <c r="E17" s="42" t="n">
        <v>-400000000</v>
      </c>
      <c r="F17" s="46" t="n">
        <f aca="false">IF(E17="","",IF(AND(A17&gt;=I_Parameter!$C$4,A17&lt;=I_Parameter!$C$6),1,0))</f>
        <v>1</v>
      </c>
    </row>
    <row r="18" customFormat="false" ht="15" hidden="false" customHeight="false" outlineLevel="0" collapsed="false">
      <c r="A18" s="37" t="n">
        <v>46261</v>
      </c>
      <c r="B18" s="44" t="s">
        <v>266</v>
      </c>
      <c r="C18" s="44" t="s">
        <v>210</v>
      </c>
      <c r="D18" s="44" t="s">
        <v>2005</v>
      </c>
      <c r="E18" s="42" t="n">
        <v>400000000</v>
      </c>
      <c r="F18" s="46" t="n">
        <f aca="false">IF(E18="","",IF(AND(A18&gt;=I_Parameter!$C$4,A18&lt;=I_Parameter!$C$6),1,0))</f>
        <v>1</v>
      </c>
    </row>
    <row r="19" customFormat="false" ht="15" hidden="false" customHeight="false" outlineLevel="0" collapsed="false">
      <c r="A19" s="37" t="n">
        <v>46262</v>
      </c>
      <c r="B19" s="44" t="s">
        <v>258</v>
      </c>
      <c r="C19" s="44" t="s">
        <v>222</v>
      </c>
      <c r="D19" s="44" t="s">
        <v>2006</v>
      </c>
      <c r="E19" s="42" t="n">
        <v>-14615000</v>
      </c>
      <c r="F19" s="46" t="n">
        <f aca="false">IF(E19="","",IF(AND(A19&gt;=I_Parameter!$C$4,A19&lt;=I_Parameter!$C$6),1,0))</f>
        <v>1</v>
      </c>
    </row>
    <row r="20" customFormat="false" ht="15" hidden="false" customHeight="false" outlineLevel="0" collapsed="false">
      <c r="A20" s="37" t="n">
        <v>46262</v>
      </c>
      <c r="B20" s="44" t="s">
        <v>258</v>
      </c>
      <c r="C20" s="44" t="s">
        <v>222</v>
      </c>
      <c r="D20" s="44" t="s">
        <v>2007</v>
      </c>
      <c r="E20" s="42" t="n">
        <v>-882000</v>
      </c>
      <c r="F20" s="46" t="n">
        <f aca="false">IF(E20="","",IF(AND(A20&gt;=I_Parameter!$C$4,A20&lt;=I_Parameter!$C$6),1,0))</f>
        <v>1</v>
      </c>
    </row>
    <row r="21" customFormat="false" ht="15" hidden="false" customHeight="false" outlineLevel="0" collapsed="false">
      <c r="A21" s="37" t="n">
        <v>46262</v>
      </c>
      <c r="B21" s="44" t="s">
        <v>258</v>
      </c>
      <c r="C21" s="44" t="s">
        <v>222</v>
      </c>
      <c r="D21" s="44" t="s">
        <v>2008</v>
      </c>
      <c r="E21" s="42" t="n">
        <v>-326340</v>
      </c>
      <c r="F21" s="46" t="n">
        <f aca="false">IF(E21="","",IF(AND(A21&gt;=I_Parameter!$C$4,A21&lt;=I_Parameter!$C$6),1,0))</f>
        <v>1</v>
      </c>
    </row>
    <row r="22" customFormat="false" ht="15" hidden="false" customHeight="false" outlineLevel="0" collapsed="false">
      <c r="A22" s="37" t="n">
        <v>46262</v>
      </c>
      <c r="B22" s="44" t="s">
        <v>258</v>
      </c>
      <c r="C22" s="44" t="s">
        <v>222</v>
      </c>
      <c r="D22" s="44" t="s">
        <v>2009</v>
      </c>
      <c r="E22" s="42" t="n">
        <v>-1526000</v>
      </c>
      <c r="F22" s="46" t="n">
        <f aca="false">IF(E22="","",IF(AND(A22&gt;=I_Parameter!$C$4,A22&lt;=I_Parameter!$C$6),1,0))</f>
        <v>1</v>
      </c>
    </row>
    <row r="23" customFormat="false" ht="15" hidden="false" customHeight="false" outlineLevel="0" collapsed="false">
      <c r="A23" s="37" t="n">
        <v>46262</v>
      </c>
      <c r="B23" s="44" t="s">
        <v>258</v>
      </c>
      <c r="C23" s="44" t="s">
        <v>222</v>
      </c>
      <c r="D23" s="44" t="s">
        <v>2010</v>
      </c>
      <c r="E23" s="42" t="n">
        <v>-3667573</v>
      </c>
      <c r="F23" s="46" t="n">
        <f aca="false">IF(E23="","",IF(AND(A23&gt;=I_Parameter!$C$4,A23&lt;=I_Parameter!$C$6),1,0))</f>
        <v>1</v>
      </c>
    </row>
    <row r="24" customFormat="false" ht="15" hidden="false" customHeight="false" outlineLevel="0" collapsed="false">
      <c r="A24" s="37" t="n">
        <v>46262</v>
      </c>
      <c r="B24" s="44" t="s">
        <v>258</v>
      </c>
      <c r="C24" s="44" t="s">
        <v>222</v>
      </c>
      <c r="D24" s="44" t="s">
        <v>2011</v>
      </c>
      <c r="E24" s="42" t="n">
        <v>-12905</v>
      </c>
      <c r="F24" s="46" t="n">
        <f aca="false">IF(E24="","",IF(AND(A24&gt;=I_Parameter!$C$4,A24&lt;=I_Parameter!$C$6),1,0))</f>
        <v>1</v>
      </c>
    </row>
    <row r="25" customFormat="false" ht="15" hidden="false" customHeight="false" outlineLevel="0" collapsed="false">
      <c r="A25" s="37" t="n">
        <v>46262</v>
      </c>
      <c r="B25" s="44" t="s">
        <v>258</v>
      </c>
      <c r="C25" s="44" t="s">
        <v>222</v>
      </c>
      <c r="D25" s="44" t="s">
        <v>2012</v>
      </c>
      <c r="E25" s="42" t="n">
        <v>-1133790000</v>
      </c>
      <c r="F25" s="46" t="n">
        <f aca="false">IF(E25="","",IF(AND(A25&gt;=I_Parameter!$C$4,A25&lt;=I_Parameter!$C$6),1,0))</f>
        <v>1</v>
      </c>
    </row>
    <row r="26" customFormat="false" ht="15" hidden="false" customHeight="false" outlineLevel="0" collapsed="false">
      <c r="A26" s="37" t="n">
        <v>46262</v>
      </c>
      <c r="B26" s="44" t="s">
        <v>258</v>
      </c>
      <c r="C26" s="44" t="s">
        <v>222</v>
      </c>
      <c r="D26" s="44" t="s">
        <v>2013</v>
      </c>
      <c r="E26" s="42" t="n">
        <v>-661500</v>
      </c>
      <c r="F26" s="46" t="n">
        <f aca="false">IF(E26="","",IF(AND(A26&gt;=I_Parameter!$C$4,A26&lt;=I_Parameter!$C$6),1,0))</f>
        <v>1</v>
      </c>
    </row>
    <row r="27" customFormat="false" ht="15" hidden="false" customHeight="false" outlineLevel="0" collapsed="false">
      <c r="A27" s="37" t="n">
        <v>46262</v>
      </c>
      <c r="B27" s="44" t="s">
        <v>259</v>
      </c>
      <c r="C27" s="44" t="s">
        <v>224</v>
      </c>
      <c r="D27" s="44" t="s">
        <v>2014</v>
      </c>
      <c r="E27" s="42" t="n">
        <v>-79741706</v>
      </c>
      <c r="F27" s="46" t="n">
        <f aca="false">IF(E27="","",IF(AND(A27&gt;=I_Parameter!$C$4,A27&lt;=I_Parameter!$C$6),1,0))</f>
        <v>1</v>
      </c>
    </row>
    <row r="28" customFormat="false" ht="15" hidden="false" customHeight="false" outlineLevel="0" collapsed="false">
      <c r="A28" s="37" t="n">
        <v>46262</v>
      </c>
      <c r="B28" s="44" t="s">
        <v>257</v>
      </c>
      <c r="C28" s="44" t="s">
        <v>210</v>
      </c>
      <c r="D28" s="44" t="s">
        <v>2015</v>
      </c>
      <c r="E28" s="42" t="n">
        <v>17735800</v>
      </c>
      <c r="F28" s="46" t="n">
        <f aca="false">IF(E28="","",IF(AND(A28&gt;=I_Parameter!$C$4,A28&lt;=I_Parameter!$C$6),1,0))</f>
        <v>1</v>
      </c>
    </row>
    <row r="29" customFormat="false" ht="15" hidden="false" customHeight="false" outlineLevel="0" collapsed="false">
      <c r="A29" s="37" t="n">
        <v>46262</v>
      </c>
      <c r="B29" s="44" t="s">
        <v>257</v>
      </c>
      <c r="C29" s="44" t="s">
        <v>221</v>
      </c>
      <c r="D29" s="44" t="s">
        <v>2016</v>
      </c>
      <c r="E29" s="42" t="n">
        <v>-361200000</v>
      </c>
      <c r="F29" s="46" t="n">
        <f aca="false">IF(E29="","",IF(AND(A29&gt;=I_Parameter!$C$4,A29&lt;=I_Parameter!$C$6),1,0))</f>
        <v>1</v>
      </c>
    </row>
    <row r="30" customFormat="false" ht="15" hidden="false" customHeight="false" outlineLevel="0" collapsed="false">
      <c r="A30" s="37" t="n">
        <v>46262</v>
      </c>
      <c r="B30" s="44" t="s">
        <v>262</v>
      </c>
      <c r="C30" s="44" t="s">
        <v>224</v>
      </c>
      <c r="D30" s="44" t="s">
        <v>2017</v>
      </c>
      <c r="E30" s="42" t="n">
        <v>-90000</v>
      </c>
      <c r="F30" s="46" t="n">
        <f aca="false">IF(E30="","",IF(AND(A30&gt;=I_Parameter!$C$4,A30&lt;=I_Parameter!$C$6),1,0))</f>
        <v>1</v>
      </c>
    </row>
    <row r="31" customFormat="false" ht="15" hidden="false" customHeight="false" outlineLevel="0" collapsed="false">
      <c r="A31" s="37" t="n">
        <v>46262</v>
      </c>
      <c r="B31" s="44" t="s">
        <v>262</v>
      </c>
      <c r="C31" s="44" t="s">
        <v>224</v>
      </c>
      <c r="D31" s="44" t="s">
        <v>2018</v>
      </c>
      <c r="E31" s="42" t="n">
        <v>-2500</v>
      </c>
      <c r="F31" s="46" t="n">
        <f aca="false">IF(E31="","",IF(AND(A31&gt;=I_Parameter!$C$4,A31&lt;=I_Parameter!$C$6),1,0))</f>
        <v>1</v>
      </c>
    </row>
    <row r="32" customFormat="false" ht="15" hidden="false" customHeight="false" outlineLevel="0" collapsed="false">
      <c r="A32" s="37" t="n">
        <v>46262</v>
      </c>
      <c r="B32" s="44" t="s">
        <v>262</v>
      </c>
      <c r="C32" s="44" t="s">
        <v>224</v>
      </c>
      <c r="D32" s="44" t="s">
        <v>2019</v>
      </c>
      <c r="E32" s="42" t="n">
        <v>-25000</v>
      </c>
      <c r="F32" s="46" t="n">
        <f aca="false">IF(E32="","",IF(AND(A32&gt;=I_Parameter!$C$4,A32&lt;=I_Parameter!$C$6),1,0))</f>
        <v>1</v>
      </c>
    </row>
    <row r="33" customFormat="false" ht="15" hidden="false" customHeight="false" outlineLevel="0" collapsed="false">
      <c r="A33" s="37" t="n">
        <v>46262</v>
      </c>
      <c r="B33" s="44" t="s">
        <v>262</v>
      </c>
      <c r="C33" s="44" t="s">
        <v>224</v>
      </c>
      <c r="D33" s="44" t="s">
        <v>2020</v>
      </c>
      <c r="E33" s="42" t="n">
        <v>-2500</v>
      </c>
      <c r="F33" s="46" t="n">
        <f aca="false">IF(E33="","",IF(AND(A33&gt;=I_Parameter!$C$4,A33&lt;=I_Parameter!$C$6),1,0))</f>
        <v>1</v>
      </c>
    </row>
    <row r="34" customFormat="false" ht="15" hidden="false" customHeight="false" outlineLevel="0" collapsed="false">
      <c r="A34" s="37" t="n">
        <v>46262</v>
      </c>
      <c r="B34" s="44" t="s">
        <v>255</v>
      </c>
      <c r="C34" s="44" t="s">
        <v>206</v>
      </c>
      <c r="D34" s="44" t="s">
        <v>2021</v>
      </c>
      <c r="E34" s="42" t="n">
        <v>34633420</v>
      </c>
      <c r="F34" s="46" t="n">
        <f aca="false">IF(E34="","",IF(AND(A34&gt;=I_Parameter!$C$4,A34&lt;=I_Parameter!$C$6),1,0))</f>
        <v>1</v>
      </c>
    </row>
    <row r="35" customFormat="false" ht="15" hidden="false" customHeight="false" outlineLevel="0" collapsed="false">
      <c r="A35" s="37" t="n">
        <v>46262</v>
      </c>
      <c r="B35" s="44" t="s">
        <v>255</v>
      </c>
      <c r="C35" s="44" t="s">
        <v>206</v>
      </c>
      <c r="D35" s="44" t="s">
        <v>2022</v>
      </c>
      <c r="E35" s="42" t="n">
        <v>120529420</v>
      </c>
      <c r="F35" s="46" t="n">
        <f aca="false">IF(E35="","",IF(AND(A35&gt;=I_Parameter!$C$4,A35&lt;=I_Parameter!$C$6),1,0))</f>
        <v>1</v>
      </c>
    </row>
    <row r="36" customFormat="false" ht="15" hidden="false" customHeight="false" outlineLevel="0" collapsed="false">
      <c r="A36" s="37" t="n">
        <v>46262</v>
      </c>
      <c r="B36" s="44" t="s">
        <v>255</v>
      </c>
      <c r="C36" s="44" t="s">
        <v>206</v>
      </c>
      <c r="D36" s="44" t="s">
        <v>2023</v>
      </c>
      <c r="E36" s="42" t="n">
        <v>93623988</v>
      </c>
      <c r="F36" s="46" t="n">
        <f aca="false">IF(E36="","",IF(AND(A36&gt;=I_Parameter!$C$4,A36&lt;=I_Parameter!$C$6),1,0))</f>
        <v>1</v>
      </c>
    </row>
    <row r="37" customFormat="false" ht="15" hidden="false" customHeight="false" outlineLevel="0" collapsed="false">
      <c r="A37" s="37" t="n">
        <v>46262</v>
      </c>
      <c r="B37" s="44" t="s">
        <v>255</v>
      </c>
      <c r="C37" s="44" t="s">
        <v>206</v>
      </c>
      <c r="D37" s="44" t="s">
        <v>2024</v>
      </c>
      <c r="E37" s="42" t="n">
        <v>12355730</v>
      </c>
      <c r="F37" s="46" t="n">
        <f aca="false">IF(E37="","",IF(AND(A37&gt;=I_Parameter!$C$4,A37&lt;=I_Parameter!$C$6),1,0))</f>
        <v>1</v>
      </c>
    </row>
    <row r="38" customFormat="false" ht="15" hidden="false" customHeight="false" outlineLevel="0" collapsed="false">
      <c r="A38" s="37" t="n">
        <v>46262</v>
      </c>
      <c r="B38" s="44" t="s">
        <v>255</v>
      </c>
      <c r="C38" s="44" t="s">
        <v>206</v>
      </c>
      <c r="D38" s="44" t="s">
        <v>2025</v>
      </c>
      <c r="E38" s="42" t="n">
        <v>66124300</v>
      </c>
      <c r="F38" s="46" t="n">
        <f aca="false">IF(E38="","",IF(AND(A38&gt;=I_Parameter!$C$4,A38&lt;=I_Parameter!$C$6),1,0))</f>
        <v>1</v>
      </c>
    </row>
    <row r="39" customFormat="false" ht="15" hidden="false" customHeight="false" outlineLevel="0" collapsed="false">
      <c r="A39" s="37" t="n">
        <v>46262</v>
      </c>
      <c r="B39" s="44" t="s">
        <v>255</v>
      </c>
      <c r="C39" s="44" t="s">
        <v>206</v>
      </c>
      <c r="D39" s="44" t="s">
        <v>2026</v>
      </c>
      <c r="E39" s="42" t="n">
        <v>167258500</v>
      </c>
      <c r="F39" s="46" t="n">
        <f aca="false">IF(E39="","",IF(AND(A39&gt;=I_Parameter!$C$4,A39&lt;=I_Parameter!$C$6),1,0))</f>
        <v>1</v>
      </c>
    </row>
    <row r="40" customFormat="false" ht="15" hidden="false" customHeight="false" outlineLevel="0" collapsed="false">
      <c r="A40" s="37" t="n">
        <v>46262</v>
      </c>
      <c r="B40" s="44" t="s">
        <v>255</v>
      </c>
      <c r="C40" s="44" t="s">
        <v>206</v>
      </c>
      <c r="D40" s="44" t="s">
        <v>2027</v>
      </c>
      <c r="E40" s="42" t="n">
        <v>25081930</v>
      </c>
      <c r="F40" s="46" t="n">
        <f aca="false">IF(E40="","",IF(AND(A40&gt;=I_Parameter!$C$4,A40&lt;=I_Parameter!$C$6),1,0))</f>
        <v>1</v>
      </c>
    </row>
    <row r="41" customFormat="false" ht="15" hidden="false" customHeight="false" outlineLevel="0" collapsed="false">
      <c r="A41" s="37" t="n">
        <v>46262</v>
      </c>
      <c r="B41" s="44" t="s">
        <v>266</v>
      </c>
      <c r="C41" s="44" t="s">
        <v>210</v>
      </c>
      <c r="D41" s="44" t="s">
        <v>2028</v>
      </c>
      <c r="E41" s="42" t="n">
        <v>80000000</v>
      </c>
      <c r="F41" s="46" t="n">
        <f aca="false">IF(E41="","",IF(AND(A41&gt;=I_Parameter!$C$4,A41&lt;=I_Parameter!$C$6),1,0))</f>
        <v>1</v>
      </c>
    </row>
    <row r="42" customFormat="false" ht="15" hidden="false" customHeight="false" outlineLevel="0" collapsed="false">
      <c r="A42" s="37" t="n">
        <v>46262</v>
      </c>
      <c r="B42" s="44" t="s">
        <v>266</v>
      </c>
      <c r="C42" s="44" t="s">
        <v>210</v>
      </c>
      <c r="D42" s="44" t="s">
        <v>2004</v>
      </c>
      <c r="E42" s="42" t="n">
        <v>-400000000</v>
      </c>
      <c r="F42" s="46" t="n">
        <f aca="false">IF(E42="","",IF(AND(A42&gt;=I_Parameter!$C$4,A42&lt;=I_Parameter!$C$6),1,0))</f>
        <v>1</v>
      </c>
    </row>
    <row r="43" customFormat="false" ht="15" hidden="false" customHeight="false" outlineLevel="0" collapsed="false">
      <c r="A43" s="37" t="n">
        <v>46262</v>
      </c>
      <c r="B43" s="44" t="s">
        <v>266</v>
      </c>
      <c r="C43" s="44" t="s">
        <v>210</v>
      </c>
      <c r="D43" s="44" t="s">
        <v>2005</v>
      </c>
      <c r="E43" s="42" t="n">
        <v>400000000</v>
      </c>
      <c r="F43" s="46" t="n">
        <f aca="false">IF(E43="","",IF(AND(A43&gt;=I_Parameter!$C$4,A43&lt;=I_Parameter!$C$6),1,0))</f>
        <v>1</v>
      </c>
    </row>
    <row r="44" customFormat="false" ht="15" hidden="false" customHeight="false" outlineLevel="0" collapsed="false">
      <c r="A44" s="37" t="n">
        <v>46262</v>
      </c>
      <c r="B44" s="44" t="s">
        <v>266</v>
      </c>
      <c r="C44" s="44" t="s">
        <v>210</v>
      </c>
      <c r="D44" s="44" t="s">
        <v>2029</v>
      </c>
      <c r="E44" s="42" t="n">
        <v>-80000000</v>
      </c>
      <c r="F44" s="46" t="n">
        <f aca="false">IF(E44="","",IF(AND(A44&gt;=I_Parameter!$C$4,A44&lt;=I_Parameter!$C$6),1,0))</f>
        <v>1</v>
      </c>
    </row>
    <row r="45" customFormat="false" ht="15" hidden="false" customHeight="false" outlineLevel="0" collapsed="false">
      <c r="A45" s="37" t="n">
        <v>46263</v>
      </c>
      <c r="B45" s="44" t="s">
        <v>255</v>
      </c>
      <c r="C45" s="44" t="s">
        <v>206</v>
      </c>
      <c r="D45" s="44" t="s">
        <v>2030</v>
      </c>
      <c r="E45" s="42" t="n">
        <v>129249400</v>
      </c>
      <c r="F45" s="46" t="n">
        <f aca="false">IF(E45="","",IF(AND(A45&gt;=I_Parameter!$C$4,A45&lt;=I_Parameter!$C$6),1,0))</f>
        <v>1</v>
      </c>
    </row>
    <row r="46" customFormat="false" ht="15" hidden="false" customHeight="false" outlineLevel="0" collapsed="false">
      <c r="A46" s="37" t="n">
        <v>46263</v>
      </c>
      <c r="B46" s="44" t="s">
        <v>255</v>
      </c>
      <c r="C46" s="44" t="s">
        <v>206</v>
      </c>
      <c r="D46" s="44" t="s">
        <v>2031</v>
      </c>
      <c r="E46" s="42" t="n">
        <v>860000</v>
      </c>
      <c r="F46" s="46" t="n">
        <f aca="false">IF(E46="","",IF(AND(A46&gt;=I_Parameter!$C$4,A46&lt;=I_Parameter!$C$6),1,0))</f>
        <v>1</v>
      </c>
    </row>
    <row r="47" customFormat="false" ht="15" hidden="false" customHeight="false" outlineLevel="0" collapsed="false">
      <c r="A47" s="37" t="n">
        <v>46263</v>
      </c>
      <c r="B47" s="44" t="s">
        <v>255</v>
      </c>
      <c r="C47" s="44" t="s">
        <v>206</v>
      </c>
      <c r="D47" s="44" t="s">
        <v>2032</v>
      </c>
      <c r="E47" s="42" t="n">
        <v>99551250</v>
      </c>
      <c r="F47" s="46" t="n">
        <f aca="false">IF(E47="","",IF(AND(A47&gt;=I_Parameter!$C$4,A47&lt;=I_Parameter!$C$6),1,0))</f>
        <v>1</v>
      </c>
    </row>
    <row r="48" customFormat="false" ht="15" hidden="false" customHeight="false" outlineLevel="0" collapsed="false">
      <c r="A48" s="37" t="n">
        <v>46263</v>
      </c>
      <c r="B48" s="44" t="s">
        <v>255</v>
      </c>
      <c r="C48" s="44" t="s">
        <v>206</v>
      </c>
      <c r="D48" s="44" t="s">
        <v>2033</v>
      </c>
      <c r="E48" s="42" t="n">
        <v>140581500</v>
      </c>
      <c r="F48" s="46" t="n">
        <f aca="false">IF(E48="","",IF(AND(A48&gt;=I_Parameter!$C$4,A48&lt;=I_Parameter!$C$6),1,0))</f>
        <v>1</v>
      </c>
    </row>
    <row r="49" customFormat="false" ht="15" hidden="false" customHeight="false" outlineLevel="0" collapsed="false">
      <c r="A49" s="37" t="n">
        <v>46263</v>
      </c>
      <c r="B49" s="44" t="s">
        <v>255</v>
      </c>
      <c r="C49" s="44" t="s">
        <v>206</v>
      </c>
      <c r="D49" s="44" t="s">
        <v>2034</v>
      </c>
      <c r="E49" s="42" t="n">
        <v>40137970</v>
      </c>
      <c r="F49" s="46" t="n">
        <f aca="false">IF(E49="","",IF(AND(A49&gt;=I_Parameter!$C$4,A49&lt;=I_Parameter!$C$6),1,0))</f>
        <v>1</v>
      </c>
    </row>
    <row r="50" customFormat="false" ht="15" hidden="false" customHeight="false" outlineLevel="0" collapsed="false">
      <c r="A50" s="37" t="n">
        <v>46263</v>
      </c>
      <c r="B50" s="44" t="s">
        <v>255</v>
      </c>
      <c r="C50" s="44" t="s">
        <v>206</v>
      </c>
      <c r="D50" s="44" t="s">
        <v>2035</v>
      </c>
      <c r="E50" s="42" t="n">
        <v>38146000</v>
      </c>
      <c r="F50" s="46" t="n">
        <f aca="false">IF(E50="","",IF(AND(A50&gt;=I_Parameter!$C$4,A50&lt;=I_Parameter!$C$6),1,0))</f>
        <v>1</v>
      </c>
    </row>
    <row r="51" customFormat="false" ht="15" hidden="false" customHeight="false" outlineLevel="0" collapsed="false">
      <c r="A51" s="37" t="n">
        <v>46263</v>
      </c>
      <c r="B51" s="44" t="s">
        <v>255</v>
      </c>
      <c r="C51" s="44" t="s">
        <v>225</v>
      </c>
      <c r="D51" s="44" t="s">
        <v>2036</v>
      </c>
      <c r="E51" s="42" t="n">
        <v>80000000</v>
      </c>
      <c r="F51" s="46" t="n">
        <f aca="false">IF(E51="","",IF(AND(A51&gt;=I_Parameter!$C$4,A51&lt;=I_Parameter!$C$6),1,0))</f>
        <v>1</v>
      </c>
    </row>
    <row r="52" customFormat="false" ht="15" hidden="false" customHeight="false" outlineLevel="0" collapsed="false">
      <c r="A52" s="37"/>
      <c r="B52" s="44"/>
      <c r="C52" s="44"/>
      <c r="D52" s="44"/>
      <c r="E52" s="42"/>
      <c r="F52" s="46" t="str">
        <f aca="false">IF(E52="","",IF(AND(A52&gt;=I_Parameter!$C$4,A52&lt;=I_Parameter!$C$6),1,0))</f>
        <v/>
      </c>
    </row>
    <row r="53" customFormat="false" ht="15" hidden="false" customHeight="false" outlineLevel="0" collapsed="false">
      <c r="A53" s="37"/>
      <c r="B53" s="44"/>
      <c r="C53" s="44"/>
      <c r="D53" s="44"/>
      <c r="E53" s="42"/>
      <c r="F53" s="46" t="str">
        <f aca="false">IF(E53="","",IF(AND(A53&gt;=I_Parameter!$C$4,A53&lt;=I_Parameter!$C$6),1,0))</f>
        <v/>
      </c>
    </row>
    <row r="54" customFormat="false" ht="15" hidden="false" customHeight="false" outlineLevel="0" collapsed="false">
      <c r="A54" s="37"/>
      <c r="B54" s="44"/>
      <c r="C54" s="44"/>
      <c r="D54" s="44"/>
      <c r="E54" s="42"/>
      <c r="F54" s="46" t="str">
        <f aca="false">IF(E54="","",IF(AND(A54&gt;=I_Parameter!$C$4,A54&lt;=I_Parameter!$C$6),1,0))</f>
        <v/>
      </c>
    </row>
    <row r="55" customFormat="false" ht="15" hidden="false" customHeight="false" outlineLevel="0" collapsed="false">
      <c r="A55" s="37"/>
      <c r="B55" s="44"/>
      <c r="C55" s="44"/>
      <c r="D55" s="44"/>
      <c r="E55" s="42"/>
      <c r="F55" s="46" t="str">
        <f aca="false">IF(E55="","",IF(AND(A55&gt;=I_Parameter!$C$4,A55&lt;=I_Parameter!$C$6),1,0))</f>
        <v/>
      </c>
    </row>
    <row r="56" customFormat="false" ht="15" hidden="false" customHeight="false" outlineLevel="0" collapsed="false">
      <c r="A56" s="37"/>
      <c r="B56" s="44"/>
      <c r="C56" s="44"/>
      <c r="D56" s="44"/>
      <c r="E56" s="42"/>
      <c r="F56" s="46" t="str">
        <f aca="false">IF(E56="","",IF(AND(A56&gt;=I_Parameter!$C$4,A56&lt;=I_Parameter!$C$6),1,0))</f>
        <v/>
      </c>
    </row>
    <row r="57" customFormat="false" ht="15" hidden="false" customHeight="false" outlineLevel="0" collapsed="false">
      <c r="A57" s="37"/>
      <c r="B57" s="44"/>
      <c r="C57" s="44"/>
      <c r="D57" s="44"/>
      <c r="E57" s="42"/>
      <c r="F57" s="46" t="str">
        <f aca="false">IF(E57="","",IF(AND(A57&gt;=I_Parameter!$C$4,A57&lt;=I_Parameter!$C$6),1,0))</f>
        <v/>
      </c>
    </row>
    <row r="58" customFormat="false" ht="15" hidden="false" customHeight="false" outlineLevel="0" collapsed="false">
      <c r="A58" s="37"/>
      <c r="B58" s="44"/>
      <c r="C58" s="44"/>
      <c r="D58" s="44"/>
      <c r="E58" s="42"/>
      <c r="F58" s="46" t="str">
        <f aca="false">IF(E58="","",IF(AND(A58&gt;=I_Parameter!$C$4,A58&lt;=I_Parameter!$C$6),1,0))</f>
        <v/>
      </c>
    </row>
    <row r="59" customFormat="false" ht="15" hidden="false" customHeight="false" outlineLevel="0" collapsed="false">
      <c r="A59" s="37"/>
      <c r="B59" s="44"/>
      <c r="C59" s="44"/>
      <c r="D59" s="44"/>
      <c r="E59" s="42"/>
      <c r="F59" s="46" t="str">
        <f aca="false">IF(E59="","",IF(AND(A59&gt;=I_Parameter!$C$4,A59&lt;=I_Parameter!$C$6),1,0))</f>
        <v/>
      </c>
    </row>
    <row r="60" customFormat="false" ht="15" hidden="false" customHeight="false" outlineLevel="0" collapsed="false">
      <c r="A60" s="37"/>
      <c r="B60" s="44"/>
      <c r="C60" s="44"/>
      <c r="D60" s="44"/>
      <c r="E60" s="42"/>
      <c r="F60" s="46" t="str">
        <f aca="false">IF(E60="","",IF(AND(A60&gt;=I_Parameter!$C$4,A60&lt;=I_Parameter!$C$6),1,0))</f>
        <v/>
      </c>
    </row>
    <row r="61" customFormat="false" ht="15" hidden="false" customHeight="false" outlineLevel="0" collapsed="false">
      <c r="A61" s="37"/>
      <c r="B61" s="44"/>
      <c r="C61" s="44"/>
      <c r="D61" s="44"/>
      <c r="E61" s="42"/>
      <c r="F61" s="46" t="str">
        <f aca="false">IF(E61="","",IF(AND(A61&gt;=I_Parameter!$C$4,A61&lt;=I_Parameter!$C$6),1,0))</f>
        <v/>
      </c>
    </row>
    <row r="62" customFormat="false" ht="15" hidden="false" customHeight="false" outlineLevel="0" collapsed="false">
      <c r="A62" s="37"/>
      <c r="B62" s="44"/>
      <c r="C62" s="44"/>
      <c r="D62" s="44"/>
      <c r="E62" s="42"/>
      <c r="F62" s="46" t="str">
        <f aca="false">IF(E62="","",IF(AND(A62&gt;=I_Parameter!$C$4,A62&lt;=I_Parameter!$C$6),1,0))</f>
        <v/>
      </c>
    </row>
    <row r="63" customFormat="false" ht="15" hidden="false" customHeight="false" outlineLevel="0" collapsed="false">
      <c r="A63" s="37"/>
      <c r="B63" s="44"/>
      <c r="C63" s="44"/>
      <c r="D63" s="44"/>
      <c r="E63" s="42"/>
      <c r="F63" s="46" t="str">
        <f aca="false">IF(E63="","",IF(AND(A63&gt;=I_Parameter!$C$4,A63&lt;=I_Parameter!$C$6),1,0))</f>
        <v/>
      </c>
    </row>
    <row r="64" customFormat="false" ht="15" hidden="false" customHeight="false" outlineLevel="0" collapsed="false">
      <c r="A64" s="37"/>
      <c r="B64" s="44"/>
      <c r="C64" s="44"/>
      <c r="D64" s="44"/>
      <c r="E64" s="42"/>
      <c r="F64" s="46" t="str">
        <f aca="false">IF(E64="","",IF(AND(A64&gt;=I_Parameter!$C$4,A64&lt;=I_Parameter!$C$6),1,0))</f>
        <v/>
      </c>
    </row>
    <row r="65" customFormat="false" ht="15" hidden="false" customHeight="false" outlineLevel="0" collapsed="false">
      <c r="A65" s="37"/>
      <c r="B65" s="44"/>
      <c r="C65" s="44"/>
      <c r="D65" s="44"/>
      <c r="E65" s="42"/>
      <c r="F65" s="46" t="str">
        <f aca="false">IF(E65="","",IF(AND(A65&gt;=I_Parameter!$C$4,A65&lt;=I_Parameter!$C$6),1,0))</f>
        <v/>
      </c>
    </row>
    <row r="66" customFormat="false" ht="15" hidden="false" customHeight="false" outlineLevel="0" collapsed="false">
      <c r="A66" s="37"/>
      <c r="B66" s="44"/>
      <c r="C66" s="44"/>
      <c r="D66" s="44"/>
      <c r="E66" s="42"/>
      <c r="F66" s="46" t="str">
        <f aca="false">IF(E66="","",IF(AND(A66&gt;=I_Parameter!$C$4,A66&lt;=I_Parameter!$C$6),1,0))</f>
        <v/>
      </c>
    </row>
    <row r="67" customFormat="false" ht="15" hidden="false" customHeight="false" outlineLevel="0" collapsed="false">
      <c r="A67" s="37"/>
      <c r="B67" s="44"/>
      <c r="C67" s="44"/>
      <c r="D67" s="44"/>
      <c r="E67" s="42"/>
      <c r="F67" s="46" t="str">
        <f aca="false">IF(E67="","",IF(AND(A67&gt;=I_Parameter!$C$4,A67&lt;=I_Parameter!$C$6),1,0))</f>
        <v/>
      </c>
    </row>
    <row r="68" customFormat="false" ht="15" hidden="false" customHeight="false" outlineLevel="0" collapsed="false">
      <c r="A68" s="37"/>
      <c r="B68" s="44"/>
      <c r="C68" s="44"/>
      <c r="D68" s="44"/>
      <c r="E68" s="42"/>
      <c r="F68" s="46" t="str">
        <f aca="false">IF(E68="","",IF(AND(A68&gt;=I_Parameter!$C$4,A68&lt;=I_Parameter!$C$6),1,0))</f>
        <v/>
      </c>
    </row>
    <row r="69" customFormat="false" ht="15" hidden="false" customHeight="false" outlineLevel="0" collapsed="false">
      <c r="A69" s="37"/>
      <c r="B69" s="44"/>
      <c r="C69" s="44"/>
      <c r="D69" s="44"/>
      <c r="E69" s="42"/>
      <c r="F69" s="46" t="str">
        <f aca="false">IF(E69="","",IF(AND(A69&gt;=I_Parameter!$C$4,A69&lt;=I_Parameter!$C$6),1,0))</f>
        <v/>
      </c>
    </row>
    <row r="70" customFormat="false" ht="15" hidden="false" customHeight="false" outlineLevel="0" collapsed="false">
      <c r="A70" s="37"/>
      <c r="B70" s="44"/>
      <c r="C70" s="44"/>
      <c r="D70" s="44"/>
      <c r="E70" s="42"/>
      <c r="F70" s="46" t="str">
        <f aca="false">IF(E70="","",IF(AND(A70&gt;=I_Parameter!$C$4,A70&lt;=I_Parameter!$C$6),1,0))</f>
        <v/>
      </c>
    </row>
    <row r="71" customFormat="false" ht="15" hidden="false" customHeight="false" outlineLevel="0" collapsed="false">
      <c r="A71" s="37"/>
      <c r="B71" s="44"/>
      <c r="C71" s="44"/>
      <c r="D71" s="44"/>
      <c r="E71" s="42"/>
      <c r="F71" s="46" t="str">
        <f aca="false">IF(E71="","",IF(AND(A71&gt;=I_Parameter!$C$4,A71&lt;=I_Parameter!$C$6),1,0))</f>
        <v/>
      </c>
    </row>
    <row r="72" customFormat="false" ht="15" hidden="false" customHeight="false" outlineLevel="0" collapsed="false">
      <c r="A72" s="37"/>
      <c r="B72" s="44"/>
      <c r="C72" s="44"/>
      <c r="D72" s="44"/>
      <c r="E72" s="42"/>
      <c r="F72" s="46" t="str">
        <f aca="false">IF(E72="","",IF(AND(A72&gt;=I_Parameter!$C$4,A72&lt;=I_Parameter!$C$6),1,0))</f>
        <v/>
      </c>
    </row>
    <row r="73" customFormat="false" ht="15" hidden="false" customHeight="false" outlineLevel="0" collapsed="false">
      <c r="A73" s="37"/>
      <c r="B73" s="44"/>
      <c r="C73" s="44"/>
      <c r="D73" s="44"/>
      <c r="E73" s="42"/>
      <c r="F73" s="46" t="str">
        <f aca="false">IF(E73="","",IF(AND(A73&gt;=I_Parameter!$C$4,A73&lt;=I_Parameter!$C$6),1,0))</f>
        <v/>
      </c>
    </row>
    <row r="74" customFormat="false" ht="15" hidden="false" customHeight="false" outlineLevel="0" collapsed="false">
      <c r="A74" s="37"/>
      <c r="B74" s="44"/>
      <c r="C74" s="44"/>
      <c r="D74" s="44"/>
      <c r="E74" s="42"/>
      <c r="F74" s="46" t="str">
        <f aca="false">IF(E74="","",IF(AND(A74&gt;=I_Parameter!$C$4,A74&lt;=I_Parameter!$C$6),1,0))</f>
        <v/>
      </c>
    </row>
    <row r="75" customFormat="false" ht="15" hidden="false" customHeight="false" outlineLevel="0" collapsed="false">
      <c r="A75" s="37"/>
      <c r="B75" s="44"/>
      <c r="C75" s="44"/>
      <c r="D75" s="44"/>
      <c r="E75" s="42"/>
      <c r="F75" s="46" t="str">
        <f aca="false">IF(E75="","",IF(AND(A75&gt;=I_Parameter!$C$4,A75&lt;=I_Parameter!$C$6),1,0))</f>
        <v/>
      </c>
    </row>
    <row r="76" customFormat="false" ht="15" hidden="false" customHeight="false" outlineLevel="0" collapsed="false">
      <c r="A76" s="37"/>
      <c r="B76" s="44"/>
      <c r="C76" s="44"/>
      <c r="D76" s="44"/>
      <c r="E76" s="42"/>
      <c r="F76" s="46" t="str">
        <f aca="false">IF(E76="","",IF(AND(A76&gt;=I_Parameter!$C$4,A76&lt;=I_Parameter!$C$6),1,0))</f>
        <v/>
      </c>
    </row>
    <row r="77" customFormat="false" ht="15" hidden="false" customHeight="false" outlineLevel="0" collapsed="false">
      <c r="A77" s="37"/>
      <c r="B77" s="44"/>
      <c r="C77" s="44"/>
      <c r="D77" s="44"/>
      <c r="E77" s="42"/>
      <c r="F77" s="46" t="str">
        <f aca="false">IF(E77="","",IF(AND(A77&gt;=I_Parameter!$C$4,A77&lt;=I_Parameter!$C$6),1,0))</f>
        <v/>
      </c>
    </row>
    <row r="78" customFormat="false" ht="15" hidden="false" customHeight="false" outlineLevel="0" collapsed="false">
      <c r="A78" s="37"/>
      <c r="B78" s="44"/>
      <c r="C78" s="44"/>
      <c r="D78" s="44"/>
      <c r="E78" s="42"/>
      <c r="F78" s="46" t="str">
        <f aca="false">IF(E78="","",IF(AND(A78&gt;=I_Parameter!$C$4,A78&lt;=I_Parameter!$C$6),1,0))</f>
        <v/>
      </c>
    </row>
    <row r="79" customFormat="false" ht="15" hidden="false" customHeight="false" outlineLevel="0" collapsed="false">
      <c r="A79" s="37"/>
      <c r="B79" s="44"/>
      <c r="C79" s="44"/>
      <c r="D79" s="44"/>
      <c r="E79" s="42"/>
      <c r="F79" s="46" t="str">
        <f aca="false">IF(E79="","",IF(AND(A79&gt;=I_Parameter!$C$4,A79&lt;=I_Parameter!$C$6),1,0))</f>
        <v/>
      </c>
    </row>
    <row r="80" customFormat="false" ht="15" hidden="false" customHeight="false" outlineLevel="0" collapsed="false">
      <c r="A80" s="37"/>
      <c r="B80" s="44"/>
      <c r="C80" s="44"/>
      <c r="D80" s="44"/>
      <c r="E80" s="42"/>
      <c r="F80" s="46" t="str">
        <f aca="false">IF(E80="","",IF(AND(A80&gt;=I_Parameter!$C$4,A80&lt;=I_Parameter!$C$6),1,0))</f>
        <v/>
      </c>
    </row>
    <row r="81" customFormat="false" ht="15" hidden="false" customHeight="false" outlineLevel="0" collapsed="false">
      <c r="A81" s="37"/>
      <c r="B81" s="44"/>
      <c r="C81" s="44"/>
      <c r="D81" s="44"/>
      <c r="E81" s="42"/>
      <c r="F81" s="46" t="str">
        <f aca="false">IF(E81="","",IF(AND(A81&gt;=I_Parameter!$C$4,A81&lt;=I_Parameter!$C$6),1,0))</f>
        <v/>
      </c>
    </row>
    <row r="82" customFormat="false" ht="15" hidden="false" customHeight="false" outlineLevel="0" collapsed="false">
      <c r="A82" s="37"/>
      <c r="B82" s="44"/>
      <c r="C82" s="44"/>
      <c r="D82" s="44"/>
      <c r="E82" s="42"/>
      <c r="F82" s="46" t="str">
        <f aca="false">IF(E82="","",IF(AND(A82&gt;=I_Parameter!$C$4,A82&lt;=I_Parameter!$C$6),1,0))</f>
        <v/>
      </c>
    </row>
    <row r="83" customFormat="false" ht="15" hidden="false" customHeight="false" outlineLevel="0" collapsed="false">
      <c r="A83" s="37"/>
      <c r="B83" s="44"/>
      <c r="C83" s="44"/>
      <c r="D83" s="44"/>
      <c r="E83" s="42"/>
      <c r="F83" s="46" t="str">
        <f aca="false">IF(E83="","",IF(AND(A83&gt;=I_Parameter!$C$4,A83&lt;=I_Parameter!$C$6),1,0))</f>
        <v/>
      </c>
    </row>
    <row r="84" customFormat="false" ht="15" hidden="false" customHeight="false" outlineLevel="0" collapsed="false">
      <c r="A84" s="37"/>
      <c r="B84" s="44"/>
      <c r="C84" s="44"/>
      <c r="D84" s="44"/>
      <c r="E84" s="42"/>
      <c r="F84" s="46" t="str">
        <f aca="false">IF(E84="","",IF(AND(A84&gt;=I_Parameter!$C$4,A84&lt;=I_Parameter!$C$6),1,0))</f>
        <v/>
      </c>
    </row>
    <row r="85" customFormat="false" ht="15" hidden="false" customHeight="false" outlineLevel="0" collapsed="false">
      <c r="A85" s="37"/>
      <c r="B85" s="44"/>
      <c r="C85" s="44"/>
      <c r="D85" s="44"/>
      <c r="E85" s="42"/>
      <c r="F85" s="46" t="str">
        <f aca="false">IF(E85="","",IF(AND(A85&gt;=I_Parameter!$C$4,A85&lt;=I_Parameter!$C$6),1,0))</f>
        <v/>
      </c>
    </row>
    <row r="86" customFormat="false" ht="15" hidden="false" customHeight="false" outlineLevel="0" collapsed="false">
      <c r="A86" s="37"/>
      <c r="B86" s="44"/>
      <c r="C86" s="44"/>
      <c r="D86" s="44"/>
      <c r="E86" s="42"/>
      <c r="F86" s="46" t="str">
        <f aca="false">IF(E86="","",IF(AND(A86&gt;=I_Parameter!$C$4,A86&lt;=I_Parameter!$C$6),1,0))</f>
        <v/>
      </c>
    </row>
    <row r="87" customFormat="false" ht="15" hidden="false" customHeight="false" outlineLevel="0" collapsed="false">
      <c r="A87" s="37"/>
      <c r="B87" s="44"/>
      <c r="C87" s="44"/>
      <c r="D87" s="44"/>
      <c r="E87" s="42"/>
      <c r="F87" s="46" t="str">
        <f aca="false">IF(E87="","",IF(AND(A87&gt;=I_Parameter!$C$4,A87&lt;=I_Parameter!$C$6),1,0))</f>
        <v/>
      </c>
    </row>
    <row r="88" customFormat="false" ht="15" hidden="false" customHeight="false" outlineLevel="0" collapsed="false">
      <c r="A88" s="37"/>
      <c r="B88" s="44"/>
      <c r="C88" s="44"/>
      <c r="D88" s="44"/>
      <c r="E88" s="42"/>
      <c r="F88" s="46" t="str">
        <f aca="false">IF(E88="","",IF(AND(A88&gt;=I_Parameter!$C$4,A88&lt;=I_Parameter!$C$6),1,0))</f>
        <v/>
      </c>
    </row>
    <row r="89" customFormat="false" ht="15" hidden="false" customHeight="false" outlineLevel="0" collapsed="false">
      <c r="A89" s="37"/>
      <c r="B89" s="44"/>
      <c r="C89" s="44"/>
      <c r="D89" s="44"/>
      <c r="E89" s="42"/>
      <c r="F89" s="46" t="str">
        <f aca="false">IF(E89="","",IF(AND(A89&gt;=I_Parameter!$C$4,A89&lt;=I_Parameter!$C$6),1,0))</f>
        <v/>
      </c>
    </row>
    <row r="90" customFormat="false" ht="15" hidden="false" customHeight="false" outlineLevel="0" collapsed="false">
      <c r="A90" s="37"/>
      <c r="B90" s="44"/>
      <c r="C90" s="44"/>
      <c r="D90" s="44"/>
      <c r="E90" s="42"/>
      <c r="F90" s="46" t="str">
        <f aca="false">IF(E90="","",IF(AND(A90&gt;=I_Parameter!$C$4,A90&lt;=I_Parameter!$C$6),1,0))</f>
        <v/>
      </c>
    </row>
    <row r="91" customFormat="false" ht="15" hidden="false" customHeight="false" outlineLevel="0" collapsed="false">
      <c r="A91" s="37"/>
      <c r="B91" s="44"/>
      <c r="C91" s="44"/>
      <c r="D91" s="44"/>
      <c r="E91" s="42"/>
      <c r="F91" s="46" t="str">
        <f aca="false">IF(E91="","",IF(AND(A91&gt;=I_Parameter!$C$4,A91&lt;=I_Parameter!$C$6),1,0))</f>
        <v/>
      </c>
    </row>
    <row r="92" customFormat="false" ht="15" hidden="false" customHeight="false" outlineLevel="0" collapsed="false">
      <c r="A92" s="37"/>
      <c r="B92" s="44"/>
      <c r="C92" s="44"/>
      <c r="D92" s="44"/>
      <c r="E92" s="42"/>
      <c r="F92" s="46" t="str">
        <f aca="false">IF(E92="","",IF(AND(A92&gt;=I_Parameter!$C$4,A92&lt;=I_Parameter!$C$6),1,0))</f>
        <v/>
      </c>
    </row>
    <row r="93" customFormat="false" ht="15" hidden="false" customHeight="false" outlineLevel="0" collapsed="false">
      <c r="A93" s="37"/>
      <c r="B93" s="44"/>
      <c r="C93" s="44"/>
      <c r="D93" s="44"/>
      <c r="E93" s="42"/>
      <c r="F93" s="46" t="str">
        <f aca="false">IF(E93="","",IF(AND(A93&gt;=I_Parameter!$C$4,A93&lt;=I_Parameter!$C$6),1,0))</f>
        <v/>
      </c>
    </row>
    <row r="94" customFormat="false" ht="15" hidden="false" customHeight="false" outlineLevel="0" collapsed="false">
      <c r="A94" s="37"/>
      <c r="B94" s="44"/>
      <c r="C94" s="44"/>
      <c r="D94" s="44"/>
      <c r="E94" s="42"/>
      <c r="F94" s="46" t="str">
        <f aca="false">IF(E94="","",IF(AND(A94&gt;=I_Parameter!$C$4,A94&lt;=I_Parameter!$C$6),1,0))</f>
        <v/>
      </c>
    </row>
    <row r="95" customFormat="false" ht="15" hidden="false" customHeight="false" outlineLevel="0" collapsed="false">
      <c r="A95" s="37"/>
      <c r="B95" s="44"/>
      <c r="C95" s="44"/>
      <c r="D95" s="44"/>
      <c r="E95" s="42"/>
      <c r="F95" s="46" t="str">
        <f aca="false">IF(E95="","",IF(AND(A95&gt;=I_Parameter!$C$4,A95&lt;=I_Parameter!$C$6),1,0))</f>
        <v/>
      </c>
    </row>
    <row r="96" customFormat="false" ht="15" hidden="false" customHeight="false" outlineLevel="0" collapsed="false">
      <c r="A96" s="37"/>
      <c r="B96" s="44"/>
      <c r="C96" s="44"/>
      <c r="D96" s="44"/>
      <c r="E96" s="42"/>
      <c r="F96" s="46" t="str">
        <f aca="false">IF(E96="","",IF(AND(A96&gt;=I_Parameter!$C$4,A96&lt;=I_Parameter!$C$6),1,0))</f>
        <v/>
      </c>
    </row>
    <row r="97" customFormat="false" ht="15" hidden="false" customHeight="false" outlineLevel="0" collapsed="false">
      <c r="A97" s="37"/>
      <c r="B97" s="44"/>
      <c r="C97" s="44"/>
      <c r="D97" s="44"/>
      <c r="E97" s="42"/>
      <c r="F97" s="46" t="str">
        <f aca="false">IF(E97="","",IF(AND(A97&gt;=I_Parameter!$C$4,A97&lt;=I_Parameter!$C$6),1,0))</f>
        <v/>
      </c>
    </row>
    <row r="98" customFormat="false" ht="15" hidden="false" customHeight="false" outlineLevel="0" collapsed="false">
      <c r="A98" s="37"/>
      <c r="B98" s="44"/>
      <c r="C98" s="44"/>
      <c r="D98" s="44"/>
      <c r="E98" s="42"/>
      <c r="F98" s="46" t="str">
        <f aca="false">IF(E98="","",IF(AND(A98&gt;=I_Parameter!$C$4,A98&lt;=I_Parameter!$C$6),1,0))</f>
        <v/>
      </c>
    </row>
    <row r="99" customFormat="false" ht="15" hidden="false" customHeight="false" outlineLevel="0" collapsed="false">
      <c r="A99" s="37"/>
      <c r="B99" s="44"/>
      <c r="C99" s="44"/>
      <c r="D99" s="44"/>
      <c r="E99" s="42"/>
      <c r="F99" s="46" t="str">
        <f aca="false">IF(E99="","",IF(AND(A99&gt;=I_Parameter!$C$4,A99&lt;=I_Parameter!$C$6),1,0))</f>
        <v/>
      </c>
    </row>
    <row r="100" customFormat="false" ht="15" hidden="false" customHeight="false" outlineLevel="0" collapsed="false">
      <c r="A100" s="37"/>
      <c r="B100" s="44"/>
      <c r="C100" s="44"/>
      <c r="D100" s="44"/>
      <c r="E100" s="42"/>
      <c r="F100" s="46" t="str">
        <f aca="false">IF(E100="","",IF(AND(A100&gt;=I_Parameter!$C$4,A100&lt;=I_Parameter!$C$6),1,0))</f>
        <v/>
      </c>
    </row>
    <row r="101" customFormat="false" ht="15" hidden="false" customHeight="false" outlineLevel="0" collapsed="false">
      <c r="A101" s="37"/>
      <c r="B101" s="44"/>
      <c r="C101" s="44"/>
      <c r="D101" s="44"/>
      <c r="E101" s="42"/>
      <c r="F101" s="46" t="str">
        <f aca="false">IF(E101="","",IF(AND(A101&gt;=I_Parameter!$C$4,A101&lt;=I_Parameter!$C$6),1,0))</f>
        <v/>
      </c>
    </row>
    <row r="102" customFormat="false" ht="15" hidden="false" customHeight="false" outlineLevel="0" collapsed="false">
      <c r="A102" s="37"/>
      <c r="B102" s="44"/>
      <c r="C102" s="44"/>
      <c r="D102" s="44"/>
      <c r="E102" s="42"/>
      <c r="F102" s="46" t="str">
        <f aca="false">IF(E102="","",IF(AND(A102&gt;=I_Parameter!$C$4,A102&lt;=I_Parameter!$C$6),1,0))</f>
        <v/>
      </c>
    </row>
    <row r="103" customFormat="false" ht="15" hidden="false" customHeight="false" outlineLevel="0" collapsed="false">
      <c r="A103" s="37"/>
      <c r="B103" s="44"/>
      <c r="C103" s="44"/>
      <c r="D103" s="44"/>
      <c r="E103" s="42"/>
      <c r="F103" s="46" t="str">
        <f aca="false">IF(E103="","",IF(AND(A103&gt;=I_Parameter!$C$4,A103&lt;=I_Parameter!$C$6),1,0))</f>
        <v/>
      </c>
    </row>
    <row r="104" customFormat="false" ht="15" hidden="false" customHeight="false" outlineLevel="0" collapsed="false">
      <c r="A104" s="37"/>
      <c r="B104" s="44"/>
      <c r="C104" s="44"/>
      <c r="D104" s="44"/>
      <c r="E104" s="42"/>
      <c r="F104" s="46" t="str">
        <f aca="false">IF(E104="","",IF(AND(A104&gt;=I_Parameter!$C$4,A104&lt;=I_Parameter!$C$6),1,0))</f>
        <v/>
      </c>
    </row>
    <row r="105" customFormat="false" ht="15" hidden="false" customHeight="false" outlineLevel="0" collapsed="false">
      <c r="A105" s="37"/>
      <c r="B105" s="44"/>
      <c r="C105" s="44"/>
      <c r="D105" s="44"/>
      <c r="E105" s="42"/>
      <c r="F105" s="46" t="str">
        <f aca="false">IF(E105="","",IF(AND(A105&gt;=I_Parameter!$C$4,A105&lt;=I_Parameter!$C$6),1,0))</f>
        <v/>
      </c>
    </row>
    <row r="106" customFormat="false" ht="15" hidden="false" customHeight="false" outlineLevel="0" collapsed="false">
      <c r="A106" s="37"/>
      <c r="B106" s="44"/>
      <c r="C106" s="44"/>
      <c r="D106" s="44"/>
      <c r="E106" s="42"/>
      <c r="F106" s="46" t="str">
        <f aca="false">IF(E106="","",IF(AND(A106&gt;=I_Parameter!$C$4,A106&lt;=I_Parameter!$C$6),1,0))</f>
        <v/>
      </c>
    </row>
    <row r="107" customFormat="false" ht="15" hidden="false" customHeight="false" outlineLevel="0" collapsed="false">
      <c r="A107" s="37"/>
      <c r="B107" s="44"/>
      <c r="C107" s="44"/>
      <c r="D107" s="44"/>
      <c r="E107" s="42"/>
      <c r="F107" s="46" t="str">
        <f aca="false">IF(E107="","",IF(AND(A107&gt;=I_Parameter!$C$4,A107&lt;=I_Parameter!$C$6),1,0))</f>
        <v/>
      </c>
    </row>
    <row r="108" customFormat="false" ht="15" hidden="false" customHeight="false" outlineLevel="0" collapsed="false">
      <c r="A108" s="37"/>
      <c r="B108" s="44"/>
      <c r="C108" s="44"/>
      <c r="D108" s="44"/>
      <c r="E108" s="42"/>
      <c r="F108" s="46" t="str">
        <f aca="false">IF(E108="","",IF(AND(A108&gt;=I_Parameter!$C$4,A108&lt;=I_Parameter!$C$6),1,0))</f>
        <v/>
      </c>
    </row>
    <row r="109" customFormat="false" ht="15" hidden="false" customHeight="false" outlineLevel="0" collapsed="false">
      <c r="A109" s="37"/>
      <c r="B109" s="44"/>
      <c r="C109" s="44"/>
      <c r="D109" s="44"/>
      <c r="E109" s="42"/>
      <c r="F109" s="46" t="str">
        <f aca="false">IF(E109="","",IF(AND(A109&gt;=I_Parameter!$C$4,A109&lt;=I_Parameter!$C$6),1,0))</f>
        <v/>
      </c>
    </row>
    <row r="110" customFormat="false" ht="15" hidden="false" customHeight="false" outlineLevel="0" collapsed="false">
      <c r="A110" s="37"/>
      <c r="B110" s="44"/>
      <c r="C110" s="44"/>
      <c r="D110" s="44"/>
      <c r="E110" s="42"/>
      <c r="F110" s="46" t="str">
        <f aca="false">IF(E110="","",IF(AND(A110&gt;=I_Parameter!$C$4,A110&lt;=I_Parameter!$C$6),1,0))</f>
        <v/>
      </c>
    </row>
    <row r="111" customFormat="false" ht="15" hidden="false" customHeight="false" outlineLevel="0" collapsed="false">
      <c r="A111" s="37"/>
      <c r="B111" s="44"/>
      <c r="C111" s="44"/>
      <c r="D111" s="44"/>
      <c r="E111" s="42"/>
      <c r="F111" s="46" t="str">
        <f aca="false">IF(E111="","",IF(AND(A111&gt;=I_Parameter!$C$4,A111&lt;=I_Parameter!$C$6),1,0))</f>
        <v/>
      </c>
    </row>
    <row r="112" customFormat="false" ht="15" hidden="false" customHeight="false" outlineLevel="0" collapsed="false">
      <c r="A112" s="37"/>
      <c r="B112" s="44"/>
      <c r="C112" s="44"/>
      <c r="D112" s="44"/>
      <c r="E112" s="42"/>
      <c r="F112" s="46" t="str">
        <f aca="false">IF(E112="","",IF(AND(A112&gt;=I_Parameter!$C$4,A112&lt;=I_Parameter!$C$6),1,0))</f>
        <v/>
      </c>
    </row>
    <row r="113" customFormat="false" ht="15" hidden="false" customHeight="false" outlineLevel="0" collapsed="false">
      <c r="A113" s="37"/>
      <c r="B113" s="44"/>
      <c r="C113" s="44"/>
      <c r="D113" s="44"/>
      <c r="E113" s="42"/>
      <c r="F113" s="46" t="str">
        <f aca="false">IF(E113="","",IF(AND(A113&gt;=I_Parameter!$C$4,A113&lt;=I_Parameter!$C$6),1,0))</f>
        <v/>
      </c>
    </row>
    <row r="114" customFormat="false" ht="15" hidden="false" customHeight="false" outlineLevel="0" collapsed="false">
      <c r="A114" s="37"/>
      <c r="B114" s="44"/>
      <c r="C114" s="44"/>
      <c r="D114" s="44"/>
      <c r="E114" s="42"/>
      <c r="F114" s="46" t="str">
        <f aca="false">IF(E114="","",IF(AND(A114&gt;=I_Parameter!$C$4,A114&lt;=I_Parameter!$C$6),1,0))</f>
        <v/>
      </c>
    </row>
    <row r="115" customFormat="false" ht="15" hidden="false" customHeight="false" outlineLevel="0" collapsed="false">
      <c r="A115" s="37"/>
      <c r="B115" s="44"/>
      <c r="C115" s="44"/>
      <c r="D115" s="44"/>
      <c r="E115" s="42"/>
      <c r="F115" s="46" t="str">
        <f aca="false">IF(E115="","",IF(AND(A115&gt;=I_Parameter!$C$4,A115&lt;=I_Parameter!$C$6),1,0))</f>
        <v/>
      </c>
    </row>
    <row r="116" customFormat="false" ht="15" hidden="false" customHeight="false" outlineLevel="0" collapsed="false">
      <c r="A116" s="37"/>
      <c r="B116" s="44"/>
      <c r="C116" s="44"/>
      <c r="D116" s="44"/>
      <c r="E116" s="42"/>
      <c r="F116" s="46" t="str">
        <f aca="false">IF(E116="","",IF(AND(A116&gt;=I_Parameter!$C$4,A116&lt;=I_Parameter!$C$6),1,0))</f>
        <v/>
      </c>
    </row>
    <row r="117" customFormat="false" ht="15" hidden="false" customHeight="false" outlineLevel="0" collapsed="false">
      <c r="A117" s="37"/>
      <c r="B117" s="44"/>
      <c r="C117" s="44"/>
      <c r="D117" s="44"/>
      <c r="E117" s="42"/>
      <c r="F117" s="46" t="str">
        <f aca="false">IF(E117="","",IF(AND(A117&gt;=I_Parameter!$C$4,A117&lt;=I_Parameter!$C$6),1,0))</f>
        <v/>
      </c>
    </row>
    <row r="118" customFormat="false" ht="15" hidden="false" customHeight="false" outlineLevel="0" collapsed="false">
      <c r="A118" s="37"/>
      <c r="B118" s="44"/>
      <c r="C118" s="44"/>
      <c r="D118" s="44"/>
      <c r="E118" s="42"/>
      <c r="F118" s="46" t="str">
        <f aca="false">IF(E118="","",IF(AND(A118&gt;=I_Parameter!$C$4,A118&lt;=I_Parameter!$C$6),1,0))</f>
        <v/>
      </c>
    </row>
    <row r="119" customFormat="false" ht="15" hidden="false" customHeight="false" outlineLevel="0" collapsed="false">
      <c r="A119" s="37"/>
      <c r="B119" s="44"/>
      <c r="C119" s="44"/>
      <c r="D119" s="44"/>
      <c r="E119" s="42"/>
      <c r="F119" s="46" t="str">
        <f aca="false">IF(E119="","",IF(AND(A119&gt;=I_Parameter!$C$4,A119&lt;=I_Parameter!$C$6),1,0))</f>
        <v/>
      </c>
    </row>
    <row r="120" customFormat="false" ht="15" hidden="false" customHeight="false" outlineLevel="0" collapsed="false">
      <c r="A120" s="37"/>
      <c r="B120" s="44"/>
      <c r="C120" s="44"/>
      <c r="D120" s="44"/>
      <c r="E120" s="42"/>
      <c r="F120" s="46" t="str">
        <f aca="false">IF(E120="","",IF(AND(A120&gt;=I_Parameter!$C$4,A120&lt;=I_Parameter!$C$6),1,0))</f>
        <v/>
      </c>
    </row>
    <row r="121" customFormat="false" ht="15" hidden="false" customHeight="false" outlineLevel="0" collapsed="false">
      <c r="A121" s="37"/>
      <c r="B121" s="44"/>
      <c r="C121" s="44"/>
      <c r="D121" s="44"/>
      <c r="E121" s="42"/>
      <c r="F121" s="46" t="str">
        <f aca="false">IF(E121="","",IF(AND(A121&gt;=I_Parameter!$C$4,A121&lt;=I_Parameter!$C$6),1,0))</f>
        <v/>
      </c>
    </row>
    <row r="122" customFormat="false" ht="15" hidden="false" customHeight="false" outlineLevel="0" collapsed="false">
      <c r="A122" s="37"/>
      <c r="B122" s="44"/>
      <c r="C122" s="44"/>
      <c r="D122" s="44"/>
      <c r="E122" s="42"/>
      <c r="F122" s="46" t="str">
        <f aca="false">IF(E122="","",IF(AND(A122&gt;=I_Parameter!$C$4,A122&lt;=I_Parameter!$C$6),1,0))</f>
        <v/>
      </c>
    </row>
    <row r="123" customFormat="false" ht="15" hidden="false" customHeight="false" outlineLevel="0" collapsed="false">
      <c r="A123" s="37"/>
      <c r="B123" s="44"/>
      <c r="C123" s="44"/>
      <c r="D123" s="44"/>
      <c r="E123" s="42"/>
      <c r="F123" s="46" t="str">
        <f aca="false">IF(E123="","",IF(AND(A123&gt;=I_Parameter!$C$4,A123&lt;=I_Parameter!$C$6),1,0))</f>
        <v/>
      </c>
    </row>
    <row r="124" customFormat="false" ht="15" hidden="false" customHeight="false" outlineLevel="0" collapsed="false">
      <c r="A124" s="37"/>
      <c r="B124" s="44"/>
      <c r="C124" s="44"/>
      <c r="D124" s="44"/>
      <c r="E124" s="42"/>
      <c r="F124" s="46" t="str">
        <f aca="false">IF(E124="","",IF(AND(A124&gt;=I_Parameter!$C$4,A124&lt;=I_Parameter!$C$6),1,0))</f>
        <v/>
      </c>
    </row>
    <row r="125" customFormat="false" ht="15" hidden="false" customHeight="false" outlineLevel="0" collapsed="false">
      <c r="A125" s="37"/>
      <c r="B125" s="44"/>
      <c r="C125" s="44"/>
      <c r="D125" s="44"/>
      <c r="E125" s="42"/>
      <c r="F125" s="46" t="str">
        <f aca="false">IF(E125="","",IF(AND(A125&gt;=I_Parameter!$C$4,A125&lt;=I_Parameter!$C$6),1,0))</f>
        <v/>
      </c>
    </row>
    <row r="126" customFormat="false" ht="15" hidden="false" customHeight="false" outlineLevel="0" collapsed="false">
      <c r="A126" s="37"/>
      <c r="B126" s="44"/>
      <c r="C126" s="44"/>
      <c r="D126" s="44"/>
      <c r="E126" s="42"/>
      <c r="F126" s="46" t="str">
        <f aca="false">IF(E126="","",IF(AND(A126&gt;=I_Parameter!$C$4,A126&lt;=I_Parameter!$C$6),1,0))</f>
        <v/>
      </c>
    </row>
    <row r="127" customFormat="false" ht="15" hidden="false" customHeight="false" outlineLevel="0" collapsed="false">
      <c r="A127" s="37"/>
      <c r="B127" s="44"/>
      <c r="C127" s="44"/>
      <c r="D127" s="44"/>
      <c r="E127" s="42"/>
      <c r="F127" s="46" t="str">
        <f aca="false">IF(E127="","",IF(AND(A127&gt;=I_Parameter!$C$4,A127&lt;=I_Parameter!$C$6),1,0))</f>
        <v/>
      </c>
    </row>
    <row r="128" customFormat="false" ht="15" hidden="false" customHeight="false" outlineLevel="0" collapsed="false">
      <c r="A128" s="37"/>
      <c r="B128" s="44"/>
      <c r="C128" s="44"/>
      <c r="D128" s="44"/>
      <c r="E128" s="42"/>
      <c r="F128" s="46" t="str">
        <f aca="false">IF(E128="","",IF(AND(A128&gt;=I_Parameter!$C$4,A128&lt;=I_Parameter!$C$6),1,0))</f>
        <v/>
      </c>
    </row>
    <row r="129" customFormat="false" ht="15" hidden="false" customHeight="false" outlineLevel="0" collapsed="false">
      <c r="A129" s="37"/>
      <c r="B129" s="44"/>
      <c r="C129" s="44"/>
      <c r="D129" s="44"/>
      <c r="E129" s="42"/>
      <c r="F129" s="46" t="str">
        <f aca="false">IF(E129="","",IF(AND(A129&gt;=I_Parameter!$C$4,A129&lt;=I_Parameter!$C$6),1,0))</f>
        <v/>
      </c>
    </row>
    <row r="130" customFormat="false" ht="15" hidden="false" customHeight="false" outlineLevel="0" collapsed="false">
      <c r="A130" s="37"/>
      <c r="B130" s="44"/>
      <c r="C130" s="44"/>
      <c r="D130" s="44"/>
      <c r="E130" s="42"/>
      <c r="F130" s="46" t="str">
        <f aca="false">IF(E130="","",IF(AND(A130&gt;=I_Parameter!$C$4,A130&lt;=I_Parameter!$C$6),1,0))</f>
        <v/>
      </c>
    </row>
    <row r="131" customFormat="false" ht="15" hidden="false" customHeight="false" outlineLevel="0" collapsed="false">
      <c r="A131" s="37"/>
      <c r="B131" s="44"/>
      <c r="C131" s="44"/>
      <c r="D131" s="44"/>
      <c r="E131" s="42"/>
      <c r="F131" s="46" t="str">
        <f aca="false">IF(E131="","",IF(AND(A131&gt;=I_Parameter!$C$4,A131&lt;=I_Parameter!$C$6),1,0))</f>
        <v/>
      </c>
    </row>
    <row r="132" customFormat="false" ht="15" hidden="false" customHeight="false" outlineLevel="0" collapsed="false">
      <c r="A132" s="37"/>
      <c r="B132" s="44"/>
      <c r="C132" s="44"/>
      <c r="D132" s="44"/>
      <c r="E132" s="42"/>
      <c r="F132" s="46" t="str">
        <f aca="false">IF(E132="","",IF(AND(A132&gt;=I_Parameter!$C$4,A132&lt;=I_Parameter!$C$6),1,0))</f>
        <v/>
      </c>
    </row>
    <row r="133" customFormat="false" ht="15" hidden="false" customHeight="false" outlineLevel="0" collapsed="false">
      <c r="A133" s="37"/>
      <c r="B133" s="44"/>
      <c r="C133" s="44"/>
      <c r="D133" s="44"/>
      <c r="E133" s="42"/>
      <c r="F133" s="46" t="str">
        <f aca="false">IF(E133="","",IF(AND(A133&gt;=I_Parameter!$C$4,A133&lt;=I_Parameter!$C$6),1,0))</f>
        <v/>
      </c>
    </row>
    <row r="134" customFormat="false" ht="15" hidden="false" customHeight="false" outlineLevel="0" collapsed="false">
      <c r="A134" s="37"/>
      <c r="B134" s="44"/>
      <c r="C134" s="44"/>
      <c r="D134" s="44"/>
      <c r="E134" s="42"/>
      <c r="F134" s="46" t="str">
        <f aca="false">IF(E134="","",IF(AND(A134&gt;=I_Parameter!$C$4,A134&lt;=I_Parameter!$C$6),1,0))</f>
        <v/>
      </c>
    </row>
    <row r="135" customFormat="false" ht="15" hidden="false" customHeight="false" outlineLevel="0" collapsed="false">
      <c r="A135" s="37"/>
      <c r="B135" s="44"/>
      <c r="C135" s="44"/>
      <c r="D135" s="44"/>
      <c r="E135" s="42"/>
      <c r="F135" s="46" t="str">
        <f aca="false">IF(E135="","",IF(AND(A135&gt;=I_Parameter!$C$4,A135&lt;=I_Parameter!$C$6),1,0))</f>
        <v/>
      </c>
    </row>
    <row r="136" customFormat="false" ht="15" hidden="false" customHeight="false" outlineLevel="0" collapsed="false">
      <c r="A136" s="37"/>
      <c r="B136" s="44"/>
      <c r="C136" s="44"/>
      <c r="D136" s="44"/>
      <c r="E136" s="42"/>
      <c r="F136" s="46" t="str">
        <f aca="false">IF(E136="","",IF(AND(A136&gt;=I_Parameter!$C$4,A136&lt;=I_Parameter!$C$6),1,0))</f>
        <v/>
      </c>
    </row>
    <row r="137" customFormat="false" ht="15" hidden="false" customHeight="false" outlineLevel="0" collapsed="false">
      <c r="A137" s="37"/>
      <c r="B137" s="44"/>
      <c r="C137" s="44"/>
      <c r="D137" s="44"/>
      <c r="E137" s="42"/>
      <c r="F137" s="46" t="str">
        <f aca="false">IF(E137="","",IF(AND(A137&gt;=I_Parameter!$C$4,A137&lt;=I_Parameter!$C$6),1,0))</f>
        <v/>
      </c>
    </row>
    <row r="138" customFormat="false" ht="15" hidden="false" customHeight="false" outlineLevel="0" collapsed="false">
      <c r="A138" s="37"/>
      <c r="B138" s="44"/>
      <c r="C138" s="44"/>
      <c r="D138" s="44"/>
      <c r="E138" s="42"/>
      <c r="F138" s="46" t="str">
        <f aca="false">IF(E138="","",IF(AND(A138&gt;=I_Parameter!$C$4,A138&lt;=I_Parameter!$C$6),1,0))</f>
        <v/>
      </c>
    </row>
    <row r="139" customFormat="false" ht="15" hidden="false" customHeight="false" outlineLevel="0" collapsed="false">
      <c r="A139" s="37"/>
      <c r="B139" s="44"/>
      <c r="C139" s="44"/>
      <c r="D139" s="44"/>
      <c r="E139" s="42"/>
      <c r="F139" s="46" t="str">
        <f aca="false">IF(E139="","",IF(AND(A139&gt;=I_Parameter!$C$4,A139&lt;=I_Parameter!$C$6),1,0))</f>
        <v/>
      </c>
    </row>
    <row r="140" customFormat="false" ht="15" hidden="false" customHeight="false" outlineLevel="0" collapsed="false">
      <c r="A140" s="37"/>
      <c r="B140" s="44"/>
      <c r="C140" s="44"/>
      <c r="D140" s="44"/>
      <c r="E140" s="42"/>
      <c r="F140" s="46" t="str">
        <f aca="false">IF(E140="","",IF(AND(A140&gt;=I_Parameter!$C$4,A140&lt;=I_Parameter!$C$6),1,0))</f>
        <v/>
      </c>
    </row>
    <row r="141" customFormat="false" ht="15" hidden="false" customHeight="false" outlineLevel="0" collapsed="false">
      <c r="A141" s="37"/>
      <c r="B141" s="44"/>
      <c r="C141" s="44"/>
      <c r="D141" s="44"/>
      <c r="E141" s="42"/>
      <c r="F141" s="46" t="str">
        <f aca="false">IF(E141="","",IF(AND(A141&gt;=I_Parameter!$C$4,A141&lt;=I_Parameter!$C$6),1,0))</f>
        <v/>
      </c>
    </row>
    <row r="142" customFormat="false" ht="15" hidden="false" customHeight="false" outlineLevel="0" collapsed="false">
      <c r="A142" s="37"/>
      <c r="B142" s="44"/>
      <c r="C142" s="44"/>
      <c r="D142" s="44"/>
      <c r="E142" s="42"/>
      <c r="F142" s="46" t="str">
        <f aca="false">IF(E142="","",IF(AND(A142&gt;=I_Parameter!$C$4,A142&lt;=I_Parameter!$C$6),1,0))</f>
        <v/>
      </c>
    </row>
    <row r="143" customFormat="false" ht="15" hidden="false" customHeight="false" outlineLevel="0" collapsed="false">
      <c r="A143" s="37"/>
      <c r="B143" s="44"/>
      <c r="C143" s="44"/>
      <c r="D143" s="44"/>
      <c r="E143" s="42"/>
      <c r="F143" s="46" t="str">
        <f aca="false">IF(E143="","",IF(AND(A143&gt;=I_Parameter!$C$4,A143&lt;=I_Parameter!$C$6),1,0))</f>
        <v/>
      </c>
    </row>
    <row r="144" customFormat="false" ht="15" hidden="false" customHeight="false" outlineLevel="0" collapsed="false">
      <c r="A144" s="37"/>
      <c r="B144" s="44"/>
      <c r="C144" s="44"/>
      <c r="D144" s="44"/>
      <c r="E144" s="42"/>
      <c r="F144" s="46" t="str">
        <f aca="false">IF(E144="","",IF(AND(A144&gt;=I_Parameter!$C$4,A144&lt;=I_Parameter!$C$6),1,0))</f>
        <v/>
      </c>
    </row>
    <row r="145" customFormat="false" ht="15" hidden="false" customHeight="false" outlineLevel="0" collapsed="false">
      <c r="A145" s="37"/>
      <c r="B145" s="44"/>
      <c r="C145" s="44"/>
      <c r="D145" s="44"/>
      <c r="E145" s="42"/>
      <c r="F145" s="46" t="str">
        <f aca="false">IF(E145="","",IF(AND(A145&gt;=I_Parameter!$C$4,A145&lt;=I_Parameter!$C$6),1,0))</f>
        <v/>
      </c>
    </row>
    <row r="146" customFormat="false" ht="15" hidden="false" customHeight="false" outlineLevel="0" collapsed="false">
      <c r="A146" s="37"/>
      <c r="B146" s="44"/>
      <c r="C146" s="44"/>
      <c r="D146" s="44"/>
      <c r="E146" s="42"/>
      <c r="F146" s="46" t="str">
        <f aca="false">IF(E146="","",IF(AND(A146&gt;=I_Parameter!$C$4,A146&lt;=I_Parameter!$C$6),1,0))</f>
        <v/>
      </c>
    </row>
    <row r="147" customFormat="false" ht="15" hidden="false" customHeight="false" outlineLevel="0" collapsed="false">
      <c r="A147" s="37"/>
      <c r="B147" s="44"/>
      <c r="C147" s="44"/>
      <c r="D147" s="44"/>
      <c r="E147" s="42"/>
      <c r="F147" s="46" t="str">
        <f aca="false">IF(E147="","",IF(AND(A147&gt;=I_Parameter!$C$4,A147&lt;=I_Parameter!$C$6),1,0))</f>
        <v/>
      </c>
    </row>
    <row r="148" customFormat="false" ht="15" hidden="false" customHeight="false" outlineLevel="0" collapsed="false">
      <c r="A148" s="37"/>
      <c r="B148" s="44"/>
      <c r="C148" s="44"/>
      <c r="D148" s="44"/>
      <c r="E148" s="42"/>
      <c r="F148" s="46" t="str">
        <f aca="false">IF(E148="","",IF(AND(A148&gt;=I_Parameter!$C$4,A148&lt;=I_Parameter!$C$6),1,0))</f>
        <v/>
      </c>
    </row>
    <row r="149" customFormat="false" ht="15" hidden="false" customHeight="false" outlineLevel="0" collapsed="false">
      <c r="A149" s="37"/>
      <c r="B149" s="44"/>
      <c r="C149" s="44"/>
      <c r="D149" s="44"/>
      <c r="E149" s="42"/>
      <c r="F149" s="46" t="str">
        <f aca="false">IF(E149="","",IF(AND(A149&gt;=I_Parameter!$C$4,A149&lt;=I_Parameter!$C$6),1,0))</f>
        <v/>
      </c>
    </row>
    <row r="150" customFormat="false" ht="15" hidden="false" customHeight="false" outlineLevel="0" collapsed="false">
      <c r="A150" s="37"/>
      <c r="B150" s="44"/>
      <c r="C150" s="44"/>
      <c r="D150" s="44"/>
      <c r="E150" s="42"/>
      <c r="F150" s="46" t="str">
        <f aca="false">IF(E150="","",IF(AND(A150&gt;=I_Parameter!$C$4,A150&lt;=I_Parameter!$C$6),1,0))</f>
        <v/>
      </c>
    </row>
    <row r="151" customFormat="false" ht="15" hidden="false" customHeight="false" outlineLevel="0" collapsed="false">
      <c r="A151" s="37"/>
      <c r="B151" s="44"/>
      <c r="C151" s="44"/>
      <c r="D151" s="44"/>
      <c r="E151" s="42"/>
      <c r="F151" s="46" t="str">
        <f aca="false">IF(E151="","",IF(AND(A151&gt;=I_Parameter!$C$4,A151&lt;=I_Parameter!$C$6),1,0))</f>
        <v/>
      </c>
    </row>
    <row r="152" customFormat="false" ht="15" hidden="false" customHeight="false" outlineLevel="0" collapsed="false">
      <c r="A152" s="37"/>
      <c r="B152" s="44"/>
      <c r="C152" s="44"/>
      <c r="D152" s="44"/>
      <c r="E152" s="42"/>
      <c r="F152" s="46" t="str">
        <f aca="false">IF(E152="","",IF(AND(A152&gt;=I_Parameter!$C$4,A152&lt;=I_Parameter!$C$6),1,0))</f>
        <v/>
      </c>
    </row>
    <row r="153" customFormat="false" ht="15" hidden="false" customHeight="false" outlineLevel="0" collapsed="false">
      <c r="A153" s="37"/>
      <c r="B153" s="44"/>
      <c r="C153" s="44"/>
      <c r="D153" s="44"/>
      <c r="E153" s="42"/>
      <c r="F153" s="46" t="str">
        <f aca="false">IF(E153="","",IF(AND(A153&gt;=I_Parameter!$C$4,A153&lt;=I_Parameter!$C$6),1,0))</f>
        <v/>
      </c>
    </row>
    <row r="154" customFormat="false" ht="15" hidden="false" customHeight="false" outlineLevel="0" collapsed="false">
      <c r="A154" s="37"/>
      <c r="B154" s="44"/>
      <c r="C154" s="44"/>
      <c r="D154" s="44"/>
      <c r="E154" s="42"/>
      <c r="F154" s="46" t="str">
        <f aca="false">IF(E154="","",IF(AND(A154&gt;=I_Parameter!$C$4,A154&lt;=I_Parameter!$C$6),1,0))</f>
        <v/>
      </c>
    </row>
    <row r="155" customFormat="false" ht="15" hidden="false" customHeight="false" outlineLevel="0" collapsed="false">
      <c r="A155" s="37"/>
      <c r="B155" s="44"/>
      <c r="C155" s="44"/>
      <c r="D155" s="44"/>
      <c r="E155" s="42"/>
      <c r="F155" s="46" t="str">
        <f aca="false">IF(E155="","",IF(AND(A155&gt;=I_Parameter!$C$4,A155&lt;=I_Parameter!$C$6),1,0))</f>
        <v/>
      </c>
    </row>
    <row r="156" customFormat="false" ht="15" hidden="false" customHeight="false" outlineLevel="0" collapsed="false">
      <c r="A156" s="37"/>
      <c r="B156" s="44"/>
      <c r="C156" s="44"/>
      <c r="D156" s="44"/>
      <c r="E156" s="42"/>
      <c r="F156" s="46" t="str">
        <f aca="false">IF(E156="","",IF(AND(A156&gt;=I_Parameter!$C$4,A156&lt;=I_Parameter!$C$6),1,0))</f>
        <v/>
      </c>
    </row>
    <row r="157" customFormat="false" ht="15" hidden="false" customHeight="false" outlineLevel="0" collapsed="false">
      <c r="A157" s="37"/>
      <c r="B157" s="44"/>
      <c r="C157" s="44"/>
      <c r="D157" s="44"/>
      <c r="E157" s="42"/>
      <c r="F157" s="46" t="str">
        <f aca="false">IF(E157="","",IF(AND(A157&gt;=I_Parameter!$C$4,A157&lt;=I_Parameter!$C$6),1,0))</f>
        <v/>
      </c>
    </row>
    <row r="158" customFormat="false" ht="15" hidden="false" customHeight="false" outlineLevel="0" collapsed="false">
      <c r="A158" s="37"/>
      <c r="B158" s="44"/>
      <c r="C158" s="44"/>
      <c r="D158" s="44"/>
      <c r="E158" s="42"/>
      <c r="F158" s="46" t="str">
        <f aca="false">IF(E158="","",IF(AND(A158&gt;=I_Parameter!$C$4,A158&lt;=I_Parameter!$C$6),1,0))</f>
        <v/>
      </c>
    </row>
    <row r="159" customFormat="false" ht="15" hidden="false" customHeight="false" outlineLevel="0" collapsed="false">
      <c r="A159" s="37"/>
      <c r="B159" s="44"/>
      <c r="C159" s="44"/>
      <c r="D159" s="44"/>
      <c r="E159" s="42"/>
      <c r="F159" s="46" t="str">
        <f aca="false">IF(E159="","",IF(AND(A159&gt;=I_Parameter!$C$4,A159&lt;=I_Parameter!$C$6),1,0))</f>
        <v/>
      </c>
    </row>
    <row r="160" customFormat="false" ht="15" hidden="false" customHeight="false" outlineLevel="0" collapsed="false">
      <c r="A160" s="37"/>
      <c r="B160" s="44"/>
      <c r="C160" s="44"/>
      <c r="D160" s="44"/>
      <c r="E160" s="42"/>
      <c r="F160" s="46" t="str">
        <f aca="false">IF(E160="","",IF(AND(A160&gt;=I_Parameter!$C$4,A160&lt;=I_Parameter!$C$6),1,0))</f>
        <v/>
      </c>
    </row>
    <row r="161" customFormat="false" ht="15" hidden="false" customHeight="false" outlineLevel="0" collapsed="false">
      <c r="A161" s="37"/>
      <c r="B161" s="44"/>
      <c r="C161" s="44"/>
      <c r="D161" s="44"/>
      <c r="E161" s="42"/>
      <c r="F161" s="46" t="str">
        <f aca="false">IF(E161="","",IF(AND(A161&gt;=I_Parameter!$C$4,A161&lt;=I_Parameter!$C$6),1,0))</f>
        <v/>
      </c>
    </row>
    <row r="162" customFormat="false" ht="15" hidden="false" customHeight="false" outlineLevel="0" collapsed="false">
      <c r="A162" s="37"/>
      <c r="B162" s="44"/>
      <c r="C162" s="44"/>
      <c r="D162" s="44"/>
      <c r="E162" s="42"/>
      <c r="F162" s="46" t="str">
        <f aca="false">IF(E162="","",IF(AND(A162&gt;=I_Parameter!$C$4,A162&lt;=I_Parameter!$C$6),1,0))</f>
        <v/>
      </c>
    </row>
    <row r="163" customFormat="false" ht="15" hidden="false" customHeight="false" outlineLevel="0" collapsed="false">
      <c r="A163" s="37"/>
      <c r="B163" s="44"/>
      <c r="C163" s="44"/>
      <c r="D163" s="44"/>
      <c r="E163" s="42"/>
      <c r="F163" s="46" t="str">
        <f aca="false">IF(E163="","",IF(AND(A163&gt;=I_Parameter!$C$4,A163&lt;=I_Parameter!$C$6),1,0))</f>
        <v/>
      </c>
    </row>
    <row r="164" customFormat="false" ht="15" hidden="false" customHeight="false" outlineLevel="0" collapsed="false">
      <c r="A164" s="37"/>
      <c r="B164" s="44"/>
      <c r="C164" s="44"/>
      <c r="D164" s="44"/>
      <c r="E164" s="42"/>
      <c r="F164" s="46" t="str">
        <f aca="false">IF(E164="","",IF(AND(A164&gt;=I_Parameter!$C$4,A164&lt;=I_Parameter!$C$6),1,0))</f>
        <v/>
      </c>
    </row>
    <row r="165" customFormat="false" ht="15" hidden="false" customHeight="false" outlineLevel="0" collapsed="false">
      <c r="A165" s="37"/>
      <c r="B165" s="44"/>
      <c r="C165" s="44"/>
      <c r="D165" s="44"/>
      <c r="E165" s="42"/>
      <c r="F165" s="46" t="str">
        <f aca="false">IF(E165="","",IF(AND(A165&gt;=I_Parameter!$C$4,A165&lt;=I_Parameter!$C$6),1,0))</f>
        <v/>
      </c>
    </row>
    <row r="166" customFormat="false" ht="15" hidden="false" customHeight="false" outlineLevel="0" collapsed="false">
      <c r="A166" s="37"/>
      <c r="B166" s="44"/>
      <c r="C166" s="44"/>
      <c r="D166" s="44"/>
      <c r="E166" s="42"/>
      <c r="F166" s="46" t="str">
        <f aca="false">IF(E166="","",IF(AND(A166&gt;=I_Parameter!$C$4,A166&lt;=I_Parameter!$C$6),1,0))</f>
        <v/>
      </c>
    </row>
    <row r="167" customFormat="false" ht="15" hidden="false" customHeight="false" outlineLevel="0" collapsed="false">
      <c r="A167" s="37"/>
      <c r="B167" s="44"/>
      <c r="C167" s="44"/>
      <c r="D167" s="44"/>
      <c r="E167" s="42"/>
      <c r="F167" s="46" t="str">
        <f aca="false">IF(E167="","",IF(AND(A167&gt;=I_Parameter!$C$4,A167&lt;=I_Parameter!$C$6),1,0))</f>
        <v/>
      </c>
    </row>
    <row r="168" customFormat="false" ht="15" hidden="false" customHeight="false" outlineLevel="0" collapsed="false">
      <c r="A168" s="37"/>
      <c r="B168" s="44"/>
      <c r="C168" s="44"/>
      <c r="D168" s="44"/>
      <c r="E168" s="42"/>
      <c r="F168" s="46" t="str">
        <f aca="false">IF(E168="","",IF(AND(A168&gt;=I_Parameter!$C$4,A168&lt;=I_Parameter!$C$6),1,0))</f>
        <v/>
      </c>
    </row>
    <row r="169" customFormat="false" ht="15" hidden="false" customHeight="false" outlineLevel="0" collapsed="false">
      <c r="A169" s="37"/>
      <c r="B169" s="44"/>
      <c r="C169" s="44"/>
      <c r="D169" s="44"/>
      <c r="E169" s="42"/>
      <c r="F169" s="46" t="str">
        <f aca="false">IF(E169="","",IF(AND(A169&gt;=I_Parameter!$C$4,A169&lt;=I_Parameter!$C$6),1,0))</f>
        <v/>
      </c>
    </row>
    <row r="170" customFormat="false" ht="15" hidden="false" customHeight="false" outlineLevel="0" collapsed="false">
      <c r="A170" s="37"/>
      <c r="B170" s="44"/>
      <c r="C170" s="44"/>
      <c r="D170" s="44"/>
      <c r="E170" s="42"/>
      <c r="F170" s="46" t="str">
        <f aca="false">IF(E170="","",IF(AND(A170&gt;=I_Parameter!$C$4,A170&lt;=I_Parameter!$C$6),1,0))</f>
        <v/>
      </c>
    </row>
    <row r="171" customFormat="false" ht="15" hidden="false" customHeight="false" outlineLevel="0" collapsed="false">
      <c r="A171" s="37"/>
      <c r="B171" s="44"/>
      <c r="C171" s="44"/>
      <c r="D171" s="44"/>
      <c r="E171" s="42"/>
      <c r="F171" s="46" t="str">
        <f aca="false">IF(E171="","",IF(AND(A171&gt;=I_Parameter!$C$4,A171&lt;=I_Parameter!$C$6),1,0))</f>
        <v/>
      </c>
    </row>
    <row r="172" customFormat="false" ht="15" hidden="false" customHeight="false" outlineLevel="0" collapsed="false">
      <c r="A172" s="37"/>
      <c r="B172" s="44"/>
      <c r="C172" s="44"/>
      <c r="D172" s="44"/>
      <c r="E172" s="42"/>
      <c r="F172" s="46" t="str">
        <f aca="false">IF(E172="","",IF(AND(A172&gt;=I_Parameter!$C$4,A172&lt;=I_Parameter!$C$6),1,0))</f>
        <v/>
      </c>
    </row>
    <row r="173" customFormat="false" ht="15" hidden="false" customHeight="false" outlineLevel="0" collapsed="false">
      <c r="A173" s="37"/>
      <c r="B173" s="44"/>
      <c r="C173" s="44"/>
      <c r="D173" s="44"/>
      <c r="E173" s="42"/>
      <c r="F173" s="46" t="str">
        <f aca="false">IF(E173="","",IF(AND(A173&gt;=I_Parameter!$C$4,A173&lt;=I_Parameter!$C$6),1,0))</f>
        <v/>
      </c>
    </row>
    <row r="174" customFormat="false" ht="15" hidden="false" customHeight="false" outlineLevel="0" collapsed="false">
      <c r="A174" s="37"/>
      <c r="B174" s="44"/>
      <c r="C174" s="44"/>
      <c r="D174" s="44"/>
      <c r="E174" s="42"/>
      <c r="F174" s="46" t="str">
        <f aca="false">IF(E174="","",IF(AND(A174&gt;=I_Parameter!$C$4,A174&lt;=I_Parameter!$C$6),1,0))</f>
        <v/>
      </c>
    </row>
    <row r="175" customFormat="false" ht="15" hidden="false" customHeight="false" outlineLevel="0" collapsed="false">
      <c r="A175" s="37"/>
      <c r="B175" s="44"/>
      <c r="C175" s="44"/>
      <c r="D175" s="44"/>
      <c r="E175" s="42"/>
      <c r="F175" s="46" t="str">
        <f aca="false">IF(E175="","",IF(AND(A175&gt;=I_Parameter!$C$4,A175&lt;=I_Parameter!$C$6),1,0))</f>
        <v/>
      </c>
    </row>
    <row r="176" customFormat="false" ht="15" hidden="false" customHeight="false" outlineLevel="0" collapsed="false">
      <c r="A176" s="37"/>
      <c r="B176" s="44"/>
      <c r="C176" s="44"/>
      <c r="D176" s="44"/>
      <c r="E176" s="42"/>
      <c r="F176" s="46" t="str">
        <f aca="false">IF(E176="","",IF(AND(A176&gt;=I_Parameter!$C$4,A176&lt;=I_Parameter!$C$6),1,0))</f>
        <v/>
      </c>
    </row>
    <row r="177" customFormat="false" ht="15" hidden="false" customHeight="false" outlineLevel="0" collapsed="false">
      <c r="A177" s="37"/>
      <c r="B177" s="44"/>
      <c r="C177" s="44"/>
      <c r="D177" s="44"/>
      <c r="E177" s="42"/>
      <c r="F177" s="46" t="str">
        <f aca="false">IF(E177="","",IF(AND(A177&gt;=I_Parameter!$C$4,A177&lt;=I_Parameter!$C$6),1,0))</f>
        <v/>
      </c>
    </row>
    <row r="178" customFormat="false" ht="15" hidden="false" customHeight="false" outlineLevel="0" collapsed="false">
      <c r="A178" s="37"/>
      <c r="B178" s="44"/>
      <c r="C178" s="44"/>
      <c r="D178" s="44"/>
      <c r="E178" s="42"/>
      <c r="F178" s="46" t="str">
        <f aca="false">IF(E178="","",IF(AND(A178&gt;=I_Parameter!$C$4,A178&lt;=I_Parameter!$C$6),1,0))</f>
        <v/>
      </c>
    </row>
    <row r="179" customFormat="false" ht="15" hidden="false" customHeight="false" outlineLevel="0" collapsed="false">
      <c r="A179" s="37"/>
      <c r="B179" s="44"/>
      <c r="C179" s="44"/>
      <c r="D179" s="44"/>
      <c r="E179" s="42"/>
      <c r="F179" s="46" t="str">
        <f aca="false">IF(E179="","",IF(AND(A179&gt;=I_Parameter!$C$4,A179&lt;=I_Parameter!$C$6),1,0))</f>
        <v/>
      </c>
    </row>
    <row r="180" customFormat="false" ht="15" hidden="false" customHeight="false" outlineLevel="0" collapsed="false">
      <c r="A180" s="37"/>
      <c r="B180" s="44"/>
      <c r="C180" s="44"/>
      <c r="D180" s="44"/>
      <c r="E180" s="42"/>
      <c r="F180" s="46" t="str">
        <f aca="false">IF(E180="","",IF(AND(A180&gt;=I_Parameter!$C$4,A180&lt;=I_Parameter!$C$6),1,0))</f>
        <v/>
      </c>
    </row>
    <row r="181" customFormat="false" ht="15" hidden="false" customHeight="false" outlineLevel="0" collapsed="false">
      <c r="A181" s="37"/>
      <c r="B181" s="44"/>
      <c r="C181" s="44"/>
      <c r="D181" s="44"/>
      <c r="E181" s="42"/>
      <c r="F181" s="46" t="str">
        <f aca="false">IF(E181="","",IF(AND(A181&gt;=I_Parameter!$C$4,A181&lt;=I_Parameter!$C$6),1,0))</f>
        <v/>
      </c>
    </row>
    <row r="182" customFormat="false" ht="15" hidden="false" customHeight="false" outlineLevel="0" collapsed="false">
      <c r="A182" s="37"/>
      <c r="B182" s="44"/>
      <c r="C182" s="44"/>
      <c r="D182" s="44"/>
      <c r="E182" s="42"/>
      <c r="F182" s="46" t="str">
        <f aca="false">IF(E182="","",IF(AND(A182&gt;=I_Parameter!$C$4,A182&lt;=I_Parameter!$C$6),1,0))</f>
        <v/>
      </c>
    </row>
    <row r="183" customFormat="false" ht="15" hidden="false" customHeight="false" outlineLevel="0" collapsed="false">
      <c r="A183" s="37"/>
      <c r="B183" s="44"/>
      <c r="C183" s="44"/>
      <c r="D183" s="44"/>
      <c r="E183" s="42"/>
      <c r="F183" s="46" t="str">
        <f aca="false">IF(E183="","",IF(AND(A183&gt;=I_Parameter!$C$4,A183&lt;=I_Parameter!$C$6),1,0))</f>
        <v/>
      </c>
    </row>
    <row r="184" customFormat="false" ht="15" hidden="false" customHeight="false" outlineLevel="0" collapsed="false">
      <c r="A184" s="37"/>
      <c r="B184" s="44"/>
      <c r="C184" s="44"/>
      <c r="D184" s="44"/>
      <c r="E184" s="42"/>
      <c r="F184" s="46" t="str">
        <f aca="false">IF(E184="","",IF(AND(A184&gt;=I_Parameter!$C$4,A184&lt;=I_Parameter!$C$6),1,0))</f>
        <v/>
      </c>
    </row>
    <row r="185" customFormat="false" ht="15" hidden="false" customHeight="false" outlineLevel="0" collapsed="false">
      <c r="A185" s="37"/>
      <c r="B185" s="44"/>
      <c r="C185" s="44"/>
      <c r="D185" s="44"/>
      <c r="E185" s="42"/>
      <c r="F185" s="46" t="str">
        <f aca="false">IF(E185="","",IF(AND(A185&gt;=I_Parameter!$C$4,A185&lt;=I_Parameter!$C$6),1,0))</f>
        <v/>
      </c>
    </row>
    <row r="186" customFormat="false" ht="15" hidden="false" customHeight="false" outlineLevel="0" collapsed="false">
      <c r="A186" s="37"/>
      <c r="B186" s="44"/>
      <c r="C186" s="44"/>
      <c r="D186" s="44"/>
      <c r="E186" s="42"/>
      <c r="F186" s="46" t="str">
        <f aca="false">IF(E186="","",IF(AND(A186&gt;=I_Parameter!$C$4,A186&lt;=I_Parameter!$C$6),1,0))</f>
        <v/>
      </c>
    </row>
    <row r="187" customFormat="false" ht="15" hidden="false" customHeight="false" outlineLevel="0" collapsed="false">
      <c r="A187" s="37"/>
      <c r="B187" s="44"/>
      <c r="C187" s="44"/>
      <c r="D187" s="44"/>
      <c r="E187" s="42"/>
      <c r="F187" s="46" t="str">
        <f aca="false">IF(E187="","",IF(AND(A187&gt;=I_Parameter!$C$4,A187&lt;=I_Parameter!$C$6),1,0))</f>
        <v/>
      </c>
    </row>
    <row r="188" customFormat="false" ht="15" hidden="false" customHeight="false" outlineLevel="0" collapsed="false">
      <c r="A188" s="37"/>
      <c r="B188" s="44"/>
      <c r="C188" s="44"/>
      <c r="D188" s="44"/>
      <c r="E188" s="42"/>
      <c r="F188" s="46" t="str">
        <f aca="false">IF(E188="","",IF(AND(A188&gt;=I_Parameter!$C$4,A188&lt;=I_Parameter!$C$6),1,0))</f>
        <v/>
      </c>
    </row>
    <row r="189" customFormat="false" ht="15" hidden="false" customHeight="false" outlineLevel="0" collapsed="false">
      <c r="A189" s="37"/>
      <c r="B189" s="44"/>
      <c r="C189" s="44"/>
      <c r="D189" s="44"/>
      <c r="E189" s="42"/>
      <c r="F189" s="46" t="str">
        <f aca="false">IF(E189="","",IF(AND(A189&gt;=I_Parameter!$C$4,A189&lt;=I_Parameter!$C$6),1,0))</f>
        <v/>
      </c>
    </row>
    <row r="190" customFormat="false" ht="15" hidden="false" customHeight="false" outlineLevel="0" collapsed="false">
      <c r="A190" s="37"/>
      <c r="B190" s="44"/>
      <c r="C190" s="44"/>
      <c r="D190" s="44"/>
      <c r="E190" s="42"/>
      <c r="F190" s="46" t="str">
        <f aca="false">IF(E190="","",IF(AND(A190&gt;=I_Parameter!$C$4,A190&lt;=I_Parameter!$C$6),1,0))</f>
        <v/>
      </c>
    </row>
    <row r="191" customFormat="false" ht="15" hidden="false" customHeight="false" outlineLevel="0" collapsed="false">
      <c r="A191" s="37"/>
      <c r="B191" s="44"/>
      <c r="C191" s="44"/>
      <c r="D191" s="44"/>
      <c r="E191" s="42"/>
      <c r="F191" s="46" t="str">
        <f aca="false">IF(E191="","",IF(AND(A191&gt;=I_Parameter!$C$4,A191&lt;=I_Parameter!$C$6),1,0))</f>
        <v/>
      </c>
    </row>
    <row r="192" customFormat="false" ht="15" hidden="false" customHeight="false" outlineLevel="0" collapsed="false">
      <c r="A192" s="37"/>
      <c r="B192" s="44"/>
      <c r="C192" s="44"/>
      <c r="D192" s="44"/>
      <c r="E192" s="42"/>
      <c r="F192" s="46" t="str">
        <f aca="false">IF(E192="","",IF(AND(A192&gt;=I_Parameter!$C$4,A192&lt;=I_Parameter!$C$6),1,0))</f>
        <v/>
      </c>
    </row>
    <row r="193" customFormat="false" ht="15" hidden="false" customHeight="false" outlineLevel="0" collapsed="false">
      <c r="A193" s="37"/>
      <c r="B193" s="44"/>
      <c r="C193" s="44"/>
      <c r="D193" s="44"/>
      <c r="E193" s="42"/>
      <c r="F193" s="46" t="str">
        <f aca="false">IF(E193="","",IF(AND(A193&gt;=I_Parameter!$C$4,A193&lt;=I_Parameter!$C$6),1,0))</f>
        <v/>
      </c>
    </row>
    <row r="194" customFormat="false" ht="15" hidden="false" customHeight="false" outlineLevel="0" collapsed="false">
      <c r="A194" s="37"/>
      <c r="B194" s="44"/>
      <c r="C194" s="44"/>
      <c r="D194" s="44"/>
      <c r="E194" s="42"/>
      <c r="F194" s="46" t="str">
        <f aca="false">IF(E194="","",IF(AND(A194&gt;=I_Parameter!$C$4,A194&lt;=I_Parameter!$C$6),1,0))</f>
        <v/>
      </c>
    </row>
    <row r="195" customFormat="false" ht="15" hidden="false" customHeight="false" outlineLevel="0" collapsed="false">
      <c r="A195" s="37"/>
      <c r="B195" s="44"/>
      <c r="C195" s="44"/>
      <c r="D195" s="44"/>
      <c r="E195" s="42"/>
      <c r="F195" s="46" t="str">
        <f aca="false">IF(E195="","",IF(AND(A195&gt;=I_Parameter!$C$4,A195&lt;=I_Parameter!$C$6),1,0))</f>
        <v/>
      </c>
    </row>
    <row r="196" customFormat="false" ht="15" hidden="false" customHeight="false" outlineLevel="0" collapsed="false">
      <c r="A196" s="37"/>
      <c r="B196" s="44"/>
      <c r="C196" s="44"/>
      <c r="D196" s="44"/>
      <c r="E196" s="42"/>
      <c r="F196" s="46" t="str">
        <f aca="false">IF(E196="","",IF(AND(A196&gt;=I_Parameter!$C$4,A196&lt;=I_Parameter!$C$6),1,0))</f>
        <v/>
      </c>
    </row>
    <row r="197" customFormat="false" ht="15" hidden="false" customHeight="false" outlineLevel="0" collapsed="false">
      <c r="A197" s="37"/>
      <c r="B197" s="44"/>
      <c r="C197" s="44"/>
      <c r="D197" s="44"/>
      <c r="E197" s="42"/>
      <c r="F197" s="46" t="str">
        <f aca="false">IF(E197="","",IF(AND(A197&gt;=I_Parameter!$C$4,A197&lt;=I_Parameter!$C$6),1,0))</f>
        <v/>
      </c>
    </row>
    <row r="198" customFormat="false" ht="15" hidden="false" customHeight="false" outlineLevel="0" collapsed="false">
      <c r="A198" s="37"/>
      <c r="B198" s="44"/>
      <c r="C198" s="44"/>
      <c r="D198" s="44"/>
      <c r="E198" s="42"/>
      <c r="F198" s="46" t="str">
        <f aca="false">IF(E198="","",IF(AND(A198&gt;=I_Parameter!$C$4,A198&lt;=I_Parameter!$C$6),1,0))</f>
        <v/>
      </c>
    </row>
    <row r="199" customFormat="false" ht="15" hidden="false" customHeight="false" outlineLevel="0" collapsed="false">
      <c r="A199" s="37"/>
      <c r="B199" s="44"/>
      <c r="C199" s="44"/>
      <c r="D199" s="44"/>
      <c r="E199" s="42"/>
      <c r="F199" s="46" t="str">
        <f aca="false">IF(E199="","",IF(AND(A199&gt;=I_Parameter!$C$4,A199&lt;=I_Parameter!$C$6),1,0))</f>
        <v/>
      </c>
    </row>
    <row r="200" customFormat="false" ht="15" hidden="false" customHeight="false" outlineLevel="0" collapsed="false">
      <c r="A200" s="37"/>
      <c r="B200" s="44"/>
      <c r="C200" s="44"/>
      <c r="D200" s="44"/>
      <c r="E200" s="42"/>
      <c r="F200" s="46" t="str">
        <f aca="false">IF(E200="","",IF(AND(A200&gt;=I_Parameter!$C$4,A200&lt;=I_Parameter!$C$6),1,0))</f>
        <v/>
      </c>
    </row>
    <row r="201" customFormat="false" ht="15" hidden="false" customHeight="false" outlineLevel="0" collapsed="false">
      <c r="A201" s="37"/>
      <c r="B201" s="44"/>
      <c r="C201" s="44"/>
      <c r="D201" s="44"/>
      <c r="E201" s="42"/>
      <c r="F201" s="46" t="str">
        <f aca="false">IF(E201="","",IF(AND(A201&gt;=I_Parameter!$C$4,A201&lt;=I_Parameter!$C$6),1,0))</f>
        <v/>
      </c>
    </row>
    <row r="202" customFormat="false" ht="15" hidden="false" customHeight="false" outlineLevel="0" collapsed="false">
      <c r="A202" s="37"/>
      <c r="B202" s="44"/>
      <c r="C202" s="44"/>
      <c r="D202" s="44"/>
      <c r="E202" s="42"/>
      <c r="F202" s="46" t="str">
        <f aca="false">IF(E202="","",IF(AND(A202&gt;=I_Parameter!$C$4,A202&lt;=I_Parameter!$C$6),1,0))</f>
        <v/>
      </c>
    </row>
    <row r="203" customFormat="false" ht="15" hidden="false" customHeight="false" outlineLevel="0" collapsed="false">
      <c r="A203" s="37"/>
      <c r="B203" s="44"/>
      <c r="C203" s="44"/>
      <c r="D203" s="44"/>
      <c r="E203" s="42"/>
      <c r="F203" s="46" t="str">
        <f aca="false">IF(E203="","",IF(AND(A203&gt;=I_Parameter!$C$4,A203&lt;=I_Parameter!$C$6),1,0))</f>
        <v/>
      </c>
    </row>
    <row r="204" customFormat="false" ht="15" hidden="false" customHeight="false" outlineLevel="0" collapsed="false">
      <c r="A204" s="37"/>
      <c r="B204" s="44"/>
      <c r="C204" s="44"/>
      <c r="D204" s="44"/>
      <c r="E204" s="42"/>
      <c r="F204" s="46" t="str">
        <f aca="false">IF(E204="","",IF(AND(A204&gt;=I_Parameter!$C$4,A204&lt;=I_Parameter!$C$6),1,0))</f>
        <v/>
      </c>
    </row>
    <row r="205" customFormat="false" ht="15" hidden="false" customHeight="false" outlineLevel="0" collapsed="false">
      <c r="A205" s="37"/>
      <c r="B205" s="44"/>
      <c r="C205" s="44"/>
      <c r="D205" s="44"/>
      <c r="E205" s="42"/>
      <c r="F205" s="46" t="str">
        <f aca="false">IF(E205="","",IF(AND(A205&gt;=I_Parameter!$C$4,A205&lt;=I_Parameter!$C$6),1,0))</f>
        <v/>
      </c>
    </row>
    <row r="206" customFormat="false" ht="15" hidden="false" customHeight="false" outlineLevel="0" collapsed="false">
      <c r="A206" s="37"/>
      <c r="B206" s="44"/>
      <c r="C206" s="44"/>
      <c r="D206" s="44"/>
      <c r="E206" s="42"/>
      <c r="F206" s="46" t="str">
        <f aca="false">IF(E206="","",IF(AND(A206&gt;=I_Parameter!$C$4,A206&lt;=I_Parameter!$C$6),1,0))</f>
        <v/>
      </c>
    </row>
    <row r="207" customFormat="false" ht="15" hidden="false" customHeight="false" outlineLevel="0" collapsed="false">
      <c r="A207" s="37"/>
      <c r="B207" s="44"/>
      <c r="C207" s="44"/>
      <c r="D207" s="44"/>
      <c r="E207" s="42"/>
      <c r="F207" s="46" t="str">
        <f aca="false">IF(E207="","",IF(AND(A207&gt;=I_Parameter!$C$4,A207&lt;=I_Parameter!$C$6),1,0))</f>
        <v/>
      </c>
    </row>
    <row r="208" customFormat="false" ht="15" hidden="false" customHeight="false" outlineLevel="0" collapsed="false">
      <c r="A208" s="37"/>
      <c r="B208" s="44"/>
      <c r="C208" s="44"/>
      <c r="D208" s="44"/>
      <c r="E208" s="42"/>
      <c r="F208" s="46" t="str">
        <f aca="false">IF(E208="","",IF(AND(A208&gt;=I_Parameter!$C$4,A208&lt;=I_Parameter!$C$6),1,0))</f>
        <v/>
      </c>
    </row>
    <row r="209" customFormat="false" ht="15" hidden="false" customHeight="false" outlineLevel="0" collapsed="false">
      <c r="A209" s="37"/>
      <c r="B209" s="44"/>
      <c r="C209" s="44"/>
      <c r="D209" s="44"/>
      <c r="E209" s="42"/>
      <c r="F209" s="46" t="str">
        <f aca="false">IF(E209="","",IF(AND(A209&gt;=I_Parameter!$C$4,A209&lt;=I_Parameter!$C$6),1,0))</f>
        <v/>
      </c>
    </row>
    <row r="210" customFormat="false" ht="15" hidden="false" customHeight="false" outlineLevel="0" collapsed="false">
      <c r="A210" s="37"/>
      <c r="B210" s="44"/>
      <c r="C210" s="44"/>
      <c r="D210" s="44"/>
      <c r="E210" s="42"/>
      <c r="F210" s="46" t="str">
        <f aca="false">IF(E210="","",IF(AND(A210&gt;=I_Parameter!$C$4,A210&lt;=I_Parameter!$C$6),1,0))</f>
        <v/>
      </c>
    </row>
    <row r="211" customFormat="false" ht="15" hidden="false" customHeight="false" outlineLevel="0" collapsed="false">
      <c r="A211" s="37"/>
      <c r="B211" s="44"/>
      <c r="C211" s="44"/>
      <c r="D211" s="44"/>
      <c r="E211" s="42"/>
      <c r="F211" s="46" t="str">
        <f aca="false">IF(E211="","",IF(AND(A211&gt;=I_Parameter!$C$4,A211&lt;=I_Parameter!$C$6),1,0))</f>
        <v/>
      </c>
    </row>
    <row r="212" customFormat="false" ht="15" hidden="false" customHeight="false" outlineLevel="0" collapsed="false">
      <c r="A212" s="37"/>
      <c r="B212" s="44"/>
      <c r="C212" s="44"/>
      <c r="D212" s="44"/>
      <c r="E212" s="42"/>
      <c r="F212" s="46" t="str">
        <f aca="false">IF(E212="","",IF(AND(A212&gt;=I_Parameter!$C$4,A212&lt;=I_Parameter!$C$6),1,0))</f>
        <v/>
      </c>
    </row>
    <row r="213" customFormat="false" ht="15" hidden="false" customHeight="false" outlineLevel="0" collapsed="false">
      <c r="A213" s="37"/>
      <c r="B213" s="44"/>
      <c r="C213" s="44"/>
      <c r="D213" s="44"/>
      <c r="E213" s="42"/>
      <c r="F213" s="46" t="str">
        <f aca="false">IF(E213="","",IF(AND(A213&gt;=I_Parameter!$C$4,A213&lt;=I_Parameter!$C$6),1,0))</f>
        <v/>
      </c>
    </row>
    <row r="214" customFormat="false" ht="15" hidden="false" customHeight="false" outlineLevel="0" collapsed="false">
      <c r="A214" s="37"/>
      <c r="B214" s="44"/>
      <c r="C214" s="44"/>
      <c r="D214" s="44"/>
      <c r="E214" s="42"/>
      <c r="F214" s="46" t="str">
        <f aca="false">IF(E214="","",IF(AND(A214&gt;=I_Parameter!$C$4,A214&lt;=I_Parameter!$C$6),1,0))</f>
        <v/>
      </c>
    </row>
    <row r="215" customFormat="false" ht="15" hidden="false" customHeight="false" outlineLevel="0" collapsed="false">
      <c r="A215" s="37"/>
      <c r="B215" s="44"/>
      <c r="C215" s="44"/>
      <c r="D215" s="44"/>
      <c r="E215" s="42"/>
      <c r="F215" s="46" t="str">
        <f aca="false">IF(E215="","",IF(AND(A215&gt;=I_Parameter!$C$4,A215&lt;=I_Parameter!$C$6),1,0))</f>
        <v/>
      </c>
    </row>
    <row r="216" customFormat="false" ht="15" hidden="false" customHeight="false" outlineLevel="0" collapsed="false">
      <c r="A216" s="37"/>
      <c r="B216" s="44"/>
      <c r="C216" s="44"/>
      <c r="D216" s="44"/>
      <c r="E216" s="42"/>
      <c r="F216" s="46" t="str">
        <f aca="false">IF(E216="","",IF(AND(A216&gt;=I_Parameter!$C$4,A216&lt;=I_Parameter!$C$6),1,0))</f>
        <v/>
      </c>
    </row>
    <row r="217" customFormat="false" ht="15" hidden="false" customHeight="false" outlineLevel="0" collapsed="false">
      <c r="A217" s="37"/>
      <c r="B217" s="44"/>
      <c r="C217" s="44"/>
      <c r="D217" s="44"/>
      <c r="E217" s="42"/>
      <c r="F217" s="46" t="str">
        <f aca="false">IF(E217="","",IF(AND(A217&gt;=I_Parameter!$C$4,A217&lt;=I_Parameter!$C$6),1,0))</f>
        <v/>
      </c>
    </row>
    <row r="218" customFormat="false" ht="15" hidden="false" customHeight="false" outlineLevel="0" collapsed="false">
      <c r="A218" s="37"/>
      <c r="B218" s="44"/>
      <c r="C218" s="44"/>
      <c r="D218" s="44"/>
      <c r="E218" s="42"/>
      <c r="F218" s="46" t="str">
        <f aca="false">IF(E218="","",IF(AND(A218&gt;=I_Parameter!$C$4,A218&lt;=I_Parameter!$C$6),1,0))</f>
        <v/>
      </c>
    </row>
    <row r="219" customFormat="false" ht="15" hidden="false" customHeight="false" outlineLevel="0" collapsed="false">
      <c r="A219" s="37"/>
      <c r="B219" s="44"/>
      <c r="C219" s="44"/>
      <c r="D219" s="44"/>
      <c r="E219" s="42"/>
      <c r="F219" s="46" t="str">
        <f aca="false">IF(E219="","",IF(AND(A219&gt;=I_Parameter!$C$4,A219&lt;=I_Parameter!$C$6),1,0))</f>
        <v/>
      </c>
    </row>
    <row r="220" customFormat="false" ht="15" hidden="false" customHeight="false" outlineLevel="0" collapsed="false">
      <c r="A220" s="37"/>
      <c r="B220" s="44"/>
      <c r="C220" s="44"/>
      <c r="D220" s="44"/>
      <c r="E220" s="42"/>
      <c r="F220" s="46" t="str">
        <f aca="false">IF(E220="","",IF(AND(A220&gt;=I_Parameter!$C$4,A220&lt;=I_Parameter!$C$6),1,0))</f>
        <v/>
      </c>
    </row>
    <row r="221" customFormat="false" ht="15" hidden="false" customHeight="false" outlineLevel="0" collapsed="false">
      <c r="A221" s="37"/>
      <c r="B221" s="44"/>
      <c r="C221" s="44"/>
      <c r="D221" s="44"/>
      <c r="E221" s="42"/>
      <c r="F221" s="46" t="str">
        <f aca="false">IF(E221="","",IF(AND(A221&gt;=I_Parameter!$C$4,A221&lt;=I_Parameter!$C$6),1,0))</f>
        <v/>
      </c>
    </row>
    <row r="222" customFormat="false" ht="15" hidden="false" customHeight="false" outlineLevel="0" collapsed="false">
      <c r="A222" s="37"/>
      <c r="B222" s="44"/>
      <c r="C222" s="44"/>
      <c r="D222" s="44"/>
      <c r="E222" s="42"/>
      <c r="F222" s="46" t="str">
        <f aca="false">IF(E222="","",IF(AND(A222&gt;=I_Parameter!$C$4,A222&lt;=I_Parameter!$C$6),1,0))</f>
        <v/>
      </c>
    </row>
    <row r="223" customFormat="false" ht="15" hidden="false" customHeight="false" outlineLevel="0" collapsed="false">
      <c r="A223" s="37"/>
      <c r="B223" s="44"/>
      <c r="C223" s="44"/>
      <c r="D223" s="44"/>
      <c r="E223" s="42"/>
      <c r="F223" s="46" t="str">
        <f aca="false">IF(E223="","",IF(AND(A223&gt;=I_Parameter!$C$4,A223&lt;=I_Parameter!$C$6),1,0))</f>
        <v/>
      </c>
    </row>
    <row r="224" customFormat="false" ht="15" hidden="false" customHeight="false" outlineLevel="0" collapsed="false">
      <c r="A224" s="37"/>
      <c r="B224" s="44"/>
      <c r="C224" s="44"/>
      <c r="D224" s="44"/>
      <c r="E224" s="42"/>
      <c r="F224" s="46" t="str">
        <f aca="false">IF(E224="","",IF(AND(A224&gt;=I_Parameter!$C$4,A224&lt;=I_Parameter!$C$6),1,0))</f>
        <v/>
      </c>
    </row>
    <row r="225" customFormat="false" ht="15" hidden="false" customHeight="false" outlineLevel="0" collapsed="false">
      <c r="A225" s="37"/>
      <c r="B225" s="44"/>
      <c r="C225" s="44"/>
      <c r="D225" s="44"/>
      <c r="E225" s="42"/>
      <c r="F225" s="46" t="str">
        <f aca="false">IF(E225="","",IF(AND(A225&gt;=I_Parameter!$C$4,A225&lt;=I_Parameter!$C$6),1,0))</f>
        <v/>
      </c>
    </row>
    <row r="226" customFormat="false" ht="15" hidden="false" customHeight="false" outlineLevel="0" collapsed="false">
      <c r="A226" s="37"/>
      <c r="B226" s="44"/>
      <c r="C226" s="44"/>
      <c r="D226" s="44"/>
      <c r="E226" s="42"/>
      <c r="F226" s="46" t="str">
        <f aca="false">IF(E226="","",IF(AND(A226&gt;=I_Parameter!$C$4,A226&lt;=I_Parameter!$C$6),1,0))</f>
        <v/>
      </c>
    </row>
    <row r="227" customFormat="false" ht="15" hidden="false" customHeight="false" outlineLevel="0" collapsed="false">
      <c r="A227" s="37"/>
      <c r="B227" s="44"/>
      <c r="C227" s="44"/>
      <c r="D227" s="44"/>
      <c r="E227" s="42"/>
      <c r="F227" s="46" t="str">
        <f aca="false">IF(E227="","",IF(AND(A227&gt;=I_Parameter!$C$4,A227&lt;=I_Parameter!$C$6),1,0))</f>
        <v/>
      </c>
    </row>
    <row r="228" customFormat="false" ht="15" hidden="false" customHeight="false" outlineLevel="0" collapsed="false">
      <c r="A228" s="37"/>
      <c r="B228" s="44"/>
      <c r="C228" s="44"/>
      <c r="D228" s="44"/>
      <c r="E228" s="42"/>
      <c r="F228" s="46" t="str">
        <f aca="false">IF(E228="","",IF(AND(A228&gt;=I_Parameter!$C$4,A228&lt;=I_Parameter!$C$6),1,0))</f>
        <v/>
      </c>
    </row>
    <row r="229" customFormat="false" ht="15" hidden="false" customHeight="false" outlineLevel="0" collapsed="false">
      <c r="A229" s="37"/>
      <c r="B229" s="44"/>
      <c r="C229" s="44"/>
      <c r="D229" s="44"/>
      <c r="E229" s="42"/>
      <c r="F229" s="46" t="str">
        <f aca="false">IF(E229="","",IF(AND(A229&gt;=I_Parameter!$C$4,A229&lt;=I_Parameter!$C$6),1,0))</f>
        <v/>
      </c>
    </row>
    <row r="230" customFormat="false" ht="15" hidden="false" customHeight="false" outlineLevel="0" collapsed="false">
      <c r="A230" s="37"/>
      <c r="B230" s="44"/>
      <c r="C230" s="44"/>
      <c r="D230" s="44"/>
      <c r="E230" s="42"/>
      <c r="F230" s="46" t="str">
        <f aca="false">IF(E230="","",IF(AND(A230&gt;=I_Parameter!$C$4,A230&lt;=I_Parameter!$C$6),1,0))</f>
        <v/>
      </c>
    </row>
    <row r="231" customFormat="false" ht="15" hidden="false" customHeight="false" outlineLevel="0" collapsed="false">
      <c r="A231" s="37"/>
      <c r="B231" s="44"/>
      <c r="C231" s="44"/>
      <c r="D231" s="44"/>
      <c r="E231" s="42"/>
      <c r="F231" s="46" t="str">
        <f aca="false">IF(E231="","",IF(AND(A231&gt;=I_Parameter!$C$4,A231&lt;=I_Parameter!$C$6),1,0))</f>
        <v/>
      </c>
    </row>
    <row r="232" customFormat="false" ht="15" hidden="false" customHeight="false" outlineLevel="0" collapsed="false">
      <c r="A232" s="37"/>
      <c r="B232" s="44"/>
      <c r="C232" s="44"/>
      <c r="D232" s="44"/>
      <c r="E232" s="42"/>
      <c r="F232" s="46" t="str">
        <f aca="false">IF(E232="","",IF(AND(A232&gt;=I_Parameter!$C$4,A232&lt;=I_Parameter!$C$6),1,0))</f>
        <v/>
      </c>
    </row>
    <row r="233" customFormat="false" ht="15" hidden="false" customHeight="false" outlineLevel="0" collapsed="false">
      <c r="A233" s="37"/>
      <c r="B233" s="44"/>
      <c r="C233" s="44"/>
      <c r="D233" s="44"/>
      <c r="E233" s="42"/>
      <c r="F233" s="46" t="str">
        <f aca="false">IF(E233="","",IF(AND(A233&gt;=I_Parameter!$C$4,A233&lt;=I_Parameter!$C$6),1,0))</f>
        <v/>
      </c>
    </row>
    <row r="234" customFormat="false" ht="15" hidden="false" customHeight="false" outlineLevel="0" collapsed="false">
      <c r="A234" s="37"/>
      <c r="B234" s="44"/>
      <c r="C234" s="44"/>
      <c r="D234" s="44"/>
      <c r="E234" s="42"/>
      <c r="F234" s="46" t="str">
        <f aca="false">IF(E234="","",IF(AND(A234&gt;=I_Parameter!$C$4,A234&lt;=I_Parameter!$C$6),1,0))</f>
        <v/>
      </c>
    </row>
    <row r="235" customFormat="false" ht="15" hidden="false" customHeight="false" outlineLevel="0" collapsed="false">
      <c r="A235" s="37"/>
      <c r="B235" s="44"/>
      <c r="C235" s="44"/>
      <c r="D235" s="44"/>
      <c r="E235" s="42"/>
      <c r="F235" s="46" t="str">
        <f aca="false">IF(E235="","",IF(AND(A235&gt;=I_Parameter!$C$4,A235&lt;=I_Parameter!$C$6),1,0))</f>
        <v/>
      </c>
    </row>
    <row r="236" customFormat="false" ht="15" hidden="false" customHeight="false" outlineLevel="0" collapsed="false">
      <c r="A236" s="37"/>
      <c r="B236" s="44"/>
      <c r="C236" s="44"/>
      <c r="D236" s="44"/>
      <c r="E236" s="42"/>
      <c r="F236" s="46" t="str">
        <f aca="false">IF(E236="","",IF(AND(A236&gt;=I_Parameter!$C$4,A236&lt;=I_Parameter!$C$6),1,0))</f>
        <v/>
      </c>
    </row>
    <row r="237" customFormat="false" ht="15" hidden="false" customHeight="false" outlineLevel="0" collapsed="false">
      <c r="A237" s="37"/>
      <c r="B237" s="44"/>
      <c r="C237" s="44"/>
      <c r="D237" s="44"/>
      <c r="E237" s="42"/>
      <c r="F237" s="46" t="str">
        <f aca="false">IF(E237="","",IF(AND(A237&gt;=I_Parameter!$C$4,A237&lt;=I_Parameter!$C$6),1,0))</f>
        <v/>
      </c>
    </row>
    <row r="238" customFormat="false" ht="15" hidden="false" customHeight="false" outlineLevel="0" collapsed="false">
      <c r="A238" s="37"/>
      <c r="B238" s="44"/>
      <c r="C238" s="44"/>
      <c r="D238" s="44"/>
      <c r="E238" s="42"/>
      <c r="F238" s="46" t="str">
        <f aca="false">IF(E238="","",IF(AND(A238&gt;=I_Parameter!$C$4,A238&lt;=I_Parameter!$C$6),1,0))</f>
        <v/>
      </c>
    </row>
    <row r="239" customFormat="false" ht="15" hidden="false" customHeight="false" outlineLevel="0" collapsed="false">
      <c r="A239" s="37"/>
      <c r="B239" s="44"/>
      <c r="C239" s="44"/>
      <c r="D239" s="44"/>
      <c r="E239" s="42"/>
      <c r="F239" s="46" t="str">
        <f aca="false">IF(E239="","",IF(AND(A239&gt;=I_Parameter!$C$4,A239&lt;=I_Parameter!$C$6),1,0))</f>
        <v/>
      </c>
    </row>
    <row r="240" customFormat="false" ht="15" hidden="false" customHeight="false" outlineLevel="0" collapsed="false">
      <c r="A240" s="37"/>
      <c r="B240" s="44"/>
      <c r="C240" s="44"/>
      <c r="D240" s="44"/>
      <c r="E240" s="42"/>
      <c r="F240" s="46" t="str">
        <f aca="false">IF(E240="","",IF(AND(A240&gt;=I_Parameter!$C$4,A240&lt;=I_Parameter!$C$6),1,0))</f>
        <v/>
      </c>
    </row>
    <row r="241" customFormat="false" ht="15" hidden="false" customHeight="false" outlineLevel="0" collapsed="false">
      <c r="A241" s="37"/>
      <c r="B241" s="44"/>
      <c r="C241" s="44"/>
      <c r="D241" s="44"/>
      <c r="E241" s="42"/>
      <c r="F241" s="46" t="str">
        <f aca="false">IF(E241="","",IF(AND(A241&gt;=I_Parameter!$C$4,A241&lt;=I_Parameter!$C$6),1,0))</f>
        <v/>
      </c>
    </row>
    <row r="242" customFormat="false" ht="15" hidden="false" customHeight="false" outlineLevel="0" collapsed="false">
      <c r="A242" s="37"/>
      <c r="B242" s="44"/>
      <c r="C242" s="44"/>
      <c r="D242" s="44"/>
      <c r="E242" s="42"/>
      <c r="F242" s="46" t="str">
        <f aca="false">IF(E242="","",IF(AND(A242&gt;=I_Parameter!$C$4,A242&lt;=I_Parameter!$C$6),1,0))</f>
        <v/>
      </c>
    </row>
    <row r="243" customFormat="false" ht="15" hidden="false" customHeight="false" outlineLevel="0" collapsed="false">
      <c r="A243" s="37"/>
      <c r="B243" s="44"/>
      <c r="C243" s="44"/>
      <c r="D243" s="44"/>
      <c r="E243" s="42"/>
      <c r="F243" s="46" t="str">
        <f aca="false">IF(E243="","",IF(AND(A243&gt;=I_Parameter!$C$4,A243&lt;=I_Parameter!$C$6),1,0))</f>
        <v/>
      </c>
    </row>
    <row r="244" customFormat="false" ht="15" hidden="false" customHeight="false" outlineLevel="0" collapsed="false">
      <c r="A244" s="37"/>
      <c r="B244" s="44"/>
      <c r="C244" s="44"/>
      <c r="D244" s="44"/>
      <c r="E244" s="42"/>
      <c r="F244" s="46" t="str">
        <f aca="false">IF(E244="","",IF(AND(A244&gt;=I_Parameter!$C$4,A244&lt;=I_Parameter!$C$6),1,0))</f>
        <v/>
      </c>
    </row>
    <row r="245" customFormat="false" ht="15" hidden="false" customHeight="false" outlineLevel="0" collapsed="false">
      <c r="A245" s="37"/>
      <c r="B245" s="44"/>
      <c r="C245" s="44"/>
      <c r="D245" s="44"/>
      <c r="E245" s="42"/>
      <c r="F245" s="46" t="str">
        <f aca="false">IF(E245="","",IF(AND(A245&gt;=I_Parameter!$C$4,A245&lt;=I_Parameter!$C$6),1,0))</f>
        <v/>
      </c>
    </row>
    <row r="246" customFormat="false" ht="15" hidden="false" customHeight="false" outlineLevel="0" collapsed="false">
      <c r="A246" s="37"/>
      <c r="B246" s="44"/>
      <c r="C246" s="44"/>
      <c r="D246" s="44"/>
      <c r="E246" s="42"/>
      <c r="F246" s="46" t="str">
        <f aca="false">IF(E246="","",IF(AND(A246&gt;=I_Parameter!$C$4,A246&lt;=I_Parameter!$C$6),1,0))</f>
        <v/>
      </c>
    </row>
    <row r="247" customFormat="false" ht="15" hidden="false" customHeight="false" outlineLevel="0" collapsed="false">
      <c r="A247" s="37"/>
      <c r="B247" s="44"/>
      <c r="C247" s="44"/>
      <c r="D247" s="44"/>
      <c r="E247" s="42"/>
      <c r="F247" s="46" t="str">
        <f aca="false">IF(E247="","",IF(AND(A247&gt;=I_Parameter!$C$4,A247&lt;=I_Parameter!$C$6),1,0))</f>
        <v/>
      </c>
    </row>
    <row r="248" customFormat="false" ht="15" hidden="false" customHeight="false" outlineLevel="0" collapsed="false">
      <c r="A248" s="37"/>
      <c r="B248" s="44"/>
      <c r="C248" s="44"/>
      <c r="D248" s="44"/>
      <c r="E248" s="42"/>
      <c r="F248" s="46" t="str">
        <f aca="false">IF(E248="","",IF(AND(A248&gt;=I_Parameter!$C$4,A248&lt;=I_Parameter!$C$6),1,0))</f>
        <v/>
      </c>
    </row>
    <row r="249" customFormat="false" ht="15" hidden="false" customHeight="false" outlineLevel="0" collapsed="false">
      <c r="A249" s="37"/>
      <c r="B249" s="44"/>
      <c r="C249" s="44"/>
      <c r="D249" s="44"/>
      <c r="E249" s="42"/>
      <c r="F249" s="46" t="str">
        <f aca="false">IF(E249="","",IF(AND(A249&gt;=I_Parameter!$C$4,A249&lt;=I_Parameter!$C$6),1,0))</f>
        <v/>
      </c>
    </row>
    <row r="250" customFormat="false" ht="15" hidden="false" customHeight="false" outlineLevel="0" collapsed="false">
      <c r="A250" s="37"/>
      <c r="B250" s="44"/>
      <c r="C250" s="44"/>
      <c r="D250" s="44"/>
      <c r="E250" s="42"/>
      <c r="F250" s="46" t="str">
        <f aca="false">IF(E250="","",IF(AND(A250&gt;=I_Parameter!$C$4,A250&lt;=I_Parameter!$C$6),1,0))</f>
        <v/>
      </c>
    </row>
    <row r="251" customFormat="false" ht="15" hidden="false" customHeight="false" outlineLevel="0" collapsed="false">
      <c r="A251" s="37"/>
      <c r="B251" s="44"/>
      <c r="C251" s="44"/>
      <c r="D251" s="44"/>
      <c r="E251" s="42"/>
      <c r="F251" s="46" t="str">
        <f aca="false">IF(E251="","",IF(AND(A251&gt;=I_Parameter!$C$4,A251&lt;=I_Parameter!$C$6),1,0))</f>
        <v/>
      </c>
    </row>
    <row r="252" customFormat="false" ht="15" hidden="false" customHeight="false" outlineLevel="0" collapsed="false">
      <c r="A252" s="37"/>
      <c r="B252" s="44"/>
      <c r="C252" s="44"/>
      <c r="D252" s="44"/>
      <c r="E252" s="42"/>
      <c r="F252" s="46" t="str">
        <f aca="false">IF(E252="","",IF(AND(A252&gt;=I_Parameter!$C$4,A252&lt;=I_Parameter!$C$6),1,0))</f>
        <v/>
      </c>
    </row>
    <row r="253" customFormat="false" ht="15" hidden="false" customHeight="false" outlineLevel="0" collapsed="false">
      <c r="A253" s="37"/>
      <c r="B253" s="44"/>
      <c r="C253" s="44"/>
      <c r="D253" s="44"/>
      <c r="E253" s="42"/>
      <c r="F253" s="46" t="str">
        <f aca="false">IF(E253="","",IF(AND(A253&gt;=I_Parameter!$C$4,A253&lt;=I_Parameter!$C$6),1,0))</f>
        <v/>
      </c>
    </row>
    <row r="254" customFormat="false" ht="15" hidden="false" customHeight="false" outlineLevel="0" collapsed="false">
      <c r="A254" s="37"/>
      <c r="B254" s="44"/>
      <c r="C254" s="44"/>
      <c r="D254" s="44"/>
      <c r="E254" s="42"/>
      <c r="F254" s="46" t="str">
        <f aca="false">IF(E254="","",IF(AND(A254&gt;=I_Parameter!$C$4,A254&lt;=I_Parameter!$C$6),1,0))</f>
        <v/>
      </c>
    </row>
    <row r="255" customFormat="false" ht="15" hidden="false" customHeight="false" outlineLevel="0" collapsed="false">
      <c r="A255" s="37"/>
      <c r="B255" s="44"/>
      <c r="C255" s="44"/>
      <c r="D255" s="44"/>
      <c r="E255" s="42"/>
      <c r="F255" s="46" t="str">
        <f aca="false">IF(E255="","",IF(AND(A255&gt;=I_Parameter!$C$4,A255&lt;=I_Parameter!$C$6),1,0))</f>
        <v/>
      </c>
    </row>
    <row r="256" customFormat="false" ht="15" hidden="false" customHeight="false" outlineLevel="0" collapsed="false">
      <c r="A256" s="37"/>
      <c r="B256" s="44"/>
      <c r="C256" s="44"/>
      <c r="D256" s="44"/>
      <c r="E256" s="42"/>
      <c r="F256" s="46" t="str">
        <f aca="false">IF(E256="","",IF(AND(A256&gt;=I_Parameter!$C$4,A256&lt;=I_Parameter!$C$6),1,0))</f>
        <v/>
      </c>
    </row>
    <row r="257" customFormat="false" ht="15" hidden="false" customHeight="false" outlineLevel="0" collapsed="false">
      <c r="A257" s="37"/>
      <c r="B257" s="44"/>
      <c r="C257" s="44"/>
      <c r="D257" s="44"/>
      <c r="E257" s="42"/>
      <c r="F257" s="46" t="str">
        <f aca="false">IF(E257="","",IF(AND(A257&gt;=I_Parameter!$C$4,A257&lt;=I_Parameter!$C$6),1,0))</f>
        <v/>
      </c>
    </row>
    <row r="258" customFormat="false" ht="15" hidden="false" customHeight="false" outlineLevel="0" collapsed="false">
      <c r="A258" s="37"/>
      <c r="B258" s="44"/>
      <c r="C258" s="44"/>
      <c r="D258" s="44"/>
      <c r="E258" s="42"/>
      <c r="F258" s="46" t="str">
        <f aca="false">IF(E258="","",IF(AND(A258&gt;=I_Parameter!$C$4,A258&lt;=I_Parameter!$C$6),1,0))</f>
        <v/>
      </c>
    </row>
    <row r="259" customFormat="false" ht="15" hidden="false" customHeight="false" outlineLevel="0" collapsed="false">
      <c r="A259" s="37"/>
      <c r="B259" s="44"/>
      <c r="C259" s="44"/>
      <c r="D259" s="44"/>
      <c r="E259" s="42"/>
      <c r="F259" s="46" t="str">
        <f aca="false">IF(E259="","",IF(AND(A259&gt;=I_Parameter!$C$4,A259&lt;=I_Parameter!$C$6),1,0))</f>
        <v/>
      </c>
    </row>
    <row r="260" customFormat="false" ht="15" hidden="false" customHeight="false" outlineLevel="0" collapsed="false">
      <c r="A260" s="37"/>
      <c r="B260" s="44"/>
      <c r="C260" s="44"/>
      <c r="D260" s="44"/>
      <c r="E260" s="42"/>
      <c r="F260" s="46" t="str">
        <f aca="false">IF(E260="","",IF(AND(A260&gt;=I_Parameter!$C$4,A260&lt;=I_Parameter!$C$6),1,0))</f>
        <v/>
      </c>
    </row>
    <row r="261" customFormat="false" ht="15" hidden="false" customHeight="false" outlineLevel="0" collapsed="false">
      <c r="A261" s="37"/>
      <c r="B261" s="44"/>
      <c r="C261" s="44"/>
      <c r="D261" s="44"/>
      <c r="E261" s="42"/>
      <c r="F261" s="46" t="str">
        <f aca="false">IF(E261="","",IF(AND(A261&gt;=I_Parameter!$C$4,A261&lt;=I_Parameter!$C$6),1,0))</f>
        <v/>
      </c>
    </row>
    <row r="262" customFormat="false" ht="15" hidden="false" customHeight="false" outlineLevel="0" collapsed="false">
      <c r="A262" s="37"/>
      <c r="B262" s="44"/>
      <c r="C262" s="44"/>
      <c r="D262" s="44"/>
      <c r="E262" s="42"/>
      <c r="F262" s="46" t="str">
        <f aca="false">IF(E262="","",IF(AND(A262&gt;=I_Parameter!$C$4,A262&lt;=I_Parameter!$C$6),1,0))</f>
        <v/>
      </c>
    </row>
    <row r="263" customFormat="false" ht="15" hidden="false" customHeight="false" outlineLevel="0" collapsed="false">
      <c r="A263" s="37"/>
      <c r="B263" s="44"/>
      <c r="C263" s="44"/>
      <c r="D263" s="44"/>
      <c r="E263" s="42"/>
      <c r="F263" s="46" t="str">
        <f aca="false">IF(E263="","",IF(AND(A263&gt;=I_Parameter!$C$4,A263&lt;=I_Parameter!$C$6),1,0))</f>
        <v/>
      </c>
    </row>
    <row r="264" customFormat="false" ht="15" hidden="false" customHeight="false" outlineLevel="0" collapsed="false">
      <c r="A264" s="37"/>
      <c r="B264" s="44"/>
      <c r="C264" s="44"/>
      <c r="D264" s="44"/>
      <c r="E264" s="42"/>
      <c r="F264" s="46" t="str">
        <f aca="false">IF(E264="","",IF(AND(A264&gt;=I_Parameter!$C$4,A264&lt;=I_Parameter!$C$6),1,0))</f>
        <v/>
      </c>
    </row>
    <row r="265" customFormat="false" ht="15" hidden="false" customHeight="false" outlineLevel="0" collapsed="false">
      <c r="A265" s="37"/>
      <c r="B265" s="44"/>
      <c r="C265" s="44"/>
      <c r="D265" s="44"/>
      <c r="E265" s="42"/>
      <c r="F265" s="46" t="str">
        <f aca="false">IF(E265="","",IF(AND(A265&gt;=I_Parameter!$C$4,A265&lt;=I_Parameter!$C$6),1,0))</f>
        <v/>
      </c>
    </row>
    <row r="266" customFormat="false" ht="15" hidden="false" customHeight="false" outlineLevel="0" collapsed="false">
      <c r="A266" s="37"/>
      <c r="B266" s="44"/>
      <c r="C266" s="44"/>
      <c r="D266" s="44"/>
      <c r="E266" s="42"/>
      <c r="F266" s="46" t="str">
        <f aca="false">IF(E266="","",IF(AND(A266&gt;=I_Parameter!$C$4,A266&lt;=I_Parameter!$C$6),1,0))</f>
        <v/>
      </c>
    </row>
    <row r="267" customFormat="false" ht="15" hidden="false" customHeight="false" outlineLevel="0" collapsed="false">
      <c r="A267" s="37"/>
      <c r="B267" s="44"/>
      <c r="C267" s="44"/>
      <c r="D267" s="44"/>
      <c r="E267" s="42"/>
      <c r="F267" s="46" t="str">
        <f aca="false">IF(E267="","",IF(AND(A267&gt;=I_Parameter!$C$4,A267&lt;=I_Parameter!$C$6),1,0))</f>
        <v/>
      </c>
    </row>
    <row r="268" customFormat="false" ht="15" hidden="false" customHeight="false" outlineLevel="0" collapsed="false">
      <c r="A268" s="37"/>
      <c r="B268" s="44"/>
      <c r="C268" s="44"/>
      <c r="D268" s="44"/>
      <c r="E268" s="42"/>
      <c r="F268" s="46" t="str">
        <f aca="false">IF(E268="","",IF(AND(A268&gt;=I_Parameter!$C$4,A268&lt;=I_Parameter!$C$6),1,0))</f>
        <v/>
      </c>
    </row>
    <row r="269" customFormat="false" ht="15" hidden="false" customHeight="false" outlineLevel="0" collapsed="false">
      <c r="A269" s="37"/>
      <c r="B269" s="44"/>
      <c r="C269" s="44"/>
      <c r="D269" s="44"/>
      <c r="E269" s="42"/>
      <c r="F269" s="46" t="str">
        <f aca="false">IF(E269="","",IF(AND(A269&gt;=I_Parameter!$C$4,A269&lt;=I_Parameter!$C$6),1,0))</f>
        <v/>
      </c>
    </row>
    <row r="270" customFormat="false" ht="15" hidden="false" customHeight="false" outlineLevel="0" collapsed="false">
      <c r="A270" s="37"/>
      <c r="B270" s="44"/>
      <c r="C270" s="44"/>
      <c r="D270" s="44"/>
      <c r="E270" s="42"/>
      <c r="F270" s="46" t="str">
        <f aca="false">IF(E270="","",IF(AND(A270&gt;=I_Parameter!$C$4,A270&lt;=I_Parameter!$C$6),1,0))</f>
        <v/>
      </c>
    </row>
    <row r="271" customFormat="false" ht="15" hidden="false" customHeight="false" outlineLevel="0" collapsed="false">
      <c r="A271" s="37"/>
      <c r="B271" s="44"/>
      <c r="C271" s="44"/>
      <c r="D271" s="44"/>
      <c r="E271" s="42"/>
      <c r="F271" s="46" t="str">
        <f aca="false">IF(E271="","",IF(AND(A271&gt;=I_Parameter!$C$4,A271&lt;=I_Parameter!$C$6),1,0))</f>
        <v/>
      </c>
    </row>
    <row r="272" customFormat="false" ht="15" hidden="false" customHeight="false" outlineLevel="0" collapsed="false">
      <c r="A272" s="37"/>
      <c r="B272" s="44"/>
      <c r="C272" s="44"/>
      <c r="D272" s="44"/>
      <c r="E272" s="42"/>
      <c r="F272" s="46" t="str">
        <f aca="false">IF(E272="","",IF(AND(A272&gt;=I_Parameter!$C$4,A272&lt;=I_Parameter!$C$6),1,0))</f>
        <v/>
      </c>
    </row>
    <row r="273" customFormat="false" ht="15" hidden="false" customHeight="false" outlineLevel="0" collapsed="false">
      <c r="A273" s="37"/>
      <c r="B273" s="44"/>
      <c r="C273" s="44"/>
      <c r="D273" s="44"/>
      <c r="E273" s="42"/>
      <c r="F273" s="46" t="str">
        <f aca="false">IF(E273="","",IF(AND(A273&gt;=I_Parameter!$C$4,A273&lt;=I_Parameter!$C$6),1,0))</f>
        <v/>
      </c>
    </row>
    <row r="274" customFormat="false" ht="15" hidden="false" customHeight="false" outlineLevel="0" collapsed="false">
      <c r="A274" s="37"/>
      <c r="B274" s="44"/>
      <c r="C274" s="44"/>
      <c r="D274" s="44"/>
      <c r="E274" s="42"/>
      <c r="F274" s="46" t="str">
        <f aca="false">IF(E274="","",IF(AND(A274&gt;=I_Parameter!$C$4,A274&lt;=I_Parameter!$C$6),1,0))</f>
        <v/>
      </c>
    </row>
    <row r="275" customFormat="false" ht="15" hidden="false" customHeight="false" outlineLevel="0" collapsed="false">
      <c r="A275" s="37"/>
      <c r="B275" s="44"/>
      <c r="C275" s="44"/>
      <c r="D275" s="44"/>
      <c r="E275" s="42"/>
      <c r="F275" s="46" t="str">
        <f aca="false">IF(E275="","",IF(AND(A275&gt;=I_Parameter!$C$4,A275&lt;=I_Parameter!$C$6),1,0))</f>
        <v/>
      </c>
    </row>
    <row r="276" customFormat="false" ht="15" hidden="false" customHeight="false" outlineLevel="0" collapsed="false">
      <c r="A276" s="37"/>
      <c r="B276" s="44"/>
      <c r="C276" s="44"/>
      <c r="D276" s="44"/>
      <c r="E276" s="42"/>
      <c r="F276" s="46" t="str">
        <f aca="false">IF(E276="","",IF(AND(A276&gt;=I_Parameter!$C$4,A276&lt;=I_Parameter!$C$6),1,0))</f>
        <v/>
      </c>
    </row>
    <row r="277" customFormat="false" ht="15" hidden="false" customHeight="false" outlineLevel="0" collapsed="false">
      <c r="A277" s="37"/>
      <c r="B277" s="44"/>
      <c r="C277" s="44"/>
      <c r="D277" s="44"/>
      <c r="E277" s="42"/>
      <c r="F277" s="46" t="str">
        <f aca="false">IF(E277="","",IF(AND(A277&gt;=I_Parameter!$C$4,A277&lt;=I_Parameter!$C$6),1,0))</f>
        <v/>
      </c>
    </row>
    <row r="278" customFormat="false" ht="15" hidden="false" customHeight="false" outlineLevel="0" collapsed="false">
      <c r="A278" s="37"/>
      <c r="B278" s="44"/>
      <c r="C278" s="44"/>
      <c r="D278" s="44"/>
      <c r="E278" s="42"/>
      <c r="F278" s="46" t="str">
        <f aca="false">IF(E278="","",IF(AND(A278&gt;=I_Parameter!$C$4,A278&lt;=I_Parameter!$C$6),1,0))</f>
        <v/>
      </c>
    </row>
    <row r="279" customFormat="false" ht="15" hidden="false" customHeight="false" outlineLevel="0" collapsed="false">
      <c r="A279" s="37"/>
      <c r="B279" s="44"/>
      <c r="C279" s="44"/>
      <c r="D279" s="44"/>
      <c r="E279" s="42"/>
      <c r="F279" s="46" t="str">
        <f aca="false">IF(E279="","",IF(AND(A279&gt;=I_Parameter!$C$4,A279&lt;=I_Parameter!$C$6),1,0))</f>
        <v/>
      </c>
    </row>
    <row r="280" customFormat="false" ht="15" hidden="false" customHeight="false" outlineLevel="0" collapsed="false">
      <c r="A280" s="37"/>
      <c r="B280" s="44"/>
      <c r="C280" s="44"/>
      <c r="D280" s="44"/>
      <c r="E280" s="42"/>
      <c r="F280" s="46" t="str">
        <f aca="false">IF(E280="","",IF(AND(A280&gt;=I_Parameter!$C$4,A280&lt;=I_Parameter!$C$6),1,0))</f>
        <v/>
      </c>
    </row>
    <row r="281" customFormat="false" ht="15" hidden="false" customHeight="false" outlineLevel="0" collapsed="false">
      <c r="A281" s="37"/>
      <c r="B281" s="44"/>
      <c r="C281" s="44"/>
      <c r="D281" s="44"/>
      <c r="E281" s="42"/>
      <c r="F281" s="46" t="str">
        <f aca="false">IF(E281="","",IF(AND(A281&gt;=I_Parameter!$C$4,A281&lt;=I_Parameter!$C$6),1,0))</f>
        <v/>
      </c>
    </row>
    <row r="282" customFormat="false" ht="15" hidden="false" customHeight="false" outlineLevel="0" collapsed="false">
      <c r="A282" s="37"/>
      <c r="B282" s="44"/>
      <c r="C282" s="44"/>
      <c r="D282" s="44"/>
      <c r="E282" s="42"/>
      <c r="F282" s="46" t="str">
        <f aca="false">IF(E282="","",IF(AND(A282&gt;=I_Parameter!$C$4,A282&lt;=I_Parameter!$C$6),1,0))</f>
        <v/>
      </c>
    </row>
    <row r="283" customFormat="false" ht="15" hidden="false" customHeight="false" outlineLevel="0" collapsed="false">
      <c r="A283" s="37"/>
      <c r="B283" s="44"/>
      <c r="C283" s="44"/>
      <c r="D283" s="44"/>
      <c r="E283" s="42"/>
      <c r="F283" s="46" t="str">
        <f aca="false">IF(E283="","",IF(AND(A283&gt;=I_Parameter!$C$4,A283&lt;=I_Parameter!$C$6),1,0))</f>
        <v/>
      </c>
    </row>
    <row r="284" customFormat="false" ht="15" hidden="false" customHeight="false" outlineLevel="0" collapsed="false">
      <c r="A284" s="37"/>
      <c r="B284" s="44"/>
      <c r="C284" s="44"/>
      <c r="D284" s="44"/>
      <c r="E284" s="42"/>
      <c r="F284" s="46" t="str">
        <f aca="false">IF(E284="","",IF(AND(A284&gt;=I_Parameter!$C$4,A284&lt;=I_Parameter!$C$6),1,0))</f>
        <v/>
      </c>
    </row>
    <row r="285" customFormat="false" ht="15" hidden="false" customHeight="false" outlineLevel="0" collapsed="false">
      <c r="A285" s="37"/>
      <c r="B285" s="44"/>
      <c r="C285" s="44"/>
      <c r="D285" s="44"/>
      <c r="E285" s="42"/>
      <c r="F285" s="46" t="str">
        <f aca="false">IF(E285="","",IF(AND(A285&gt;=I_Parameter!$C$4,A285&lt;=I_Parameter!$C$6),1,0))</f>
        <v/>
      </c>
    </row>
    <row r="286" customFormat="false" ht="15" hidden="false" customHeight="false" outlineLevel="0" collapsed="false">
      <c r="A286" s="37"/>
      <c r="B286" s="44"/>
      <c r="C286" s="44"/>
      <c r="D286" s="44"/>
      <c r="E286" s="42"/>
      <c r="F286" s="46" t="str">
        <f aca="false">IF(E286="","",IF(AND(A286&gt;=I_Parameter!$C$4,A286&lt;=I_Parameter!$C$6),1,0))</f>
        <v/>
      </c>
    </row>
    <row r="287" customFormat="false" ht="15" hidden="false" customHeight="false" outlineLevel="0" collapsed="false">
      <c r="A287" s="37"/>
      <c r="B287" s="44"/>
      <c r="C287" s="44"/>
      <c r="D287" s="44"/>
      <c r="E287" s="42"/>
      <c r="F287" s="46" t="str">
        <f aca="false">IF(E287="","",IF(AND(A287&gt;=I_Parameter!$C$4,A287&lt;=I_Parameter!$C$6),1,0))</f>
        <v/>
      </c>
    </row>
    <row r="288" customFormat="false" ht="15" hidden="false" customHeight="false" outlineLevel="0" collapsed="false">
      <c r="A288" s="37"/>
      <c r="B288" s="44"/>
      <c r="C288" s="44"/>
      <c r="D288" s="44"/>
      <c r="E288" s="42"/>
      <c r="F288" s="46" t="str">
        <f aca="false">IF(E288="","",IF(AND(A288&gt;=I_Parameter!$C$4,A288&lt;=I_Parameter!$C$6),1,0))</f>
        <v/>
      </c>
    </row>
    <row r="289" customFormat="false" ht="15" hidden="false" customHeight="false" outlineLevel="0" collapsed="false">
      <c r="A289" s="37"/>
      <c r="B289" s="44"/>
      <c r="C289" s="44"/>
      <c r="D289" s="44"/>
      <c r="E289" s="42"/>
      <c r="F289" s="46" t="str">
        <f aca="false">IF(E289="","",IF(AND(A289&gt;=I_Parameter!$C$4,A289&lt;=I_Parameter!$C$6),1,0))</f>
        <v/>
      </c>
    </row>
    <row r="290" customFormat="false" ht="15" hidden="false" customHeight="false" outlineLevel="0" collapsed="false">
      <c r="A290" s="37"/>
      <c r="B290" s="44"/>
      <c r="C290" s="44"/>
      <c r="D290" s="44"/>
      <c r="E290" s="42"/>
      <c r="F290" s="46" t="str">
        <f aca="false">IF(E290="","",IF(AND(A290&gt;=I_Parameter!$C$4,A290&lt;=I_Parameter!$C$6),1,0))</f>
        <v/>
      </c>
    </row>
    <row r="291" customFormat="false" ht="15" hidden="false" customHeight="false" outlineLevel="0" collapsed="false">
      <c r="A291" s="37"/>
      <c r="B291" s="44"/>
      <c r="C291" s="44"/>
      <c r="D291" s="44"/>
      <c r="E291" s="42"/>
      <c r="F291" s="46" t="str">
        <f aca="false">IF(E291="","",IF(AND(A291&gt;=I_Parameter!$C$4,A291&lt;=I_Parameter!$C$6),1,0))</f>
        <v/>
      </c>
    </row>
    <row r="292" customFormat="false" ht="15" hidden="false" customHeight="false" outlineLevel="0" collapsed="false">
      <c r="A292" s="37"/>
      <c r="B292" s="44"/>
      <c r="C292" s="44"/>
      <c r="D292" s="44"/>
      <c r="E292" s="42"/>
      <c r="F292" s="46" t="str">
        <f aca="false">IF(E292="","",IF(AND(A292&gt;=I_Parameter!$C$4,A292&lt;=I_Parameter!$C$6),1,0))</f>
        <v/>
      </c>
    </row>
    <row r="293" customFormat="false" ht="15" hidden="false" customHeight="false" outlineLevel="0" collapsed="false">
      <c r="A293" s="37"/>
      <c r="B293" s="44"/>
      <c r="C293" s="44"/>
      <c r="D293" s="44"/>
      <c r="E293" s="42"/>
      <c r="F293" s="46" t="str">
        <f aca="false">IF(E293="","",IF(AND(A293&gt;=I_Parameter!$C$4,A293&lt;=I_Parameter!$C$6),1,0))</f>
        <v/>
      </c>
    </row>
    <row r="294" customFormat="false" ht="15" hidden="false" customHeight="false" outlineLevel="0" collapsed="false">
      <c r="A294" s="37"/>
      <c r="B294" s="44"/>
      <c r="C294" s="44"/>
      <c r="D294" s="44"/>
      <c r="E294" s="42"/>
      <c r="F294" s="46" t="str">
        <f aca="false">IF(E294="","",IF(AND(A294&gt;=I_Parameter!$C$4,A294&lt;=I_Parameter!$C$6),1,0))</f>
        <v/>
      </c>
    </row>
    <row r="295" customFormat="false" ht="15" hidden="false" customHeight="false" outlineLevel="0" collapsed="false">
      <c r="A295" s="37"/>
      <c r="B295" s="44"/>
      <c r="C295" s="44"/>
      <c r="D295" s="44"/>
      <c r="E295" s="42"/>
      <c r="F295" s="46" t="str">
        <f aca="false">IF(E295="","",IF(AND(A295&gt;=I_Parameter!$C$4,A295&lt;=I_Parameter!$C$6),1,0))</f>
        <v/>
      </c>
    </row>
    <row r="296" customFormat="false" ht="15" hidden="false" customHeight="false" outlineLevel="0" collapsed="false">
      <c r="A296" s="37"/>
      <c r="B296" s="44"/>
      <c r="C296" s="44"/>
      <c r="D296" s="44"/>
      <c r="E296" s="42"/>
      <c r="F296" s="46" t="str">
        <f aca="false">IF(E296="","",IF(AND(A296&gt;=I_Parameter!$C$4,A296&lt;=I_Parameter!$C$6),1,0))</f>
        <v/>
      </c>
    </row>
    <row r="297" customFormat="false" ht="15" hidden="false" customHeight="false" outlineLevel="0" collapsed="false">
      <c r="A297" s="37"/>
      <c r="B297" s="44"/>
      <c r="C297" s="44"/>
      <c r="D297" s="44"/>
      <c r="E297" s="42"/>
      <c r="F297" s="46" t="str">
        <f aca="false">IF(E297="","",IF(AND(A297&gt;=I_Parameter!$C$4,A297&lt;=I_Parameter!$C$6),1,0))</f>
        <v/>
      </c>
    </row>
    <row r="298" customFormat="false" ht="15" hidden="false" customHeight="false" outlineLevel="0" collapsed="false">
      <c r="A298" s="37"/>
      <c r="B298" s="44"/>
      <c r="C298" s="44"/>
      <c r="D298" s="44"/>
      <c r="E298" s="42"/>
      <c r="F298" s="46" t="str">
        <f aca="false">IF(E298="","",IF(AND(A298&gt;=I_Parameter!$C$4,A298&lt;=I_Parameter!$C$6),1,0))</f>
        <v/>
      </c>
    </row>
    <row r="299" customFormat="false" ht="15" hidden="false" customHeight="false" outlineLevel="0" collapsed="false">
      <c r="A299" s="37"/>
      <c r="B299" s="44"/>
      <c r="C299" s="44"/>
      <c r="D299" s="44"/>
      <c r="E299" s="42"/>
      <c r="F299" s="46" t="str">
        <f aca="false">IF(E299="","",IF(AND(A299&gt;=I_Parameter!$C$4,A299&lt;=I_Parameter!$C$6),1,0))</f>
        <v/>
      </c>
    </row>
    <row r="300" customFormat="false" ht="15" hidden="false" customHeight="false" outlineLevel="0" collapsed="false">
      <c r="A300" s="37"/>
      <c r="B300" s="44"/>
      <c r="C300" s="44"/>
      <c r="D300" s="44"/>
      <c r="E300" s="42"/>
      <c r="F300" s="46" t="str">
        <f aca="false">IF(E300="","",IF(AND(A300&gt;=I_Parameter!$C$4,A300&lt;=I_Parameter!$C$6),1,0))</f>
        <v/>
      </c>
    </row>
    <row r="301" customFormat="false" ht="15" hidden="false" customHeight="false" outlineLevel="0" collapsed="false">
      <c r="A301" s="37"/>
      <c r="B301" s="44"/>
      <c r="C301" s="44"/>
      <c r="D301" s="44"/>
      <c r="E301" s="42"/>
      <c r="F301" s="46" t="str">
        <f aca="false">IF(E301="","",IF(AND(A301&gt;=I_Parameter!$C$4,A301&lt;=I_Parameter!$C$6),1,0))</f>
        <v/>
      </c>
    </row>
    <row r="302" customFormat="false" ht="15" hidden="false" customHeight="false" outlineLevel="0" collapsed="false">
      <c r="A302" s="37"/>
      <c r="B302" s="44"/>
      <c r="C302" s="44"/>
      <c r="D302" s="44"/>
      <c r="E302" s="42"/>
      <c r="F302" s="46" t="str">
        <f aca="false">IF(E302="","",IF(AND(A302&gt;=I_Parameter!$C$4,A302&lt;=I_Parameter!$C$6),1,0))</f>
        <v/>
      </c>
    </row>
    <row r="303" customFormat="false" ht="15" hidden="false" customHeight="false" outlineLevel="0" collapsed="false">
      <c r="A303" s="37"/>
      <c r="B303" s="44"/>
      <c r="C303" s="44"/>
      <c r="D303" s="44"/>
      <c r="E303" s="42"/>
      <c r="F303" s="46" t="str">
        <f aca="false">IF(E303="","",IF(AND(A303&gt;=I_Parameter!$C$4,A303&lt;=I_Parameter!$C$6),1,0))</f>
        <v/>
      </c>
    </row>
    <row r="304" customFormat="false" ht="15" hidden="false" customHeight="false" outlineLevel="0" collapsed="false">
      <c r="A304" s="37"/>
      <c r="B304" s="44"/>
      <c r="C304" s="44"/>
      <c r="D304" s="44"/>
      <c r="E304" s="42"/>
      <c r="F304" s="46" t="str">
        <f aca="false">IF(E304="","",IF(AND(A304&gt;=I_Parameter!$C$4,A304&lt;=I_Parameter!$C$6),1,0))</f>
        <v/>
      </c>
    </row>
    <row r="305" customFormat="false" ht="15" hidden="false" customHeight="false" outlineLevel="0" collapsed="false">
      <c r="A305" s="37"/>
      <c r="B305" s="44"/>
      <c r="C305" s="44"/>
      <c r="D305" s="44"/>
      <c r="E305" s="42"/>
      <c r="F305" s="46" t="str">
        <f aca="false">IF(E305="","",IF(AND(A305&gt;=I_Parameter!$C$4,A305&lt;=I_Parameter!$C$6),1,0))</f>
        <v/>
      </c>
    </row>
  </sheetData>
  <dataValidations count="2">
    <dataValidation allowBlank="true" errorStyle="stop" operator="between" showDropDown="false" showErrorMessage="false" showInputMessage="false" sqref="B6:B305" type="list">
      <formula1>"Penerimaan dari pelanggan,Penerimaan lain,Bayar pemasok barang (live bird &amp; trading),Bayar jasa (maklon,angkut,cold storage,sewa),Bayar karyawan,Bayar biaya operasional lain,Bayar pajak,Bunga &amp; biaya bank,Belanja aset tetap,Pinjaman afiliasi (net),Setoran"</formula1>
      <formula2>0</formula2>
    </dataValidation>
    <dataValidation allowBlank="true" errorStyle="stop" operator="between" showDropDown="false" showErrorMessage="false" showInputMessage="false" sqref="C6:C305" type="list">
      <formula1>L_List!$A$1:$A$23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52"/>
  </cols>
  <sheetData>
    <row r="1" customFormat="false" ht="16.15" hidden="false" customHeight="false" outlineLevel="0" collapsed="false">
      <c r="A1" s="1" t="s">
        <v>2037</v>
      </c>
    </row>
    <row r="2" customFormat="false" ht="15" hidden="false" customHeight="false" outlineLevel="0" collapsed="false">
      <c r="A2" s="6" t="s">
        <v>2038</v>
      </c>
    </row>
    <row r="5" customFormat="false" ht="33.75" hidden="false" customHeight="true" outlineLevel="0" collapsed="false">
      <c r="A5" s="8" t="s">
        <v>571</v>
      </c>
      <c r="B5" s="8" t="s">
        <v>2039</v>
      </c>
      <c r="C5" s="8" t="s">
        <v>2040</v>
      </c>
      <c r="D5" s="8" t="s">
        <v>114</v>
      </c>
    </row>
    <row r="6" customFormat="false" ht="15" hidden="false" customHeight="false" outlineLevel="0" collapsed="false">
      <c r="A6" s="18" t="s">
        <v>168</v>
      </c>
      <c r="B6" s="42" t="n">
        <v>27845558</v>
      </c>
      <c r="C6" s="42" t="n">
        <v>0</v>
      </c>
      <c r="D6" s="19" t="s">
        <v>2041</v>
      </c>
    </row>
    <row r="7" customFormat="false" ht="15" hidden="false" customHeight="false" outlineLevel="0" collapsed="false">
      <c r="A7" s="18" t="s">
        <v>170</v>
      </c>
      <c r="B7" s="42" t="n">
        <v>91758920</v>
      </c>
      <c r="C7" s="42" t="n">
        <v>0</v>
      </c>
      <c r="D7" s="19" t="s">
        <v>2041</v>
      </c>
    </row>
    <row r="8" customFormat="false" ht="15" hidden="false" customHeight="false" outlineLevel="0" collapsed="false">
      <c r="A8" s="18" t="s">
        <v>174</v>
      </c>
      <c r="B8" s="42" t="n">
        <v>15400000</v>
      </c>
      <c r="C8" s="42" t="n">
        <v>0</v>
      </c>
      <c r="D8" s="19" t="s">
        <v>2041</v>
      </c>
    </row>
    <row r="9" customFormat="false" ht="15" hidden="false" customHeight="false" outlineLevel="0" collapsed="false">
      <c r="A9" s="18" t="s">
        <v>175</v>
      </c>
      <c r="B9" s="42" t="n">
        <v>3619566</v>
      </c>
      <c r="C9" s="42" t="n">
        <v>0</v>
      </c>
      <c r="D9" s="19" t="s">
        <v>2041</v>
      </c>
    </row>
    <row r="10" customFormat="false" ht="15" hidden="false" customHeight="false" outlineLevel="0" collapsed="false">
      <c r="A10" s="18" t="s">
        <v>176</v>
      </c>
      <c r="B10" s="42" t="n">
        <v>38919766</v>
      </c>
      <c r="C10" s="42" t="n">
        <v>0</v>
      </c>
      <c r="D10" s="19" t="s">
        <v>2041</v>
      </c>
    </row>
    <row r="11" customFormat="false" ht="15" hidden="false" customHeight="false" outlineLevel="0" collapsed="false">
      <c r="A11" s="18" t="s">
        <v>177</v>
      </c>
      <c r="B11" s="42" t="n">
        <v>52186369</v>
      </c>
      <c r="C11" s="42" t="n">
        <v>0</v>
      </c>
      <c r="D11" s="19" t="s">
        <v>2041</v>
      </c>
    </row>
    <row r="12" customFormat="false" ht="15" hidden="false" customHeight="false" outlineLevel="0" collapsed="false">
      <c r="A12" s="18" t="s">
        <v>178</v>
      </c>
      <c r="B12" s="42" t="n">
        <v>82311726</v>
      </c>
      <c r="C12" s="42" t="n">
        <v>0</v>
      </c>
      <c r="D12" s="19" t="s">
        <v>2041</v>
      </c>
    </row>
    <row r="13" customFormat="false" ht="15" hidden="false" customHeight="false" outlineLevel="0" collapsed="false">
      <c r="A13" s="18" t="s">
        <v>179</v>
      </c>
      <c r="B13" s="42" t="n">
        <v>18858284</v>
      </c>
      <c r="C13" s="42" t="n">
        <v>0</v>
      </c>
      <c r="D13" s="19" t="s">
        <v>2041</v>
      </c>
    </row>
    <row r="14" customFormat="false" ht="15" hidden="false" customHeight="false" outlineLevel="0" collapsed="false">
      <c r="A14" s="18" t="s">
        <v>180</v>
      </c>
      <c r="B14" s="42" t="n">
        <v>3287526</v>
      </c>
      <c r="C14" s="42" t="n">
        <v>0</v>
      </c>
      <c r="D14" s="19" t="s">
        <v>2041</v>
      </c>
    </row>
    <row r="15" customFormat="false" ht="15" hidden="false" customHeight="false" outlineLevel="0" collapsed="false">
      <c r="A15" s="18" t="s">
        <v>181</v>
      </c>
      <c r="B15" s="42" t="n">
        <v>0</v>
      </c>
      <c r="C15" s="42" t="n">
        <v>0</v>
      </c>
      <c r="D15" s="19" t="s">
        <v>2041</v>
      </c>
    </row>
    <row r="16" customFormat="false" ht="15" hidden="false" customHeight="false" outlineLevel="0" collapsed="false">
      <c r="A16" s="18" t="s">
        <v>182</v>
      </c>
      <c r="B16" s="42" t="n">
        <v>6239100</v>
      </c>
      <c r="C16" s="42" t="n">
        <v>0</v>
      </c>
      <c r="D16" s="19" t="s">
        <v>2041</v>
      </c>
    </row>
    <row r="17" customFormat="false" ht="15" hidden="false" customHeight="false" outlineLevel="0" collapsed="false">
      <c r="A17" s="18" t="s">
        <v>183</v>
      </c>
      <c r="B17" s="42" t="n">
        <v>0</v>
      </c>
      <c r="C17" s="42" t="n">
        <v>0</v>
      </c>
      <c r="D17" s="19" t="s">
        <v>2041</v>
      </c>
    </row>
    <row r="18" customFormat="false" ht="15" hidden="false" customHeight="false" outlineLevel="0" collapsed="false">
      <c r="A18" s="18" t="s">
        <v>184</v>
      </c>
      <c r="B18" s="42" t="n">
        <v>-543214</v>
      </c>
      <c r="C18" s="42" t="n">
        <v>0</v>
      </c>
      <c r="D18" s="19" t="s">
        <v>2041</v>
      </c>
    </row>
    <row r="19" customFormat="false" ht="15" hidden="false" customHeight="false" outlineLevel="0" collapsed="false">
      <c r="A19" s="18" t="s">
        <v>185</v>
      </c>
      <c r="B19" s="42" t="n">
        <v>0</v>
      </c>
      <c r="C19" s="42" t="n">
        <v>0</v>
      </c>
      <c r="D19" s="19" t="s">
        <v>2041</v>
      </c>
    </row>
    <row r="20" customFormat="false" ht="15" hidden="false" customHeight="false" outlineLevel="0" collapsed="false">
      <c r="A20" s="18" t="s">
        <v>188</v>
      </c>
      <c r="B20" s="42" t="n">
        <v>24441666</v>
      </c>
      <c r="C20" s="42" t="n">
        <v>0</v>
      </c>
      <c r="D20" s="19" t="s">
        <v>2041</v>
      </c>
    </row>
    <row r="21" customFormat="false" ht="15" hidden="false" customHeight="false" outlineLevel="0" collapsed="false">
      <c r="A21" s="18" t="s">
        <v>189</v>
      </c>
      <c r="B21" s="42" t="n">
        <v>26363121</v>
      </c>
      <c r="C21" s="42" t="n">
        <v>0</v>
      </c>
      <c r="D21" s="19" t="s">
        <v>2041</v>
      </c>
    </row>
    <row r="22" customFormat="false" ht="15" hidden="false" customHeight="false" outlineLevel="0" collapsed="false">
      <c r="A22" s="18" t="s">
        <v>190</v>
      </c>
      <c r="B22" s="42" t="n">
        <v>366348</v>
      </c>
      <c r="C22" s="42" t="n">
        <v>0</v>
      </c>
      <c r="D22" s="19" t="s">
        <v>2041</v>
      </c>
    </row>
    <row r="23" customFormat="false" ht="15" hidden="false" customHeight="false" outlineLevel="0" collapsed="false">
      <c r="A23" s="18" t="s">
        <v>192</v>
      </c>
      <c r="B23" s="42" t="n">
        <v>10393461</v>
      </c>
      <c r="C23" s="42" t="n">
        <v>0</v>
      </c>
      <c r="D23" s="19" t="s">
        <v>2041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1" t="s">
        <v>2042</v>
      </c>
    </row>
    <row r="2" customFormat="false" ht="15" hidden="false" customHeight="false" outlineLevel="0" collapsed="false">
      <c r="A2" s="6" t="s">
        <v>2043</v>
      </c>
    </row>
    <row r="5" customFormat="false" ht="33.75" hidden="false" customHeight="true" outlineLevel="0" collapsed="false">
      <c r="A5" s="8" t="s">
        <v>413</v>
      </c>
      <c r="B5" s="8" t="s">
        <v>2044</v>
      </c>
      <c r="C5" s="8" t="s">
        <v>277</v>
      </c>
      <c r="D5" s="8" t="s">
        <v>49</v>
      </c>
      <c r="E5" s="8" t="s">
        <v>105</v>
      </c>
      <c r="F5" s="8" t="s">
        <v>2045</v>
      </c>
      <c r="G5" s="8" t="s">
        <v>282</v>
      </c>
      <c r="H5" s="8" t="s">
        <v>2046</v>
      </c>
    </row>
    <row r="6" customFormat="false" ht="15" hidden="false" customHeight="false" outlineLevel="0" collapsed="false">
      <c r="A6" s="44" t="s">
        <v>2047</v>
      </c>
      <c r="B6" s="44" t="s">
        <v>2048</v>
      </c>
      <c r="C6" s="34" t="str">
        <f aca="false">IF(A6="","",IFERROR(INDEX(I_Item!$C$6:$C$255,MATCH(A6,I_Item!$A$6:$A$255,0)),"KODE BARU"))</f>
        <v>RPA|BLD|Frozen</v>
      </c>
      <c r="D6" s="45" t="n">
        <v>2.45</v>
      </c>
      <c r="E6" s="42" t="n">
        <v>70573</v>
      </c>
      <c r="F6" s="45" t="n">
        <v>96</v>
      </c>
      <c r="G6" s="45" t="n">
        <v>2.45</v>
      </c>
      <c r="H6" s="19" t="s">
        <v>2049</v>
      </c>
    </row>
    <row r="7" customFormat="false" ht="15" hidden="false" customHeight="false" outlineLevel="0" collapsed="false">
      <c r="A7" s="44" t="s">
        <v>2050</v>
      </c>
      <c r="B7" s="44" t="s">
        <v>2051</v>
      </c>
      <c r="C7" s="34" t="str">
        <f aca="false">IF(A7="","",IFERROR(INDEX(I_Item!$C$6:$C$255,MATCH(A7,I_Item!$A$6:$A$255,0)),"KODE BARU"))</f>
        <v>RPA|BLPK|Fresh</v>
      </c>
      <c r="D7" s="45" t="n">
        <v>64.1</v>
      </c>
      <c r="E7" s="42" t="n">
        <v>2916133</v>
      </c>
      <c r="F7" s="45" t="n">
        <v>139</v>
      </c>
      <c r="G7" s="45" t="n">
        <v>64.1</v>
      </c>
      <c r="H7" s="19" t="s">
        <v>2049</v>
      </c>
    </row>
    <row r="8" customFormat="false" ht="15" hidden="false" customHeight="false" outlineLevel="0" collapsed="false">
      <c r="A8" s="44" t="s">
        <v>2052</v>
      </c>
      <c r="B8" s="44" t="s">
        <v>2053</v>
      </c>
      <c r="C8" s="34" t="str">
        <f aca="false">IF(A8="","",IFERROR(INDEX(I_Item!$C$6:$C$255,MATCH(A8,I_Item!$A$6:$A$255,0)),"KODE BARU"))</f>
        <v>RPA|BLP|Frozen</v>
      </c>
      <c r="D8" s="45" t="n">
        <v>8.68</v>
      </c>
      <c r="E8" s="42" t="n">
        <v>250032</v>
      </c>
      <c r="F8" s="45" t="n">
        <v>111</v>
      </c>
      <c r="G8" s="45" t="n">
        <v>8.68</v>
      </c>
      <c r="H8" s="19" t="s">
        <v>2049</v>
      </c>
    </row>
    <row r="9" customFormat="false" ht="15" hidden="false" customHeight="false" outlineLevel="0" collapsed="false">
      <c r="A9" s="44" t="s">
        <v>441</v>
      </c>
      <c r="B9" s="44" t="s">
        <v>2054</v>
      </c>
      <c r="C9" s="34" t="str">
        <f aca="false">IF(A9="","",IFERROR(INDEX(I_Item!$C$6:$C$255,MATCH(A9,I_Item!$A$6:$A$255,0)),"KODE BARU"))</f>
        <v>RPA|Ceker|Fresh</v>
      </c>
      <c r="D9" s="45" t="n">
        <v>1632.64</v>
      </c>
      <c r="E9" s="42" t="n">
        <v>23217648</v>
      </c>
      <c r="F9" s="45" t="n">
        <v>7.5</v>
      </c>
      <c r="G9" s="45" t="n">
        <v>0</v>
      </c>
      <c r="H9" s="19"/>
    </row>
    <row r="10" customFormat="false" ht="15" hidden="false" customHeight="false" outlineLevel="0" collapsed="false">
      <c r="A10" s="44" t="s">
        <v>2055</v>
      </c>
      <c r="B10" s="44" t="s">
        <v>2056</v>
      </c>
      <c r="C10" s="34" t="str">
        <f aca="false">IF(A10="","",IFERROR(INDEX(I_Item!$C$6:$C$255,MATCH(A10,I_Item!$A$6:$A$255,0)),"KODE BARU"))</f>
        <v>RPA|Ceker|Frozen</v>
      </c>
      <c r="D10" s="45" t="n">
        <v>1278.38</v>
      </c>
      <c r="E10" s="42" t="n">
        <v>10699758</v>
      </c>
      <c r="F10" s="45" t="n">
        <v>53.9</v>
      </c>
      <c r="G10" s="45" t="n">
        <v>1278.38</v>
      </c>
      <c r="H10" s="19" t="s">
        <v>2057</v>
      </c>
    </row>
    <row r="11" customFormat="false" ht="15" hidden="false" customHeight="false" outlineLevel="0" collapsed="false">
      <c r="A11" s="44" t="s">
        <v>2058</v>
      </c>
      <c r="B11" s="44" t="s">
        <v>2059</v>
      </c>
      <c r="C11" s="34" t="str">
        <f aca="false">IF(A11="","",IFERROR(INDEX(I_Item!$C$6:$C$255,MATCH(A11,I_Item!$A$6:$A$255,0)),"KODE BARU"))</f>
        <v>RPA|Ceker|Frozen</v>
      </c>
      <c r="D11" s="45" t="n">
        <v>15.61</v>
      </c>
      <c r="E11" s="42" t="n">
        <v>0</v>
      </c>
      <c r="F11" s="45" t="n">
        <v>119</v>
      </c>
      <c r="G11" s="45" t="n">
        <v>15.61</v>
      </c>
      <c r="H11" s="19" t="s">
        <v>2049</v>
      </c>
    </row>
    <row r="12" customFormat="false" ht="15" hidden="false" customHeight="false" outlineLevel="0" collapsed="false">
      <c r="A12" s="44" t="s">
        <v>442</v>
      </c>
      <c r="B12" s="44" t="s">
        <v>2060</v>
      </c>
      <c r="C12" s="34" t="str">
        <f aca="false">IF(A12="","",IFERROR(INDEX(I_Item!$C$6:$C$255,MATCH(A12,I_Item!$A$6:$A$255,0)),"KODE BARU"))</f>
        <v>RPA|HJA (Hati/Jantung/Ampela)|Fresh</v>
      </c>
      <c r="D12" s="45" t="n">
        <v>5932.8</v>
      </c>
      <c r="E12" s="42" t="n">
        <v>18306436</v>
      </c>
      <c r="F12" s="45" t="n">
        <v>23.7</v>
      </c>
      <c r="G12" s="45" t="n">
        <v>1937.7</v>
      </c>
      <c r="H12" s="19" t="s">
        <v>2057</v>
      </c>
    </row>
    <row r="13" customFormat="false" ht="15" hidden="false" customHeight="false" outlineLevel="0" collapsed="false">
      <c r="A13" s="44" t="s">
        <v>2061</v>
      </c>
      <c r="B13" s="44" t="s">
        <v>2062</v>
      </c>
      <c r="C13" s="34" t="str">
        <f aca="false">IF(A13="","",IFERROR(INDEX(I_Item!$C$6:$C$255,MATCH(A13,I_Item!$A$6:$A$255,0)),"KODE BARU"))</f>
        <v>RPA|HJA (Hati/Jantung/Ampela)|Fresh</v>
      </c>
      <c r="D13" s="45" t="n">
        <v>23.78</v>
      </c>
      <c r="E13" s="42" t="n">
        <v>0</v>
      </c>
      <c r="F13" s="45" t="n">
        <v>121</v>
      </c>
      <c r="G13" s="45" t="n">
        <v>23.78</v>
      </c>
      <c r="H13" s="19" t="s">
        <v>2049</v>
      </c>
    </row>
    <row r="14" customFormat="false" ht="15" hidden="false" customHeight="false" outlineLevel="0" collapsed="false">
      <c r="A14" s="44" t="s">
        <v>2063</v>
      </c>
      <c r="B14" s="44" t="s">
        <v>2064</v>
      </c>
      <c r="C14" s="34" t="str">
        <f aca="false">IF(A14="","",IFERROR(INDEX(I_Item!$C$6:$C$255,MATCH(A14,I_Item!$A$6:$A$255,0)),"KODE BARU"))</f>
        <v>RPA|HJA (Hati/Jantung/Ampela)|Fresh</v>
      </c>
      <c r="D14" s="45" t="n">
        <v>84.6</v>
      </c>
      <c r="E14" s="42" t="n">
        <v>0</v>
      </c>
      <c r="F14" s="45" t="n">
        <v>139</v>
      </c>
      <c r="G14" s="45" t="n">
        <v>84.6</v>
      </c>
      <c r="H14" s="19" t="s">
        <v>2049</v>
      </c>
    </row>
    <row r="15" customFormat="false" ht="15" hidden="false" customHeight="false" outlineLevel="0" collapsed="false">
      <c r="A15" s="44" t="s">
        <v>2065</v>
      </c>
      <c r="B15" s="44" t="s">
        <v>2066</v>
      </c>
      <c r="C15" s="34" t="str">
        <f aca="false">IF(A15="","",IFERROR(INDEX(I_Item!$C$6:$C$255,MATCH(A15,I_Item!$A$6:$A$255,0)),"KODE BARU"))</f>
        <v>RPA|HJA (Hati/Jantung/Ampela)|Fresh</v>
      </c>
      <c r="D15" s="45" t="n">
        <v>38.25</v>
      </c>
      <c r="E15" s="42" t="n">
        <v>0</v>
      </c>
      <c r="F15" s="45" t="n">
        <v>139</v>
      </c>
      <c r="G15" s="45" t="n">
        <v>38.25</v>
      </c>
      <c r="H15" s="19" t="s">
        <v>2049</v>
      </c>
    </row>
    <row r="16" customFormat="false" ht="15" hidden="false" customHeight="false" outlineLevel="0" collapsed="false">
      <c r="A16" s="44" t="s">
        <v>2067</v>
      </c>
      <c r="B16" s="44" t="s">
        <v>2068</v>
      </c>
      <c r="C16" s="34" t="str">
        <f aca="false">IF(A16="","",IFERROR(INDEX(I_Item!$C$6:$C$255,MATCH(A16,I_Item!$A$6:$A$255,0)),"KODE BARU"))</f>
        <v>RPA|HJA (Hati/Jantung/Ampela)|Frozen</v>
      </c>
      <c r="D16" s="45" t="n">
        <v>130.4</v>
      </c>
      <c r="E16" s="42" t="n">
        <v>72328</v>
      </c>
      <c r="F16" s="45" t="n">
        <v>54</v>
      </c>
      <c r="G16" s="45" t="n">
        <v>130.4</v>
      </c>
      <c r="H16" s="19" t="s">
        <v>2057</v>
      </c>
    </row>
    <row r="17" customFormat="false" ht="15" hidden="false" customHeight="false" outlineLevel="0" collapsed="false">
      <c r="A17" s="44" t="s">
        <v>2069</v>
      </c>
      <c r="B17" s="44" t="s">
        <v>2070</v>
      </c>
      <c r="C17" s="34" t="str">
        <f aca="false">IF(A17="","",IFERROR(INDEX(I_Item!$C$6:$C$255,MATCH(A17,I_Item!$A$6:$A$255,0)),"KODE BARU"))</f>
        <v>RPA|HJA (Hati/Jantung/Ampela)|Frozen</v>
      </c>
      <c r="D17" s="45" t="n">
        <v>30.5</v>
      </c>
      <c r="E17" s="42" t="n">
        <v>1</v>
      </c>
      <c r="F17" s="45" t="n">
        <v>138</v>
      </c>
      <c r="G17" s="45" t="n">
        <v>30.5</v>
      </c>
      <c r="H17" s="19" t="s">
        <v>2049</v>
      </c>
    </row>
    <row r="18" customFormat="false" ht="15" hidden="false" customHeight="false" outlineLevel="0" collapsed="false">
      <c r="A18" s="44" t="s">
        <v>2071</v>
      </c>
      <c r="B18" s="44" t="s">
        <v>2072</v>
      </c>
      <c r="C18" s="34" t="str">
        <f aca="false">IF(A18="","",IFERROR(INDEX(I_Item!$C$6:$C$255,MATCH(A18,I_Item!$A$6:$A$255,0)),"KODE BARU"))</f>
        <v>RPA|HJA (Hati/Jantung/Ampela)|Frozen</v>
      </c>
      <c r="D18" s="45" t="n">
        <v>10.8</v>
      </c>
      <c r="E18" s="42" t="n">
        <v>1</v>
      </c>
      <c r="F18" s="45" t="n">
        <v>138</v>
      </c>
      <c r="G18" s="45" t="n">
        <v>10.8</v>
      </c>
      <c r="H18" s="19" t="s">
        <v>2049</v>
      </c>
    </row>
    <row r="19" customFormat="false" ht="15" hidden="false" customHeight="false" outlineLevel="0" collapsed="false">
      <c r="A19" s="44" t="s">
        <v>2073</v>
      </c>
      <c r="B19" s="44" t="s">
        <v>2074</v>
      </c>
      <c r="C19" s="34" t="str">
        <f aca="false">IF(A19="","",IFERROR(INDEX(I_Item!$C$6:$C$255,MATCH(A19,I_Item!$A$6:$A$255,0)),"KODE BARU"))</f>
        <v>RPA|HJA (Hati/Jantung/Ampela)|Frozen</v>
      </c>
      <c r="D19" s="45" t="n">
        <v>30.5</v>
      </c>
      <c r="E19" s="42" t="n">
        <v>1</v>
      </c>
      <c r="F19" s="45" t="n">
        <v>138</v>
      </c>
      <c r="G19" s="45" t="n">
        <v>30.5</v>
      </c>
      <c r="H19" s="19" t="s">
        <v>2049</v>
      </c>
    </row>
    <row r="20" customFormat="false" ht="15" hidden="false" customHeight="false" outlineLevel="0" collapsed="false">
      <c r="A20" s="44" t="s">
        <v>2075</v>
      </c>
      <c r="B20" s="44" t="s">
        <v>2076</v>
      </c>
      <c r="C20" s="34" t="str">
        <f aca="false">IF(A20="","",IFERROR(INDEX(I_Item!$C$6:$C$255,MATCH(A20,I_Item!$A$6:$A$255,0)),"KODE BARU"))</f>
        <v>RPA|KRK (Kerangka)|Fresh</v>
      </c>
      <c r="D20" s="45" t="n">
        <v>189.9</v>
      </c>
      <c r="E20" s="42" t="n">
        <v>1498591</v>
      </c>
      <c r="F20" s="45" t="n">
        <v>95</v>
      </c>
      <c r="G20" s="45" t="n">
        <v>189.9</v>
      </c>
      <c r="H20" s="19" t="s">
        <v>2049</v>
      </c>
    </row>
    <row r="21" customFormat="false" ht="15" hidden="false" customHeight="false" outlineLevel="0" collapsed="false">
      <c r="A21" s="44" t="s">
        <v>2077</v>
      </c>
      <c r="B21" s="44" t="s">
        <v>2078</v>
      </c>
      <c r="C21" s="34" t="str">
        <f aca="false">IF(A21="","",IFERROR(INDEX(I_Item!$C$6:$C$255,MATCH(A21,I_Item!$A$6:$A$255,0)),"KODE BARU"))</f>
        <v>RPA|KRK (Kerangka)|Fresh</v>
      </c>
      <c r="D21" s="45" t="n">
        <v>155.57</v>
      </c>
      <c r="E21" s="42" t="n">
        <v>0</v>
      </c>
      <c r="F21" s="45" t="n">
        <v>116</v>
      </c>
      <c r="G21" s="45" t="n">
        <v>155.57</v>
      </c>
      <c r="H21" s="19" t="s">
        <v>2049</v>
      </c>
    </row>
    <row r="22" customFormat="false" ht="15" hidden="false" customHeight="false" outlineLevel="0" collapsed="false">
      <c r="A22" s="44" t="s">
        <v>2079</v>
      </c>
      <c r="B22" s="44" t="s">
        <v>2080</v>
      </c>
      <c r="C22" s="34" t="str">
        <f aca="false">IF(A22="","",IFERROR(INDEX(I_Item!$C$6:$C$255,MATCH(A22,I_Item!$A$6:$A$255,0)),"KODE BARU"))</f>
        <v>RPA|KRK (Kerangka)|Frozen</v>
      </c>
      <c r="D22" s="45" t="n">
        <v>119.49</v>
      </c>
      <c r="E22" s="42" t="n">
        <v>2529632</v>
      </c>
      <c r="F22" s="45" t="n">
        <v>53.9</v>
      </c>
      <c r="G22" s="45" t="n">
        <v>119.49</v>
      </c>
      <c r="H22" s="19" t="s">
        <v>2057</v>
      </c>
    </row>
    <row r="23" customFormat="false" ht="15" hidden="false" customHeight="false" outlineLevel="0" collapsed="false">
      <c r="A23" s="44" t="s">
        <v>485</v>
      </c>
      <c r="B23" s="44" t="s">
        <v>2081</v>
      </c>
      <c r="C23" s="34" t="str">
        <f aca="false">IF(A23="","",IFERROR(INDEX(I_Item!$C$6:$C$255,MATCH(A23,I_Item!$A$6:$A$255,0)),"KODE BARU"))</f>
        <v>RPA|Karkas|Fresh</v>
      </c>
      <c r="D23" s="45" t="n">
        <v>608.95</v>
      </c>
      <c r="E23" s="42" t="n">
        <v>22388886</v>
      </c>
      <c r="F23" s="45" t="n">
        <v>14</v>
      </c>
      <c r="G23" s="45" t="n">
        <v>0</v>
      </c>
      <c r="H23" s="19"/>
    </row>
    <row r="24" customFormat="false" ht="15" hidden="false" customHeight="false" outlineLevel="0" collapsed="false">
      <c r="A24" s="44" t="s">
        <v>476</v>
      </c>
      <c r="B24" s="44" t="s">
        <v>2082</v>
      </c>
      <c r="C24" s="34" t="str">
        <f aca="false">IF(A24="","",IFERROR(INDEX(I_Item!$C$6:$C$255,MATCH(A24,I_Item!$A$6:$A$255,0)),"KODE BARU"))</f>
        <v>RPA|Karkas|Fresh</v>
      </c>
      <c r="D24" s="45" t="n">
        <v>1773.28</v>
      </c>
      <c r="E24" s="42" t="n">
        <v>66526197</v>
      </c>
      <c r="F24" s="45" t="n">
        <v>3.3</v>
      </c>
      <c r="G24" s="45" t="n">
        <v>0</v>
      </c>
      <c r="H24" s="19"/>
    </row>
    <row r="25" customFormat="false" ht="15" hidden="false" customHeight="false" outlineLevel="0" collapsed="false">
      <c r="A25" s="44" t="s">
        <v>2083</v>
      </c>
      <c r="B25" s="44" t="s">
        <v>2084</v>
      </c>
      <c r="C25" s="34" t="str">
        <f aca="false">IF(A25="","",IFERROR(INDEX(I_Item!$C$6:$C$255,MATCH(A25,I_Item!$A$6:$A$255,0)),"KODE BARU"))</f>
        <v>RPA|Karkas|Fresh</v>
      </c>
      <c r="D25" s="45" t="n">
        <v>417.19</v>
      </c>
      <c r="E25" s="42" t="n">
        <v>15372122</v>
      </c>
      <c r="F25" s="45" t="n">
        <v>14</v>
      </c>
      <c r="G25" s="45" t="n">
        <v>0</v>
      </c>
      <c r="H25" s="19"/>
    </row>
    <row r="26" customFormat="false" ht="15" hidden="false" customHeight="false" outlineLevel="0" collapsed="false">
      <c r="A26" s="44" t="s">
        <v>2085</v>
      </c>
      <c r="B26" s="44" t="s">
        <v>2086</v>
      </c>
      <c r="C26" s="34" t="str">
        <f aca="false">IF(A26="","",IFERROR(INDEX(I_Item!$C$6:$C$255,MATCH(A26,I_Item!$A$6:$A$255,0)),"KODE BARU"))</f>
        <v>RPA|Karkas|Fresh</v>
      </c>
      <c r="D26" s="45" t="n">
        <v>120.8</v>
      </c>
      <c r="E26" s="42" t="n">
        <v>3683665</v>
      </c>
      <c r="F26" s="45" t="n">
        <v>17</v>
      </c>
      <c r="G26" s="45" t="n">
        <v>0</v>
      </c>
      <c r="H26" s="19"/>
    </row>
    <row r="27" customFormat="false" ht="15" hidden="false" customHeight="false" outlineLevel="0" collapsed="false">
      <c r="A27" s="44" t="s">
        <v>458</v>
      </c>
      <c r="B27" s="44" t="s">
        <v>2087</v>
      </c>
      <c r="C27" s="34" t="str">
        <f aca="false">IF(A27="","",IFERROR(INDEX(I_Item!$C$6:$C$255,MATCH(A27,I_Item!$A$6:$A$255,0)),"KODE BARU"))</f>
        <v>RPA|Karkas|Fresh</v>
      </c>
      <c r="D27" s="45" t="n">
        <v>3296.56</v>
      </c>
      <c r="E27" s="42" t="n">
        <v>123515950</v>
      </c>
      <c r="F27" s="45" t="n">
        <v>7.1</v>
      </c>
      <c r="G27" s="45" t="n">
        <v>0</v>
      </c>
      <c r="H27" s="19"/>
    </row>
    <row r="28" customFormat="false" ht="15" hidden="false" customHeight="false" outlineLevel="0" collapsed="false">
      <c r="A28" s="44" t="s">
        <v>2088</v>
      </c>
      <c r="B28" s="44" t="s">
        <v>2089</v>
      </c>
      <c r="C28" s="34" t="str">
        <f aca="false">IF(A28="","",IFERROR(INDEX(I_Item!$C$6:$C$255,MATCH(A28,I_Item!$A$6:$A$255,0)),"KODE BARU"))</f>
        <v>RPA|Karkas|Fresh</v>
      </c>
      <c r="D28" s="45" t="n">
        <v>26.9</v>
      </c>
      <c r="E28" s="42" t="n">
        <v>820286</v>
      </c>
      <c r="F28" s="45" t="n">
        <v>17</v>
      </c>
      <c r="G28" s="45" t="n">
        <v>0</v>
      </c>
      <c r="H28" s="19"/>
    </row>
    <row r="29" customFormat="false" ht="15" hidden="false" customHeight="false" outlineLevel="0" collapsed="false">
      <c r="A29" s="44" t="s">
        <v>459</v>
      </c>
      <c r="B29" s="44" t="s">
        <v>2090</v>
      </c>
      <c r="C29" s="34" t="str">
        <f aca="false">IF(A29="","",IFERROR(INDEX(I_Item!$C$6:$C$255,MATCH(A29,I_Item!$A$6:$A$255,0)),"KODE BARU"))</f>
        <v>RPA|Karkas|Fresh</v>
      </c>
      <c r="D29" s="45" t="n">
        <v>2765.79</v>
      </c>
      <c r="E29" s="42" t="n">
        <v>105041164</v>
      </c>
      <c r="F29" s="45" t="n">
        <v>6.5</v>
      </c>
      <c r="G29" s="45" t="n">
        <v>0</v>
      </c>
      <c r="H29" s="19"/>
    </row>
    <row r="30" customFormat="false" ht="15" hidden="false" customHeight="false" outlineLevel="0" collapsed="false">
      <c r="A30" s="44" t="s">
        <v>460</v>
      </c>
      <c r="B30" s="44" t="s">
        <v>2091</v>
      </c>
      <c r="C30" s="34" t="str">
        <f aca="false">IF(A30="","",IFERROR(INDEX(I_Item!$C$6:$C$255,MATCH(A30,I_Item!$A$6:$A$255,0)),"KODE BARU"))</f>
        <v>RPA|Karkas|Fresh</v>
      </c>
      <c r="D30" s="45" t="n">
        <v>1790.34</v>
      </c>
      <c r="E30" s="42" t="n">
        <v>68061625</v>
      </c>
      <c r="F30" s="45" t="n">
        <v>5</v>
      </c>
      <c r="G30" s="45" t="n">
        <v>0</v>
      </c>
      <c r="H30" s="19"/>
    </row>
    <row r="31" customFormat="false" ht="15" hidden="false" customHeight="false" outlineLevel="0" collapsed="false">
      <c r="A31" s="44" t="s">
        <v>461</v>
      </c>
      <c r="B31" s="44" t="s">
        <v>2092</v>
      </c>
      <c r="C31" s="34" t="str">
        <f aca="false">IF(A31="","",IFERROR(INDEX(I_Item!$C$6:$C$255,MATCH(A31,I_Item!$A$6:$A$255,0)),"KODE BARU"))</f>
        <v>RPA|Karkas|Fresh</v>
      </c>
      <c r="D31" s="45" t="n">
        <v>1297.5</v>
      </c>
      <c r="E31" s="42" t="n">
        <v>49310840</v>
      </c>
      <c r="F31" s="45" t="n">
        <v>9</v>
      </c>
      <c r="G31" s="45" t="n">
        <v>0</v>
      </c>
      <c r="H31" s="19"/>
    </row>
    <row r="32" customFormat="false" ht="15" hidden="false" customHeight="false" outlineLevel="0" collapsed="false">
      <c r="A32" s="44" t="s">
        <v>524</v>
      </c>
      <c r="B32" s="44" t="s">
        <v>2093</v>
      </c>
      <c r="C32" s="34" t="str">
        <f aca="false">IF(A32="","",IFERROR(INDEX(I_Item!$C$6:$C$255,MATCH(A32,I_Item!$A$6:$A$255,0)),"KODE BARU"))</f>
        <v>RPA|Karkas|Fresh</v>
      </c>
      <c r="D32" s="45" t="n">
        <v>561.45</v>
      </c>
      <c r="E32" s="42" t="n">
        <v>21337973</v>
      </c>
      <c r="F32" s="45" t="n">
        <v>5</v>
      </c>
      <c r="G32" s="45" t="n">
        <v>0</v>
      </c>
      <c r="H32" s="19"/>
    </row>
    <row r="33" customFormat="false" ht="15" hidden="false" customHeight="false" outlineLevel="0" collapsed="false">
      <c r="A33" s="44" t="s">
        <v>2094</v>
      </c>
      <c r="B33" s="44" t="s">
        <v>2095</v>
      </c>
      <c r="C33" s="34" t="str">
        <f aca="false">IF(A33="","",IFERROR(INDEX(I_Item!$C$6:$C$255,MATCH(A33,I_Item!$A$6:$A$255,0)),"KODE BARU"))</f>
        <v>RPA|Karkas|Fresh</v>
      </c>
      <c r="D33" s="45" t="n">
        <v>10.6</v>
      </c>
      <c r="E33" s="42" t="n">
        <v>400539</v>
      </c>
      <c r="F33" s="45" t="n">
        <v>5</v>
      </c>
      <c r="G33" s="45" t="n">
        <v>0</v>
      </c>
      <c r="H33" s="19"/>
    </row>
    <row r="34" customFormat="false" ht="15" hidden="false" customHeight="false" outlineLevel="0" collapsed="false">
      <c r="A34" s="44" t="s">
        <v>2096</v>
      </c>
      <c r="B34" s="44" t="s">
        <v>2097</v>
      </c>
      <c r="C34" s="34" t="str">
        <f aca="false">IF(A34="","",IFERROR(INDEX(I_Item!$C$6:$C$255,MATCH(A34,I_Item!$A$6:$A$255,0)),"KODE BARU"))</f>
        <v>RPA|Karkas|Frozen</v>
      </c>
      <c r="D34" s="45" t="n">
        <v>24</v>
      </c>
      <c r="E34" s="42" t="n">
        <v>569442</v>
      </c>
      <c r="F34" s="45" t="n">
        <v>54</v>
      </c>
      <c r="G34" s="45" t="n">
        <v>24</v>
      </c>
      <c r="H34" s="19" t="s">
        <v>2057</v>
      </c>
    </row>
    <row r="35" customFormat="false" ht="15" hidden="false" customHeight="false" outlineLevel="0" collapsed="false">
      <c r="A35" s="44" t="s">
        <v>2098</v>
      </c>
      <c r="B35" s="44" t="s">
        <v>2099</v>
      </c>
      <c r="C35" s="34" t="str">
        <f aca="false">IF(A35="","",IFERROR(INDEX(I_Item!$C$6:$C$255,MATCH(A35,I_Item!$A$6:$A$255,0)),"KODE BARU"))</f>
        <v>RPA|Karkas|Frozen</v>
      </c>
      <c r="D35" s="45" t="n">
        <v>91.8</v>
      </c>
      <c r="E35" s="42" t="n">
        <v>2312810</v>
      </c>
      <c r="F35" s="45" t="n">
        <v>46.8</v>
      </c>
      <c r="G35" s="45" t="n">
        <v>78.9</v>
      </c>
      <c r="H35" s="19" t="s">
        <v>2057</v>
      </c>
    </row>
    <row r="36" customFormat="false" ht="15" hidden="false" customHeight="false" outlineLevel="0" collapsed="false">
      <c r="A36" s="44" t="s">
        <v>518</v>
      </c>
      <c r="B36" s="44" t="s">
        <v>2100</v>
      </c>
      <c r="C36" s="34" t="str">
        <f aca="false">IF(A36="","",IFERROR(INDEX(I_Item!$C$6:$C$255,MATCH(A36,I_Item!$A$6:$A$255,0)),"KODE BARU"))</f>
        <v>RPA|Karkas|Frozen</v>
      </c>
      <c r="D36" s="45" t="n">
        <v>178.1</v>
      </c>
      <c r="E36" s="42" t="n">
        <v>4373311</v>
      </c>
      <c r="F36" s="45" t="n">
        <v>50</v>
      </c>
      <c r="G36" s="45" t="n">
        <v>162.2</v>
      </c>
      <c r="H36" s="19" t="s">
        <v>2057</v>
      </c>
    </row>
    <row r="37" customFormat="false" ht="15" hidden="false" customHeight="false" outlineLevel="0" collapsed="false">
      <c r="A37" s="44" t="s">
        <v>448</v>
      </c>
      <c r="B37" s="44" t="s">
        <v>2101</v>
      </c>
      <c r="C37" s="34" t="str">
        <f aca="false">IF(A37="","",IFERROR(INDEX(I_Item!$C$6:$C$255,MATCH(A37,I_Item!$A$6:$A$255,0)),"KODE BARU"))</f>
        <v>RPA|Karkas|Frozen</v>
      </c>
      <c r="D37" s="45" t="n">
        <v>400.5</v>
      </c>
      <c r="E37" s="42" t="n">
        <v>10579619</v>
      </c>
      <c r="F37" s="45" t="n">
        <v>41.4</v>
      </c>
      <c r="G37" s="45" t="n">
        <v>290.3</v>
      </c>
      <c r="H37" s="19" t="s">
        <v>2057</v>
      </c>
    </row>
    <row r="38" customFormat="false" ht="15" hidden="false" customHeight="false" outlineLevel="0" collapsed="false">
      <c r="A38" s="44" t="s">
        <v>529</v>
      </c>
      <c r="B38" s="44" t="s">
        <v>2102</v>
      </c>
      <c r="C38" s="34" t="str">
        <f aca="false">IF(A38="","",IFERROR(INDEX(I_Item!$C$6:$C$255,MATCH(A38,I_Item!$A$6:$A$255,0)),"KODE BARU"))</f>
        <v>RPA|Karkas|Frozen</v>
      </c>
      <c r="D38" s="45" t="n">
        <v>562.1</v>
      </c>
      <c r="E38" s="42" t="n">
        <v>15621595</v>
      </c>
      <c r="F38" s="45" t="n">
        <v>35.6</v>
      </c>
      <c r="G38" s="45" t="n">
        <v>335.6</v>
      </c>
      <c r="H38" s="19" t="s">
        <v>2057</v>
      </c>
    </row>
    <row r="39" customFormat="false" ht="15" hidden="false" customHeight="false" outlineLevel="0" collapsed="false">
      <c r="A39" s="44" t="s">
        <v>519</v>
      </c>
      <c r="B39" s="44" t="s">
        <v>2103</v>
      </c>
      <c r="C39" s="34" t="str">
        <f aca="false">IF(A39="","",IFERROR(INDEX(I_Item!$C$6:$C$255,MATCH(A39,I_Item!$A$6:$A$255,0)),"KODE BARU"))</f>
        <v>RPA|Karkas|Frozen</v>
      </c>
      <c r="D39" s="45" t="n">
        <v>745.9</v>
      </c>
      <c r="E39" s="42" t="n">
        <v>22061209</v>
      </c>
      <c r="F39" s="45" t="n">
        <v>27.5</v>
      </c>
      <c r="G39" s="45" t="n">
        <v>305.1</v>
      </c>
      <c r="H39" s="19" t="s">
        <v>2057</v>
      </c>
    </row>
    <row r="40" customFormat="false" ht="15" hidden="false" customHeight="false" outlineLevel="0" collapsed="false">
      <c r="A40" s="44" t="s">
        <v>449</v>
      </c>
      <c r="B40" s="44" t="s">
        <v>2104</v>
      </c>
      <c r="C40" s="34" t="str">
        <f aca="false">IF(A40="","",IFERROR(INDEX(I_Item!$C$6:$C$255,MATCH(A40,I_Item!$A$6:$A$255,0)),"KODE BARU"))</f>
        <v>RPA|Karkas|Frozen</v>
      </c>
      <c r="D40" s="45" t="n">
        <v>600.3</v>
      </c>
      <c r="E40" s="42" t="n">
        <v>20383734</v>
      </c>
      <c r="F40" s="45" t="n">
        <v>7.2</v>
      </c>
      <c r="G40" s="45" t="n">
        <v>0</v>
      </c>
      <c r="H40" s="19"/>
    </row>
    <row r="41" customFormat="false" ht="15" hidden="false" customHeight="false" outlineLevel="0" collapsed="false">
      <c r="A41" s="44" t="s">
        <v>471</v>
      </c>
      <c r="B41" s="44" t="s">
        <v>2105</v>
      </c>
      <c r="C41" s="34" t="str">
        <f aca="false">IF(A41="","",IFERROR(INDEX(I_Item!$C$6:$C$255,MATCH(A41,I_Item!$A$6:$A$255,0)),"KODE BARU"))</f>
        <v>RPA|Karkas|Frozen</v>
      </c>
      <c r="D41" s="45" t="n">
        <v>423.1</v>
      </c>
      <c r="E41" s="42" t="n">
        <v>16193153</v>
      </c>
      <c r="F41" s="45" t="n">
        <v>10</v>
      </c>
      <c r="G41" s="45" t="n">
        <v>0</v>
      </c>
      <c r="H41" s="19"/>
    </row>
    <row r="42" customFormat="false" ht="15" hidden="false" customHeight="false" outlineLevel="0" collapsed="false">
      <c r="A42" s="44" t="s">
        <v>520</v>
      </c>
      <c r="B42" s="44" t="s">
        <v>2106</v>
      </c>
      <c r="C42" s="34" t="str">
        <f aca="false">IF(A42="","",IFERROR(INDEX(I_Item!$C$6:$C$255,MATCH(A42,I_Item!$A$6:$A$255,0)),"KODE BARU"))</f>
        <v>RPA|Karkas|Frozen</v>
      </c>
      <c r="D42" s="45" t="n">
        <v>620.3</v>
      </c>
      <c r="E42" s="42" t="n">
        <v>21123869</v>
      </c>
      <c r="F42" s="45" t="n">
        <v>7.4</v>
      </c>
      <c r="G42" s="45" t="n">
        <v>0</v>
      </c>
      <c r="H42" s="19"/>
    </row>
    <row r="43" customFormat="false" ht="15" hidden="false" customHeight="false" outlineLevel="0" collapsed="false">
      <c r="A43" s="44" t="s">
        <v>472</v>
      </c>
      <c r="B43" s="44" t="s">
        <v>2107</v>
      </c>
      <c r="C43" s="34" t="str">
        <f aca="false">IF(A43="","",IFERROR(INDEX(I_Item!$C$6:$C$255,MATCH(A43,I_Item!$A$6:$A$255,0)),"KODE BARU"))</f>
        <v>RPA|Karkas|Frozen</v>
      </c>
      <c r="D43" s="45" t="n">
        <v>5378.6</v>
      </c>
      <c r="E43" s="42" t="n">
        <v>204560933</v>
      </c>
      <c r="F43" s="45" t="n">
        <v>5.8</v>
      </c>
      <c r="G43" s="45" t="n">
        <v>0</v>
      </c>
      <c r="H43" s="19"/>
    </row>
    <row r="44" customFormat="false" ht="15" hidden="false" customHeight="false" outlineLevel="0" collapsed="false">
      <c r="A44" s="44" t="s">
        <v>497</v>
      </c>
      <c r="B44" s="44" t="s">
        <v>2108</v>
      </c>
      <c r="C44" s="34" t="str">
        <f aca="false">IF(A44="","",IFERROR(INDEX(I_Item!$C$6:$C$255,MATCH(A44,I_Item!$A$6:$A$255,0)),"KODE BARU"))</f>
        <v>RPA|Karkas|Frozen</v>
      </c>
      <c r="D44" s="45" t="n">
        <v>862.45</v>
      </c>
      <c r="E44" s="42" t="n">
        <v>28462380</v>
      </c>
      <c r="F44" s="45" t="n">
        <v>15.7</v>
      </c>
      <c r="G44" s="45" t="n">
        <v>119.37</v>
      </c>
      <c r="H44" s="19" t="s">
        <v>2057</v>
      </c>
    </row>
    <row r="45" customFormat="false" ht="15" hidden="false" customHeight="false" outlineLevel="0" collapsed="false">
      <c r="A45" s="44" t="s">
        <v>473</v>
      </c>
      <c r="B45" s="44" t="s">
        <v>2109</v>
      </c>
      <c r="C45" s="34" t="str">
        <f aca="false">IF(A45="","",IFERROR(INDEX(I_Item!$C$6:$C$255,MATCH(A45,I_Item!$A$6:$A$255,0)),"KODE BARU"))</f>
        <v>RPA|Karkas|Frozen</v>
      </c>
      <c r="D45" s="45" t="n">
        <v>1128.07</v>
      </c>
      <c r="E45" s="42" t="n">
        <v>42695938</v>
      </c>
      <c r="F45" s="45" t="n">
        <v>3.4</v>
      </c>
      <c r="G45" s="45" t="n">
        <v>0</v>
      </c>
      <c r="H45" s="19"/>
    </row>
    <row r="46" customFormat="false" ht="15" hidden="false" customHeight="false" outlineLevel="0" collapsed="false">
      <c r="A46" s="44" t="s">
        <v>521</v>
      </c>
      <c r="B46" s="44" t="s">
        <v>2110</v>
      </c>
      <c r="C46" s="34" t="str">
        <f aca="false">IF(A46="","",IFERROR(INDEX(I_Item!$C$6:$C$255,MATCH(A46,I_Item!$A$6:$A$255,0)),"KODE BARU"))</f>
        <v>RPA|Karkas|Frozen</v>
      </c>
      <c r="D46" s="45" t="n">
        <v>535</v>
      </c>
      <c r="E46" s="42" t="n">
        <v>17065642</v>
      </c>
      <c r="F46" s="45" t="n">
        <v>19.7</v>
      </c>
      <c r="G46" s="45" t="n">
        <v>130</v>
      </c>
      <c r="H46" s="19" t="s">
        <v>2057</v>
      </c>
    </row>
    <row r="47" customFormat="false" ht="15" hidden="false" customHeight="false" outlineLevel="0" collapsed="false">
      <c r="A47" s="44" t="s">
        <v>489</v>
      </c>
      <c r="B47" s="44" t="s">
        <v>2111</v>
      </c>
      <c r="C47" s="34" t="str">
        <f aca="false">IF(A47="","",IFERROR(INDEX(I_Item!$C$6:$C$255,MATCH(A47,I_Item!$A$6:$A$255,0)),"KODE BARU"))</f>
        <v>RPA|Karkas|Frozen</v>
      </c>
      <c r="D47" s="45" t="n">
        <v>344.06</v>
      </c>
      <c r="E47" s="42" t="n">
        <v>13016338</v>
      </c>
      <c r="F47" s="45" t="n">
        <v>4.6</v>
      </c>
      <c r="G47" s="45" t="n">
        <v>8.76</v>
      </c>
      <c r="H47" s="19" t="s">
        <v>2057</v>
      </c>
    </row>
    <row r="48" customFormat="false" ht="15" hidden="false" customHeight="false" outlineLevel="0" collapsed="false">
      <c r="A48" s="44" t="s">
        <v>522</v>
      </c>
      <c r="B48" s="44" t="s">
        <v>2112</v>
      </c>
      <c r="C48" s="34" t="str">
        <f aca="false">IF(A48="","",IFERROR(INDEX(I_Item!$C$6:$C$255,MATCH(A48,I_Item!$A$6:$A$255,0)),"KODE BARU"))</f>
        <v>RPA|Karkas|Frozen</v>
      </c>
      <c r="D48" s="45" t="n">
        <v>354.49</v>
      </c>
      <c r="E48" s="42" t="n">
        <v>11515652</v>
      </c>
      <c r="F48" s="45" t="n">
        <v>18</v>
      </c>
      <c r="G48" s="45" t="n">
        <v>69.49</v>
      </c>
      <c r="H48" s="19" t="s">
        <v>2057</v>
      </c>
    </row>
    <row r="49" customFormat="false" ht="15" hidden="false" customHeight="false" outlineLevel="0" collapsed="false">
      <c r="A49" s="44" t="s">
        <v>2113</v>
      </c>
      <c r="B49" s="44" t="s">
        <v>2114</v>
      </c>
      <c r="C49" s="34" t="str">
        <f aca="false">IF(A49="","",IFERROR(INDEX(I_Item!$C$6:$C$255,MATCH(A49,I_Item!$A$6:$A$255,0)),"KODE BARU"))</f>
        <v>RPA|Karkas|Frozen</v>
      </c>
      <c r="D49" s="45" t="n">
        <v>1882.48</v>
      </c>
      <c r="E49" s="42" t="n">
        <v>53027567</v>
      </c>
      <c r="F49" s="45" t="n">
        <v>52.1</v>
      </c>
      <c r="G49" s="45" t="n">
        <v>1811.68</v>
      </c>
      <c r="H49" s="19" t="s">
        <v>2057</v>
      </c>
    </row>
    <row r="50" customFormat="false" ht="15" hidden="false" customHeight="false" outlineLevel="0" collapsed="false">
      <c r="A50" s="44" t="s">
        <v>523</v>
      </c>
      <c r="B50" s="44" t="s">
        <v>2115</v>
      </c>
      <c r="C50" s="34" t="str">
        <f aca="false">IF(A50="","",IFERROR(INDEX(I_Item!$C$6:$C$255,MATCH(A50,I_Item!$A$6:$A$255,0)),"KODE BARU"))</f>
        <v>RPA|Karkas|Frozen</v>
      </c>
      <c r="D50" s="45" t="n">
        <v>283.2</v>
      </c>
      <c r="E50" s="42" t="n">
        <v>9113573</v>
      </c>
      <c r="F50" s="45" t="n">
        <v>23.5</v>
      </c>
      <c r="G50" s="45" t="n">
        <v>109.2</v>
      </c>
      <c r="H50" s="19" t="s">
        <v>2057</v>
      </c>
    </row>
    <row r="51" customFormat="false" ht="15" hidden="false" customHeight="false" outlineLevel="0" collapsed="false">
      <c r="A51" s="44" t="s">
        <v>486</v>
      </c>
      <c r="B51" s="44" t="s">
        <v>2116</v>
      </c>
      <c r="C51" s="34" t="str">
        <f aca="false">IF(A51="","",IFERROR(INDEX(I_Item!$C$6:$C$255,MATCH(A51,I_Item!$A$6:$A$255,0)),"KODE BARU"))</f>
        <v>RPA|Karkas|Frozen</v>
      </c>
      <c r="D51" s="45" t="n">
        <v>189.25</v>
      </c>
      <c r="E51" s="42" t="n">
        <v>5188372</v>
      </c>
      <c r="F51" s="45" t="n">
        <v>54</v>
      </c>
      <c r="G51" s="45" t="n">
        <v>189.25</v>
      </c>
      <c r="H51" s="19" t="s">
        <v>2057</v>
      </c>
    </row>
    <row r="52" customFormat="false" ht="15" hidden="false" customHeight="false" outlineLevel="0" collapsed="false">
      <c r="A52" s="44" t="s">
        <v>525</v>
      </c>
      <c r="B52" s="44" t="s">
        <v>2117</v>
      </c>
      <c r="C52" s="34" t="str">
        <f aca="false">IF(A52="","",IFERROR(INDEX(I_Item!$C$6:$C$255,MATCH(A52,I_Item!$A$6:$A$255,0)),"KODE BARU"))</f>
        <v>RPA|Karkas|Frozen</v>
      </c>
      <c r="D52" s="45" t="n">
        <v>99</v>
      </c>
      <c r="E52" s="42" t="n">
        <v>3354815</v>
      </c>
      <c r="F52" s="45" t="n">
        <v>26</v>
      </c>
      <c r="G52" s="45" t="n">
        <v>52.1</v>
      </c>
      <c r="H52" s="19" t="s">
        <v>2057</v>
      </c>
    </row>
    <row r="53" customFormat="false" ht="15" hidden="false" customHeight="false" outlineLevel="0" collapsed="false">
      <c r="A53" s="44" t="s">
        <v>526</v>
      </c>
      <c r="B53" s="44" t="s">
        <v>2118</v>
      </c>
      <c r="C53" s="34" t="str">
        <f aca="false">IF(A53="","",IFERROR(INDEX(I_Item!$C$6:$C$255,MATCH(A53,I_Item!$A$6:$A$255,0)),"KODE BARU"))</f>
        <v>RPA|Karkas|Frozen</v>
      </c>
      <c r="D53" s="45" t="n">
        <v>78.44</v>
      </c>
      <c r="E53" s="42" t="n">
        <v>2638618</v>
      </c>
      <c r="F53" s="45" t="n">
        <v>25.6</v>
      </c>
      <c r="G53" s="45" t="n">
        <v>35.7</v>
      </c>
      <c r="H53" s="19" t="s">
        <v>2057</v>
      </c>
    </row>
    <row r="54" customFormat="false" ht="15" hidden="false" customHeight="false" outlineLevel="0" collapsed="false">
      <c r="A54" s="44" t="s">
        <v>527</v>
      </c>
      <c r="B54" s="44" t="s">
        <v>2119</v>
      </c>
      <c r="C54" s="34" t="str">
        <f aca="false">IF(A54="","",IFERROR(INDEX(I_Item!$C$6:$C$255,MATCH(A54,I_Item!$A$6:$A$255,0)),"KODE BARU"))</f>
        <v>RPA|Karkas|Frozen</v>
      </c>
      <c r="D54" s="45" t="n">
        <v>1136.02</v>
      </c>
      <c r="E54" s="42" t="n">
        <v>40337694</v>
      </c>
      <c r="F54" s="45" t="n">
        <v>22.3</v>
      </c>
      <c r="G54" s="45" t="n">
        <v>258.62</v>
      </c>
      <c r="H54" s="19" t="s">
        <v>2057</v>
      </c>
    </row>
    <row r="55" customFormat="false" ht="15" hidden="false" customHeight="false" outlineLevel="0" collapsed="false">
      <c r="A55" s="44" t="s">
        <v>2120</v>
      </c>
      <c r="B55" s="44" t="s">
        <v>2121</v>
      </c>
      <c r="C55" s="34" t="str">
        <f aca="false">IF(A55="","",IFERROR(INDEX(I_Item!$C$6:$C$255,MATCH(A55,I_Item!$A$6:$A$255,0)),"KODE BARU"))</f>
        <v>RPA|Karkas|Frozen</v>
      </c>
      <c r="D55" s="45" t="n">
        <v>45.1</v>
      </c>
      <c r="E55" s="42" t="n">
        <v>1417512</v>
      </c>
      <c r="F55" s="45" t="n">
        <v>22.8</v>
      </c>
      <c r="G55" s="45" t="n">
        <v>11.2</v>
      </c>
      <c r="H55" s="19" t="s">
        <v>2057</v>
      </c>
    </row>
    <row r="56" customFormat="false" ht="15" hidden="false" customHeight="false" outlineLevel="0" collapsed="false">
      <c r="A56" s="44" t="s">
        <v>531</v>
      </c>
      <c r="B56" s="44" t="s">
        <v>2122</v>
      </c>
      <c r="C56" s="34" t="str">
        <f aca="false">IF(A56="","",IFERROR(INDEX(I_Item!$C$6:$C$255,MATCH(A56,I_Item!$A$6:$A$255,0)),"KODE BARU"))</f>
        <v>RPA|Karkas|Frozen</v>
      </c>
      <c r="D56" s="45" t="n">
        <v>791.01</v>
      </c>
      <c r="E56" s="42" t="n">
        <v>28657531</v>
      </c>
      <c r="F56" s="45" t="n">
        <v>19.5</v>
      </c>
      <c r="G56" s="45" t="n">
        <v>121.61</v>
      </c>
      <c r="H56" s="19" t="s">
        <v>2057</v>
      </c>
    </row>
    <row r="57" customFormat="false" ht="15" hidden="false" customHeight="false" outlineLevel="0" collapsed="false">
      <c r="A57" s="44" t="s">
        <v>2123</v>
      </c>
      <c r="B57" s="44" t="s">
        <v>2124</v>
      </c>
      <c r="C57" s="34" t="str">
        <f aca="false">IF(A57="","",IFERROR(INDEX(I_Item!$C$6:$C$255,MATCH(A57,I_Item!$A$6:$A$255,0)),"KODE BARU"))</f>
        <v>RPA|Karkas|Frozen</v>
      </c>
      <c r="D57" s="45" t="n">
        <v>21.7</v>
      </c>
      <c r="E57" s="42" t="n">
        <v>749586</v>
      </c>
      <c r="F57" s="45" t="n">
        <v>13.3</v>
      </c>
      <c r="G57" s="45" t="n">
        <v>0</v>
      </c>
      <c r="H57" s="19"/>
    </row>
    <row r="58" customFormat="false" ht="15" hidden="false" customHeight="false" outlineLevel="0" collapsed="false">
      <c r="A58" s="44" t="s">
        <v>2125</v>
      </c>
      <c r="B58" s="44" t="s">
        <v>2126</v>
      </c>
      <c r="C58" s="34" t="str">
        <f aca="false">IF(A58="","",IFERROR(INDEX(I_Item!$C$6:$C$255,MATCH(A58,I_Item!$A$6:$A$255,0)),"KODE BARU"))</f>
        <v>RPA|Karkas|Frozen</v>
      </c>
      <c r="D58" s="45" t="n">
        <v>44.66</v>
      </c>
      <c r="E58" s="42" t="n">
        <v>1182112</v>
      </c>
      <c r="F58" s="45" t="n">
        <v>54</v>
      </c>
      <c r="G58" s="45" t="n">
        <v>44.66</v>
      </c>
      <c r="H58" s="19" t="s">
        <v>2057</v>
      </c>
    </row>
    <row r="59" customFormat="false" ht="15" hidden="false" customHeight="false" outlineLevel="0" collapsed="false">
      <c r="A59" s="44" t="s">
        <v>2127</v>
      </c>
      <c r="B59" s="44" t="s">
        <v>2128</v>
      </c>
      <c r="C59" s="34" t="str">
        <f aca="false">IF(A59="","",IFERROR(INDEX(I_Item!$C$6:$C$255,MATCH(A59,I_Item!$A$6:$A$255,0)),"KODE BARU"))</f>
        <v>RPA|Karkas|Frozen</v>
      </c>
      <c r="D59" s="45" t="n">
        <v>5.1</v>
      </c>
      <c r="E59" s="42" t="n">
        <v>127524</v>
      </c>
      <c r="F59" s="45" t="n">
        <v>54</v>
      </c>
      <c r="G59" s="45" t="n">
        <v>5.1</v>
      </c>
      <c r="H59" s="19" t="s">
        <v>2057</v>
      </c>
    </row>
    <row r="60" customFormat="false" ht="15" hidden="false" customHeight="false" outlineLevel="0" collapsed="false">
      <c r="A60" s="44" t="s">
        <v>2129</v>
      </c>
      <c r="B60" s="44" t="s">
        <v>2130</v>
      </c>
      <c r="C60" s="34" t="str">
        <f aca="false">IF(A60="","",IFERROR(INDEX(I_Item!$C$6:$C$255,MATCH(A60,I_Item!$A$6:$A$255,0)),"KODE BARU"))</f>
        <v>RPA|Karkas|Frozen</v>
      </c>
      <c r="D60" s="45" t="n">
        <v>225.6</v>
      </c>
      <c r="E60" s="42" t="n">
        <v>8559873</v>
      </c>
      <c r="F60" s="45" t="n">
        <v>13</v>
      </c>
      <c r="G60" s="45" t="n">
        <v>0</v>
      </c>
      <c r="H60" s="19"/>
    </row>
    <row r="61" customFormat="false" ht="15" hidden="false" customHeight="false" outlineLevel="0" collapsed="false">
      <c r="A61" s="44" t="s">
        <v>474</v>
      </c>
      <c r="B61" s="44" t="s">
        <v>2131</v>
      </c>
      <c r="C61" s="34" t="str">
        <f aca="false">IF(A61="","",IFERROR(INDEX(I_Item!$C$6:$C$255,MATCH(A61,I_Item!$A$6:$A$255,0)),"KODE BARU"))</f>
        <v>RPA|Karkas|Frozen</v>
      </c>
      <c r="D61" s="45" t="n">
        <v>1041.06</v>
      </c>
      <c r="E61" s="42" t="n">
        <v>45319803</v>
      </c>
      <c r="F61" s="45" t="n">
        <v>14.5</v>
      </c>
      <c r="G61" s="45" t="n">
        <v>234.46</v>
      </c>
      <c r="H61" s="19" t="s">
        <v>2057</v>
      </c>
    </row>
    <row r="62" customFormat="false" ht="15" hidden="false" customHeight="false" outlineLevel="0" collapsed="false">
      <c r="A62" s="44" t="s">
        <v>467</v>
      </c>
      <c r="B62" s="44" t="s">
        <v>2132</v>
      </c>
      <c r="C62" s="34" t="str">
        <f aca="false">IF(A62="","",IFERROR(INDEX(I_Item!$C$6:$C$255,MATCH(A62,I_Item!$A$6:$A$255,0)),"KODE BARU"))</f>
        <v>RPA|Karkas|Frozen</v>
      </c>
      <c r="D62" s="45" t="n">
        <v>1272.78</v>
      </c>
      <c r="E62" s="42" t="n">
        <v>43385174</v>
      </c>
      <c r="F62" s="45" t="n">
        <v>3.7</v>
      </c>
      <c r="G62" s="45" t="n">
        <v>0</v>
      </c>
      <c r="H62" s="19"/>
    </row>
    <row r="63" customFormat="false" ht="15" hidden="false" customHeight="false" outlineLevel="0" collapsed="false">
      <c r="A63" s="44" t="s">
        <v>2133</v>
      </c>
      <c r="B63" s="44" t="s">
        <v>2134</v>
      </c>
      <c r="C63" s="34" t="str">
        <f aca="false">IF(A63="","",IFERROR(INDEX(I_Item!$C$6:$C$255,MATCH(A63,I_Item!$A$6:$A$255,0)),"KODE BARU"))</f>
        <v>RPA|Karkas|Frozen</v>
      </c>
      <c r="D63" s="45" t="n">
        <v>341.93</v>
      </c>
      <c r="E63" s="42" t="n">
        <v>8802847</v>
      </c>
      <c r="F63" s="45" t="n">
        <v>52.9</v>
      </c>
      <c r="G63" s="45" t="n">
        <v>334.73</v>
      </c>
      <c r="H63" s="19" t="s">
        <v>2057</v>
      </c>
    </row>
    <row r="64" customFormat="false" ht="15" hidden="false" customHeight="false" outlineLevel="0" collapsed="false">
      <c r="A64" s="44" t="s">
        <v>490</v>
      </c>
      <c r="B64" s="44" t="s">
        <v>2135</v>
      </c>
      <c r="C64" s="34" t="str">
        <f aca="false">IF(A64="","",IFERROR(INDEX(I_Item!$C$6:$C$255,MATCH(A64,I_Item!$A$6:$A$255,0)),"KODE BARU"))</f>
        <v>RPA|Karkas|Frozen</v>
      </c>
      <c r="D64" s="45" t="n">
        <v>231.6</v>
      </c>
      <c r="E64" s="42" t="n">
        <v>6696947</v>
      </c>
      <c r="F64" s="45" t="n">
        <v>30.6</v>
      </c>
      <c r="G64" s="45" t="n">
        <v>117.3</v>
      </c>
      <c r="H64" s="19" t="s">
        <v>2057</v>
      </c>
    </row>
    <row r="65" customFormat="false" ht="15" hidden="false" customHeight="false" outlineLevel="0" collapsed="false">
      <c r="A65" s="44" t="s">
        <v>433</v>
      </c>
      <c r="B65" s="44" t="s">
        <v>2136</v>
      </c>
      <c r="C65" s="34" t="str">
        <f aca="false">IF(A65="","",IFERROR(INDEX(I_Item!$C$6:$C$255,MATCH(A65,I_Item!$A$6:$A$255,0)),"KODE BARU"))</f>
        <v>RPA|Karkas|Frozen</v>
      </c>
      <c r="D65" s="45" t="n">
        <v>1847.02</v>
      </c>
      <c r="E65" s="42" t="n">
        <v>55678450</v>
      </c>
      <c r="F65" s="45" t="n">
        <v>22.4</v>
      </c>
      <c r="G65" s="45" t="n">
        <v>642.82</v>
      </c>
      <c r="H65" s="19" t="s">
        <v>2057</v>
      </c>
    </row>
    <row r="66" customFormat="false" ht="15" hidden="false" customHeight="false" outlineLevel="0" collapsed="false">
      <c r="A66" s="44" t="s">
        <v>2137</v>
      </c>
      <c r="B66" s="44" t="s">
        <v>2138</v>
      </c>
      <c r="C66" s="34" t="str">
        <f aca="false">IF(A66="","",IFERROR(INDEX(I_Item!$C$6:$C$255,MATCH(A66,I_Item!$A$6:$A$255,0)),"KODE BARU"))</f>
        <v>RPA|Karkas|Frozen</v>
      </c>
      <c r="D66" s="45" t="n">
        <v>75</v>
      </c>
      <c r="E66" s="42" t="n">
        <v>1883710</v>
      </c>
      <c r="F66" s="45" t="n">
        <v>55</v>
      </c>
      <c r="G66" s="45" t="n">
        <v>75</v>
      </c>
      <c r="H66" s="19" t="s">
        <v>2049</v>
      </c>
    </row>
    <row r="67" customFormat="false" ht="15" hidden="false" customHeight="false" outlineLevel="0" collapsed="false">
      <c r="A67" s="44" t="s">
        <v>466</v>
      </c>
      <c r="B67" s="44" t="s">
        <v>2139</v>
      </c>
      <c r="C67" s="34" t="str">
        <f aca="false">IF(A67="","",IFERROR(INDEX(I_Item!$C$6:$C$255,MATCH(A67,I_Item!$A$6:$A$255,0)),"KODE BARU"))</f>
        <v>RPA|Karkas|n/a</v>
      </c>
      <c r="D67" s="45" t="n">
        <v>1212.8</v>
      </c>
      <c r="E67" s="42" t="n">
        <v>32864529</v>
      </c>
      <c r="F67" s="45" t="n">
        <v>54</v>
      </c>
      <c r="G67" s="45" t="n">
        <v>1212.8</v>
      </c>
      <c r="H67" s="19" t="s">
        <v>2057</v>
      </c>
    </row>
    <row r="68" customFormat="false" ht="15" hidden="false" customHeight="false" outlineLevel="0" collapsed="false">
      <c r="A68" s="44" t="s">
        <v>443</v>
      </c>
      <c r="B68" s="44" t="s">
        <v>2140</v>
      </c>
      <c r="C68" s="34" t="str">
        <f aca="false">IF(A68="","",IFERROR(INDEX(I_Item!$C$6:$C$255,MATCH(A68,I_Item!$A$6:$A$255,0)),"KODE BARU"))</f>
        <v>RPA|Kepala|Fresh</v>
      </c>
      <c r="D68" s="45" t="n">
        <v>1289.5</v>
      </c>
      <c r="E68" s="42" t="n">
        <v>16794274</v>
      </c>
      <c r="F68" s="45" t="n">
        <v>4.2</v>
      </c>
      <c r="G68" s="45" t="n">
        <v>0</v>
      </c>
      <c r="H68" s="19"/>
    </row>
    <row r="69" customFormat="false" ht="15" hidden="false" customHeight="false" outlineLevel="0" collapsed="false">
      <c r="A69" s="44" t="s">
        <v>2141</v>
      </c>
      <c r="B69" s="44" t="s">
        <v>2142</v>
      </c>
      <c r="C69" s="34" t="str">
        <f aca="false">IF(A69="","",IFERROR(INDEX(I_Item!$C$6:$C$255,MATCH(A69,I_Item!$A$6:$A$255,0)),"KODE BARU"))</f>
        <v>RPA|Kepala|Frozen</v>
      </c>
      <c r="D69" s="45" t="n">
        <v>1811.2</v>
      </c>
      <c r="E69" s="42" t="n">
        <v>14122474</v>
      </c>
      <c r="F69" s="45" t="n">
        <v>53.9</v>
      </c>
      <c r="G69" s="45" t="n">
        <v>1811.2</v>
      </c>
      <c r="H69" s="19" t="s">
        <v>2057</v>
      </c>
    </row>
    <row r="70" customFormat="false" ht="15" hidden="false" customHeight="false" outlineLevel="0" collapsed="false">
      <c r="A70" s="44" t="s">
        <v>2143</v>
      </c>
      <c r="B70" s="44" t="s">
        <v>2144</v>
      </c>
      <c r="C70" s="34" t="str">
        <f aca="false">IF(A70="","",IFERROR(INDEX(I_Item!$C$6:$C$255,MATCH(A70,I_Item!$A$6:$A$255,0)),"KODE BARU"))</f>
        <v>RPA|Kulit|Fresh</v>
      </c>
      <c r="D70" s="45" t="n">
        <v>276.03</v>
      </c>
      <c r="E70" s="42" t="n">
        <v>1056932</v>
      </c>
      <c r="F70" s="45" t="n">
        <v>87</v>
      </c>
      <c r="G70" s="45" t="n">
        <v>276.03</v>
      </c>
      <c r="H70" s="19" t="s">
        <v>2049</v>
      </c>
    </row>
    <row r="71" customFormat="false" ht="15" hidden="false" customHeight="false" outlineLevel="0" collapsed="false">
      <c r="A71" s="44" t="s">
        <v>2145</v>
      </c>
      <c r="B71" s="44" t="s">
        <v>2146</v>
      </c>
      <c r="C71" s="34" t="str">
        <f aca="false">IF(A71="","",IFERROR(INDEX(I_Item!$C$6:$C$255,MATCH(A71,I_Item!$A$6:$A$255,0)),"KODE BARU"))</f>
        <v>RPA|Kulit|Frozen</v>
      </c>
      <c r="D71" s="45" t="n">
        <v>1033.78</v>
      </c>
      <c r="E71" s="42" t="n">
        <v>25074700</v>
      </c>
      <c r="F71" s="45" t="n">
        <v>53.8</v>
      </c>
      <c r="G71" s="45" t="n">
        <v>1033.78</v>
      </c>
      <c r="H71" s="19" t="s">
        <v>2057</v>
      </c>
    </row>
    <row r="72" customFormat="false" ht="15" hidden="false" customHeight="false" outlineLevel="0" collapsed="false">
      <c r="A72" s="44" t="s">
        <v>2147</v>
      </c>
      <c r="B72" s="44" t="s">
        <v>2148</v>
      </c>
      <c r="C72" s="34" t="str">
        <f aca="false">IF(A72="","",IFERROR(INDEX(I_Item!$C$6:$C$255,MATCH(A72,I_Item!$A$6:$A$255,0)),"KODE BARU"))</f>
        <v>RPA|Lemak|Fresh</v>
      </c>
      <c r="D72" s="45" t="n">
        <v>225.9</v>
      </c>
      <c r="E72" s="42" t="n">
        <v>2343684</v>
      </c>
      <c r="F72" s="45" t="n">
        <v>42.7</v>
      </c>
      <c r="G72" s="45" t="n">
        <v>161.5</v>
      </c>
      <c r="H72" s="19" t="s">
        <v>2057</v>
      </c>
    </row>
    <row r="73" customFormat="false" ht="15" hidden="false" customHeight="false" outlineLevel="0" collapsed="false">
      <c r="A73" s="44" t="s">
        <v>517</v>
      </c>
      <c r="B73" s="44" t="s">
        <v>2149</v>
      </c>
      <c r="C73" s="34" t="str">
        <f aca="false">IF(A73="","",IFERROR(INDEX(I_Item!$C$6:$C$255,MATCH(A73,I_Item!$A$6:$A$255,0)),"KODE BARU"))</f>
        <v>RPA|Lemak|Frozen</v>
      </c>
      <c r="D73" s="45" t="n">
        <v>251.18</v>
      </c>
      <c r="E73" s="42" t="n">
        <v>6138943</v>
      </c>
      <c r="F73" s="45" t="n">
        <v>22.1</v>
      </c>
      <c r="G73" s="45" t="n">
        <v>83.28</v>
      </c>
      <c r="H73" s="19" t="s">
        <v>2057</v>
      </c>
    </row>
    <row r="74" customFormat="false" ht="15" hidden="false" customHeight="false" outlineLevel="0" collapsed="false">
      <c r="A74" s="44" t="s">
        <v>2150</v>
      </c>
      <c r="B74" s="44" t="s">
        <v>2151</v>
      </c>
      <c r="C74" s="34" t="str">
        <f aca="false">IF(A74="","",IFERROR(INDEX(I_Item!$C$6:$C$255,MATCH(A74,I_Item!$A$6:$A$255,0)),"KODE BARU"))</f>
        <v>RPA|Paha (parting)|Fresh</v>
      </c>
      <c r="D74" s="45" t="n">
        <v>19.77</v>
      </c>
      <c r="E74" s="42" t="n">
        <v>899406</v>
      </c>
      <c r="F74" s="45" t="n">
        <v>126</v>
      </c>
      <c r="G74" s="45" t="n">
        <v>19.77</v>
      </c>
      <c r="H74" s="19" t="s">
        <v>2049</v>
      </c>
    </row>
    <row r="75" customFormat="false" ht="15" hidden="false" customHeight="false" outlineLevel="0" collapsed="false">
      <c r="A75" s="44" t="s">
        <v>2152</v>
      </c>
      <c r="B75" s="44" t="s">
        <v>2153</v>
      </c>
      <c r="C75" s="34" t="str">
        <f aca="false">IF(A75="","",IFERROR(INDEX(I_Item!$C$6:$C$255,MATCH(A75,I_Item!$A$6:$A$255,0)),"KODE BARU"))</f>
        <v>RPA|Paha (parting)|Frozen</v>
      </c>
      <c r="D75" s="45" t="n">
        <v>40.81</v>
      </c>
      <c r="E75" s="42" t="n">
        <v>1287562</v>
      </c>
      <c r="F75" s="45" t="n">
        <v>54</v>
      </c>
      <c r="G75" s="45" t="n">
        <v>40.81</v>
      </c>
      <c r="H75" s="19" t="s">
        <v>2057</v>
      </c>
    </row>
    <row r="76" customFormat="false" ht="15" hidden="false" customHeight="false" outlineLevel="0" collapsed="false">
      <c r="A76" s="44" t="s">
        <v>2154</v>
      </c>
      <c r="B76" s="44" t="s">
        <v>2155</v>
      </c>
      <c r="C76" s="34" t="str">
        <f aca="false">IF(A76="","",IFERROR(INDEX(I_Item!$C$6:$C$255,MATCH(A76,I_Item!$A$6:$A$255,0)),"KODE BARU"))</f>
        <v>RPA|Paha (parting)|Frozen</v>
      </c>
      <c r="D76" s="45" t="n">
        <v>10.37</v>
      </c>
      <c r="E76" s="42" t="n">
        <v>310686</v>
      </c>
      <c r="F76" s="45" t="n">
        <v>109</v>
      </c>
      <c r="G76" s="45" t="n">
        <v>10.37</v>
      </c>
      <c r="H76" s="19" t="s">
        <v>2049</v>
      </c>
    </row>
    <row r="77" customFormat="false" ht="15" hidden="false" customHeight="false" outlineLevel="0" collapsed="false">
      <c r="A77" s="44" t="s">
        <v>2156</v>
      </c>
      <c r="B77" s="44" t="s">
        <v>2157</v>
      </c>
      <c r="C77" s="34" t="str">
        <f aca="false">IF(A77="","",IFERROR(INDEX(I_Item!$C$6:$C$255,MATCH(A77,I_Item!$A$6:$A$255,0)),"KODE BARU"))</f>
        <v>RPA|Sayap|Fresh</v>
      </c>
      <c r="D77" s="45" t="n">
        <v>240</v>
      </c>
      <c r="E77" s="42" t="n">
        <v>3841765</v>
      </c>
      <c r="F77" s="45" t="n">
        <v>53</v>
      </c>
      <c r="G77" s="45" t="n">
        <v>240</v>
      </c>
      <c r="H77" s="19"/>
    </row>
    <row r="78" customFormat="false" ht="15" hidden="false" customHeight="false" outlineLevel="0" collapsed="false">
      <c r="A78" s="44" t="s">
        <v>2158</v>
      </c>
      <c r="B78" s="44" t="s">
        <v>2159</v>
      </c>
      <c r="C78" s="34" t="str">
        <f aca="false">IF(A78="","",IFERROR(INDEX(I_Item!$C$6:$C$255,MATCH(A78,I_Item!$A$6:$A$255,0)),"KODE BARU"))</f>
        <v>RPA|Sayap|Fresh</v>
      </c>
      <c r="D78" s="45" t="n">
        <v>30.86</v>
      </c>
      <c r="E78" s="42" t="n">
        <v>707022</v>
      </c>
      <c r="F78" s="45" t="n">
        <v>109</v>
      </c>
      <c r="G78" s="45" t="n">
        <v>30.86</v>
      </c>
      <c r="H78" s="19" t="s">
        <v>2049</v>
      </c>
    </row>
    <row r="79" customFormat="false" ht="15" hidden="false" customHeight="false" outlineLevel="0" collapsed="false">
      <c r="A79" s="44" t="s">
        <v>2160</v>
      </c>
      <c r="B79" s="44" t="s">
        <v>2161</v>
      </c>
      <c r="C79" s="34" t="str">
        <f aca="false">IF(A79="","",IFERROR(INDEX(I_Item!$C$6:$C$255,MATCH(A79,I_Item!$A$6:$A$255,0)),"KODE BARU"))</f>
        <v>RPA|Sayap|Fresh</v>
      </c>
      <c r="D79" s="45" t="n">
        <v>112.19</v>
      </c>
      <c r="E79" s="42" t="n">
        <v>0</v>
      </c>
      <c r="F79" s="45" t="n">
        <v>105</v>
      </c>
      <c r="G79" s="45" t="n">
        <v>112.19</v>
      </c>
      <c r="H79" s="19" t="s">
        <v>2049</v>
      </c>
    </row>
    <row r="80" customFormat="false" ht="15" hidden="false" customHeight="false" outlineLevel="0" collapsed="false">
      <c r="A80" s="44" t="s">
        <v>2162</v>
      </c>
      <c r="B80" s="44" t="s">
        <v>2163</v>
      </c>
      <c r="C80" s="34" t="str">
        <f aca="false">IF(A80="","",IFERROR(INDEX(I_Item!$C$6:$C$255,MATCH(A80,I_Item!$A$6:$A$255,0)),"KODE BARU"))</f>
        <v>RPA|Sayap|Frozen</v>
      </c>
      <c r="D80" s="45" t="n">
        <v>311.15</v>
      </c>
      <c r="E80" s="42" t="n">
        <v>7464397</v>
      </c>
      <c r="F80" s="45" t="n">
        <v>53.9</v>
      </c>
      <c r="G80" s="45" t="n">
        <v>311.15</v>
      </c>
      <c r="H80" s="19" t="s">
        <v>2057</v>
      </c>
    </row>
    <row r="81" customFormat="false" ht="15" hidden="false" customHeight="false" outlineLevel="0" collapsed="false">
      <c r="A81" s="44" t="s">
        <v>2164</v>
      </c>
      <c r="B81" s="44" t="s">
        <v>2165</v>
      </c>
      <c r="C81" s="34" t="str">
        <f aca="false">IF(A81="","",IFERROR(INDEX(I_Item!$C$6:$C$255,MATCH(A81,I_Item!$A$6:$A$255,0)),"KODE BARU"))</f>
        <v>RPA|Sayap|Frozen</v>
      </c>
      <c r="D81" s="45" t="n">
        <v>287.08</v>
      </c>
      <c r="E81" s="42" t="n">
        <v>8312972</v>
      </c>
      <c r="F81" s="45" t="n">
        <v>54</v>
      </c>
      <c r="G81" s="45" t="n">
        <v>287.08</v>
      </c>
      <c r="H81" s="19" t="s">
        <v>2057</v>
      </c>
    </row>
    <row r="82" customFormat="false" ht="15" hidden="false" customHeight="false" outlineLevel="0" collapsed="false">
      <c r="A82" s="44" t="s">
        <v>2166</v>
      </c>
      <c r="B82" s="44" t="s">
        <v>2167</v>
      </c>
      <c r="C82" s="34" t="str">
        <f aca="false">IF(A82="","",IFERROR(INDEX(I_Item!$C$6:$C$255,MATCH(A82,I_Item!$A$6:$A$255,0)),"KODE BARU"))</f>
        <v>RPA|Sayap|Frozen</v>
      </c>
      <c r="D82" s="45" t="n">
        <v>13.14</v>
      </c>
      <c r="E82" s="42" t="n">
        <v>301046</v>
      </c>
      <c r="F82" s="45" t="n">
        <v>109</v>
      </c>
      <c r="G82" s="45" t="n">
        <v>13.14</v>
      </c>
      <c r="H82" s="19" t="s">
        <v>2049</v>
      </c>
    </row>
    <row r="83" customFormat="false" ht="15" hidden="false" customHeight="false" outlineLevel="0" collapsed="false">
      <c r="A83" s="44" t="s">
        <v>2168</v>
      </c>
      <c r="B83" s="44" t="s">
        <v>2169</v>
      </c>
      <c r="C83" s="34" t="str">
        <f aca="false">IF(A83="","",IFERROR(INDEX(I_Item!$C$6:$C$255,MATCH(A83,I_Item!$A$6:$A$255,0)),"KODE BARU"))</f>
        <v>RPA|TLP|Frozen</v>
      </c>
      <c r="D83" s="45" t="n">
        <v>436.09</v>
      </c>
      <c r="E83" s="42" t="n">
        <v>840656</v>
      </c>
      <c r="F83" s="45" t="n">
        <v>41.7</v>
      </c>
      <c r="G83" s="45" t="n">
        <v>256.9</v>
      </c>
      <c r="H83" s="19" t="s">
        <v>2057</v>
      </c>
    </row>
    <row r="84" customFormat="false" ht="15" hidden="false" customHeight="false" outlineLevel="0" collapsed="false">
      <c r="A84" s="44" t="s">
        <v>444</v>
      </c>
      <c r="B84" s="44" t="s">
        <v>2170</v>
      </c>
      <c r="C84" s="34" t="str">
        <f aca="false">IF(A84="","",IFERROR(INDEX(I_Item!$C$6:$C$255,MATCH(A84,I_Item!$A$6:$A$255,0)),"KODE BARU"))</f>
        <v>RPA|Usus|Fresh</v>
      </c>
      <c r="D84" s="45" t="n">
        <v>4915.18</v>
      </c>
      <c r="E84" s="42" t="n">
        <v>12347050</v>
      </c>
      <c r="F84" s="45" t="n">
        <v>27.2</v>
      </c>
      <c r="G84" s="45" t="n">
        <v>2024.18</v>
      </c>
      <c r="H84" s="19" t="s">
        <v>2057</v>
      </c>
    </row>
    <row r="85" customFormat="false" ht="15" hidden="false" customHeight="false" outlineLevel="0" collapsed="false">
      <c r="A85" s="44" t="s">
        <v>2171</v>
      </c>
      <c r="B85" s="44" t="s">
        <v>2172</v>
      </c>
      <c r="C85" s="34" t="str">
        <f aca="false">IF(A85="","",IFERROR(INDEX(I_Item!$C$6:$C$255,MATCH(A85,I_Item!$A$6:$A$255,0)),"KODE BARU"))</f>
        <v>RPA|Usus|Frozen</v>
      </c>
      <c r="D85" s="45" t="n">
        <v>63</v>
      </c>
      <c r="E85" s="42" t="n">
        <v>0</v>
      </c>
      <c r="F85" s="45" t="n">
        <v>53</v>
      </c>
      <c r="G85" s="45" t="n">
        <v>63</v>
      </c>
      <c r="H85" s="19"/>
    </row>
    <row r="86" customFormat="false" ht="15" hidden="false" customHeight="false" outlineLevel="0" collapsed="false">
      <c r="A86" s="44" t="s">
        <v>438</v>
      </c>
      <c r="B86" s="44" t="s">
        <v>2173</v>
      </c>
      <c r="C86" s="34" t="str">
        <f aca="false">IF(A86="","",IFERROR(INDEX(I_Item!$C$6:$C$255,MATCH(A86,I_Item!$A$6:$A$255,0)),"KODE BARU"))</f>
        <v>Trading|BLD|Frozen</v>
      </c>
      <c r="D86" s="45" t="n">
        <v>5856.04</v>
      </c>
      <c r="E86" s="42" t="n">
        <v>228954068</v>
      </c>
      <c r="F86" s="45" t="n">
        <v>8.6</v>
      </c>
      <c r="G86" s="45" t="n">
        <v>0</v>
      </c>
      <c r="H86" s="19"/>
    </row>
    <row r="87" customFormat="false" ht="15" hidden="false" customHeight="false" outlineLevel="0" collapsed="false">
      <c r="A87" s="44" t="s">
        <v>2174</v>
      </c>
      <c r="B87" s="44" t="s">
        <v>2175</v>
      </c>
      <c r="C87" s="34" t="str">
        <f aca="false">IF(A87="","",IFERROR(INDEX(I_Item!$C$6:$C$255,MATCH(A87,I_Item!$A$6:$A$255,0)),"KODE BARU"))</f>
        <v>Trading|BLD|n/a</v>
      </c>
      <c r="D87" s="45" t="n">
        <v>10.2</v>
      </c>
      <c r="E87" s="42" t="n">
        <v>438600</v>
      </c>
      <c r="F87" s="45" t="n">
        <v>124</v>
      </c>
      <c r="G87" s="45" t="n">
        <v>10.2</v>
      </c>
      <c r="H87" s="19" t="s">
        <v>2049</v>
      </c>
    </row>
    <row r="88" customFormat="false" ht="15" hidden="false" customHeight="false" outlineLevel="0" collapsed="false">
      <c r="A88" s="44" t="s">
        <v>2176</v>
      </c>
      <c r="B88" s="44" t="s">
        <v>2177</v>
      </c>
      <c r="C88" s="34" t="str">
        <f aca="false">IF(A88="","",IFERROR(INDEX(I_Item!$C$6:$C$255,MATCH(A88,I_Item!$A$6:$A$255,0)),"KODE BARU"))</f>
        <v>Trading|BLPK|Frozen</v>
      </c>
      <c r="D88" s="45" t="n">
        <v>8.53</v>
      </c>
      <c r="E88" s="42" t="n">
        <v>272960</v>
      </c>
      <c r="F88" s="45" t="n">
        <v>87</v>
      </c>
      <c r="G88" s="45" t="n">
        <v>8.53</v>
      </c>
      <c r="H88" s="19" t="s">
        <v>2049</v>
      </c>
    </row>
    <row r="89" customFormat="false" ht="15" hidden="false" customHeight="false" outlineLevel="0" collapsed="false">
      <c r="A89" s="44" t="s">
        <v>468</v>
      </c>
      <c r="B89" s="44" t="s">
        <v>2178</v>
      </c>
      <c r="C89" s="34" t="str">
        <f aca="false">IF(A89="","",IFERROR(INDEX(I_Item!$C$6:$C$255,MATCH(A89,I_Item!$A$6:$A$255,0)),"KODE BARU"))</f>
        <v>Trading|BLP|Frozen</v>
      </c>
      <c r="D89" s="45" t="n">
        <v>6139.3</v>
      </c>
      <c r="E89" s="42" t="n">
        <v>280247629</v>
      </c>
      <c r="F89" s="45" t="n">
        <v>4</v>
      </c>
      <c r="G89" s="45" t="n">
        <v>0</v>
      </c>
      <c r="H89" s="19"/>
    </row>
    <row r="90" customFormat="false" ht="15" hidden="false" customHeight="false" outlineLevel="0" collapsed="false">
      <c r="A90" s="44" t="s">
        <v>2179</v>
      </c>
      <c r="B90" s="44" t="s">
        <v>2180</v>
      </c>
      <c r="C90" s="34" t="str">
        <f aca="false">IF(A90="","",IFERROR(INDEX(I_Item!$C$6:$C$255,MATCH(A90,I_Item!$A$6:$A$255,0)),"KODE BARU"))</f>
        <v>Trading|HJA (Hati/Jantung/Ampela)|n/a</v>
      </c>
      <c r="D90" s="45" t="n">
        <v>3605.54</v>
      </c>
      <c r="E90" s="42" t="n">
        <v>13532744</v>
      </c>
      <c r="F90" s="45" t="n">
        <v>59</v>
      </c>
      <c r="G90" s="45" t="n">
        <v>3605.54</v>
      </c>
      <c r="H90" s="19" t="s">
        <v>2049</v>
      </c>
    </row>
    <row r="91" customFormat="false" ht="15" hidden="false" customHeight="false" outlineLevel="0" collapsed="false">
      <c r="A91" s="44" t="s">
        <v>2181</v>
      </c>
      <c r="B91" s="44" t="s">
        <v>2182</v>
      </c>
      <c r="C91" s="34" t="str">
        <f aca="false">IF(A91="","",IFERROR(INDEX(I_Item!$C$6:$C$255,MATCH(A91,I_Item!$A$6:$A$255,0)),"KODE BARU"))</f>
        <v>Trading|HJA (Hati/Jantung/Ampela)|n/a</v>
      </c>
      <c r="D91" s="45" t="n">
        <v>452.6</v>
      </c>
      <c r="E91" s="42" t="n">
        <v>5431200</v>
      </c>
      <c r="F91" s="45" t="n">
        <v>90</v>
      </c>
      <c r="G91" s="45" t="n">
        <v>452.6</v>
      </c>
      <c r="H91" s="19" t="s">
        <v>2049</v>
      </c>
    </row>
    <row r="92" customFormat="false" ht="15" hidden="false" customHeight="false" outlineLevel="0" collapsed="false">
      <c r="A92" s="44" t="s">
        <v>2183</v>
      </c>
      <c r="B92" s="44" t="s">
        <v>2184</v>
      </c>
      <c r="C92" s="34" t="str">
        <f aca="false">IF(A92="","",IFERROR(INDEX(I_Item!$C$6:$C$255,MATCH(A92,I_Item!$A$6:$A$255,0)),"KODE BARU"))</f>
        <v>Trading|HJA (Hati/Jantung/Ampela)|n/a</v>
      </c>
      <c r="D92" s="45" t="n">
        <v>242.23</v>
      </c>
      <c r="E92" s="42" t="n">
        <v>1937840</v>
      </c>
      <c r="F92" s="45" t="n">
        <v>115</v>
      </c>
      <c r="G92" s="45" t="n">
        <v>242.23</v>
      </c>
      <c r="H92" s="19" t="s">
        <v>2049</v>
      </c>
    </row>
    <row r="93" customFormat="false" ht="15" hidden="false" customHeight="false" outlineLevel="0" collapsed="false">
      <c r="A93" s="44" t="s">
        <v>452</v>
      </c>
      <c r="B93" s="44" t="s">
        <v>2185</v>
      </c>
      <c r="C93" s="34" t="str">
        <f aca="false">IF(A93="","",IFERROR(INDEX(I_Item!$C$6:$C$255,MATCH(A93,I_Item!$A$6:$A$255,0)),"KODE BARU"))</f>
        <v>Trading|KRK (Kerangka)|n/a</v>
      </c>
      <c r="D93" s="45" t="n">
        <v>33329.94</v>
      </c>
      <c r="E93" s="42" t="n">
        <v>343660746</v>
      </c>
      <c r="F93" s="45" t="n">
        <v>10</v>
      </c>
      <c r="G93" s="45" t="n">
        <v>2826.34</v>
      </c>
      <c r="H93" s="19"/>
    </row>
    <row r="94" customFormat="false" ht="15" hidden="false" customHeight="false" outlineLevel="0" collapsed="false">
      <c r="A94" s="44" t="s">
        <v>430</v>
      </c>
      <c r="B94" s="44" t="s">
        <v>2186</v>
      </c>
      <c r="C94" s="34" t="str">
        <f aca="false">IF(A94="","",IFERROR(INDEX(I_Item!$C$6:$C$255,MATCH(A94,I_Item!$A$6:$A$255,0)),"KODE BARU"))</f>
        <v>Trading|Karkas|n/a</v>
      </c>
      <c r="D94" s="45" t="n">
        <v>5097.22</v>
      </c>
      <c r="E94" s="42" t="n">
        <v>153503695</v>
      </c>
      <c r="F94" s="45" t="n">
        <v>10.2</v>
      </c>
      <c r="G94" s="45" t="n">
        <v>0</v>
      </c>
      <c r="H94" s="19"/>
    </row>
    <row r="95" customFormat="false" ht="15" hidden="false" customHeight="false" outlineLevel="0" collapsed="false">
      <c r="A95" s="44" t="s">
        <v>455</v>
      </c>
      <c r="B95" s="44" t="s">
        <v>2187</v>
      </c>
      <c r="C95" s="34" t="str">
        <f aca="false">IF(A95="","",IFERROR(INDEX(I_Item!$C$6:$C$255,MATCH(A95,I_Item!$A$6:$A$255,0)),"KODE BARU"))</f>
        <v>Trading|Karkas|n/a</v>
      </c>
      <c r="D95" s="45" t="n">
        <v>8408.51</v>
      </c>
      <c r="E95" s="42" t="n">
        <v>254715769</v>
      </c>
      <c r="F95" s="45" t="n">
        <v>10.4</v>
      </c>
      <c r="G95" s="45" t="n">
        <v>0</v>
      </c>
      <c r="H95" s="19"/>
    </row>
    <row r="96" customFormat="false" ht="15" hidden="false" customHeight="false" outlineLevel="0" collapsed="false">
      <c r="A96" s="44" t="s">
        <v>434</v>
      </c>
      <c r="B96" s="44" t="s">
        <v>2188</v>
      </c>
      <c r="C96" s="34" t="str">
        <f aca="false">IF(A96="","",IFERROR(INDEX(I_Item!$C$6:$C$255,MATCH(A96,I_Item!$A$6:$A$255,0)),"KODE BARU"))</f>
        <v>Trading|Karkas|n/a</v>
      </c>
      <c r="D96" s="45" t="n">
        <v>3110.09</v>
      </c>
      <c r="E96" s="42" t="n">
        <v>98892736</v>
      </c>
      <c r="F96" s="45" t="n">
        <v>14</v>
      </c>
      <c r="G96" s="45" t="n">
        <v>0</v>
      </c>
      <c r="H96" s="19"/>
    </row>
    <row r="97" customFormat="false" ht="15" hidden="false" customHeight="false" outlineLevel="0" collapsed="false">
      <c r="A97" s="44" t="s">
        <v>435</v>
      </c>
      <c r="B97" s="44" t="s">
        <v>2189</v>
      </c>
      <c r="C97" s="34" t="str">
        <f aca="false">IF(A97="","",IFERROR(INDEX(I_Item!$C$6:$C$255,MATCH(A97,I_Item!$A$6:$A$255,0)),"KODE BARU"))</f>
        <v>Trading|Karkas|n/a</v>
      </c>
      <c r="D97" s="45" t="n">
        <v>10368.96</v>
      </c>
      <c r="E97" s="42" t="n">
        <v>306301868</v>
      </c>
      <c r="F97" s="45" t="n">
        <v>19.5</v>
      </c>
      <c r="G97" s="45" t="n">
        <v>0</v>
      </c>
      <c r="H97" s="19"/>
    </row>
    <row r="98" customFormat="false" ht="15" hidden="false" customHeight="false" outlineLevel="0" collapsed="false">
      <c r="A98" s="44" t="s">
        <v>2190</v>
      </c>
      <c r="B98" s="44" t="s">
        <v>2191</v>
      </c>
      <c r="C98" s="34" t="str">
        <f aca="false">IF(A98="","",IFERROR(INDEX(I_Item!$C$6:$C$255,MATCH(A98,I_Item!$A$6:$A$255,0)),"KODE BARU"))</f>
        <v>Trading|Karkas|n/a</v>
      </c>
      <c r="D98" s="45" t="n">
        <v>886.4</v>
      </c>
      <c r="E98" s="42" t="n">
        <v>27058911</v>
      </c>
      <c r="F98" s="45" t="n">
        <v>9.8</v>
      </c>
      <c r="G98" s="45" t="n">
        <v>0</v>
      </c>
      <c r="H98" s="19"/>
    </row>
    <row r="99" customFormat="false" ht="15" hidden="false" customHeight="false" outlineLevel="0" collapsed="false">
      <c r="A99" s="44" t="s">
        <v>422</v>
      </c>
      <c r="B99" s="44" t="s">
        <v>2192</v>
      </c>
      <c r="C99" s="34" t="str">
        <f aca="false">IF(A99="","",IFERROR(INDEX(I_Item!$C$6:$C$255,MATCH(A99,I_Item!$A$6:$A$255,0)),"KODE BARU"))</f>
        <v>Trading|Karkas|n/a</v>
      </c>
      <c r="D99" s="45" t="n">
        <v>2473.5</v>
      </c>
      <c r="E99" s="42" t="n">
        <v>79365122</v>
      </c>
      <c r="F99" s="45" t="n">
        <v>20</v>
      </c>
      <c r="G99" s="45" t="n">
        <v>0</v>
      </c>
      <c r="H99" s="19"/>
    </row>
    <row r="100" customFormat="false" ht="15" hidden="false" customHeight="false" outlineLevel="0" collapsed="false">
      <c r="A100" s="44" t="s">
        <v>423</v>
      </c>
      <c r="B100" s="44" t="s">
        <v>2193</v>
      </c>
      <c r="C100" s="34" t="str">
        <f aca="false">IF(A100="","",IFERROR(INDEX(I_Item!$C$6:$C$255,MATCH(A100,I_Item!$A$6:$A$255,0)),"KODE BARU"))</f>
        <v>Trading|Karkas|n/a</v>
      </c>
      <c r="D100" s="45" t="n">
        <v>310.3</v>
      </c>
      <c r="E100" s="42" t="n">
        <v>7265438</v>
      </c>
      <c r="F100" s="45" t="n">
        <v>43.4</v>
      </c>
      <c r="G100" s="45" t="n">
        <v>210.5</v>
      </c>
      <c r="H100" s="19" t="s">
        <v>2057</v>
      </c>
    </row>
    <row r="101" customFormat="false" ht="15" hidden="false" customHeight="false" outlineLevel="0" collapsed="false">
      <c r="A101" s="44" t="s">
        <v>2194</v>
      </c>
      <c r="B101" s="44" t="s">
        <v>2195</v>
      </c>
      <c r="C101" s="34" t="str">
        <f aca="false">IF(A101="","",IFERROR(INDEX(I_Item!$C$6:$C$255,MATCH(A101,I_Item!$A$6:$A$255,0)),"KODE BARU"))</f>
        <v>Trading|Karkas|n/a</v>
      </c>
      <c r="D101" s="45" t="n">
        <v>1</v>
      </c>
      <c r="E101" s="42" t="n">
        <v>23000</v>
      </c>
      <c r="F101" s="45" t="n">
        <v>54</v>
      </c>
      <c r="G101" s="45" t="n">
        <v>1</v>
      </c>
      <c r="H101" s="19" t="s">
        <v>2057</v>
      </c>
    </row>
    <row r="102" customFormat="false" ht="15" hidden="false" customHeight="false" outlineLevel="0" collapsed="false">
      <c r="A102" s="44" t="s">
        <v>424</v>
      </c>
      <c r="B102" s="44" t="s">
        <v>2196</v>
      </c>
      <c r="C102" s="34" t="str">
        <f aca="false">IF(A102="","",IFERROR(INDEX(I_Item!$C$6:$C$255,MATCH(A102,I_Item!$A$6:$A$255,0)),"KODE BARU"))</f>
        <v>Trading|Karkas|n/a</v>
      </c>
      <c r="D102" s="45" t="n">
        <v>258.7</v>
      </c>
      <c r="E102" s="42" t="n">
        <v>5950100</v>
      </c>
      <c r="F102" s="45" t="n">
        <v>54</v>
      </c>
      <c r="G102" s="45" t="n">
        <v>258.7</v>
      </c>
      <c r="H102" s="19" t="s">
        <v>2057</v>
      </c>
    </row>
    <row r="103" customFormat="false" ht="15" hidden="false" customHeight="false" outlineLevel="0" collapsed="false">
      <c r="A103" s="44" t="s">
        <v>425</v>
      </c>
      <c r="B103" s="44" t="s">
        <v>2197</v>
      </c>
      <c r="C103" s="34" t="str">
        <f aca="false">IF(A103="","",IFERROR(INDEX(I_Item!$C$6:$C$255,MATCH(A103,I_Item!$A$6:$A$255,0)),"KODE BARU"))</f>
        <v>Trading|Karkas|n/a</v>
      </c>
      <c r="D103" s="45" t="n">
        <v>273.8</v>
      </c>
      <c r="E103" s="42" t="n">
        <v>6282450</v>
      </c>
      <c r="F103" s="45" t="n">
        <v>53.9</v>
      </c>
      <c r="G103" s="45" t="n">
        <v>273.15</v>
      </c>
      <c r="H103" s="19" t="s">
        <v>2057</v>
      </c>
    </row>
    <row r="104" customFormat="false" ht="15" hidden="false" customHeight="false" outlineLevel="0" collapsed="false">
      <c r="A104" s="44" t="s">
        <v>2198</v>
      </c>
      <c r="B104" s="44" t="s">
        <v>2199</v>
      </c>
      <c r="C104" s="34" t="str">
        <f aca="false">IF(A104="","",IFERROR(INDEX(I_Item!$C$6:$C$255,MATCH(A104,I_Item!$A$6:$A$255,0)),"KODE BARU"))</f>
        <v>Trading|Karkas|n/a</v>
      </c>
      <c r="D104" s="45" t="n">
        <v>0.1</v>
      </c>
      <c r="E104" s="42" t="n">
        <v>2300</v>
      </c>
      <c r="F104" s="45" t="n">
        <v>54</v>
      </c>
      <c r="G104" s="45" t="n">
        <v>0.1</v>
      </c>
      <c r="H104" s="19" t="s">
        <v>2057</v>
      </c>
    </row>
    <row r="105" customFormat="false" ht="15" hidden="false" customHeight="false" outlineLevel="0" collapsed="false">
      <c r="A105" s="44" t="s">
        <v>2200</v>
      </c>
      <c r="B105" s="44" t="s">
        <v>2201</v>
      </c>
      <c r="C105" s="34" t="str">
        <f aca="false">IF(A105="","",IFERROR(INDEX(I_Item!$C$6:$C$255,MATCH(A105,I_Item!$A$6:$A$255,0)),"KODE BARU"))</f>
        <v>Trading|Karkas|n/a</v>
      </c>
      <c r="D105" s="45" t="n">
        <v>3</v>
      </c>
      <c r="E105" s="42" t="n">
        <v>69000</v>
      </c>
      <c r="F105" s="45" t="n">
        <v>54</v>
      </c>
      <c r="G105" s="45" t="n">
        <v>3</v>
      </c>
      <c r="H105" s="19" t="s">
        <v>2057</v>
      </c>
    </row>
    <row r="106" customFormat="false" ht="15" hidden="false" customHeight="false" outlineLevel="0" collapsed="false">
      <c r="A106" s="44" t="s">
        <v>2202</v>
      </c>
      <c r="B106" s="44" t="s">
        <v>2203</v>
      </c>
      <c r="C106" s="34" t="str">
        <f aca="false">IF(A106="","",IFERROR(INDEX(I_Item!$C$6:$C$255,MATCH(A106,I_Item!$A$6:$A$255,0)),"KODE BARU"))</f>
        <v>Trading|Karkas|n/a</v>
      </c>
      <c r="D106" s="45" t="n">
        <v>0.2</v>
      </c>
      <c r="E106" s="42" t="n">
        <v>4600</v>
      </c>
      <c r="F106" s="45" t="n">
        <v>54</v>
      </c>
      <c r="G106" s="45" t="n">
        <v>0.2</v>
      </c>
      <c r="H106" s="19" t="s">
        <v>2057</v>
      </c>
    </row>
    <row r="107" customFormat="false" ht="15" hidden="false" customHeight="false" outlineLevel="0" collapsed="false">
      <c r="A107" s="44" t="s">
        <v>426</v>
      </c>
      <c r="B107" s="44" t="s">
        <v>2204</v>
      </c>
      <c r="C107" s="34" t="str">
        <f aca="false">IF(A107="","",IFERROR(INDEX(I_Item!$C$6:$C$255,MATCH(A107,I_Item!$A$6:$A$255,0)),"KODE BARU"))</f>
        <v>Trading|Karkas|n/a</v>
      </c>
      <c r="D107" s="45" t="n">
        <v>82.5</v>
      </c>
      <c r="E107" s="42" t="n">
        <v>1897500</v>
      </c>
      <c r="F107" s="45" t="n">
        <v>54</v>
      </c>
      <c r="G107" s="45" t="n">
        <v>82.5</v>
      </c>
      <c r="H107" s="19" t="s">
        <v>2057</v>
      </c>
    </row>
    <row r="108" customFormat="false" ht="15" hidden="false" customHeight="false" outlineLevel="0" collapsed="false">
      <c r="A108" s="44" t="s">
        <v>427</v>
      </c>
      <c r="B108" s="44" t="s">
        <v>2205</v>
      </c>
      <c r="C108" s="34" t="str">
        <f aca="false">IF(A108="","",IFERROR(INDEX(I_Item!$C$6:$C$255,MATCH(A108,I_Item!$A$6:$A$255,0)),"KODE BARU"))</f>
        <v>Trading|Karkas|n/a</v>
      </c>
      <c r="D108" s="45" t="n">
        <v>15594.6</v>
      </c>
      <c r="E108" s="42" t="n">
        <v>468186735</v>
      </c>
      <c r="F108" s="45" t="n">
        <v>10.8</v>
      </c>
      <c r="G108" s="45" t="n">
        <v>0</v>
      </c>
      <c r="H108" s="19"/>
    </row>
    <row r="109" customFormat="false" ht="15" hidden="false" customHeight="false" outlineLevel="0" collapsed="false">
      <c r="A109" s="44" t="s">
        <v>2206</v>
      </c>
      <c r="B109" s="44" t="s">
        <v>2207</v>
      </c>
      <c r="C109" s="34" t="str">
        <f aca="false">IF(A109="","",IFERROR(INDEX(I_Item!$C$6:$C$255,MATCH(A109,I_Item!$A$6:$A$255,0)),"KODE BARU"))</f>
        <v>Trading|Karkas|n/a</v>
      </c>
      <c r="D109" s="45" t="n">
        <v>73.8</v>
      </c>
      <c r="E109" s="42" t="n">
        <v>2177100</v>
      </c>
      <c r="F109" s="45" t="n">
        <v>20</v>
      </c>
      <c r="G109" s="45" t="n">
        <v>0</v>
      </c>
      <c r="H109" s="19"/>
    </row>
    <row r="110" customFormat="false" ht="15" hidden="false" customHeight="false" outlineLevel="0" collapsed="false">
      <c r="A110" s="44" t="s">
        <v>2208</v>
      </c>
      <c r="B110" s="44" t="s">
        <v>2209</v>
      </c>
      <c r="C110" s="34" t="str">
        <f aca="false">IF(A110="","",IFERROR(INDEX(I_Item!$C$6:$C$255,MATCH(A110,I_Item!$A$6:$A$255,0)),"KODE BARU"))</f>
        <v>Trading|Karkas|n/a</v>
      </c>
      <c r="D110" s="45" t="n">
        <v>6753</v>
      </c>
      <c r="E110" s="42" t="n">
        <v>202689219</v>
      </c>
      <c r="F110" s="45" t="n">
        <v>9</v>
      </c>
      <c r="G110" s="45" t="n">
        <v>0</v>
      </c>
      <c r="H110" s="19"/>
    </row>
    <row r="111" customFormat="false" ht="15" hidden="false" customHeight="false" outlineLevel="0" collapsed="false">
      <c r="A111" s="44" t="s">
        <v>480</v>
      </c>
      <c r="B111" s="44" t="s">
        <v>2210</v>
      </c>
      <c r="C111" s="34" t="str">
        <f aca="false">IF(A111="","",IFERROR(INDEX(I_Item!$C$6:$C$255,MATCH(A111,I_Item!$A$6:$A$255,0)),"KODE BARU"))</f>
        <v>Trading|Kulit|Frozen</v>
      </c>
      <c r="D111" s="45" t="n">
        <v>1094.61</v>
      </c>
      <c r="E111" s="42" t="n">
        <v>19375380</v>
      </c>
      <c r="F111" s="45" t="n">
        <v>51.1</v>
      </c>
      <c r="G111" s="45" t="n">
        <v>1094.61</v>
      </c>
      <c r="H111" s="19"/>
    </row>
    <row r="112" customFormat="false" ht="15" hidden="false" customHeight="false" outlineLevel="0" collapsed="false">
      <c r="A112" s="44" t="s">
        <v>2211</v>
      </c>
      <c r="B112" s="44" t="s">
        <v>2212</v>
      </c>
      <c r="C112" s="34" t="str">
        <f aca="false">IF(A112="","",IFERROR(INDEX(I_Item!$C$6:$C$255,MATCH(A112,I_Item!$A$6:$A$255,0)),"KODE BARU"))</f>
        <v>Trading|Kulit|n/a</v>
      </c>
      <c r="D112" s="45" t="n">
        <v>1395.69</v>
      </c>
      <c r="E112" s="42" t="n">
        <v>29309490</v>
      </c>
      <c r="F112" s="45" t="n">
        <v>115</v>
      </c>
      <c r="G112" s="45" t="n">
        <v>1395.69</v>
      </c>
      <c r="H112" s="19" t="s">
        <v>2049</v>
      </c>
    </row>
    <row r="306" customFormat="false" ht="15" hidden="false" customHeight="false" outlineLevel="0" collapsed="false">
      <c r="B306" s="14" t="s">
        <v>2213</v>
      </c>
      <c r="D306" s="15" t="n">
        <f aca="false">SUM(D6:D305)</f>
        <v>162687.92</v>
      </c>
      <c r="E306" s="15" t="n">
        <f aca="false">SUM(E6:E305)</f>
        <v>3954932012</v>
      </c>
      <c r="G306" s="15" t="n">
        <f aca="false">SUM(G6:G305)</f>
        <v>28140.79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1" t="s">
        <v>2214</v>
      </c>
    </row>
    <row r="2" customFormat="false" ht="15" hidden="false" customHeight="false" outlineLevel="0" collapsed="false">
      <c r="A2" s="6" t="s">
        <v>2215</v>
      </c>
    </row>
    <row r="5" customFormat="false" ht="33.75" hidden="false" customHeight="true" outlineLevel="0" collapsed="false">
      <c r="A5" s="8" t="s">
        <v>564</v>
      </c>
      <c r="B5" s="8" t="s">
        <v>565</v>
      </c>
      <c r="C5" s="8" t="s">
        <v>2216</v>
      </c>
      <c r="D5" s="8" t="s">
        <v>563</v>
      </c>
      <c r="E5" s="8" t="s">
        <v>572</v>
      </c>
      <c r="F5" s="8" t="s">
        <v>571</v>
      </c>
    </row>
    <row r="6" customFormat="false" ht="15" hidden="false" customHeight="false" outlineLevel="0" collapsed="false">
      <c r="A6" s="44" t="n">
        <v>1101</v>
      </c>
      <c r="B6" s="44" t="s">
        <v>2217</v>
      </c>
      <c r="C6" s="42" t="n">
        <v>0</v>
      </c>
      <c r="D6" s="34" t="str">
        <f aca="false">IF(A6="","",IFERROR(INDEX(I_COA!$C$6:$C$265,MATCH(A6,I_COA!$A$6:$A$265,0)),"AKUN BARU"))</f>
        <v>Header</v>
      </c>
      <c r="E6" s="34" t="str">
        <f aca="false">IF(D6="Neraca",INDEX(I_COA!$E$6:$E$265,MATCH(A6,I_COA!$A$6:$A$265,0)),"")</f>
        <v/>
      </c>
      <c r="F6" s="34" t="str">
        <f aca="false">IF(D6="LabaRugi",INDEX(I_COA!$D$6:$D$265,MATCH(A6,I_COA!$A$6:$A$265,0)),"")</f>
        <v/>
      </c>
    </row>
    <row r="7" customFormat="false" ht="15" hidden="false" customHeight="false" outlineLevel="0" collapsed="false">
      <c r="A7" s="44" t="n">
        <v>1101001</v>
      </c>
      <c r="B7" s="44" t="s">
        <v>2218</v>
      </c>
      <c r="C7" s="42" t="n">
        <v>5000000</v>
      </c>
      <c r="D7" s="34" t="str">
        <f aca="false">IF(A7="","",IFERROR(INDEX(I_COA!$C$6:$C$265,MATCH(A7,I_COA!$A$6:$A$265,0)),"AKUN BARU"))</f>
        <v>Neraca</v>
      </c>
      <c r="E7" s="34" t="str">
        <f aca="false">IF(D7="Neraca",INDEX(I_COA!$E$6:$E$265,MATCH(A7,I_COA!$A$6:$A$265,0)),"")</f>
        <v>Cash and cash equivalents</v>
      </c>
      <c r="F7" s="34" t="str">
        <f aca="false">IF(D7="LabaRugi",INDEX(I_COA!$D$6:$D$265,MATCH(A7,I_COA!$A$6:$A$265,0)),"")</f>
        <v/>
      </c>
    </row>
    <row r="8" customFormat="false" ht="15" hidden="false" customHeight="false" outlineLevel="0" collapsed="false">
      <c r="A8" s="44" t="n">
        <v>1102</v>
      </c>
      <c r="B8" s="44" t="s">
        <v>2219</v>
      </c>
      <c r="C8" s="42" t="n">
        <v>0</v>
      </c>
      <c r="D8" s="34" t="str">
        <f aca="false">IF(A8="","",IFERROR(INDEX(I_COA!$C$6:$C$265,MATCH(A8,I_COA!$A$6:$A$265,0)),"AKUN BARU"))</f>
        <v>Header</v>
      </c>
      <c r="E8" s="34" t="str">
        <f aca="false">IF(D8="Neraca",INDEX(I_COA!$E$6:$E$265,MATCH(A8,I_COA!$A$6:$A$265,0)),"")</f>
        <v/>
      </c>
      <c r="F8" s="34" t="str">
        <f aca="false">IF(D8="LabaRugi",INDEX(I_COA!$D$6:$D$265,MATCH(A8,I_COA!$A$6:$A$265,0)),"")</f>
        <v/>
      </c>
    </row>
    <row r="9" customFormat="false" ht="15" hidden="false" customHeight="false" outlineLevel="0" collapsed="false">
      <c r="A9" s="44" t="n">
        <v>1102001</v>
      </c>
      <c r="B9" s="44" t="s">
        <v>586</v>
      </c>
      <c r="C9" s="42" t="n">
        <v>285078852</v>
      </c>
      <c r="D9" s="34" t="str">
        <f aca="false">IF(A9="","",IFERROR(INDEX(I_COA!$C$6:$C$265,MATCH(A9,I_COA!$A$6:$A$265,0)),"AKUN BARU"))</f>
        <v>Neraca</v>
      </c>
      <c r="E9" s="34" t="str">
        <f aca="false">IF(D9="Neraca",INDEX(I_COA!$E$6:$E$265,MATCH(A9,I_COA!$A$6:$A$265,0)),"")</f>
        <v>Cash and cash equivalents</v>
      </c>
      <c r="F9" s="34" t="str">
        <f aca="false">IF(D9="LabaRugi",INDEX(I_COA!$D$6:$D$265,MATCH(A9,I_COA!$A$6:$A$265,0)),"")</f>
        <v/>
      </c>
    </row>
    <row r="10" customFormat="false" ht="15" hidden="false" customHeight="false" outlineLevel="0" collapsed="false">
      <c r="A10" s="44" t="n">
        <v>1102002</v>
      </c>
      <c r="B10" s="44" t="s">
        <v>598</v>
      </c>
      <c r="C10" s="42" t="n">
        <v>304502378.68</v>
      </c>
      <c r="D10" s="34" t="str">
        <f aca="false">IF(A10="","",IFERROR(INDEX(I_COA!$C$6:$C$265,MATCH(A10,I_COA!$A$6:$A$265,0)),"AKUN BARU"))</f>
        <v>Neraca</v>
      </c>
      <c r="E10" s="34" t="str">
        <f aca="false">IF(D10="Neraca",INDEX(I_COA!$E$6:$E$265,MATCH(A10,I_COA!$A$6:$A$265,0)),"")</f>
        <v>Cash and cash equivalents</v>
      </c>
      <c r="F10" s="34" t="str">
        <f aca="false">IF(D10="LabaRugi",INDEX(I_COA!$D$6:$D$265,MATCH(A10,I_COA!$A$6:$A$265,0)),"")</f>
        <v/>
      </c>
    </row>
    <row r="11" customFormat="false" ht="15" hidden="false" customHeight="false" outlineLevel="0" collapsed="false">
      <c r="A11" s="44" t="n">
        <v>1102003</v>
      </c>
      <c r="B11" s="44" t="s">
        <v>583</v>
      </c>
      <c r="C11" s="42" t="n">
        <v>5260193</v>
      </c>
      <c r="D11" s="34" t="str">
        <f aca="false">IF(A11="","",IFERROR(INDEX(I_COA!$C$6:$C$265,MATCH(A11,I_COA!$A$6:$A$265,0)),"AKUN BARU"))</f>
        <v>Neraca</v>
      </c>
      <c r="E11" s="34" t="str">
        <f aca="false">IF(D11="Neraca",INDEX(I_COA!$E$6:$E$265,MATCH(A11,I_COA!$A$6:$A$265,0)),"")</f>
        <v>Cash and cash equivalents</v>
      </c>
      <c r="F11" s="34" t="str">
        <f aca="false">IF(D11="LabaRugi",INDEX(I_COA!$D$6:$D$265,MATCH(A11,I_COA!$A$6:$A$265,0)),"")</f>
        <v/>
      </c>
    </row>
    <row r="12" customFormat="false" ht="15" hidden="false" customHeight="false" outlineLevel="0" collapsed="false">
      <c r="A12" s="44" t="n">
        <v>1102004</v>
      </c>
      <c r="B12" s="44" t="s">
        <v>2220</v>
      </c>
      <c r="C12" s="42" t="n">
        <v>0</v>
      </c>
      <c r="D12" s="34" t="str">
        <f aca="false">IF(A12="","",IFERROR(INDEX(I_COA!$C$6:$C$265,MATCH(A12,I_COA!$A$6:$A$265,0)),"AKUN BARU"))</f>
        <v>Neraca</v>
      </c>
      <c r="E12" s="34" t="str">
        <f aca="false">IF(D12="Neraca",INDEX(I_COA!$E$6:$E$265,MATCH(A12,I_COA!$A$6:$A$265,0)),"")</f>
        <v>Cash and cash equivalents</v>
      </c>
      <c r="F12" s="34" t="str">
        <f aca="false">IF(D12="LabaRugi",INDEX(I_COA!$D$6:$D$265,MATCH(A12,I_COA!$A$6:$A$265,0)),"")</f>
        <v/>
      </c>
    </row>
    <row r="13" customFormat="false" ht="15" hidden="false" customHeight="false" outlineLevel="0" collapsed="false">
      <c r="A13" s="44" t="n">
        <v>1102005</v>
      </c>
      <c r="B13" s="44" t="s">
        <v>2221</v>
      </c>
      <c r="C13" s="42" t="n">
        <v>0</v>
      </c>
      <c r="D13" s="34" t="str">
        <f aca="false">IF(A13="","",IFERROR(INDEX(I_COA!$C$6:$C$265,MATCH(A13,I_COA!$A$6:$A$265,0)),"AKUN BARU"))</f>
        <v>Neraca</v>
      </c>
      <c r="E13" s="34" t="str">
        <f aca="false">IF(D13="Neraca",INDEX(I_COA!$E$6:$E$265,MATCH(A13,I_COA!$A$6:$A$265,0)),"")</f>
        <v>Cash and cash equivalents</v>
      </c>
      <c r="F13" s="34" t="str">
        <f aca="false">IF(D13="LabaRugi",INDEX(I_COA!$D$6:$D$265,MATCH(A13,I_COA!$A$6:$A$265,0)),"")</f>
        <v/>
      </c>
    </row>
    <row r="14" customFormat="false" ht="15" hidden="false" customHeight="false" outlineLevel="0" collapsed="false">
      <c r="A14" s="44" t="n">
        <v>1102006</v>
      </c>
      <c r="B14" s="44" t="s">
        <v>2222</v>
      </c>
      <c r="C14" s="42" t="n">
        <v>0</v>
      </c>
      <c r="D14" s="34" t="str">
        <f aca="false">IF(A14="","",IFERROR(INDEX(I_COA!$C$6:$C$265,MATCH(A14,I_COA!$A$6:$A$265,0)),"AKUN BARU"))</f>
        <v>Neraca</v>
      </c>
      <c r="E14" s="34" t="str">
        <f aca="false">IF(D14="Neraca",INDEX(I_COA!$E$6:$E$265,MATCH(A14,I_COA!$A$6:$A$265,0)),"")</f>
        <v>Cash and cash equivalents</v>
      </c>
      <c r="F14" s="34" t="str">
        <f aca="false">IF(D14="LabaRugi",INDEX(I_COA!$D$6:$D$265,MATCH(A14,I_COA!$A$6:$A$265,0)),"")</f>
        <v/>
      </c>
    </row>
    <row r="15" customFormat="false" ht="15" hidden="false" customHeight="false" outlineLevel="0" collapsed="false">
      <c r="A15" s="44" t="n">
        <v>1102007</v>
      </c>
      <c r="B15" s="44" t="s">
        <v>2223</v>
      </c>
      <c r="C15" s="42" t="n">
        <v>0</v>
      </c>
      <c r="D15" s="34" t="str">
        <f aca="false">IF(A15="","",IFERROR(INDEX(I_COA!$C$6:$C$265,MATCH(A15,I_COA!$A$6:$A$265,0)),"AKUN BARU"))</f>
        <v>Neraca</v>
      </c>
      <c r="E15" s="34" t="str">
        <f aca="false">IF(D15="Neraca",INDEX(I_COA!$E$6:$E$265,MATCH(A15,I_COA!$A$6:$A$265,0)),"")</f>
        <v>Cash and cash equivalents</v>
      </c>
      <c r="F15" s="34" t="str">
        <f aca="false">IF(D15="LabaRugi",INDEX(I_COA!$D$6:$D$265,MATCH(A15,I_COA!$A$6:$A$265,0)),"")</f>
        <v/>
      </c>
    </row>
    <row r="16" customFormat="false" ht="15" hidden="false" customHeight="false" outlineLevel="0" collapsed="false">
      <c r="A16" s="44" t="n">
        <v>1102008</v>
      </c>
      <c r="B16" s="44" t="s">
        <v>781</v>
      </c>
      <c r="C16" s="42" t="n">
        <v>0</v>
      </c>
      <c r="D16" s="34" t="str">
        <f aca="false">IF(A16="","",IFERROR(INDEX(I_COA!$C$6:$C$265,MATCH(A16,I_COA!$A$6:$A$265,0)),"AKUN BARU"))</f>
        <v>Neraca</v>
      </c>
      <c r="E16" s="34" t="str">
        <f aca="false">IF(D16="Neraca",INDEX(I_COA!$E$6:$E$265,MATCH(A16,I_COA!$A$6:$A$265,0)),"")</f>
        <v>Advance Payment</v>
      </c>
      <c r="F16" s="34" t="str">
        <f aca="false">IF(D16="LabaRugi",INDEX(I_COA!$D$6:$D$265,MATCH(A16,I_COA!$A$6:$A$265,0)),"")</f>
        <v/>
      </c>
    </row>
    <row r="17" customFormat="false" ht="15" hidden="false" customHeight="false" outlineLevel="0" collapsed="false">
      <c r="A17" s="44" t="n">
        <v>1102009</v>
      </c>
      <c r="B17" s="44" t="s">
        <v>2224</v>
      </c>
      <c r="C17" s="42" t="n">
        <v>0</v>
      </c>
      <c r="D17" s="34" t="str">
        <f aca="false">IF(A17="","",IFERROR(INDEX(I_COA!$C$6:$C$265,MATCH(A17,I_COA!$A$6:$A$265,0)),"AKUN BARU"))</f>
        <v>Neraca</v>
      </c>
      <c r="E17" s="34" t="str">
        <f aca="false">IF(D17="Neraca",INDEX(I_COA!$E$6:$E$265,MATCH(A17,I_COA!$A$6:$A$265,0)),"")</f>
        <v>Cash and cash equivalents</v>
      </c>
      <c r="F17" s="34" t="str">
        <f aca="false">IF(D17="LabaRugi",INDEX(I_COA!$D$6:$D$265,MATCH(A17,I_COA!$A$6:$A$265,0)),"")</f>
        <v/>
      </c>
    </row>
    <row r="18" customFormat="false" ht="15" hidden="false" customHeight="false" outlineLevel="0" collapsed="false">
      <c r="A18" s="44" t="n">
        <v>1103</v>
      </c>
      <c r="B18" s="44" t="s">
        <v>2225</v>
      </c>
      <c r="C18" s="42" t="n">
        <v>0</v>
      </c>
      <c r="D18" s="34" t="str">
        <f aca="false">IF(A18="","",IFERROR(INDEX(I_COA!$C$6:$C$265,MATCH(A18,I_COA!$A$6:$A$265,0)),"AKUN BARU"))</f>
        <v>Header</v>
      </c>
      <c r="E18" s="34" t="str">
        <f aca="false">IF(D18="Neraca",INDEX(I_COA!$E$6:$E$265,MATCH(A18,I_COA!$A$6:$A$265,0)),"")</f>
        <v/>
      </c>
      <c r="F18" s="34" t="str">
        <f aca="false">IF(D18="LabaRugi",INDEX(I_COA!$D$6:$D$265,MATCH(A18,I_COA!$A$6:$A$265,0)),"")</f>
        <v/>
      </c>
    </row>
    <row r="19" customFormat="false" ht="15" hidden="false" customHeight="false" outlineLevel="0" collapsed="false">
      <c r="A19" s="44" t="n">
        <v>1103101</v>
      </c>
      <c r="B19" s="44" t="s">
        <v>589</v>
      </c>
      <c r="C19" s="42" t="n">
        <v>310674730</v>
      </c>
      <c r="D19" s="34" t="str">
        <f aca="false">IF(A19="","",IFERROR(INDEX(I_COA!$C$6:$C$265,MATCH(A19,I_COA!$A$6:$A$265,0)),"AKUN BARU"))</f>
        <v>Neraca</v>
      </c>
      <c r="E19" s="34" t="str">
        <f aca="false">IF(D19="Neraca",INDEX(I_COA!$E$6:$E$265,MATCH(A19,I_COA!$A$6:$A$265,0)),"")</f>
        <v>Trade Receivables - Third Parties</v>
      </c>
      <c r="F19" s="34" t="str">
        <f aca="false">IF(D19="LabaRugi",INDEX(I_COA!$D$6:$D$265,MATCH(A19,I_COA!$A$6:$A$265,0)),"")</f>
        <v/>
      </c>
    </row>
    <row r="20" customFormat="false" ht="15" hidden="false" customHeight="false" outlineLevel="0" collapsed="false">
      <c r="A20" s="44" t="n">
        <v>1103102</v>
      </c>
      <c r="B20" s="44" t="s">
        <v>2226</v>
      </c>
      <c r="C20" s="42" t="n">
        <v>0</v>
      </c>
      <c r="D20" s="34" t="str">
        <f aca="false">IF(A20="","",IFERROR(INDEX(I_COA!$C$6:$C$265,MATCH(A20,I_COA!$A$6:$A$265,0)),"AKUN BARU"))</f>
        <v>Neraca</v>
      </c>
      <c r="E20" s="34" t="str">
        <f aca="false">IF(D20="Neraca",INDEX(I_COA!$E$6:$E$265,MATCH(A20,I_COA!$A$6:$A$265,0)),"")</f>
        <v>Trade Receivables - Related Parties</v>
      </c>
      <c r="F20" s="34" t="str">
        <f aca="false">IF(D20="LabaRugi",INDEX(I_COA!$D$6:$D$265,MATCH(A20,I_COA!$A$6:$A$265,0)),"")</f>
        <v/>
      </c>
    </row>
    <row r="21" customFormat="false" ht="15" hidden="false" customHeight="false" outlineLevel="0" collapsed="false">
      <c r="A21" s="44" t="n">
        <v>1103103</v>
      </c>
      <c r="B21" s="44" t="s">
        <v>208</v>
      </c>
      <c r="C21" s="42" t="n">
        <v>0</v>
      </c>
      <c r="D21" s="34" t="str">
        <f aca="false">IF(A21="","",IFERROR(INDEX(I_COA!$C$6:$C$265,MATCH(A21,I_COA!$A$6:$A$265,0)),"AKUN BARU"))</f>
        <v>Neraca</v>
      </c>
      <c r="E21" s="34" t="str">
        <f aca="false">IF(D21="Neraca",INDEX(I_COA!$E$6:$E$265,MATCH(A21,I_COA!$A$6:$A$265,0)),"")</f>
        <v>Other Receivable - Third Party</v>
      </c>
      <c r="F21" s="34" t="str">
        <f aca="false">IF(D21="LabaRugi",INDEX(I_COA!$D$6:$D$265,MATCH(A21,I_COA!$A$6:$A$265,0)),"")</f>
        <v/>
      </c>
    </row>
    <row r="22" customFormat="false" ht="15" hidden="false" customHeight="false" outlineLevel="0" collapsed="false">
      <c r="A22" s="44" t="n">
        <v>1103104</v>
      </c>
      <c r="B22" s="44" t="s">
        <v>2227</v>
      </c>
      <c r="C22" s="42" t="n">
        <v>0</v>
      </c>
      <c r="D22" s="34" t="str">
        <f aca="false">IF(A22="","",IFERROR(INDEX(I_COA!$C$6:$C$265,MATCH(A22,I_COA!$A$6:$A$265,0)),"AKUN BARU"))</f>
        <v>Neraca</v>
      </c>
      <c r="E22" s="34" t="str">
        <f aca="false">IF(D22="Neraca",INDEX(I_COA!$E$6:$E$265,MATCH(A22,I_COA!$A$6:$A$265,0)),"")</f>
        <v>Other Receivable - Affiliated Party</v>
      </c>
      <c r="F22" s="34" t="str">
        <f aca="false">IF(D22="LabaRugi",INDEX(I_COA!$D$6:$D$265,MATCH(A22,I_COA!$A$6:$A$265,0)),"")</f>
        <v/>
      </c>
    </row>
    <row r="23" customFormat="false" ht="15" hidden="false" customHeight="false" outlineLevel="0" collapsed="false">
      <c r="A23" s="44" t="n">
        <v>1103105</v>
      </c>
      <c r="B23" s="44" t="s">
        <v>2228</v>
      </c>
      <c r="C23" s="42" t="n">
        <v>0</v>
      </c>
      <c r="D23" s="34" t="str">
        <f aca="false">IF(A23="","",IFERROR(INDEX(I_COA!$C$6:$C$265,MATCH(A23,I_COA!$A$6:$A$265,0)),"AKUN BARU"))</f>
        <v>Neraca</v>
      </c>
      <c r="E23" s="34" t="str">
        <f aca="false">IF(D23="Neraca",INDEX(I_COA!$E$6:$E$265,MATCH(A23,I_COA!$A$6:$A$265,0)),"")</f>
        <v>Other Receivable - Third Party</v>
      </c>
      <c r="F23" s="34" t="str">
        <f aca="false">IF(D23="LabaRugi",INDEX(I_COA!$D$6:$D$265,MATCH(A23,I_COA!$A$6:$A$265,0)),"")</f>
        <v/>
      </c>
    </row>
    <row r="24" customFormat="false" ht="15" hidden="false" customHeight="false" outlineLevel="0" collapsed="false">
      <c r="A24" s="44" t="n">
        <v>1103106</v>
      </c>
      <c r="B24" s="44" t="s">
        <v>2229</v>
      </c>
      <c r="C24" s="42" t="n">
        <v>0</v>
      </c>
      <c r="D24" s="34" t="str">
        <f aca="false">IF(A24="","",IFERROR(INDEX(I_COA!$C$6:$C$265,MATCH(A24,I_COA!$A$6:$A$265,0)),"AKUN BARU"))</f>
        <v>Neraca</v>
      </c>
      <c r="E24" s="34" t="str">
        <f aca="false">IF(D24="Neraca",INDEX(I_COA!$E$6:$E$265,MATCH(A24,I_COA!$A$6:$A$265,0)),"")</f>
        <v>Other Receivable - Third Party</v>
      </c>
      <c r="F24" s="34" t="str">
        <f aca="false">IF(D24="LabaRugi",INDEX(I_COA!$D$6:$D$265,MATCH(A24,I_COA!$A$6:$A$265,0)),"")</f>
        <v/>
      </c>
    </row>
    <row r="25" customFormat="false" ht="15" hidden="false" customHeight="false" outlineLevel="0" collapsed="false">
      <c r="A25" s="44" t="n">
        <v>1103120</v>
      </c>
      <c r="B25" s="44" t="s">
        <v>640</v>
      </c>
      <c r="C25" s="42" t="n">
        <v>1881947.55</v>
      </c>
      <c r="D25" s="34" t="str">
        <f aca="false">IF(A25="","",IFERROR(INDEX(I_COA!$C$6:$C$265,MATCH(A25,I_COA!$A$6:$A$265,0)),"AKUN BARU"))</f>
        <v>Neraca</v>
      </c>
      <c r="E25" s="34" t="str">
        <f aca="false">IF(D25="Neraca",INDEX(I_COA!$E$6:$E$265,MATCH(A25,I_COA!$A$6:$A$265,0)),"")</f>
        <v>Advance Payment</v>
      </c>
      <c r="F25" s="34" t="str">
        <f aca="false">IF(D25="LabaRugi",INDEX(I_COA!$D$6:$D$265,MATCH(A25,I_COA!$A$6:$A$265,0)),"")</f>
        <v/>
      </c>
    </row>
    <row r="26" customFormat="false" ht="15" hidden="false" customHeight="false" outlineLevel="0" collapsed="false">
      <c r="A26" s="44" t="n">
        <v>1103121</v>
      </c>
      <c r="B26" s="44" t="s">
        <v>685</v>
      </c>
      <c r="C26" s="42" t="n">
        <v>1470162550</v>
      </c>
      <c r="D26" s="34" t="str">
        <f aca="false">IF(A26="","",IFERROR(INDEX(I_COA!$C$6:$C$265,MATCH(A26,I_COA!$A$6:$A$265,0)),"AKUN BARU"))</f>
        <v>Neraca</v>
      </c>
      <c r="E26" s="34" t="str">
        <f aca="false">IF(D26="Neraca",INDEX(I_COA!$E$6:$E$265,MATCH(A26,I_COA!$A$6:$A$265,0)),"")</f>
        <v>Advance Payment</v>
      </c>
      <c r="F26" s="34" t="str">
        <f aca="false">IF(D26="LabaRugi",INDEX(I_COA!$D$6:$D$265,MATCH(A26,I_COA!$A$6:$A$265,0)),"")</f>
        <v/>
      </c>
    </row>
    <row r="27" customFormat="false" ht="15" hidden="false" customHeight="false" outlineLevel="0" collapsed="false">
      <c r="A27" s="44" t="n">
        <v>1103122</v>
      </c>
      <c r="B27" s="44" t="s">
        <v>2230</v>
      </c>
      <c r="C27" s="42" t="n">
        <v>0</v>
      </c>
      <c r="D27" s="34" t="str">
        <f aca="false">IF(A27="","",IFERROR(INDEX(I_COA!$C$6:$C$265,MATCH(A27,I_COA!$A$6:$A$265,0)),"AKUN BARU"))</f>
        <v>Neraca</v>
      </c>
      <c r="E27" s="34" t="str">
        <f aca="false">IF(D27="Neraca",INDEX(I_COA!$E$6:$E$265,MATCH(A27,I_COA!$A$6:$A$265,0)),"")</f>
        <v>Other Receivable - Third Party</v>
      </c>
      <c r="F27" s="34" t="str">
        <f aca="false">IF(D27="LabaRugi",INDEX(I_COA!$D$6:$D$265,MATCH(A27,I_COA!$A$6:$A$265,0)),"")</f>
        <v/>
      </c>
    </row>
    <row r="28" customFormat="false" ht="15" hidden="false" customHeight="false" outlineLevel="0" collapsed="false">
      <c r="A28" s="44" t="n">
        <v>1103123</v>
      </c>
      <c r="B28" s="44" t="s">
        <v>1288</v>
      </c>
      <c r="C28" s="42" t="n">
        <v>0</v>
      </c>
      <c r="D28" s="34" t="str">
        <f aca="false">IF(A28="","",IFERROR(INDEX(I_COA!$C$6:$C$265,MATCH(A28,I_COA!$A$6:$A$265,0)),"AKUN BARU"))</f>
        <v>Neraca</v>
      </c>
      <c r="E28" s="34" t="str">
        <f aca="false">IF(D28="Neraca",INDEX(I_COA!$E$6:$E$265,MATCH(A28,I_COA!$A$6:$A$265,0)),"")</f>
        <v>Trade Receivables - Third Parties</v>
      </c>
      <c r="F28" s="34" t="str">
        <f aca="false">IF(D28="LabaRugi",INDEX(I_COA!$D$6:$D$265,MATCH(A28,I_COA!$A$6:$A$265,0)),"")</f>
        <v/>
      </c>
    </row>
    <row r="29" customFormat="false" ht="15" hidden="false" customHeight="false" outlineLevel="0" collapsed="false">
      <c r="A29" s="44" t="n">
        <v>1104</v>
      </c>
      <c r="B29" s="44" t="s">
        <v>2231</v>
      </c>
      <c r="C29" s="42" t="n">
        <v>0</v>
      </c>
      <c r="D29" s="34" t="str">
        <f aca="false">IF(A29="","",IFERROR(INDEX(I_COA!$C$6:$C$265,MATCH(A29,I_COA!$A$6:$A$265,0)),"AKUN BARU"))</f>
        <v>Header</v>
      </c>
      <c r="E29" s="34" t="str">
        <f aca="false">IF(D29="Neraca",INDEX(I_COA!$E$6:$E$265,MATCH(A29,I_COA!$A$6:$A$265,0)),"")</f>
        <v/>
      </c>
      <c r="F29" s="34" t="str">
        <f aca="false">IF(D29="LabaRugi",INDEX(I_COA!$D$6:$D$265,MATCH(A29,I_COA!$A$6:$A$265,0)),"")</f>
        <v/>
      </c>
    </row>
    <row r="30" customFormat="false" ht="15" hidden="false" customHeight="false" outlineLevel="0" collapsed="false">
      <c r="A30" s="44" t="n">
        <v>1104001</v>
      </c>
      <c r="B30" s="44" t="s">
        <v>2232</v>
      </c>
      <c r="C30" s="42" t="n">
        <v>18963944.49</v>
      </c>
      <c r="D30" s="34" t="str">
        <f aca="false">IF(A30="","",IFERROR(INDEX(I_COA!$C$6:$C$265,MATCH(A30,I_COA!$A$6:$A$265,0)),"AKUN BARU"))</f>
        <v>Neraca</v>
      </c>
      <c r="E30" s="34" t="str">
        <f aca="false">IF(D30="Neraca",INDEX(I_COA!$E$6:$E$265,MATCH(A30,I_COA!$A$6:$A$265,0)),"")</f>
        <v>Inventory - Product</v>
      </c>
      <c r="F30" s="34" t="str">
        <f aca="false">IF(D30="LabaRugi",INDEX(I_COA!$D$6:$D$265,MATCH(A30,I_COA!$A$6:$A$265,0)),"")</f>
        <v/>
      </c>
    </row>
    <row r="31" customFormat="false" ht="15" hidden="false" customHeight="false" outlineLevel="0" collapsed="false">
      <c r="A31" s="44" t="n">
        <v>1104002</v>
      </c>
      <c r="B31" s="44" t="s">
        <v>601</v>
      </c>
      <c r="C31" s="42" t="n">
        <v>0.01</v>
      </c>
      <c r="D31" s="34" t="str">
        <f aca="false">IF(A31="","",IFERROR(INDEX(I_COA!$C$6:$C$265,MATCH(A31,I_COA!$A$6:$A$265,0)),"AKUN BARU"))</f>
        <v>Neraca</v>
      </c>
      <c r="E31" s="34" t="str">
        <f aca="false">IF(D31="Neraca",INDEX(I_COA!$E$6:$E$265,MATCH(A31,I_COA!$A$6:$A$265,0)),"")</f>
        <v>Inventory - Product</v>
      </c>
      <c r="F31" s="34" t="str">
        <f aca="false">IF(D31="LabaRugi",INDEX(I_COA!$D$6:$D$265,MATCH(A31,I_COA!$A$6:$A$265,0)),"")</f>
        <v/>
      </c>
    </row>
    <row r="32" customFormat="false" ht="15" hidden="false" customHeight="false" outlineLevel="0" collapsed="false">
      <c r="A32" s="44" t="n">
        <v>1104003</v>
      </c>
      <c r="B32" s="44" t="s">
        <v>613</v>
      </c>
      <c r="C32" s="42" t="n">
        <v>646895042.62</v>
      </c>
      <c r="D32" s="34" t="str">
        <f aca="false">IF(A32="","",IFERROR(INDEX(I_COA!$C$6:$C$265,MATCH(A32,I_COA!$A$6:$A$265,0)),"AKUN BARU"))</f>
        <v>Neraca</v>
      </c>
      <c r="E32" s="34" t="str">
        <f aca="false">IF(D32="Neraca",INDEX(I_COA!$E$6:$E$265,MATCH(A32,I_COA!$A$6:$A$265,0)),"")</f>
        <v>Inventory - Product</v>
      </c>
      <c r="F32" s="34" t="str">
        <f aca="false">IF(D32="LabaRugi",INDEX(I_COA!$D$6:$D$265,MATCH(A32,I_COA!$A$6:$A$265,0)),"")</f>
        <v/>
      </c>
    </row>
    <row r="33" customFormat="false" ht="15" hidden="false" customHeight="false" outlineLevel="0" collapsed="false">
      <c r="A33" s="44" t="n">
        <v>1104004</v>
      </c>
      <c r="B33" s="44" t="s">
        <v>917</v>
      </c>
      <c r="C33" s="42" t="n">
        <v>105335657.09</v>
      </c>
      <c r="D33" s="34" t="str">
        <f aca="false">IF(A33="","",IFERROR(INDEX(I_COA!$C$6:$C$265,MATCH(A33,I_COA!$A$6:$A$265,0)),"AKUN BARU"))</f>
        <v>Neraca</v>
      </c>
      <c r="E33" s="34" t="str">
        <f aca="false">IF(D33="Neraca",INDEX(I_COA!$E$6:$E$265,MATCH(A33,I_COA!$A$6:$A$265,0)),"")</f>
        <v>Inventory - Product</v>
      </c>
      <c r="F33" s="34" t="str">
        <f aca="false">IF(D33="LabaRugi",INDEX(I_COA!$D$6:$D$265,MATCH(A33,I_COA!$A$6:$A$265,0)),"")</f>
        <v/>
      </c>
    </row>
    <row r="34" customFormat="false" ht="15" hidden="false" customHeight="false" outlineLevel="0" collapsed="false">
      <c r="A34" s="44" t="n">
        <v>1104005</v>
      </c>
      <c r="B34" s="44" t="s">
        <v>1506</v>
      </c>
      <c r="C34" s="42" t="n">
        <v>0</v>
      </c>
      <c r="D34" s="34" t="str">
        <f aca="false">IF(A34="","",IFERROR(INDEX(I_COA!$C$6:$C$265,MATCH(A34,I_COA!$A$6:$A$265,0)),"AKUN BARU"))</f>
        <v>Neraca</v>
      </c>
      <c r="E34" s="34" t="str">
        <f aca="false">IF(D34="Neraca",INDEX(I_COA!$E$6:$E$265,MATCH(A34,I_COA!$A$6:$A$265,0)),"")</f>
        <v>Inventory - Product</v>
      </c>
      <c r="F34" s="34" t="str">
        <f aca="false">IF(D34="LabaRugi",INDEX(I_COA!$D$6:$D$265,MATCH(A34,I_COA!$A$6:$A$265,0)),"")</f>
        <v/>
      </c>
    </row>
    <row r="35" customFormat="false" ht="15" hidden="false" customHeight="false" outlineLevel="0" collapsed="false">
      <c r="A35" s="44" t="n">
        <v>1104006</v>
      </c>
      <c r="B35" s="44" t="s">
        <v>2233</v>
      </c>
      <c r="C35" s="42" t="n">
        <v>2124560080.04</v>
      </c>
      <c r="D35" s="34" t="str">
        <f aca="false">IF(A35="","",IFERROR(INDEX(I_COA!$C$6:$C$265,MATCH(A35,I_COA!$A$6:$A$265,0)),"AKUN BARU"))</f>
        <v>Neraca</v>
      </c>
      <c r="E35" s="34" t="str">
        <f aca="false">IF(D35="Neraca",INDEX(I_COA!$E$6:$E$265,MATCH(A35,I_COA!$A$6:$A$265,0)),"")</f>
        <v>Inventory - Trading</v>
      </c>
      <c r="F35" s="34" t="str">
        <f aca="false">IF(D35="LabaRugi",INDEX(I_COA!$D$6:$D$265,MATCH(A35,I_COA!$A$6:$A$265,0)),"")</f>
        <v/>
      </c>
    </row>
    <row r="36" customFormat="false" ht="15" hidden="false" customHeight="false" outlineLevel="0" collapsed="false">
      <c r="A36" s="44" t="n">
        <v>1105</v>
      </c>
      <c r="B36" s="44" t="s">
        <v>2234</v>
      </c>
      <c r="C36" s="42" t="n">
        <v>0</v>
      </c>
      <c r="D36" s="34" t="str">
        <f aca="false">IF(A36="","",IFERROR(INDEX(I_COA!$C$6:$C$265,MATCH(A36,I_COA!$A$6:$A$265,0)),"AKUN BARU"))</f>
        <v>Header</v>
      </c>
      <c r="E36" s="34" t="str">
        <f aca="false">IF(D36="Neraca",INDEX(I_COA!$E$6:$E$265,MATCH(A36,I_COA!$A$6:$A$265,0)),"")</f>
        <v/>
      </c>
      <c r="F36" s="34" t="str">
        <f aca="false">IF(D36="LabaRugi",INDEX(I_COA!$D$6:$D$265,MATCH(A36,I_COA!$A$6:$A$265,0)),"")</f>
        <v/>
      </c>
    </row>
    <row r="37" customFormat="false" ht="15" hidden="false" customHeight="false" outlineLevel="0" collapsed="false">
      <c r="A37" s="44" t="n">
        <v>1105001</v>
      </c>
      <c r="B37" s="44" t="s">
        <v>1899</v>
      </c>
      <c r="C37" s="42" t="n">
        <v>0</v>
      </c>
      <c r="D37" s="34" t="str">
        <f aca="false">IF(A37="","",IFERROR(INDEX(I_COA!$C$6:$C$265,MATCH(A37,I_COA!$A$6:$A$265,0)),"AKUN BARU"))</f>
        <v>Neraca</v>
      </c>
      <c r="E37" s="34" t="str">
        <f aca="false">IF(D37="Neraca",INDEX(I_COA!$E$6:$E$265,MATCH(A37,I_COA!$A$6:$A$265,0)),"")</f>
        <v>Prepaid Expenses</v>
      </c>
      <c r="F37" s="34" t="str">
        <f aca="false">IF(D37="LabaRugi",INDEX(I_COA!$D$6:$D$265,MATCH(A37,I_COA!$A$6:$A$265,0)),"")</f>
        <v/>
      </c>
    </row>
    <row r="38" customFormat="false" ht="15" hidden="false" customHeight="false" outlineLevel="0" collapsed="false">
      <c r="A38" s="44" t="n">
        <v>1105002</v>
      </c>
      <c r="B38" s="44" t="s">
        <v>2235</v>
      </c>
      <c r="C38" s="42" t="n">
        <v>0</v>
      </c>
      <c r="D38" s="34" t="str">
        <f aca="false">IF(A38="","",IFERROR(INDEX(I_COA!$C$6:$C$265,MATCH(A38,I_COA!$A$6:$A$265,0)),"AKUN BARU"))</f>
        <v>Neraca</v>
      </c>
      <c r="E38" s="34" t="str">
        <f aca="false">IF(D38="Neraca",INDEX(I_COA!$E$6:$E$265,MATCH(A38,I_COA!$A$6:$A$265,0)),"")</f>
        <v>Prepaid Expenses</v>
      </c>
      <c r="F38" s="34" t="str">
        <f aca="false">IF(D38="LabaRugi",INDEX(I_COA!$D$6:$D$265,MATCH(A38,I_COA!$A$6:$A$265,0)),"")</f>
        <v/>
      </c>
    </row>
    <row r="39" customFormat="false" ht="15" hidden="false" customHeight="false" outlineLevel="0" collapsed="false">
      <c r="A39" s="44" t="n">
        <v>1105003</v>
      </c>
      <c r="B39" s="44" t="s">
        <v>2236</v>
      </c>
      <c r="C39" s="42" t="n">
        <v>0</v>
      </c>
      <c r="D39" s="34" t="str">
        <f aca="false">IF(A39="","",IFERROR(INDEX(I_COA!$C$6:$C$265,MATCH(A39,I_COA!$A$6:$A$265,0)),"AKUN BARU"))</f>
        <v>Neraca</v>
      </c>
      <c r="E39" s="34" t="str">
        <f aca="false">IF(D39="Neraca",INDEX(I_COA!$E$6:$E$265,MATCH(A39,I_COA!$A$6:$A$265,0)),"")</f>
        <v>Prepaid Expenses</v>
      </c>
      <c r="F39" s="34" t="str">
        <f aca="false">IF(D39="LabaRugi",INDEX(I_COA!$D$6:$D$265,MATCH(A39,I_COA!$A$6:$A$265,0)),"")</f>
        <v/>
      </c>
    </row>
    <row r="40" customFormat="false" ht="15" hidden="false" customHeight="false" outlineLevel="0" collapsed="false">
      <c r="A40" s="44" t="n">
        <v>1105004</v>
      </c>
      <c r="B40" s="44" t="s">
        <v>2237</v>
      </c>
      <c r="C40" s="42" t="n">
        <v>79400000</v>
      </c>
      <c r="D40" s="34" t="str">
        <f aca="false">IF(A40="","",IFERROR(INDEX(I_COA!$C$6:$C$265,MATCH(A40,I_COA!$A$6:$A$265,0)),"AKUN BARU"))</f>
        <v>Neraca</v>
      </c>
      <c r="E40" s="34" t="str">
        <f aca="false">IF(D40="Neraca",INDEX(I_COA!$E$6:$E$265,MATCH(A40,I_COA!$A$6:$A$265,0)),"")</f>
        <v>Prepaid Expenses</v>
      </c>
      <c r="F40" s="34" t="str">
        <f aca="false">IF(D40="LabaRugi",INDEX(I_COA!$D$6:$D$265,MATCH(A40,I_COA!$A$6:$A$265,0)),"")</f>
        <v/>
      </c>
    </row>
    <row r="41" customFormat="false" ht="15" hidden="false" customHeight="false" outlineLevel="0" collapsed="false">
      <c r="A41" s="44" t="n">
        <v>1106</v>
      </c>
      <c r="B41" s="44" t="s">
        <v>213</v>
      </c>
      <c r="C41" s="42" t="n">
        <v>0</v>
      </c>
      <c r="D41" s="34" t="str">
        <f aca="false">IF(A41="","",IFERROR(INDEX(I_COA!$C$6:$C$265,MATCH(A41,I_COA!$A$6:$A$265,0)),"AKUN BARU"))</f>
        <v>Header</v>
      </c>
      <c r="E41" s="34" t="str">
        <f aca="false">IF(D41="Neraca",INDEX(I_COA!$E$6:$E$265,MATCH(A41,I_COA!$A$6:$A$265,0)),"")</f>
        <v/>
      </c>
      <c r="F41" s="34" t="str">
        <f aca="false">IF(D41="LabaRugi",INDEX(I_COA!$D$6:$D$265,MATCH(A41,I_COA!$A$6:$A$265,0)),"")</f>
        <v/>
      </c>
    </row>
    <row r="42" customFormat="false" ht="15" hidden="false" customHeight="false" outlineLevel="0" collapsed="false">
      <c r="A42" s="44" t="n">
        <v>1106001</v>
      </c>
      <c r="B42" s="44" t="s">
        <v>720</v>
      </c>
      <c r="C42" s="42" t="n">
        <v>123668554.67</v>
      </c>
      <c r="D42" s="34" t="str">
        <f aca="false">IF(A42="","",IFERROR(INDEX(I_COA!$C$6:$C$265,MATCH(A42,I_COA!$A$6:$A$265,0)),"AKUN BARU"))</f>
        <v>Neraca</v>
      </c>
      <c r="E42" s="34" t="str">
        <f aca="false">IF(D42="Neraca",INDEX(I_COA!$E$6:$E$265,MATCH(A42,I_COA!$A$6:$A$265,0)),"")</f>
        <v>Prepaid Tax</v>
      </c>
      <c r="F42" s="34" t="str">
        <f aca="false">IF(D42="LabaRugi",INDEX(I_COA!$D$6:$D$265,MATCH(A42,I_COA!$A$6:$A$265,0)),"")</f>
        <v/>
      </c>
    </row>
    <row r="43" customFormat="false" ht="15" hidden="false" customHeight="false" outlineLevel="0" collapsed="false">
      <c r="A43" s="44" t="n">
        <v>1106002</v>
      </c>
      <c r="B43" s="44" t="s">
        <v>2238</v>
      </c>
      <c r="C43" s="42" t="n">
        <v>0</v>
      </c>
      <c r="D43" s="34" t="str">
        <f aca="false">IF(A43="","",IFERROR(INDEX(I_COA!$C$6:$C$265,MATCH(A43,I_COA!$A$6:$A$265,0)),"AKUN BARU"))</f>
        <v>Neraca</v>
      </c>
      <c r="E43" s="34" t="str">
        <f aca="false">IF(D43="Neraca",INDEX(I_COA!$E$6:$E$265,MATCH(A43,I_COA!$A$6:$A$265,0)),"")</f>
        <v>Prepaid Tax</v>
      </c>
      <c r="F43" s="34" t="str">
        <f aca="false">IF(D43="LabaRugi",INDEX(I_COA!$D$6:$D$265,MATCH(A43,I_COA!$A$6:$A$265,0)),"")</f>
        <v/>
      </c>
    </row>
    <row r="44" customFormat="false" ht="15" hidden="false" customHeight="false" outlineLevel="0" collapsed="false">
      <c r="A44" s="44" t="n">
        <v>1106003</v>
      </c>
      <c r="B44" s="44" t="s">
        <v>2239</v>
      </c>
      <c r="C44" s="42" t="n">
        <v>0</v>
      </c>
      <c r="D44" s="34" t="str">
        <f aca="false">IF(A44="","",IFERROR(INDEX(I_COA!$C$6:$C$265,MATCH(A44,I_COA!$A$6:$A$265,0)),"AKUN BARU"))</f>
        <v>Neraca</v>
      </c>
      <c r="E44" s="34" t="str">
        <f aca="false">IF(D44="Neraca",INDEX(I_COA!$E$6:$E$265,MATCH(A44,I_COA!$A$6:$A$265,0)),"")</f>
        <v>Prepaid Tax</v>
      </c>
      <c r="F44" s="34" t="str">
        <f aca="false">IF(D44="LabaRugi",INDEX(I_COA!$D$6:$D$265,MATCH(A44,I_COA!$A$6:$A$265,0)),"")</f>
        <v/>
      </c>
    </row>
    <row r="45" customFormat="false" ht="15" hidden="false" customHeight="false" outlineLevel="0" collapsed="false">
      <c r="A45" s="44" t="n">
        <v>1106004</v>
      </c>
      <c r="B45" s="44" t="s">
        <v>2240</v>
      </c>
      <c r="C45" s="42" t="n">
        <v>0</v>
      </c>
      <c r="D45" s="34" t="str">
        <f aca="false">IF(A45="","",IFERROR(INDEX(I_COA!$C$6:$C$265,MATCH(A45,I_COA!$A$6:$A$265,0)),"AKUN BARU"))</f>
        <v>Neraca</v>
      </c>
      <c r="E45" s="34" t="str">
        <f aca="false">IF(D45="Neraca",INDEX(I_COA!$E$6:$E$265,MATCH(A45,I_COA!$A$6:$A$265,0)),"")</f>
        <v>Prepaid Tax</v>
      </c>
      <c r="F45" s="34" t="str">
        <f aca="false">IF(D45="LabaRugi",INDEX(I_COA!$D$6:$D$265,MATCH(A45,I_COA!$A$6:$A$265,0)),"")</f>
        <v/>
      </c>
    </row>
    <row r="46" customFormat="false" ht="15" hidden="false" customHeight="false" outlineLevel="0" collapsed="false">
      <c r="A46" s="44" t="n">
        <v>1106005</v>
      </c>
      <c r="B46" s="44" t="s">
        <v>2241</v>
      </c>
      <c r="C46" s="42" t="n">
        <v>0</v>
      </c>
      <c r="D46" s="34" t="str">
        <f aca="false">IF(A46="","",IFERROR(INDEX(I_COA!$C$6:$C$265,MATCH(A46,I_COA!$A$6:$A$265,0)),"AKUN BARU"))</f>
        <v>Neraca</v>
      </c>
      <c r="E46" s="34" t="str">
        <f aca="false">IF(D46="Neraca",INDEX(I_COA!$E$6:$E$265,MATCH(A46,I_COA!$A$6:$A$265,0)),"")</f>
        <v>Prepaid Tax</v>
      </c>
      <c r="F46" s="34" t="str">
        <f aca="false">IF(D46="LabaRugi",INDEX(I_COA!$D$6:$D$265,MATCH(A46,I_COA!$A$6:$A$265,0)),"")</f>
        <v/>
      </c>
    </row>
    <row r="47" customFormat="false" ht="15" hidden="false" customHeight="false" outlineLevel="0" collapsed="false">
      <c r="A47" s="44" t="n">
        <v>1106006</v>
      </c>
      <c r="B47" s="44" t="s">
        <v>2242</v>
      </c>
      <c r="C47" s="42" t="n">
        <v>0</v>
      </c>
      <c r="D47" s="34" t="str">
        <f aca="false">IF(A47="","",IFERROR(INDEX(I_COA!$C$6:$C$265,MATCH(A47,I_COA!$A$6:$A$265,0)),"AKUN BARU"))</f>
        <v>Neraca</v>
      </c>
      <c r="E47" s="34" t="str">
        <f aca="false">IF(D47="Neraca",INDEX(I_COA!$E$6:$E$265,MATCH(A47,I_COA!$A$6:$A$265,0)),"")</f>
        <v>Prepaid Tax</v>
      </c>
      <c r="F47" s="34" t="str">
        <f aca="false">IF(D47="LabaRugi",INDEX(I_COA!$D$6:$D$265,MATCH(A47,I_COA!$A$6:$A$265,0)),"")</f>
        <v/>
      </c>
    </row>
    <row r="48" customFormat="false" ht="15" hidden="false" customHeight="false" outlineLevel="0" collapsed="false">
      <c r="A48" s="44" t="n">
        <v>1107</v>
      </c>
      <c r="B48" s="44" t="s">
        <v>2243</v>
      </c>
      <c r="C48" s="42" t="n">
        <v>0</v>
      </c>
      <c r="D48" s="34" t="str">
        <f aca="false">IF(A48="","",IFERROR(INDEX(I_COA!$C$6:$C$265,MATCH(A48,I_COA!$A$6:$A$265,0)),"AKUN BARU"))</f>
        <v>Header</v>
      </c>
      <c r="E48" s="34" t="str">
        <f aca="false">IF(D48="Neraca",INDEX(I_COA!$E$6:$E$265,MATCH(A48,I_COA!$A$6:$A$265,0)),"")</f>
        <v/>
      </c>
      <c r="F48" s="34" t="str">
        <f aca="false">IF(D48="LabaRugi",INDEX(I_COA!$D$6:$D$265,MATCH(A48,I_COA!$A$6:$A$265,0)),"")</f>
        <v/>
      </c>
    </row>
    <row r="49" customFormat="false" ht="15" hidden="false" customHeight="false" outlineLevel="0" collapsed="false">
      <c r="A49" s="44" t="n">
        <v>1107002</v>
      </c>
      <c r="B49" s="44" t="s">
        <v>2244</v>
      </c>
      <c r="C49" s="42" t="n">
        <v>0</v>
      </c>
      <c r="D49" s="34" t="str">
        <f aca="false">IF(A49="","",IFERROR(INDEX(I_COA!$C$6:$C$265,MATCH(A49,I_COA!$A$6:$A$265,0)),"AKUN BARU"))</f>
        <v>Neraca</v>
      </c>
      <c r="E49" s="34" t="str">
        <f aca="false">IF(D49="Neraca",INDEX(I_COA!$E$6:$E$265,MATCH(A49,I_COA!$A$6:$A$265,0)),"")</f>
        <v>Other assets</v>
      </c>
      <c r="F49" s="34" t="str">
        <f aca="false">IF(D49="LabaRugi",INDEX(I_COA!$D$6:$D$265,MATCH(A49,I_COA!$A$6:$A$265,0)),"")</f>
        <v/>
      </c>
    </row>
    <row r="50" customFormat="false" ht="15" hidden="false" customHeight="false" outlineLevel="0" collapsed="false">
      <c r="A50" s="44" t="n">
        <v>1108</v>
      </c>
      <c r="B50" s="44" t="s">
        <v>2245</v>
      </c>
      <c r="C50" s="42" t="n">
        <v>0</v>
      </c>
      <c r="D50" s="34" t="str">
        <f aca="false">IF(A50="","",IFERROR(INDEX(I_COA!$C$6:$C$265,MATCH(A50,I_COA!$A$6:$A$265,0)),"AKUN BARU"))</f>
        <v>Header</v>
      </c>
      <c r="E50" s="34" t="str">
        <f aca="false">IF(D50="Neraca",INDEX(I_COA!$E$6:$E$265,MATCH(A50,I_COA!$A$6:$A$265,0)),"")</f>
        <v/>
      </c>
      <c r="F50" s="34" t="str">
        <f aca="false">IF(D50="LabaRugi",INDEX(I_COA!$D$6:$D$265,MATCH(A50,I_COA!$A$6:$A$265,0)),"")</f>
        <v/>
      </c>
    </row>
    <row r="51" customFormat="false" ht="15" hidden="false" customHeight="false" outlineLevel="0" collapsed="false">
      <c r="A51" s="44" t="n">
        <v>1108001</v>
      </c>
      <c r="B51" s="44" t="s">
        <v>2246</v>
      </c>
      <c r="C51" s="42" t="n">
        <v>0</v>
      </c>
      <c r="D51" s="34" t="str">
        <f aca="false">IF(A51="","",IFERROR(INDEX(I_COA!$C$6:$C$265,MATCH(A51,I_COA!$A$6:$A$265,0)),"AKUN BARU"))</f>
        <v>Neraca</v>
      </c>
      <c r="E51" s="34" t="str">
        <f aca="false">IF(D51="Neraca",INDEX(I_COA!$E$6:$E$265,MATCH(A51,I_COA!$A$6:$A$265,0)),"")</f>
        <v>Fixed assets - cost</v>
      </c>
      <c r="F51" s="34" t="str">
        <f aca="false">IF(D51="LabaRugi",INDEX(I_COA!$D$6:$D$265,MATCH(A51,I_COA!$A$6:$A$265,0)),"")</f>
        <v/>
      </c>
    </row>
    <row r="52" customFormat="false" ht="15" hidden="false" customHeight="false" outlineLevel="0" collapsed="false">
      <c r="A52" s="44" t="n">
        <v>1108002</v>
      </c>
      <c r="B52" s="44" t="s">
        <v>2247</v>
      </c>
      <c r="C52" s="42" t="n">
        <v>1291505000</v>
      </c>
      <c r="D52" s="34" t="str">
        <f aca="false">IF(A52="","",IFERROR(INDEX(I_COA!$C$6:$C$265,MATCH(A52,I_COA!$A$6:$A$265,0)),"AKUN BARU"))</f>
        <v>Neraca</v>
      </c>
      <c r="E52" s="34" t="str">
        <f aca="false">IF(D52="Neraca",INDEX(I_COA!$E$6:$E$265,MATCH(A52,I_COA!$A$6:$A$265,0)),"")</f>
        <v>Fixed assets - cost</v>
      </c>
      <c r="F52" s="34" t="str">
        <f aca="false">IF(D52="LabaRugi",INDEX(I_COA!$D$6:$D$265,MATCH(A52,I_COA!$A$6:$A$265,0)),"")</f>
        <v/>
      </c>
    </row>
    <row r="53" customFormat="false" ht="15" hidden="false" customHeight="false" outlineLevel="0" collapsed="false">
      <c r="A53" s="44" t="n">
        <v>1108003</v>
      </c>
      <c r="B53" s="44" t="s">
        <v>2248</v>
      </c>
      <c r="C53" s="42" t="n">
        <v>0</v>
      </c>
      <c r="D53" s="34" t="str">
        <f aca="false">IF(A53="","",IFERROR(INDEX(I_COA!$C$6:$C$265,MATCH(A53,I_COA!$A$6:$A$265,0)),"AKUN BARU"))</f>
        <v>Neraca</v>
      </c>
      <c r="E53" s="34" t="str">
        <f aca="false">IF(D53="Neraca",INDEX(I_COA!$E$6:$E$265,MATCH(A53,I_COA!$A$6:$A$265,0)),"")</f>
        <v>Fixed assets - cost</v>
      </c>
      <c r="F53" s="34" t="str">
        <f aca="false">IF(D53="LabaRugi",INDEX(I_COA!$D$6:$D$265,MATCH(A53,I_COA!$A$6:$A$265,0)),"")</f>
        <v/>
      </c>
    </row>
    <row r="54" customFormat="false" ht="15" hidden="false" customHeight="false" outlineLevel="0" collapsed="false">
      <c r="A54" s="44" t="n">
        <v>1108004</v>
      </c>
      <c r="B54" s="44" t="s">
        <v>2249</v>
      </c>
      <c r="C54" s="42" t="n">
        <v>202011860</v>
      </c>
      <c r="D54" s="34" t="str">
        <f aca="false">IF(A54="","",IFERROR(INDEX(I_COA!$C$6:$C$265,MATCH(A54,I_COA!$A$6:$A$265,0)),"AKUN BARU"))</f>
        <v>Neraca</v>
      </c>
      <c r="E54" s="34" t="str">
        <f aca="false">IF(D54="Neraca",INDEX(I_COA!$E$6:$E$265,MATCH(A54,I_COA!$A$6:$A$265,0)),"")</f>
        <v>Fixed assets - cost</v>
      </c>
      <c r="F54" s="34" t="str">
        <f aca="false">IF(D54="LabaRugi",INDEX(I_COA!$D$6:$D$265,MATCH(A54,I_COA!$A$6:$A$265,0)),"")</f>
        <v/>
      </c>
    </row>
    <row r="55" customFormat="false" ht="15" hidden="false" customHeight="false" outlineLevel="0" collapsed="false">
      <c r="A55" s="44" t="n">
        <v>1108005</v>
      </c>
      <c r="B55" s="44" t="s">
        <v>2250</v>
      </c>
      <c r="C55" s="42" t="n">
        <v>0</v>
      </c>
      <c r="D55" s="34" t="str">
        <f aca="false">IF(A55="","",IFERROR(INDEX(I_COA!$C$6:$C$265,MATCH(A55,I_COA!$A$6:$A$265,0)),"AKUN BARU"))</f>
        <v>Neraca</v>
      </c>
      <c r="E55" s="34" t="str">
        <f aca="false">IF(D55="Neraca",INDEX(I_COA!$E$6:$E$265,MATCH(A55,I_COA!$A$6:$A$265,0)),"")</f>
        <v>Fixed assets - cost</v>
      </c>
      <c r="F55" s="34" t="str">
        <f aca="false">IF(D55="LabaRugi",INDEX(I_COA!$D$6:$D$265,MATCH(A55,I_COA!$A$6:$A$265,0)),"")</f>
        <v/>
      </c>
    </row>
    <row r="56" customFormat="false" ht="15" hidden="false" customHeight="false" outlineLevel="0" collapsed="false">
      <c r="A56" s="44" t="n">
        <v>1108006</v>
      </c>
      <c r="B56" s="44" t="s">
        <v>2251</v>
      </c>
      <c r="C56" s="42" t="n">
        <v>37934293.61</v>
      </c>
      <c r="D56" s="34" t="str">
        <f aca="false">IF(A56="","",IFERROR(INDEX(I_COA!$C$6:$C$265,MATCH(A56,I_COA!$A$6:$A$265,0)),"AKUN BARU"))</f>
        <v>Neraca</v>
      </c>
      <c r="E56" s="34" t="str">
        <f aca="false">IF(D56="Neraca",INDEX(I_COA!$E$6:$E$265,MATCH(A56,I_COA!$A$6:$A$265,0)),"")</f>
        <v>Fixed assets - cost</v>
      </c>
      <c r="F56" s="34" t="str">
        <f aca="false">IF(D56="LabaRugi",INDEX(I_COA!$D$6:$D$265,MATCH(A56,I_COA!$A$6:$A$265,0)),"")</f>
        <v/>
      </c>
    </row>
    <row r="57" customFormat="false" ht="15" hidden="false" customHeight="false" outlineLevel="0" collapsed="false">
      <c r="A57" s="44" t="n">
        <v>1108007</v>
      </c>
      <c r="B57" s="44" t="s">
        <v>2252</v>
      </c>
      <c r="C57" s="42" t="n">
        <v>0</v>
      </c>
      <c r="D57" s="34" t="str">
        <f aca="false">IF(A57="","",IFERROR(INDEX(I_COA!$C$6:$C$265,MATCH(A57,I_COA!$A$6:$A$265,0)),"AKUN BARU"))</f>
        <v>Neraca</v>
      </c>
      <c r="E57" s="34" t="str">
        <f aca="false">IF(D57="Neraca",INDEX(I_COA!$E$6:$E$265,MATCH(A57,I_COA!$A$6:$A$265,0)),"")</f>
        <v>Fixed assets - cost</v>
      </c>
      <c r="F57" s="34" t="str">
        <f aca="false">IF(D57="LabaRugi",INDEX(I_COA!$D$6:$D$265,MATCH(A57,I_COA!$A$6:$A$265,0)),"")</f>
        <v/>
      </c>
    </row>
    <row r="58" customFormat="false" ht="15" hidden="false" customHeight="false" outlineLevel="0" collapsed="false">
      <c r="A58" s="44" t="n">
        <v>1108008</v>
      </c>
      <c r="B58" s="44" t="s">
        <v>2253</v>
      </c>
      <c r="C58" s="42" t="n">
        <v>0</v>
      </c>
      <c r="D58" s="34" t="str">
        <f aca="false">IF(A58="","",IFERROR(INDEX(I_COA!$C$6:$C$265,MATCH(A58,I_COA!$A$6:$A$265,0)),"AKUN BARU"))</f>
        <v>Neraca</v>
      </c>
      <c r="E58" s="34" t="str">
        <f aca="false">IF(D58="Neraca",INDEX(I_COA!$E$6:$E$265,MATCH(A58,I_COA!$A$6:$A$265,0)),"")</f>
        <v>Fixed assets - cost</v>
      </c>
      <c r="F58" s="34" t="str">
        <f aca="false">IF(D58="LabaRugi",INDEX(I_COA!$D$6:$D$265,MATCH(A58,I_COA!$A$6:$A$265,0)),"")</f>
        <v/>
      </c>
    </row>
    <row r="59" customFormat="false" ht="15" hidden="false" customHeight="false" outlineLevel="0" collapsed="false">
      <c r="A59" s="44" t="n">
        <v>1109</v>
      </c>
      <c r="B59" s="44" t="s">
        <v>2254</v>
      </c>
      <c r="C59" s="42" t="n">
        <v>0</v>
      </c>
      <c r="D59" s="34" t="str">
        <f aca="false">IF(A59="","",IFERROR(INDEX(I_COA!$C$6:$C$265,MATCH(A59,I_COA!$A$6:$A$265,0)),"AKUN BARU"))</f>
        <v>Header</v>
      </c>
      <c r="E59" s="34" t="str">
        <f aca="false">IF(D59="Neraca",INDEX(I_COA!$E$6:$E$265,MATCH(A59,I_COA!$A$6:$A$265,0)),"")</f>
        <v/>
      </c>
      <c r="F59" s="34" t="str">
        <f aca="false">IF(D59="LabaRugi",INDEX(I_COA!$D$6:$D$265,MATCH(A59,I_COA!$A$6:$A$265,0)),"")</f>
        <v/>
      </c>
    </row>
    <row r="60" customFormat="false" ht="15" hidden="false" customHeight="false" outlineLevel="0" collapsed="false">
      <c r="A60" s="44" t="n">
        <v>1109001</v>
      </c>
      <c r="B60" s="44" t="s">
        <v>2255</v>
      </c>
      <c r="C60" s="42" t="n">
        <v>-222035104.29</v>
      </c>
      <c r="D60" s="34" t="str">
        <f aca="false">IF(A60="","",IFERROR(INDEX(I_COA!$C$6:$C$265,MATCH(A60,I_COA!$A$6:$A$265,0)),"AKUN BARU"))</f>
        <v>Neraca</v>
      </c>
      <c r="E60" s="34" t="str">
        <f aca="false">IF(D60="Neraca",INDEX(I_COA!$E$6:$E$265,MATCH(A60,I_COA!$A$6:$A$265,0)),"")</f>
        <v>Accumulated depreciation</v>
      </c>
      <c r="F60" s="34" t="str">
        <f aca="false">IF(D60="LabaRugi",INDEX(I_COA!$D$6:$D$265,MATCH(A60,I_COA!$A$6:$A$265,0)),"")</f>
        <v/>
      </c>
    </row>
    <row r="61" customFormat="false" ht="15" hidden="false" customHeight="false" outlineLevel="0" collapsed="false">
      <c r="A61" s="44" t="n">
        <v>1109002</v>
      </c>
      <c r="B61" s="44" t="s">
        <v>2256</v>
      </c>
      <c r="C61" s="42" t="n">
        <v>0</v>
      </c>
      <c r="D61" s="34" t="str">
        <f aca="false">IF(A61="","",IFERROR(INDEX(I_COA!$C$6:$C$265,MATCH(A61,I_COA!$A$6:$A$265,0)),"AKUN BARU"))</f>
        <v>Neraca</v>
      </c>
      <c r="E61" s="34" t="str">
        <f aca="false">IF(D61="Neraca",INDEX(I_COA!$E$6:$E$265,MATCH(A61,I_COA!$A$6:$A$265,0)),"")</f>
        <v>Accumulated depreciation</v>
      </c>
      <c r="F61" s="34" t="str">
        <f aca="false">IF(D61="LabaRugi",INDEX(I_COA!$D$6:$D$265,MATCH(A61,I_COA!$A$6:$A$265,0)),"")</f>
        <v/>
      </c>
    </row>
    <row r="62" customFormat="false" ht="15" hidden="false" customHeight="false" outlineLevel="0" collapsed="false">
      <c r="A62" s="44" t="n">
        <v>1109003</v>
      </c>
      <c r="B62" s="44" t="s">
        <v>2257</v>
      </c>
      <c r="C62" s="42" t="n">
        <v>-172938211.32</v>
      </c>
      <c r="D62" s="34" t="str">
        <f aca="false">IF(A62="","",IFERROR(INDEX(I_COA!$C$6:$C$265,MATCH(A62,I_COA!$A$6:$A$265,0)),"AKUN BARU"))</f>
        <v>Neraca</v>
      </c>
      <c r="E62" s="34" t="str">
        <f aca="false">IF(D62="Neraca",INDEX(I_COA!$E$6:$E$265,MATCH(A62,I_COA!$A$6:$A$265,0)),"")</f>
        <v>Accumulated depreciation</v>
      </c>
      <c r="F62" s="34" t="str">
        <f aca="false">IF(D62="LabaRugi",INDEX(I_COA!$D$6:$D$265,MATCH(A62,I_COA!$A$6:$A$265,0)),"")</f>
        <v/>
      </c>
    </row>
    <row r="63" customFormat="false" ht="15" hidden="false" customHeight="false" outlineLevel="0" collapsed="false">
      <c r="A63" s="44" t="n">
        <v>1109004</v>
      </c>
      <c r="B63" s="44" t="s">
        <v>2258</v>
      </c>
      <c r="C63" s="42" t="n">
        <v>-0.73</v>
      </c>
      <c r="D63" s="34" t="str">
        <f aca="false">IF(A63="","",IFERROR(INDEX(I_COA!$C$6:$C$265,MATCH(A63,I_COA!$A$6:$A$265,0)),"AKUN BARU"))</f>
        <v>Neraca</v>
      </c>
      <c r="E63" s="34" t="str">
        <f aca="false">IF(D63="Neraca",INDEX(I_COA!$E$6:$E$265,MATCH(A63,I_COA!$A$6:$A$265,0)),"")</f>
        <v>Accumulated depreciation</v>
      </c>
      <c r="F63" s="34" t="str">
        <f aca="false">IF(D63="LabaRugi",INDEX(I_COA!$D$6:$D$265,MATCH(A63,I_COA!$A$6:$A$265,0)),"")</f>
        <v/>
      </c>
    </row>
    <row r="64" customFormat="false" ht="15" hidden="false" customHeight="false" outlineLevel="0" collapsed="false">
      <c r="A64" s="44" t="n">
        <v>1109005</v>
      </c>
      <c r="B64" s="44" t="s">
        <v>2259</v>
      </c>
      <c r="C64" s="42" t="n">
        <v>-33112632.01</v>
      </c>
      <c r="D64" s="34" t="str">
        <f aca="false">IF(A64="","",IFERROR(INDEX(I_COA!$C$6:$C$265,MATCH(A64,I_COA!$A$6:$A$265,0)),"AKUN BARU"))</f>
        <v>Neraca</v>
      </c>
      <c r="E64" s="34" t="str">
        <f aca="false">IF(D64="Neraca",INDEX(I_COA!$E$6:$E$265,MATCH(A64,I_COA!$A$6:$A$265,0)),"")</f>
        <v>Accumulated depreciation</v>
      </c>
      <c r="F64" s="34" t="str">
        <f aca="false">IF(D64="LabaRugi",INDEX(I_COA!$D$6:$D$265,MATCH(A64,I_COA!$A$6:$A$265,0)),"")</f>
        <v/>
      </c>
    </row>
    <row r="65" customFormat="false" ht="15" hidden="false" customHeight="false" outlineLevel="0" collapsed="false">
      <c r="A65" s="44" t="n">
        <v>1109006</v>
      </c>
      <c r="B65" s="44" t="s">
        <v>2260</v>
      </c>
      <c r="C65" s="42" t="n">
        <v>0</v>
      </c>
      <c r="D65" s="34" t="str">
        <f aca="false">IF(A65="","",IFERROR(INDEX(I_COA!$C$6:$C$265,MATCH(A65,I_COA!$A$6:$A$265,0)),"AKUN BARU"))</f>
        <v>Neraca</v>
      </c>
      <c r="E65" s="34" t="str">
        <f aca="false">IF(D65="Neraca",INDEX(I_COA!$E$6:$E$265,MATCH(A65,I_COA!$A$6:$A$265,0)),"")</f>
        <v>Accumulated depreciation</v>
      </c>
      <c r="F65" s="34" t="str">
        <f aca="false">IF(D65="LabaRugi",INDEX(I_COA!$D$6:$D$265,MATCH(A65,I_COA!$A$6:$A$265,0)),"")</f>
        <v/>
      </c>
    </row>
    <row r="66" customFormat="false" ht="15" hidden="false" customHeight="false" outlineLevel="0" collapsed="false">
      <c r="A66" s="44" t="n">
        <v>1109007</v>
      </c>
      <c r="B66" s="44" t="s">
        <v>2261</v>
      </c>
      <c r="C66" s="42" t="n">
        <v>0</v>
      </c>
      <c r="D66" s="34" t="str">
        <f aca="false">IF(A66="","",IFERROR(INDEX(I_COA!$C$6:$C$265,MATCH(A66,I_COA!$A$6:$A$265,0)),"AKUN BARU"))</f>
        <v>Neraca</v>
      </c>
      <c r="E66" s="34" t="str">
        <f aca="false">IF(D66="Neraca",INDEX(I_COA!$E$6:$E$265,MATCH(A66,I_COA!$A$6:$A$265,0)),"")</f>
        <v>Accumulated depreciation</v>
      </c>
      <c r="F66" s="34" t="str">
        <f aca="false">IF(D66="LabaRugi",INDEX(I_COA!$D$6:$D$265,MATCH(A66,I_COA!$A$6:$A$265,0)),"")</f>
        <v/>
      </c>
    </row>
    <row r="67" customFormat="false" ht="15" hidden="false" customHeight="false" outlineLevel="0" collapsed="false">
      <c r="A67" s="44" t="n">
        <v>2101</v>
      </c>
      <c r="B67" s="44" t="s">
        <v>2262</v>
      </c>
      <c r="C67" s="42" t="n">
        <v>0</v>
      </c>
      <c r="D67" s="34" t="str">
        <f aca="false">IF(A67="","",IFERROR(INDEX(I_COA!$C$6:$C$265,MATCH(A67,I_COA!$A$6:$A$265,0)),"AKUN BARU"))</f>
        <v>Header</v>
      </c>
      <c r="E67" s="34" t="str">
        <f aca="false">IF(D67="Neraca",INDEX(I_COA!$E$6:$E$265,MATCH(A67,I_COA!$A$6:$A$265,0)),"")</f>
        <v/>
      </c>
      <c r="F67" s="34" t="str">
        <f aca="false">IF(D67="LabaRugi",INDEX(I_COA!$D$6:$D$265,MATCH(A67,I_COA!$A$6:$A$265,0)),"")</f>
        <v/>
      </c>
    </row>
    <row r="68" customFormat="false" ht="15" hidden="false" customHeight="false" outlineLevel="0" collapsed="false">
      <c r="A68" s="44" t="n">
        <v>2101001</v>
      </c>
      <c r="B68" s="44" t="s">
        <v>595</v>
      </c>
      <c r="C68" s="42" t="n">
        <v>-4172730</v>
      </c>
      <c r="D68" s="34" t="str">
        <f aca="false">IF(A68="","",IFERROR(INDEX(I_COA!$C$6:$C$265,MATCH(A68,I_COA!$A$6:$A$265,0)),"AKUN BARU"))</f>
        <v>Neraca</v>
      </c>
      <c r="E68" s="34" t="str">
        <f aca="false">IF(D68="Neraca",INDEX(I_COA!$E$6:$E$265,MATCH(A68,I_COA!$A$6:$A$265,0)),"")</f>
        <v>Trade Payables - Third Parties</v>
      </c>
      <c r="F68" s="34" t="str">
        <f aca="false">IF(D68="LabaRugi",INDEX(I_COA!$D$6:$D$265,MATCH(A68,I_COA!$A$6:$A$265,0)),"")</f>
        <v/>
      </c>
    </row>
    <row r="69" customFormat="false" ht="15" hidden="false" customHeight="false" outlineLevel="0" collapsed="false">
      <c r="A69" s="44" t="n">
        <v>2101002</v>
      </c>
      <c r="B69" s="44" t="s">
        <v>2263</v>
      </c>
      <c r="C69" s="42" t="n">
        <v>0</v>
      </c>
      <c r="D69" s="34" t="str">
        <f aca="false">IF(A69="","",IFERROR(INDEX(I_COA!$C$6:$C$265,MATCH(A69,I_COA!$A$6:$A$265,0)),"AKUN BARU"))</f>
        <v>Neraca</v>
      </c>
      <c r="E69" s="34" t="str">
        <f aca="false">IF(D69="Neraca",INDEX(I_COA!$E$6:$E$265,MATCH(A69,I_COA!$A$6:$A$265,0)),"")</f>
        <v>Trade Payables - Affiliates</v>
      </c>
      <c r="F69" s="34" t="str">
        <f aca="false">IF(D69="LabaRugi",INDEX(I_COA!$D$6:$D$265,MATCH(A69,I_COA!$A$6:$A$265,0)),"")</f>
        <v/>
      </c>
    </row>
    <row r="70" customFormat="false" ht="15" hidden="false" customHeight="false" outlineLevel="0" collapsed="false">
      <c r="A70" s="44" t="n">
        <v>2101003</v>
      </c>
      <c r="B70" s="44" t="s">
        <v>679</v>
      </c>
      <c r="C70" s="42" t="n">
        <v>-316670549.13</v>
      </c>
      <c r="D70" s="34" t="str">
        <f aca="false">IF(A70="","",IFERROR(INDEX(I_COA!$C$6:$C$265,MATCH(A70,I_COA!$A$6:$A$265,0)),"AKUN BARU"))</f>
        <v>Neraca</v>
      </c>
      <c r="E70" s="34" t="str">
        <f aca="false">IF(D70="Neraca",INDEX(I_COA!$E$6:$E$265,MATCH(A70,I_COA!$A$6:$A$265,0)),"")</f>
        <v>Other Payable - Third Parties</v>
      </c>
      <c r="F70" s="34" t="str">
        <f aca="false">IF(D70="LabaRugi",INDEX(I_COA!$D$6:$D$265,MATCH(A70,I_COA!$A$6:$A$265,0)),"")</f>
        <v/>
      </c>
    </row>
    <row r="71" customFormat="false" ht="15" hidden="false" customHeight="false" outlineLevel="0" collapsed="false">
      <c r="A71" s="44" t="n">
        <v>2101004</v>
      </c>
      <c r="B71" s="44" t="s">
        <v>879</v>
      </c>
      <c r="C71" s="42" t="n">
        <v>-4429890485.97</v>
      </c>
      <c r="D71" s="34" t="str">
        <f aca="false">IF(A71="","",IFERROR(INDEX(I_COA!$C$6:$C$265,MATCH(A71,I_COA!$A$6:$A$265,0)),"AKUN BARU"))</f>
        <v>Neraca</v>
      </c>
      <c r="E71" s="34" t="str">
        <f aca="false">IF(D71="Neraca",INDEX(I_COA!$E$6:$E$265,MATCH(A71,I_COA!$A$6:$A$265,0)),"")</f>
        <v>Other Payable - Related Parties</v>
      </c>
      <c r="F71" s="34" t="str">
        <f aca="false">IF(D71="LabaRugi",INDEX(I_COA!$D$6:$D$265,MATCH(A71,I_COA!$A$6:$A$265,0)),"")</f>
        <v/>
      </c>
    </row>
    <row r="72" customFormat="false" ht="15" hidden="false" customHeight="false" outlineLevel="0" collapsed="false">
      <c r="A72" s="44" t="n">
        <v>2101005</v>
      </c>
      <c r="B72" s="44" t="s">
        <v>2264</v>
      </c>
      <c r="C72" s="42" t="n">
        <v>0</v>
      </c>
      <c r="D72" s="34" t="str">
        <f aca="false">IF(A72="","",IFERROR(INDEX(I_COA!$C$6:$C$265,MATCH(A72,I_COA!$A$6:$A$265,0)),"AKUN BARU"))</f>
        <v>Neraca</v>
      </c>
      <c r="E72" s="34" t="str">
        <f aca="false">IF(D72="Neraca",INDEX(I_COA!$E$6:$E$265,MATCH(A72,I_COA!$A$6:$A$265,0)),"")</f>
        <v>Other Payable - Third Parties</v>
      </c>
      <c r="F72" s="34" t="str">
        <f aca="false">IF(D72="LabaRugi",INDEX(I_COA!$D$6:$D$265,MATCH(A72,I_COA!$A$6:$A$265,0)),"")</f>
        <v/>
      </c>
    </row>
    <row r="73" customFormat="false" ht="15" hidden="false" customHeight="false" outlineLevel="0" collapsed="false">
      <c r="A73" s="44" t="n">
        <v>2101006</v>
      </c>
      <c r="B73" s="44" t="s">
        <v>2265</v>
      </c>
      <c r="C73" s="42" t="n">
        <v>0</v>
      </c>
      <c r="D73" s="34" t="str">
        <f aca="false">IF(A73="","",IFERROR(INDEX(I_COA!$C$6:$C$265,MATCH(A73,I_COA!$A$6:$A$265,0)),"AKUN BARU"))</f>
        <v>Neraca</v>
      </c>
      <c r="E73" s="34" t="str">
        <f aca="false">IF(D73="Neraca",INDEX(I_COA!$E$6:$E$265,MATCH(A73,I_COA!$A$6:$A$265,0)),"")</f>
        <v>Other Payable - Third Parties</v>
      </c>
      <c r="F73" s="34" t="str">
        <f aca="false">IF(D73="LabaRugi",INDEX(I_COA!$D$6:$D$265,MATCH(A73,I_COA!$A$6:$A$265,0)),"")</f>
        <v/>
      </c>
    </row>
    <row r="74" customFormat="false" ht="15" hidden="false" customHeight="false" outlineLevel="0" collapsed="false">
      <c r="A74" s="44" t="n">
        <v>2101020</v>
      </c>
      <c r="B74" s="44" t="s">
        <v>653</v>
      </c>
      <c r="C74" s="42" t="n">
        <v>-628415</v>
      </c>
      <c r="D74" s="34" t="str">
        <f aca="false">IF(A74="","",IFERROR(INDEX(I_COA!$C$6:$C$265,MATCH(A74,I_COA!$A$6:$A$265,0)),"AKUN BARU"))</f>
        <v>Neraca</v>
      </c>
      <c r="E74" s="34" t="str">
        <f aca="false">IF(D74="Neraca",INDEX(I_COA!$E$6:$E$265,MATCH(A74,I_COA!$A$6:$A$265,0)),"")</f>
        <v>Unearned Revenue</v>
      </c>
      <c r="F74" s="34" t="str">
        <f aca="false">IF(D74="LabaRugi",INDEX(I_COA!$D$6:$D$265,MATCH(A74,I_COA!$A$6:$A$265,0)),"")</f>
        <v/>
      </c>
    </row>
    <row r="75" customFormat="false" ht="15" hidden="false" customHeight="false" outlineLevel="0" collapsed="false">
      <c r="A75" s="44" t="n">
        <v>2102</v>
      </c>
      <c r="B75" s="44" t="s">
        <v>2266</v>
      </c>
      <c r="C75" s="42" t="n">
        <v>0</v>
      </c>
      <c r="D75" s="34" t="str">
        <f aca="false">IF(A75="","",IFERROR(INDEX(I_COA!$C$6:$C$265,MATCH(A75,I_COA!$A$6:$A$265,0)),"AKUN BARU"))</f>
        <v>Header</v>
      </c>
      <c r="E75" s="34" t="str">
        <f aca="false">IF(D75="Neraca",INDEX(I_COA!$E$6:$E$265,MATCH(A75,I_COA!$A$6:$A$265,0)),"")</f>
        <v/>
      </c>
      <c r="F75" s="34" t="str">
        <f aca="false">IF(D75="LabaRugi",INDEX(I_COA!$D$6:$D$265,MATCH(A75,I_COA!$A$6:$A$265,0)),"")</f>
        <v/>
      </c>
    </row>
    <row r="76" customFormat="false" ht="15" hidden="false" customHeight="false" outlineLevel="0" collapsed="false">
      <c r="A76" s="44" t="n">
        <v>2102001</v>
      </c>
      <c r="B76" s="44" t="s">
        <v>2267</v>
      </c>
      <c r="C76" s="42" t="n">
        <v>0</v>
      </c>
      <c r="D76" s="34" t="str">
        <f aca="false">IF(A76="","",IFERROR(INDEX(I_COA!$C$6:$C$265,MATCH(A76,I_COA!$A$6:$A$265,0)),"AKUN BARU"))</f>
        <v>Neraca</v>
      </c>
      <c r="E76" s="34" t="str">
        <f aca="false">IF(D76="Neraca",INDEX(I_COA!$E$6:$E$265,MATCH(A76,I_COA!$A$6:$A$265,0)),"")</f>
        <v>Taxes Payable</v>
      </c>
      <c r="F76" s="34" t="str">
        <f aca="false">IF(D76="LabaRugi",INDEX(I_COA!$D$6:$D$265,MATCH(A76,I_COA!$A$6:$A$265,0)),"")</f>
        <v/>
      </c>
    </row>
    <row r="77" customFormat="false" ht="15" hidden="false" customHeight="false" outlineLevel="0" collapsed="false">
      <c r="A77" s="44" t="n">
        <v>2102002</v>
      </c>
      <c r="B77" s="44" t="s">
        <v>633</v>
      </c>
      <c r="C77" s="42" t="n">
        <v>-940123.26</v>
      </c>
      <c r="D77" s="34" t="str">
        <f aca="false">IF(A77="","",IFERROR(INDEX(I_COA!$C$6:$C$265,MATCH(A77,I_COA!$A$6:$A$265,0)),"AKUN BARU"))</f>
        <v>Neraca</v>
      </c>
      <c r="E77" s="34" t="str">
        <f aca="false">IF(D77="Neraca",INDEX(I_COA!$E$6:$E$265,MATCH(A77,I_COA!$A$6:$A$265,0)),"")</f>
        <v>Taxes Payable</v>
      </c>
      <c r="F77" s="34" t="str">
        <f aca="false">IF(D77="LabaRugi",INDEX(I_COA!$D$6:$D$265,MATCH(A77,I_COA!$A$6:$A$265,0)),"")</f>
        <v/>
      </c>
    </row>
    <row r="78" customFormat="false" ht="15" hidden="false" customHeight="false" outlineLevel="0" collapsed="false">
      <c r="A78" s="44" t="n">
        <v>2102003</v>
      </c>
      <c r="B78" s="44" t="s">
        <v>722</v>
      </c>
      <c r="C78" s="42" t="n">
        <v>-8785608.39</v>
      </c>
      <c r="D78" s="34" t="str">
        <f aca="false">IF(A78="","",IFERROR(INDEX(I_COA!$C$6:$C$265,MATCH(A78,I_COA!$A$6:$A$265,0)),"AKUN BARU"))</f>
        <v>Neraca</v>
      </c>
      <c r="E78" s="34" t="str">
        <f aca="false">IF(D78="Neraca",INDEX(I_COA!$E$6:$E$265,MATCH(A78,I_COA!$A$6:$A$265,0)),"")</f>
        <v>Taxes Payable</v>
      </c>
      <c r="F78" s="34" t="str">
        <f aca="false">IF(D78="LabaRugi",INDEX(I_COA!$D$6:$D$265,MATCH(A78,I_COA!$A$6:$A$265,0)),"")</f>
        <v/>
      </c>
    </row>
    <row r="79" customFormat="false" ht="15" hidden="false" customHeight="false" outlineLevel="0" collapsed="false">
      <c r="A79" s="44" t="n">
        <v>2102004</v>
      </c>
      <c r="B79" s="44" t="s">
        <v>2268</v>
      </c>
      <c r="C79" s="42" t="n">
        <v>0</v>
      </c>
      <c r="D79" s="34" t="str">
        <f aca="false">IF(A79="","",IFERROR(INDEX(I_COA!$C$6:$C$265,MATCH(A79,I_COA!$A$6:$A$265,0)),"AKUN BARU"))</f>
        <v>Neraca</v>
      </c>
      <c r="E79" s="34" t="str">
        <f aca="false">IF(D79="Neraca",INDEX(I_COA!$E$6:$E$265,MATCH(A79,I_COA!$A$6:$A$265,0)),"")</f>
        <v>Taxes Payable</v>
      </c>
      <c r="F79" s="34" t="str">
        <f aca="false">IF(D79="LabaRugi",INDEX(I_COA!$D$6:$D$265,MATCH(A79,I_COA!$A$6:$A$265,0)),"")</f>
        <v/>
      </c>
    </row>
    <row r="80" customFormat="false" ht="15" hidden="false" customHeight="false" outlineLevel="0" collapsed="false">
      <c r="A80" s="44" t="n">
        <v>2102005</v>
      </c>
      <c r="B80" s="44" t="s">
        <v>1256</v>
      </c>
      <c r="C80" s="42" t="n">
        <v>-328752.2</v>
      </c>
      <c r="D80" s="34" t="str">
        <f aca="false">IF(A80="","",IFERROR(INDEX(I_COA!$C$6:$C$265,MATCH(A80,I_COA!$A$6:$A$265,0)),"AKUN BARU"))</f>
        <v>Neraca</v>
      </c>
      <c r="E80" s="34" t="str">
        <f aca="false">IF(D80="Neraca",INDEX(I_COA!$E$6:$E$265,MATCH(A80,I_COA!$A$6:$A$265,0)),"")</f>
        <v>Taxes Payable</v>
      </c>
      <c r="F80" s="34" t="str">
        <f aca="false">IF(D80="LabaRugi",INDEX(I_COA!$D$6:$D$265,MATCH(A80,I_COA!$A$6:$A$265,0)),"")</f>
        <v/>
      </c>
    </row>
    <row r="81" customFormat="false" ht="15" hidden="false" customHeight="false" outlineLevel="0" collapsed="false">
      <c r="A81" s="44" t="n">
        <v>2102006</v>
      </c>
      <c r="B81" s="44" t="s">
        <v>2269</v>
      </c>
      <c r="C81" s="42" t="n">
        <v>0</v>
      </c>
      <c r="D81" s="34" t="str">
        <f aca="false">IF(A81="","",IFERROR(INDEX(I_COA!$C$6:$C$265,MATCH(A81,I_COA!$A$6:$A$265,0)),"AKUN BARU"))</f>
        <v>Neraca</v>
      </c>
      <c r="E81" s="34" t="str">
        <f aca="false">IF(D81="Neraca",INDEX(I_COA!$E$6:$E$265,MATCH(A81,I_COA!$A$6:$A$265,0)),"")</f>
        <v>Taxes Payable</v>
      </c>
      <c r="F81" s="34" t="str">
        <f aca="false">IF(D81="LabaRugi",INDEX(I_COA!$D$6:$D$265,MATCH(A81,I_COA!$A$6:$A$265,0)),"")</f>
        <v/>
      </c>
    </row>
    <row r="82" customFormat="false" ht="15" hidden="false" customHeight="false" outlineLevel="0" collapsed="false">
      <c r="A82" s="44" t="n">
        <v>2102007</v>
      </c>
      <c r="B82" s="44" t="s">
        <v>955</v>
      </c>
      <c r="C82" s="42" t="n">
        <v>0</v>
      </c>
      <c r="D82" s="34" t="str">
        <f aca="false">IF(A82="","",IFERROR(INDEX(I_COA!$C$6:$C$265,MATCH(A82,I_COA!$A$6:$A$265,0)),"AKUN BARU"))</f>
        <v>Neraca</v>
      </c>
      <c r="E82" s="34" t="str">
        <f aca="false">IF(D82="Neraca",INDEX(I_COA!$E$6:$E$265,MATCH(A82,I_COA!$A$6:$A$265,0)),"")</f>
        <v>Taxes Payable</v>
      </c>
      <c r="F82" s="34" t="str">
        <f aca="false">IF(D82="LabaRugi",INDEX(I_COA!$D$6:$D$265,MATCH(A82,I_COA!$A$6:$A$265,0)),"")</f>
        <v/>
      </c>
    </row>
    <row r="83" customFormat="false" ht="15" hidden="false" customHeight="false" outlineLevel="0" collapsed="false">
      <c r="A83" s="44" t="n">
        <v>2103</v>
      </c>
      <c r="B83" s="44" t="s">
        <v>2270</v>
      </c>
      <c r="C83" s="42" t="n">
        <v>0</v>
      </c>
      <c r="D83" s="34" t="str">
        <f aca="false">IF(A83="","",IFERROR(INDEX(I_COA!$C$6:$C$265,MATCH(A83,I_COA!$A$6:$A$265,0)),"AKUN BARU"))</f>
        <v>Header</v>
      </c>
      <c r="E83" s="34" t="str">
        <f aca="false">IF(D83="Neraca",INDEX(I_COA!$E$6:$E$265,MATCH(A83,I_COA!$A$6:$A$265,0)),"")</f>
        <v/>
      </c>
      <c r="F83" s="34" t="str">
        <f aca="false">IF(D83="LabaRugi",INDEX(I_COA!$D$6:$D$265,MATCH(A83,I_COA!$A$6:$A$265,0)),"")</f>
        <v/>
      </c>
    </row>
    <row r="84" customFormat="false" ht="15" hidden="false" customHeight="false" outlineLevel="0" collapsed="false">
      <c r="A84" s="44" t="n">
        <v>2103001</v>
      </c>
      <c r="B84" s="44" t="s">
        <v>2271</v>
      </c>
      <c r="C84" s="42" t="n">
        <v>1</v>
      </c>
      <c r="D84" s="34" t="str">
        <f aca="false">IF(A84="","",IFERROR(INDEX(I_COA!$C$6:$C$265,MATCH(A84,I_COA!$A$6:$A$265,0)),"AKUN BARU"))</f>
        <v>Neraca</v>
      </c>
      <c r="E84" s="34" t="str">
        <f aca="false">IF(D84="Neraca",INDEX(I_COA!$E$6:$E$265,MATCH(A84,I_COA!$A$6:$A$265,0)),"")</f>
        <v>Accrued Expenses - Third Parties</v>
      </c>
      <c r="F84" s="34" t="str">
        <f aca="false">IF(D84="LabaRugi",INDEX(I_COA!$D$6:$D$265,MATCH(A84,I_COA!$A$6:$A$265,0)),"")</f>
        <v/>
      </c>
    </row>
    <row r="85" customFormat="false" ht="15" hidden="false" customHeight="false" outlineLevel="0" collapsed="false">
      <c r="A85" s="44" t="n">
        <v>2103002</v>
      </c>
      <c r="B85" s="44" t="s">
        <v>1747</v>
      </c>
      <c r="C85" s="42" t="n">
        <v>0</v>
      </c>
      <c r="D85" s="34" t="str">
        <f aca="false">IF(A85="","",IFERROR(INDEX(I_COA!$C$6:$C$265,MATCH(A85,I_COA!$A$6:$A$265,0)),"AKUN BARU"))</f>
        <v>Neraca</v>
      </c>
      <c r="E85" s="34" t="str">
        <f aca="false">IF(D85="Neraca",INDEX(I_COA!$E$6:$E$265,MATCH(A85,I_COA!$A$6:$A$265,0)),"")</f>
        <v>Accrued Expenses - Third Parties</v>
      </c>
      <c r="F85" s="34" t="str">
        <f aca="false">IF(D85="LabaRugi",INDEX(I_COA!$D$6:$D$265,MATCH(A85,I_COA!$A$6:$A$265,0)),"")</f>
        <v/>
      </c>
    </row>
    <row r="86" customFormat="false" ht="15" hidden="false" customHeight="false" outlineLevel="0" collapsed="false">
      <c r="A86" s="44" t="n">
        <v>2103003</v>
      </c>
      <c r="B86" s="44" t="s">
        <v>2272</v>
      </c>
      <c r="C86" s="42" t="n">
        <v>0</v>
      </c>
      <c r="D86" s="34" t="str">
        <f aca="false">IF(A86="","",IFERROR(INDEX(I_COA!$C$6:$C$265,MATCH(A86,I_COA!$A$6:$A$265,0)),"AKUN BARU"))</f>
        <v>Neraca</v>
      </c>
      <c r="E86" s="34" t="str">
        <f aca="false">IF(D86="Neraca",INDEX(I_COA!$E$6:$E$265,MATCH(A86,I_COA!$A$6:$A$265,0)),"")</f>
        <v>Accrued Expenses - Third Parties</v>
      </c>
      <c r="F86" s="34" t="str">
        <f aca="false">IF(D86="LabaRugi",INDEX(I_COA!$D$6:$D$265,MATCH(A86,I_COA!$A$6:$A$265,0)),"")</f>
        <v/>
      </c>
    </row>
    <row r="87" customFormat="false" ht="15" hidden="false" customHeight="false" outlineLevel="0" collapsed="false">
      <c r="A87" s="44" t="n">
        <v>2103004</v>
      </c>
      <c r="B87" s="44" t="s">
        <v>2273</v>
      </c>
      <c r="C87" s="42" t="n">
        <v>0</v>
      </c>
      <c r="D87" s="34" t="str">
        <f aca="false">IF(A87="","",IFERROR(INDEX(I_COA!$C$6:$C$265,MATCH(A87,I_COA!$A$6:$A$265,0)),"AKUN BARU"))</f>
        <v>Neraca</v>
      </c>
      <c r="E87" s="34" t="str">
        <f aca="false">IF(D87="Neraca",INDEX(I_COA!$E$6:$E$265,MATCH(A87,I_COA!$A$6:$A$265,0)),"")</f>
        <v>Accrued Expenses - Third Parties</v>
      </c>
      <c r="F87" s="34" t="str">
        <f aca="false">IF(D87="LabaRugi",INDEX(I_COA!$D$6:$D$265,MATCH(A87,I_COA!$A$6:$A$265,0)),"")</f>
        <v/>
      </c>
    </row>
    <row r="88" customFormat="false" ht="15" hidden="false" customHeight="false" outlineLevel="0" collapsed="false">
      <c r="A88" s="44" t="n">
        <v>2103005</v>
      </c>
      <c r="B88" s="44" t="s">
        <v>2274</v>
      </c>
      <c r="C88" s="42" t="n">
        <v>0</v>
      </c>
      <c r="D88" s="34" t="str">
        <f aca="false">IF(A88="","",IFERROR(INDEX(I_COA!$C$6:$C$265,MATCH(A88,I_COA!$A$6:$A$265,0)),"AKUN BARU"))</f>
        <v>Neraca</v>
      </c>
      <c r="E88" s="34" t="str">
        <f aca="false">IF(D88="Neraca",INDEX(I_COA!$E$6:$E$265,MATCH(A88,I_COA!$A$6:$A$265,0)),"")</f>
        <v>Accrued Expenses - Third Parties</v>
      </c>
      <c r="F88" s="34" t="str">
        <f aca="false">IF(D88="LabaRugi",INDEX(I_COA!$D$6:$D$265,MATCH(A88,I_COA!$A$6:$A$265,0)),"")</f>
        <v/>
      </c>
    </row>
    <row r="89" customFormat="false" ht="15" hidden="false" customHeight="false" outlineLevel="0" collapsed="false">
      <c r="A89" s="44" t="n">
        <v>2103006</v>
      </c>
      <c r="B89" s="44" t="s">
        <v>648</v>
      </c>
      <c r="C89" s="42" t="n">
        <v>-3204200</v>
      </c>
      <c r="D89" s="34" t="str">
        <f aca="false">IF(A89="","",IFERROR(INDEX(I_COA!$C$6:$C$265,MATCH(A89,I_COA!$A$6:$A$265,0)),"AKUN BARU"))</f>
        <v>Neraca</v>
      </c>
      <c r="E89" s="34" t="str">
        <f aca="false">IF(D89="Neraca",INDEX(I_COA!$E$6:$E$265,MATCH(A89,I_COA!$A$6:$A$265,0)),"")</f>
        <v>Accrued Expenses - Third Parties</v>
      </c>
      <c r="F89" s="34" t="str">
        <f aca="false">IF(D89="LabaRugi",INDEX(I_COA!$D$6:$D$265,MATCH(A89,I_COA!$A$6:$A$265,0)),"")</f>
        <v/>
      </c>
    </row>
    <row r="90" customFormat="false" ht="15" hidden="false" customHeight="false" outlineLevel="0" collapsed="false">
      <c r="A90" s="44" t="n">
        <v>2103007</v>
      </c>
      <c r="B90" s="44" t="s">
        <v>2275</v>
      </c>
      <c r="C90" s="42" t="n">
        <v>0</v>
      </c>
      <c r="D90" s="34" t="str">
        <f aca="false">IF(A90="","",IFERROR(INDEX(I_COA!$C$6:$C$265,MATCH(A90,I_COA!$A$6:$A$265,0)),"AKUN BARU"))</f>
        <v>Neraca</v>
      </c>
      <c r="E90" s="34" t="str">
        <f aca="false">IF(D90="Neraca",INDEX(I_COA!$E$6:$E$265,MATCH(A90,I_COA!$A$6:$A$265,0)),"")</f>
        <v>Accrued Expenses - Third Parties</v>
      </c>
      <c r="F90" s="34" t="str">
        <f aca="false">IF(D90="LabaRugi",INDEX(I_COA!$D$6:$D$265,MATCH(A90,I_COA!$A$6:$A$265,0)),"")</f>
        <v/>
      </c>
    </row>
    <row r="91" customFormat="false" ht="15" hidden="false" customHeight="false" outlineLevel="0" collapsed="false">
      <c r="A91" s="44" t="n">
        <v>2103008</v>
      </c>
      <c r="B91" s="44" t="s">
        <v>2276</v>
      </c>
      <c r="C91" s="42" t="n">
        <v>0</v>
      </c>
      <c r="D91" s="34" t="str">
        <f aca="false">IF(A91="","",IFERROR(INDEX(I_COA!$C$6:$C$265,MATCH(A91,I_COA!$A$6:$A$265,0)),"AKUN BARU"))</f>
        <v>Neraca</v>
      </c>
      <c r="E91" s="34" t="str">
        <f aca="false">IF(D91="Neraca",INDEX(I_COA!$E$6:$E$265,MATCH(A91,I_COA!$A$6:$A$265,0)),"")</f>
        <v>Accrued Expenses - Third Parties</v>
      </c>
      <c r="F91" s="34" t="str">
        <f aca="false">IF(D91="LabaRugi",INDEX(I_COA!$D$6:$D$265,MATCH(A91,I_COA!$A$6:$A$265,0)),"")</f>
        <v/>
      </c>
    </row>
    <row r="92" customFormat="false" ht="15" hidden="false" customHeight="false" outlineLevel="0" collapsed="false">
      <c r="A92" s="44" t="n">
        <v>2103009</v>
      </c>
      <c r="B92" s="44" t="s">
        <v>2277</v>
      </c>
      <c r="C92" s="42" t="n">
        <v>0</v>
      </c>
      <c r="D92" s="34" t="str">
        <f aca="false">IF(A92="","",IFERROR(INDEX(I_COA!$C$6:$C$265,MATCH(A92,I_COA!$A$6:$A$265,0)),"AKUN BARU"))</f>
        <v>Neraca</v>
      </c>
      <c r="E92" s="34" t="str">
        <f aca="false">IF(D92="Neraca",INDEX(I_COA!$E$6:$E$265,MATCH(A92,I_COA!$A$6:$A$265,0)),"")</f>
        <v>Accrued Expenses - Third Parties</v>
      </c>
      <c r="F92" s="34" t="str">
        <f aca="false">IF(D92="LabaRugi",INDEX(I_COA!$D$6:$D$265,MATCH(A92,I_COA!$A$6:$A$265,0)),"")</f>
        <v/>
      </c>
    </row>
    <row r="93" customFormat="false" ht="15" hidden="false" customHeight="false" outlineLevel="0" collapsed="false">
      <c r="A93" s="44" t="n">
        <v>2103010</v>
      </c>
      <c r="B93" s="44" t="s">
        <v>2278</v>
      </c>
      <c r="C93" s="42" t="n">
        <v>0</v>
      </c>
      <c r="D93" s="34" t="str">
        <f aca="false">IF(A93="","",IFERROR(INDEX(I_COA!$C$6:$C$265,MATCH(A93,I_COA!$A$6:$A$265,0)),"AKUN BARU"))</f>
        <v>Neraca</v>
      </c>
      <c r="E93" s="34" t="str">
        <f aca="false">IF(D93="Neraca",INDEX(I_COA!$E$6:$E$265,MATCH(A93,I_COA!$A$6:$A$265,0)),"")</f>
        <v>Accrued Expenses - Third Parties</v>
      </c>
      <c r="F93" s="34" t="str">
        <f aca="false">IF(D93="LabaRugi",INDEX(I_COA!$D$6:$D$265,MATCH(A93,I_COA!$A$6:$A$265,0)),"")</f>
        <v/>
      </c>
    </row>
    <row r="94" customFormat="false" ht="15" hidden="false" customHeight="false" outlineLevel="0" collapsed="false">
      <c r="A94" s="44" t="n">
        <v>2103011</v>
      </c>
      <c r="B94" s="44" t="s">
        <v>693</v>
      </c>
      <c r="C94" s="42" t="n">
        <v>0</v>
      </c>
      <c r="D94" s="34" t="str">
        <f aca="false">IF(A94="","",IFERROR(INDEX(I_COA!$C$6:$C$265,MATCH(A94,I_COA!$A$6:$A$265,0)),"AKUN BARU"))</f>
        <v>Neraca</v>
      </c>
      <c r="E94" s="34" t="str">
        <f aca="false">IF(D94="Neraca",INDEX(I_COA!$E$6:$E$265,MATCH(A94,I_COA!$A$6:$A$265,0)),"")</f>
        <v>Accrued Expenses - Third Parties</v>
      </c>
      <c r="F94" s="34" t="str">
        <f aca="false">IF(D94="LabaRugi",INDEX(I_COA!$D$6:$D$265,MATCH(A94,I_COA!$A$6:$A$265,0)),"")</f>
        <v/>
      </c>
    </row>
    <row r="95" customFormat="false" ht="15" hidden="false" customHeight="false" outlineLevel="0" collapsed="false">
      <c r="A95" s="44" t="n">
        <v>2103012</v>
      </c>
      <c r="B95" s="44" t="s">
        <v>651</v>
      </c>
      <c r="C95" s="42" t="n">
        <v>-180998400</v>
      </c>
      <c r="D95" s="34" t="str">
        <f aca="false">IF(A95="","",IFERROR(INDEX(I_COA!$C$6:$C$265,MATCH(A95,I_COA!$A$6:$A$265,0)),"AKUN BARU"))</f>
        <v>Neraca</v>
      </c>
      <c r="E95" s="34" t="str">
        <f aca="false">IF(D95="Neraca",INDEX(I_COA!$E$6:$E$265,MATCH(A95,I_COA!$A$6:$A$265,0)),"")</f>
        <v>Accrued Expenses - Third Parties</v>
      </c>
      <c r="F95" s="34" t="str">
        <f aca="false">IF(D95="LabaRugi",INDEX(I_COA!$D$6:$D$265,MATCH(A95,I_COA!$A$6:$A$265,0)),"")</f>
        <v/>
      </c>
    </row>
    <row r="96" customFormat="false" ht="15" hidden="false" customHeight="false" outlineLevel="0" collapsed="false">
      <c r="A96" s="44" t="n">
        <v>3100</v>
      </c>
      <c r="B96" s="44" t="s">
        <v>2279</v>
      </c>
      <c r="C96" s="42" t="n">
        <v>0</v>
      </c>
      <c r="D96" s="34" t="str">
        <f aca="false">IF(A96="","",IFERROR(INDEX(I_COA!$C$6:$C$265,MATCH(A96,I_COA!$A$6:$A$265,0)),"AKUN BARU"))</f>
        <v>Header</v>
      </c>
      <c r="E96" s="34" t="str">
        <f aca="false">IF(D96="Neraca",INDEX(I_COA!$E$6:$E$265,MATCH(A96,I_COA!$A$6:$A$265,0)),"")</f>
        <v/>
      </c>
      <c r="F96" s="34" t="str">
        <f aca="false">IF(D96="LabaRugi",INDEX(I_COA!$D$6:$D$265,MATCH(A96,I_COA!$A$6:$A$265,0)),"")</f>
        <v/>
      </c>
    </row>
    <row r="97" customFormat="false" ht="15" hidden="false" customHeight="false" outlineLevel="0" collapsed="false">
      <c r="A97" s="44" t="n">
        <v>3100001</v>
      </c>
      <c r="B97" s="44" t="s">
        <v>2280</v>
      </c>
      <c r="C97" s="42" t="n">
        <v>-5000000000</v>
      </c>
      <c r="D97" s="34" t="str">
        <f aca="false">IF(A97="","",IFERROR(INDEX(I_COA!$C$6:$C$265,MATCH(A97,I_COA!$A$6:$A$265,0)),"AKUN BARU"))</f>
        <v>Neraca</v>
      </c>
      <c r="E97" s="34" t="str">
        <f aca="false">IF(D97="Neraca",INDEX(I_COA!$E$6:$E$265,MATCH(A97,I_COA!$A$6:$A$265,0)),"")</f>
        <v>Shareholder Equity</v>
      </c>
      <c r="F97" s="34" t="str">
        <f aca="false">IF(D97="LabaRugi",INDEX(I_COA!$D$6:$D$265,MATCH(A97,I_COA!$A$6:$A$265,0)),"")</f>
        <v/>
      </c>
    </row>
    <row r="98" customFormat="false" ht="15" hidden="false" customHeight="false" outlineLevel="0" collapsed="false">
      <c r="A98" s="44" t="n">
        <v>3100002</v>
      </c>
      <c r="B98" s="44" t="s">
        <v>2281</v>
      </c>
      <c r="C98" s="42" t="n">
        <v>0</v>
      </c>
      <c r="D98" s="34" t="str">
        <f aca="false">IF(A98="","",IFERROR(INDEX(I_COA!$C$6:$C$265,MATCH(A98,I_COA!$A$6:$A$265,0)),"AKUN BARU"))</f>
        <v>Neraca</v>
      </c>
      <c r="E98" s="34" t="str">
        <f aca="false">IF(D98="Neraca",INDEX(I_COA!$E$6:$E$265,MATCH(A98,I_COA!$A$6:$A$265,0)),"")</f>
        <v>Retained earnings</v>
      </c>
      <c r="F98" s="34" t="str">
        <f aca="false">IF(D98="LabaRugi",INDEX(I_COA!$D$6:$D$265,MATCH(A98,I_COA!$A$6:$A$265,0)),"")</f>
        <v/>
      </c>
    </row>
    <row r="99" customFormat="false" ht="15" hidden="false" customHeight="false" outlineLevel="0" collapsed="false">
      <c r="A99" s="44" t="n">
        <v>3100003</v>
      </c>
      <c r="B99" s="44" t="s">
        <v>2282</v>
      </c>
      <c r="C99" s="42" t="n">
        <v>2495400101.18</v>
      </c>
      <c r="D99" s="34" t="str">
        <f aca="false">IF(A99="","",IFERROR(INDEX(I_COA!$C$6:$C$265,MATCH(A99,I_COA!$A$6:$A$265,0)),"AKUN BARU"))</f>
        <v>Neraca</v>
      </c>
      <c r="E99" s="34" t="str">
        <f aca="false">IF(D99="Neraca",INDEX(I_COA!$E$6:$E$265,MATCH(A99,I_COA!$A$6:$A$265,0)),"")</f>
        <v>Retained earnings</v>
      </c>
      <c r="F99" s="34" t="str">
        <f aca="false">IF(D99="LabaRugi",INDEX(I_COA!$D$6:$D$265,MATCH(A99,I_COA!$A$6:$A$265,0)),"")</f>
        <v/>
      </c>
    </row>
    <row r="100" customFormat="false" ht="15" hidden="false" customHeight="false" outlineLevel="0" collapsed="false">
      <c r="A100" s="44" t="n">
        <v>3100004</v>
      </c>
      <c r="B100" s="44" t="s">
        <v>2283</v>
      </c>
      <c r="C100" s="42" t="n">
        <v>203034567.44</v>
      </c>
      <c r="D100" s="34" t="str">
        <f aca="false">IF(A100="","",IFERROR(INDEX(I_COA!$C$6:$C$265,MATCH(A100,I_COA!$A$6:$A$265,0)),"AKUN BARU"))</f>
        <v>Neraca</v>
      </c>
      <c r="E100" s="34" t="str">
        <f aca="false">IF(D100="Neraca",INDEX(I_COA!$E$6:$E$265,MATCH(A100,I_COA!$A$6:$A$265,0)),"")</f>
        <v>Retained earnings</v>
      </c>
      <c r="F100" s="34" t="str">
        <f aca="false">IF(D100="LabaRugi",INDEX(I_COA!$D$6:$D$265,MATCH(A100,I_COA!$A$6:$A$265,0)),"")</f>
        <v/>
      </c>
    </row>
    <row r="101" customFormat="false" ht="15" hidden="false" customHeight="false" outlineLevel="0" collapsed="false">
      <c r="A101" s="44" t="n">
        <v>4101</v>
      </c>
      <c r="B101" s="44" t="s">
        <v>2284</v>
      </c>
      <c r="C101" s="42" t="n">
        <v>0</v>
      </c>
      <c r="D101" s="34" t="str">
        <f aca="false">IF(A101="","",IFERROR(INDEX(I_COA!$C$6:$C$265,MATCH(A101,I_COA!$A$6:$A$265,0)),"AKUN BARU"))</f>
        <v>Header</v>
      </c>
      <c r="E101" s="34" t="str">
        <f aca="false">IF(D101="Neraca",INDEX(I_COA!$E$6:$E$265,MATCH(A101,I_COA!$A$6:$A$265,0)),"")</f>
        <v/>
      </c>
      <c r="F101" s="34" t="str">
        <f aca="false">IF(D101="LabaRugi",INDEX(I_COA!$D$6:$D$265,MATCH(A101,I_COA!$A$6:$A$265,0)),"")</f>
        <v/>
      </c>
    </row>
    <row r="102" customFormat="false" ht="15" hidden="false" customHeight="false" outlineLevel="0" collapsed="false">
      <c r="A102" s="44" t="n">
        <v>4101001</v>
      </c>
      <c r="B102" s="44" t="s">
        <v>2285</v>
      </c>
      <c r="C102" s="42" t="n">
        <v>0</v>
      </c>
      <c r="D102" s="34" t="str">
        <f aca="false">IF(A102="","",IFERROR(INDEX(I_COA!$C$6:$C$265,MATCH(A102,I_COA!$A$6:$A$265,0)),"AKUN BARU"))</f>
        <v>LabaRugi</v>
      </c>
      <c r="E102" s="34" t="str">
        <f aca="false">IF(D102="Neraca",INDEX(I_COA!$E$6:$E$265,MATCH(A102,I_COA!$A$6:$A$265,0)),"")</f>
        <v/>
      </c>
      <c r="F102" s="34" t="str">
        <f aca="false">IF(D102="LabaRugi",INDEX(I_COA!$D$6:$D$265,MATCH(A102,I_COA!$A$6:$A$265,0)),"")</f>
        <v>Revenue - Trading</v>
      </c>
    </row>
    <row r="103" customFormat="false" ht="15" hidden="false" customHeight="false" outlineLevel="0" collapsed="false">
      <c r="A103" s="44" t="n">
        <v>4101002</v>
      </c>
      <c r="B103" s="44" t="s">
        <v>2286</v>
      </c>
      <c r="C103" s="42" t="n">
        <v>0</v>
      </c>
      <c r="D103" s="34" t="str">
        <f aca="false">IF(A103="","",IFERROR(INDEX(I_COA!$C$6:$C$265,MATCH(A103,I_COA!$A$6:$A$265,0)),"AKUN BARU"))</f>
        <v>LabaRugi</v>
      </c>
      <c r="E103" s="34" t="str">
        <f aca="false">IF(D103="Neraca",INDEX(I_COA!$E$6:$E$265,MATCH(A103,I_COA!$A$6:$A$265,0)),"")</f>
        <v/>
      </c>
      <c r="F103" s="34" t="str">
        <f aca="false">IF(D103="LabaRugi",INDEX(I_COA!$D$6:$D$265,MATCH(A103,I_COA!$A$6:$A$265,0)),"")</f>
        <v>Revenue - Trading</v>
      </c>
    </row>
    <row r="104" customFormat="false" ht="15" hidden="false" customHeight="false" outlineLevel="0" collapsed="false">
      <c r="A104" s="44" t="n">
        <v>4101003</v>
      </c>
      <c r="B104" s="44" t="s">
        <v>2287</v>
      </c>
      <c r="C104" s="42" t="n">
        <v>0</v>
      </c>
      <c r="D104" s="34" t="str">
        <f aca="false">IF(A104="","",IFERROR(INDEX(I_COA!$C$6:$C$265,MATCH(A104,I_COA!$A$6:$A$265,0)),"AKUN BARU"))</f>
        <v>LabaRugi</v>
      </c>
      <c r="E104" s="34" t="str">
        <f aca="false">IF(D104="Neraca",INDEX(I_COA!$E$6:$E$265,MATCH(A104,I_COA!$A$6:$A$265,0)),"")</f>
        <v/>
      </c>
      <c r="F104" s="34" t="str">
        <f aca="false">IF(D104="LabaRugi",INDEX(I_COA!$D$6:$D$265,MATCH(A104,I_COA!$A$6:$A$265,0)),"")</f>
        <v>Revenue - Trading</v>
      </c>
    </row>
    <row r="105" customFormat="false" ht="15" hidden="false" customHeight="false" outlineLevel="0" collapsed="false">
      <c r="A105" s="44" t="n">
        <v>4101004</v>
      </c>
      <c r="B105" s="44" t="s">
        <v>755</v>
      </c>
      <c r="C105" s="42" t="n">
        <v>0</v>
      </c>
      <c r="D105" s="34" t="str">
        <f aca="false">IF(A105="","",IFERROR(INDEX(I_COA!$C$6:$C$265,MATCH(A105,I_COA!$A$6:$A$265,0)),"AKUN BARU"))</f>
        <v>LabaRugi</v>
      </c>
      <c r="E105" s="34" t="str">
        <f aca="false">IF(D105="Neraca",INDEX(I_COA!$E$6:$E$265,MATCH(A105,I_COA!$A$6:$A$265,0)),"")</f>
        <v/>
      </c>
      <c r="F105" s="34" t="str">
        <f aca="false">IF(D105="LabaRugi",INDEX(I_COA!$D$6:$D$265,MATCH(A105,I_COA!$A$6:$A$265,0)),"")</f>
        <v>Revenue - Trading</v>
      </c>
    </row>
    <row r="106" customFormat="false" ht="15" hidden="false" customHeight="false" outlineLevel="0" collapsed="false">
      <c r="A106" s="44" t="n">
        <v>4101005</v>
      </c>
      <c r="B106" s="44" t="s">
        <v>2288</v>
      </c>
      <c r="C106" s="42" t="n">
        <v>0</v>
      </c>
      <c r="D106" s="34" t="str">
        <f aca="false">IF(A106="","",IFERROR(INDEX(I_COA!$C$6:$C$265,MATCH(A106,I_COA!$A$6:$A$265,0)),"AKUN BARU"))</f>
        <v>LabaRugi</v>
      </c>
      <c r="E106" s="34" t="str">
        <f aca="false">IF(D106="Neraca",INDEX(I_COA!$E$6:$E$265,MATCH(A106,I_COA!$A$6:$A$265,0)),"")</f>
        <v/>
      </c>
      <c r="F106" s="34" t="str">
        <f aca="false">IF(D106="LabaRugi",INDEX(I_COA!$D$6:$D$265,MATCH(A106,I_COA!$A$6:$A$265,0)),"")</f>
        <v>Revenue - Trading</v>
      </c>
    </row>
    <row r="107" customFormat="false" ht="15" hidden="false" customHeight="false" outlineLevel="0" collapsed="false">
      <c r="A107" s="44" t="n">
        <v>4101006</v>
      </c>
      <c r="B107" s="44" t="s">
        <v>626</v>
      </c>
      <c r="C107" s="42" t="n">
        <v>-2486192807.5</v>
      </c>
      <c r="D107" s="34" t="str">
        <f aca="false">IF(A107="","",IFERROR(INDEX(I_COA!$C$6:$C$265,MATCH(A107,I_COA!$A$6:$A$265,0)),"AKUN BARU"))</f>
        <v>LabaRugi</v>
      </c>
      <c r="E107" s="34" t="str">
        <f aca="false">IF(D107="Neraca",INDEX(I_COA!$E$6:$E$265,MATCH(A107,I_COA!$A$6:$A$265,0)),"")</f>
        <v/>
      </c>
      <c r="F107" s="34" t="str">
        <f aca="false">IF(D107="LabaRugi",INDEX(I_COA!$D$6:$D$265,MATCH(A107,I_COA!$A$6:$A$265,0)),"")</f>
        <v>Revenue - LB Main Product</v>
      </c>
    </row>
    <row r="108" customFormat="false" ht="15" hidden="false" customHeight="false" outlineLevel="0" collapsed="false">
      <c r="A108" s="44" t="n">
        <v>4101007</v>
      </c>
      <c r="B108" s="44" t="s">
        <v>985</v>
      </c>
      <c r="C108" s="42" t="n">
        <v>-491638410</v>
      </c>
      <c r="D108" s="34" t="str">
        <f aca="false">IF(A108="","",IFERROR(INDEX(I_COA!$C$6:$C$265,MATCH(A108,I_COA!$A$6:$A$265,0)),"AKUN BARU"))</f>
        <v>LabaRugi</v>
      </c>
      <c r="E108" s="34" t="str">
        <f aca="false">IF(D108="Neraca",INDEX(I_COA!$E$6:$E$265,MATCH(A108,I_COA!$A$6:$A$265,0)),"")</f>
        <v/>
      </c>
      <c r="F108" s="34" t="str">
        <f aca="false">IF(D108="LabaRugi",INDEX(I_COA!$D$6:$D$265,MATCH(A108,I_COA!$A$6:$A$265,0)),"")</f>
        <v>Revenue - LB By Product</v>
      </c>
    </row>
    <row r="109" customFormat="false" ht="15" hidden="false" customHeight="false" outlineLevel="0" collapsed="false">
      <c r="A109" s="44" t="n">
        <v>4101008</v>
      </c>
      <c r="B109" s="44" t="s">
        <v>2289</v>
      </c>
      <c r="C109" s="42" t="n">
        <v>0</v>
      </c>
      <c r="D109" s="34" t="str">
        <f aca="false">IF(A109="","",IFERROR(INDEX(I_COA!$C$6:$C$265,MATCH(A109,I_COA!$A$6:$A$265,0)),"AKUN BARU"))</f>
        <v>LabaRugi</v>
      </c>
      <c r="E109" s="34" t="str">
        <f aca="false">IF(D109="Neraca",INDEX(I_COA!$E$6:$E$265,MATCH(A109,I_COA!$A$6:$A$265,0)),"")</f>
        <v/>
      </c>
      <c r="F109" s="34" t="str">
        <f aca="false">IF(D109="LabaRugi",INDEX(I_COA!$D$6:$D$265,MATCH(A109,I_COA!$A$6:$A$265,0)),"")</f>
        <v>Revenue - LB Main Product</v>
      </c>
    </row>
    <row r="110" customFormat="false" ht="15" hidden="false" customHeight="false" outlineLevel="0" collapsed="false">
      <c r="A110" s="44" t="n">
        <v>4101009</v>
      </c>
      <c r="B110" s="44" t="s">
        <v>2290</v>
      </c>
      <c r="C110" s="42" t="n">
        <v>0</v>
      </c>
      <c r="D110" s="34" t="str">
        <f aca="false">IF(A110="","",IFERROR(INDEX(I_COA!$C$6:$C$265,MATCH(A110,I_COA!$A$6:$A$265,0)),"AKUN BARU"))</f>
        <v>LabaRugi</v>
      </c>
      <c r="E110" s="34" t="str">
        <f aca="false">IF(D110="Neraca",INDEX(I_COA!$E$6:$E$265,MATCH(A110,I_COA!$A$6:$A$265,0)),"")</f>
        <v/>
      </c>
      <c r="F110" s="34" t="str">
        <f aca="false">IF(D110="LabaRugi",INDEX(I_COA!$D$6:$D$265,MATCH(A110,I_COA!$A$6:$A$265,0)),"")</f>
        <v>Revenue - LB By Product</v>
      </c>
    </row>
    <row r="111" customFormat="false" ht="15" hidden="false" customHeight="false" outlineLevel="0" collapsed="false">
      <c r="A111" s="44" t="n">
        <v>4101010</v>
      </c>
      <c r="B111" s="44" t="s">
        <v>1284</v>
      </c>
      <c r="C111" s="42" t="n">
        <v>-7268180</v>
      </c>
      <c r="D111" s="34" t="str">
        <f aca="false">IF(A111="","",IFERROR(INDEX(I_COA!$C$6:$C$265,MATCH(A111,I_COA!$A$6:$A$265,0)),"AKUN BARU"))</f>
        <v>LabaRugi</v>
      </c>
      <c r="E111" s="34" t="str">
        <f aca="false">IF(D111="Neraca",INDEX(I_COA!$E$6:$E$265,MATCH(A111,I_COA!$A$6:$A$265,0)),"")</f>
        <v/>
      </c>
      <c r="F111" s="34" t="str">
        <f aca="false">IF(D111="LabaRugi",INDEX(I_COA!$D$6:$D$265,MATCH(A111,I_COA!$A$6:$A$265,0)),"")</f>
        <v>Revenue - LB Main Product</v>
      </c>
    </row>
    <row r="112" customFormat="false" ht="15" hidden="false" customHeight="false" outlineLevel="0" collapsed="false">
      <c r="A112" s="44" t="n">
        <v>4101011</v>
      </c>
      <c r="B112" s="44" t="s">
        <v>2291</v>
      </c>
      <c r="C112" s="42" t="n">
        <v>0</v>
      </c>
      <c r="D112" s="34" t="str">
        <f aca="false">IF(A112="","",IFERROR(INDEX(I_COA!$C$6:$C$265,MATCH(A112,I_COA!$A$6:$A$265,0)),"AKUN BARU"))</f>
        <v>LabaRugi</v>
      </c>
      <c r="E112" s="34" t="str">
        <f aca="false">IF(D112="Neraca",INDEX(I_COA!$E$6:$E$265,MATCH(A112,I_COA!$A$6:$A$265,0)),"")</f>
        <v/>
      </c>
      <c r="F112" s="34" t="str">
        <f aca="false">IF(D112="LabaRugi",INDEX(I_COA!$D$6:$D$265,MATCH(A112,I_COA!$A$6:$A$265,0)),"")</f>
        <v>Revenue - LB Main Product</v>
      </c>
    </row>
    <row r="113" customFormat="false" ht="15" hidden="false" customHeight="false" outlineLevel="0" collapsed="false">
      <c r="A113" s="44" t="n">
        <v>4101012</v>
      </c>
      <c r="B113" s="44" t="s">
        <v>2292</v>
      </c>
      <c r="C113" s="42" t="n">
        <v>-3992970083.2</v>
      </c>
      <c r="D113" s="34" t="str">
        <f aca="false">IF(A113="","",IFERROR(INDEX(I_COA!$C$6:$C$265,MATCH(A113,I_COA!$A$6:$A$265,0)),"AKUN BARU"))</f>
        <v>LabaRugi</v>
      </c>
      <c r="E113" s="34" t="str">
        <f aca="false">IF(D113="Neraca",INDEX(I_COA!$E$6:$E$265,MATCH(A113,I_COA!$A$6:$A$265,0)),"")</f>
        <v/>
      </c>
      <c r="F113" s="34" t="str">
        <f aca="false">IF(D113="LabaRugi",INDEX(I_COA!$D$6:$D$265,MATCH(A113,I_COA!$A$6:$A$265,0)),"")</f>
        <v>Revenue - Trading</v>
      </c>
    </row>
    <row r="114" customFormat="false" ht="15" hidden="false" customHeight="false" outlineLevel="0" collapsed="false">
      <c r="A114" s="44" t="n">
        <v>4101013</v>
      </c>
      <c r="B114" s="44" t="s">
        <v>1290</v>
      </c>
      <c r="C114" s="42" t="n">
        <v>0</v>
      </c>
      <c r="D114" s="34" t="str">
        <f aca="false">IF(A114="","",IFERROR(INDEX(I_COA!$C$6:$C$265,MATCH(A114,I_COA!$A$6:$A$265,0)),"AKUN BARU"))</f>
        <v>LabaRugi</v>
      </c>
      <c r="E114" s="34" t="str">
        <f aca="false">IF(D114="Neraca",INDEX(I_COA!$E$6:$E$265,MATCH(A114,I_COA!$A$6:$A$265,0)),"")</f>
        <v/>
      </c>
      <c r="F114" s="34" t="str">
        <f aca="false">IF(D114="LabaRugi",INDEX(I_COA!$D$6:$D$265,MATCH(A114,I_COA!$A$6:$A$265,0)),"")</f>
        <v>Revenue - LB Main Product</v>
      </c>
    </row>
    <row r="115" customFormat="false" ht="15" hidden="false" customHeight="false" outlineLevel="0" collapsed="false">
      <c r="A115" s="44" t="n">
        <v>5100</v>
      </c>
      <c r="B115" s="44" t="s">
        <v>2293</v>
      </c>
      <c r="C115" s="42" t="n">
        <v>0</v>
      </c>
      <c r="D115" s="34" t="str">
        <f aca="false">IF(A115="","",IFERROR(INDEX(I_COA!$C$6:$C$265,MATCH(A115,I_COA!$A$6:$A$265,0)),"AKUN BARU"))</f>
        <v>Header</v>
      </c>
      <c r="E115" s="34" t="str">
        <f aca="false">IF(D115="Neraca",INDEX(I_COA!$E$6:$E$265,MATCH(A115,I_COA!$A$6:$A$265,0)),"")</f>
        <v/>
      </c>
      <c r="F115" s="34" t="str">
        <f aca="false">IF(D115="LabaRugi",INDEX(I_COA!$D$6:$D$265,MATCH(A115,I_COA!$A$6:$A$265,0)),"")</f>
        <v/>
      </c>
    </row>
    <row r="116" customFormat="false" ht="15" hidden="false" customHeight="false" outlineLevel="0" collapsed="false">
      <c r="A116" s="44" t="n">
        <v>5100001</v>
      </c>
      <c r="B116" s="44" t="s">
        <v>2294</v>
      </c>
      <c r="C116" s="42" t="n">
        <v>0</v>
      </c>
      <c r="D116" s="34" t="str">
        <f aca="false">IF(A116="","",IFERROR(INDEX(I_COA!$C$6:$C$265,MATCH(A116,I_COA!$A$6:$A$265,0)),"AKUN BARU"))</f>
        <v>LabaRugi</v>
      </c>
      <c r="E116" s="34" t="str">
        <f aca="false">IF(D116="Neraca",INDEX(I_COA!$E$6:$E$265,MATCH(A116,I_COA!$A$6:$A$265,0)),"")</f>
        <v/>
      </c>
      <c r="F116" s="34" t="str">
        <f aca="false">IF(D116="LabaRugi",INDEX(I_COA!$D$6:$D$265,MATCH(A116,I_COA!$A$6:$A$265,0)),"")</f>
        <v>COGS - Live Bird</v>
      </c>
    </row>
    <row r="117" customFormat="false" ht="15" hidden="false" customHeight="false" outlineLevel="0" collapsed="false">
      <c r="A117" s="44" t="n">
        <v>5100002</v>
      </c>
      <c r="B117" s="44" t="s">
        <v>1399</v>
      </c>
      <c r="C117" s="42" t="n">
        <v>68000000</v>
      </c>
      <c r="D117" s="34" t="str">
        <f aca="false">IF(A117="","",IFERROR(INDEX(I_COA!$C$6:$C$265,MATCH(A117,I_COA!$A$6:$A$265,0)),"AKUN BARU"))</f>
        <v>LabaRugi</v>
      </c>
      <c r="E117" s="34" t="str">
        <f aca="false">IF(D117="Neraca",INDEX(I_COA!$E$6:$E$265,MATCH(A117,I_COA!$A$6:$A$265,0)),"")</f>
        <v/>
      </c>
      <c r="F117" s="34" t="str">
        <f aca="false">IF(D117="LabaRugi",INDEX(I_COA!$D$6:$D$265,MATCH(A117,I_COA!$A$6:$A$265,0)),"")</f>
        <v>Other COGS - Expedition</v>
      </c>
    </row>
    <row r="118" customFormat="false" ht="15" hidden="false" customHeight="false" outlineLevel="0" collapsed="false">
      <c r="A118" s="44" t="n">
        <v>5100003</v>
      </c>
      <c r="B118" s="44" t="s">
        <v>2295</v>
      </c>
      <c r="C118" s="42" t="n">
        <v>0</v>
      </c>
      <c r="D118" s="34" t="str">
        <f aca="false">IF(A118="","",IFERROR(INDEX(I_COA!$C$6:$C$265,MATCH(A118,I_COA!$A$6:$A$265,0)),"AKUN BARU"))</f>
        <v>LabaRugi</v>
      </c>
      <c r="E118" s="34" t="str">
        <f aca="false">IF(D118="Neraca",INDEX(I_COA!$E$6:$E$265,MATCH(A118,I_COA!$A$6:$A$265,0)),"")</f>
        <v/>
      </c>
      <c r="F118" s="34" t="str">
        <f aca="false">IF(D118="LabaRugi",INDEX(I_COA!$D$6:$D$265,MATCH(A118,I_COA!$A$6:$A$265,0)),"")</f>
        <v>Other COGS - Expedition</v>
      </c>
    </row>
    <row r="119" customFormat="false" ht="15" hidden="false" customHeight="false" outlineLevel="0" collapsed="false">
      <c r="A119" s="44" t="n">
        <v>5100004</v>
      </c>
      <c r="B119" s="44" t="s">
        <v>627</v>
      </c>
      <c r="C119" s="42" t="n">
        <v>2471982972.74</v>
      </c>
      <c r="D119" s="34" t="str">
        <f aca="false">IF(A119="","",IFERROR(INDEX(I_COA!$C$6:$C$265,MATCH(A119,I_COA!$A$6:$A$265,0)),"AKUN BARU"))</f>
        <v>LabaRugi</v>
      </c>
      <c r="E119" s="34" t="str">
        <f aca="false">IF(D119="Neraca",INDEX(I_COA!$E$6:$E$265,MATCH(A119,I_COA!$A$6:$A$265,0)),"")</f>
        <v/>
      </c>
      <c r="F119" s="34" t="str">
        <f aca="false">IF(D119="LabaRugi",INDEX(I_COA!$D$6:$D$265,MATCH(A119,I_COA!$A$6:$A$265,0)),"")</f>
        <v>COGS - Live Bird</v>
      </c>
    </row>
    <row r="120" customFormat="false" ht="15" hidden="false" customHeight="false" outlineLevel="0" collapsed="false">
      <c r="A120" s="44" t="n">
        <v>5100005</v>
      </c>
      <c r="B120" s="44" t="s">
        <v>986</v>
      </c>
      <c r="C120" s="42" t="n">
        <v>244918425.67</v>
      </c>
      <c r="D120" s="34" t="str">
        <f aca="false">IF(A120="","",IFERROR(INDEX(I_COA!$C$6:$C$265,MATCH(A120,I_COA!$A$6:$A$265,0)),"AKUN BARU"))</f>
        <v>LabaRugi</v>
      </c>
      <c r="E120" s="34" t="str">
        <f aca="false">IF(D120="Neraca",INDEX(I_COA!$E$6:$E$265,MATCH(A120,I_COA!$A$6:$A$265,0)),"")</f>
        <v/>
      </c>
      <c r="F120" s="34" t="str">
        <f aca="false">IF(D120="LabaRugi",INDEX(I_COA!$D$6:$D$265,MATCH(A120,I_COA!$A$6:$A$265,0)),"")</f>
        <v>COGS - Live Bird</v>
      </c>
    </row>
    <row r="121" customFormat="false" ht="15" hidden="false" customHeight="false" outlineLevel="0" collapsed="false">
      <c r="A121" s="44" t="n">
        <v>5100006</v>
      </c>
      <c r="B121" s="44" t="s">
        <v>950</v>
      </c>
      <c r="C121" s="42" t="n">
        <v>312986814.6</v>
      </c>
      <c r="D121" s="34" t="str">
        <f aca="false">IF(A121="","",IFERROR(INDEX(I_COA!$C$6:$C$265,MATCH(A121,I_COA!$A$6:$A$265,0)),"AKUN BARU"))</f>
        <v>LabaRugi</v>
      </c>
      <c r="E121" s="34" t="str">
        <f aca="false">IF(D121="Neraca",INDEX(I_COA!$E$6:$E$265,MATCH(A121,I_COA!$A$6:$A$265,0)),"")</f>
        <v/>
      </c>
      <c r="F121" s="34" t="str">
        <f aca="false">IF(D121="LabaRugi",INDEX(I_COA!$D$6:$D$265,MATCH(A121,I_COA!$A$6:$A$265,0)),"")</f>
        <v>COGS - Live Bird</v>
      </c>
    </row>
    <row r="122" customFormat="false" ht="15" hidden="false" customHeight="false" outlineLevel="0" collapsed="false">
      <c r="A122" s="44" t="n">
        <v>5100007</v>
      </c>
      <c r="B122" s="44" t="s">
        <v>708</v>
      </c>
      <c r="C122" s="42" t="n">
        <v>211365236</v>
      </c>
      <c r="D122" s="34" t="str">
        <f aca="false">IF(A122="","",IFERROR(INDEX(I_COA!$C$6:$C$265,MATCH(A122,I_COA!$A$6:$A$265,0)),"AKUN BARU"))</f>
        <v>LabaRugi</v>
      </c>
      <c r="E122" s="34" t="str">
        <f aca="false">IF(D122="Neraca",INDEX(I_COA!$E$6:$E$265,MATCH(A122,I_COA!$A$6:$A$265,0)),"")</f>
        <v/>
      </c>
      <c r="F122" s="34" t="str">
        <f aca="false">IF(D122="LabaRugi",INDEX(I_COA!$D$6:$D$265,MATCH(A122,I_COA!$A$6:$A$265,0)),"")</f>
        <v>Other COGS - Expedition</v>
      </c>
    </row>
    <row r="123" customFormat="false" ht="15" hidden="false" customHeight="false" outlineLevel="0" collapsed="false">
      <c r="A123" s="44" t="n">
        <v>5100008</v>
      </c>
      <c r="B123" s="44" t="s">
        <v>713</v>
      </c>
      <c r="C123" s="42" t="n">
        <v>109091396</v>
      </c>
      <c r="D123" s="34" t="str">
        <f aca="false">IF(A123="","",IFERROR(INDEX(I_COA!$C$6:$C$265,MATCH(A123,I_COA!$A$6:$A$265,0)),"AKUN BARU"))</f>
        <v>LabaRugi</v>
      </c>
      <c r="E123" s="34" t="str">
        <f aca="false">IF(D123="Neraca",INDEX(I_COA!$E$6:$E$265,MATCH(A123,I_COA!$A$6:$A$265,0)),"")</f>
        <v/>
      </c>
      <c r="F123" s="34" t="str">
        <f aca="false">IF(D123="LabaRugi",INDEX(I_COA!$D$6:$D$265,MATCH(A123,I_COA!$A$6:$A$265,0)),"")</f>
        <v>Packaging</v>
      </c>
    </row>
    <row r="124" customFormat="false" ht="15" hidden="false" customHeight="false" outlineLevel="0" collapsed="false">
      <c r="A124" s="44" t="n">
        <v>5100009</v>
      </c>
      <c r="B124" s="44" t="s">
        <v>1003</v>
      </c>
      <c r="C124" s="42" t="n">
        <v>201783911.44</v>
      </c>
      <c r="D124" s="34" t="str">
        <f aca="false">IF(A124="","",IFERROR(INDEX(I_COA!$C$6:$C$265,MATCH(A124,I_COA!$A$6:$A$265,0)),"AKUN BARU"))</f>
        <v>LabaRugi</v>
      </c>
      <c r="E124" s="34" t="str">
        <f aca="false">IF(D124="Neraca",INDEX(I_COA!$E$6:$E$265,MATCH(A124,I_COA!$A$6:$A$265,0)),"")</f>
        <v/>
      </c>
      <c r="F124" s="34" t="str">
        <f aca="false">IF(D124="LabaRugi",INDEX(I_COA!$D$6:$D$265,MATCH(A124,I_COA!$A$6:$A$265,0)),"")</f>
        <v>COGS - Blasting</v>
      </c>
    </row>
    <row r="125" customFormat="false" ht="15" hidden="false" customHeight="false" outlineLevel="0" collapsed="false">
      <c r="A125" s="44" t="n">
        <v>5100010</v>
      </c>
      <c r="B125" s="44" t="s">
        <v>2296</v>
      </c>
      <c r="C125" s="42" t="n">
        <v>1659500</v>
      </c>
      <c r="D125" s="34" t="str">
        <f aca="false">IF(A125="","",IFERROR(INDEX(I_COA!$C$6:$C$265,MATCH(A125,I_COA!$A$6:$A$265,0)),"AKUN BARU"))</f>
        <v>LabaRugi</v>
      </c>
      <c r="E125" s="34" t="str">
        <f aca="false">IF(D125="Neraca",INDEX(I_COA!$E$6:$E$265,MATCH(A125,I_COA!$A$6:$A$265,0)),"")</f>
        <v/>
      </c>
      <c r="F125" s="34" t="str">
        <f aca="false">IF(D125="LabaRugi",INDEX(I_COA!$D$6:$D$265,MATCH(A125,I_COA!$A$6:$A$265,0)),"")</f>
        <v>Other COGS - Expedition</v>
      </c>
    </row>
    <row r="126" customFormat="false" ht="15" hidden="false" customHeight="false" outlineLevel="0" collapsed="false">
      <c r="A126" s="44" t="n">
        <v>5100011</v>
      </c>
      <c r="B126" s="44" t="s">
        <v>166</v>
      </c>
      <c r="C126" s="42" t="n">
        <v>3381669134.96</v>
      </c>
      <c r="D126" s="34" t="str">
        <f aca="false">IF(A126="","",IFERROR(INDEX(I_COA!$C$6:$C$265,MATCH(A126,I_COA!$A$6:$A$265,0)),"AKUN BARU"))</f>
        <v>LabaRugi</v>
      </c>
      <c r="E126" s="34" t="str">
        <f aca="false">IF(D126="Neraca",INDEX(I_COA!$E$6:$E$265,MATCH(A126,I_COA!$A$6:$A$265,0)),"")</f>
        <v/>
      </c>
      <c r="F126" s="34" t="str">
        <f aca="false">IF(D126="LabaRugi",INDEX(I_COA!$D$6:$D$265,MATCH(A126,I_COA!$A$6:$A$265,0)),"")</f>
        <v>COGS - Trading</v>
      </c>
    </row>
    <row r="127" customFormat="false" ht="15" hidden="false" customHeight="false" outlineLevel="0" collapsed="false">
      <c r="A127" s="44" t="n">
        <v>5100012</v>
      </c>
      <c r="B127" s="44" t="s">
        <v>1446</v>
      </c>
      <c r="C127" s="42" t="n">
        <v>114063612.25</v>
      </c>
      <c r="D127" s="34" t="str">
        <f aca="false">IF(A127="","",IFERROR(INDEX(I_COA!$C$6:$C$265,MATCH(A127,I_COA!$A$6:$A$265,0)),"AKUN BARU"))</f>
        <v>LabaRugi</v>
      </c>
      <c r="E127" s="34" t="str">
        <f aca="false">IF(D127="Neraca",INDEX(I_COA!$E$6:$E$265,MATCH(A127,I_COA!$A$6:$A$265,0)),"")</f>
        <v/>
      </c>
      <c r="F127" s="34" t="str">
        <f aca="false">IF(D127="LabaRugi",INDEX(I_COA!$D$6:$D$265,MATCH(A127,I_COA!$A$6:$A$265,0)),"")</f>
        <v>Storage Expenses</v>
      </c>
    </row>
    <row r="128" customFormat="false" ht="15" hidden="false" customHeight="false" outlineLevel="0" collapsed="false">
      <c r="A128" s="44" t="n">
        <v>5100013</v>
      </c>
      <c r="B128" s="44" t="s">
        <v>631</v>
      </c>
      <c r="C128" s="42" t="n">
        <v>16913714.45</v>
      </c>
      <c r="D128" s="34" t="str">
        <f aca="false">IF(A128="","",IFERROR(INDEX(I_COA!$C$6:$C$265,MATCH(A128,I_COA!$A$6:$A$265,0)),"AKUN BARU"))</f>
        <v>LabaRugi</v>
      </c>
      <c r="E128" s="34" t="str">
        <f aca="false">IF(D128="Neraca",INDEX(I_COA!$E$6:$E$265,MATCH(A128,I_COA!$A$6:$A$265,0)),"")</f>
        <v/>
      </c>
      <c r="F128" s="34" t="str">
        <f aca="false">IF(D128="LabaRugi",INDEX(I_COA!$D$6:$D$265,MATCH(A128,I_COA!$A$6:$A$265,0)),"")</f>
        <v>Storage Expenses</v>
      </c>
    </row>
    <row r="129" customFormat="false" ht="15" hidden="false" customHeight="false" outlineLevel="0" collapsed="false">
      <c r="A129" s="44" t="n">
        <v>5100014</v>
      </c>
      <c r="B129" s="44" t="s">
        <v>1437</v>
      </c>
      <c r="C129" s="42" t="n">
        <v>7245937.15</v>
      </c>
      <c r="D129" s="34" t="str">
        <f aca="false">IF(A129="","",IFERROR(INDEX(I_COA!$C$6:$C$265,MATCH(A129,I_COA!$A$6:$A$265,0)),"AKUN BARU"))</f>
        <v>LabaRugi</v>
      </c>
      <c r="E129" s="34" t="str">
        <f aca="false">IF(D129="Neraca",INDEX(I_COA!$E$6:$E$265,MATCH(A129,I_COA!$A$6:$A$265,0)),"")</f>
        <v/>
      </c>
      <c r="F129" s="34" t="str">
        <f aca="false">IF(D129="LabaRugi",INDEX(I_COA!$D$6:$D$265,MATCH(A129,I_COA!$A$6:$A$265,0)),"")</f>
        <v>Storage Expenses</v>
      </c>
    </row>
    <row r="130" customFormat="false" ht="15" hidden="false" customHeight="false" outlineLevel="0" collapsed="false">
      <c r="A130" s="44" t="n">
        <v>6000</v>
      </c>
      <c r="B130" s="44" t="s">
        <v>2297</v>
      </c>
      <c r="C130" s="42" t="n">
        <v>0</v>
      </c>
      <c r="D130" s="34" t="str">
        <f aca="false">IF(A130="","",IFERROR(INDEX(I_COA!$C$6:$C$265,MATCH(A130,I_COA!$A$6:$A$265,0)),"AKUN BARU"))</f>
        <v>Header</v>
      </c>
      <c r="E130" s="34" t="str">
        <f aca="false">IF(D130="Neraca",INDEX(I_COA!$E$6:$E$265,MATCH(A130,I_COA!$A$6:$A$265,0)),"")</f>
        <v/>
      </c>
      <c r="F130" s="34" t="str">
        <f aca="false">IF(D130="LabaRugi",INDEX(I_COA!$D$6:$D$265,MATCH(A130,I_COA!$A$6:$A$265,0)),"")</f>
        <v/>
      </c>
    </row>
    <row r="131" customFormat="false" ht="15" hidden="false" customHeight="false" outlineLevel="0" collapsed="false">
      <c r="A131" s="44" t="n">
        <v>610000</v>
      </c>
      <c r="B131" s="44" t="s">
        <v>2298</v>
      </c>
      <c r="C131" s="42" t="n">
        <v>0</v>
      </c>
      <c r="D131" s="34" t="str">
        <f aca="false">IF(A131="","",IFERROR(INDEX(I_COA!$C$6:$C$265,MATCH(A131,I_COA!$A$6:$A$265,0)),"AKUN BARU"))</f>
        <v>LabaRugi</v>
      </c>
      <c r="E131" s="34" t="str">
        <f aca="false">IF(D131="Neraca",INDEX(I_COA!$E$6:$E$265,MATCH(A131,I_COA!$A$6:$A$265,0)),"")</f>
        <v/>
      </c>
      <c r="F131" s="34" t="str">
        <f aca="false">IF(D131="LabaRugi",INDEX(I_COA!$D$6:$D$265,MATCH(A131,I_COA!$A$6:$A$265,0)),"")</f>
        <v>Other operating expenses</v>
      </c>
    </row>
    <row r="132" customFormat="false" ht="15" hidden="false" customHeight="false" outlineLevel="0" collapsed="false">
      <c r="A132" s="44" t="n">
        <v>6100001</v>
      </c>
      <c r="B132" s="44" t="s">
        <v>2299</v>
      </c>
      <c r="C132" s="42" t="n">
        <v>0</v>
      </c>
      <c r="D132" s="34" t="str">
        <f aca="false">IF(A132="","",IFERROR(INDEX(I_COA!$C$6:$C$265,MATCH(A132,I_COA!$A$6:$A$265,0)),"AKUN BARU"))</f>
        <v>LabaRugi</v>
      </c>
      <c r="E132" s="34" t="str">
        <f aca="false">IF(D132="Neraca",INDEX(I_COA!$E$6:$E$265,MATCH(A132,I_COA!$A$6:$A$265,0)),"")</f>
        <v/>
      </c>
      <c r="F132" s="34" t="str">
        <f aca="false">IF(D132="LabaRugi",INDEX(I_COA!$D$6:$D$265,MATCH(A132,I_COA!$A$6:$A$265,0)),"")</f>
        <v>Salaries and allowance</v>
      </c>
    </row>
    <row r="133" customFormat="false" ht="15" hidden="false" customHeight="false" outlineLevel="0" collapsed="false">
      <c r="A133" s="44" t="n">
        <v>6100002</v>
      </c>
      <c r="B133" s="44" t="s">
        <v>2300</v>
      </c>
      <c r="C133" s="42" t="n">
        <v>0</v>
      </c>
      <c r="D133" s="34" t="str">
        <f aca="false">IF(A133="","",IFERROR(INDEX(I_COA!$C$6:$C$265,MATCH(A133,I_COA!$A$6:$A$265,0)),"AKUN BARU"))</f>
        <v>LabaRugi</v>
      </c>
      <c r="E133" s="34" t="str">
        <f aca="false">IF(D133="Neraca",INDEX(I_COA!$E$6:$E$265,MATCH(A133,I_COA!$A$6:$A$265,0)),"")</f>
        <v/>
      </c>
      <c r="F133" s="34" t="str">
        <f aca="false">IF(D133="LabaRugi",INDEX(I_COA!$D$6:$D$265,MATCH(A133,I_COA!$A$6:$A$265,0)),"")</f>
        <v>Salaries and allowance</v>
      </c>
    </row>
    <row r="134" customFormat="false" ht="15" hidden="false" customHeight="false" outlineLevel="0" collapsed="false">
      <c r="A134" s="44" t="n">
        <v>6100003</v>
      </c>
      <c r="B134" s="44" t="s">
        <v>2301</v>
      </c>
      <c r="C134" s="42" t="n">
        <v>0</v>
      </c>
      <c r="D134" s="34" t="str">
        <f aca="false">IF(A134="","",IFERROR(INDEX(I_COA!$C$6:$C$265,MATCH(A134,I_COA!$A$6:$A$265,0)),"AKUN BARU"))</f>
        <v>LabaRugi</v>
      </c>
      <c r="E134" s="34" t="str">
        <f aca="false">IF(D134="Neraca",INDEX(I_COA!$E$6:$E$265,MATCH(A134,I_COA!$A$6:$A$265,0)),"")</f>
        <v/>
      </c>
      <c r="F134" s="34" t="str">
        <f aca="false">IF(D134="LabaRugi",INDEX(I_COA!$D$6:$D$265,MATCH(A134,I_COA!$A$6:$A$265,0)),"")</f>
        <v>Other operating expenses</v>
      </c>
    </row>
    <row r="135" customFormat="false" ht="15" hidden="false" customHeight="false" outlineLevel="0" collapsed="false">
      <c r="A135" s="44" t="n">
        <v>6100004</v>
      </c>
      <c r="B135" s="44" t="s">
        <v>2302</v>
      </c>
      <c r="C135" s="42" t="n">
        <v>0</v>
      </c>
      <c r="D135" s="34" t="str">
        <f aca="false">IF(A135="","",IFERROR(INDEX(I_COA!$C$6:$C$265,MATCH(A135,I_COA!$A$6:$A$265,0)),"AKUN BARU"))</f>
        <v>LabaRugi</v>
      </c>
      <c r="E135" s="34" t="str">
        <f aca="false">IF(D135="Neraca",INDEX(I_COA!$E$6:$E$265,MATCH(A135,I_COA!$A$6:$A$265,0)),"")</f>
        <v/>
      </c>
      <c r="F135" s="34" t="str">
        <f aca="false">IF(D135="LabaRugi",INDEX(I_COA!$D$6:$D$265,MATCH(A135,I_COA!$A$6:$A$265,0)),"")</f>
        <v>Commission Expenses</v>
      </c>
    </row>
    <row r="136" customFormat="false" ht="15" hidden="false" customHeight="false" outlineLevel="0" collapsed="false">
      <c r="A136" s="44" t="n">
        <v>6100005</v>
      </c>
      <c r="B136" s="44" t="s">
        <v>635</v>
      </c>
      <c r="C136" s="42" t="n">
        <v>1610802</v>
      </c>
      <c r="D136" s="34" t="str">
        <f aca="false">IF(A136="","",IFERROR(INDEX(I_COA!$C$6:$C$265,MATCH(A136,I_COA!$A$6:$A$265,0)),"AKUN BARU"))</f>
        <v>LabaRugi</v>
      </c>
      <c r="E136" s="34" t="str">
        <f aca="false">IF(D136="Neraca",INDEX(I_COA!$E$6:$E$265,MATCH(A136,I_COA!$A$6:$A$265,0)),"")</f>
        <v/>
      </c>
      <c r="F136" s="34" t="str">
        <f aca="false">IF(D136="LabaRugi",INDEX(I_COA!$D$6:$D$265,MATCH(A136,I_COA!$A$6:$A$265,0)),"")</f>
        <v>Commission Expenses</v>
      </c>
    </row>
    <row r="137" customFormat="false" ht="15" hidden="false" customHeight="false" outlineLevel="0" collapsed="false">
      <c r="A137" s="44" t="n">
        <v>6100006</v>
      </c>
      <c r="B137" s="44" t="s">
        <v>717</v>
      </c>
      <c r="C137" s="42" t="n">
        <v>15400000</v>
      </c>
      <c r="D137" s="34" t="str">
        <f aca="false">IF(A137="","",IFERROR(INDEX(I_COA!$C$6:$C$265,MATCH(A137,I_COA!$A$6:$A$265,0)),"AKUN BARU"))</f>
        <v>LabaRugi</v>
      </c>
      <c r="E137" s="34" t="str">
        <f aca="false">IF(D137="Neraca",INDEX(I_COA!$E$6:$E$265,MATCH(A137,I_COA!$A$6:$A$265,0)),"")</f>
        <v/>
      </c>
      <c r="F137" s="34" t="str">
        <f aca="false">IF(D137="LabaRugi",INDEX(I_COA!$D$6:$D$265,MATCH(A137,I_COA!$A$6:$A$265,0)),"")</f>
        <v>Delivery Expenses</v>
      </c>
    </row>
    <row r="138" customFormat="false" ht="15" hidden="false" customHeight="false" outlineLevel="0" collapsed="false">
      <c r="A138" s="44" t="n">
        <v>6100007</v>
      </c>
      <c r="B138" s="44" t="s">
        <v>2303</v>
      </c>
      <c r="C138" s="42" t="n">
        <v>46000</v>
      </c>
      <c r="D138" s="34" t="str">
        <f aca="false">IF(A138="","",IFERROR(INDEX(I_COA!$C$6:$C$265,MATCH(A138,I_COA!$A$6:$A$265,0)),"AKUN BARU"))</f>
        <v>LabaRugi</v>
      </c>
      <c r="E138" s="34" t="str">
        <f aca="false">IF(D138="Neraca",INDEX(I_COA!$E$6:$E$265,MATCH(A138,I_COA!$A$6:$A$265,0)),"")</f>
        <v/>
      </c>
      <c r="F138" s="34" t="str">
        <f aca="false">IF(D138="LabaRugi",INDEX(I_COA!$D$6:$D$265,MATCH(A138,I_COA!$A$6:$A$265,0)),"")</f>
        <v>Office Transportation expenses</v>
      </c>
    </row>
    <row r="139" customFormat="false" ht="15" hidden="false" customHeight="false" outlineLevel="0" collapsed="false">
      <c r="A139" s="44" t="n">
        <v>6100008</v>
      </c>
      <c r="B139" s="44" t="s">
        <v>1372</v>
      </c>
      <c r="C139" s="42" t="n">
        <v>7000000</v>
      </c>
      <c r="D139" s="34" t="str">
        <f aca="false">IF(A139="","",IFERROR(INDEX(I_COA!$C$6:$C$265,MATCH(A139,I_COA!$A$6:$A$265,0)),"AKUN BARU"))</f>
        <v>LabaRugi</v>
      </c>
      <c r="E139" s="34" t="str">
        <f aca="false">IF(D139="Neraca",INDEX(I_COA!$E$6:$E$265,MATCH(A139,I_COA!$A$6:$A$265,0)),"")</f>
        <v/>
      </c>
      <c r="F139" s="34" t="str">
        <f aca="false">IF(D139="LabaRugi",INDEX(I_COA!$D$6:$D$265,MATCH(A139,I_COA!$A$6:$A$265,0)),"")</f>
        <v>Office Transportation expenses</v>
      </c>
    </row>
    <row r="140" customFormat="false" ht="15" hidden="false" customHeight="false" outlineLevel="0" collapsed="false">
      <c r="A140" s="44" t="n">
        <v>6100009</v>
      </c>
      <c r="B140" s="44" t="s">
        <v>2304</v>
      </c>
      <c r="C140" s="42" t="n">
        <v>8844020</v>
      </c>
      <c r="D140" s="34" t="str">
        <f aca="false">IF(A140="","",IFERROR(INDEX(I_COA!$C$6:$C$265,MATCH(A140,I_COA!$A$6:$A$265,0)),"AKUN BARU"))</f>
        <v>LabaRugi</v>
      </c>
      <c r="E140" s="34" t="str">
        <f aca="false">IF(D140="Neraca",INDEX(I_COA!$E$6:$E$265,MATCH(A140,I_COA!$A$6:$A$265,0)),"")</f>
        <v/>
      </c>
      <c r="F140" s="34" t="str">
        <f aca="false">IF(D140="LabaRugi",INDEX(I_COA!$D$6:$D$265,MATCH(A140,I_COA!$A$6:$A$265,0)),"")</f>
        <v>Office Transportation expenses</v>
      </c>
    </row>
    <row r="141" customFormat="false" ht="15" hidden="false" customHeight="false" outlineLevel="0" collapsed="false">
      <c r="A141" s="44" t="n">
        <v>6100010</v>
      </c>
      <c r="B141" s="44" t="s">
        <v>2305</v>
      </c>
      <c r="C141" s="42" t="n">
        <v>0</v>
      </c>
      <c r="D141" s="34" t="str">
        <f aca="false">IF(A141="","",IFERROR(INDEX(I_COA!$C$6:$C$265,MATCH(A141,I_COA!$A$6:$A$265,0)),"AKUN BARU"))</f>
        <v>LabaRugi</v>
      </c>
      <c r="E141" s="34" t="str">
        <f aca="false">IF(D141="Neraca",INDEX(I_COA!$E$6:$E$265,MATCH(A141,I_COA!$A$6:$A$265,0)),"")</f>
        <v/>
      </c>
      <c r="F141" s="34" t="str">
        <f aca="false">IF(D141="LabaRugi",INDEX(I_COA!$D$6:$D$265,MATCH(A141,I_COA!$A$6:$A$265,0)),"")</f>
        <v>Salaries and allowance</v>
      </c>
    </row>
    <row r="142" customFormat="false" ht="15" hidden="false" customHeight="false" outlineLevel="0" collapsed="false">
      <c r="A142" s="44" t="n">
        <v>620000</v>
      </c>
      <c r="B142" s="44" t="s">
        <v>2306</v>
      </c>
      <c r="C142" s="42" t="n">
        <v>0</v>
      </c>
      <c r="D142" s="34" t="str">
        <f aca="false">IF(A142="","",IFERROR(INDEX(I_COA!$C$6:$C$265,MATCH(A142,I_COA!$A$6:$A$265,0)),"AKUN BARU"))</f>
        <v>LabaRugi</v>
      </c>
      <c r="E142" s="34" t="str">
        <f aca="false">IF(D142="Neraca",INDEX(I_COA!$E$6:$E$265,MATCH(A142,I_COA!$A$6:$A$265,0)),"")</f>
        <v/>
      </c>
      <c r="F142" s="34" t="str">
        <f aca="false">IF(D142="LabaRugi",INDEX(I_COA!$D$6:$D$265,MATCH(A142,I_COA!$A$6:$A$265,0)),"")</f>
        <v>Other operating expenses</v>
      </c>
    </row>
    <row r="143" customFormat="false" ht="15" hidden="false" customHeight="false" outlineLevel="0" collapsed="false">
      <c r="A143" s="44" t="n">
        <v>6200001</v>
      </c>
      <c r="B143" s="44" t="s">
        <v>2307</v>
      </c>
      <c r="C143" s="42" t="n">
        <v>176713169</v>
      </c>
      <c r="D143" s="34" t="str">
        <f aca="false">IF(A143="","",IFERROR(INDEX(I_COA!$C$6:$C$265,MATCH(A143,I_COA!$A$6:$A$265,0)),"AKUN BARU"))</f>
        <v>LabaRugi</v>
      </c>
      <c r="E143" s="34" t="str">
        <f aca="false">IF(D143="Neraca",INDEX(I_COA!$E$6:$E$265,MATCH(A143,I_COA!$A$6:$A$265,0)),"")</f>
        <v/>
      </c>
      <c r="F143" s="34" t="str">
        <f aca="false">IF(D143="LabaRugi",INDEX(I_COA!$D$6:$D$265,MATCH(A143,I_COA!$A$6:$A$265,0)),"")</f>
        <v>Salaries and allowance</v>
      </c>
    </row>
    <row r="144" customFormat="false" ht="15" hidden="false" customHeight="false" outlineLevel="0" collapsed="false">
      <c r="A144" s="44" t="n">
        <v>6200002</v>
      </c>
      <c r="B144" s="44" t="s">
        <v>2308</v>
      </c>
      <c r="C144" s="42" t="n">
        <v>0</v>
      </c>
      <c r="D144" s="34" t="str">
        <f aca="false">IF(A144="","",IFERROR(INDEX(I_COA!$C$6:$C$265,MATCH(A144,I_COA!$A$6:$A$265,0)),"AKUN BARU"))</f>
        <v>LabaRugi</v>
      </c>
      <c r="E144" s="34" t="str">
        <f aca="false">IF(D144="Neraca",INDEX(I_COA!$E$6:$E$265,MATCH(A144,I_COA!$A$6:$A$265,0)),"")</f>
        <v/>
      </c>
      <c r="F144" s="34" t="str">
        <f aca="false">IF(D144="LabaRugi",INDEX(I_COA!$D$6:$D$265,MATCH(A144,I_COA!$A$6:$A$265,0)),"")</f>
        <v>Salaries and allowance</v>
      </c>
    </row>
    <row r="145" customFormat="false" ht="15" hidden="false" customHeight="false" outlineLevel="0" collapsed="false">
      <c r="A145" s="44" t="n">
        <v>6200003</v>
      </c>
      <c r="B145" s="44" t="s">
        <v>2309</v>
      </c>
      <c r="C145" s="42" t="n">
        <v>0</v>
      </c>
      <c r="D145" s="34" t="str">
        <f aca="false">IF(A145="","",IFERROR(INDEX(I_COA!$C$6:$C$265,MATCH(A145,I_COA!$A$6:$A$265,0)),"AKUN BARU"))</f>
        <v>LabaRugi</v>
      </c>
      <c r="E145" s="34" t="str">
        <f aca="false">IF(D145="Neraca",INDEX(I_COA!$E$6:$E$265,MATCH(A145,I_COA!$A$6:$A$265,0)),"")</f>
        <v/>
      </c>
      <c r="F145" s="34" t="str">
        <f aca="false">IF(D145="LabaRugi",INDEX(I_COA!$D$6:$D$265,MATCH(A145,I_COA!$A$6:$A$265,0)),"")</f>
        <v>Office Transportation expenses</v>
      </c>
    </row>
    <row r="146" customFormat="false" ht="15" hidden="false" customHeight="false" outlineLevel="0" collapsed="false">
      <c r="A146" s="44" t="n">
        <v>6200004</v>
      </c>
      <c r="B146" s="44" t="s">
        <v>1496</v>
      </c>
      <c r="C146" s="42" t="n">
        <v>0</v>
      </c>
      <c r="D146" s="34" t="str">
        <f aca="false">IF(A146="","",IFERROR(INDEX(I_COA!$C$6:$C$265,MATCH(A146,I_COA!$A$6:$A$265,0)),"AKUN BARU"))</f>
        <v>LabaRugi</v>
      </c>
      <c r="E146" s="34" t="str">
        <f aca="false">IF(D146="Neraca",INDEX(I_COA!$E$6:$E$265,MATCH(A146,I_COA!$A$6:$A$265,0)),"")</f>
        <v/>
      </c>
      <c r="F146" s="34" t="str">
        <f aca="false">IF(D146="LabaRugi",INDEX(I_COA!$D$6:$D$265,MATCH(A146,I_COA!$A$6:$A$265,0)),"")</f>
        <v>Office Transportation expenses</v>
      </c>
    </row>
    <row r="147" customFormat="false" ht="15" hidden="false" customHeight="false" outlineLevel="0" collapsed="false">
      <c r="A147" s="44" t="n">
        <v>6200005</v>
      </c>
      <c r="B147" s="44" t="s">
        <v>732</v>
      </c>
      <c r="C147" s="42" t="n">
        <v>26363206</v>
      </c>
      <c r="D147" s="34" t="str">
        <f aca="false">IF(A147="","",IFERROR(INDEX(I_COA!$C$6:$C$265,MATCH(A147,I_COA!$A$6:$A$265,0)),"AKUN BARU"))</f>
        <v>LabaRugi</v>
      </c>
      <c r="E147" s="34" t="str">
        <f aca="false">IF(D147="Neraca",INDEX(I_COA!$E$6:$E$265,MATCH(A147,I_COA!$A$6:$A$265,0)),"")</f>
        <v/>
      </c>
      <c r="F147" s="34" t="str">
        <f aca="false">IF(D147="LabaRugi",INDEX(I_COA!$D$6:$D$265,MATCH(A147,I_COA!$A$6:$A$265,0)),"")</f>
        <v>Office Transportation expenses</v>
      </c>
    </row>
    <row r="148" customFormat="false" ht="15" hidden="false" customHeight="false" outlineLevel="0" collapsed="false">
      <c r="A148" s="44" t="n">
        <v>6200006</v>
      </c>
      <c r="B148" s="44" t="s">
        <v>2310</v>
      </c>
      <c r="C148" s="42" t="n">
        <v>0</v>
      </c>
      <c r="D148" s="34" t="str">
        <f aca="false">IF(A148="","",IFERROR(INDEX(I_COA!$C$6:$C$265,MATCH(A148,I_COA!$A$6:$A$265,0)),"AKUN BARU"))</f>
        <v>LabaRugi</v>
      </c>
      <c r="E148" s="34" t="str">
        <f aca="false">IF(D148="Neraca",INDEX(I_COA!$E$6:$E$265,MATCH(A148,I_COA!$A$6:$A$265,0)),"")</f>
        <v/>
      </c>
      <c r="F148" s="34" t="str">
        <f aca="false">IF(D148="LabaRugi",INDEX(I_COA!$D$6:$D$265,MATCH(A148,I_COA!$A$6:$A$265,0)),"")</f>
        <v>Salaries and allowance</v>
      </c>
    </row>
    <row r="149" customFormat="false" ht="15" hidden="false" customHeight="false" outlineLevel="0" collapsed="false">
      <c r="A149" s="44" t="n">
        <v>6200007</v>
      </c>
      <c r="B149" s="44" t="s">
        <v>2311</v>
      </c>
      <c r="C149" s="42" t="n">
        <v>0</v>
      </c>
      <c r="D149" s="34" t="str">
        <f aca="false">IF(A149="","",IFERROR(INDEX(I_COA!$C$6:$C$265,MATCH(A149,I_COA!$A$6:$A$265,0)),"AKUN BARU"))</f>
        <v>LabaRugi</v>
      </c>
      <c r="E149" s="34" t="str">
        <f aca="false">IF(D149="Neraca",INDEX(I_COA!$E$6:$E$265,MATCH(A149,I_COA!$A$6:$A$265,0)),"")</f>
        <v/>
      </c>
      <c r="F149" s="34" t="str">
        <f aca="false">IF(D149="LabaRugi",INDEX(I_COA!$D$6:$D$265,MATCH(A149,I_COA!$A$6:$A$265,0)),"")</f>
        <v>Other operating expenses</v>
      </c>
    </row>
    <row r="150" customFormat="false" ht="15" hidden="false" customHeight="false" outlineLevel="0" collapsed="false">
      <c r="A150" s="44" t="n">
        <v>6200008</v>
      </c>
      <c r="B150" s="44" t="s">
        <v>2312</v>
      </c>
      <c r="C150" s="42" t="n">
        <v>0</v>
      </c>
      <c r="D150" s="34" t="str">
        <f aca="false">IF(A150="","",IFERROR(INDEX(I_COA!$C$6:$C$265,MATCH(A150,I_COA!$A$6:$A$265,0)),"AKUN BARU"))</f>
        <v>LabaRugi</v>
      </c>
      <c r="E150" s="34" t="str">
        <f aca="false">IF(D150="Neraca",INDEX(I_COA!$E$6:$E$265,MATCH(A150,I_COA!$A$6:$A$265,0)),"")</f>
        <v/>
      </c>
      <c r="F150" s="34" t="str">
        <f aca="false">IF(D150="LabaRugi",INDEX(I_COA!$D$6:$D$265,MATCH(A150,I_COA!$A$6:$A$265,0)),"")</f>
        <v>Office Supplies &amp; Utilities</v>
      </c>
    </row>
    <row r="151" customFormat="false" ht="15" hidden="false" customHeight="false" outlineLevel="0" collapsed="false">
      <c r="A151" s="44" t="n">
        <v>6200009</v>
      </c>
      <c r="B151" s="44" t="s">
        <v>2313</v>
      </c>
      <c r="C151" s="42" t="n">
        <v>0</v>
      </c>
      <c r="D151" s="34" t="str">
        <f aca="false">IF(A151="","",IFERROR(INDEX(I_COA!$C$6:$C$265,MATCH(A151,I_COA!$A$6:$A$265,0)),"AKUN BARU"))</f>
        <v>LabaRugi</v>
      </c>
      <c r="E151" s="34" t="str">
        <f aca="false">IF(D151="Neraca",INDEX(I_COA!$E$6:$E$265,MATCH(A151,I_COA!$A$6:$A$265,0)),"")</f>
        <v/>
      </c>
      <c r="F151" s="34" t="str">
        <f aca="false">IF(D151="LabaRugi",INDEX(I_COA!$D$6:$D$265,MATCH(A151,I_COA!$A$6:$A$265,0)),"")</f>
        <v>Office Supplies &amp; Utilities</v>
      </c>
    </row>
    <row r="152" customFormat="false" ht="15" hidden="false" customHeight="false" outlineLevel="0" collapsed="false">
      <c r="A152" s="44" t="n">
        <v>6200010</v>
      </c>
      <c r="B152" s="44" t="s">
        <v>2314</v>
      </c>
      <c r="C152" s="42" t="n">
        <v>0</v>
      </c>
      <c r="D152" s="34" t="str">
        <f aca="false">IF(A152="","",IFERROR(INDEX(I_COA!$C$6:$C$265,MATCH(A152,I_COA!$A$6:$A$265,0)),"AKUN BARU"))</f>
        <v>LabaRugi</v>
      </c>
      <c r="E152" s="34" t="str">
        <f aca="false">IF(D152="Neraca",INDEX(I_COA!$E$6:$E$265,MATCH(A152,I_COA!$A$6:$A$265,0)),"")</f>
        <v/>
      </c>
      <c r="F152" s="34" t="str">
        <f aca="false">IF(D152="LabaRugi",INDEX(I_COA!$D$6:$D$265,MATCH(A152,I_COA!$A$6:$A$265,0)),"")</f>
        <v>Office Supplies &amp; Utilities</v>
      </c>
    </row>
    <row r="153" customFormat="false" ht="15" hidden="false" customHeight="false" outlineLevel="0" collapsed="false">
      <c r="A153" s="44" t="n">
        <v>6200011</v>
      </c>
      <c r="B153" s="44" t="s">
        <v>935</v>
      </c>
      <c r="C153" s="42" t="n">
        <v>728600</v>
      </c>
      <c r="D153" s="34" t="str">
        <f aca="false">IF(A153="","",IFERROR(INDEX(I_COA!$C$6:$C$265,MATCH(A153,I_COA!$A$6:$A$265,0)),"AKUN BARU"))</f>
        <v>LabaRugi</v>
      </c>
      <c r="E153" s="34" t="str">
        <f aca="false">IF(D153="Neraca",INDEX(I_COA!$E$6:$E$265,MATCH(A153,I_COA!$A$6:$A$265,0)),"")</f>
        <v/>
      </c>
      <c r="F153" s="34" t="str">
        <f aca="false">IF(D153="LabaRugi",INDEX(I_COA!$D$6:$D$265,MATCH(A153,I_COA!$A$6:$A$265,0)),"")</f>
        <v>Office Supplies &amp; Utilities</v>
      </c>
    </row>
    <row r="154" customFormat="false" ht="15" hidden="false" customHeight="false" outlineLevel="0" collapsed="false">
      <c r="A154" s="44" t="n">
        <v>6200012</v>
      </c>
      <c r="B154" s="44" t="s">
        <v>737</v>
      </c>
      <c r="C154" s="42" t="n">
        <v>12529200</v>
      </c>
      <c r="D154" s="34" t="str">
        <f aca="false">IF(A154="","",IFERROR(INDEX(I_COA!$C$6:$C$265,MATCH(A154,I_COA!$A$6:$A$265,0)),"AKUN BARU"))</f>
        <v>LabaRugi</v>
      </c>
      <c r="E154" s="34" t="str">
        <f aca="false">IF(D154="Neraca",INDEX(I_COA!$E$6:$E$265,MATCH(A154,I_COA!$A$6:$A$265,0)),"")</f>
        <v/>
      </c>
      <c r="F154" s="34" t="str">
        <f aca="false">IF(D154="LabaRugi",INDEX(I_COA!$D$6:$D$265,MATCH(A154,I_COA!$A$6:$A$265,0)),"")</f>
        <v>Office Supplies &amp; Utilities</v>
      </c>
    </row>
    <row r="155" customFormat="false" ht="15" hidden="false" customHeight="false" outlineLevel="0" collapsed="false">
      <c r="A155" s="44" t="n">
        <v>6200013</v>
      </c>
      <c r="B155" s="44" t="s">
        <v>1299</v>
      </c>
      <c r="C155" s="42" t="n">
        <v>0</v>
      </c>
      <c r="D155" s="34" t="str">
        <f aca="false">IF(A155="","",IFERROR(INDEX(I_COA!$C$6:$C$265,MATCH(A155,I_COA!$A$6:$A$265,0)),"AKUN BARU"))</f>
        <v>LabaRugi</v>
      </c>
      <c r="E155" s="34" t="str">
        <f aca="false">IF(D155="Neraca",INDEX(I_COA!$E$6:$E$265,MATCH(A155,I_COA!$A$6:$A$265,0)),"")</f>
        <v/>
      </c>
      <c r="F155" s="34" t="str">
        <f aca="false">IF(D155="LabaRugi",INDEX(I_COA!$D$6:$D$265,MATCH(A155,I_COA!$A$6:$A$265,0)),"")</f>
        <v>Office Supplies &amp; Utilities</v>
      </c>
    </row>
    <row r="156" customFormat="false" ht="15" hidden="false" customHeight="false" outlineLevel="0" collapsed="false">
      <c r="A156" s="44" t="n">
        <v>6200014</v>
      </c>
      <c r="B156" s="44" t="s">
        <v>1575</v>
      </c>
      <c r="C156" s="42" t="n">
        <v>0</v>
      </c>
      <c r="D156" s="34" t="str">
        <f aca="false">IF(A156="","",IFERROR(INDEX(I_COA!$C$6:$C$265,MATCH(A156,I_COA!$A$6:$A$265,0)),"AKUN BARU"))</f>
        <v>LabaRugi</v>
      </c>
      <c r="E156" s="34" t="str">
        <f aca="false">IF(D156="Neraca",INDEX(I_COA!$E$6:$E$265,MATCH(A156,I_COA!$A$6:$A$265,0)),"")</f>
        <v/>
      </c>
      <c r="F156" s="34" t="str">
        <f aca="false">IF(D156="LabaRugi",INDEX(I_COA!$D$6:$D$265,MATCH(A156,I_COA!$A$6:$A$265,0)),"")</f>
        <v>Professional Fee</v>
      </c>
    </row>
    <row r="157" customFormat="false" ht="15" hidden="false" customHeight="false" outlineLevel="0" collapsed="false">
      <c r="A157" s="44" t="n">
        <v>6200015</v>
      </c>
      <c r="B157" s="44" t="s">
        <v>2315</v>
      </c>
      <c r="C157" s="42" t="n">
        <v>106383687</v>
      </c>
      <c r="D157" s="34" t="str">
        <f aca="false">IF(A157="","",IFERROR(INDEX(I_COA!$C$6:$C$265,MATCH(A157,I_COA!$A$6:$A$265,0)),"AKUN BARU"))</f>
        <v>LabaRugi</v>
      </c>
      <c r="E157" s="34" t="str">
        <f aca="false">IF(D157="Neraca",INDEX(I_COA!$E$6:$E$265,MATCH(A157,I_COA!$A$6:$A$265,0)),"")</f>
        <v/>
      </c>
      <c r="F157" s="34" t="str">
        <f aca="false">IF(D157="LabaRugi",INDEX(I_COA!$D$6:$D$265,MATCH(A157,I_COA!$A$6:$A$265,0)),"")</f>
        <v>Rent Expenses</v>
      </c>
    </row>
    <row r="158" customFormat="false" ht="15" hidden="false" customHeight="false" outlineLevel="0" collapsed="false">
      <c r="A158" s="44" t="n">
        <v>6200016</v>
      </c>
      <c r="B158" s="44" t="s">
        <v>2316</v>
      </c>
      <c r="C158" s="42" t="n">
        <v>0</v>
      </c>
      <c r="D158" s="34" t="str">
        <f aca="false">IF(A158="","",IFERROR(INDEX(I_COA!$C$6:$C$265,MATCH(A158,I_COA!$A$6:$A$265,0)),"AKUN BARU"))</f>
        <v>LabaRugi</v>
      </c>
      <c r="E158" s="34" t="str">
        <f aca="false">IF(D158="Neraca",INDEX(I_COA!$E$6:$E$265,MATCH(A158,I_COA!$A$6:$A$265,0)),"")</f>
        <v/>
      </c>
      <c r="F158" s="34" t="str">
        <f aca="false">IF(D158="LabaRugi",INDEX(I_COA!$D$6:$D$265,MATCH(A158,I_COA!$A$6:$A$265,0)),"")</f>
        <v>Rent Expenses</v>
      </c>
    </row>
    <row r="159" customFormat="false" ht="15" hidden="false" customHeight="false" outlineLevel="0" collapsed="false">
      <c r="A159" s="44" t="n">
        <v>6200017</v>
      </c>
      <c r="B159" s="44" t="s">
        <v>2317</v>
      </c>
      <c r="C159" s="42" t="n">
        <v>0</v>
      </c>
      <c r="D159" s="34" t="str">
        <f aca="false">IF(A159="","",IFERROR(INDEX(I_COA!$C$6:$C$265,MATCH(A159,I_COA!$A$6:$A$265,0)),"AKUN BARU"))</f>
        <v>LabaRugi</v>
      </c>
      <c r="E159" s="34" t="str">
        <f aca="false">IF(D159="Neraca",INDEX(I_COA!$E$6:$E$265,MATCH(A159,I_COA!$A$6:$A$265,0)),"")</f>
        <v/>
      </c>
      <c r="F159" s="34" t="str">
        <f aca="false">IF(D159="LabaRugi",INDEX(I_COA!$D$6:$D$265,MATCH(A159,I_COA!$A$6:$A$265,0)),"")</f>
        <v>Rent Expenses</v>
      </c>
    </row>
    <row r="160" customFormat="false" ht="15" hidden="false" customHeight="false" outlineLevel="0" collapsed="false">
      <c r="A160" s="44" t="n">
        <v>6200018</v>
      </c>
      <c r="B160" s="44" t="s">
        <v>2318</v>
      </c>
      <c r="C160" s="42" t="n">
        <v>24100</v>
      </c>
      <c r="D160" s="34" t="str">
        <f aca="false">IF(A160="","",IFERROR(INDEX(I_COA!$C$6:$C$265,MATCH(A160,I_COA!$A$6:$A$265,0)),"AKUN BARU"))</f>
        <v>LabaRugi</v>
      </c>
      <c r="E160" s="34" t="str">
        <f aca="false">IF(D160="Neraca",INDEX(I_COA!$E$6:$E$265,MATCH(A160,I_COA!$A$6:$A$265,0)),"")</f>
        <v/>
      </c>
      <c r="F160" s="34" t="str">
        <f aca="false">IF(D160="LabaRugi",INDEX(I_COA!$D$6:$D$265,MATCH(A160,I_COA!$A$6:$A$265,0)),"")</f>
        <v>Office Supplies &amp; Utilities</v>
      </c>
    </row>
    <row r="161" customFormat="false" ht="15" hidden="false" customHeight="false" outlineLevel="0" collapsed="false">
      <c r="A161" s="44" t="n">
        <v>6200019</v>
      </c>
      <c r="B161" s="44" t="s">
        <v>2319</v>
      </c>
      <c r="C161" s="42" t="n">
        <v>0</v>
      </c>
      <c r="D161" s="34" t="str">
        <f aca="false">IF(A161="","",IFERROR(INDEX(I_COA!$C$6:$C$265,MATCH(A161,I_COA!$A$6:$A$265,0)),"AKUN BARU"))</f>
        <v>LabaRugi</v>
      </c>
      <c r="E161" s="34" t="str">
        <f aca="false">IF(D161="Neraca",INDEX(I_COA!$E$6:$E$265,MATCH(A161,I_COA!$A$6:$A$265,0)),"")</f>
        <v/>
      </c>
      <c r="F161" s="34" t="str">
        <f aca="false">IF(D161="LabaRugi",INDEX(I_COA!$D$6:$D$265,MATCH(A161,I_COA!$A$6:$A$265,0)),"")</f>
        <v>Other operating expenses</v>
      </c>
    </row>
    <row r="162" customFormat="false" ht="15" hidden="false" customHeight="false" outlineLevel="0" collapsed="false">
      <c r="A162" s="44" t="n">
        <v>6200020</v>
      </c>
      <c r="B162" s="44" t="s">
        <v>2320</v>
      </c>
      <c r="C162" s="42" t="n">
        <v>0</v>
      </c>
      <c r="D162" s="34" t="str">
        <f aca="false">IF(A162="","",IFERROR(INDEX(I_COA!$C$6:$C$265,MATCH(A162,I_COA!$A$6:$A$265,0)),"AKUN BARU"))</f>
        <v>LabaRugi</v>
      </c>
      <c r="E162" s="34" t="str">
        <f aca="false">IF(D162="Neraca",INDEX(I_COA!$E$6:$E$265,MATCH(A162,I_COA!$A$6:$A$265,0)),"")</f>
        <v/>
      </c>
      <c r="F162" s="34" t="str">
        <f aca="false">IF(D162="LabaRugi",INDEX(I_COA!$D$6:$D$265,MATCH(A162,I_COA!$A$6:$A$265,0)),"")</f>
        <v>Other operating expenses</v>
      </c>
    </row>
    <row r="163" customFormat="false" ht="15" hidden="false" customHeight="false" outlineLevel="0" collapsed="false">
      <c r="A163" s="44" t="n">
        <v>6200021</v>
      </c>
      <c r="B163" s="44" t="s">
        <v>2321</v>
      </c>
      <c r="C163" s="42" t="n">
        <v>0</v>
      </c>
      <c r="D163" s="34" t="str">
        <f aca="false">IF(A163="","",IFERROR(INDEX(I_COA!$C$6:$C$265,MATCH(A163,I_COA!$A$6:$A$265,0)),"AKUN BARU"))</f>
        <v>LabaRugi</v>
      </c>
      <c r="E163" s="34" t="str">
        <f aca="false">IF(D163="Neraca",INDEX(I_COA!$E$6:$E$265,MATCH(A163,I_COA!$A$6:$A$265,0)),"")</f>
        <v/>
      </c>
      <c r="F163" s="34" t="str">
        <f aca="false">IF(D163="LabaRugi",INDEX(I_COA!$D$6:$D$265,MATCH(A163,I_COA!$A$6:$A$265,0)),"")</f>
        <v>Office Supplies &amp; Utilities</v>
      </c>
    </row>
    <row r="164" customFormat="false" ht="15" hidden="false" customHeight="false" outlineLevel="0" collapsed="false">
      <c r="A164" s="44" t="n">
        <v>6200022</v>
      </c>
      <c r="B164" s="44" t="s">
        <v>2322</v>
      </c>
      <c r="C164" s="42" t="n">
        <v>0</v>
      </c>
      <c r="D164" s="34" t="str">
        <f aca="false">IF(A164="","",IFERROR(INDEX(I_COA!$C$6:$C$265,MATCH(A164,I_COA!$A$6:$A$265,0)),"AKUN BARU"))</f>
        <v>LabaRugi</v>
      </c>
      <c r="E164" s="34" t="str">
        <f aca="false">IF(D164="Neraca",INDEX(I_COA!$E$6:$E$265,MATCH(A164,I_COA!$A$6:$A$265,0)),"")</f>
        <v/>
      </c>
      <c r="F164" s="34" t="str">
        <f aca="false">IF(D164="LabaRugi",INDEX(I_COA!$D$6:$D$265,MATCH(A164,I_COA!$A$6:$A$265,0)),"")</f>
        <v>Other operating expenses</v>
      </c>
    </row>
    <row r="165" customFormat="false" ht="15" hidden="false" customHeight="false" outlineLevel="0" collapsed="false">
      <c r="A165" s="44" t="n">
        <v>6200023</v>
      </c>
      <c r="B165" s="44" t="s">
        <v>688</v>
      </c>
      <c r="C165" s="42" t="n">
        <v>21000</v>
      </c>
      <c r="D165" s="34" t="str">
        <f aca="false">IF(A165="","",IFERROR(INDEX(I_COA!$C$6:$C$265,MATCH(A165,I_COA!$A$6:$A$265,0)),"AKUN BARU"))</f>
        <v>LabaRugi</v>
      </c>
      <c r="E165" s="34" t="str">
        <f aca="false">IF(D165="Neraca",INDEX(I_COA!$E$6:$E$265,MATCH(A165,I_COA!$A$6:$A$265,0)),"")</f>
        <v/>
      </c>
      <c r="F165" s="34" t="str">
        <f aca="false">IF(D165="LabaRugi",INDEX(I_COA!$D$6:$D$265,MATCH(A165,I_COA!$A$6:$A$265,0)),"")</f>
        <v>Tax expenses</v>
      </c>
    </row>
    <row r="166" customFormat="false" ht="15" hidden="false" customHeight="false" outlineLevel="0" collapsed="false">
      <c r="A166" s="44" t="n">
        <v>6200024</v>
      </c>
      <c r="B166" s="44" t="s">
        <v>2323</v>
      </c>
      <c r="C166" s="42" t="n">
        <v>0</v>
      </c>
      <c r="D166" s="34" t="str">
        <f aca="false">IF(A166="","",IFERROR(INDEX(I_COA!$C$6:$C$265,MATCH(A166,I_COA!$A$6:$A$265,0)),"AKUN BARU"))</f>
        <v>LabaRugi</v>
      </c>
      <c r="E166" s="34" t="str">
        <f aca="false">IF(D166="Neraca",INDEX(I_COA!$E$6:$E$265,MATCH(A166,I_COA!$A$6:$A$265,0)),"")</f>
        <v/>
      </c>
      <c r="F166" s="34" t="str">
        <f aca="false">IF(D166="LabaRugi",INDEX(I_COA!$D$6:$D$265,MATCH(A166,I_COA!$A$6:$A$265,0)),"")</f>
        <v>Professional Fee</v>
      </c>
    </row>
    <row r="167" customFormat="false" ht="15" hidden="false" customHeight="false" outlineLevel="0" collapsed="false">
      <c r="A167" s="44" t="n">
        <v>6200025</v>
      </c>
      <c r="B167" s="44" t="s">
        <v>2324</v>
      </c>
      <c r="C167" s="42" t="n">
        <v>35845565</v>
      </c>
      <c r="D167" s="34" t="str">
        <f aca="false">IF(A167="","",IFERROR(INDEX(I_COA!$C$6:$C$265,MATCH(A167,I_COA!$A$6:$A$265,0)),"AKUN BARU"))</f>
        <v>LabaRugi</v>
      </c>
      <c r="E167" s="34" t="str">
        <f aca="false">IF(D167="Neraca",INDEX(I_COA!$E$6:$E$265,MATCH(A167,I_COA!$A$6:$A$265,0)),"")</f>
        <v/>
      </c>
      <c r="F167" s="34" t="str">
        <f aca="false">IF(D167="LabaRugi",INDEX(I_COA!$D$6:$D$265,MATCH(A167,I_COA!$A$6:$A$265,0)),"")</f>
        <v>Commission Expenses</v>
      </c>
    </row>
    <row r="168" customFormat="false" ht="15" hidden="false" customHeight="false" outlineLevel="0" collapsed="false">
      <c r="A168" s="44" t="n">
        <v>6200026</v>
      </c>
      <c r="B168" s="44" t="s">
        <v>2325</v>
      </c>
      <c r="C168" s="42" t="n">
        <v>0</v>
      </c>
      <c r="D168" s="34" t="str">
        <f aca="false">IF(A168="","",IFERROR(INDEX(I_COA!$C$6:$C$265,MATCH(A168,I_COA!$A$6:$A$265,0)),"AKUN BARU"))</f>
        <v>LabaRugi</v>
      </c>
      <c r="E168" s="34" t="str">
        <f aca="false">IF(D168="Neraca",INDEX(I_COA!$E$6:$E$265,MATCH(A168,I_COA!$A$6:$A$265,0)),"")</f>
        <v/>
      </c>
      <c r="F168" s="34" t="str">
        <f aca="false">IF(D168="LabaRugi",INDEX(I_COA!$D$6:$D$265,MATCH(A168,I_COA!$A$6:$A$265,0)),"")</f>
        <v>Maintenance Expenses</v>
      </c>
    </row>
    <row r="169" customFormat="false" ht="15" hidden="false" customHeight="false" outlineLevel="0" collapsed="false">
      <c r="A169" s="44" t="n">
        <v>6200027</v>
      </c>
      <c r="B169" s="44" t="s">
        <v>2326</v>
      </c>
      <c r="C169" s="42" t="n">
        <v>0</v>
      </c>
      <c r="D169" s="34" t="str">
        <f aca="false">IF(A169="","",IFERROR(INDEX(I_COA!$C$6:$C$265,MATCH(A169,I_COA!$A$6:$A$265,0)),"AKUN BARU"))</f>
        <v>LabaRugi</v>
      </c>
      <c r="E169" s="34" t="str">
        <f aca="false">IF(D169="Neraca",INDEX(I_COA!$E$6:$E$265,MATCH(A169,I_COA!$A$6:$A$265,0)),"")</f>
        <v/>
      </c>
      <c r="F169" s="34" t="str">
        <f aca="false">IF(D169="LabaRugi",INDEX(I_COA!$D$6:$D$265,MATCH(A169,I_COA!$A$6:$A$265,0)),"")</f>
        <v>Maintenance Expenses</v>
      </c>
    </row>
    <row r="170" customFormat="false" ht="15" hidden="false" customHeight="false" outlineLevel="0" collapsed="false">
      <c r="A170" s="44" t="n">
        <v>6200028</v>
      </c>
      <c r="B170" s="44" t="s">
        <v>2327</v>
      </c>
      <c r="C170" s="42" t="n">
        <v>564000</v>
      </c>
      <c r="D170" s="34" t="str">
        <f aca="false">IF(A170="","",IFERROR(INDEX(I_COA!$C$6:$C$265,MATCH(A170,I_COA!$A$6:$A$265,0)),"AKUN BARU"))</f>
        <v>LabaRugi</v>
      </c>
      <c r="E170" s="34" t="str">
        <f aca="false">IF(D170="Neraca",INDEX(I_COA!$E$6:$E$265,MATCH(A170,I_COA!$A$6:$A$265,0)),"")</f>
        <v/>
      </c>
      <c r="F170" s="34" t="str">
        <f aca="false">IF(D170="LabaRugi",INDEX(I_COA!$D$6:$D$265,MATCH(A170,I_COA!$A$6:$A$265,0)),"")</f>
        <v>Maintenance Expenses</v>
      </c>
    </row>
    <row r="171" customFormat="false" ht="15" hidden="false" customHeight="false" outlineLevel="0" collapsed="false">
      <c r="A171" s="44" t="n">
        <v>6200029</v>
      </c>
      <c r="B171" s="44" t="s">
        <v>2328</v>
      </c>
      <c r="C171" s="42" t="n">
        <v>0</v>
      </c>
      <c r="D171" s="34" t="str">
        <f aca="false">IF(A171="","",IFERROR(INDEX(I_COA!$C$6:$C$265,MATCH(A171,I_COA!$A$6:$A$265,0)),"AKUN BARU"))</f>
        <v>LabaRugi</v>
      </c>
      <c r="E171" s="34" t="str">
        <f aca="false">IF(D171="Neraca",INDEX(I_COA!$E$6:$E$265,MATCH(A171,I_COA!$A$6:$A$265,0)),"")</f>
        <v/>
      </c>
      <c r="F171" s="34" t="str">
        <f aca="false">IF(D171="LabaRugi",INDEX(I_COA!$D$6:$D$265,MATCH(A171,I_COA!$A$6:$A$265,0)),"")</f>
        <v>Maintenance Expenses</v>
      </c>
    </row>
    <row r="172" customFormat="false" ht="15" hidden="false" customHeight="false" outlineLevel="0" collapsed="false">
      <c r="A172" s="44" t="n">
        <v>6200030</v>
      </c>
      <c r="B172" s="44" t="s">
        <v>2329</v>
      </c>
      <c r="C172" s="42" t="n">
        <v>0</v>
      </c>
      <c r="D172" s="34" t="str">
        <f aca="false">IF(A172="","",IFERROR(INDEX(I_COA!$C$6:$C$265,MATCH(A172,I_COA!$A$6:$A$265,0)),"AKUN BARU"))</f>
        <v>LabaRugi</v>
      </c>
      <c r="E172" s="34" t="str">
        <f aca="false">IF(D172="Neraca",INDEX(I_COA!$E$6:$E$265,MATCH(A172,I_COA!$A$6:$A$265,0)),"")</f>
        <v/>
      </c>
      <c r="F172" s="34" t="str">
        <f aca="false">IF(D172="LabaRugi",INDEX(I_COA!$D$6:$D$265,MATCH(A172,I_COA!$A$6:$A$265,0)),"")</f>
        <v>Maintenance Expenses</v>
      </c>
    </row>
    <row r="173" customFormat="false" ht="15" hidden="false" customHeight="false" outlineLevel="0" collapsed="false">
      <c r="A173" s="44" t="n">
        <v>6200031</v>
      </c>
      <c r="B173" s="44" t="s">
        <v>2330</v>
      </c>
      <c r="C173" s="42" t="n">
        <v>0</v>
      </c>
      <c r="D173" s="34" t="str">
        <f aca="false">IF(A173="","",IFERROR(INDEX(I_COA!$C$6:$C$265,MATCH(A173,I_COA!$A$6:$A$265,0)),"AKUN BARU"))</f>
        <v>LabaRugi</v>
      </c>
      <c r="E173" s="34" t="str">
        <f aca="false">IF(D173="Neraca",INDEX(I_COA!$E$6:$E$265,MATCH(A173,I_COA!$A$6:$A$265,0)),"")</f>
        <v/>
      </c>
      <c r="F173" s="34" t="str">
        <f aca="false">IF(D173="LabaRugi",INDEX(I_COA!$D$6:$D$265,MATCH(A173,I_COA!$A$6:$A$265,0)),"")</f>
        <v>Maintenance Expenses</v>
      </c>
    </row>
    <row r="174" customFormat="false" ht="15" hidden="false" customHeight="false" outlineLevel="0" collapsed="false">
      <c r="A174" s="44" t="n">
        <v>630000</v>
      </c>
      <c r="B174" s="44" t="s">
        <v>2331</v>
      </c>
      <c r="C174" s="42" t="n">
        <v>0</v>
      </c>
      <c r="D174" s="34" t="str">
        <f aca="false">IF(A174="","",IFERROR(INDEX(I_COA!$C$6:$C$265,MATCH(A174,I_COA!$A$6:$A$265,0)),"AKUN BARU"))</f>
        <v>LabaRugi</v>
      </c>
      <c r="E174" s="34" t="str">
        <f aca="false">IF(D174="Neraca",INDEX(I_COA!$E$6:$E$265,MATCH(A174,I_COA!$A$6:$A$265,0)),"")</f>
        <v/>
      </c>
      <c r="F174" s="34" t="str">
        <f aca="false">IF(D174="LabaRugi",INDEX(I_COA!$D$6:$D$265,MATCH(A174,I_COA!$A$6:$A$265,0)),"")</f>
        <v>Other operating expenses</v>
      </c>
    </row>
    <row r="175" customFormat="false" ht="15" hidden="false" customHeight="false" outlineLevel="0" collapsed="false">
      <c r="A175" s="44" t="n">
        <v>6300001</v>
      </c>
      <c r="B175" s="44" t="s">
        <v>2326</v>
      </c>
      <c r="C175" s="42" t="n">
        <v>0</v>
      </c>
      <c r="D175" s="34" t="str">
        <f aca="false">IF(A175="","",IFERROR(INDEX(I_COA!$C$6:$C$265,MATCH(A175,I_COA!$A$6:$A$265,0)),"AKUN BARU"))</f>
        <v>LabaRugi</v>
      </c>
      <c r="E175" s="34" t="str">
        <f aca="false">IF(D175="Neraca",INDEX(I_COA!$E$6:$E$265,MATCH(A175,I_COA!$A$6:$A$265,0)),"")</f>
        <v/>
      </c>
      <c r="F175" s="34" t="str">
        <f aca="false">IF(D175="LabaRugi",INDEX(I_COA!$D$6:$D$265,MATCH(A175,I_COA!$A$6:$A$265,0)),"")</f>
        <v>Maintenance Expenses</v>
      </c>
    </row>
    <row r="176" customFormat="false" ht="15" hidden="false" customHeight="false" outlineLevel="0" collapsed="false">
      <c r="A176" s="44" t="n">
        <v>6300002</v>
      </c>
      <c r="B176" s="44" t="s">
        <v>2327</v>
      </c>
      <c r="C176" s="42" t="n">
        <v>45000</v>
      </c>
      <c r="D176" s="34" t="str">
        <f aca="false">IF(A176="","",IFERROR(INDEX(I_COA!$C$6:$C$265,MATCH(A176,I_COA!$A$6:$A$265,0)),"AKUN BARU"))</f>
        <v>LabaRugi</v>
      </c>
      <c r="E176" s="34" t="str">
        <f aca="false">IF(D176="Neraca",INDEX(I_COA!$E$6:$E$265,MATCH(A176,I_COA!$A$6:$A$265,0)),"")</f>
        <v/>
      </c>
      <c r="F176" s="34" t="str">
        <f aca="false">IF(D176="LabaRugi",INDEX(I_COA!$D$6:$D$265,MATCH(A176,I_COA!$A$6:$A$265,0)),"")</f>
        <v>Maintenance Expenses</v>
      </c>
    </row>
    <row r="177" customFormat="false" ht="15" hidden="false" customHeight="false" outlineLevel="0" collapsed="false">
      <c r="A177" s="44" t="n">
        <v>6300003</v>
      </c>
      <c r="B177" s="44" t="s">
        <v>2328</v>
      </c>
      <c r="C177" s="42" t="n">
        <v>0</v>
      </c>
      <c r="D177" s="34" t="str">
        <f aca="false">IF(A177="","",IFERROR(INDEX(I_COA!$C$6:$C$265,MATCH(A177,I_COA!$A$6:$A$265,0)),"AKUN BARU"))</f>
        <v>LabaRugi</v>
      </c>
      <c r="E177" s="34" t="str">
        <f aca="false">IF(D177="Neraca",INDEX(I_COA!$E$6:$E$265,MATCH(A177,I_COA!$A$6:$A$265,0)),"")</f>
        <v/>
      </c>
      <c r="F177" s="34" t="str">
        <f aca="false">IF(D177="LabaRugi",INDEX(I_COA!$D$6:$D$265,MATCH(A177,I_COA!$A$6:$A$265,0)),"")</f>
        <v>Maintenance Expenses</v>
      </c>
    </row>
    <row r="178" customFormat="false" ht="15" hidden="false" customHeight="false" outlineLevel="0" collapsed="false">
      <c r="A178" s="44" t="n">
        <v>6300004</v>
      </c>
      <c r="B178" s="44" t="s">
        <v>2329</v>
      </c>
      <c r="C178" s="42" t="n">
        <v>0</v>
      </c>
      <c r="D178" s="34" t="str">
        <f aca="false">IF(A178="","",IFERROR(INDEX(I_COA!$C$6:$C$265,MATCH(A178,I_COA!$A$6:$A$265,0)),"AKUN BARU"))</f>
        <v>LabaRugi</v>
      </c>
      <c r="E178" s="34" t="str">
        <f aca="false">IF(D178="Neraca",INDEX(I_COA!$E$6:$E$265,MATCH(A178,I_COA!$A$6:$A$265,0)),"")</f>
        <v/>
      </c>
      <c r="F178" s="34" t="str">
        <f aca="false">IF(D178="LabaRugi",INDEX(I_COA!$D$6:$D$265,MATCH(A178,I_COA!$A$6:$A$265,0)),"")</f>
        <v>Maintenance Expenses</v>
      </c>
    </row>
    <row r="179" customFormat="false" ht="15" hidden="false" customHeight="false" outlineLevel="0" collapsed="false">
      <c r="A179" s="44" t="n">
        <v>6350001</v>
      </c>
      <c r="B179" s="44" t="s">
        <v>953</v>
      </c>
      <c r="C179" s="42" t="n">
        <v>0</v>
      </c>
      <c r="D179" s="34" t="str">
        <f aca="false">IF(A179="","",IFERROR(INDEX(I_COA!$C$6:$C$265,MATCH(A179,I_COA!$A$6:$A$265,0)),"AKUN BARU"))</f>
        <v>LabaRugi</v>
      </c>
      <c r="E179" s="34" t="str">
        <f aca="false">IF(D179="Neraca",INDEX(I_COA!$E$6:$E$265,MATCH(A179,I_COA!$A$6:$A$265,0)),"")</f>
        <v/>
      </c>
      <c r="F179" s="34" t="str">
        <f aca="false">IF(D179="LabaRugi",INDEX(I_COA!$D$6:$D$265,MATCH(A179,I_COA!$A$6:$A$265,0)),"")</f>
        <v>Tax expenses</v>
      </c>
    </row>
    <row r="180" customFormat="false" ht="15" hidden="false" customHeight="false" outlineLevel="0" collapsed="false">
      <c r="A180" s="44" t="n">
        <v>640000</v>
      </c>
      <c r="B180" s="44" t="s">
        <v>2332</v>
      </c>
      <c r="C180" s="42" t="n">
        <v>0</v>
      </c>
      <c r="D180" s="34" t="str">
        <f aca="false">IF(A180="","",IFERROR(INDEX(I_COA!$C$6:$C$265,MATCH(A180,I_COA!$A$6:$A$265,0)),"AKUN BARU"))</f>
        <v>LabaRugi</v>
      </c>
      <c r="E180" s="34" t="str">
        <f aca="false">IF(D180="Neraca",INDEX(I_COA!$E$6:$E$265,MATCH(A180,I_COA!$A$6:$A$265,0)),"")</f>
        <v/>
      </c>
      <c r="F180" s="34" t="str">
        <f aca="false">IF(D180="LabaRugi",INDEX(I_COA!$D$6:$D$265,MATCH(A180,I_COA!$A$6:$A$265,0)),"")</f>
        <v>Depreciation &amp; amortisation</v>
      </c>
    </row>
    <row r="181" customFormat="false" ht="15" hidden="false" customHeight="false" outlineLevel="0" collapsed="false">
      <c r="A181" s="44" t="n">
        <v>6400001</v>
      </c>
      <c r="B181" s="44" t="s">
        <v>2333</v>
      </c>
      <c r="C181" s="42" t="n">
        <v>37668895.88</v>
      </c>
      <c r="D181" s="34" t="str">
        <f aca="false">IF(A181="","",IFERROR(INDEX(I_COA!$C$6:$C$265,MATCH(A181,I_COA!$A$6:$A$265,0)),"AKUN BARU"))</f>
        <v>LabaRugi</v>
      </c>
      <c r="E181" s="34" t="str">
        <f aca="false">IF(D181="Neraca",INDEX(I_COA!$E$6:$E$265,MATCH(A181,I_COA!$A$6:$A$265,0)),"")</f>
        <v/>
      </c>
      <c r="F181" s="34" t="str">
        <f aca="false">IF(D181="LabaRugi",INDEX(I_COA!$D$6:$D$265,MATCH(A181,I_COA!$A$6:$A$265,0)),"")</f>
        <v>Depreciation &amp; amortisation</v>
      </c>
    </row>
    <row r="182" customFormat="false" ht="15" hidden="false" customHeight="false" outlineLevel="0" collapsed="false">
      <c r="A182" s="44" t="n">
        <v>6400002</v>
      </c>
      <c r="B182" s="44" t="s">
        <v>2334</v>
      </c>
      <c r="C182" s="42" t="n">
        <v>0</v>
      </c>
      <c r="D182" s="34" t="str">
        <f aca="false">IF(A182="","",IFERROR(INDEX(I_COA!$C$6:$C$265,MATCH(A182,I_COA!$A$6:$A$265,0)),"AKUN BARU"))</f>
        <v>LabaRugi</v>
      </c>
      <c r="E182" s="34" t="str">
        <f aca="false">IF(D182="Neraca",INDEX(I_COA!$E$6:$E$265,MATCH(A182,I_COA!$A$6:$A$265,0)),"")</f>
        <v/>
      </c>
      <c r="F182" s="34" t="str">
        <f aca="false">IF(D182="LabaRugi",INDEX(I_COA!$D$6:$D$265,MATCH(A182,I_COA!$A$6:$A$265,0)),"")</f>
        <v>Depreciation &amp; amortisation</v>
      </c>
    </row>
    <row r="183" customFormat="false" ht="15" hidden="false" customHeight="false" outlineLevel="0" collapsed="false">
      <c r="A183" s="44" t="n">
        <v>6400003</v>
      </c>
      <c r="B183" s="44" t="s">
        <v>2335</v>
      </c>
      <c r="C183" s="42" t="n">
        <v>29460062.94</v>
      </c>
      <c r="D183" s="34" t="str">
        <f aca="false">IF(A183="","",IFERROR(INDEX(I_COA!$C$6:$C$265,MATCH(A183,I_COA!$A$6:$A$265,0)),"AKUN BARU"))</f>
        <v>LabaRugi</v>
      </c>
      <c r="E183" s="34" t="str">
        <f aca="false">IF(D183="Neraca",INDEX(I_COA!$E$6:$E$265,MATCH(A183,I_COA!$A$6:$A$265,0)),"")</f>
        <v/>
      </c>
      <c r="F183" s="34" t="str">
        <f aca="false">IF(D183="LabaRugi",INDEX(I_COA!$D$6:$D$265,MATCH(A183,I_COA!$A$6:$A$265,0)),"")</f>
        <v>Depreciation &amp; amortisation</v>
      </c>
    </row>
    <row r="184" customFormat="false" ht="15" hidden="false" customHeight="false" outlineLevel="0" collapsed="false">
      <c r="A184" s="44" t="n">
        <v>6400004</v>
      </c>
      <c r="B184" s="44" t="s">
        <v>2336</v>
      </c>
      <c r="C184" s="42" t="n">
        <v>0</v>
      </c>
      <c r="D184" s="34" t="str">
        <f aca="false">IF(A184="","",IFERROR(INDEX(I_COA!$C$6:$C$265,MATCH(A184,I_COA!$A$6:$A$265,0)),"AKUN BARU"))</f>
        <v>LabaRugi</v>
      </c>
      <c r="E184" s="34" t="str">
        <f aca="false">IF(D184="Neraca",INDEX(I_COA!$E$6:$E$265,MATCH(A184,I_COA!$A$6:$A$265,0)),"")</f>
        <v/>
      </c>
      <c r="F184" s="34" t="str">
        <f aca="false">IF(D184="LabaRugi",INDEX(I_COA!$D$6:$D$265,MATCH(A184,I_COA!$A$6:$A$265,0)),"")</f>
        <v>Depreciation &amp; amortisation</v>
      </c>
    </row>
    <row r="185" customFormat="false" ht="15" hidden="false" customHeight="false" outlineLevel="0" collapsed="false">
      <c r="A185" s="44" t="n">
        <v>6400005</v>
      </c>
      <c r="B185" s="44" t="s">
        <v>2337</v>
      </c>
      <c r="C185" s="42" t="n">
        <v>5625270.63</v>
      </c>
      <c r="D185" s="34" t="str">
        <f aca="false">IF(A185="","",IFERROR(INDEX(I_COA!$C$6:$C$265,MATCH(A185,I_COA!$A$6:$A$265,0)),"AKUN BARU"))</f>
        <v>LabaRugi</v>
      </c>
      <c r="E185" s="34" t="str">
        <f aca="false">IF(D185="Neraca",INDEX(I_COA!$E$6:$E$265,MATCH(A185,I_COA!$A$6:$A$265,0)),"")</f>
        <v/>
      </c>
      <c r="F185" s="34" t="str">
        <f aca="false">IF(D185="LabaRugi",INDEX(I_COA!$D$6:$D$265,MATCH(A185,I_COA!$A$6:$A$265,0)),"")</f>
        <v>Depreciation &amp; amortisation</v>
      </c>
    </row>
    <row r="186" customFormat="false" ht="15" hidden="false" customHeight="false" outlineLevel="0" collapsed="false">
      <c r="A186" s="44" t="n">
        <v>6400006</v>
      </c>
      <c r="B186" s="44" t="s">
        <v>2338</v>
      </c>
      <c r="C186" s="42" t="n">
        <v>0</v>
      </c>
      <c r="D186" s="34" t="str">
        <f aca="false">IF(A186="","",IFERROR(INDEX(I_COA!$C$6:$C$265,MATCH(A186,I_COA!$A$6:$A$265,0)),"AKUN BARU"))</f>
        <v>LabaRugi</v>
      </c>
      <c r="E186" s="34" t="str">
        <f aca="false">IF(D186="Neraca",INDEX(I_COA!$E$6:$E$265,MATCH(A186,I_COA!$A$6:$A$265,0)),"")</f>
        <v/>
      </c>
      <c r="F186" s="34" t="str">
        <f aca="false">IF(D186="LabaRugi",INDEX(I_COA!$D$6:$D$265,MATCH(A186,I_COA!$A$6:$A$265,0)),"")</f>
        <v>Depreciation &amp; amortisation</v>
      </c>
    </row>
    <row r="187" customFormat="false" ht="15" hidden="false" customHeight="false" outlineLevel="0" collapsed="false">
      <c r="A187" s="44" t="n">
        <v>6400007</v>
      </c>
      <c r="B187" s="44" t="s">
        <v>2339</v>
      </c>
      <c r="C187" s="42" t="n">
        <v>0</v>
      </c>
      <c r="D187" s="34" t="str">
        <f aca="false">IF(A187="","",IFERROR(INDEX(I_COA!$C$6:$C$265,MATCH(A187,I_COA!$A$6:$A$265,0)),"AKUN BARU"))</f>
        <v>LabaRugi</v>
      </c>
      <c r="E187" s="34" t="str">
        <f aca="false">IF(D187="Neraca",INDEX(I_COA!$E$6:$E$265,MATCH(A187,I_COA!$A$6:$A$265,0)),"")</f>
        <v/>
      </c>
      <c r="F187" s="34" t="str">
        <f aca="false">IF(D187="LabaRugi",INDEX(I_COA!$D$6:$D$265,MATCH(A187,I_COA!$A$6:$A$265,0)),"")</f>
        <v>Depreciation &amp; amortisation</v>
      </c>
    </row>
    <row r="188" customFormat="false" ht="15" hidden="false" customHeight="false" outlineLevel="0" collapsed="false">
      <c r="A188" s="44" t="n">
        <v>6500001</v>
      </c>
      <c r="B188" s="44" t="s">
        <v>2340</v>
      </c>
      <c r="C188" s="42" t="n">
        <v>0</v>
      </c>
      <c r="D188" s="34" t="str">
        <f aca="false">IF(A188="","",IFERROR(INDEX(I_COA!$C$6:$C$265,MATCH(A188,I_COA!$A$6:$A$265,0)),"AKUN BARU"))</f>
        <v>LabaRugi</v>
      </c>
      <c r="E188" s="34" t="str">
        <f aca="false">IF(D188="Neraca",INDEX(I_COA!$E$6:$E$265,MATCH(A188,I_COA!$A$6:$A$265,0)),"")</f>
        <v/>
      </c>
      <c r="F188" s="34" t="str">
        <f aca="false">IF(D188="LabaRugi",INDEX(I_COA!$D$6:$D$265,MATCH(A188,I_COA!$A$6:$A$265,0)),"")</f>
        <v>Depreciation &amp; amortisation</v>
      </c>
    </row>
    <row r="189" customFormat="false" ht="15" hidden="false" customHeight="false" outlineLevel="0" collapsed="false">
      <c r="A189" s="44" t="n">
        <v>7100</v>
      </c>
      <c r="B189" s="44" t="s">
        <v>2341</v>
      </c>
      <c r="C189" s="42" t="n">
        <v>0</v>
      </c>
      <c r="D189" s="34" t="str">
        <f aca="false">IF(A189="","",IFERROR(INDEX(I_COA!$C$6:$C$265,MATCH(A189,I_COA!$A$6:$A$265,0)),"AKUN BARU"))</f>
        <v>Header</v>
      </c>
      <c r="E189" s="34" t="str">
        <f aca="false">IF(D189="Neraca",INDEX(I_COA!$E$6:$E$265,MATCH(A189,I_COA!$A$6:$A$265,0)),"")</f>
        <v/>
      </c>
      <c r="F189" s="34" t="str">
        <f aca="false">IF(D189="LabaRugi",INDEX(I_COA!$D$6:$D$265,MATCH(A189,I_COA!$A$6:$A$265,0)),"")</f>
        <v/>
      </c>
    </row>
    <row r="190" customFormat="false" ht="15" hidden="false" customHeight="false" outlineLevel="0" collapsed="false">
      <c r="A190" s="44" t="n">
        <v>7100001</v>
      </c>
      <c r="B190" s="44" t="s">
        <v>2342</v>
      </c>
      <c r="C190" s="42" t="n">
        <v>0</v>
      </c>
      <c r="D190" s="34" t="str">
        <f aca="false">IF(A190="","",IFERROR(INDEX(I_COA!$C$6:$C$265,MATCH(A190,I_COA!$A$6:$A$265,0)),"AKUN BARU"))</f>
        <v>LabaRugi</v>
      </c>
      <c r="E190" s="34" t="str">
        <f aca="false">IF(D190="Neraca",INDEX(I_COA!$E$6:$E$265,MATCH(A190,I_COA!$A$6:$A$265,0)),"")</f>
        <v/>
      </c>
      <c r="F190" s="34" t="str">
        <f aca="false">IF(D190="LabaRugi",INDEX(I_COA!$D$6:$D$265,MATCH(A190,I_COA!$A$6:$A$265,0)),"")</f>
        <v>Other Income</v>
      </c>
    </row>
    <row r="191" customFormat="false" ht="15" hidden="false" customHeight="false" outlineLevel="0" collapsed="false">
      <c r="A191" s="44" t="n">
        <v>7100002</v>
      </c>
      <c r="B191" s="44" t="s">
        <v>2343</v>
      </c>
      <c r="C191" s="42" t="n">
        <v>0</v>
      </c>
      <c r="D191" s="34" t="str">
        <f aca="false">IF(A191="","",IFERROR(INDEX(I_COA!$C$6:$C$265,MATCH(A191,I_COA!$A$6:$A$265,0)),"AKUN BARU"))</f>
        <v>LabaRugi</v>
      </c>
      <c r="E191" s="34" t="str">
        <f aca="false">IF(D191="Neraca",INDEX(I_COA!$E$6:$E$265,MATCH(A191,I_COA!$A$6:$A$265,0)),"")</f>
        <v/>
      </c>
      <c r="F191" s="34" t="str">
        <f aca="false">IF(D191="LabaRugi",INDEX(I_COA!$D$6:$D$265,MATCH(A191,I_COA!$A$6:$A$265,0)),"")</f>
        <v>Other Income</v>
      </c>
    </row>
    <row r="192" customFormat="false" ht="15" hidden="false" customHeight="false" outlineLevel="0" collapsed="false">
      <c r="A192" s="44" t="n">
        <v>7100003</v>
      </c>
      <c r="B192" s="44" t="s">
        <v>2344</v>
      </c>
      <c r="C192" s="42" t="n">
        <v>0</v>
      </c>
      <c r="D192" s="34" t="str">
        <f aca="false">IF(A192="","",IFERROR(INDEX(I_COA!$C$6:$C$265,MATCH(A192,I_COA!$A$6:$A$265,0)),"AKUN BARU"))</f>
        <v>LabaRugi</v>
      </c>
      <c r="E192" s="34" t="str">
        <f aca="false">IF(D192="Neraca",INDEX(I_COA!$E$6:$E$265,MATCH(A192,I_COA!$A$6:$A$265,0)),"")</f>
        <v/>
      </c>
      <c r="F192" s="34" t="str">
        <f aca="false">IF(D192="LabaRugi",INDEX(I_COA!$D$6:$D$265,MATCH(A192,I_COA!$A$6:$A$265,0)),"")</f>
        <v>Other Income</v>
      </c>
    </row>
    <row r="193" customFormat="false" ht="15" hidden="false" customHeight="false" outlineLevel="0" collapsed="false">
      <c r="A193" s="44" t="n">
        <v>7100004</v>
      </c>
      <c r="B193" s="44" t="s">
        <v>2345</v>
      </c>
      <c r="C193" s="42" t="n">
        <v>0</v>
      </c>
      <c r="D193" s="34" t="str">
        <f aca="false">IF(A193="","",IFERROR(INDEX(I_COA!$C$6:$C$265,MATCH(A193,I_COA!$A$6:$A$265,0)),"AKUN BARU"))</f>
        <v>LabaRugi</v>
      </c>
      <c r="E193" s="34" t="str">
        <f aca="false">IF(D193="Neraca",INDEX(I_COA!$E$6:$E$265,MATCH(A193,I_COA!$A$6:$A$265,0)),"")</f>
        <v/>
      </c>
      <c r="F193" s="34" t="str">
        <f aca="false">IF(D193="LabaRugi",INDEX(I_COA!$D$6:$D$265,MATCH(A193,I_COA!$A$6:$A$265,0)),"")</f>
        <v>Other Income</v>
      </c>
    </row>
    <row r="194" customFormat="false" ht="15" hidden="false" customHeight="false" outlineLevel="0" collapsed="false">
      <c r="A194" s="44" t="n">
        <v>7100005</v>
      </c>
      <c r="B194" s="44" t="s">
        <v>2346</v>
      </c>
      <c r="C194" s="42" t="n">
        <v>0</v>
      </c>
      <c r="D194" s="34" t="str">
        <f aca="false">IF(A194="","",IFERROR(INDEX(I_COA!$C$6:$C$265,MATCH(A194,I_COA!$A$6:$A$265,0)),"AKUN BARU"))</f>
        <v>LabaRugi</v>
      </c>
      <c r="E194" s="34" t="str">
        <f aca="false">IF(D194="Neraca",INDEX(I_COA!$E$6:$E$265,MATCH(A194,I_COA!$A$6:$A$265,0)),"")</f>
        <v/>
      </c>
      <c r="F194" s="34" t="str">
        <f aca="false">IF(D194="LabaRugi",INDEX(I_COA!$D$6:$D$265,MATCH(A194,I_COA!$A$6:$A$265,0)),"")</f>
        <v>Other Income</v>
      </c>
    </row>
    <row r="195" customFormat="false" ht="15" hidden="false" customHeight="false" outlineLevel="0" collapsed="false">
      <c r="A195" s="44" t="n">
        <v>7100006</v>
      </c>
      <c r="B195" s="44" t="s">
        <v>1058</v>
      </c>
      <c r="C195" s="42" t="n">
        <v>-1.05</v>
      </c>
      <c r="D195" s="34" t="str">
        <f aca="false">IF(A195="","",IFERROR(INDEX(I_COA!$C$6:$C$265,MATCH(A195,I_COA!$A$6:$A$265,0)),"AKUN BARU"))</f>
        <v>LabaRugi</v>
      </c>
      <c r="E195" s="34" t="str">
        <f aca="false">IF(D195="Neraca",INDEX(I_COA!$E$6:$E$265,MATCH(A195,I_COA!$A$6:$A$265,0)),"")</f>
        <v/>
      </c>
      <c r="F195" s="34" t="str">
        <f aca="false">IF(D195="LabaRugi",INDEX(I_COA!$D$6:$D$265,MATCH(A195,I_COA!$A$6:$A$265,0)),"")</f>
        <v>Other Income</v>
      </c>
    </row>
    <row r="196" customFormat="false" ht="15" hidden="false" customHeight="false" outlineLevel="0" collapsed="false">
      <c r="A196" s="44" t="n">
        <v>7100008</v>
      </c>
      <c r="B196" s="44" t="s">
        <v>952</v>
      </c>
      <c r="C196" s="42" t="n">
        <v>79.25</v>
      </c>
      <c r="D196" s="34" t="str">
        <f aca="false">IF(A196="","",IFERROR(INDEX(I_COA!$C$6:$C$265,MATCH(A196,I_COA!$A$6:$A$265,0)),"AKUN BARU"))</f>
        <v>LabaRugi</v>
      </c>
      <c r="E196" s="34" t="str">
        <f aca="false">IF(D196="Neraca",INDEX(I_COA!$E$6:$E$265,MATCH(A196,I_COA!$A$6:$A$265,0)),"")</f>
        <v/>
      </c>
      <c r="F196" s="34" t="str">
        <f aca="false">IF(D196="LabaRugi",INDEX(I_COA!$D$6:$D$265,MATCH(A196,I_COA!$A$6:$A$265,0)),"")</f>
        <v>Other Income</v>
      </c>
    </row>
    <row r="197" customFormat="false" ht="15" hidden="false" customHeight="false" outlineLevel="0" collapsed="false">
      <c r="A197" s="44" t="n">
        <v>7100009</v>
      </c>
      <c r="B197" s="44" t="s">
        <v>189</v>
      </c>
      <c r="C197" s="42" t="n">
        <v>-3937706.87</v>
      </c>
      <c r="D197" s="34" t="str">
        <f aca="false">IF(A197="","",IFERROR(INDEX(I_COA!$C$6:$C$265,MATCH(A197,I_COA!$A$6:$A$265,0)),"AKUN BARU"))</f>
        <v>LabaRugi</v>
      </c>
      <c r="E197" s="34" t="str">
        <f aca="false">IF(D197="Neraca",INDEX(I_COA!$E$6:$E$265,MATCH(A197,I_COA!$A$6:$A$265,0)),"")</f>
        <v/>
      </c>
      <c r="F197" s="34" t="str">
        <f aca="false">IF(D197="LabaRugi",INDEX(I_COA!$D$6:$D$265,MATCH(A197,I_COA!$A$6:$A$265,0)),"")</f>
        <v>Other Income</v>
      </c>
    </row>
    <row r="198" customFormat="false" ht="15" hidden="false" customHeight="false" outlineLevel="0" collapsed="false">
      <c r="A198" s="44" t="n">
        <v>7100010</v>
      </c>
      <c r="B198" s="44" t="s">
        <v>2347</v>
      </c>
      <c r="C198" s="42" t="n">
        <v>0</v>
      </c>
      <c r="D198" s="34" t="str">
        <f aca="false">IF(A198="","",IFERROR(INDEX(I_COA!$C$6:$C$265,MATCH(A198,I_COA!$A$6:$A$265,0)),"AKUN BARU"))</f>
        <v>LabaRugi</v>
      </c>
      <c r="E198" s="34" t="str">
        <f aca="false">IF(D198="Neraca",INDEX(I_COA!$E$6:$E$265,MATCH(A198,I_COA!$A$6:$A$265,0)),"")</f>
        <v/>
      </c>
      <c r="F198" s="34" t="str">
        <f aca="false">IF(D198="LabaRugi",INDEX(I_COA!$D$6:$D$265,MATCH(A198,I_COA!$A$6:$A$265,0)),"")</f>
        <v>Other Income</v>
      </c>
    </row>
    <row r="199" customFormat="false" ht="15" hidden="false" customHeight="false" outlineLevel="0" collapsed="false">
      <c r="A199" s="44" t="n">
        <v>7100011</v>
      </c>
      <c r="B199" s="44" t="s">
        <v>2348</v>
      </c>
      <c r="C199" s="42" t="n">
        <v>-6</v>
      </c>
      <c r="D199" s="34" t="str">
        <f aca="false">IF(A199="","",IFERROR(INDEX(I_COA!$C$6:$C$265,MATCH(A199,I_COA!$A$6:$A$265,0)),"AKUN BARU"))</f>
        <v>LabaRugi</v>
      </c>
      <c r="E199" s="34" t="str">
        <f aca="false">IF(D199="Neraca",INDEX(I_COA!$E$6:$E$265,MATCH(A199,I_COA!$A$6:$A$265,0)),"")</f>
        <v/>
      </c>
      <c r="F199" s="34" t="str">
        <f aca="false">IF(D199="LabaRugi",INDEX(I_COA!$D$6:$D$265,MATCH(A199,I_COA!$A$6:$A$265,0)),"")</f>
        <v>Other Income</v>
      </c>
    </row>
    <row r="200" customFormat="false" ht="15" hidden="false" customHeight="false" outlineLevel="0" collapsed="false">
      <c r="A200" s="44" t="n">
        <v>7200</v>
      </c>
      <c r="B200" s="44" t="s">
        <v>2349</v>
      </c>
      <c r="C200" s="42" t="n">
        <v>0</v>
      </c>
      <c r="D200" s="34" t="str">
        <f aca="false">IF(A200="","",IFERROR(INDEX(I_COA!$C$6:$C$265,MATCH(A200,I_COA!$A$6:$A$265,0)),"AKUN BARU"))</f>
        <v>Header</v>
      </c>
      <c r="E200" s="34" t="str">
        <f aca="false">IF(D200="Neraca",INDEX(I_COA!$E$6:$E$265,MATCH(A200,I_COA!$A$6:$A$265,0)),"")</f>
        <v/>
      </c>
      <c r="F200" s="34" t="str">
        <f aca="false">IF(D200="LabaRugi",INDEX(I_COA!$D$6:$D$265,MATCH(A200,I_COA!$A$6:$A$265,0)),"")</f>
        <v/>
      </c>
    </row>
    <row r="201" customFormat="false" ht="15" hidden="false" customHeight="false" outlineLevel="0" collapsed="false">
      <c r="A201" s="44" t="n">
        <v>7200001</v>
      </c>
      <c r="B201" s="44" t="s">
        <v>2350</v>
      </c>
      <c r="C201" s="42" t="n">
        <v>0</v>
      </c>
      <c r="D201" s="34" t="str">
        <f aca="false">IF(A201="","",IFERROR(INDEX(I_COA!$C$6:$C$265,MATCH(A201,I_COA!$A$6:$A$265,0)),"AKUN BARU"))</f>
        <v>LabaRugi</v>
      </c>
      <c r="E201" s="34" t="str">
        <f aca="false">IF(D201="Neraca",INDEX(I_COA!$E$6:$E$265,MATCH(A201,I_COA!$A$6:$A$265,0)),"")</f>
        <v/>
      </c>
      <c r="F201" s="34" t="str">
        <f aca="false">IF(D201="LabaRugi",INDEX(I_COA!$D$6:$D$265,MATCH(A201,I_COA!$A$6:$A$265,0)),"")</f>
        <v>Interest Expense</v>
      </c>
    </row>
    <row r="202" customFormat="false" ht="15" hidden="false" customHeight="false" outlineLevel="0" collapsed="false">
      <c r="A202" s="44" t="n">
        <v>7200002</v>
      </c>
      <c r="B202" s="44" t="s">
        <v>2351</v>
      </c>
      <c r="C202" s="42" t="n">
        <v>1263888.89</v>
      </c>
      <c r="D202" s="34" t="str">
        <f aca="false">IF(A202="","",IFERROR(INDEX(I_COA!$C$6:$C$265,MATCH(A202,I_COA!$A$6:$A$265,0)),"AKUN BARU"))</f>
        <v>LabaRugi</v>
      </c>
      <c r="E202" s="34" t="str">
        <f aca="false">IF(D202="Neraca",INDEX(I_COA!$E$6:$E$265,MATCH(A202,I_COA!$A$6:$A$265,0)),"")</f>
        <v/>
      </c>
      <c r="F202" s="34" t="str">
        <f aca="false">IF(D202="LabaRugi",INDEX(I_COA!$D$6:$D$265,MATCH(A202,I_COA!$A$6:$A$265,0)),"")</f>
        <v>Interest Expense</v>
      </c>
    </row>
    <row r="203" customFormat="false" ht="15" hidden="false" customHeight="false" outlineLevel="0" collapsed="false">
      <c r="A203" s="44" t="n">
        <v>7200003</v>
      </c>
      <c r="B203" s="44" t="s">
        <v>581</v>
      </c>
      <c r="C203" s="42" t="n">
        <v>1681980</v>
      </c>
      <c r="D203" s="34" t="str">
        <f aca="false">IF(A203="","",IFERROR(INDEX(I_COA!$C$6:$C$265,MATCH(A203,I_COA!$A$6:$A$265,0)),"AKUN BARU"))</f>
        <v>LabaRugi</v>
      </c>
      <c r="E203" s="34" t="str">
        <f aca="false">IF(D203="Neraca",INDEX(I_COA!$E$6:$E$265,MATCH(A203,I_COA!$A$6:$A$265,0)),"")</f>
        <v/>
      </c>
      <c r="F203" s="34" t="str">
        <f aca="false">IF(D203="LabaRugi",INDEX(I_COA!$D$6:$D$265,MATCH(A203,I_COA!$A$6:$A$265,0)),"")</f>
        <v>Other Expense</v>
      </c>
    </row>
    <row r="204" customFormat="false" ht="15" hidden="false" customHeight="false" outlineLevel="0" collapsed="false">
      <c r="A204" s="44" t="n">
        <v>7200004</v>
      </c>
      <c r="B204" s="44" t="s">
        <v>2352</v>
      </c>
      <c r="C204" s="42" t="n">
        <v>0</v>
      </c>
      <c r="D204" s="34" t="str">
        <f aca="false">IF(A204="","",IFERROR(INDEX(I_COA!$C$6:$C$265,MATCH(A204,I_COA!$A$6:$A$265,0)),"AKUN BARU"))</f>
        <v>LabaRugi</v>
      </c>
      <c r="E204" s="34" t="str">
        <f aca="false">IF(D204="Neraca",INDEX(I_COA!$E$6:$E$265,MATCH(A204,I_COA!$A$6:$A$265,0)),"")</f>
        <v/>
      </c>
      <c r="F204" s="34" t="str">
        <f aca="false">IF(D204="LabaRugi",INDEX(I_COA!$D$6:$D$265,MATCH(A204,I_COA!$A$6:$A$265,0)),"")</f>
        <v>Other Expense</v>
      </c>
    </row>
    <row r="205" customFormat="false" ht="15" hidden="false" customHeight="false" outlineLevel="0" collapsed="false">
      <c r="A205" s="44" t="n">
        <v>7200005</v>
      </c>
      <c r="B205" s="44" t="s">
        <v>2353</v>
      </c>
      <c r="C205" s="42" t="n">
        <v>0</v>
      </c>
      <c r="D205" s="34" t="str">
        <f aca="false">IF(A205="","",IFERROR(INDEX(I_COA!$C$6:$C$265,MATCH(A205,I_COA!$A$6:$A$265,0)),"AKUN BARU"))</f>
        <v>LabaRugi</v>
      </c>
      <c r="E205" s="34" t="str">
        <f aca="false">IF(D205="Neraca",INDEX(I_COA!$E$6:$E$265,MATCH(A205,I_COA!$A$6:$A$265,0)),"")</f>
        <v/>
      </c>
      <c r="F205" s="34" t="str">
        <f aca="false">IF(D205="LabaRugi",INDEX(I_COA!$D$6:$D$265,MATCH(A205,I_COA!$A$6:$A$265,0)),"")</f>
        <v>Other Expense</v>
      </c>
    </row>
    <row r="206" customFormat="false" ht="15" hidden="false" customHeight="false" outlineLevel="0" collapsed="false">
      <c r="A206" s="44" t="n">
        <v>7200006</v>
      </c>
      <c r="B206" s="44" t="s">
        <v>2354</v>
      </c>
      <c r="C206" s="42" t="n">
        <v>0</v>
      </c>
      <c r="D206" s="34" t="str">
        <f aca="false">IF(A206="","",IFERROR(INDEX(I_COA!$C$6:$C$265,MATCH(A206,I_COA!$A$6:$A$265,0)),"AKUN BARU"))</f>
        <v>LabaRugi</v>
      </c>
      <c r="E206" s="34" t="str">
        <f aca="false">IF(D206="Neraca",INDEX(I_COA!$E$6:$E$265,MATCH(A206,I_COA!$A$6:$A$265,0)),"")</f>
        <v/>
      </c>
      <c r="F206" s="34" t="str">
        <f aca="false">IF(D206="LabaRugi",INDEX(I_COA!$D$6:$D$265,MATCH(A206,I_COA!$A$6:$A$265,0)),"")</f>
        <v>Other Expense</v>
      </c>
    </row>
    <row r="207" customFormat="false" ht="15" hidden="false" customHeight="false" outlineLevel="0" collapsed="false">
      <c r="A207" s="44" t="n">
        <v>7200007</v>
      </c>
      <c r="B207" s="44" t="s">
        <v>2355</v>
      </c>
      <c r="C207" s="42" t="n">
        <v>0</v>
      </c>
      <c r="D207" s="34" t="str">
        <f aca="false">IF(A207="","",IFERROR(INDEX(I_COA!$C$6:$C$265,MATCH(A207,I_COA!$A$6:$A$265,0)),"AKUN BARU"))</f>
        <v>LabaRugi</v>
      </c>
      <c r="E207" s="34" t="str">
        <f aca="false">IF(D207="Neraca",INDEX(I_COA!$E$6:$E$265,MATCH(A207,I_COA!$A$6:$A$265,0)),"")</f>
        <v/>
      </c>
      <c r="F207" s="34" t="str">
        <f aca="false">IF(D207="LabaRugi",INDEX(I_COA!$D$6:$D$265,MATCH(A207,I_COA!$A$6:$A$265,0)),"")</f>
        <v>Other Expense</v>
      </c>
    </row>
    <row r="208" customFormat="false" ht="15" hidden="false" customHeight="false" outlineLevel="0" collapsed="false">
      <c r="A208" s="44" t="n">
        <v>7200008</v>
      </c>
      <c r="B208" s="44" t="s">
        <v>683</v>
      </c>
      <c r="C208" s="42" t="n">
        <v>189568</v>
      </c>
      <c r="D208" s="34" t="str">
        <f aca="false">IF(A208="","",IFERROR(INDEX(I_COA!$C$6:$C$265,MATCH(A208,I_COA!$A$6:$A$265,0)),"AKUN BARU"))</f>
        <v>LabaRugi</v>
      </c>
      <c r="E208" s="34" t="str">
        <f aca="false">IF(D208="Neraca",INDEX(I_COA!$E$6:$E$265,MATCH(A208,I_COA!$A$6:$A$265,0)),"")</f>
        <v/>
      </c>
      <c r="F208" s="34" t="str">
        <f aca="false">IF(D208="LabaRugi",INDEX(I_COA!$D$6:$D$265,MATCH(A208,I_COA!$A$6:$A$265,0)),"")</f>
        <v>Other Expense</v>
      </c>
    </row>
    <row r="209" customFormat="false" ht="15" hidden="false" customHeight="false" outlineLevel="0" collapsed="false">
      <c r="A209" s="44" t="n">
        <v>7200009</v>
      </c>
      <c r="B209" s="44" t="s">
        <v>2356</v>
      </c>
      <c r="C209" s="42" t="n">
        <v>33901388.72</v>
      </c>
      <c r="D209" s="34" t="str">
        <f aca="false">IF(A209="","",IFERROR(INDEX(I_COA!$C$6:$C$265,MATCH(A209,I_COA!$A$6:$A$265,0)),"AKUN BARU"))</f>
        <v>LabaRugi</v>
      </c>
      <c r="E209" s="34" t="str">
        <f aca="false">IF(D209="Neraca",INDEX(I_COA!$E$6:$E$265,MATCH(A209,I_COA!$A$6:$A$265,0)),"")</f>
        <v/>
      </c>
      <c r="F209" s="34" t="str">
        <f aca="false">IF(D209="LabaRugi",INDEX(I_COA!$D$6:$D$265,MATCH(A209,I_COA!$A$6:$A$265,0)),"")</f>
        <v>Interest Expense</v>
      </c>
    </row>
    <row r="210" customFormat="false" ht="15" hidden="false" customHeight="false" outlineLevel="0" collapsed="false">
      <c r="A210" s="44" t="n">
        <v>7200010</v>
      </c>
      <c r="B210" s="44" t="s">
        <v>953</v>
      </c>
      <c r="C210" s="42" t="n">
        <v>852515</v>
      </c>
      <c r="D210" s="34" t="str">
        <f aca="false">IF(A210="","",IFERROR(INDEX(I_COA!$C$6:$C$265,MATCH(A210,I_COA!$A$6:$A$265,0)),"AKUN BARU"))</f>
        <v>LabaRugi</v>
      </c>
      <c r="E210" s="34" t="str">
        <f aca="false">IF(D210="Neraca",INDEX(I_COA!$E$6:$E$265,MATCH(A210,I_COA!$A$6:$A$265,0)),"")</f>
        <v/>
      </c>
      <c r="F210" s="34" t="str">
        <f aca="false">IF(D210="LabaRugi",INDEX(I_COA!$D$6:$D$265,MATCH(A210,I_COA!$A$6:$A$265,0)),"")</f>
        <v>Tax expenses</v>
      </c>
    </row>
    <row r="211" customFormat="false" ht="15" hidden="false" customHeight="false" outlineLevel="0" collapsed="false">
      <c r="A211" s="44" t="n">
        <v>910002</v>
      </c>
      <c r="B211" s="44" t="s">
        <v>2357</v>
      </c>
      <c r="C211" s="42" t="n">
        <v>0</v>
      </c>
      <c r="D211" s="34" t="str">
        <f aca="false">IF(A211="","",IFERROR(INDEX(I_COA!$C$6:$C$265,MATCH(A211,I_COA!$A$6:$A$265,0)),"AKUN BARU"))</f>
        <v>LabaRugi</v>
      </c>
      <c r="E211" s="34" t="str">
        <f aca="false">IF(D211="Neraca",INDEX(I_COA!$E$6:$E$265,MATCH(A211,I_COA!$A$6:$A$265,0)),"")</f>
        <v/>
      </c>
      <c r="F211" s="34" t="str">
        <f aca="false">IF(D211="LabaRugi",INDEX(I_COA!$D$6:$D$265,MATCH(A211,I_COA!$A$6:$A$265,0)),"")</f>
        <v>Other Expense</v>
      </c>
    </row>
    <row r="212" customFormat="false" ht="15" hidden="false" customHeight="false" outlineLevel="0" collapsed="false">
      <c r="A212" s="44" t="n">
        <v>910003</v>
      </c>
      <c r="B212" s="44" t="s">
        <v>2358</v>
      </c>
      <c r="C212" s="42" t="n">
        <v>0</v>
      </c>
      <c r="D212" s="34" t="str">
        <f aca="false">IF(A212="","",IFERROR(INDEX(I_COA!$C$6:$C$265,MATCH(A212,I_COA!$A$6:$A$265,0)),"AKUN BARU"))</f>
        <v>LabaRugi</v>
      </c>
      <c r="E212" s="34" t="str">
        <f aca="false">IF(D212="Neraca",INDEX(I_COA!$E$6:$E$265,MATCH(A212,I_COA!$A$6:$A$265,0)),"")</f>
        <v/>
      </c>
      <c r="F212" s="34" t="str">
        <f aca="false">IF(D212="LabaRugi",INDEX(I_COA!$D$6:$D$265,MATCH(A212,I_COA!$A$6:$A$265,0)),"")</f>
        <v>Other Expense</v>
      </c>
    </row>
    <row r="213" customFormat="false" ht="15" hidden="false" customHeight="false" outlineLevel="0" collapsed="false">
      <c r="A213" s="44" t="n">
        <v>910004</v>
      </c>
      <c r="B213" s="44" t="s">
        <v>781</v>
      </c>
      <c r="C213" s="42" t="n">
        <v>0</v>
      </c>
      <c r="D213" s="34" t="str">
        <f aca="false">IF(A213="","",IFERROR(INDEX(I_COA!$C$6:$C$265,MATCH(A213,I_COA!$A$6:$A$265,0)),"AKUN BARU"))</f>
        <v>Neraca</v>
      </c>
      <c r="E213" s="34" t="str">
        <f aca="false">IF(D213="Neraca",INDEX(I_COA!$E$6:$E$265,MATCH(A213,I_COA!$A$6:$A$265,0)),"")</f>
        <v>Temporary account (to reclassify)</v>
      </c>
      <c r="F213" s="34" t="str">
        <f aca="false">IF(D213="LabaRugi",INDEX(I_COA!$D$6:$D$265,MATCH(A213,I_COA!$A$6:$A$265,0)),"")</f>
        <v/>
      </c>
    </row>
    <row r="214" customFormat="false" ht="15" hidden="false" customHeight="false" outlineLevel="0" collapsed="false">
      <c r="A214" s="44"/>
      <c r="B214" s="44"/>
      <c r="C214" s="42"/>
      <c r="D214" s="34" t="str">
        <f aca="false">IF(A214="","",IFERROR(INDEX(I_COA!$C$6:$C$265,MATCH(A214,I_COA!$A$6:$A$265,0)),"AKUN BARU"))</f>
        <v/>
      </c>
      <c r="E214" s="34" t="str">
        <f aca="false">IF(D214="Neraca",INDEX(I_COA!$E$6:$E$265,MATCH(A214,I_COA!$A$6:$A$265,0)),"")</f>
        <v/>
      </c>
      <c r="F214" s="34" t="str">
        <f aca="false">IF(D214="LabaRugi",INDEX(I_COA!$D$6:$D$265,MATCH(A214,I_COA!$A$6:$A$265,0)),"")</f>
        <v/>
      </c>
    </row>
    <row r="215" customFormat="false" ht="15" hidden="false" customHeight="false" outlineLevel="0" collapsed="false">
      <c r="A215" s="44"/>
      <c r="B215" s="44"/>
      <c r="C215" s="42"/>
      <c r="D215" s="34" t="str">
        <f aca="false">IF(A215="","",IFERROR(INDEX(I_COA!$C$6:$C$265,MATCH(A215,I_COA!$A$6:$A$265,0)),"AKUN BARU"))</f>
        <v/>
      </c>
      <c r="E215" s="34" t="str">
        <f aca="false">IF(D215="Neraca",INDEX(I_COA!$E$6:$E$265,MATCH(A215,I_COA!$A$6:$A$265,0)),"")</f>
        <v/>
      </c>
      <c r="F215" s="34" t="str">
        <f aca="false">IF(D215="LabaRugi",INDEX(I_COA!$D$6:$D$265,MATCH(A215,I_COA!$A$6:$A$265,0)),"")</f>
        <v/>
      </c>
    </row>
    <row r="216" customFormat="false" ht="15" hidden="false" customHeight="false" outlineLevel="0" collapsed="false">
      <c r="A216" s="44"/>
      <c r="B216" s="44"/>
      <c r="C216" s="42"/>
      <c r="D216" s="34" t="str">
        <f aca="false">IF(A216="","",IFERROR(INDEX(I_COA!$C$6:$C$265,MATCH(A216,I_COA!$A$6:$A$265,0)),"AKUN BARU"))</f>
        <v/>
      </c>
      <c r="E216" s="34" t="str">
        <f aca="false">IF(D216="Neraca",INDEX(I_COA!$E$6:$E$265,MATCH(A216,I_COA!$A$6:$A$265,0)),"")</f>
        <v/>
      </c>
      <c r="F216" s="34" t="str">
        <f aca="false">IF(D216="LabaRugi",INDEX(I_COA!$D$6:$D$265,MATCH(A216,I_COA!$A$6:$A$265,0)),"")</f>
        <v/>
      </c>
    </row>
    <row r="217" customFormat="false" ht="15" hidden="false" customHeight="false" outlineLevel="0" collapsed="false">
      <c r="A217" s="44"/>
      <c r="B217" s="44"/>
      <c r="C217" s="42"/>
      <c r="D217" s="34" t="str">
        <f aca="false">IF(A217="","",IFERROR(INDEX(I_COA!$C$6:$C$265,MATCH(A217,I_COA!$A$6:$A$265,0)),"AKUN BARU"))</f>
        <v/>
      </c>
      <c r="E217" s="34" t="str">
        <f aca="false">IF(D217="Neraca",INDEX(I_COA!$E$6:$E$265,MATCH(A217,I_COA!$A$6:$A$265,0)),"")</f>
        <v/>
      </c>
      <c r="F217" s="34" t="str">
        <f aca="false">IF(D217="LabaRugi",INDEX(I_COA!$D$6:$D$265,MATCH(A217,I_COA!$A$6:$A$265,0)),"")</f>
        <v/>
      </c>
    </row>
    <row r="218" customFormat="false" ht="15" hidden="false" customHeight="false" outlineLevel="0" collapsed="false">
      <c r="A218" s="44"/>
      <c r="B218" s="44"/>
      <c r="C218" s="42"/>
      <c r="D218" s="34" t="str">
        <f aca="false">IF(A218="","",IFERROR(INDEX(I_COA!$C$6:$C$265,MATCH(A218,I_COA!$A$6:$A$265,0)),"AKUN BARU"))</f>
        <v/>
      </c>
      <c r="E218" s="34" t="str">
        <f aca="false">IF(D218="Neraca",INDEX(I_COA!$E$6:$E$265,MATCH(A218,I_COA!$A$6:$A$265,0)),"")</f>
        <v/>
      </c>
      <c r="F218" s="34" t="str">
        <f aca="false">IF(D218="LabaRugi",INDEX(I_COA!$D$6:$D$265,MATCH(A218,I_COA!$A$6:$A$265,0)),"")</f>
        <v/>
      </c>
    </row>
    <row r="219" customFormat="false" ht="15" hidden="false" customHeight="false" outlineLevel="0" collapsed="false">
      <c r="A219" s="44"/>
      <c r="B219" s="44"/>
      <c r="C219" s="42"/>
      <c r="D219" s="34" t="str">
        <f aca="false">IF(A219="","",IFERROR(INDEX(I_COA!$C$6:$C$265,MATCH(A219,I_COA!$A$6:$A$265,0)),"AKUN BARU"))</f>
        <v/>
      </c>
      <c r="E219" s="34" t="str">
        <f aca="false">IF(D219="Neraca",INDEX(I_COA!$E$6:$E$265,MATCH(A219,I_COA!$A$6:$A$265,0)),"")</f>
        <v/>
      </c>
      <c r="F219" s="34" t="str">
        <f aca="false">IF(D219="LabaRugi",INDEX(I_COA!$D$6:$D$265,MATCH(A219,I_COA!$A$6:$A$265,0)),"")</f>
        <v/>
      </c>
    </row>
    <row r="220" customFormat="false" ht="15" hidden="false" customHeight="false" outlineLevel="0" collapsed="false">
      <c r="A220" s="44"/>
      <c r="B220" s="44"/>
      <c r="C220" s="42"/>
      <c r="D220" s="34" t="str">
        <f aca="false">IF(A220="","",IFERROR(INDEX(I_COA!$C$6:$C$265,MATCH(A220,I_COA!$A$6:$A$265,0)),"AKUN BARU"))</f>
        <v/>
      </c>
      <c r="E220" s="34" t="str">
        <f aca="false">IF(D220="Neraca",INDEX(I_COA!$E$6:$E$265,MATCH(A220,I_COA!$A$6:$A$265,0)),"")</f>
        <v/>
      </c>
      <c r="F220" s="34" t="str">
        <f aca="false">IF(D220="LabaRugi",INDEX(I_COA!$D$6:$D$265,MATCH(A220,I_COA!$A$6:$A$265,0)),"")</f>
        <v/>
      </c>
    </row>
    <row r="221" customFormat="false" ht="15" hidden="false" customHeight="false" outlineLevel="0" collapsed="false">
      <c r="A221" s="44"/>
      <c r="B221" s="44"/>
      <c r="C221" s="42"/>
      <c r="D221" s="34" t="str">
        <f aca="false">IF(A221="","",IFERROR(INDEX(I_COA!$C$6:$C$265,MATCH(A221,I_COA!$A$6:$A$265,0)),"AKUN BARU"))</f>
        <v/>
      </c>
      <c r="E221" s="34" t="str">
        <f aca="false">IF(D221="Neraca",INDEX(I_COA!$E$6:$E$265,MATCH(A221,I_COA!$A$6:$A$265,0)),"")</f>
        <v/>
      </c>
      <c r="F221" s="34" t="str">
        <f aca="false">IF(D221="LabaRugi",INDEX(I_COA!$D$6:$D$265,MATCH(A221,I_COA!$A$6:$A$265,0)),"")</f>
        <v/>
      </c>
    </row>
    <row r="222" customFormat="false" ht="15" hidden="false" customHeight="false" outlineLevel="0" collapsed="false">
      <c r="A222" s="44"/>
      <c r="B222" s="44"/>
      <c r="C222" s="42"/>
      <c r="D222" s="34" t="str">
        <f aca="false">IF(A222="","",IFERROR(INDEX(I_COA!$C$6:$C$265,MATCH(A222,I_COA!$A$6:$A$265,0)),"AKUN BARU"))</f>
        <v/>
      </c>
      <c r="E222" s="34" t="str">
        <f aca="false">IF(D222="Neraca",INDEX(I_COA!$E$6:$E$265,MATCH(A222,I_COA!$A$6:$A$265,0)),"")</f>
        <v/>
      </c>
      <c r="F222" s="34" t="str">
        <f aca="false">IF(D222="LabaRugi",INDEX(I_COA!$D$6:$D$265,MATCH(A222,I_COA!$A$6:$A$265,0)),"")</f>
        <v/>
      </c>
    </row>
    <row r="223" customFormat="false" ht="15" hidden="false" customHeight="false" outlineLevel="0" collapsed="false">
      <c r="A223" s="44"/>
      <c r="B223" s="44"/>
      <c r="C223" s="42"/>
      <c r="D223" s="34" t="str">
        <f aca="false">IF(A223="","",IFERROR(INDEX(I_COA!$C$6:$C$265,MATCH(A223,I_COA!$A$6:$A$265,0)),"AKUN BARU"))</f>
        <v/>
      </c>
      <c r="E223" s="34" t="str">
        <f aca="false">IF(D223="Neraca",INDEX(I_COA!$E$6:$E$265,MATCH(A223,I_COA!$A$6:$A$265,0)),"")</f>
        <v/>
      </c>
      <c r="F223" s="34" t="str">
        <f aca="false">IF(D223="LabaRugi",INDEX(I_COA!$D$6:$D$265,MATCH(A223,I_COA!$A$6:$A$265,0)),"")</f>
        <v/>
      </c>
    </row>
    <row r="224" customFormat="false" ht="15" hidden="false" customHeight="false" outlineLevel="0" collapsed="false">
      <c r="A224" s="44"/>
      <c r="B224" s="44"/>
      <c r="C224" s="42"/>
      <c r="D224" s="34" t="str">
        <f aca="false">IF(A224="","",IFERROR(INDEX(I_COA!$C$6:$C$265,MATCH(A224,I_COA!$A$6:$A$265,0)),"AKUN BARU"))</f>
        <v/>
      </c>
      <c r="E224" s="34" t="str">
        <f aca="false">IF(D224="Neraca",INDEX(I_COA!$E$6:$E$265,MATCH(A224,I_COA!$A$6:$A$265,0)),"")</f>
        <v/>
      </c>
      <c r="F224" s="34" t="str">
        <f aca="false">IF(D224="LabaRugi",INDEX(I_COA!$D$6:$D$265,MATCH(A224,I_COA!$A$6:$A$265,0)),"")</f>
        <v/>
      </c>
    </row>
    <row r="225" customFormat="false" ht="15" hidden="false" customHeight="false" outlineLevel="0" collapsed="false">
      <c r="A225" s="44"/>
      <c r="B225" s="44"/>
      <c r="C225" s="42"/>
      <c r="D225" s="34" t="str">
        <f aca="false">IF(A225="","",IFERROR(INDEX(I_COA!$C$6:$C$265,MATCH(A225,I_COA!$A$6:$A$265,0)),"AKUN BARU"))</f>
        <v/>
      </c>
      <c r="E225" s="34" t="str">
        <f aca="false">IF(D225="Neraca",INDEX(I_COA!$E$6:$E$265,MATCH(A225,I_COA!$A$6:$A$265,0)),"")</f>
        <v/>
      </c>
      <c r="F225" s="34" t="str">
        <f aca="false">IF(D225="LabaRugi",INDEX(I_COA!$D$6:$D$265,MATCH(A225,I_COA!$A$6:$A$265,0)),"")</f>
        <v/>
      </c>
    </row>
    <row r="226" customFormat="false" ht="15" hidden="false" customHeight="false" outlineLevel="0" collapsed="false">
      <c r="A226" s="44"/>
      <c r="B226" s="44"/>
      <c r="C226" s="42"/>
      <c r="D226" s="34" t="str">
        <f aca="false">IF(A226="","",IFERROR(INDEX(I_COA!$C$6:$C$265,MATCH(A226,I_COA!$A$6:$A$265,0)),"AKUN BARU"))</f>
        <v/>
      </c>
      <c r="E226" s="34" t="str">
        <f aca="false">IF(D226="Neraca",INDEX(I_COA!$E$6:$E$265,MATCH(A226,I_COA!$A$6:$A$265,0)),"")</f>
        <v/>
      </c>
      <c r="F226" s="34" t="str">
        <f aca="false">IF(D226="LabaRugi",INDEX(I_COA!$D$6:$D$265,MATCH(A226,I_COA!$A$6:$A$265,0)),"")</f>
        <v/>
      </c>
    </row>
    <row r="227" customFormat="false" ht="15" hidden="false" customHeight="false" outlineLevel="0" collapsed="false">
      <c r="A227" s="44"/>
      <c r="B227" s="44"/>
      <c r="C227" s="42"/>
      <c r="D227" s="34" t="str">
        <f aca="false">IF(A227="","",IFERROR(INDEX(I_COA!$C$6:$C$265,MATCH(A227,I_COA!$A$6:$A$265,0)),"AKUN BARU"))</f>
        <v/>
      </c>
      <c r="E227" s="34" t="str">
        <f aca="false">IF(D227="Neraca",INDEX(I_COA!$E$6:$E$265,MATCH(A227,I_COA!$A$6:$A$265,0)),"")</f>
        <v/>
      </c>
      <c r="F227" s="34" t="str">
        <f aca="false">IF(D227="LabaRugi",INDEX(I_COA!$D$6:$D$265,MATCH(A227,I_COA!$A$6:$A$265,0)),"")</f>
        <v/>
      </c>
    </row>
    <row r="228" customFormat="false" ht="15" hidden="false" customHeight="false" outlineLevel="0" collapsed="false">
      <c r="A228" s="44"/>
      <c r="B228" s="44"/>
      <c r="C228" s="42"/>
      <c r="D228" s="34" t="str">
        <f aca="false">IF(A228="","",IFERROR(INDEX(I_COA!$C$6:$C$265,MATCH(A228,I_COA!$A$6:$A$265,0)),"AKUN BARU"))</f>
        <v/>
      </c>
      <c r="E228" s="34" t="str">
        <f aca="false">IF(D228="Neraca",INDEX(I_COA!$E$6:$E$265,MATCH(A228,I_COA!$A$6:$A$265,0)),"")</f>
        <v/>
      </c>
      <c r="F228" s="34" t="str">
        <f aca="false">IF(D228="LabaRugi",INDEX(I_COA!$D$6:$D$265,MATCH(A228,I_COA!$A$6:$A$265,0)),"")</f>
        <v/>
      </c>
    </row>
    <row r="229" customFormat="false" ht="15" hidden="false" customHeight="false" outlineLevel="0" collapsed="false">
      <c r="A229" s="44"/>
      <c r="B229" s="44"/>
      <c r="C229" s="42"/>
      <c r="D229" s="34" t="str">
        <f aca="false">IF(A229="","",IFERROR(INDEX(I_COA!$C$6:$C$265,MATCH(A229,I_COA!$A$6:$A$265,0)),"AKUN BARU"))</f>
        <v/>
      </c>
      <c r="E229" s="34" t="str">
        <f aca="false">IF(D229="Neraca",INDEX(I_COA!$E$6:$E$265,MATCH(A229,I_COA!$A$6:$A$265,0)),"")</f>
        <v/>
      </c>
      <c r="F229" s="34" t="str">
        <f aca="false">IF(D229="LabaRugi",INDEX(I_COA!$D$6:$D$265,MATCH(A229,I_COA!$A$6:$A$265,0)),"")</f>
        <v/>
      </c>
    </row>
    <row r="230" customFormat="false" ht="15" hidden="false" customHeight="false" outlineLevel="0" collapsed="false">
      <c r="A230" s="44"/>
      <c r="B230" s="44"/>
      <c r="C230" s="42"/>
      <c r="D230" s="34" t="str">
        <f aca="false">IF(A230="","",IFERROR(INDEX(I_COA!$C$6:$C$265,MATCH(A230,I_COA!$A$6:$A$265,0)),"AKUN BARU"))</f>
        <v/>
      </c>
      <c r="E230" s="34" t="str">
        <f aca="false">IF(D230="Neraca",INDEX(I_COA!$E$6:$E$265,MATCH(A230,I_COA!$A$6:$A$265,0)),"")</f>
        <v/>
      </c>
      <c r="F230" s="34" t="str">
        <f aca="false">IF(D230="LabaRugi",INDEX(I_COA!$D$6:$D$265,MATCH(A230,I_COA!$A$6:$A$265,0)),"")</f>
        <v/>
      </c>
    </row>
    <row r="231" customFormat="false" ht="15" hidden="false" customHeight="false" outlineLevel="0" collapsed="false">
      <c r="A231" s="44"/>
      <c r="B231" s="44"/>
      <c r="C231" s="42"/>
      <c r="D231" s="34" t="str">
        <f aca="false">IF(A231="","",IFERROR(INDEX(I_COA!$C$6:$C$265,MATCH(A231,I_COA!$A$6:$A$265,0)),"AKUN BARU"))</f>
        <v/>
      </c>
      <c r="E231" s="34" t="str">
        <f aca="false">IF(D231="Neraca",INDEX(I_COA!$E$6:$E$265,MATCH(A231,I_COA!$A$6:$A$265,0)),"")</f>
        <v/>
      </c>
      <c r="F231" s="34" t="str">
        <f aca="false">IF(D231="LabaRugi",INDEX(I_COA!$D$6:$D$265,MATCH(A231,I_COA!$A$6:$A$265,0)),"")</f>
        <v/>
      </c>
    </row>
    <row r="232" customFormat="false" ht="15" hidden="false" customHeight="false" outlineLevel="0" collapsed="false">
      <c r="A232" s="44"/>
      <c r="B232" s="44"/>
      <c r="C232" s="42"/>
      <c r="D232" s="34" t="str">
        <f aca="false">IF(A232="","",IFERROR(INDEX(I_COA!$C$6:$C$265,MATCH(A232,I_COA!$A$6:$A$265,0)),"AKUN BARU"))</f>
        <v/>
      </c>
      <c r="E232" s="34" t="str">
        <f aca="false">IF(D232="Neraca",INDEX(I_COA!$E$6:$E$265,MATCH(A232,I_COA!$A$6:$A$265,0)),"")</f>
        <v/>
      </c>
      <c r="F232" s="34" t="str">
        <f aca="false">IF(D232="LabaRugi",INDEX(I_COA!$D$6:$D$265,MATCH(A232,I_COA!$A$6:$A$265,0)),"")</f>
        <v/>
      </c>
    </row>
    <row r="233" customFormat="false" ht="15" hidden="false" customHeight="false" outlineLevel="0" collapsed="false">
      <c r="A233" s="44"/>
      <c r="B233" s="44"/>
      <c r="C233" s="42"/>
      <c r="D233" s="34" t="str">
        <f aca="false">IF(A233="","",IFERROR(INDEX(I_COA!$C$6:$C$265,MATCH(A233,I_COA!$A$6:$A$265,0)),"AKUN BARU"))</f>
        <v/>
      </c>
      <c r="E233" s="34" t="str">
        <f aca="false">IF(D233="Neraca",INDEX(I_COA!$E$6:$E$265,MATCH(A233,I_COA!$A$6:$A$265,0)),"")</f>
        <v/>
      </c>
      <c r="F233" s="34" t="str">
        <f aca="false">IF(D233="LabaRugi",INDEX(I_COA!$D$6:$D$265,MATCH(A233,I_COA!$A$6:$A$265,0)),"")</f>
        <v/>
      </c>
    </row>
    <row r="234" customFormat="false" ht="15" hidden="false" customHeight="false" outlineLevel="0" collapsed="false">
      <c r="A234" s="44"/>
      <c r="B234" s="44"/>
      <c r="C234" s="42"/>
      <c r="D234" s="34" t="str">
        <f aca="false">IF(A234="","",IFERROR(INDEX(I_COA!$C$6:$C$265,MATCH(A234,I_COA!$A$6:$A$265,0)),"AKUN BARU"))</f>
        <v/>
      </c>
      <c r="E234" s="34" t="str">
        <f aca="false">IF(D234="Neraca",INDEX(I_COA!$E$6:$E$265,MATCH(A234,I_COA!$A$6:$A$265,0)),"")</f>
        <v/>
      </c>
      <c r="F234" s="34" t="str">
        <f aca="false">IF(D234="LabaRugi",INDEX(I_COA!$D$6:$D$265,MATCH(A234,I_COA!$A$6:$A$265,0)),"")</f>
        <v/>
      </c>
    </row>
    <row r="235" customFormat="false" ht="15" hidden="false" customHeight="false" outlineLevel="0" collapsed="false">
      <c r="A235" s="44"/>
      <c r="B235" s="44"/>
      <c r="C235" s="42"/>
      <c r="D235" s="34" t="str">
        <f aca="false">IF(A235="","",IFERROR(INDEX(I_COA!$C$6:$C$265,MATCH(A235,I_COA!$A$6:$A$265,0)),"AKUN BARU"))</f>
        <v/>
      </c>
      <c r="E235" s="34" t="str">
        <f aca="false">IF(D235="Neraca",INDEX(I_COA!$E$6:$E$265,MATCH(A235,I_COA!$A$6:$A$265,0)),"")</f>
        <v/>
      </c>
      <c r="F235" s="34" t="str">
        <f aca="false">IF(D235="LabaRugi",INDEX(I_COA!$D$6:$D$265,MATCH(A235,I_COA!$A$6:$A$265,0)),"")</f>
        <v/>
      </c>
    </row>
    <row r="236" customFormat="false" ht="15" hidden="false" customHeight="false" outlineLevel="0" collapsed="false">
      <c r="A236" s="44"/>
      <c r="B236" s="44"/>
      <c r="C236" s="42"/>
      <c r="D236" s="34" t="str">
        <f aca="false">IF(A236="","",IFERROR(INDEX(I_COA!$C$6:$C$265,MATCH(A236,I_COA!$A$6:$A$265,0)),"AKUN BARU"))</f>
        <v/>
      </c>
      <c r="E236" s="34" t="str">
        <f aca="false">IF(D236="Neraca",INDEX(I_COA!$E$6:$E$265,MATCH(A236,I_COA!$A$6:$A$265,0)),"")</f>
        <v/>
      </c>
      <c r="F236" s="34" t="str">
        <f aca="false">IF(D236="LabaRugi",INDEX(I_COA!$D$6:$D$265,MATCH(A236,I_COA!$A$6:$A$265,0)),"")</f>
        <v/>
      </c>
    </row>
    <row r="237" customFormat="false" ht="15" hidden="false" customHeight="false" outlineLevel="0" collapsed="false">
      <c r="A237" s="44"/>
      <c r="B237" s="44"/>
      <c r="C237" s="42"/>
      <c r="D237" s="34" t="str">
        <f aca="false">IF(A237="","",IFERROR(INDEX(I_COA!$C$6:$C$265,MATCH(A237,I_COA!$A$6:$A$265,0)),"AKUN BARU"))</f>
        <v/>
      </c>
      <c r="E237" s="34" t="str">
        <f aca="false">IF(D237="Neraca",INDEX(I_COA!$E$6:$E$265,MATCH(A237,I_COA!$A$6:$A$265,0)),"")</f>
        <v/>
      </c>
      <c r="F237" s="34" t="str">
        <f aca="false">IF(D237="LabaRugi",INDEX(I_COA!$D$6:$D$265,MATCH(A237,I_COA!$A$6:$A$265,0)),"")</f>
        <v/>
      </c>
    </row>
    <row r="238" customFormat="false" ht="15" hidden="false" customHeight="false" outlineLevel="0" collapsed="false">
      <c r="A238" s="44"/>
      <c r="B238" s="44"/>
      <c r="C238" s="42"/>
      <c r="D238" s="34" t="str">
        <f aca="false">IF(A238="","",IFERROR(INDEX(I_COA!$C$6:$C$265,MATCH(A238,I_COA!$A$6:$A$265,0)),"AKUN BARU"))</f>
        <v/>
      </c>
      <c r="E238" s="34" t="str">
        <f aca="false">IF(D238="Neraca",INDEX(I_COA!$E$6:$E$265,MATCH(A238,I_COA!$A$6:$A$265,0)),"")</f>
        <v/>
      </c>
      <c r="F238" s="34" t="str">
        <f aca="false">IF(D238="LabaRugi",INDEX(I_COA!$D$6:$D$265,MATCH(A238,I_COA!$A$6:$A$265,0)),"")</f>
        <v/>
      </c>
    </row>
    <row r="239" customFormat="false" ht="15" hidden="false" customHeight="false" outlineLevel="0" collapsed="false">
      <c r="A239" s="44"/>
      <c r="B239" s="44"/>
      <c r="C239" s="42"/>
      <c r="D239" s="34" t="str">
        <f aca="false">IF(A239="","",IFERROR(INDEX(I_COA!$C$6:$C$265,MATCH(A239,I_COA!$A$6:$A$265,0)),"AKUN BARU"))</f>
        <v/>
      </c>
      <c r="E239" s="34" t="str">
        <f aca="false">IF(D239="Neraca",INDEX(I_COA!$E$6:$E$265,MATCH(A239,I_COA!$A$6:$A$265,0)),"")</f>
        <v/>
      </c>
      <c r="F239" s="34" t="str">
        <f aca="false">IF(D239="LabaRugi",INDEX(I_COA!$D$6:$D$265,MATCH(A239,I_COA!$A$6:$A$265,0)),"")</f>
        <v/>
      </c>
    </row>
    <row r="240" customFormat="false" ht="15" hidden="false" customHeight="false" outlineLevel="0" collapsed="false">
      <c r="A240" s="44"/>
      <c r="B240" s="44"/>
      <c r="C240" s="42"/>
      <c r="D240" s="34" t="str">
        <f aca="false">IF(A240="","",IFERROR(INDEX(I_COA!$C$6:$C$265,MATCH(A240,I_COA!$A$6:$A$265,0)),"AKUN BARU"))</f>
        <v/>
      </c>
      <c r="E240" s="34" t="str">
        <f aca="false">IF(D240="Neraca",INDEX(I_COA!$E$6:$E$265,MATCH(A240,I_COA!$A$6:$A$265,0)),"")</f>
        <v/>
      </c>
      <c r="F240" s="34" t="str">
        <f aca="false">IF(D240="LabaRugi",INDEX(I_COA!$D$6:$D$265,MATCH(A240,I_COA!$A$6:$A$265,0)),"")</f>
        <v/>
      </c>
    </row>
    <row r="241" customFormat="false" ht="15" hidden="false" customHeight="false" outlineLevel="0" collapsed="false">
      <c r="A241" s="44"/>
      <c r="B241" s="44"/>
      <c r="C241" s="42"/>
      <c r="D241" s="34" t="str">
        <f aca="false">IF(A241="","",IFERROR(INDEX(I_COA!$C$6:$C$265,MATCH(A241,I_COA!$A$6:$A$265,0)),"AKUN BARU"))</f>
        <v/>
      </c>
      <c r="E241" s="34" t="str">
        <f aca="false">IF(D241="Neraca",INDEX(I_COA!$E$6:$E$265,MATCH(A241,I_COA!$A$6:$A$265,0)),"")</f>
        <v/>
      </c>
      <c r="F241" s="34" t="str">
        <f aca="false">IF(D241="LabaRugi",INDEX(I_COA!$D$6:$D$265,MATCH(A241,I_COA!$A$6:$A$265,0)),"")</f>
        <v/>
      </c>
    </row>
    <row r="242" customFormat="false" ht="15" hidden="false" customHeight="false" outlineLevel="0" collapsed="false">
      <c r="A242" s="44"/>
      <c r="B242" s="44"/>
      <c r="C242" s="42"/>
      <c r="D242" s="34" t="str">
        <f aca="false">IF(A242="","",IFERROR(INDEX(I_COA!$C$6:$C$265,MATCH(A242,I_COA!$A$6:$A$265,0)),"AKUN BARU"))</f>
        <v/>
      </c>
      <c r="E242" s="34" t="str">
        <f aca="false">IF(D242="Neraca",INDEX(I_COA!$E$6:$E$265,MATCH(A242,I_COA!$A$6:$A$265,0)),"")</f>
        <v/>
      </c>
      <c r="F242" s="34" t="str">
        <f aca="false">IF(D242="LabaRugi",INDEX(I_COA!$D$6:$D$265,MATCH(A242,I_COA!$A$6:$A$265,0)),"")</f>
        <v/>
      </c>
    </row>
    <row r="243" customFormat="false" ht="15" hidden="false" customHeight="false" outlineLevel="0" collapsed="false">
      <c r="A243" s="44"/>
      <c r="B243" s="44"/>
      <c r="C243" s="42"/>
      <c r="D243" s="34" t="str">
        <f aca="false">IF(A243="","",IFERROR(INDEX(I_COA!$C$6:$C$265,MATCH(A243,I_COA!$A$6:$A$265,0)),"AKUN BARU"))</f>
        <v/>
      </c>
      <c r="E243" s="34" t="str">
        <f aca="false">IF(D243="Neraca",INDEX(I_COA!$E$6:$E$265,MATCH(A243,I_COA!$A$6:$A$265,0)),"")</f>
        <v/>
      </c>
      <c r="F243" s="34" t="str">
        <f aca="false">IF(D243="LabaRugi",INDEX(I_COA!$D$6:$D$265,MATCH(A243,I_COA!$A$6:$A$265,0)),"")</f>
        <v/>
      </c>
    </row>
    <row r="244" customFormat="false" ht="15" hidden="false" customHeight="false" outlineLevel="0" collapsed="false">
      <c r="A244" s="44"/>
      <c r="B244" s="44"/>
      <c r="C244" s="42"/>
      <c r="D244" s="34" t="str">
        <f aca="false">IF(A244="","",IFERROR(INDEX(I_COA!$C$6:$C$265,MATCH(A244,I_COA!$A$6:$A$265,0)),"AKUN BARU"))</f>
        <v/>
      </c>
      <c r="E244" s="34" t="str">
        <f aca="false">IF(D244="Neraca",INDEX(I_COA!$E$6:$E$265,MATCH(A244,I_COA!$A$6:$A$265,0)),"")</f>
        <v/>
      </c>
      <c r="F244" s="34" t="str">
        <f aca="false">IF(D244="LabaRugi",INDEX(I_COA!$D$6:$D$265,MATCH(A244,I_COA!$A$6:$A$265,0)),"")</f>
        <v/>
      </c>
    </row>
    <row r="245" customFormat="false" ht="15" hidden="false" customHeight="false" outlineLevel="0" collapsed="false">
      <c r="A245" s="44"/>
      <c r="B245" s="44"/>
      <c r="C245" s="42"/>
      <c r="D245" s="34" t="str">
        <f aca="false">IF(A245="","",IFERROR(INDEX(I_COA!$C$6:$C$265,MATCH(A245,I_COA!$A$6:$A$265,0)),"AKUN BARU"))</f>
        <v/>
      </c>
      <c r="E245" s="34" t="str">
        <f aca="false">IF(D245="Neraca",INDEX(I_COA!$E$6:$E$265,MATCH(A245,I_COA!$A$6:$A$265,0)),"")</f>
        <v/>
      </c>
      <c r="F245" s="34" t="str">
        <f aca="false">IF(D245="LabaRugi",INDEX(I_COA!$D$6:$D$265,MATCH(A245,I_COA!$A$6:$A$265,0)),"")</f>
        <v/>
      </c>
    </row>
    <row r="246" customFormat="false" ht="15" hidden="false" customHeight="false" outlineLevel="0" collapsed="false">
      <c r="A246" s="44"/>
      <c r="B246" s="44"/>
      <c r="C246" s="42"/>
      <c r="D246" s="34" t="str">
        <f aca="false">IF(A246="","",IFERROR(INDEX(I_COA!$C$6:$C$265,MATCH(A246,I_COA!$A$6:$A$265,0)),"AKUN BARU"))</f>
        <v/>
      </c>
      <c r="E246" s="34" t="str">
        <f aca="false">IF(D246="Neraca",INDEX(I_COA!$E$6:$E$265,MATCH(A246,I_COA!$A$6:$A$265,0)),"")</f>
        <v/>
      </c>
      <c r="F246" s="34" t="str">
        <f aca="false">IF(D246="LabaRugi",INDEX(I_COA!$D$6:$D$265,MATCH(A246,I_COA!$A$6:$A$265,0)),"")</f>
        <v/>
      </c>
    </row>
    <row r="247" customFormat="false" ht="15" hidden="false" customHeight="false" outlineLevel="0" collapsed="false">
      <c r="A247" s="44"/>
      <c r="B247" s="44"/>
      <c r="C247" s="42"/>
      <c r="D247" s="34" t="str">
        <f aca="false">IF(A247="","",IFERROR(INDEX(I_COA!$C$6:$C$265,MATCH(A247,I_COA!$A$6:$A$265,0)),"AKUN BARU"))</f>
        <v/>
      </c>
      <c r="E247" s="34" t="str">
        <f aca="false">IF(D247="Neraca",INDEX(I_COA!$E$6:$E$265,MATCH(A247,I_COA!$A$6:$A$265,0)),"")</f>
        <v/>
      </c>
      <c r="F247" s="34" t="str">
        <f aca="false">IF(D247="LabaRugi",INDEX(I_COA!$D$6:$D$265,MATCH(A247,I_COA!$A$6:$A$265,0)),"")</f>
        <v/>
      </c>
    </row>
    <row r="248" customFormat="false" ht="15" hidden="false" customHeight="false" outlineLevel="0" collapsed="false">
      <c r="A248" s="44"/>
      <c r="B248" s="44"/>
      <c r="C248" s="42"/>
      <c r="D248" s="34" t="str">
        <f aca="false">IF(A248="","",IFERROR(INDEX(I_COA!$C$6:$C$265,MATCH(A248,I_COA!$A$6:$A$265,0)),"AKUN BARU"))</f>
        <v/>
      </c>
      <c r="E248" s="34" t="str">
        <f aca="false">IF(D248="Neraca",INDEX(I_COA!$E$6:$E$265,MATCH(A248,I_COA!$A$6:$A$265,0)),"")</f>
        <v/>
      </c>
      <c r="F248" s="34" t="str">
        <f aca="false">IF(D248="LabaRugi",INDEX(I_COA!$D$6:$D$265,MATCH(A248,I_COA!$A$6:$A$265,0)),"")</f>
        <v/>
      </c>
    </row>
    <row r="249" customFormat="false" ht="15" hidden="false" customHeight="false" outlineLevel="0" collapsed="false">
      <c r="A249" s="44"/>
      <c r="B249" s="44"/>
      <c r="C249" s="42"/>
      <c r="D249" s="34" t="str">
        <f aca="false">IF(A249="","",IFERROR(INDEX(I_COA!$C$6:$C$265,MATCH(A249,I_COA!$A$6:$A$265,0)),"AKUN BARU"))</f>
        <v/>
      </c>
      <c r="E249" s="34" t="str">
        <f aca="false">IF(D249="Neraca",INDEX(I_COA!$E$6:$E$265,MATCH(A249,I_COA!$A$6:$A$265,0)),"")</f>
        <v/>
      </c>
      <c r="F249" s="34" t="str">
        <f aca="false">IF(D249="LabaRugi",INDEX(I_COA!$D$6:$D$265,MATCH(A249,I_COA!$A$6:$A$265,0)),"")</f>
        <v/>
      </c>
    </row>
    <row r="250" customFormat="false" ht="15" hidden="false" customHeight="false" outlineLevel="0" collapsed="false">
      <c r="A250" s="44"/>
      <c r="B250" s="44"/>
      <c r="C250" s="42"/>
      <c r="D250" s="34" t="str">
        <f aca="false">IF(A250="","",IFERROR(INDEX(I_COA!$C$6:$C$265,MATCH(A250,I_COA!$A$6:$A$265,0)),"AKUN BARU"))</f>
        <v/>
      </c>
      <c r="E250" s="34" t="str">
        <f aca="false">IF(D250="Neraca",INDEX(I_COA!$E$6:$E$265,MATCH(A250,I_COA!$A$6:$A$265,0)),"")</f>
        <v/>
      </c>
      <c r="F250" s="34" t="str">
        <f aca="false">IF(D250="LabaRugi",INDEX(I_COA!$D$6:$D$265,MATCH(A250,I_COA!$A$6:$A$265,0)),"")</f>
        <v/>
      </c>
    </row>
    <row r="251" customFormat="false" ht="15" hidden="false" customHeight="false" outlineLevel="0" collapsed="false">
      <c r="A251" s="44"/>
      <c r="B251" s="44"/>
      <c r="C251" s="42"/>
      <c r="D251" s="34" t="str">
        <f aca="false">IF(A251="","",IFERROR(INDEX(I_COA!$C$6:$C$265,MATCH(A251,I_COA!$A$6:$A$265,0)),"AKUN BARU"))</f>
        <v/>
      </c>
      <c r="E251" s="34" t="str">
        <f aca="false">IF(D251="Neraca",INDEX(I_COA!$E$6:$E$265,MATCH(A251,I_COA!$A$6:$A$265,0)),"")</f>
        <v/>
      </c>
      <c r="F251" s="34" t="str">
        <f aca="false">IF(D251="LabaRugi",INDEX(I_COA!$D$6:$D$265,MATCH(A251,I_COA!$A$6:$A$265,0)),"")</f>
        <v/>
      </c>
    </row>
    <row r="252" customFormat="false" ht="15" hidden="false" customHeight="false" outlineLevel="0" collapsed="false">
      <c r="A252" s="44"/>
      <c r="B252" s="44"/>
      <c r="C252" s="42"/>
      <c r="D252" s="34" t="str">
        <f aca="false">IF(A252="","",IFERROR(INDEX(I_COA!$C$6:$C$265,MATCH(A252,I_COA!$A$6:$A$265,0)),"AKUN BARU"))</f>
        <v/>
      </c>
      <c r="E252" s="34" t="str">
        <f aca="false">IF(D252="Neraca",INDEX(I_COA!$E$6:$E$265,MATCH(A252,I_COA!$A$6:$A$265,0)),"")</f>
        <v/>
      </c>
      <c r="F252" s="34" t="str">
        <f aca="false">IF(D252="LabaRugi",INDEX(I_COA!$D$6:$D$265,MATCH(A252,I_COA!$A$6:$A$265,0)),"")</f>
        <v/>
      </c>
    </row>
    <row r="253" customFormat="false" ht="15" hidden="false" customHeight="false" outlineLevel="0" collapsed="false">
      <c r="A253" s="44"/>
      <c r="B253" s="44"/>
      <c r="C253" s="42"/>
      <c r="D253" s="34" t="str">
        <f aca="false">IF(A253="","",IFERROR(INDEX(I_COA!$C$6:$C$265,MATCH(A253,I_COA!$A$6:$A$265,0)),"AKUN BARU"))</f>
        <v/>
      </c>
      <c r="E253" s="34" t="str">
        <f aca="false">IF(D253="Neraca",INDEX(I_COA!$E$6:$E$265,MATCH(A253,I_COA!$A$6:$A$265,0)),"")</f>
        <v/>
      </c>
      <c r="F253" s="34" t="str">
        <f aca="false">IF(D253="LabaRugi",INDEX(I_COA!$D$6:$D$265,MATCH(A253,I_COA!$A$6:$A$265,0)),"")</f>
        <v/>
      </c>
    </row>
    <row r="254" customFormat="false" ht="15" hidden="false" customHeight="false" outlineLevel="0" collapsed="false">
      <c r="A254" s="44"/>
      <c r="B254" s="44"/>
      <c r="C254" s="42"/>
      <c r="D254" s="34" t="str">
        <f aca="false">IF(A254="","",IFERROR(INDEX(I_COA!$C$6:$C$265,MATCH(A254,I_COA!$A$6:$A$265,0)),"AKUN BARU"))</f>
        <v/>
      </c>
      <c r="E254" s="34" t="str">
        <f aca="false">IF(D254="Neraca",INDEX(I_COA!$E$6:$E$265,MATCH(A254,I_COA!$A$6:$A$265,0)),"")</f>
        <v/>
      </c>
      <c r="F254" s="34" t="str">
        <f aca="false">IF(D254="LabaRugi",INDEX(I_COA!$D$6:$D$265,MATCH(A254,I_COA!$A$6:$A$265,0)),"")</f>
        <v/>
      </c>
    </row>
    <row r="255" customFormat="false" ht="15" hidden="false" customHeight="false" outlineLevel="0" collapsed="false">
      <c r="A255" s="44"/>
      <c r="B255" s="44"/>
      <c r="C255" s="42"/>
      <c r="D255" s="34" t="str">
        <f aca="false">IF(A255="","",IFERROR(INDEX(I_COA!$C$6:$C$265,MATCH(A255,I_COA!$A$6:$A$265,0)),"AKUN BARU"))</f>
        <v/>
      </c>
      <c r="E255" s="34" t="str">
        <f aca="false">IF(D255="Neraca",INDEX(I_COA!$E$6:$E$265,MATCH(A255,I_COA!$A$6:$A$265,0)),"")</f>
        <v/>
      </c>
      <c r="F255" s="34" t="str">
        <f aca="false">IF(D255="LabaRugi",INDEX(I_COA!$D$6:$D$265,MATCH(A255,I_COA!$A$6:$A$265,0)),"")</f>
        <v/>
      </c>
    </row>
    <row r="256" customFormat="false" ht="15" hidden="false" customHeight="false" outlineLevel="0" collapsed="false">
      <c r="A256" s="44"/>
      <c r="B256" s="44"/>
      <c r="C256" s="42"/>
      <c r="D256" s="34" t="str">
        <f aca="false">IF(A256="","",IFERROR(INDEX(I_COA!$C$6:$C$265,MATCH(A256,I_COA!$A$6:$A$265,0)),"AKUN BARU"))</f>
        <v/>
      </c>
      <c r="E256" s="34" t="str">
        <f aca="false">IF(D256="Neraca",INDEX(I_COA!$E$6:$E$265,MATCH(A256,I_COA!$A$6:$A$265,0)),"")</f>
        <v/>
      </c>
      <c r="F256" s="34" t="str">
        <f aca="false">IF(D256="LabaRugi",INDEX(I_COA!$D$6:$D$265,MATCH(A256,I_COA!$A$6:$A$265,0)),"")</f>
        <v/>
      </c>
    </row>
    <row r="257" customFormat="false" ht="15" hidden="false" customHeight="false" outlineLevel="0" collapsed="false">
      <c r="A257" s="44"/>
      <c r="B257" s="44"/>
      <c r="C257" s="42"/>
      <c r="D257" s="34" t="str">
        <f aca="false">IF(A257="","",IFERROR(INDEX(I_COA!$C$6:$C$265,MATCH(A257,I_COA!$A$6:$A$265,0)),"AKUN BARU"))</f>
        <v/>
      </c>
      <c r="E257" s="34" t="str">
        <f aca="false">IF(D257="Neraca",INDEX(I_COA!$E$6:$E$265,MATCH(A257,I_COA!$A$6:$A$265,0)),"")</f>
        <v/>
      </c>
      <c r="F257" s="34" t="str">
        <f aca="false">IF(D257="LabaRugi",INDEX(I_COA!$D$6:$D$265,MATCH(A257,I_COA!$A$6:$A$265,0)),"")</f>
        <v/>
      </c>
    </row>
    <row r="258" customFormat="false" ht="15" hidden="false" customHeight="false" outlineLevel="0" collapsed="false">
      <c r="A258" s="44"/>
      <c r="B258" s="44"/>
      <c r="C258" s="42"/>
      <c r="D258" s="34" t="str">
        <f aca="false">IF(A258="","",IFERROR(INDEX(I_COA!$C$6:$C$265,MATCH(A258,I_COA!$A$6:$A$265,0)),"AKUN BARU"))</f>
        <v/>
      </c>
      <c r="E258" s="34" t="str">
        <f aca="false">IF(D258="Neraca",INDEX(I_COA!$E$6:$E$265,MATCH(A258,I_COA!$A$6:$A$265,0)),"")</f>
        <v/>
      </c>
      <c r="F258" s="34" t="str">
        <f aca="false">IF(D258="LabaRugi",INDEX(I_COA!$D$6:$D$265,MATCH(A258,I_COA!$A$6:$A$265,0)),"")</f>
        <v/>
      </c>
    </row>
    <row r="259" customFormat="false" ht="15" hidden="false" customHeight="false" outlineLevel="0" collapsed="false">
      <c r="A259" s="44"/>
      <c r="B259" s="44"/>
      <c r="C259" s="42"/>
      <c r="D259" s="34" t="str">
        <f aca="false">IF(A259="","",IFERROR(INDEX(I_COA!$C$6:$C$265,MATCH(A259,I_COA!$A$6:$A$265,0)),"AKUN BARU"))</f>
        <v/>
      </c>
      <c r="E259" s="34" t="str">
        <f aca="false">IF(D259="Neraca",INDEX(I_COA!$E$6:$E$265,MATCH(A259,I_COA!$A$6:$A$265,0)),"")</f>
        <v/>
      </c>
      <c r="F259" s="34" t="str">
        <f aca="false">IF(D259="LabaRugi",INDEX(I_COA!$D$6:$D$265,MATCH(A259,I_COA!$A$6:$A$265,0)),"")</f>
        <v/>
      </c>
    </row>
    <row r="260" customFormat="false" ht="15" hidden="false" customHeight="false" outlineLevel="0" collapsed="false">
      <c r="A260" s="44"/>
      <c r="B260" s="44"/>
      <c r="C260" s="42"/>
      <c r="D260" s="34" t="str">
        <f aca="false">IF(A260="","",IFERROR(INDEX(I_COA!$C$6:$C$265,MATCH(A260,I_COA!$A$6:$A$265,0)),"AKUN BARU"))</f>
        <v/>
      </c>
      <c r="E260" s="34" t="str">
        <f aca="false">IF(D260="Neraca",INDEX(I_COA!$E$6:$E$265,MATCH(A260,I_COA!$A$6:$A$265,0)),"")</f>
        <v/>
      </c>
      <c r="F260" s="34" t="str">
        <f aca="false">IF(D260="LabaRugi",INDEX(I_COA!$D$6:$D$265,MATCH(A260,I_COA!$A$6:$A$265,0)),"")</f>
        <v/>
      </c>
    </row>
    <row r="261" customFormat="false" ht="15" hidden="false" customHeight="false" outlineLevel="0" collapsed="false">
      <c r="A261" s="44"/>
      <c r="B261" s="44"/>
      <c r="C261" s="42"/>
      <c r="D261" s="34" t="str">
        <f aca="false">IF(A261="","",IFERROR(INDEX(I_COA!$C$6:$C$265,MATCH(A261,I_COA!$A$6:$A$265,0)),"AKUN BARU"))</f>
        <v/>
      </c>
      <c r="E261" s="34" t="str">
        <f aca="false">IF(D261="Neraca",INDEX(I_COA!$E$6:$E$265,MATCH(A261,I_COA!$A$6:$A$265,0)),"")</f>
        <v/>
      </c>
      <c r="F261" s="34" t="str">
        <f aca="false">IF(D261="LabaRugi",INDEX(I_COA!$D$6:$D$265,MATCH(A261,I_COA!$A$6:$A$265,0)),"")</f>
        <v/>
      </c>
    </row>
    <row r="262" customFormat="false" ht="15" hidden="false" customHeight="false" outlineLevel="0" collapsed="false">
      <c r="A262" s="44"/>
      <c r="B262" s="44"/>
      <c r="C262" s="42"/>
      <c r="D262" s="34" t="str">
        <f aca="false">IF(A262="","",IFERROR(INDEX(I_COA!$C$6:$C$265,MATCH(A262,I_COA!$A$6:$A$265,0)),"AKUN BARU"))</f>
        <v/>
      </c>
      <c r="E262" s="34" t="str">
        <f aca="false">IF(D262="Neraca",INDEX(I_COA!$E$6:$E$265,MATCH(A262,I_COA!$A$6:$A$265,0)),"")</f>
        <v/>
      </c>
      <c r="F262" s="34" t="str">
        <f aca="false">IF(D262="LabaRugi",INDEX(I_COA!$D$6:$D$265,MATCH(A262,I_COA!$A$6:$A$265,0)),"")</f>
        <v/>
      </c>
    </row>
    <row r="263" customFormat="false" ht="15" hidden="false" customHeight="false" outlineLevel="0" collapsed="false">
      <c r="A263" s="44"/>
      <c r="B263" s="44"/>
      <c r="C263" s="42"/>
      <c r="D263" s="34" t="str">
        <f aca="false">IF(A263="","",IFERROR(INDEX(I_COA!$C$6:$C$265,MATCH(A263,I_COA!$A$6:$A$265,0)),"AKUN BARU"))</f>
        <v/>
      </c>
      <c r="E263" s="34" t="str">
        <f aca="false">IF(D263="Neraca",INDEX(I_COA!$E$6:$E$265,MATCH(A263,I_COA!$A$6:$A$265,0)),"")</f>
        <v/>
      </c>
      <c r="F263" s="34" t="str">
        <f aca="false">IF(D263="LabaRugi",INDEX(I_COA!$D$6:$D$265,MATCH(A263,I_COA!$A$6:$A$265,0)),"")</f>
        <v/>
      </c>
    </row>
    <row r="264" customFormat="false" ht="15" hidden="false" customHeight="false" outlineLevel="0" collapsed="false">
      <c r="A264" s="44"/>
      <c r="B264" s="44"/>
      <c r="C264" s="42"/>
      <c r="D264" s="34" t="str">
        <f aca="false">IF(A264="","",IFERROR(INDEX(I_COA!$C$6:$C$265,MATCH(A264,I_COA!$A$6:$A$265,0)),"AKUN BARU"))</f>
        <v/>
      </c>
      <c r="E264" s="34" t="str">
        <f aca="false">IF(D264="Neraca",INDEX(I_COA!$E$6:$E$265,MATCH(A264,I_COA!$A$6:$A$265,0)),"")</f>
        <v/>
      </c>
      <c r="F264" s="34" t="str">
        <f aca="false">IF(D264="LabaRugi",INDEX(I_COA!$D$6:$D$265,MATCH(A264,I_COA!$A$6:$A$265,0)),"")</f>
        <v/>
      </c>
    </row>
    <row r="265" customFormat="false" ht="15" hidden="false" customHeight="false" outlineLevel="0" collapsed="false">
      <c r="A265" s="44"/>
      <c r="B265" s="44"/>
      <c r="C265" s="42"/>
      <c r="D265" s="34" t="str">
        <f aca="false">IF(A265="","",IFERROR(INDEX(I_COA!$C$6:$C$265,MATCH(A265,I_COA!$A$6:$A$265,0)),"AKUN BARU"))</f>
        <v/>
      </c>
      <c r="E265" s="34" t="str">
        <f aca="false">IF(D265="Neraca",INDEX(I_COA!$E$6:$E$265,MATCH(A265,I_COA!$A$6:$A$265,0)),"")</f>
        <v/>
      </c>
      <c r="F265" s="34" t="str">
        <f aca="false">IF(D265="LabaRugi",INDEX(I_COA!$D$6:$D$265,MATCH(A265,I_COA!$A$6:$A$265,0)),"")</f>
        <v/>
      </c>
    </row>
    <row r="266" customFormat="false" ht="15" hidden="false" customHeight="false" outlineLevel="0" collapsed="false">
      <c r="B266" s="14" t="s">
        <v>2359</v>
      </c>
      <c r="C266" s="15" t="n">
        <f aca="false">SUM(C6:C265)</f>
        <v>0.0299995643622242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7" min="6" style="0" width="14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2360</v>
      </c>
    </row>
    <row r="2" customFormat="false" ht="15" hidden="false" customHeight="false" outlineLevel="0" collapsed="false">
      <c r="A2" s="6" t="s">
        <v>2361</v>
      </c>
    </row>
    <row r="5" customFormat="false" ht="33.75" hidden="false" customHeight="true" outlineLevel="0" collapsed="false">
      <c r="A5" s="8" t="s">
        <v>277</v>
      </c>
      <c r="B5" s="8" t="s">
        <v>24</v>
      </c>
      <c r="C5" s="8" t="s">
        <v>2362</v>
      </c>
      <c r="D5" s="8" t="s">
        <v>2363</v>
      </c>
      <c r="E5" s="8" t="s">
        <v>2364</v>
      </c>
      <c r="F5" s="8" t="s">
        <v>2365</v>
      </c>
      <c r="G5" s="8" t="s">
        <v>2366</v>
      </c>
      <c r="H5" s="8" t="s">
        <v>2046</v>
      </c>
    </row>
    <row r="6" customFormat="false" ht="15" hidden="false" customHeight="false" outlineLevel="0" collapsed="false">
      <c r="A6" s="49" t="s">
        <v>2367</v>
      </c>
      <c r="B6" s="49" t="s">
        <v>38</v>
      </c>
      <c r="C6" s="49" t="s">
        <v>2368</v>
      </c>
      <c r="D6" s="49" t="s">
        <v>2369</v>
      </c>
      <c r="E6" s="49" t="s">
        <v>2370</v>
      </c>
      <c r="F6" s="42" t="n">
        <v>38000</v>
      </c>
      <c r="G6" s="42"/>
      <c r="H6" s="19" t="s">
        <v>2371</v>
      </c>
    </row>
    <row r="7" customFormat="false" ht="15" hidden="false" customHeight="false" outlineLevel="0" collapsed="false">
      <c r="A7" s="49" t="s">
        <v>2372</v>
      </c>
      <c r="B7" s="49" t="s">
        <v>38</v>
      </c>
      <c r="C7" s="49" t="s">
        <v>2373</v>
      </c>
      <c r="D7" s="49" t="s">
        <v>2369</v>
      </c>
      <c r="E7" s="49" t="s">
        <v>2370</v>
      </c>
      <c r="F7" s="42" t="n">
        <v>41000</v>
      </c>
      <c r="G7" s="42"/>
      <c r="H7" s="19" t="s">
        <v>2371</v>
      </c>
    </row>
    <row r="8" customFormat="false" ht="15" hidden="false" customHeight="false" outlineLevel="0" collapsed="false">
      <c r="A8" s="49" t="s">
        <v>2374</v>
      </c>
      <c r="B8" s="49" t="s">
        <v>38</v>
      </c>
      <c r="C8" s="49" t="s">
        <v>2373</v>
      </c>
      <c r="D8" s="49" t="s">
        <v>2375</v>
      </c>
      <c r="E8" s="49" t="s">
        <v>2370</v>
      </c>
      <c r="F8" s="42" t="n">
        <v>41000</v>
      </c>
      <c r="G8" s="42"/>
      <c r="H8" s="19" t="s">
        <v>2371</v>
      </c>
    </row>
    <row r="9" customFormat="false" ht="15" hidden="false" customHeight="false" outlineLevel="0" collapsed="false">
      <c r="A9" s="49" t="s">
        <v>2376</v>
      </c>
      <c r="B9" s="49" t="s">
        <v>38</v>
      </c>
      <c r="C9" s="49" t="s">
        <v>2377</v>
      </c>
      <c r="D9" s="49" t="s">
        <v>2369</v>
      </c>
      <c r="E9" s="49" t="s">
        <v>2370</v>
      </c>
      <c r="F9" s="42" t="n">
        <v>45004</v>
      </c>
      <c r="G9" s="42"/>
      <c r="H9" s="19" t="s">
        <v>2371</v>
      </c>
    </row>
    <row r="10" customFormat="false" ht="15" hidden="false" customHeight="false" outlineLevel="0" collapsed="false">
      <c r="A10" s="49" t="s">
        <v>2378</v>
      </c>
      <c r="B10" s="49" t="s">
        <v>38</v>
      </c>
      <c r="C10" s="49" t="s">
        <v>2377</v>
      </c>
      <c r="D10" s="49" t="s">
        <v>2375</v>
      </c>
      <c r="E10" s="49" t="s">
        <v>2370</v>
      </c>
      <c r="F10" s="42" t="n">
        <v>39520</v>
      </c>
      <c r="G10" s="42"/>
      <c r="H10" s="19" t="s">
        <v>2371</v>
      </c>
    </row>
    <row r="11" customFormat="false" ht="15" hidden="false" customHeight="false" outlineLevel="0" collapsed="false">
      <c r="A11" s="49" t="s">
        <v>2379</v>
      </c>
      <c r="B11" s="49" t="s">
        <v>38</v>
      </c>
      <c r="C11" s="49" t="s">
        <v>2380</v>
      </c>
      <c r="D11" s="49" t="s">
        <v>2369</v>
      </c>
      <c r="E11" s="49" t="s">
        <v>2370</v>
      </c>
      <c r="F11" s="42" t="n">
        <v>40000</v>
      </c>
      <c r="G11" s="42"/>
      <c r="H11" s="19" t="s">
        <v>2371</v>
      </c>
    </row>
    <row r="12" customFormat="false" ht="15" hidden="false" customHeight="false" outlineLevel="0" collapsed="false">
      <c r="A12" s="49" t="s">
        <v>2381</v>
      </c>
      <c r="B12" s="49" t="s">
        <v>38</v>
      </c>
      <c r="C12" s="49" t="s">
        <v>2380</v>
      </c>
      <c r="D12" s="49" t="s">
        <v>2375</v>
      </c>
      <c r="E12" s="49" t="s">
        <v>2370</v>
      </c>
      <c r="F12" s="42" t="n">
        <v>40000</v>
      </c>
      <c r="G12" s="42"/>
      <c r="H12" s="19" t="s">
        <v>2371</v>
      </c>
    </row>
    <row r="13" customFormat="false" ht="15" hidden="false" customHeight="false" outlineLevel="0" collapsed="false">
      <c r="A13" s="49" t="s">
        <v>2382</v>
      </c>
      <c r="B13" s="49" t="s">
        <v>38</v>
      </c>
      <c r="C13" s="49" t="s">
        <v>2383</v>
      </c>
      <c r="D13" s="49" t="s">
        <v>2369</v>
      </c>
      <c r="E13" s="49" t="s">
        <v>2370</v>
      </c>
      <c r="F13" s="42" t="n">
        <v>8961</v>
      </c>
      <c r="G13" s="42"/>
      <c r="H13" s="19" t="s">
        <v>2371</v>
      </c>
    </row>
    <row r="14" customFormat="false" ht="15" hidden="false" customHeight="false" outlineLevel="0" collapsed="false">
      <c r="A14" s="49" t="s">
        <v>2384</v>
      </c>
      <c r="B14" s="49" t="s">
        <v>38</v>
      </c>
      <c r="C14" s="49" t="s">
        <v>2383</v>
      </c>
      <c r="D14" s="49" t="s">
        <v>2375</v>
      </c>
      <c r="E14" s="49" t="s">
        <v>2370</v>
      </c>
      <c r="F14" s="42" t="n">
        <v>5000</v>
      </c>
      <c r="G14" s="42"/>
      <c r="H14" s="19" t="s">
        <v>2371</v>
      </c>
    </row>
    <row r="15" customFormat="false" ht="15" hidden="false" customHeight="false" outlineLevel="0" collapsed="false">
      <c r="A15" s="49" t="s">
        <v>2385</v>
      </c>
      <c r="B15" s="49" t="s">
        <v>38</v>
      </c>
      <c r="C15" s="49" t="s">
        <v>2386</v>
      </c>
      <c r="D15" s="49" t="s">
        <v>2369</v>
      </c>
      <c r="E15" s="49" t="s">
        <v>2370</v>
      </c>
      <c r="F15" s="42" t="n">
        <v>22478</v>
      </c>
      <c r="G15" s="42"/>
      <c r="H15" s="19" t="s">
        <v>2371</v>
      </c>
    </row>
    <row r="16" customFormat="false" ht="15" hidden="false" customHeight="false" outlineLevel="0" collapsed="false">
      <c r="A16" s="49" t="s">
        <v>2387</v>
      </c>
      <c r="B16" s="49" t="s">
        <v>38</v>
      </c>
      <c r="C16" s="49" t="s">
        <v>2386</v>
      </c>
      <c r="D16" s="49" t="s">
        <v>2375</v>
      </c>
      <c r="E16" s="49" t="s">
        <v>2370</v>
      </c>
      <c r="F16" s="42" t="n">
        <v>23007</v>
      </c>
      <c r="G16" s="42"/>
      <c r="H16" s="19" t="s">
        <v>2371</v>
      </c>
    </row>
    <row r="17" customFormat="false" ht="15" hidden="false" customHeight="false" outlineLevel="0" collapsed="false">
      <c r="A17" s="49" t="s">
        <v>2388</v>
      </c>
      <c r="B17" s="49" t="s">
        <v>38</v>
      </c>
      <c r="C17" s="49" t="s">
        <v>2389</v>
      </c>
      <c r="D17" s="49" t="s">
        <v>2369</v>
      </c>
      <c r="E17" s="49" t="s">
        <v>2370</v>
      </c>
      <c r="F17" s="42" t="n">
        <v>35238</v>
      </c>
      <c r="G17" s="42"/>
      <c r="H17" s="19" t="s">
        <v>2371</v>
      </c>
    </row>
    <row r="18" customFormat="false" ht="15" hidden="false" customHeight="false" outlineLevel="0" collapsed="false">
      <c r="A18" s="49" t="s">
        <v>2390</v>
      </c>
      <c r="B18" s="49" t="s">
        <v>38</v>
      </c>
      <c r="C18" s="49" t="s">
        <v>2389</v>
      </c>
      <c r="D18" s="49" t="s">
        <v>2375</v>
      </c>
      <c r="E18" s="49" t="s">
        <v>2370</v>
      </c>
      <c r="F18" s="42" t="n">
        <v>35000</v>
      </c>
      <c r="G18" s="42"/>
      <c r="H18" s="19" t="s">
        <v>2371</v>
      </c>
    </row>
    <row r="19" customFormat="false" ht="15" hidden="false" customHeight="false" outlineLevel="0" collapsed="false">
      <c r="A19" s="49" t="s">
        <v>2391</v>
      </c>
      <c r="B19" s="49" t="s">
        <v>38</v>
      </c>
      <c r="C19" s="49" t="s">
        <v>2392</v>
      </c>
      <c r="D19" s="49" t="s">
        <v>2369</v>
      </c>
      <c r="E19" s="49" t="s">
        <v>2370</v>
      </c>
      <c r="F19" s="42" t="n">
        <v>27560</v>
      </c>
      <c r="G19" s="42"/>
      <c r="H19" s="19" t="s">
        <v>2371</v>
      </c>
    </row>
    <row r="20" customFormat="false" ht="15" hidden="false" customHeight="false" outlineLevel="0" collapsed="false">
      <c r="A20" s="49" t="s">
        <v>2393</v>
      </c>
      <c r="B20" s="49" t="s">
        <v>38</v>
      </c>
      <c r="C20" s="49" t="s">
        <v>2392</v>
      </c>
      <c r="D20" s="49" t="s">
        <v>2375</v>
      </c>
      <c r="E20" s="49" t="s">
        <v>2370</v>
      </c>
      <c r="F20" s="42" t="n">
        <v>25736</v>
      </c>
      <c r="G20" s="42"/>
      <c r="H20" s="19" t="s">
        <v>2371</v>
      </c>
    </row>
    <row r="21" customFormat="false" ht="15" hidden="false" customHeight="false" outlineLevel="0" collapsed="false">
      <c r="A21" s="49" t="s">
        <v>2394</v>
      </c>
      <c r="B21" s="49" t="s">
        <v>38</v>
      </c>
      <c r="C21" s="49" t="s">
        <v>2395</v>
      </c>
      <c r="D21" s="49" t="s">
        <v>2369</v>
      </c>
      <c r="E21" s="49" t="s">
        <v>2370</v>
      </c>
      <c r="F21" s="42" t="n">
        <v>2500</v>
      </c>
      <c r="G21" s="42"/>
      <c r="H21" s="19" t="s">
        <v>2371</v>
      </c>
    </row>
    <row r="22" customFormat="false" ht="15" hidden="false" customHeight="false" outlineLevel="0" collapsed="false">
      <c r="A22" s="49" t="s">
        <v>2396</v>
      </c>
      <c r="B22" s="49" t="s">
        <v>38</v>
      </c>
      <c r="C22" s="49" t="s">
        <v>2395</v>
      </c>
      <c r="D22" s="49" t="s">
        <v>2375</v>
      </c>
      <c r="E22" s="49" t="s">
        <v>2370</v>
      </c>
      <c r="F22" s="42" t="n">
        <v>3067</v>
      </c>
      <c r="G22" s="42"/>
      <c r="H22" s="19" t="s">
        <v>2371</v>
      </c>
    </row>
    <row r="23" customFormat="false" ht="15" hidden="false" customHeight="false" outlineLevel="0" collapsed="false">
      <c r="A23" s="49" t="s">
        <v>391</v>
      </c>
      <c r="B23" s="49" t="s">
        <v>38</v>
      </c>
      <c r="C23" s="49" t="s">
        <v>380</v>
      </c>
      <c r="D23" s="49" t="s">
        <v>2369</v>
      </c>
      <c r="E23" s="49" t="s">
        <v>2397</v>
      </c>
      <c r="F23" s="42" t="n">
        <v>3101</v>
      </c>
      <c r="G23" s="42"/>
      <c r="H23" s="19" t="s">
        <v>2371</v>
      </c>
    </row>
    <row r="24" customFormat="false" ht="15" hidden="false" customHeight="false" outlineLevel="0" collapsed="false">
      <c r="A24" s="49" t="s">
        <v>2398</v>
      </c>
      <c r="B24" s="49" t="s">
        <v>38</v>
      </c>
      <c r="C24" s="49" t="s">
        <v>380</v>
      </c>
      <c r="D24" s="49" t="s">
        <v>2375</v>
      </c>
      <c r="E24" s="49" t="s">
        <v>2397</v>
      </c>
      <c r="F24" s="42" t="n">
        <v>5000</v>
      </c>
      <c r="G24" s="42"/>
      <c r="H24" s="19" t="s">
        <v>2371</v>
      </c>
    </row>
    <row r="25" customFormat="false" ht="15" hidden="false" customHeight="false" outlineLevel="0" collapsed="false">
      <c r="A25" s="49" t="s">
        <v>393</v>
      </c>
      <c r="B25" s="49" t="s">
        <v>38</v>
      </c>
      <c r="C25" s="49" t="s">
        <v>2399</v>
      </c>
      <c r="D25" s="49" t="s">
        <v>2369</v>
      </c>
      <c r="E25" s="49" t="s">
        <v>2397</v>
      </c>
      <c r="F25" s="42" t="n">
        <v>4515</v>
      </c>
      <c r="G25" s="42"/>
      <c r="H25" s="19" t="s">
        <v>2371</v>
      </c>
    </row>
    <row r="26" customFormat="false" ht="15" hidden="false" customHeight="false" outlineLevel="0" collapsed="false">
      <c r="A26" s="49" t="s">
        <v>2400</v>
      </c>
      <c r="B26" s="49" t="s">
        <v>38</v>
      </c>
      <c r="C26" s="49" t="s">
        <v>2399</v>
      </c>
      <c r="D26" s="49" t="s">
        <v>2375</v>
      </c>
      <c r="E26" s="49" t="s">
        <v>2397</v>
      </c>
      <c r="F26" s="42" t="n">
        <v>5000</v>
      </c>
      <c r="G26" s="42"/>
      <c r="H26" s="19" t="s">
        <v>2371</v>
      </c>
    </row>
    <row r="27" customFormat="false" ht="15" hidden="false" customHeight="false" outlineLevel="0" collapsed="false">
      <c r="A27" s="49" t="s">
        <v>390</v>
      </c>
      <c r="B27" s="49" t="s">
        <v>38</v>
      </c>
      <c r="C27" s="49" t="s">
        <v>379</v>
      </c>
      <c r="D27" s="49" t="s">
        <v>2369</v>
      </c>
      <c r="E27" s="49" t="s">
        <v>2397</v>
      </c>
      <c r="F27" s="42" t="n">
        <v>4029</v>
      </c>
      <c r="G27" s="42"/>
      <c r="H27" s="19" t="s">
        <v>2371</v>
      </c>
    </row>
    <row r="28" customFormat="false" ht="15" hidden="false" customHeight="false" outlineLevel="0" collapsed="false">
      <c r="A28" s="49" t="s">
        <v>2401</v>
      </c>
      <c r="B28" s="49" t="s">
        <v>38</v>
      </c>
      <c r="C28" s="49" t="s">
        <v>379</v>
      </c>
      <c r="D28" s="49" t="s">
        <v>2375</v>
      </c>
      <c r="E28" s="49" t="s">
        <v>2397</v>
      </c>
      <c r="F28" s="42" t="n">
        <v>5000</v>
      </c>
      <c r="G28" s="42"/>
      <c r="H28" s="19" t="s">
        <v>2371</v>
      </c>
    </row>
    <row r="29" customFormat="false" ht="15" hidden="false" customHeight="false" outlineLevel="0" collapsed="false">
      <c r="A29" s="49" t="s">
        <v>2402</v>
      </c>
      <c r="B29" s="49" t="s">
        <v>38</v>
      </c>
      <c r="C29" s="49" t="s">
        <v>383</v>
      </c>
      <c r="D29" s="49" t="s">
        <v>2369</v>
      </c>
      <c r="E29" s="49" t="s">
        <v>2397</v>
      </c>
      <c r="F29" s="42"/>
      <c r="G29" s="42"/>
      <c r="H29" s="28" t="s">
        <v>2403</v>
      </c>
    </row>
    <row r="30" customFormat="false" ht="15" hidden="false" customHeight="false" outlineLevel="0" collapsed="false">
      <c r="A30" s="49" t="s">
        <v>394</v>
      </c>
      <c r="B30" s="49" t="s">
        <v>38</v>
      </c>
      <c r="C30" s="49" t="s">
        <v>383</v>
      </c>
      <c r="D30" s="49" t="s">
        <v>2375</v>
      </c>
      <c r="E30" s="49" t="s">
        <v>2397</v>
      </c>
      <c r="F30" s="42" t="n">
        <v>24000</v>
      </c>
      <c r="G30" s="42"/>
      <c r="H30" s="19" t="s">
        <v>2371</v>
      </c>
    </row>
    <row r="31" customFormat="false" ht="15" hidden="false" customHeight="false" outlineLevel="0" collapsed="false">
      <c r="A31" s="49" t="s">
        <v>392</v>
      </c>
      <c r="B31" s="49" t="s">
        <v>38</v>
      </c>
      <c r="C31" s="49" t="s">
        <v>381</v>
      </c>
      <c r="D31" s="49" t="s">
        <v>2369</v>
      </c>
      <c r="E31" s="49" t="s">
        <v>2397</v>
      </c>
      <c r="F31" s="42" t="n">
        <v>1500</v>
      </c>
      <c r="G31" s="42"/>
      <c r="H31" s="19" t="s">
        <v>2371</v>
      </c>
    </row>
    <row r="32" customFormat="false" ht="15" hidden="false" customHeight="false" outlineLevel="0" collapsed="false">
      <c r="A32" s="49" t="s">
        <v>2404</v>
      </c>
      <c r="B32" s="49" t="s">
        <v>38</v>
      </c>
      <c r="C32" s="49" t="s">
        <v>381</v>
      </c>
      <c r="D32" s="49" t="s">
        <v>2375</v>
      </c>
      <c r="E32" s="49" t="s">
        <v>2397</v>
      </c>
      <c r="F32" s="42"/>
      <c r="G32" s="42"/>
      <c r="H32" s="28" t="s">
        <v>2403</v>
      </c>
    </row>
    <row r="33" customFormat="false" ht="15" hidden="false" customHeight="false" outlineLevel="0" collapsed="false">
      <c r="A33" s="49" t="s">
        <v>387</v>
      </c>
      <c r="B33" s="49" t="s">
        <v>38</v>
      </c>
      <c r="C33" s="49" t="s">
        <v>378</v>
      </c>
      <c r="D33" s="49" t="s">
        <v>2369</v>
      </c>
      <c r="E33" s="49" t="s">
        <v>386</v>
      </c>
      <c r="F33" s="42" t="n">
        <v>36705</v>
      </c>
      <c r="G33" s="42"/>
      <c r="H33" s="19" t="s">
        <v>2371</v>
      </c>
    </row>
    <row r="34" customFormat="false" ht="15" hidden="false" customHeight="false" outlineLevel="0" collapsed="false">
      <c r="A34" s="49" t="s">
        <v>389</v>
      </c>
      <c r="B34" s="49" t="s">
        <v>38</v>
      </c>
      <c r="C34" s="49" t="s">
        <v>378</v>
      </c>
      <c r="D34" s="49" t="s">
        <v>2375</v>
      </c>
      <c r="E34" s="49" t="s">
        <v>388</v>
      </c>
      <c r="F34" s="42" t="n">
        <v>31658</v>
      </c>
      <c r="G34" s="42"/>
      <c r="H34" s="19" t="s">
        <v>2371</v>
      </c>
    </row>
    <row r="35" customFormat="false" ht="15" hidden="false" customHeight="false" outlineLevel="0" collapsed="false">
      <c r="A35" s="49" t="s">
        <v>2405</v>
      </c>
      <c r="B35" s="49" t="s">
        <v>38</v>
      </c>
      <c r="C35" s="49" t="s">
        <v>378</v>
      </c>
      <c r="D35" s="49" t="s">
        <v>2406</v>
      </c>
      <c r="E35" s="49" t="s">
        <v>2407</v>
      </c>
      <c r="F35" s="42" t="n">
        <v>30000</v>
      </c>
      <c r="G35" s="42"/>
      <c r="H35" s="19" t="s">
        <v>2371</v>
      </c>
    </row>
    <row r="36" customFormat="false" ht="15" hidden="false" customHeight="false" outlineLevel="0" collapsed="false">
      <c r="A36" s="49" t="s">
        <v>2408</v>
      </c>
      <c r="B36" s="49" t="s">
        <v>39</v>
      </c>
      <c r="C36" s="49" t="s">
        <v>2373</v>
      </c>
      <c r="D36" s="49" t="s">
        <v>2375</v>
      </c>
      <c r="E36" s="49" t="s">
        <v>2373</v>
      </c>
      <c r="F36" s="42" t="n">
        <v>42083</v>
      </c>
      <c r="G36" s="42" t="n">
        <v>38169</v>
      </c>
      <c r="H36" s="19" t="s">
        <v>2371</v>
      </c>
    </row>
    <row r="37" customFormat="false" ht="15" hidden="false" customHeight="false" outlineLevel="0" collapsed="false">
      <c r="A37" s="49" t="s">
        <v>2409</v>
      </c>
      <c r="B37" s="49" t="s">
        <v>39</v>
      </c>
      <c r="C37" s="49" t="s">
        <v>2373</v>
      </c>
      <c r="D37" s="49" t="s">
        <v>2406</v>
      </c>
      <c r="E37" s="49" t="s">
        <v>2373</v>
      </c>
      <c r="F37" s="42" t="n">
        <v>45000</v>
      </c>
      <c r="G37" s="42"/>
      <c r="H37" s="19" t="s">
        <v>2371</v>
      </c>
    </row>
    <row r="38" customFormat="false" ht="15" hidden="false" customHeight="false" outlineLevel="0" collapsed="false">
      <c r="A38" s="49" t="s">
        <v>2410</v>
      </c>
      <c r="B38" s="49" t="s">
        <v>39</v>
      </c>
      <c r="C38" s="49" t="s">
        <v>2380</v>
      </c>
      <c r="D38" s="49" t="s">
        <v>2375</v>
      </c>
      <c r="E38" s="49" t="s">
        <v>2380</v>
      </c>
      <c r="F38" s="42" t="n">
        <v>43086</v>
      </c>
      <c r="G38" s="42" t="n">
        <v>49577</v>
      </c>
      <c r="H38" s="19" t="s">
        <v>2371</v>
      </c>
    </row>
    <row r="39" customFormat="false" ht="15" hidden="false" customHeight="false" outlineLevel="0" collapsed="false">
      <c r="A39" s="49" t="s">
        <v>2411</v>
      </c>
      <c r="B39" s="49" t="s">
        <v>39</v>
      </c>
      <c r="C39" s="49" t="s">
        <v>2377</v>
      </c>
      <c r="D39" s="49" t="s">
        <v>2375</v>
      </c>
      <c r="E39" s="49" t="s">
        <v>2377</v>
      </c>
      <c r="F39" s="42" t="n">
        <v>34000</v>
      </c>
      <c r="G39" s="42"/>
      <c r="H39" s="19" t="s">
        <v>2371</v>
      </c>
    </row>
    <row r="40" customFormat="false" ht="15" hidden="false" customHeight="false" outlineLevel="0" collapsed="false">
      <c r="A40" s="49" t="s">
        <v>2412</v>
      </c>
      <c r="B40" s="49" t="s">
        <v>39</v>
      </c>
      <c r="C40" s="49" t="s">
        <v>2399</v>
      </c>
      <c r="D40" s="49" t="s">
        <v>2406</v>
      </c>
      <c r="E40" s="49" t="s">
        <v>2399</v>
      </c>
      <c r="F40" s="42" t="n">
        <v>15500</v>
      </c>
      <c r="G40" s="42"/>
      <c r="H40" s="19" t="s">
        <v>2371</v>
      </c>
    </row>
    <row r="41" customFormat="false" ht="15" hidden="false" customHeight="false" outlineLevel="0" collapsed="false">
      <c r="A41" s="49" t="s">
        <v>2413</v>
      </c>
      <c r="B41" s="49" t="s">
        <v>39</v>
      </c>
      <c r="C41" s="49" t="s">
        <v>2383</v>
      </c>
      <c r="D41" s="49" t="s">
        <v>2406</v>
      </c>
      <c r="E41" s="49" t="s">
        <v>2383</v>
      </c>
      <c r="F41" s="42" t="n">
        <v>10903</v>
      </c>
      <c r="G41" s="42" t="n">
        <v>11169</v>
      </c>
      <c r="H41" s="19" t="s">
        <v>2371</v>
      </c>
    </row>
    <row r="42" customFormat="false" ht="15" hidden="false" customHeight="false" outlineLevel="0" collapsed="false">
      <c r="A42" s="49" t="s">
        <v>2414</v>
      </c>
      <c r="B42" s="49" t="s">
        <v>39</v>
      </c>
      <c r="C42" s="49" t="s">
        <v>378</v>
      </c>
      <c r="D42" s="49" t="s">
        <v>2406</v>
      </c>
      <c r="E42" s="49" t="s">
        <v>378</v>
      </c>
      <c r="F42" s="42" t="n">
        <v>31277</v>
      </c>
      <c r="G42" s="42" t="n">
        <v>30050</v>
      </c>
      <c r="H42" s="19" t="s">
        <v>2371</v>
      </c>
    </row>
    <row r="43" customFormat="false" ht="15" hidden="false" customHeight="false" outlineLevel="0" collapsed="false">
      <c r="A43" s="49" t="s">
        <v>2415</v>
      </c>
      <c r="B43" s="49" t="s">
        <v>39</v>
      </c>
      <c r="C43" s="49" t="s">
        <v>2386</v>
      </c>
      <c r="D43" s="49" t="s">
        <v>2375</v>
      </c>
      <c r="E43" s="49" t="s">
        <v>2386</v>
      </c>
      <c r="F43" s="42" t="n">
        <v>29000</v>
      </c>
      <c r="G43" s="42" t="n">
        <v>29577</v>
      </c>
      <c r="H43" s="19" t="s">
        <v>2371</v>
      </c>
    </row>
    <row r="44" customFormat="false" ht="15" hidden="false" customHeight="false" outlineLevel="0" collapsed="false">
      <c r="A44" s="49" t="s">
        <v>2416</v>
      </c>
      <c r="B44" s="49" t="s">
        <v>39</v>
      </c>
      <c r="C44" s="49" t="s">
        <v>2386</v>
      </c>
      <c r="D44" s="49" t="s">
        <v>2406</v>
      </c>
      <c r="E44" s="49" t="s">
        <v>2386</v>
      </c>
      <c r="F44" s="42" t="n">
        <v>26261</v>
      </c>
      <c r="G44" s="42"/>
      <c r="H44" s="19" t="s">
        <v>2371</v>
      </c>
    </row>
    <row r="45" customFormat="false" ht="15" hidden="false" customHeight="false" outlineLevel="0" collapsed="false">
      <c r="A45" s="49" t="s">
        <v>2417</v>
      </c>
      <c r="B45" s="49" t="s">
        <v>39</v>
      </c>
      <c r="C45" s="49" t="s">
        <v>2392</v>
      </c>
      <c r="D45" s="49" t="s">
        <v>2406</v>
      </c>
      <c r="E45" s="49" t="s">
        <v>2392</v>
      </c>
      <c r="F45" s="42" t="n">
        <v>31000</v>
      </c>
      <c r="G45" s="42"/>
      <c r="H45" s="19" t="s">
        <v>2371</v>
      </c>
    </row>
    <row r="46" customFormat="false" ht="15" hidden="false" customHeight="false" outlineLevel="0" collapsed="false">
      <c r="A46" s="49" t="s">
        <v>2418</v>
      </c>
      <c r="B46" s="49" t="s">
        <v>39</v>
      </c>
      <c r="C46" s="49" t="s">
        <v>381</v>
      </c>
      <c r="D46" s="49" t="s">
        <v>2369</v>
      </c>
      <c r="E46" s="49" t="s">
        <v>381</v>
      </c>
      <c r="F46" s="42" t="n">
        <v>14000</v>
      </c>
      <c r="G46" s="42"/>
      <c r="H46" s="19" t="s">
        <v>2371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" t="s">
        <v>2419</v>
      </c>
    </row>
    <row r="2" customFormat="false" ht="15" hidden="false" customHeight="false" outlineLevel="0" collapsed="false">
      <c r="A2" s="6" t="s">
        <v>2420</v>
      </c>
    </row>
    <row r="5" customFormat="false" ht="30" hidden="false" customHeight="true" outlineLevel="0" collapsed="false">
      <c r="A5" s="8" t="s">
        <v>413</v>
      </c>
      <c r="B5" s="8" t="s">
        <v>2421</v>
      </c>
      <c r="C5" s="8" t="s">
        <v>277</v>
      </c>
      <c r="D5" s="8" t="s">
        <v>278</v>
      </c>
    </row>
    <row r="6" customFormat="false" ht="15" hidden="false" customHeight="false" outlineLevel="0" collapsed="false">
      <c r="A6" s="49" t="s">
        <v>2150</v>
      </c>
      <c r="B6" s="49" t="s">
        <v>2151</v>
      </c>
      <c r="C6" s="49" t="s">
        <v>2388</v>
      </c>
      <c r="D6" s="34" t="str">
        <f aca="false">IFERROR(INDEX(I_Master!$E$6:$E$85,MATCH(C6,I_Master!$A$6:$A$85,0)),"KEY TIDAK ADA")</f>
        <v>Boneless &amp; parting</v>
      </c>
    </row>
    <row r="7" customFormat="false" ht="15" hidden="false" customHeight="false" outlineLevel="0" collapsed="false">
      <c r="A7" s="49" t="s">
        <v>441</v>
      </c>
      <c r="B7" s="49" t="s">
        <v>2054</v>
      </c>
      <c r="C7" s="49" t="s">
        <v>391</v>
      </c>
      <c r="D7" s="34" t="str">
        <f aca="false">IFERROR(INDEX(I_Master!$E$6:$E$85,MATCH(C7,I_Master!$A$6:$A$85,0)),"KEY TIDAK ADA")</f>
        <v>By-product</v>
      </c>
    </row>
    <row r="8" customFormat="false" ht="15" hidden="false" customHeight="false" outlineLevel="0" collapsed="false">
      <c r="A8" s="49" t="s">
        <v>442</v>
      </c>
      <c r="B8" s="49" t="s">
        <v>2060</v>
      </c>
      <c r="C8" s="49" t="s">
        <v>393</v>
      </c>
      <c r="D8" s="34" t="str">
        <f aca="false">IFERROR(INDEX(I_Master!$E$6:$E$85,MATCH(C8,I_Master!$A$6:$A$85,0)),"KEY TIDAK ADA")</f>
        <v>By-product</v>
      </c>
    </row>
    <row r="9" customFormat="false" ht="15" hidden="false" customHeight="false" outlineLevel="0" collapsed="false">
      <c r="A9" s="49" t="s">
        <v>2063</v>
      </c>
      <c r="B9" s="49" t="s">
        <v>2064</v>
      </c>
      <c r="C9" s="49" t="s">
        <v>393</v>
      </c>
      <c r="D9" s="34" t="str">
        <f aca="false">IFERROR(INDEX(I_Master!$E$6:$E$85,MATCH(C9,I_Master!$A$6:$A$85,0)),"KEY TIDAK ADA")</f>
        <v>By-product</v>
      </c>
    </row>
    <row r="10" customFormat="false" ht="15" hidden="false" customHeight="false" outlineLevel="0" collapsed="false">
      <c r="A10" s="49" t="s">
        <v>2065</v>
      </c>
      <c r="B10" s="49" t="s">
        <v>2066</v>
      </c>
      <c r="C10" s="49" t="s">
        <v>393</v>
      </c>
      <c r="D10" s="34" t="str">
        <f aca="false">IFERROR(INDEX(I_Master!$E$6:$E$85,MATCH(C10,I_Master!$A$6:$A$85,0)),"KEY TIDAK ADA")</f>
        <v>By-product</v>
      </c>
    </row>
    <row r="11" customFormat="false" ht="15" hidden="false" customHeight="false" outlineLevel="0" collapsed="false">
      <c r="A11" s="49" t="s">
        <v>2061</v>
      </c>
      <c r="B11" s="49" t="s">
        <v>2062</v>
      </c>
      <c r="C11" s="49" t="s">
        <v>393</v>
      </c>
      <c r="D11" s="34" t="str">
        <f aca="false">IFERROR(INDEX(I_Master!$E$6:$E$85,MATCH(C11,I_Master!$A$6:$A$85,0)),"KEY TIDAK ADA")</f>
        <v>By-product</v>
      </c>
    </row>
    <row r="12" customFormat="false" ht="15" hidden="false" customHeight="false" outlineLevel="0" collapsed="false">
      <c r="A12" s="49" t="s">
        <v>443</v>
      </c>
      <c r="B12" s="49" t="s">
        <v>2140</v>
      </c>
      <c r="C12" s="49" t="s">
        <v>390</v>
      </c>
      <c r="D12" s="34" t="str">
        <f aca="false">IFERROR(INDEX(I_Master!$E$6:$E$85,MATCH(C12,I_Master!$A$6:$A$85,0)),"KEY TIDAK ADA")</f>
        <v>By-product</v>
      </c>
    </row>
    <row r="13" customFormat="false" ht="15" hidden="false" customHeight="false" outlineLevel="0" collapsed="false">
      <c r="A13" s="49" t="s">
        <v>2075</v>
      </c>
      <c r="B13" s="49" t="s">
        <v>2076</v>
      </c>
      <c r="C13" s="49" t="s">
        <v>2382</v>
      </c>
      <c r="D13" s="34" t="str">
        <f aca="false">IFERROR(INDEX(I_Master!$E$6:$E$85,MATCH(C13,I_Master!$A$6:$A$85,0)),"KEY TIDAK ADA")</f>
        <v>Boneless &amp; parting</v>
      </c>
    </row>
    <row r="14" customFormat="false" ht="15" hidden="false" customHeight="false" outlineLevel="0" collapsed="false">
      <c r="A14" s="49" t="s">
        <v>2077</v>
      </c>
      <c r="B14" s="49" t="s">
        <v>2078</v>
      </c>
      <c r="C14" s="49" t="s">
        <v>2382</v>
      </c>
      <c r="D14" s="34" t="str">
        <f aca="false">IFERROR(INDEX(I_Master!$E$6:$E$85,MATCH(C14,I_Master!$A$6:$A$85,0)),"KEY TIDAK ADA")</f>
        <v>Boneless &amp; parting</v>
      </c>
    </row>
    <row r="15" customFormat="false" ht="15" hidden="false" customHeight="false" outlineLevel="0" collapsed="false">
      <c r="A15" s="49" t="s">
        <v>2143</v>
      </c>
      <c r="B15" s="49" t="s">
        <v>2144</v>
      </c>
      <c r="C15" s="49" t="s">
        <v>2385</v>
      </c>
      <c r="D15" s="34" t="str">
        <f aca="false">IFERROR(INDEX(I_Master!$E$6:$E$85,MATCH(C15,I_Master!$A$6:$A$85,0)),"KEY TIDAK ADA")</f>
        <v>Boneless &amp; parting</v>
      </c>
    </row>
    <row r="16" customFormat="false" ht="15" hidden="false" customHeight="false" outlineLevel="0" collapsed="false">
      <c r="A16" s="49" t="s">
        <v>2147</v>
      </c>
      <c r="B16" s="49" t="s">
        <v>2148</v>
      </c>
      <c r="C16" s="49" t="s">
        <v>2402</v>
      </c>
      <c r="D16" s="34" t="str">
        <f aca="false">IFERROR(INDEX(I_Master!$E$6:$E$85,MATCH(C16,I_Master!$A$6:$A$85,0)),"KEY TIDAK ADA")</f>
        <v>By-product</v>
      </c>
    </row>
    <row r="17" customFormat="false" ht="15" hidden="false" customHeight="false" outlineLevel="0" collapsed="false">
      <c r="A17" s="49" t="s">
        <v>2160</v>
      </c>
      <c r="B17" s="49" t="s">
        <v>2161</v>
      </c>
      <c r="C17" s="49" t="s">
        <v>2391</v>
      </c>
      <c r="D17" s="34" t="str">
        <f aca="false">IFERROR(INDEX(I_Master!$E$6:$E$85,MATCH(C17,I_Master!$A$6:$A$85,0)),"KEY TIDAK ADA")</f>
        <v>Boneless &amp; parting</v>
      </c>
    </row>
    <row r="18" customFormat="false" ht="15" hidden="false" customHeight="false" outlineLevel="0" collapsed="false">
      <c r="A18" s="49" t="s">
        <v>2158</v>
      </c>
      <c r="B18" s="49" t="s">
        <v>2159</v>
      </c>
      <c r="C18" s="49" t="s">
        <v>2391</v>
      </c>
      <c r="D18" s="34" t="str">
        <f aca="false">IFERROR(INDEX(I_Master!$E$6:$E$85,MATCH(C18,I_Master!$A$6:$A$85,0)),"KEY TIDAK ADA")</f>
        <v>Boneless &amp; parting</v>
      </c>
    </row>
    <row r="19" customFormat="false" ht="15" hidden="false" customHeight="false" outlineLevel="0" collapsed="false">
      <c r="A19" s="49" t="s">
        <v>2156</v>
      </c>
      <c r="B19" s="49" t="s">
        <v>2157</v>
      </c>
      <c r="C19" s="49" t="s">
        <v>2391</v>
      </c>
      <c r="D19" s="34" t="str">
        <f aca="false">IFERROR(INDEX(I_Master!$E$6:$E$85,MATCH(C19,I_Master!$A$6:$A$85,0)),"KEY TIDAK ADA")</f>
        <v>Boneless &amp; parting</v>
      </c>
    </row>
    <row r="20" customFormat="false" ht="15" hidden="false" customHeight="false" outlineLevel="0" collapsed="false">
      <c r="A20" s="49" t="s">
        <v>2422</v>
      </c>
      <c r="B20" s="49" t="s">
        <v>2423</v>
      </c>
      <c r="C20" s="49" t="s">
        <v>2394</v>
      </c>
      <c r="D20" s="34" t="str">
        <f aca="false">IFERROR(INDEX(I_Master!$E$6:$E$85,MATCH(C20,I_Master!$A$6:$A$85,0)),"KEY TIDAK ADA")</f>
        <v>Boneless &amp; parting</v>
      </c>
    </row>
    <row r="21" customFormat="false" ht="15" hidden="false" customHeight="false" outlineLevel="0" collapsed="false">
      <c r="A21" s="49" t="s">
        <v>444</v>
      </c>
      <c r="B21" s="49" t="s">
        <v>2170</v>
      </c>
      <c r="C21" s="49" t="s">
        <v>392</v>
      </c>
      <c r="D21" s="34" t="str">
        <f aca="false">IFERROR(INDEX(I_Master!$E$6:$E$85,MATCH(C21,I_Master!$A$6:$A$85,0)),"KEY TIDAK ADA")</f>
        <v>By-product</v>
      </c>
    </row>
    <row r="22" customFormat="false" ht="15" hidden="false" customHeight="false" outlineLevel="0" collapsed="false">
      <c r="A22" s="49" t="s">
        <v>2055</v>
      </c>
      <c r="B22" s="49" t="s">
        <v>2056</v>
      </c>
      <c r="C22" s="49" t="s">
        <v>2398</v>
      </c>
      <c r="D22" s="34" t="str">
        <f aca="false">IFERROR(INDEX(I_Master!$E$6:$E$85,MATCH(C22,I_Master!$A$6:$A$85,0)),"KEY TIDAK ADA")</f>
        <v>By-product</v>
      </c>
    </row>
    <row r="23" customFormat="false" ht="15" hidden="false" customHeight="false" outlineLevel="0" collapsed="false">
      <c r="A23" s="49" t="s">
        <v>2067</v>
      </c>
      <c r="B23" s="49" t="s">
        <v>2068</v>
      </c>
      <c r="C23" s="49" t="s">
        <v>2400</v>
      </c>
      <c r="D23" s="34" t="str">
        <f aca="false">IFERROR(INDEX(I_Master!$E$6:$E$85,MATCH(C23,I_Master!$A$6:$A$85,0)),"KEY TIDAK ADA")</f>
        <v>By-product</v>
      </c>
    </row>
    <row r="24" customFormat="false" ht="15" hidden="false" customHeight="false" outlineLevel="0" collapsed="false">
      <c r="A24" s="49" t="s">
        <v>2073</v>
      </c>
      <c r="B24" s="49" t="s">
        <v>2074</v>
      </c>
      <c r="C24" s="49" t="s">
        <v>2400</v>
      </c>
      <c r="D24" s="34" t="str">
        <f aca="false">IFERROR(INDEX(I_Master!$E$6:$E$85,MATCH(C24,I_Master!$A$6:$A$85,0)),"KEY TIDAK ADA")</f>
        <v>By-product</v>
      </c>
    </row>
    <row r="25" customFormat="false" ht="15" hidden="false" customHeight="false" outlineLevel="0" collapsed="false">
      <c r="A25" s="49" t="s">
        <v>2069</v>
      </c>
      <c r="B25" s="49" t="s">
        <v>2070</v>
      </c>
      <c r="C25" s="49" t="s">
        <v>2400</v>
      </c>
      <c r="D25" s="34" t="str">
        <f aca="false">IFERROR(INDEX(I_Master!$E$6:$E$85,MATCH(C25,I_Master!$A$6:$A$85,0)),"KEY TIDAK ADA")</f>
        <v>By-product</v>
      </c>
    </row>
    <row r="26" customFormat="false" ht="15" hidden="false" customHeight="false" outlineLevel="0" collapsed="false">
      <c r="A26" s="49" t="s">
        <v>2071</v>
      </c>
      <c r="B26" s="49" t="s">
        <v>2072</v>
      </c>
      <c r="C26" s="49" t="s">
        <v>2400</v>
      </c>
      <c r="D26" s="34" t="str">
        <f aca="false">IFERROR(INDEX(I_Master!$E$6:$E$85,MATCH(C26,I_Master!$A$6:$A$85,0)),"KEY TIDAK ADA")</f>
        <v>By-product</v>
      </c>
    </row>
    <row r="27" customFormat="false" ht="15" hidden="false" customHeight="false" outlineLevel="0" collapsed="false">
      <c r="A27" s="49" t="s">
        <v>2141</v>
      </c>
      <c r="B27" s="49" t="s">
        <v>2142</v>
      </c>
      <c r="C27" s="49" t="s">
        <v>2401</v>
      </c>
      <c r="D27" s="34" t="str">
        <f aca="false">IFERROR(INDEX(I_Master!$E$6:$E$85,MATCH(C27,I_Master!$A$6:$A$85,0)),"KEY TIDAK ADA")</f>
        <v>By-product</v>
      </c>
    </row>
    <row r="28" customFormat="false" ht="15" hidden="false" customHeight="false" outlineLevel="0" collapsed="false">
      <c r="A28" s="49" t="s">
        <v>2424</v>
      </c>
      <c r="B28" s="49" t="s">
        <v>2425</v>
      </c>
      <c r="C28" s="49" t="s">
        <v>2384</v>
      </c>
      <c r="D28" s="34" t="str">
        <f aca="false">IFERROR(INDEX(I_Master!$E$6:$E$85,MATCH(C28,I_Master!$A$6:$A$85,0)),"KEY TIDAK ADA")</f>
        <v>Boneless &amp; parting</v>
      </c>
    </row>
    <row r="29" customFormat="false" ht="15" hidden="false" customHeight="false" outlineLevel="0" collapsed="false">
      <c r="A29" s="49" t="s">
        <v>2426</v>
      </c>
      <c r="B29" s="49" t="s">
        <v>2427</v>
      </c>
      <c r="C29" s="49" t="s">
        <v>2384</v>
      </c>
      <c r="D29" s="34" t="str">
        <f aca="false">IFERROR(INDEX(I_Master!$E$6:$E$85,MATCH(C29,I_Master!$A$6:$A$85,0)),"KEY TIDAK ADA")</f>
        <v>Boneless &amp; parting</v>
      </c>
    </row>
    <row r="30" customFormat="false" ht="15" hidden="false" customHeight="false" outlineLevel="0" collapsed="false">
      <c r="A30" s="49" t="s">
        <v>2079</v>
      </c>
      <c r="B30" s="49" t="s">
        <v>2080</v>
      </c>
      <c r="C30" s="49" t="s">
        <v>2384</v>
      </c>
      <c r="D30" s="34" t="str">
        <f aca="false">IFERROR(INDEX(I_Master!$E$6:$E$85,MATCH(C30,I_Master!$A$6:$A$85,0)),"KEY TIDAK ADA")</f>
        <v>Boneless &amp; parting</v>
      </c>
    </row>
    <row r="31" customFormat="false" ht="15" hidden="false" customHeight="false" outlineLevel="0" collapsed="false">
      <c r="A31" s="49" t="s">
        <v>2145</v>
      </c>
      <c r="B31" s="49" t="s">
        <v>2146</v>
      </c>
      <c r="C31" s="49" t="s">
        <v>2387</v>
      </c>
      <c r="D31" s="34" t="str">
        <f aca="false">IFERROR(INDEX(I_Master!$E$6:$E$85,MATCH(C31,I_Master!$A$6:$A$85,0)),"KEY TIDAK ADA")</f>
        <v>Boneless &amp; parting</v>
      </c>
    </row>
    <row r="32" customFormat="false" ht="15" hidden="false" customHeight="false" outlineLevel="0" collapsed="false">
      <c r="A32" s="49" t="s">
        <v>517</v>
      </c>
      <c r="B32" s="49" t="s">
        <v>2149</v>
      </c>
      <c r="C32" s="49" t="s">
        <v>394</v>
      </c>
      <c r="D32" s="34" t="str">
        <f aca="false">IFERROR(INDEX(I_Master!$E$6:$E$85,MATCH(C32,I_Master!$A$6:$A$85,0)),"KEY TIDAK ADA")</f>
        <v>By-product</v>
      </c>
    </row>
    <row r="33" customFormat="false" ht="15" hidden="false" customHeight="false" outlineLevel="0" collapsed="false">
      <c r="A33" s="49" t="s">
        <v>2162</v>
      </c>
      <c r="B33" s="49" t="s">
        <v>2163</v>
      </c>
      <c r="C33" s="49" t="s">
        <v>2393</v>
      </c>
      <c r="D33" s="34" t="str">
        <f aca="false">IFERROR(INDEX(I_Master!$E$6:$E$85,MATCH(C33,I_Master!$A$6:$A$85,0)),"KEY TIDAK ADA")</f>
        <v>Boneless &amp; parting</v>
      </c>
    </row>
    <row r="34" customFormat="false" ht="15" hidden="false" customHeight="false" outlineLevel="0" collapsed="false">
      <c r="A34" s="49" t="s">
        <v>2166</v>
      </c>
      <c r="B34" s="49" t="s">
        <v>2167</v>
      </c>
      <c r="C34" s="49" t="s">
        <v>2393</v>
      </c>
      <c r="D34" s="34" t="str">
        <f aca="false">IFERROR(INDEX(I_Master!$E$6:$E$85,MATCH(C34,I_Master!$A$6:$A$85,0)),"KEY TIDAK ADA")</f>
        <v>Boneless &amp; parting</v>
      </c>
    </row>
    <row r="35" customFormat="false" ht="15" hidden="false" customHeight="false" outlineLevel="0" collapsed="false">
      <c r="A35" s="49" t="s">
        <v>2164</v>
      </c>
      <c r="B35" s="49" t="s">
        <v>2165</v>
      </c>
      <c r="C35" s="49" t="s">
        <v>2393</v>
      </c>
      <c r="D35" s="34" t="str">
        <f aca="false">IFERROR(INDEX(I_Master!$E$6:$E$85,MATCH(C35,I_Master!$A$6:$A$85,0)),"KEY TIDAK ADA")</f>
        <v>Boneless &amp; parting</v>
      </c>
    </row>
    <row r="36" customFormat="false" ht="15" hidden="false" customHeight="false" outlineLevel="0" collapsed="false">
      <c r="A36" s="49" t="s">
        <v>2168</v>
      </c>
      <c r="B36" s="49" t="s">
        <v>2169</v>
      </c>
      <c r="C36" s="49" t="s">
        <v>2396</v>
      </c>
      <c r="D36" s="34" t="str">
        <f aca="false">IFERROR(INDEX(I_Master!$E$6:$E$85,MATCH(C36,I_Master!$A$6:$A$85,0)),"KEY TIDAK ADA")</f>
        <v>Boneless &amp; parting</v>
      </c>
    </row>
    <row r="37" customFormat="false" ht="15" hidden="false" customHeight="false" outlineLevel="0" collapsed="false">
      <c r="A37" s="49" t="s">
        <v>2171</v>
      </c>
      <c r="B37" s="49" t="s">
        <v>2172</v>
      </c>
      <c r="C37" s="49" t="s">
        <v>2404</v>
      </c>
      <c r="D37" s="34" t="str">
        <f aca="false">IFERROR(INDEX(I_Master!$E$6:$E$85,MATCH(C37,I_Master!$A$6:$A$85,0)),"KEY TIDAK ADA")</f>
        <v>By-product</v>
      </c>
    </row>
    <row r="38" customFormat="false" ht="15" hidden="false" customHeight="false" outlineLevel="0" collapsed="false">
      <c r="A38" s="49" t="s">
        <v>2428</v>
      </c>
      <c r="B38" s="49" t="s">
        <v>2429</v>
      </c>
      <c r="C38" s="49" t="s">
        <v>2372</v>
      </c>
      <c r="D38" s="34" t="str">
        <f aca="false">IFERROR(INDEX(I_Master!$E$6:$E$85,MATCH(C38,I_Master!$A$6:$A$85,0)),"KEY TIDAK ADA")</f>
        <v>Boneless &amp; parting</v>
      </c>
    </row>
    <row r="39" customFormat="false" ht="15" hidden="false" customHeight="false" outlineLevel="0" collapsed="false">
      <c r="A39" s="49" t="s">
        <v>2047</v>
      </c>
      <c r="B39" s="49" t="s">
        <v>2048</v>
      </c>
      <c r="C39" s="49" t="s">
        <v>2374</v>
      </c>
      <c r="D39" s="34" t="str">
        <f aca="false">IFERROR(INDEX(I_Master!$E$6:$E$85,MATCH(C39,I_Master!$A$6:$A$85,0)),"KEY TIDAK ADA")</f>
        <v>Boneless &amp; parting</v>
      </c>
    </row>
    <row r="40" customFormat="false" ht="15" hidden="false" customHeight="false" outlineLevel="0" collapsed="false">
      <c r="A40" s="49" t="s">
        <v>2430</v>
      </c>
      <c r="B40" s="49" t="s">
        <v>2431</v>
      </c>
      <c r="C40" s="49" t="s">
        <v>2374</v>
      </c>
      <c r="D40" s="34" t="str">
        <f aca="false">IFERROR(INDEX(I_Master!$E$6:$E$85,MATCH(C40,I_Master!$A$6:$A$85,0)),"KEY TIDAK ADA")</f>
        <v>Boneless &amp; parting</v>
      </c>
    </row>
    <row r="41" customFormat="false" ht="15" hidden="false" customHeight="false" outlineLevel="0" collapsed="false">
      <c r="A41" s="49" t="s">
        <v>2432</v>
      </c>
      <c r="B41" s="49" t="s">
        <v>2433</v>
      </c>
      <c r="C41" s="49" t="s">
        <v>2367</v>
      </c>
      <c r="D41" s="34" t="str">
        <f aca="false">IFERROR(INDEX(I_Master!$E$6:$E$85,MATCH(C41,I_Master!$A$6:$A$85,0)),"KEY TIDAK ADA")</f>
        <v>Boneless &amp; parting</v>
      </c>
    </row>
    <row r="42" customFormat="false" ht="15" hidden="false" customHeight="false" outlineLevel="0" collapsed="false">
      <c r="A42" s="49" t="s">
        <v>2434</v>
      </c>
      <c r="B42" s="49" t="s">
        <v>2435</v>
      </c>
      <c r="C42" s="49" t="s">
        <v>2379</v>
      </c>
      <c r="D42" s="34" t="str">
        <f aca="false">IFERROR(INDEX(I_Master!$E$6:$E$85,MATCH(C42,I_Master!$A$6:$A$85,0)),"KEY TIDAK ADA")</f>
        <v>Boneless &amp; parting</v>
      </c>
    </row>
    <row r="43" customFormat="false" ht="15" hidden="false" customHeight="false" outlineLevel="0" collapsed="false">
      <c r="A43" s="49" t="s">
        <v>2436</v>
      </c>
      <c r="B43" s="49" t="s">
        <v>2437</v>
      </c>
      <c r="C43" s="49" t="s">
        <v>2381</v>
      </c>
      <c r="D43" s="34" t="str">
        <f aca="false">IFERROR(INDEX(I_Master!$E$6:$E$85,MATCH(C43,I_Master!$A$6:$A$85,0)),"KEY TIDAK ADA")</f>
        <v>Boneless &amp; parting</v>
      </c>
    </row>
    <row r="44" customFormat="false" ht="15" hidden="false" customHeight="false" outlineLevel="0" collapsed="false">
      <c r="A44" s="49" t="s">
        <v>2052</v>
      </c>
      <c r="B44" s="49" t="s">
        <v>2053</v>
      </c>
      <c r="C44" s="49" t="s">
        <v>2381</v>
      </c>
      <c r="D44" s="34" t="str">
        <f aca="false">IFERROR(INDEX(I_Master!$E$6:$E$85,MATCH(C44,I_Master!$A$6:$A$85,0)),"KEY TIDAK ADA")</f>
        <v>Boneless &amp; parting</v>
      </c>
    </row>
    <row r="45" customFormat="false" ht="15" hidden="false" customHeight="false" outlineLevel="0" collapsed="false">
      <c r="A45" s="49" t="s">
        <v>2438</v>
      </c>
      <c r="B45" s="49" t="s">
        <v>2439</v>
      </c>
      <c r="C45" s="49" t="s">
        <v>2381</v>
      </c>
      <c r="D45" s="34" t="str">
        <f aca="false">IFERROR(INDEX(I_Master!$E$6:$E$85,MATCH(C45,I_Master!$A$6:$A$85,0)),"KEY TIDAK ADA")</f>
        <v>Boneless &amp; parting</v>
      </c>
    </row>
    <row r="46" customFormat="false" ht="15" hidden="false" customHeight="false" outlineLevel="0" collapsed="false">
      <c r="A46" s="49" t="s">
        <v>2050</v>
      </c>
      <c r="B46" s="49" t="s">
        <v>2051</v>
      </c>
      <c r="C46" s="49" t="s">
        <v>2376</v>
      </c>
      <c r="D46" s="34" t="str">
        <f aca="false">IFERROR(INDEX(I_Master!$E$6:$E$85,MATCH(C46,I_Master!$A$6:$A$85,0)),"KEY TIDAK ADA")</f>
        <v>Boneless &amp; parting</v>
      </c>
    </row>
    <row r="47" customFormat="false" ht="15" hidden="false" customHeight="false" outlineLevel="0" collapsed="false">
      <c r="A47" s="49" t="s">
        <v>2440</v>
      </c>
      <c r="B47" s="49" t="s">
        <v>2441</v>
      </c>
      <c r="C47" s="49" t="s">
        <v>2378</v>
      </c>
      <c r="D47" s="34" t="str">
        <f aca="false">IFERROR(INDEX(I_Master!$E$6:$E$85,MATCH(C47,I_Master!$A$6:$A$85,0)),"KEY TIDAK ADA")</f>
        <v>Boneless &amp; parting</v>
      </c>
    </row>
    <row r="48" customFormat="false" ht="15" hidden="false" customHeight="false" outlineLevel="0" collapsed="false">
      <c r="A48" s="49" t="s">
        <v>2096</v>
      </c>
      <c r="B48" s="49" t="s">
        <v>2097</v>
      </c>
      <c r="C48" s="49" t="s">
        <v>389</v>
      </c>
      <c r="D48" s="34" t="str">
        <f aca="false">IFERROR(INDEX(I_Master!$E$6:$E$85,MATCH(C48,I_Master!$A$6:$A$85,0)),"KEY TIDAK ADA")</f>
        <v>Karkas frozen</v>
      </c>
    </row>
    <row r="49" customFormat="false" ht="15" hidden="false" customHeight="false" outlineLevel="0" collapsed="false">
      <c r="A49" s="49" t="s">
        <v>2098</v>
      </c>
      <c r="B49" s="49" t="s">
        <v>2099</v>
      </c>
      <c r="C49" s="49" t="s">
        <v>389</v>
      </c>
      <c r="D49" s="34" t="str">
        <f aca="false">IFERROR(INDEX(I_Master!$E$6:$E$85,MATCH(C49,I_Master!$A$6:$A$85,0)),"KEY TIDAK ADA")</f>
        <v>Karkas frozen</v>
      </c>
    </row>
    <row r="50" customFormat="false" ht="15" hidden="false" customHeight="false" outlineLevel="0" collapsed="false">
      <c r="A50" s="49" t="s">
        <v>518</v>
      </c>
      <c r="B50" s="49" t="s">
        <v>2100</v>
      </c>
      <c r="C50" s="49" t="s">
        <v>389</v>
      </c>
      <c r="D50" s="34" t="str">
        <f aca="false">IFERROR(INDEX(I_Master!$E$6:$E$85,MATCH(C50,I_Master!$A$6:$A$85,0)),"KEY TIDAK ADA")</f>
        <v>Karkas frozen</v>
      </c>
    </row>
    <row r="51" customFormat="false" ht="15" hidden="false" customHeight="false" outlineLevel="0" collapsed="false">
      <c r="A51" s="49" t="s">
        <v>448</v>
      </c>
      <c r="B51" s="49" t="s">
        <v>2101</v>
      </c>
      <c r="C51" s="49" t="s">
        <v>389</v>
      </c>
      <c r="D51" s="34" t="str">
        <f aca="false">IFERROR(INDEX(I_Master!$E$6:$E$85,MATCH(C51,I_Master!$A$6:$A$85,0)),"KEY TIDAK ADA")</f>
        <v>Karkas frozen</v>
      </c>
    </row>
    <row r="52" customFormat="false" ht="15" hidden="false" customHeight="false" outlineLevel="0" collapsed="false">
      <c r="A52" s="49" t="s">
        <v>529</v>
      </c>
      <c r="B52" s="49" t="s">
        <v>2102</v>
      </c>
      <c r="C52" s="49" t="s">
        <v>389</v>
      </c>
      <c r="D52" s="34" t="str">
        <f aca="false">IFERROR(INDEX(I_Master!$E$6:$E$85,MATCH(C52,I_Master!$A$6:$A$85,0)),"KEY TIDAK ADA")</f>
        <v>Karkas frozen</v>
      </c>
    </row>
    <row r="53" customFormat="false" ht="15" hidden="false" customHeight="false" outlineLevel="0" collapsed="false">
      <c r="A53" s="49" t="s">
        <v>485</v>
      </c>
      <c r="B53" s="49" t="s">
        <v>2081</v>
      </c>
      <c r="C53" s="49" t="s">
        <v>387</v>
      </c>
      <c r="D53" s="34" t="str">
        <f aca="false">IFERROR(INDEX(I_Master!$E$6:$E$85,MATCH(C53,I_Master!$A$6:$A$85,0)),"KEY TIDAK ADA")</f>
        <v>Karkas fresh</v>
      </c>
    </row>
    <row r="54" customFormat="false" ht="15" hidden="false" customHeight="false" outlineLevel="0" collapsed="false">
      <c r="A54" s="49" t="s">
        <v>519</v>
      </c>
      <c r="B54" s="49" t="s">
        <v>2103</v>
      </c>
      <c r="C54" s="49" t="s">
        <v>389</v>
      </c>
      <c r="D54" s="34" t="str">
        <f aca="false">IFERROR(INDEX(I_Master!$E$6:$E$85,MATCH(C54,I_Master!$A$6:$A$85,0)),"KEY TIDAK ADA")</f>
        <v>Karkas frozen</v>
      </c>
    </row>
    <row r="55" customFormat="false" ht="15" hidden="false" customHeight="false" outlineLevel="0" collapsed="false">
      <c r="A55" s="49" t="s">
        <v>2442</v>
      </c>
      <c r="B55" s="49" t="s">
        <v>2443</v>
      </c>
      <c r="C55" s="49" t="s">
        <v>389</v>
      </c>
      <c r="D55" s="34" t="str">
        <f aca="false">IFERROR(INDEX(I_Master!$E$6:$E$85,MATCH(C55,I_Master!$A$6:$A$85,0)),"KEY TIDAK ADA")</f>
        <v>Karkas frozen</v>
      </c>
    </row>
    <row r="56" customFormat="false" ht="15" hidden="false" customHeight="false" outlineLevel="0" collapsed="false">
      <c r="A56" s="49" t="s">
        <v>476</v>
      </c>
      <c r="B56" s="49" t="s">
        <v>2082</v>
      </c>
      <c r="C56" s="49" t="s">
        <v>387</v>
      </c>
      <c r="D56" s="34" t="str">
        <f aca="false">IFERROR(INDEX(I_Master!$E$6:$E$85,MATCH(C56,I_Master!$A$6:$A$85,0)),"KEY TIDAK ADA")</f>
        <v>Karkas fresh</v>
      </c>
    </row>
    <row r="57" customFormat="false" ht="15" hidden="false" customHeight="false" outlineLevel="0" collapsed="false">
      <c r="A57" s="49" t="s">
        <v>449</v>
      </c>
      <c r="B57" s="49" t="s">
        <v>2104</v>
      </c>
      <c r="C57" s="49" t="s">
        <v>389</v>
      </c>
      <c r="D57" s="34" t="str">
        <f aca="false">IFERROR(INDEX(I_Master!$E$6:$E$85,MATCH(C57,I_Master!$A$6:$A$85,0)),"KEY TIDAK ADA")</f>
        <v>Karkas frozen</v>
      </c>
    </row>
    <row r="58" customFormat="false" ht="15" hidden="false" customHeight="false" outlineLevel="0" collapsed="false">
      <c r="A58" s="49" t="s">
        <v>471</v>
      </c>
      <c r="B58" s="49" t="s">
        <v>2105</v>
      </c>
      <c r="C58" s="49" t="s">
        <v>389</v>
      </c>
      <c r="D58" s="34" t="str">
        <f aca="false">IFERROR(INDEX(I_Master!$E$6:$E$85,MATCH(C58,I_Master!$A$6:$A$85,0)),"KEY TIDAK ADA")</f>
        <v>Karkas frozen</v>
      </c>
    </row>
    <row r="59" customFormat="false" ht="15" hidden="false" customHeight="false" outlineLevel="0" collapsed="false">
      <c r="A59" s="49" t="s">
        <v>2444</v>
      </c>
      <c r="B59" s="49" t="s">
        <v>2445</v>
      </c>
      <c r="C59" s="49" t="s">
        <v>387</v>
      </c>
      <c r="D59" s="34" t="str">
        <f aca="false">IFERROR(INDEX(I_Master!$E$6:$E$85,MATCH(C59,I_Master!$A$6:$A$85,0)),"KEY TIDAK ADA")</f>
        <v>Karkas fresh</v>
      </c>
    </row>
    <row r="60" customFormat="false" ht="15" hidden="false" customHeight="false" outlineLevel="0" collapsed="false">
      <c r="A60" s="49" t="s">
        <v>2083</v>
      </c>
      <c r="B60" s="49" t="s">
        <v>2084</v>
      </c>
      <c r="C60" s="49" t="s">
        <v>387</v>
      </c>
      <c r="D60" s="34" t="str">
        <f aca="false">IFERROR(INDEX(I_Master!$E$6:$E$85,MATCH(C60,I_Master!$A$6:$A$85,0)),"KEY TIDAK ADA")</f>
        <v>Karkas fresh</v>
      </c>
    </row>
    <row r="61" customFormat="false" ht="15" hidden="false" customHeight="false" outlineLevel="0" collapsed="false">
      <c r="A61" s="49" t="s">
        <v>520</v>
      </c>
      <c r="B61" s="49" t="s">
        <v>2106</v>
      </c>
      <c r="C61" s="49" t="s">
        <v>389</v>
      </c>
      <c r="D61" s="34" t="str">
        <f aca="false">IFERROR(INDEX(I_Master!$E$6:$E$85,MATCH(C61,I_Master!$A$6:$A$85,0)),"KEY TIDAK ADA")</f>
        <v>Karkas frozen</v>
      </c>
    </row>
    <row r="62" customFormat="false" ht="15" hidden="false" customHeight="false" outlineLevel="0" collapsed="false">
      <c r="A62" s="49" t="s">
        <v>472</v>
      </c>
      <c r="B62" s="49" t="s">
        <v>2107</v>
      </c>
      <c r="C62" s="49" t="s">
        <v>389</v>
      </c>
      <c r="D62" s="34" t="str">
        <f aca="false">IFERROR(INDEX(I_Master!$E$6:$E$85,MATCH(C62,I_Master!$A$6:$A$85,0)),"KEY TIDAK ADA")</f>
        <v>Karkas frozen</v>
      </c>
    </row>
    <row r="63" customFormat="false" ht="15" hidden="false" customHeight="false" outlineLevel="0" collapsed="false">
      <c r="A63" s="49" t="s">
        <v>2085</v>
      </c>
      <c r="B63" s="49" t="s">
        <v>2086</v>
      </c>
      <c r="C63" s="49" t="s">
        <v>387</v>
      </c>
      <c r="D63" s="34" t="str">
        <f aca="false">IFERROR(INDEX(I_Master!$E$6:$E$85,MATCH(C63,I_Master!$A$6:$A$85,0)),"KEY TIDAK ADA")</f>
        <v>Karkas fresh</v>
      </c>
    </row>
    <row r="64" customFormat="false" ht="15" hidden="false" customHeight="false" outlineLevel="0" collapsed="false">
      <c r="A64" s="49" t="s">
        <v>458</v>
      </c>
      <c r="B64" s="49" t="s">
        <v>2087</v>
      </c>
      <c r="C64" s="49" t="s">
        <v>387</v>
      </c>
      <c r="D64" s="34" t="str">
        <f aca="false">IFERROR(INDEX(I_Master!$E$6:$E$85,MATCH(C64,I_Master!$A$6:$A$85,0)),"KEY TIDAK ADA")</f>
        <v>Karkas fresh</v>
      </c>
    </row>
    <row r="65" customFormat="false" ht="15" hidden="false" customHeight="false" outlineLevel="0" collapsed="false">
      <c r="A65" s="49" t="s">
        <v>497</v>
      </c>
      <c r="B65" s="49" t="s">
        <v>2108</v>
      </c>
      <c r="C65" s="49" t="s">
        <v>389</v>
      </c>
      <c r="D65" s="34" t="str">
        <f aca="false">IFERROR(INDEX(I_Master!$E$6:$E$85,MATCH(C65,I_Master!$A$6:$A$85,0)),"KEY TIDAK ADA")</f>
        <v>Karkas frozen</v>
      </c>
    </row>
    <row r="66" customFormat="false" ht="15" hidden="false" customHeight="false" outlineLevel="0" collapsed="false">
      <c r="A66" s="49" t="s">
        <v>473</v>
      </c>
      <c r="B66" s="49" t="s">
        <v>2109</v>
      </c>
      <c r="C66" s="49" t="s">
        <v>389</v>
      </c>
      <c r="D66" s="34" t="str">
        <f aca="false">IFERROR(INDEX(I_Master!$E$6:$E$85,MATCH(C66,I_Master!$A$6:$A$85,0)),"KEY TIDAK ADA")</f>
        <v>Karkas frozen</v>
      </c>
    </row>
    <row r="67" customFormat="false" ht="15" hidden="false" customHeight="false" outlineLevel="0" collapsed="false">
      <c r="A67" s="49" t="s">
        <v>2088</v>
      </c>
      <c r="B67" s="49" t="s">
        <v>2089</v>
      </c>
      <c r="C67" s="49" t="s">
        <v>387</v>
      </c>
      <c r="D67" s="34" t="str">
        <f aca="false">IFERROR(INDEX(I_Master!$E$6:$E$85,MATCH(C67,I_Master!$A$6:$A$85,0)),"KEY TIDAK ADA")</f>
        <v>Karkas fresh</v>
      </c>
    </row>
    <row r="68" customFormat="false" ht="15" hidden="false" customHeight="false" outlineLevel="0" collapsed="false">
      <c r="A68" s="49" t="s">
        <v>459</v>
      </c>
      <c r="B68" s="49" t="s">
        <v>2090</v>
      </c>
      <c r="C68" s="49" t="s">
        <v>387</v>
      </c>
      <c r="D68" s="34" t="str">
        <f aca="false">IFERROR(INDEX(I_Master!$E$6:$E$85,MATCH(C68,I_Master!$A$6:$A$85,0)),"KEY TIDAK ADA")</f>
        <v>Karkas fresh</v>
      </c>
    </row>
    <row r="69" customFormat="false" ht="15" hidden="false" customHeight="false" outlineLevel="0" collapsed="false">
      <c r="A69" s="49" t="s">
        <v>521</v>
      </c>
      <c r="B69" s="49" t="s">
        <v>2110</v>
      </c>
      <c r="C69" s="49" t="s">
        <v>389</v>
      </c>
      <c r="D69" s="34" t="str">
        <f aca="false">IFERROR(INDEX(I_Master!$E$6:$E$85,MATCH(C69,I_Master!$A$6:$A$85,0)),"KEY TIDAK ADA")</f>
        <v>Karkas frozen</v>
      </c>
    </row>
    <row r="70" customFormat="false" ht="15" hidden="false" customHeight="false" outlineLevel="0" collapsed="false">
      <c r="A70" s="49" t="s">
        <v>489</v>
      </c>
      <c r="B70" s="49" t="s">
        <v>2111</v>
      </c>
      <c r="C70" s="49" t="s">
        <v>389</v>
      </c>
      <c r="D70" s="34" t="str">
        <f aca="false">IFERROR(INDEX(I_Master!$E$6:$E$85,MATCH(C70,I_Master!$A$6:$A$85,0)),"KEY TIDAK ADA")</f>
        <v>Karkas frozen</v>
      </c>
    </row>
    <row r="71" customFormat="false" ht="15" hidden="false" customHeight="false" outlineLevel="0" collapsed="false">
      <c r="A71" s="49" t="s">
        <v>460</v>
      </c>
      <c r="B71" s="49" t="s">
        <v>2091</v>
      </c>
      <c r="C71" s="49" t="s">
        <v>387</v>
      </c>
      <c r="D71" s="34" t="str">
        <f aca="false">IFERROR(INDEX(I_Master!$E$6:$E$85,MATCH(C71,I_Master!$A$6:$A$85,0)),"KEY TIDAK ADA")</f>
        <v>Karkas fresh</v>
      </c>
    </row>
    <row r="72" customFormat="false" ht="15" hidden="false" customHeight="false" outlineLevel="0" collapsed="false">
      <c r="A72" s="49" t="s">
        <v>522</v>
      </c>
      <c r="B72" s="49" t="s">
        <v>2112</v>
      </c>
      <c r="C72" s="49" t="s">
        <v>389</v>
      </c>
      <c r="D72" s="34" t="str">
        <f aca="false">IFERROR(INDEX(I_Master!$E$6:$E$85,MATCH(C72,I_Master!$A$6:$A$85,0)),"KEY TIDAK ADA")</f>
        <v>Karkas frozen</v>
      </c>
    </row>
    <row r="73" customFormat="false" ht="15" hidden="false" customHeight="false" outlineLevel="0" collapsed="false">
      <c r="A73" s="49" t="s">
        <v>2113</v>
      </c>
      <c r="B73" s="49" t="s">
        <v>2114</v>
      </c>
      <c r="C73" s="49" t="s">
        <v>389</v>
      </c>
      <c r="D73" s="34" t="str">
        <f aca="false">IFERROR(INDEX(I_Master!$E$6:$E$85,MATCH(C73,I_Master!$A$6:$A$85,0)),"KEY TIDAK ADA")</f>
        <v>Karkas frozen</v>
      </c>
    </row>
    <row r="74" customFormat="false" ht="15" hidden="false" customHeight="false" outlineLevel="0" collapsed="false">
      <c r="A74" s="49" t="s">
        <v>461</v>
      </c>
      <c r="B74" s="49" t="s">
        <v>2092</v>
      </c>
      <c r="C74" s="49" t="s">
        <v>387</v>
      </c>
      <c r="D74" s="34" t="str">
        <f aca="false">IFERROR(INDEX(I_Master!$E$6:$E$85,MATCH(C74,I_Master!$A$6:$A$85,0)),"KEY TIDAK ADA")</f>
        <v>Karkas fresh</v>
      </c>
    </row>
    <row r="75" customFormat="false" ht="15" hidden="false" customHeight="false" outlineLevel="0" collapsed="false">
      <c r="A75" s="49" t="s">
        <v>523</v>
      </c>
      <c r="B75" s="49" t="s">
        <v>2115</v>
      </c>
      <c r="C75" s="49" t="s">
        <v>389</v>
      </c>
      <c r="D75" s="34" t="str">
        <f aca="false">IFERROR(INDEX(I_Master!$E$6:$E$85,MATCH(C75,I_Master!$A$6:$A$85,0)),"KEY TIDAK ADA")</f>
        <v>Karkas frozen</v>
      </c>
    </row>
    <row r="76" customFormat="false" ht="15" hidden="false" customHeight="false" outlineLevel="0" collapsed="false">
      <c r="A76" s="49" t="s">
        <v>486</v>
      </c>
      <c r="B76" s="49" t="s">
        <v>2116</v>
      </c>
      <c r="C76" s="49" t="s">
        <v>389</v>
      </c>
      <c r="D76" s="34" t="str">
        <f aca="false">IFERROR(INDEX(I_Master!$E$6:$E$85,MATCH(C76,I_Master!$A$6:$A$85,0)),"KEY TIDAK ADA")</f>
        <v>Karkas frozen</v>
      </c>
    </row>
    <row r="77" customFormat="false" ht="15" hidden="false" customHeight="false" outlineLevel="0" collapsed="false">
      <c r="A77" s="49" t="s">
        <v>524</v>
      </c>
      <c r="B77" s="49" t="s">
        <v>2093</v>
      </c>
      <c r="C77" s="49" t="s">
        <v>387</v>
      </c>
      <c r="D77" s="34" t="str">
        <f aca="false">IFERROR(INDEX(I_Master!$E$6:$E$85,MATCH(C77,I_Master!$A$6:$A$85,0)),"KEY TIDAK ADA")</f>
        <v>Karkas fresh</v>
      </c>
    </row>
    <row r="78" customFormat="false" ht="15" hidden="false" customHeight="false" outlineLevel="0" collapsed="false">
      <c r="A78" s="49" t="s">
        <v>525</v>
      </c>
      <c r="B78" s="49" t="s">
        <v>2117</v>
      </c>
      <c r="C78" s="49" t="s">
        <v>389</v>
      </c>
      <c r="D78" s="34" t="str">
        <f aca="false">IFERROR(INDEX(I_Master!$E$6:$E$85,MATCH(C78,I_Master!$A$6:$A$85,0)),"KEY TIDAK ADA")</f>
        <v>Karkas frozen</v>
      </c>
    </row>
    <row r="79" customFormat="false" ht="15" hidden="false" customHeight="false" outlineLevel="0" collapsed="false">
      <c r="A79" s="49" t="s">
        <v>530</v>
      </c>
      <c r="B79" s="49" t="s">
        <v>2446</v>
      </c>
      <c r="C79" s="49" t="s">
        <v>389</v>
      </c>
      <c r="D79" s="34" t="str">
        <f aca="false">IFERROR(INDEX(I_Master!$E$6:$E$85,MATCH(C79,I_Master!$A$6:$A$85,0)),"KEY TIDAK ADA")</f>
        <v>Karkas frozen</v>
      </c>
    </row>
    <row r="80" customFormat="false" ht="15" hidden="false" customHeight="false" outlineLevel="0" collapsed="false">
      <c r="A80" s="49" t="s">
        <v>2094</v>
      </c>
      <c r="B80" s="49" t="s">
        <v>2095</v>
      </c>
      <c r="C80" s="49" t="s">
        <v>387</v>
      </c>
      <c r="D80" s="34" t="str">
        <f aca="false">IFERROR(INDEX(I_Master!$E$6:$E$85,MATCH(C80,I_Master!$A$6:$A$85,0)),"KEY TIDAK ADA")</f>
        <v>Karkas fresh</v>
      </c>
    </row>
    <row r="81" customFormat="false" ht="15" hidden="false" customHeight="false" outlineLevel="0" collapsed="false">
      <c r="A81" s="49" t="s">
        <v>526</v>
      </c>
      <c r="B81" s="49" t="s">
        <v>2118</v>
      </c>
      <c r="C81" s="49" t="s">
        <v>389</v>
      </c>
      <c r="D81" s="34" t="str">
        <f aca="false">IFERROR(INDEX(I_Master!$E$6:$E$85,MATCH(C81,I_Master!$A$6:$A$85,0)),"KEY TIDAK ADA")</f>
        <v>Karkas frozen</v>
      </c>
    </row>
    <row r="82" customFormat="false" ht="15" hidden="false" customHeight="false" outlineLevel="0" collapsed="false">
      <c r="A82" s="49" t="s">
        <v>527</v>
      </c>
      <c r="B82" s="49" t="s">
        <v>2119</v>
      </c>
      <c r="C82" s="49" t="s">
        <v>389</v>
      </c>
      <c r="D82" s="34" t="str">
        <f aca="false">IFERROR(INDEX(I_Master!$E$6:$E$85,MATCH(C82,I_Master!$A$6:$A$85,0)),"KEY TIDAK ADA")</f>
        <v>Karkas frozen</v>
      </c>
    </row>
    <row r="83" customFormat="false" ht="15" hidden="false" customHeight="false" outlineLevel="0" collapsed="false">
      <c r="A83" s="49" t="s">
        <v>2120</v>
      </c>
      <c r="B83" s="49" t="s">
        <v>2121</v>
      </c>
      <c r="C83" s="49" t="s">
        <v>389</v>
      </c>
      <c r="D83" s="34" t="str">
        <f aca="false">IFERROR(INDEX(I_Master!$E$6:$E$85,MATCH(C83,I_Master!$A$6:$A$85,0)),"KEY TIDAK ADA")</f>
        <v>Karkas frozen</v>
      </c>
    </row>
    <row r="84" customFormat="false" ht="15" hidden="false" customHeight="false" outlineLevel="0" collapsed="false">
      <c r="A84" s="49" t="s">
        <v>531</v>
      </c>
      <c r="B84" s="49" t="s">
        <v>2122</v>
      </c>
      <c r="C84" s="49" t="s">
        <v>389</v>
      </c>
      <c r="D84" s="34" t="str">
        <f aca="false">IFERROR(INDEX(I_Master!$E$6:$E$85,MATCH(C84,I_Master!$A$6:$A$85,0)),"KEY TIDAK ADA")</f>
        <v>Karkas frozen</v>
      </c>
    </row>
    <row r="85" customFormat="false" ht="15" hidden="false" customHeight="false" outlineLevel="0" collapsed="false">
      <c r="A85" s="49" t="s">
        <v>2123</v>
      </c>
      <c r="B85" s="49" t="s">
        <v>2124</v>
      </c>
      <c r="C85" s="49" t="s">
        <v>389</v>
      </c>
      <c r="D85" s="34" t="str">
        <f aca="false">IFERROR(INDEX(I_Master!$E$6:$E$85,MATCH(C85,I_Master!$A$6:$A$85,0)),"KEY TIDAK ADA")</f>
        <v>Karkas frozen</v>
      </c>
    </row>
    <row r="86" customFormat="false" ht="15" hidden="false" customHeight="false" outlineLevel="0" collapsed="false">
      <c r="A86" s="49" t="s">
        <v>2125</v>
      </c>
      <c r="B86" s="49" t="s">
        <v>2126</v>
      </c>
      <c r="C86" s="49" t="s">
        <v>389</v>
      </c>
      <c r="D86" s="34" t="str">
        <f aca="false">IFERROR(INDEX(I_Master!$E$6:$E$85,MATCH(C86,I_Master!$A$6:$A$85,0)),"KEY TIDAK ADA")</f>
        <v>Karkas frozen</v>
      </c>
    </row>
    <row r="87" customFormat="false" ht="15" hidden="false" customHeight="false" outlineLevel="0" collapsed="false">
      <c r="A87" s="49" t="s">
        <v>2127</v>
      </c>
      <c r="B87" s="49" t="s">
        <v>2128</v>
      </c>
      <c r="C87" s="49" t="s">
        <v>389</v>
      </c>
      <c r="D87" s="34" t="str">
        <f aca="false">IFERROR(INDEX(I_Master!$E$6:$E$85,MATCH(C87,I_Master!$A$6:$A$85,0)),"KEY TIDAK ADA")</f>
        <v>Karkas frozen</v>
      </c>
    </row>
    <row r="88" customFormat="false" ht="15" hidden="false" customHeight="false" outlineLevel="0" collapsed="false">
      <c r="A88" s="49" t="s">
        <v>2129</v>
      </c>
      <c r="B88" s="49" t="s">
        <v>2130</v>
      </c>
      <c r="C88" s="49" t="s">
        <v>389</v>
      </c>
      <c r="D88" s="34" t="str">
        <f aca="false">IFERROR(INDEX(I_Master!$E$6:$E$85,MATCH(C88,I_Master!$A$6:$A$85,0)),"KEY TIDAK ADA")</f>
        <v>Karkas frozen</v>
      </c>
    </row>
    <row r="89" customFormat="false" ht="15" hidden="false" customHeight="false" outlineLevel="0" collapsed="false">
      <c r="A89" s="49" t="s">
        <v>2447</v>
      </c>
      <c r="B89" s="49" t="s">
        <v>2448</v>
      </c>
      <c r="C89" s="49" t="s">
        <v>392</v>
      </c>
      <c r="D89" s="34" t="str">
        <f aca="false">IFERROR(INDEX(I_Master!$E$6:$E$85,MATCH(C89,I_Master!$A$6:$A$85,0)),"KEY TIDAK ADA")</f>
        <v>By-product</v>
      </c>
    </row>
    <row r="90" customFormat="false" ht="15" hidden="false" customHeight="false" outlineLevel="0" collapsed="false">
      <c r="A90" s="49" t="s">
        <v>2449</v>
      </c>
      <c r="B90" s="49" t="s">
        <v>2450</v>
      </c>
      <c r="C90" s="49" t="s">
        <v>2388</v>
      </c>
      <c r="D90" s="34" t="str">
        <f aca="false">IFERROR(INDEX(I_Master!$E$6:$E$85,MATCH(C90,I_Master!$A$6:$A$85,0)),"KEY TIDAK ADA")</f>
        <v>Boneless &amp; parting</v>
      </c>
    </row>
    <row r="91" customFormat="false" ht="15" hidden="false" customHeight="false" outlineLevel="0" collapsed="false">
      <c r="A91" s="49" t="s">
        <v>2451</v>
      </c>
      <c r="B91" s="49" t="s">
        <v>2452</v>
      </c>
      <c r="C91" s="49" t="s">
        <v>2388</v>
      </c>
      <c r="D91" s="34" t="str">
        <f aca="false">IFERROR(INDEX(I_Master!$E$6:$E$85,MATCH(C91,I_Master!$A$6:$A$85,0)),"KEY TIDAK ADA")</f>
        <v>Boneless &amp; parting</v>
      </c>
    </row>
    <row r="92" customFormat="false" ht="15" hidden="false" customHeight="false" outlineLevel="0" collapsed="false">
      <c r="A92" s="49" t="s">
        <v>2152</v>
      </c>
      <c r="B92" s="49" t="s">
        <v>2153</v>
      </c>
      <c r="C92" s="49" t="s">
        <v>2390</v>
      </c>
      <c r="D92" s="34" t="str">
        <f aca="false">IFERROR(INDEX(I_Master!$E$6:$E$85,MATCH(C92,I_Master!$A$6:$A$85,0)),"KEY TIDAK ADA")</f>
        <v>Boneless &amp; parting</v>
      </c>
    </row>
    <row r="93" customFormat="false" ht="15" hidden="false" customHeight="false" outlineLevel="0" collapsed="false">
      <c r="A93" s="49" t="s">
        <v>2058</v>
      </c>
      <c r="B93" s="49" t="s">
        <v>2059</v>
      </c>
      <c r="C93" s="49" t="s">
        <v>2398</v>
      </c>
      <c r="D93" s="34" t="str">
        <f aca="false">IFERROR(INDEX(I_Master!$E$6:$E$85,MATCH(C93,I_Master!$A$6:$A$85,0)),"KEY TIDAK ADA")</f>
        <v>By-product</v>
      </c>
    </row>
    <row r="94" customFormat="false" ht="15" hidden="false" customHeight="false" outlineLevel="0" collapsed="false">
      <c r="A94" s="49" t="s">
        <v>466</v>
      </c>
      <c r="B94" s="49" t="s">
        <v>2139</v>
      </c>
      <c r="C94" s="49" t="s">
        <v>2405</v>
      </c>
      <c r="D94" s="34" t="str">
        <f aca="false">IFERROR(INDEX(I_Master!$E$6:$E$85,MATCH(C94,I_Master!$A$6:$A$85,0)),"KEY TIDAK ADA")</f>
        <v>Karkas mix</v>
      </c>
    </row>
    <row r="95" customFormat="false" ht="15" hidden="false" customHeight="false" outlineLevel="0" collapsed="false">
      <c r="A95" s="49" t="s">
        <v>474</v>
      </c>
      <c r="B95" s="49" t="s">
        <v>2131</v>
      </c>
      <c r="C95" s="49" t="s">
        <v>389</v>
      </c>
      <c r="D95" s="34" t="str">
        <f aca="false">IFERROR(INDEX(I_Master!$E$6:$E$85,MATCH(C95,I_Master!$A$6:$A$85,0)),"KEY TIDAK ADA")</f>
        <v>Karkas frozen</v>
      </c>
    </row>
    <row r="96" customFormat="false" ht="15" hidden="false" customHeight="false" outlineLevel="0" collapsed="false">
      <c r="A96" s="49" t="s">
        <v>467</v>
      </c>
      <c r="B96" s="49" t="s">
        <v>2132</v>
      </c>
      <c r="C96" s="49" t="s">
        <v>389</v>
      </c>
      <c r="D96" s="34" t="str">
        <f aca="false">IFERROR(INDEX(I_Master!$E$6:$E$85,MATCH(C96,I_Master!$A$6:$A$85,0)),"KEY TIDAK ADA")</f>
        <v>Karkas frozen</v>
      </c>
    </row>
    <row r="97" customFormat="false" ht="15" hidden="false" customHeight="false" outlineLevel="0" collapsed="false">
      <c r="A97" s="49" t="s">
        <v>2154</v>
      </c>
      <c r="B97" s="49" t="s">
        <v>2155</v>
      </c>
      <c r="C97" s="49" t="s">
        <v>2390</v>
      </c>
      <c r="D97" s="34" t="str">
        <f aca="false">IFERROR(INDEX(I_Master!$E$6:$E$85,MATCH(C97,I_Master!$A$6:$A$85,0)),"KEY TIDAK ADA")</f>
        <v>Boneless &amp; parting</v>
      </c>
    </row>
    <row r="98" customFormat="false" ht="15" hidden="false" customHeight="false" outlineLevel="0" collapsed="false">
      <c r="A98" s="49" t="s">
        <v>2137</v>
      </c>
      <c r="B98" s="49" t="s">
        <v>2138</v>
      </c>
      <c r="C98" s="49" t="s">
        <v>389</v>
      </c>
      <c r="D98" s="34" t="str">
        <f aca="false">IFERROR(INDEX(I_Master!$E$6:$E$85,MATCH(C98,I_Master!$A$6:$A$85,0)),"KEY TIDAK ADA")</f>
        <v>Karkas frozen</v>
      </c>
    </row>
    <row r="99" customFormat="false" ht="15" hidden="false" customHeight="false" outlineLevel="0" collapsed="false">
      <c r="A99" s="49" t="s">
        <v>2133</v>
      </c>
      <c r="B99" s="49" t="s">
        <v>2134</v>
      </c>
      <c r="C99" s="49" t="s">
        <v>389</v>
      </c>
      <c r="D99" s="34" t="str">
        <f aca="false">IFERROR(INDEX(I_Master!$E$6:$E$85,MATCH(C99,I_Master!$A$6:$A$85,0)),"KEY TIDAK ADA")</f>
        <v>Karkas frozen</v>
      </c>
    </row>
    <row r="100" customFormat="false" ht="15" hidden="false" customHeight="false" outlineLevel="0" collapsed="false">
      <c r="A100" s="49" t="s">
        <v>490</v>
      </c>
      <c r="B100" s="49" t="s">
        <v>2135</v>
      </c>
      <c r="C100" s="49" t="s">
        <v>389</v>
      </c>
      <c r="D100" s="34" t="str">
        <f aca="false">IFERROR(INDEX(I_Master!$E$6:$E$85,MATCH(C100,I_Master!$A$6:$A$85,0)),"KEY TIDAK ADA")</f>
        <v>Karkas frozen</v>
      </c>
    </row>
    <row r="101" customFormat="false" ht="15" hidden="false" customHeight="false" outlineLevel="0" collapsed="false">
      <c r="A101" s="49" t="s">
        <v>433</v>
      </c>
      <c r="B101" s="49" t="s">
        <v>2136</v>
      </c>
      <c r="C101" s="49" t="s">
        <v>389</v>
      </c>
      <c r="D101" s="34" t="str">
        <f aca="false">IFERROR(INDEX(I_Master!$E$6:$E$85,MATCH(C101,I_Master!$A$6:$A$85,0)),"KEY TIDAK ADA")</f>
        <v>Karkas frozen</v>
      </c>
    </row>
    <row r="102" customFormat="false" ht="15" hidden="false" customHeight="false" outlineLevel="0" collapsed="false">
      <c r="A102" s="49" t="s">
        <v>2211</v>
      </c>
      <c r="B102" s="49" t="s">
        <v>2212</v>
      </c>
      <c r="C102" s="49" t="s">
        <v>2416</v>
      </c>
      <c r="D102" s="34" t="str">
        <f aca="false">IFERROR(INDEX(I_Master!$E$6:$E$85,MATCH(C102,I_Master!$A$6:$A$85,0)),"KEY TIDAK ADA")</f>
        <v>Kulit</v>
      </c>
    </row>
    <row r="103" customFormat="false" ht="15" hidden="false" customHeight="false" outlineLevel="0" collapsed="false">
      <c r="A103" s="49" t="s">
        <v>480</v>
      </c>
      <c r="B103" s="49" t="s">
        <v>2210</v>
      </c>
      <c r="C103" s="49" t="s">
        <v>2415</v>
      </c>
      <c r="D103" s="34" t="str">
        <f aca="false">IFERROR(INDEX(I_Master!$E$6:$E$85,MATCH(C103,I_Master!$A$6:$A$85,0)),"KEY TIDAK ADA")</f>
        <v>Kulit</v>
      </c>
    </row>
    <row r="104" customFormat="false" ht="15" hidden="false" customHeight="false" outlineLevel="0" collapsed="false">
      <c r="A104" s="49" t="s">
        <v>2179</v>
      </c>
      <c r="B104" s="49" t="s">
        <v>2180</v>
      </c>
      <c r="C104" s="49" t="s">
        <v>2412</v>
      </c>
      <c r="D104" s="34" t="str">
        <f aca="false">IFERROR(INDEX(I_Master!$E$6:$E$85,MATCH(C104,I_Master!$A$6:$A$85,0)),"KEY TIDAK ADA")</f>
        <v>HJA (Hati/Jantung/Ampela)</v>
      </c>
    </row>
    <row r="105" customFormat="false" ht="15" hidden="false" customHeight="false" outlineLevel="0" collapsed="false">
      <c r="A105" s="49" t="s">
        <v>2181</v>
      </c>
      <c r="B105" s="49" t="s">
        <v>2182</v>
      </c>
      <c r="C105" s="49" t="s">
        <v>2412</v>
      </c>
      <c r="D105" s="34" t="str">
        <f aca="false">IFERROR(INDEX(I_Master!$E$6:$E$85,MATCH(C105,I_Master!$A$6:$A$85,0)),"KEY TIDAK ADA")</f>
        <v>HJA (Hati/Jantung/Ampela)</v>
      </c>
    </row>
    <row r="106" customFormat="false" ht="15" hidden="false" customHeight="false" outlineLevel="0" collapsed="false">
      <c r="A106" s="49" t="s">
        <v>2174</v>
      </c>
      <c r="B106" s="49" t="s">
        <v>2175</v>
      </c>
      <c r="C106" s="49" t="s">
        <v>2409</v>
      </c>
      <c r="D106" s="34" t="str">
        <f aca="false">IFERROR(INDEX(I_Master!$E$6:$E$85,MATCH(C106,I_Master!$A$6:$A$85,0)),"KEY TIDAK ADA")</f>
        <v>BLD</v>
      </c>
    </row>
    <row r="107" customFormat="false" ht="15" hidden="false" customHeight="false" outlineLevel="0" collapsed="false">
      <c r="A107" s="49" t="s">
        <v>2453</v>
      </c>
      <c r="B107" s="49" t="s">
        <v>2454</v>
      </c>
      <c r="C107" s="49" t="s">
        <v>2418</v>
      </c>
      <c r="D107" s="34" t="str">
        <f aca="false">IFERROR(INDEX(I_Master!$E$6:$E$85,MATCH(C107,I_Master!$A$6:$A$85,0)),"KEY TIDAK ADA")</f>
        <v>Usus</v>
      </c>
    </row>
    <row r="108" customFormat="false" ht="15" hidden="false" customHeight="false" outlineLevel="0" collapsed="false">
      <c r="A108" s="49" t="s">
        <v>438</v>
      </c>
      <c r="B108" s="49" t="s">
        <v>2173</v>
      </c>
      <c r="C108" s="49" t="s">
        <v>2408</v>
      </c>
      <c r="D108" s="34" t="str">
        <f aca="false">IFERROR(INDEX(I_Master!$E$6:$E$85,MATCH(C108,I_Master!$A$6:$A$85,0)),"KEY TIDAK ADA")</f>
        <v>BLD</v>
      </c>
    </row>
    <row r="109" customFormat="false" ht="15" hidden="false" customHeight="false" outlineLevel="0" collapsed="false">
      <c r="A109" s="49" t="s">
        <v>468</v>
      </c>
      <c r="B109" s="49" t="s">
        <v>2178</v>
      </c>
      <c r="C109" s="49" t="s">
        <v>2410</v>
      </c>
      <c r="D109" s="34" t="str">
        <f aca="false">IFERROR(INDEX(I_Master!$E$6:$E$85,MATCH(C109,I_Master!$A$6:$A$85,0)),"KEY TIDAK ADA")</f>
        <v>BLP</v>
      </c>
    </row>
    <row r="110" customFormat="false" ht="15" hidden="false" customHeight="false" outlineLevel="0" collapsed="false">
      <c r="A110" s="49" t="s">
        <v>2176</v>
      </c>
      <c r="B110" s="49" t="s">
        <v>2177</v>
      </c>
      <c r="C110" s="49" t="s">
        <v>2411</v>
      </c>
      <c r="D110" s="34" t="str">
        <f aca="false">IFERROR(INDEX(I_Master!$E$6:$E$85,MATCH(C110,I_Master!$A$6:$A$85,0)),"KEY TIDAK ADA")</f>
        <v>BLPK</v>
      </c>
    </row>
    <row r="111" customFormat="false" ht="15" hidden="false" customHeight="false" outlineLevel="0" collapsed="false">
      <c r="A111" s="49" t="s">
        <v>2183</v>
      </c>
      <c r="B111" s="49" t="s">
        <v>2184</v>
      </c>
      <c r="C111" s="49" t="s">
        <v>2412</v>
      </c>
      <c r="D111" s="34" t="str">
        <f aca="false">IFERROR(INDEX(I_Master!$E$6:$E$85,MATCH(C111,I_Master!$A$6:$A$85,0)),"KEY TIDAK ADA")</f>
        <v>HJA (Hati/Jantung/Ampela)</v>
      </c>
    </row>
    <row r="112" customFormat="false" ht="15" hidden="false" customHeight="false" outlineLevel="0" collapsed="false">
      <c r="A112" s="49" t="s">
        <v>430</v>
      </c>
      <c r="B112" s="49" t="s">
        <v>2186</v>
      </c>
      <c r="C112" s="49" t="s">
        <v>2414</v>
      </c>
      <c r="D112" s="34" t="str">
        <f aca="false">IFERROR(INDEX(I_Master!$E$6:$E$85,MATCH(C112,I_Master!$A$6:$A$85,0)),"KEY TIDAK ADA")</f>
        <v>Karkas</v>
      </c>
    </row>
    <row r="113" customFormat="false" ht="15" hidden="false" customHeight="false" outlineLevel="0" collapsed="false">
      <c r="A113" s="49" t="s">
        <v>455</v>
      </c>
      <c r="B113" s="49" t="s">
        <v>2187</v>
      </c>
      <c r="C113" s="49" t="s">
        <v>2414</v>
      </c>
      <c r="D113" s="34" t="str">
        <f aca="false">IFERROR(INDEX(I_Master!$E$6:$E$85,MATCH(C113,I_Master!$A$6:$A$85,0)),"KEY TIDAK ADA")</f>
        <v>Karkas</v>
      </c>
    </row>
    <row r="114" customFormat="false" ht="15" hidden="false" customHeight="false" outlineLevel="0" collapsed="false">
      <c r="A114" s="49" t="s">
        <v>434</v>
      </c>
      <c r="B114" s="49" t="s">
        <v>2188</v>
      </c>
      <c r="C114" s="49" t="s">
        <v>2414</v>
      </c>
      <c r="D114" s="34" t="str">
        <f aca="false">IFERROR(INDEX(I_Master!$E$6:$E$85,MATCH(C114,I_Master!$A$6:$A$85,0)),"KEY TIDAK ADA")</f>
        <v>Karkas</v>
      </c>
    </row>
    <row r="115" customFormat="false" ht="15" hidden="false" customHeight="false" outlineLevel="0" collapsed="false">
      <c r="A115" s="49" t="s">
        <v>435</v>
      </c>
      <c r="B115" s="49" t="s">
        <v>2189</v>
      </c>
      <c r="C115" s="49" t="s">
        <v>2414</v>
      </c>
      <c r="D115" s="34" t="str">
        <f aca="false">IFERROR(INDEX(I_Master!$E$6:$E$85,MATCH(C115,I_Master!$A$6:$A$85,0)),"KEY TIDAK ADA")</f>
        <v>Karkas</v>
      </c>
    </row>
    <row r="116" customFormat="false" ht="15" hidden="false" customHeight="false" outlineLevel="0" collapsed="false">
      <c r="A116" s="49" t="s">
        <v>2190</v>
      </c>
      <c r="B116" s="49" t="s">
        <v>2191</v>
      </c>
      <c r="C116" s="49" t="s">
        <v>2414</v>
      </c>
      <c r="D116" s="34" t="str">
        <f aca="false">IFERROR(INDEX(I_Master!$E$6:$E$85,MATCH(C116,I_Master!$A$6:$A$85,0)),"KEY TIDAK ADA")</f>
        <v>Karkas</v>
      </c>
    </row>
    <row r="117" customFormat="false" ht="15" hidden="false" customHeight="false" outlineLevel="0" collapsed="false">
      <c r="A117" s="49" t="s">
        <v>422</v>
      </c>
      <c r="B117" s="49" t="s">
        <v>2192</v>
      </c>
      <c r="C117" s="49" t="s">
        <v>2414</v>
      </c>
      <c r="D117" s="34" t="str">
        <f aca="false">IFERROR(INDEX(I_Master!$E$6:$E$85,MATCH(C117,I_Master!$A$6:$A$85,0)),"KEY TIDAK ADA")</f>
        <v>Karkas</v>
      </c>
    </row>
    <row r="118" customFormat="false" ht="15" hidden="false" customHeight="false" outlineLevel="0" collapsed="false">
      <c r="A118" s="49" t="s">
        <v>423</v>
      </c>
      <c r="B118" s="49" t="s">
        <v>2193</v>
      </c>
      <c r="C118" s="49" t="s">
        <v>2414</v>
      </c>
      <c r="D118" s="34" t="str">
        <f aca="false">IFERROR(INDEX(I_Master!$E$6:$E$85,MATCH(C118,I_Master!$A$6:$A$85,0)),"KEY TIDAK ADA")</f>
        <v>Karkas</v>
      </c>
    </row>
    <row r="119" customFormat="false" ht="15" hidden="false" customHeight="false" outlineLevel="0" collapsed="false">
      <c r="A119" s="49" t="s">
        <v>2194</v>
      </c>
      <c r="B119" s="49" t="s">
        <v>2195</v>
      </c>
      <c r="C119" s="49" t="s">
        <v>2414</v>
      </c>
      <c r="D119" s="34" t="str">
        <f aca="false">IFERROR(INDEX(I_Master!$E$6:$E$85,MATCH(C119,I_Master!$A$6:$A$85,0)),"KEY TIDAK ADA")</f>
        <v>Karkas</v>
      </c>
    </row>
    <row r="120" customFormat="false" ht="15" hidden="false" customHeight="false" outlineLevel="0" collapsed="false">
      <c r="A120" s="49" t="s">
        <v>424</v>
      </c>
      <c r="B120" s="49" t="s">
        <v>2196</v>
      </c>
      <c r="C120" s="49" t="s">
        <v>2414</v>
      </c>
      <c r="D120" s="34" t="str">
        <f aca="false">IFERROR(INDEX(I_Master!$E$6:$E$85,MATCH(C120,I_Master!$A$6:$A$85,0)),"KEY TIDAK ADA")</f>
        <v>Karkas</v>
      </c>
    </row>
    <row r="121" customFormat="false" ht="15" hidden="false" customHeight="false" outlineLevel="0" collapsed="false">
      <c r="A121" s="49" t="s">
        <v>425</v>
      </c>
      <c r="B121" s="49" t="s">
        <v>2197</v>
      </c>
      <c r="C121" s="49" t="s">
        <v>2414</v>
      </c>
      <c r="D121" s="34" t="str">
        <f aca="false">IFERROR(INDEX(I_Master!$E$6:$E$85,MATCH(C121,I_Master!$A$6:$A$85,0)),"KEY TIDAK ADA")</f>
        <v>Karkas</v>
      </c>
    </row>
    <row r="122" customFormat="false" ht="15" hidden="false" customHeight="false" outlineLevel="0" collapsed="false">
      <c r="A122" s="49" t="s">
        <v>2198</v>
      </c>
      <c r="B122" s="49" t="s">
        <v>2199</v>
      </c>
      <c r="C122" s="49" t="s">
        <v>2414</v>
      </c>
      <c r="D122" s="34" t="str">
        <f aca="false">IFERROR(INDEX(I_Master!$E$6:$E$85,MATCH(C122,I_Master!$A$6:$A$85,0)),"KEY TIDAK ADA")</f>
        <v>Karkas</v>
      </c>
    </row>
    <row r="123" customFormat="false" ht="15" hidden="false" customHeight="false" outlineLevel="0" collapsed="false">
      <c r="A123" s="49" t="s">
        <v>2200</v>
      </c>
      <c r="B123" s="49" t="s">
        <v>2201</v>
      </c>
      <c r="C123" s="49" t="s">
        <v>2414</v>
      </c>
      <c r="D123" s="34" t="str">
        <f aca="false">IFERROR(INDEX(I_Master!$E$6:$E$85,MATCH(C123,I_Master!$A$6:$A$85,0)),"KEY TIDAK ADA")</f>
        <v>Karkas</v>
      </c>
    </row>
    <row r="124" customFormat="false" ht="15" hidden="false" customHeight="false" outlineLevel="0" collapsed="false">
      <c r="A124" s="49" t="s">
        <v>2202</v>
      </c>
      <c r="B124" s="49" t="s">
        <v>2203</v>
      </c>
      <c r="C124" s="49" t="s">
        <v>2414</v>
      </c>
      <c r="D124" s="34" t="str">
        <f aca="false">IFERROR(INDEX(I_Master!$E$6:$E$85,MATCH(C124,I_Master!$A$6:$A$85,0)),"KEY TIDAK ADA")</f>
        <v>Karkas</v>
      </c>
    </row>
    <row r="125" customFormat="false" ht="15" hidden="false" customHeight="false" outlineLevel="0" collapsed="false">
      <c r="A125" s="49" t="s">
        <v>426</v>
      </c>
      <c r="B125" s="49" t="s">
        <v>2204</v>
      </c>
      <c r="C125" s="49" t="s">
        <v>2414</v>
      </c>
      <c r="D125" s="34" t="str">
        <f aca="false">IFERROR(INDEX(I_Master!$E$6:$E$85,MATCH(C125,I_Master!$A$6:$A$85,0)),"KEY TIDAK ADA")</f>
        <v>Karkas</v>
      </c>
    </row>
    <row r="126" customFormat="false" ht="15" hidden="false" customHeight="false" outlineLevel="0" collapsed="false">
      <c r="A126" s="49" t="s">
        <v>452</v>
      </c>
      <c r="B126" s="49" t="s">
        <v>2185</v>
      </c>
      <c r="C126" s="49" t="s">
        <v>2413</v>
      </c>
      <c r="D126" s="34" t="str">
        <f aca="false">IFERROR(INDEX(I_Master!$E$6:$E$85,MATCH(C126,I_Master!$A$6:$A$85,0)),"KEY TIDAK ADA")</f>
        <v>KRK (Kerangka)</v>
      </c>
    </row>
    <row r="127" customFormat="false" ht="15" hidden="false" customHeight="false" outlineLevel="0" collapsed="false">
      <c r="A127" s="49" t="s">
        <v>427</v>
      </c>
      <c r="B127" s="49" t="s">
        <v>2205</v>
      </c>
      <c r="C127" s="49" t="s">
        <v>2414</v>
      </c>
      <c r="D127" s="34" t="str">
        <f aca="false">IFERROR(INDEX(I_Master!$E$6:$E$85,MATCH(C127,I_Master!$A$6:$A$85,0)),"KEY TIDAK ADA")</f>
        <v>Karkas</v>
      </c>
    </row>
    <row r="128" customFormat="false" ht="15" hidden="false" customHeight="false" outlineLevel="0" collapsed="false">
      <c r="A128" s="49" t="s">
        <v>2206</v>
      </c>
      <c r="B128" s="49" t="s">
        <v>2207</v>
      </c>
      <c r="C128" s="49" t="s">
        <v>2414</v>
      </c>
      <c r="D128" s="34" t="str">
        <f aca="false">IFERROR(INDEX(I_Master!$E$6:$E$85,MATCH(C128,I_Master!$A$6:$A$85,0)),"KEY TIDAK ADA")</f>
        <v>Karkas</v>
      </c>
    </row>
    <row r="129" customFormat="false" ht="15" hidden="false" customHeight="false" outlineLevel="0" collapsed="false">
      <c r="A129" s="49" t="s">
        <v>2208</v>
      </c>
      <c r="B129" s="49" t="s">
        <v>2209</v>
      </c>
      <c r="C129" s="49" t="s">
        <v>2414</v>
      </c>
      <c r="D129" s="34" t="str">
        <f aca="false">IFERROR(INDEX(I_Master!$E$6:$E$85,MATCH(C129,I_Master!$A$6:$A$85,0)),"KEY TIDAK ADA")</f>
        <v>Karkas</v>
      </c>
    </row>
    <row r="130" customFormat="false" ht="15" hidden="false" customHeight="false" outlineLevel="0" collapsed="false">
      <c r="A130" s="49" t="s">
        <v>481</v>
      </c>
      <c r="B130" s="49" t="s">
        <v>2392</v>
      </c>
      <c r="C130" s="49" t="s">
        <v>2417</v>
      </c>
      <c r="D130" s="34" t="str">
        <f aca="false">IFERROR(INDEX(I_Master!$E$6:$E$85,MATCH(C130,I_Master!$A$6:$A$85,0)),"KEY TIDAK ADA")</f>
        <v>Sayap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6"/>
    <col collapsed="false" customWidth="true" hidden="false" outlineLevel="0" max="8" min="8" style="0" width="30"/>
  </cols>
  <sheetData>
    <row r="1" customFormat="false" ht="16.15" hidden="false" customHeight="false" outlineLevel="0" collapsed="false">
      <c r="A1" s="1" t="s">
        <v>2455</v>
      </c>
    </row>
    <row r="2" customFormat="false" ht="15" hidden="false" customHeight="false" outlineLevel="0" collapsed="false">
      <c r="A2" s="6" t="s">
        <v>2456</v>
      </c>
    </row>
    <row r="5" customFormat="false" ht="33.75" hidden="false" customHeight="true" outlineLevel="0" collapsed="false">
      <c r="A5" s="8" t="s">
        <v>564</v>
      </c>
      <c r="B5" s="8" t="s">
        <v>565</v>
      </c>
      <c r="C5" s="8" t="s">
        <v>563</v>
      </c>
      <c r="D5" s="8" t="s">
        <v>571</v>
      </c>
      <c r="E5" s="8" t="s">
        <v>572</v>
      </c>
      <c r="F5" s="8" t="s">
        <v>2457</v>
      </c>
      <c r="G5" s="8" t="s">
        <v>573</v>
      </c>
      <c r="H5" s="8" t="s">
        <v>2458</v>
      </c>
    </row>
    <row r="6" customFormat="false" ht="15" hidden="false" customHeight="false" outlineLevel="0" collapsed="false">
      <c r="A6" s="44" t="n">
        <v>1101</v>
      </c>
      <c r="B6" s="44" t="s">
        <v>2217</v>
      </c>
      <c r="C6" s="44" t="s">
        <v>2459</v>
      </c>
      <c r="D6" s="44"/>
      <c r="E6" s="44"/>
      <c r="F6" s="44"/>
      <c r="G6" s="44" t="s">
        <v>2460</v>
      </c>
      <c r="H6" s="19"/>
    </row>
    <row r="7" customFormat="false" ht="15" hidden="false" customHeight="false" outlineLevel="0" collapsed="false">
      <c r="A7" s="44" t="n">
        <v>1102</v>
      </c>
      <c r="B7" s="44" t="s">
        <v>2219</v>
      </c>
      <c r="C7" s="44" t="s">
        <v>2459</v>
      </c>
      <c r="D7" s="44"/>
      <c r="E7" s="44"/>
      <c r="F7" s="44"/>
      <c r="G7" s="44" t="s">
        <v>2460</v>
      </c>
      <c r="H7" s="19"/>
    </row>
    <row r="8" customFormat="false" ht="15" hidden="false" customHeight="false" outlineLevel="0" collapsed="false">
      <c r="A8" s="44" t="n">
        <v>1103</v>
      </c>
      <c r="B8" s="44" t="s">
        <v>2225</v>
      </c>
      <c r="C8" s="44" t="s">
        <v>2459</v>
      </c>
      <c r="D8" s="44"/>
      <c r="E8" s="44"/>
      <c r="F8" s="44" t="s">
        <v>260</v>
      </c>
      <c r="G8" s="44" t="s">
        <v>2461</v>
      </c>
      <c r="H8" s="19"/>
    </row>
    <row r="9" customFormat="false" ht="15" hidden="false" customHeight="false" outlineLevel="0" collapsed="false">
      <c r="A9" s="44" t="n">
        <v>1104</v>
      </c>
      <c r="B9" s="44" t="s">
        <v>2231</v>
      </c>
      <c r="C9" s="44" t="s">
        <v>2459</v>
      </c>
      <c r="D9" s="44"/>
      <c r="E9" s="44"/>
      <c r="F9" s="44" t="s">
        <v>257</v>
      </c>
      <c r="G9" s="44" t="s">
        <v>2461</v>
      </c>
      <c r="H9" s="19"/>
    </row>
    <row r="10" customFormat="false" ht="15" hidden="false" customHeight="false" outlineLevel="0" collapsed="false">
      <c r="A10" s="44" t="n">
        <v>1105</v>
      </c>
      <c r="B10" s="44" t="s">
        <v>2234</v>
      </c>
      <c r="C10" s="44" t="s">
        <v>2459</v>
      </c>
      <c r="D10" s="44"/>
      <c r="E10" s="44"/>
      <c r="F10" s="44" t="s">
        <v>258</v>
      </c>
      <c r="G10" s="44" t="s">
        <v>2461</v>
      </c>
      <c r="H10" s="19"/>
    </row>
    <row r="11" customFormat="false" ht="15" hidden="false" customHeight="false" outlineLevel="0" collapsed="false">
      <c r="A11" s="44" t="n">
        <v>1106</v>
      </c>
      <c r="B11" s="44" t="s">
        <v>213</v>
      </c>
      <c r="C11" s="44" t="s">
        <v>2459</v>
      </c>
      <c r="D11" s="44"/>
      <c r="E11" s="44"/>
      <c r="F11" s="44" t="s">
        <v>261</v>
      </c>
      <c r="G11" s="44" t="s">
        <v>2461</v>
      </c>
      <c r="H11" s="19"/>
    </row>
    <row r="12" customFormat="false" ht="15" hidden="false" customHeight="false" outlineLevel="0" collapsed="false">
      <c r="A12" s="44" t="n">
        <v>1107</v>
      </c>
      <c r="B12" s="44" t="s">
        <v>2243</v>
      </c>
      <c r="C12" s="44" t="s">
        <v>2459</v>
      </c>
      <c r="D12" s="44"/>
      <c r="E12" s="44"/>
      <c r="F12" s="44" t="s">
        <v>263</v>
      </c>
      <c r="G12" s="44" t="s">
        <v>2461</v>
      </c>
      <c r="H12" s="19"/>
    </row>
    <row r="13" customFormat="false" ht="15" hidden="false" customHeight="false" outlineLevel="0" collapsed="false">
      <c r="A13" s="44" t="n">
        <v>1108</v>
      </c>
      <c r="B13" s="44" t="s">
        <v>2245</v>
      </c>
      <c r="C13" s="44" t="s">
        <v>2459</v>
      </c>
      <c r="D13" s="44"/>
      <c r="E13" s="44"/>
      <c r="F13" s="44" t="s">
        <v>263</v>
      </c>
      <c r="G13" s="44" t="s">
        <v>2461</v>
      </c>
      <c r="H13" s="19"/>
    </row>
    <row r="14" customFormat="false" ht="15" hidden="false" customHeight="false" outlineLevel="0" collapsed="false">
      <c r="A14" s="44" t="n">
        <v>1109</v>
      </c>
      <c r="B14" s="44" t="s">
        <v>2254</v>
      </c>
      <c r="C14" s="44" t="s">
        <v>2459</v>
      </c>
      <c r="D14" s="44"/>
      <c r="E14" s="44"/>
      <c r="F14" s="44" t="s">
        <v>260</v>
      </c>
      <c r="G14" s="44" t="s">
        <v>2461</v>
      </c>
      <c r="H14" s="19"/>
    </row>
    <row r="15" customFormat="false" ht="15" hidden="false" customHeight="false" outlineLevel="0" collapsed="false">
      <c r="A15" s="44" t="n">
        <v>2101</v>
      </c>
      <c r="B15" s="44" t="s">
        <v>2262</v>
      </c>
      <c r="C15" s="44" t="s">
        <v>2459</v>
      </c>
      <c r="D15" s="44"/>
      <c r="E15" s="44"/>
      <c r="F15" s="44" t="s">
        <v>260</v>
      </c>
      <c r="G15" s="44" t="s">
        <v>2461</v>
      </c>
      <c r="H15" s="19"/>
    </row>
    <row r="16" customFormat="false" ht="15" hidden="false" customHeight="false" outlineLevel="0" collapsed="false">
      <c r="A16" s="44" t="n">
        <v>2102</v>
      </c>
      <c r="B16" s="44" t="s">
        <v>2266</v>
      </c>
      <c r="C16" s="44" t="s">
        <v>2459</v>
      </c>
      <c r="D16" s="44"/>
      <c r="E16" s="44"/>
      <c r="F16" s="44" t="s">
        <v>261</v>
      </c>
      <c r="G16" s="44" t="s">
        <v>2461</v>
      </c>
      <c r="H16" s="19"/>
    </row>
    <row r="17" customFormat="false" ht="15" hidden="false" customHeight="false" outlineLevel="0" collapsed="false">
      <c r="A17" s="44" t="n">
        <v>2103</v>
      </c>
      <c r="B17" s="44" t="s">
        <v>2270</v>
      </c>
      <c r="C17" s="44" t="s">
        <v>2459</v>
      </c>
      <c r="D17" s="44"/>
      <c r="E17" s="44"/>
      <c r="F17" s="44" t="s">
        <v>260</v>
      </c>
      <c r="G17" s="44" t="s">
        <v>2461</v>
      </c>
      <c r="H17" s="19"/>
    </row>
    <row r="18" customFormat="false" ht="15" hidden="false" customHeight="false" outlineLevel="0" collapsed="false">
      <c r="A18" s="44" t="n">
        <v>3100</v>
      </c>
      <c r="B18" s="44" t="s">
        <v>2279</v>
      </c>
      <c r="C18" s="44" t="s">
        <v>2459</v>
      </c>
      <c r="D18" s="44"/>
      <c r="E18" s="44"/>
      <c r="F18" s="44" t="s">
        <v>265</v>
      </c>
      <c r="G18" s="44" t="s">
        <v>2461</v>
      </c>
      <c r="H18" s="19"/>
    </row>
    <row r="19" customFormat="false" ht="15" hidden="false" customHeight="false" outlineLevel="0" collapsed="false">
      <c r="A19" s="44" t="n">
        <v>4101</v>
      </c>
      <c r="B19" s="44" t="s">
        <v>2284</v>
      </c>
      <c r="C19" s="44" t="s">
        <v>2459</v>
      </c>
      <c r="D19" s="44"/>
      <c r="E19" s="44"/>
      <c r="F19" s="44" t="s">
        <v>255</v>
      </c>
      <c r="G19" s="44" t="s">
        <v>2461</v>
      </c>
      <c r="H19" s="19"/>
    </row>
    <row r="20" customFormat="false" ht="15" hidden="false" customHeight="false" outlineLevel="0" collapsed="false">
      <c r="A20" s="44" t="n">
        <v>5100</v>
      </c>
      <c r="B20" s="44" t="s">
        <v>2293</v>
      </c>
      <c r="C20" s="44" t="s">
        <v>2459</v>
      </c>
      <c r="D20" s="44"/>
      <c r="E20" s="44"/>
      <c r="F20" s="44" t="s">
        <v>260</v>
      </c>
      <c r="G20" s="44" t="s">
        <v>2461</v>
      </c>
      <c r="H20" s="19"/>
    </row>
    <row r="21" customFormat="false" ht="15" hidden="false" customHeight="false" outlineLevel="0" collapsed="false">
      <c r="A21" s="44" t="n">
        <v>6000</v>
      </c>
      <c r="B21" s="44" t="s">
        <v>2297</v>
      </c>
      <c r="C21" s="44" t="s">
        <v>2459</v>
      </c>
      <c r="D21" s="44"/>
      <c r="E21" s="44"/>
      <c r="F21" s="44" t="s">
        <v>260</v>
      </c>
      <c r="G21" s="44" t="s">
        <v>2461</v>
      </c>
      <c r="H21" s="19"/>
    </row>
    <row r="22" customFormat="false" ht="15" hidden="false" customHeight="false" outlineLevel="0" collapsed="false">
      <c r="A22" s="44" t="n">
        <v>7100</v>
      </c>
      <c r="B22" s="44" t="s">
        <v>2341</v>
      </c>
      <c r="C22" s="44" t="s">
        <v>2459</v>
      </c>
      <c r="D22" s="44"/>
      <c r="E22" s="44"/>
      <c r="F22" s="44" t="s">
        <v>256</v>
      </c>
      <c r="G22" s="44" t="s">
        <v>2461</v>
      </c>
      <c r="H22" s="19"/>
    </row>
    <row r="23" customFormat="false" ht="15" hidden="false" customHeight="false" outlineLevel="0" collapsed="false">
      <c r="A23" s="44" t="n">
        <v>7200</v>
      </c>
      <c r="B23" s="44" t="s">
        <v>2349</v>
      </c>
      <c r="C23" s="44" t="s">
        <v>2459</v>
      </c>
      <c r="D23" s="44"/>
      <c r="E23" s="44"/>
      <c r="F23" s="44" t="s">
        <v>260</v>
      </c>
      <c r="G23" s="44" t="s">
        <v>2461</v>
      </c>
      <c r="H23" s="19"/>
    </row>
    <row r="24" customFormat="false" ht="15" hidden="false" customHeight="false" outlineLevel="0" collapsed="false">
      <c r="A24" s="44" t="n">
        <v>610000</v>
      </c>
      <c r="B24" s="44" t="s">
        <v>2298</v>
      </c>
      <c r="C24" s="44" t="s">
        <v>2462</v>
      </c>
      <c r="D24" s="44" t="s">
        <v>185</v>
      </c>
      <c r="E24" s="44"/>
      <c r="F24" s="44" t="s">
        <v>260</v>
      </c>
      <c r="G24" s="44" t="s">
        <v>2461</v>
      </c>
      <c r="H24" s="19"/>
    </row>
    <row r="25" customFormat="false" ht="15" hidden="false" customHeight="false" outlineLevel="0" collapsed="false">
      <c r="A25" s="44" t="n">
        <v>620000</v>
      </c>
      <c r="B25" s="44" t="s">
        <v>2306</v>
      </c>
      <c r="C25" s="44" t="s">
        <v>2462</v>
      </c>
      <c r="D25" s="44" t="s">
        <v>185</v>
      </c>
      <c r="E25" s="44"/>
      <c r="F25" s="44" t="s">
        <v>260</v>
      </c>
      <c r="G25" s="44" t="s">
        <v>2461</v>
      </c>
      <c r="H25" s="19"/>
    </row>
    <row r="26" customFormat="false" ht="15" hidden="false" customHeight="false" outlineLevel="0" collapsed="false">
      <c r="A26" s="44" t="n">
        <v>630000</v>
      </c>
      <c r="B26" s="44" t="s">
        <v>2331</v>
      </c>
      <c r="C26" s="44" t="s">
        <v>2462</v>
      </c>
      <c r="D26" s="44" t="s">
        <v>185</v>
      </c>
      <c r="E26" s="44"/>
      <c r="F26" s="44" t="s">
        <v>260</v>
      </c>
      <c r="G26" s="44" t="s">
        <v>2461</v>
      </c>
      <c r="H26" s="19"/>
    </row>
    <row r="27" customFormat="false" ht="15" hidden="false" customHeight="false" outlineLevel="0" collapsed="false">
      <c r="A27" s="44" t="n">
        <v>640000</v>
      </c>
      <c r="B27" s="44" t="s">
        <v>2332</v>
      </c>
      <c r="C27" s="44" t="s">
        <v>2462</v>
      </c>
      <c r="D27" s="44" t="s">
        <v>192</v>
      </c>
      <c r="E27" s="44"/>
      <c r="F27" s="44" t="s">
        <v>260</v>
      </c>
      <c r="G27" s="44" t="s">
        <v>2461</v>
      </c>
      <c r="H27" s="19"/>
    </row>
    <row r="28" customFormat="false" ht="15" hidden="false" customHeight="false" outlineLevel="0" collapsed="false">
      <c r="A28" s="44" t="n">
        <v>910002</v>
      </c>
      <c r="B28" s="44" t="s">
        <v>2357</v>
      </c>
      <c r="C28" s="44" t="s">
        <v>2462</v>
      </c>
      <c r="D28" s="44" t="s">
        <v>190</v>
      </c>
      <c r="E28" s="44"/>
      <c r="F28" s="44" t="s">
        <v>260</v>
      </c>
      <c r="G28" s="44" t="s">
        <v>2461</v>
      </c>
      <c r="H28" s="19"/>
    </row>
    <row r="29" customFormat="false" ht="15" hidden="false" customHeight="false" outlineLevel="0" collapsed="false">
      <c r="A29" s="44" t="n">
        <v>910003</v>
      </c>
      <c r="B29" s="44" t="s">
        <v>2358</v>
      </c>
      <c r="C29" s="44" t="s">
        <v>2462</v>
      </c>
      <c r="D29" s="44" t="s">
        <v>190</v>
      </c>
      <c r="E29" s="44"/>
      <c r="F29" s="44" t="s">
        <v>260</v>
      </c>
      <c r="G29" s="44" t="s">
        <v>2461</v>
      </c>
      <c r="H29" s="19"/>
    </row>
    <row r="30" customFormat="false" ht="15" hidden="false" customHeight="false" outlineLevel="0" collapsed="false">
      <c r="A30" s="44" t="n">
        <v>910004</v>
      </c>
      <c r="B30" s="44" t="s">
        <v>781</v>
      </c>
      <c r="C30" s="44" t="s">
        <v>2463</v>
      </c>
      <c r="D30" s="44"/>
      <c r="E30" s="44" t="s">
        <v>227</v>
      </c>
      <c r="F30" s="44" t="s">
        <v>264</v>
      </c>
      <c r="G30" s="44" t="s">
        <v>2461</v>
      </c>
      <c r="H30" s="19"/>
    </row>
    <row r="31" customFormat="false" ht="15" hidden="false" customHeight="false" outlineLevel="0" collapsed="false">
      <c r="A31" s="44" t="n">
        <v>1101001</v>
      </c>
      <c r="B31" s="44" t="s">
        <v>2218</v>
      </c>
      <c r="C31" s="44" t="s">
        <v>2463</v>
      </c>
      <c r="D31" s="44"/>
      <c r="E31" s="44" t="s">
        <v>205</v>
      </c>
      <c r="F31" s="44"/>
      <c r="G31" s="44" t="s">
        <v>2460</v>
      </c>
      <c r="H31" s="19" t="s">
        <v>205</v>
      </c>
    </row>
    <row r="32" customFormat="false" ht="15" hidden="false" customHeight="false" outlineLevel="0" collapsed="false">
      <c r="A32" s="44" t="n">
        <v>1102001</v>
      </c>
      <c r="B32" s="44" t="s">
        <v>586</v>
      </c>
      <c r="C32" s="44" t="s">
        <v>2463</v>
      </c>
      <c r="D32" s="44"/>
      <c r="E32" s="44" t="s">
        <v>205</v>
      </c>
      <c r="F32" s="44"/>
      <c r="G32" s="44" t="s">
        <v>2460</v>
      </c>
      <c r="H32" s="19" t="s">
        <v>205</v>
      </c>
    </row>
    <row r="33" customFormat="false" ht="15" hidden="false" customHeight="false" outlineLevel="0" collapsed="false">
      <c r="A33" s="44" t="n">
        <v>1102002</v>
      </c>
      <c r="B33" s="44" t="s">
        <v>598</v>
      </c>
      <c r="C33" s="44" t="s">
        <v>2463</v>
      </c>
      <c r="D33" s="44"/>
      <c r="E33" s="44" t="s">
        <v>205</v>
      </c>
      <c r="F33" s="44"/>
      <c r="G33" s="44" t="s">
        <v>2460</v>
      </c>
      <c r="H33" s="19" t="s">
        <v>205</v>
      </c>
    </row>
    <row r="34" customFormat="false" ht="15" hidden="false" customHeight="false" outlineLevel="0" collapsed="false">
      <c r="A34" s="44" t="n">
        <v>1102003</v>
      </c>
      <c r="B34" s="44" t="s">
        <v>583</v>
      </c>
      <c r="C34" s="44" t="s">
        <v>2463</v>
      </c>
      <c r="D34" s="44"/>
      <c r="E34" s="44" t="s">
        <v>205</v>
      </c>
      <c r="F34" s="44"/>
      <c r="G34" s="44" t="s">
        <v>2460</v>
      </c>
      <c r="H34" s="19" t="s">
        <v>205</v>
      </c>
    </row>
    <row r="35" customFormat="false" ht="15" hidden="false" customHeight="false" outlineLevel="0" collapsed="false">
      <c r="A35" s="44" t="n">
        <v>1102004</v>
      </c>
      <c r="B35" s="44" t="s">
        <v>2220</v>
      </c>
      <c r="C35" s="44" t="s">
        <v>2463</v>
      </c>
      <c r="D35" s="44"/>
      <c r="E35" s="44" t="s">
        <v>205</v>
      </c>
      <c r="F35" s="44"/>
      <c r="G35" s="44" t="s">
        <v>2460</v>
      </c>
      <c r="H35" s="19" t="s">
        <v>205</v>
      </c>
    </row>
    <row r="36" customFormat="false" ht="15" hidden="false" customHeight="false" outlineLevel="0" collapsed="false">
      <c r="A36" s="44" t="n">
        <v>1102005</v>
      </c>
      <c r="B36" s="44" t="s">
        <v>2221</v>
      </c>
      <c r="C36" s="44" t="s">
        <v>2463</v>
      </c>
      <c r="D36" s="44"/>
      <c r="E36" s="44" t="s">
        <v>205</v>
      </c>
      <c r="F36" s="44"/>
      <c r="G36" s="44" t="s">
        <v>2460</v>
      </c>
      <c r="H36" s="19" t="s">
        <v>205</v>
      </c>
    </row>
    <row r="37" customFormat="false" ht="15" hidden="false" customHeight="false" outlineLevel="0" collapsed="false">
      <c r="A37" s="44" t="n">
        <v>1102006</v>
      </c>
      <c r="B37" s="44" t="s">
        <v>2222</v>
      </c>
      <c r="C37" s="44" t="s">
        <v>2463</v>
      </c>
      <c r="D37" s="44"/>
      <c r="E37" s="44" t="s">
        <v>205</v>
      </c>
      <c r="F37" s="44"/>
      <c r="G37" s="44" t="s">
        <v>2460</v>
      </c>
      <c r="H37" s="19" t="s">
        <v>205</v>
      </c>
    </row>
    <row r="38" customFormat="false" ht="15" hidden="false" customHeight="false" outlineLevel="0" collapsed="false">
      <c r="A38" s="44" t="n">
        <v>1102007</v>
      </c>
      <c r="B38" s="44" t="s">
        <v>2223</v>
      </c>
      <c r="C38" s="44" t="s">
        <v>2463</v>
      </c>
      <c r="D38" s="44"/>
      <c r="E38" s="44" t="s">
        <v>205</v>
      </c>
      <c r="F38" s="44"/>
      <c r="G38" s="44" t="s">
        <v>2460</v>
      </c>
      <c r="H38" s="19" t="s">
        <v>205</v>
      </c>
    </row>
    <row r="39" customFormat="false" ht="15" hidden="false" customHeight="false" outlineLevel="0" collapsed="false">
      <c r="A39" s="44" t="n">
        <v>1102008</v>
      </c>
      <c r="B39" s="44" t="s">
        <v>781</v>
      </c>
      <c r="C39" s="44" t="s">
        <v>2463</v>
      </c>
      <c r="D39" s="44"/>
      <c r="E39" s="44" t="s">
        <v>210</v>
      </c>
      <c r="F39" s="44" t="s">
        <v>266</v>
      </c>
      <c r="G39" s="44" t="s">
        <v>2461</v>
      </c>
      <c r="H39" s="19" t="s">
        <v>210</v>
      </c>
    </row>
    <row r="40" customFormat="false" ht="15" hidden="false" customHeight="false" outlineLevel="0" collapsed="false">
      <c r="A40" s="44" t="n">
        <v>1102009</v>
      </c>
      <c r="B40" s="44" t="s">
        <v>2224</v>
      </c>
      <c r="C40" s="44" t="s">
        <v>2463</v>
      </c>
      <c r="D40" s="44"/>
      <c r="E40" s="44" t="s">
        <v>205</v>
      </c>
      <c r="F40" s="44"/>
      <c r="G40" s="44" t="s">
        <v>2460</v>
      </c>
      <c r="H40" s="19" t="s">
        <v>205</v>
      </c>
    </row>
    <row r="41" customFormat="false" ht="15" hidden="false" customHeight="false" outlineLevel="0" collapsed="false">
      <c r="A41" s="44" t="n">
        <v>1103101</v>
      </c>
      <c r="B41" s="44" t="s">
        <v>589</v>
      </c>
      <c r="C41" s="44" t="s">
        <v>2463</v>
      </c>
      <c r="D41" s="44"/>
      <c r="E41" s="44" t="s">
        <v>206</v>
      </c>
      <c r="F41" s="44" t="s">
        <v>255</v>
      </c>
      <c r="G41" s="44" t="s">
        <v>2461</v>
      </c>
      <c r="H41" s="19" t="s">
        <v>206</v>
      </c>
    </row>
    <row r="42" customFormat="false" ht="15" hidden="false" customHeight="false" outlineLevel="0" collapsed="false">
      <c r="A42" s="44" t="n">
        <v>1103102</v>
      </c>
      <c r="B42" s="44" t="s">
        <v>2226</v>
      </c>
      <c r="C42" s="44" t="s">
        <v>2463</v>
      </c>
      <c r="D42" s="44"/>
      <c r="E42" s="44" t="s">
        <v>207</v>
      </c>
      <c r="F42" s="44" t="s">
        <v>255</v>
      </c>
      <c r="G42" s="44" t="s">
        <v>2461</v>
      </c>
      <c r="H42" s="19" t="s">
        <v>207</v>
      </c>
    </row>
    <row r="43" customFormat="false" ht="15" hidden="false" customHeight="false" outlineLevel="0" collapsed="false">
      <c r="A43" s="44" t="n">
        <v>1103103</v>
      </c>
      <c r="B43" s="44" t="s">
        <v>208</v>
      </c>
      <c r="C43" s="44" t="s">
        <v>2463</v>
      </c>
      <c r="D43" s="44"/>
      <c r="E43" s="44" t="s">
        <v>208</v>
      </c>
      <c r="F43" s="44" t="s">
        <v>260</v>
      </c>
      <c r="G43" s="44" t="s">
        <v>2461</v>
      </c>
      <c r="H43" s="19" t="s">
        <v>208</v>
      </c>
    </row>
    <row r="44" customFormat="false" ht="15" hidden="false" customHeight="false" outlineLevel="0" collapsed="false">
      <c r="A44" s="44" t="n">
        <v>1103104</v>
      </c>
      <c r="B44" s="44" t="s">
        <v>2227</v>
      </c>
      <c r="C44" s="44" t="s">
        <v>2463</v>
      </c>
      <c r="D44" s="44"/>
      <c r="E44" s="44" t="s">
        <v>209</v>
      </c>
      <c r="F44" s="44" t="s">
        <v>264</v>
      </c>
      <c r="G44" s="44" t="s">
        <v>2461</v>
      </c>
      <c r="H44" s="19" t="s">
        <v>209</v>
      </c>
    </row>
    <row r="45" customFormat="false" ht="15" hidden="false" customHeight="false" outlineLevel="0" collapsed="false">
      <c r="A45" s="44" t="n">
        <v>1103105</v>
      </c>
      <c r="B45" s="44" t="s">
        <v>2228</v>
      </c>
      <c r="C45" s="44" t="s">
        <v>2463</v>
      </c>
      <c r="D45" s="44"/>
      <c r="E45" s="44" t="s">
        <v>208</v>
      </c>
      <c r="F45" s="44" t="s">
        <v>260</v>
      </c>
      <c r="G45" s="44" t="s">
        <v>2461</v>
      </c>
      <c r="H45" s="19" t="s">
        <v>208</v>
      </c>
    </row>
    <row r="46" customFormat="false" ht="15" hidden="false" customHeight="false" outlineLevel="0" collapsed="false">
      <c r="A46" s="44" t="n">
        <v>1103106</v>
      </c>
      <c r="B46" s="44" t="s">
        <v>2229</v>
      </c>
      <c r="C46" s="44" t="s">
        <v>2463</v>
      </c>
      <c r="D46" s="44"/>
      <c r="E46" s="44" t="s">
        <v>208</v>
      </c>
      <c r="F46" s="44" t="s">
        <v>260</v>
      </c>
      <c r="G46" s="44" t="s">
        <v>2461</v>
      </c>
      <c r="H46" s="19" t="s">
        <v>208</v>
      </c>
    </row>
    <row r="47" customFormat="false" ht="15" hidden="false" customHeight="false" outlineLevel="0" collapsed="false">
      <c r="A47" s="44" t="n">
        <v>1103120</v>
      </c>
      <c r="B47" s="44" t="s">
        <v>640</v>
      </c>
      <c r="C47" s="44" t="s">
        <v>2463</v>
      </c>
      <c r="D47" s="44"/>
      <c r="E47" s="44" t="s">
        <v>210</v>
      </c>
      <c r="F47" s="44" t="s">
        <v>260</v>
      </c>
      <c r="G47" s="44" t="s">
        <v>2461</v>
      </c>
      <c r="H47" s="19" t="s">
        <v>210</v>
      </c>
    </row>
    <row r="48" customFormat="false" ht="15" hidden="false" customHeight="false" outlineLevel="0" collapsed="false">
      <c r="A48" s="44" t="n">
        <v>1103121</v>
      </c>
      <c r="B48" s="44" t="s">
        <v>685</v>
      </c>
      <c r="C48" s="44" t="s">
        <v>2463</v>
      </c>
      <c r="D48" s="44"/>
      <c r="E48" s="44" t="s">
        <v>210</v>
      </c>
      <c r="F48" s="44" t="s">
        <v>257</v>
      </c>
      <c r="G48" s="44" t="s">
        <v>2461</v>
      </c>
      <c r="H48" s="19" t="s">
        <v>210</v>
      </c>
    </row>
    <row r="49" customFormat="false" ht="15" hidden="false" customHeight="false" outlineLevel="0" collapsed="false">
      <c r="A49" s="44" t="n">
        <v>1103122</v>
      </c>
      <c r="B49" s="44" t="s">
        <v>2230</v>
      </c>
      <c r="C49" s="44" t="s">
        <v>2463</v>
      </c>
      <c r="D49" s="44"/>
      <c r="E49" s="44" t="s">
        <v>208</v>
      </c>
      <c r="F49" s="44" t="s">
        <v>260</v>
      </c>
      <c r="G49" s="44" t="s">
        <v>2461</v>
      </c>
      <c r="H49" s="19" t="s">
        <v>208</v>
      </c>
    </row>
    <row r="50" customFormat="false" ht="15" hidden="false" customHeight="false" outlineLevel="0" collapsed="false">
      <c r="A50" s="44" t="n">
        <v>1103123</v>
      </c>
      <c r="B50" s="44" t="s">
        <v>1288</v>
      </c>
      <c r="C50" s="44" t="s">
        <v>2463</v>
      </c>
      <c r="D50" s="44"/>
      <c r="E50" s="44" t="s">
        <v>206</v>
      </c>
      <c r="F50" s="44" t="s">
        <v>255</v>
      </c>
      <c r="G50" s="44" t="s">
        <v>2461</v>
      </c>
      <c r="H50" s="19" t="s">
        <v>206</v>
      </c>
    </row>
    <row r="51" customFormat="false" ht="15" hidden="false" customHeight="false" outlineLevel="0" collapsed="false">
      <c r="A51" s="44" t="n">
        <v>1104001</v>
      </c>
      <c r="B51" s="44" t="s">
        <v>2232</v>
      </c>
      <c r="C51" s="44" t="s">
        <v>2463</v>
      </c>
      <c r="D51" s="44"/>
      <c r="E51" s="44" t="s">
        <v>211</v>
      </c>
      <c r="F51" s="44" t="s">
        <v>257</v>
      </c>
      <c r="G51" s="44" t="s">
        <v>2461</v>
      </c>
      <c r="H51" s="19" t="s">
        <v>211</v>
      </c>
    </row>
    <row r="52" customFormat="false" ht="15" hidden="false" customHeight="false" outlineLevel="0" collapsed="false">
      <c r="A52" s="44" t="n">
        <v>1104002</v>
      </c>
      <c r="B52" s="44" t="s">
        <v>601</v>
      </c>
      <c r="C52" s="44" t="s">
        <v>2463</v>
      </c>
      <c r="D52" s="44"/>
      <c r="E52" s="44" t="s">
        <v>211</v>
      </c>
      <c r="F52" s="44" t="s">
        <v>257</v>
      </c>
      <c r="G52" s="44" t="s">
        <v>2461</v>
      </c>
      <c r="H52" s="19" t="s">
        <v>211</v>
      </c>
    </row>
    <row r="53" customFormat="false" ht="15" hidden="false" customHeight="false" outlineLevel="0" collapsed="false">
      <c r="A53" s="44" t="n">
        <v>1104003</v>
      </c>
      <c r="B53" s="44" t="s">
        <v>613</v>
      </c>
      <c r="C53" s="44" t="s">
        <v>2463</v>
      </c>
      <c r="D53" s="44"/>
      <c r="E53" s="44" t="s">
        <v>211</v>
      </c>
      <c r="F53" s="44" t="s">
        <v>257</v>
      </c>
      <c r="G53" s="44" t="s">
        <v>2461</v>
      </c>
      <c r="H53" s="19" t="s">
        <v>211</v>
      </c>
    </row>
    <row r="54" customFormat="false" ht="15" hidden="false" customHeight="false" outlineLevel="0" collapsed="false">
      <c r="A54" s="44" t="n">
        <v>1104004</v>
      </c>
      <c r="B54" s="44" t="s">
        <v>917</v>
      </c>
      <c r="C54" s="44" t="s">
        <v>2463</v>
      </c>
      <c r="D54" s="44"/>
      <c r="E54" s="44" t="s">
        <v>211</v>
      </c>
      <c r="F54" s="44" t="s">
        <v>257</v>
      </c>
      <c r="G54" s="44" t="s">
        <v>2461</v>
      </c>
      <c r="H54" s="19" t="s">
        <v>211</v>
      </c>
    </row>
    <row r="55" customFormat="false" ht="15" hidden="false" customHeight="false" outlineLevel="0" collapsed="false">
      <c r="A55" s="44" t="n">
        <v>1104005</v>
      </c>
      <c r="B55" s="44" t="s">
        <v>1506</v>
      </c>
      <c r="C55" s="44" t="s">
        <v>2463</v>
      </c>
      <c r="D55" s="44"/>
      <c r="E55" s="44" t="s">
        <v>211</v>
      </c>
      <c r="F55" s="44" t="s">
        <v>257</v>
      </c>
      <c r="G55" s="44" t="s">
        <v>2461</v>
      </c>
      <c r="H55" s="19" t="s">
        <v>211</v>
      </c>
    </row>
    <row r="56" customFormat="false" ht="15" hidden="false" customHeight="false" outlineLevel="0" collapsed="false">
      <c r="A56" s="44" t="n">
        <v>1104006</v>
      </c>
      <c r="B56" s="44" t="s">
        <v>2233</v>
      </c>
      <c r="C56" s="44" t="s">
        <v>2463</v>
      </c>
      <c r="D56" s="44"/>
      <c r="E56" s="44" t="s">
        <v>212</v>
      </c>
      <c r="F56" s="44" t="s">
        <v>257</v>
      </c>
      <c r="G56" s="44" t="s">
        <v>2461</v>
      </c>
      <c r="H56" s="19" t="s">
        <v>212</v>
      </c>
    </row>
    <row r="57" customFormat="false" ht="15" hidden="false" customHeight="false" outlineLevel="0" collapsed="false">
      <c r="A57" s="44" t="n">
        <v>1105001</v>
      </c>
      <c r="B57" s="44" t="s">
        <v>1899</v>
      </c>
      <c r="C57" s="44" t="s">
        <v>2463</v>
      </c>
      <c r="D57" s="44"/>
      <c r="E57" s="44" t="s">
        <v>214</v>
      </c>
      <c r="F57" s="44" t="s">
        <v>258</v>
      </c>
      <c r="G57" s="44" t="s">
        <v>2461</v>
      </c>
      <c r="H57" s="19" t="s">
        <v>214</v>
      </c>
    </row>
    <row r="58" customFormat="false" ht="15" hidden="false" customHeight="false" outlineLevel="0" collapsed="false">
      <c r="A58" s="44" t="n">
        <v>1105002</v>
      </c>
      <c r="B58" s="44" t="s">
        <v>2235</v>
      </c>
      <c r="C58" s="44" t="s">
        <v>2463</v>
      </c>
      <c r="D58" s="44"/>
      <c r="E58" s="44" t="s">
        <v>214</v>
      </c>
      <c r="F58" s="44" t="s">
        <v>258</v>
      </c>
      <c r="G58" s="44" t="s">
        <v>2461</v>
      </c>
      <c r="H58" s="19" t="s">
        <v>214</v>
      </c>
    </row>
    <row r="59" customFormat="false" ht="15" hidden="false" customHeight="false" outlineLevel="0" collapsed="false">
      <c r="A59" s="44" t="n">
        <v>1105003</v>
      </c>
      <c r="B59" s="44" t="s">
        <v>2236</v>
      </c>
      <c r="C59" s="44" t="s">
        <v>2463</v>
      </c>
      <c r="D59" s="44"/>
      <c r="E59" s="44" t="s">
        <v>214</v>
      </c>
      <c r="F59" s="44" t="s">
        <v>258</v>
      </c>
      <c r="G59" s="44" t="s">
        <v>2461</v>
      </c>
      <c r="H59" s="19" t="s">
        <v>214</v>
      </c>
    </row>
    <row r="60" customFormat="false" ht="15" hidden="false" customHeight="false" outlineLevel="0" collapsed="false">
      <c r="A60" s="44" t="n">
        <v>1105004</v>
      </c>
      <c r="B60" s="44" t="s">
        <v>2237</v>
      </c>
      <c r="C60" s="44" t="s">
        <v>2463</v>
      </c>
      <c r="D60" s="44"/>
      <c r="E60" s="44" t="s">
        <v>214</v>
      </c>
      <c r="F60" s="44" t="s">
        <v>258</v>
      </c>
      <c r="G60" s="44" t="s">
        <v>2461</v>
      </c>
      <c r="H60" s="19" t="s">
        <v>214</v>
      </c>
    </row>
    <row r="61" customFormat="false" ht="15" hidden="false" customHeight="false" outlineLevel="0" collapsed="false">
      <c r="A61" s="44" t="n">
        <v>1106001</v>
      </c>
      <c r="B61" s="44" t="s">
        <v>720</v>
      </c>
      <c r="C61" s="44" t="s">
        <v>2463</v>
      </c>
      <c r="D61" s="44"/>
      <c r="E61" s="44" t="s">
        <v>213</v>
      </c>
      <c r="F61" s="44" t="s">
        <v>261</v>
      </c>
      <c r="G61" s="44" t="s">
        <v>2461</v>
      </c>
      <c r="H61" s="19" t="s">
        <v>213</v>
      </c>
    </row>
    <row r="62" customFormat="false" ht="15" hidden="false" customHeight="false" outlineLevel="0" collapsed="false">
      <c r="A62" s="44" t="n">
        <v>1106002</v>
      </c>
      <c r="B62" s="44" t="s">
        <v>2238</v>
      </c>
      <c r="C62" s="44" t="s">
        <v>2463</v>
      </c>
      <c r="D62" s="44"/>
      <c r="E62" s="44" t="s">
        <v>213</v>
      </c>
      <c r="F62" s="44" t="s">
        <v>261</v>
      </c>
      <c r="G62" s="44" t="s">
        <v>2461</v>
      </c>
      <c r="H62" s="19" t="s">
        <v>213</v>
      </c>
    </row>
    <row r="63" customFormat="false" ht="15" hidden="false" customHeight="false" outlineLevel="0" collapsed="false">
      <c r="A63" s="44" t="n">
        <v>1106003</v>
      </c>
      <c r="B63" s="44" t="s">
        <v>2239</v>
      </c>
      <c r="C63" s="44" t="s">
        <v>2463</v>
      </c>
      <c r="D63" s="44"/>
      <c r="E63" s="44" t="s">
        <v>213</v>
      </c>
      <c r="F63" s="44" t="s">
        <v>261</v>
      </c>
      <c r="G63" s="44" t="s">
        <v>2461</v>
      </c>
      <c r="H63" s="19" t="s">
        <v>213</v>
      </c>
    </row>
    <row r="64" customFormat="false" ht="15" hidden="false" customHeight="false" outlineLevel="0" collapsed="false">
      <c r="A64" s="44" t="n">
        <v>1106004</v>
      </c>
      <c r="B64" s="44" t="s">
        <v>2240</v>
      </c>
      <c r="C64" s="44" t="s">
        <v>2463</v>
      </c>
      <c r="D64" s="44"/>
      <c r="E64" s="44" t="s">
        <v>213</v>
      </c>
      <c r="F64" s="44" t="s">
        <v>261</v>
      </c>
      <c r="G64" s="44" t="s">
        <v>2461</v>
      </c>
      <c r="H64" s="19" t="s">
        <v>213</v>
      </c>
    </row>
    <row r="65" customFormat="false" ht="15" hidden="false" customHeight="false" outlineLevel="0" collapsed="false">
      <c r="A65" s="44" t="n">
        <v>1106005</v>
      </c>
      <c r="B65" s="44" t="s">
        <v>2241</v>
      </c>
      <c r="C65" s="44" t="s">
        <v>2463</v>
      </c>
      <c r="D65" s="44"/>
      <c r="E65" s="44" t="s">
        <v>213</v>
      </c>
      <c r="F65" s="44" t="s">
        <v>261</v>
      </c>
      <c r="G65" s="44" t="s">
        <v>2461</v>
      </c>
      <c r="H65" s="19" t="s">
        <v>213</v>
      </c>
    </row>
    <row r="66" customFormat="false" ht="15" hidden="false" customHeight="false" outlineLevel="0" collapsed="false">
      <c r="A66" s="44" t="n">
        <v>1106006</v>
      </c>
      <c r="B66" s="44" t="s">
        <v>2242</v>
      </c>
      <c r="C66" s="44" t="s">
        <v>2463</v>
      </c>
      <c r="D66" s="44"/>
      <c r="E66" s="44" t="s">
        <v>213</v>
      </c>
      <c r="F66" s="44" t="s">
        <v>261</v>
      </c>
      <c r="G66" s="44" t="s">
        <v>2461</v>
      </c>
      <c r="H66" s="19" t="s">
        <v>213</v>
      </c>
    </row>
    <row r="67" customFormat="false" ht="15" hidden="false" customHeight="false" outlineLevel="0" collapsed="false">
      <c r="A67" s="44" t="n">
        <v>1107002</v>
      </c>
      <c r="B67" s="44" t="s">
        <v>2244</v>
      </c>
      <c r="C67" s="44" t="s">
        <v>2463</v>
      </c>
      <c r="D67" s="44"/>
      <c r="E67" s="44" t="s">
        <v>215</v>
      </c>
      <c r="F67" s="44" t="s">
        <v>263</v>
      </c>
      <c r="G67" s="44" t="s">
        <v>2461</v>
      </c>
      <c r="H67" s="19"/>
    </row>
    <row r="68" customFormat="false" ht="15" hidden="false" customHeight="false" outlineLevel="0" collapsed="false">
      <c r="A68" s="44" t="n">
        <v>1108001</v>
      </c>
      <c r="B68" s="44" t="s">
        <v>2246</v>
      </c>
      <c r="C68" s="44" t="s">
        <v>2463</v>
      </c>
      <c r="D68" s="44"/>
      <c r="E68" s="44" t="s">
        <v>216</v>
      </c>
      <c r="F68" s="44" t="s">
        <v>263</v>
      </c>
      <c r="G68" s="44" t="s">
        <v>2461</v>
      </c>
      <c r="H68" s="19" t="s">
        <v>2464</v>
      </c>
    </row>
    <row r="69" customFormat="false" ht="15" hidden="false" customHeight="false" outlineLevel="0" collapsed="false">
      <c r="A69" s="44" t="n">
        <v>1108002</v>
      </c>
      <c r="B69" s="44" t="s">
        <v>2247</v>
      </c>
      <c r="C69" s="44" t="s">
        <v>2463</v>
      </c>
      <c r="D69" s="44"/>
      <c r="E69" s="44" t="s">
        <v>216</v>
      </c>
      <c r="F69" s="44" t="s">
        <v>263</v>
      </c>
      <c r="G69" s="44" t="s">
        <v>2461</v>
      </c>
      <c r="H69" s="19" t="s">
        <v>2465</v>
      </c>
    </row>
    <row r="70" customFormat="false" ht="15" hidden="false" customHeight="false" outlineLevel="0" collapsed="false">
      <c r="A70" s="44" t="n">
        <v>1108003</v>
      </c>
      <c r="B70" s="44" t="s">
        <v>2248</v>
      </c>
      <c r="C70" s="44" t="s">
        <v>2463</v>
      </c>
      <c r="D70" s="44"/>
      <c r="E70" s="44" t="s">
        <v>216</v>
      </c>
      <c r="F70" s="44" t="s">
        <v>263</v>
      </c>
      <c r="G70" s="44" t="s">
        <v>2461</v>
      </c>
      <c r="H70" s="19" t="s">
        <v>2466</v>
      </c>
    </row>
    <row r="71" customFormat="false" ht="15" hidden="false" customHeight="false" outlineLevel="0" collapsed="false">
      <c r="A71" s="44" t="n">
        <v>1108004</v>
      </c>
      <c r="B71" s="44" t="s">
        <v>2249</v>
      </c>
      <c r="C71" s="44" t="s">
        <v>2463</v>
      </c>
      <c r="D71" s="44"/>
      <c r="E71" s="44" t="s">
        <v>216</v>
      </c>
      <c r="F71" s="44" t="s">
        <v>263</v>
      </c>
      <c r="G71" s="44" t="s">
        <v>2461</v>
      </c>
      <c r="H71" s="19" t="s">
        <v>2467</v>
      </c>
    </row>
    <row r="72" customFormat="false" ht="15" hidden="false" customHeight="false" outlineLevel="0" collapsed="false">
      <c r="A72" s="44" t="n">
        <v>1108005</v>
      </c>
      <c r="B72" s="44" t="s">
        <v>2250</v>
      </c>
      <c r="C72" s="44" t="s">
        <v>2463</v>
      </c>
      <c r="D72" s="44"/>
      <c r="E72" s="44" t="s">
        <v>216</v>
      </c>
      <c r="F72" s="44" t="s">
        <v>263</v>
      </c>
      <c r="G72" s="44" t="s">
        <v>2461</v>
      </c>
      <c r="H72" s="19" t="s">
        <v>2467</v>
      </c>
    </row>
    <row r="73" customFormat="false" ht="15" hidden="false" customHeight="false" outlineLevel="0" collapsed="false">
      <c r="A73" s="44" t="n">
        <v>1108006</v>
      </c>
      <c r="B73" s="44" t="s">
        <v>2251</v>
      </c>
      <c r="C73" s="44" t="s">
        <v>2463</v>
      </c>
      <c r="D73" s="44"/>
      <c r="E73" s="44" t="s">
        <v>216</v>
      </c>
      <c r="F73" s="44" t="s">
        <v>263</v>
      </c>
      <c r="G73" s="44" t="s">
        <v>2461</v>
      </c>
      <c r="H73" s="19" t="s">
        <v>2467</v>
      </c>
    </row>
    <row r="74" customFormat="false" ht="15" hidden="false" customHeight="false" outlineLevel="0" collapsed="false">
      <c r="A74" s="44" t="n">
        <v>1108007</v>
      </c>
      <c r="B74" s="44" t="s">
        <v>2252</v>
      </c>
      <c r="C74" s="44" t="s">
        <v>2463</v>
      </c>
      <c r="D74" s="44"/>
      <c r="E74" s="44" t="s">
        <v>216</v>
      </c>
      <c r="F74" s="44" t="s">
        <v>263</v>
      </c>
      <c r="G74" s="44" t="s">
        <v>2461</v>
      </c>
      <c r="H74" s="19" t="s">
        <v>2467</v>
      </c>
    </row>
    <row r="75" customFormat="false" ht="15" hidden="false" customHeight="false" outlineLevel="0" collapsed="false">
      <c r="A75" s="44" t="n">
        <v>1108008</v>
      </c>
      <c r="B75" s="44" t="s">
        <v>2253</v>
      </c>
      <c r="C75" s="44" t="s">
        <v>2463</v>
      </c>
      <c r="D75" s="44"/>
      <c r="E75" s="44" t="s">
        <v>216</v>
      </c>
      <c r="F75" s="44" t="s">
        <v>263</v>
      </c>
      <c r="G75" s="44" t="s">
        <v>2461</v>
      </c>
      <c r="H75" s="19" t="s">
        <v>2467</v>
      </c>
    </row>
    <row r="76" customFormat="false" ht="15" hidden="false" customHeight="false" outlineLevel="0" collapsed="false">
      <c r="A76" s="44" t="n">
        <v>1109001</v>
      </c>
      <c r="B76" s="44" t="s">
        <v>2255</v>
      </c>
      <c r="C76" s="44" t="s">
        <v>2463</v>
      </c>
      <c r="D76" s="44"/>
      <c r="E76" s="44" t="s">
        <v>217</v>
      </c>
      <c r="F76" s="44" t="s">
        <v>260</v>
      </c>
      <c r="G76" s="44" t="s">
        <v>2461</v>
      </c>
      <c r="H76" s="19" t="s">
        <v>2468</v>
      </c>
    </row>
    <row r="77" customFormat="false" ht="15" hidden="false" customHeight="false" outlineLevel="0" collapsed="false">
      <c r="A77" s="44" t="n">
        <v>1109002</v>
      </c>
      <c r="B77" s="44" t="s">
        <v>2256</v>
      </c>
      <c r="C77" s="44" t="s">
        <v>2463</v>
      </c>
      <c r="D77" s="44"/>
      <c r="E77" s="44" t="s">
        <v>217</v>
      </c>
      <c r="F77" s="44" t="s">
        <v>260</v>
      </c>
      <c r="G77" s="44" t="s">
        <v>2461</v>
      </c>
      <c r="H77" s="19" t="s">
        <v>2469</v>
      </c>
    </row>
    <row r="78" customFormat="false" ht="15" hidden="false" customHeight="false" outlineLevel="0" collapsed="false">
      <c r="A78" s="44" t="n">
        <v>1109003</v>
      </c>
      <c r="B78" s="44" t="s">
        <v>2257</v>
      </c>
      <c r="C78" s="44" t="s">
        <v>2463</v>
      </c>
      <c r="D78" s="44"/>
      <c r="E78" s="44" t="s">
        <v>217</v>
      </c>
      <c r="F78" s="44" t="s">
        <v>260</v>
      </c>
      <c r="G78" s="44" t="s">
        <v>2461</v>
      </c>
      <c r="H78" s="19" t="s">
        <v>2470</v>
      </c>
    </row>
    <row r="79" customFormat="false" ht="15" hidden="false" customHeight="false" outlineLevel="0" collapsed="false">
      <c r="A79" s="44" t="n">
        <v>1109004</v>
      </c>
      <c r="B79" s="44" t="s">
        <v>2258</v>
      </c>
      <c r="C79" s="44" t="s">
        <v>2463</v>
      </c>
      <c r="D79" s="44"/>
      <c r="E79" s="44" t="s">
        <v>217</v>
      </c>
      <c r="F79" s="44" t="s">
        <v>260</v>
      </c>
      <c r="G79" s="44" t="s">
        <v>2461</v>
      </c>
      <c r="H79" s="19" t="s">
        <v>2470</v>
      </c>
    </row>
    <row r="80" customFormat="false" ht="15" hidden="false" customHeight="false" outlineLevel="0" collapsed="false">
      <c r="A80" s="44" t="n">
        <v>1109005</v>
      </c>
      <c r="B80" s="44" t="s">
        <v>2259</v>
      </c>
      <c r="C80" s="44" t="s">
        <v>2463</v>
      </c>
      <c r="D80" s="44"/>
      <c r="E80" s="44" t="s">
        <v>217</v>
      </c>
      <c r="F80" s="44" t="s">
        <v>260</v>
      </c>
      <c r="G80" s="44" t="s">
        <v>2461</v>
      </c>
      <c r="H80" s="19" t="s">
        <v>2470</v>
      </c>
    </row>
    <row r="81" customFormat="false" ht="15" hidden="false" customHeight="false" outlineLevel="0" collapsed="false">
      <c r="A81" s="44" t="n">
        <v>1109006</v>
      </c>
      <c r="B81" s="44" t="s">
        <v>2260</v>
      </c>
      <c r="C81" s="44" t="s">
        <v>2463</v>
      </c>
      <c r="D81" s="44"/>
      <c r="E81" s="44" t="s">
        <v>217</v>
      </c>
      <c r="F81" s="44" t="s">
        <v>260</v>
      </c>
      <c r="G81" s="44" t="s">
        <v>2461</v>
      </c>
      <c r="H81" s="19" t="s">
        <v>2470</v>
      </c>
    </row>
    <row r="82" customFormat="false" ht="15" hidden="false" customHeight="false" outlineLevel="0" collapsed="false">
      <c r="A82" s="44" t="n">
        <v>1109007</v>
      </c>
      <c r="B82" s="44" t="s">
        <v>2261</v>
      </c>
      <c r="C82" s="44" t="s">
        <v>2463</v>
      </c>
      <c r="D82" s="44"/>
      <c r="E82" s="44" t="s">
        <v>217</v>
      </c>
      <c r="F82" s="44" t="s">
        <v>260</v>
      </c>
      <c r="G82" s="44" t="s">
        <v>2461</v>
      </c>
      <c r="H82" s="19" t="s">
        <v>2471</v>
      </c>
    </row>
    <row r="83" customFormat="false" ht="15" hidden="false" customHeight="false" outlineLevel="0" collapsed="false">
      <c r="A83" s="44" t="n">
        <v>2101001</v>
      </c>
      <c r="B83" s="44" t="s">
        <v>595</v>
      </c>
      <c r="C83" s="44" t="s">
        <v>2463</v>
      </c>
      <c r="D83" s="44"/>
      <c r="E83" s="44" t="s">
        <v>220</v>
      </c>
      <c r="F83" s="44" t="s">
        <v>257</v>
      </c>
      <c r="G83" s="44" t="s">
        <v>2461</v>
      </c>
      <c r="H83" s="19" t="s">
        <v>220</v>
      </c>
    </row>
    <row r="84" customFormat="false" ht="15" hidden="false" customHeight="false" outlineLevel="0" collapsed="false">
      <c r="A84" s="44" t="n">
        <v>2101002</v>
      </c>
      <c r="B84" s="44" t="s">
        <v>2263</v>
      </c>
      <c r="C84" s="44" t="s">
        <v>2463</v>
      </c>
      <c r="D84" s="44"/>
      <c r="E84" s="44" t="s">
        <v>221</v>
      </c>
      <c r="F84" s="44" t="s">
        <v>257</v>
      </c>
      <c r="G84" s="44" t="s">
        <v>2461</v>
      </c>
      <c r="H84" s="19" t="s">
        <v>221</v>
      </c>
    </row>
    <row r="85" customFormat="false" ht="15" hidden="false" customHeight="false" outlineLevel="0" collapsed="false">
      <c r="A85" s="44" t="n">
        <v>2101003</v>
      </c>
      <c r="B85" s="44" t="s">
        <v>679</v>
      </c>
      <c r="C85" s="44" t="s">
        <v>2463</v>
      </c>
      <c r="D85" s="44"/>
      <c r="E85" s="44" t="s">
        <v>222</v>
      </c>
      <c r="F85" s="44" t="s">
        <v>258</v>
      </c>
      <c r="G85" s="44" t="s">
        <v>2461</v>
      </c>
      <c r="H85" s="19" t="s">
        <v>222</v>
      </c>
    </row>
    <row r="86" customFormat="false" ht="15" hidden="false" customHeight="false" outlineLevel="0" collapsed="false">
      <c r="A86" s="44" t="n">
        <v>2101004</v>
      </c>
      <c r="B86" s="44" t="s">
        <v>879</v>
      </c>
      <c r="C86" s="44" t="s">
        <v>2463</v>
      </c>
      <c r="D86" s="44"/>
      <c r="E86" s="44" t="s">
        <v>223</v>
      </c>
      <c r="F86" s="44" t="s">
        <v>264</v>
      </c>
      <c r="G86" s="44" t="s">
        <v>2461</v>
      </c>
      <c r="H86" s="19" t="s">
        <v>223</v>
      </c>
    </row>
    <row r="87" customFormat="false" ht="15" hidden="false" customHeight="false" outlineLevel="0" collapsed="false">
      <c r="A87" s="44" t="n">
        <v>2101005</v>
      </c>
      <c r="B87" s="44" t="s">
        <v>2264</v>
      </c>
      <c r="C87" s="44" t="s">
        <v>2463</v>
      </c>
      <c r="D87" s="44"/>
      <c r="E87" s="44" t="s">
        <v>222</v>
      </c>
      <c r="F87" s="44" t="s">
        <v>258</v>
      </c>
      <c r="G87" s="44" t="s">
        <v>2461</v>
      </c>
      <c r="H87" s="19" t="s">
        <v>222</v>
      </c>
    </row>
    <row r="88" customFormat="false" ht="15" hidden="false" customHeight="false" outlineLevel="0" collapsed="false">
      <c r="A88" s="44" t="n">
        <v>2101006</v>
      </c>
      <c r="B88" s="44" t="s">
        <v>2265</v>
      </c>
      <c r="C88" s="44" t="s">
        <v>2463</v>
      </c>
      <c r="D88" s="44"/>
      <c r="E88" s="44" t="s">
        <v>222</v>
      </c>
      <c r="F88" s="44" t="s">
        <v>258</v>
      </c>
      <c r="G88" s="44" t="s">
        <v>2461</v>
      </c>
      <c r="H88" s="19" t="s">
        <v>222</v>
      </c>
    </row>
    <row r="89" customFormat="false" ht="15" hidden="false" customHeight="false" outlineLevel="0" collapsed="false">
      <c r="A89" s="44" t="n">
        <v>2101020</v>
      </c>
      <c r="B89" s="44" t="s">
        <v>653</v>
      </c>
      <c r="C89" s="44" t="s">
        <v>2463</v>
      </c>
      <c r="D89" s="44"/>
      <c r="E89" s="44" t="s">
        <v>225</v>
      </c>
      <c r="F89" s="44" t="s">
        <v>255</v>
      </c>
      <c r="G89" s="44" t="s">
        <v>2461</v>
      </c>
      <c r="H89" s="19" t="s">
        <v>225</v>
      </c>
    </row>
    <row r="90" customFormat="false" ht="15" hidden="false" customHeight="false" outlineLevel="0" collapsed="false">
      <c r="A90" s="44" t="n">
        <v>2102001</v>
      </c>
      <c r="B90" s="44" t="s">
        <v>2267</v>
      </c>
      <c r="C90" s="44" t="s">
        <v>2463</v>
      </c>
      <c r="D90" s="44"/>
      <c r="E90" s="44" t="s">
        <v>226</v>
      </c>
      <c r="F90" s="44" t="s">
        <v>261</v>
      </c>
      <c r="G90" s="44" t="s">
        <v>2461</v>
      </c>
      <c r="H90" s="19"/>
    </row>
    <row r="91" customFormat="false" ht="15" hidden="false" customHeight="false" outlineLevel="0" collapsed="false">
      <c r="A91" s="44" t="n">
        <v>2102002</v>
      </c>
      <c r="B91" s="44" t="s">
        <v>633</v>
      </c>
      <c r="C91" s="44" t="s">
        <v>2463</v>
      </c>
      <c r="D91" s="44"/>
      <c r="E91" s="44" t="s">
        <v>226</v>
      </c>
      <c r="F91" s="44" t="s">
        <v>261</v>
      </c>
      <c r="G91" s="44" t="s">
        <v>2461</v>
      </c>
      <c r="H91" s="19" t="s">
        <v>226</v>
      </c>
    </row>
    <row r="92" customFormat="false" ht="15" hidden="false" customHeight="false" outlineLevel="0" collapsed="false">
      <c r="A92" s="44" t="n">
        <v>2102003</v>
      </c>
      <c r="B92" s="44" t="s">
        <v>722</v>
      </c>
      <c r="C92" s="44" t="s">
        <v>2463</v>
      </c>
      <c r="D92" s="44"/>
      <c r="E92" s="44" t="s">
        <v>226</v>
      </c>
      <c r="F92" s="44" t="s">
        <v>261</v>
      </c>
      <c r="G92" s="44" t="s">
        <v>2461</v>
      </c>
      <c r="H92" s="19" t="s">
        <v>226</v>
      </c>
    </row>
    <row r="93" customFormat="false" ht="15" hidden="false" customHeight="false" outlineLevel="0" collapsed="false">
      <c r="A93" s="44" t="n">
        <v>2102004</v>
      </c>
      <c r="B93" s="44" t="s">
        <v>2268</v>
      </c>
      <c r="C93" s="44" t="s">
        <v>2463</v>
      </c>
      <c r="D93" s="44"/>
      <c r="E93" s="44" t="s">
        <v>226</v>
      </c>
      <c r="F93" s="44" t="s">
        <v>261</v>
      </c>
      <c r="G93" s="44" t="s">
        <v>2461</v>
      </c>
      <c r="H93" s="19" t="s">
        <v>226</v>
      </c>
    </row>
    <row r="94" customFormat="false" ht="15" hidden="false" customHeight="false" outlineLevel="0" collapsed="false">
      <c r="A94" s="44" t="n">
        <v>2102005</v>
      </c>
      <c r="B94" s="44" t="s">
        <v>1256</v>
      </c>
      <c r="C94" s="44" t="s">
        <v>2463</v>
      </c>
      <c r="D94" s="44"/>
      <c r="E94" s="44" t="s">
        <v>226</v>
      </c>
      <c r="F94" s="44" t="s">
        <v>261</v>
      </c>
      <c r="G94" s="44" t="s">
        <v>2461</v>
      </c>
      <c r="H94" s="19" t="s">
        <v>226</v>
      </c>
    </row>
    <row r="95" customFormat="false" ht="15" hidden="false" customHeight="false" outlineLevel="0" collapsed="false">
      <c r="A95" s="44" t="n">
        <v>2102006</v>
      </c>
      <c r="B95" s="44" t="s">
        <v>2269</v>
      </c>
      <c r="C95" s="44" t="s">
        <v>2463</v>
      </c>
      <c r="D95" s="44"/>
      <c r="E95" s="44" t="s">
        <v>226</v>
      </c>
      <c r="F95" s="44" t="s">
        <v>261</v>
      </c>
      <c r="G95" s="44" t="s">
        <v>2461</v>
      </c>
      <c r="H95" s="19" t="s">
        <v>226</v>
      </c>
    </row>
    <row r="96" customFormat="false" ht="15" hidden="false" customHeight="false" outlineLevel="0" collapsed="false">
      <c r="A96" s="44" t="n">
        <v>2102007</v>
      </c>
      <c r="B96" s="44" t="s">
        <v>955</v>
      </c>
      <c r="C96" s="44" t="s">
        <v>2463</v>
      </c>
      <c r="D96" s="44"/>
      <c r="E96" s="44" t="s">
        <v>226</v>
      </c>
      <c r="F96" s="44" t="s">
        <v>261</v>
      </c>
      <c r="G96" s="44" t="s">
        <v>2461</v>
      </c>
      <c r="H96" s="19" t="s">
        <v>226</v>
      </c>
    </row>
    <row r="97" customFormat="false" ht="15" hidden="false" customHeight="false" outlineLevel="0" collapsed="false">
      <c r="A97" s="44" t="n">
        <v>2103001</v>
      </c>
      <c r="B97" s="44" t="s">
        <v>2271</v>
      </c>
      <c r="C97" s="44" t="s">
        <v>2463</v>
      </c>
      <c r="D97" s="44"/>
      <c r="E97" s="44" t="s">
        <v>224</v>
      </c>
      <c r="F97" s="44" t="s">
        <v>259</v>
      </c>
      <c r="G97" s="44" t="s">
        <v>2461</v>
      </c>
      <c r="H97" s="19" t="s">
        <v>224</v>
      </c>
    </row>
    <row r="98" customFormat="false" ht="15" hidden="false" customHeight="false" outlineLevel="0" collapsed="false">
      <c r="A98" s="44" t="n">
        <v>2103002</v>
      </c>
      <c r="B98" s="44" t="s">
        <v>1747</v>
      </c>
      <c r="C98" s="44" t="s">
        <v>2463</v>
      </c>
      <c r="D98" s="44"/>
      <c r="E98" s="44" t="s">
        <v>224</v>
      </c>
      <c r="F98" s="44" t="s">
        <v>259</v>
      </c>
      <c r="G98" s="44" t="s">
        <v>2461</v>
      </c>
      <c r="H98" s="19" t="s">
        <v>224</v>
      </c>
    </row>
    <row r="99" customFormat="false" ht="15" hidden="false" customHeight="false" outlineLevel="0" collapsed="false">
      <c r="A99" s="44" t="n">
        <v>2103003</v>
      </c>
      <c r="B99" s="44" t="s">
        <v>2272</v>
      </c>
      <c r="C99" s="44" t="s">
        <v>2463</v>
      </c>
      <c r="D99" s="44"/>
      <c r="E99" s="44" t="s">
        <v>224</v>
      </c>
      <c r="F99" s="44" t="s">
        <v>260</v>
      </c>
      <c r="G99" s="44" t="s">
        <v>2461</v>
      </c>
      <c r="H99" s="19" t="s">
        <v>224</v>
      </c>
    </row>
    <row r="100" customFormat="false" ht="15" hidden="false" customHeight="false" outlineLevel="0" collapsed="false">
      <c r="A100" s="44" t="n">
        <v>2103004</v>
      </c>
      <c r="B100" s="44" t="s">
        <v>2273</v>
      </c>
      <c r="C100" s="44" t="s">
        <v>2463</v>
      </c>
      <c r="D100" s="44"/>
      <c r="E100" s="44" t="s">
        <v>224</v>
      </c>
      <c r="F100" s="44" t="s">
        <v>260</v>
      </c>
      <c r="G100" s="44" t="s">
        <v>2461</v>
      </c>
      <c r="H100" s="19" t="s">
        <v>224</v>
      </c>
    </row>
    <row r="101" customFormat="false" ht="15" hidden="false" customHeight="false" outlineLevel="0" collapsed="false">
      <c r="A101" s="44" t="n">
        <v>2103005</v>
      </c>
      <c r="B101" s="44" t="s">
        <v>2274</v>
      </c>
      <c r="C101" s="44" t="s">
        <v>2463</v>
      </c>
      <c r="D101" s="44"/>
      <c r="E101" s="44" t="s">
        <v>224</v>
      </c>
      <c r="F101" s="44" t="s">
        <v>260</v>
      </c>
      <c r="G101" s="44" t="s">
        <v>2461</v>
      </c>
      <c r="H101" s="19" t="s">
        <v>224</v>
      </c>
    </row>
    <row r="102" customFormat="false" ht="15" hidden="false" customHeight="false" outlineLevel="0" collapsed="false">
      <c r="A102" s="44" t="n">
        <v>2103006</v>
      </c>
      <c r="B102" s="44" t="s">
        <v>648</v>
      </c>
      <c r="C102" s="44" t="s">
        <v>2463</v>
      </c>
      <c r="D102" s="44"/>
      <c r="E102" s="44" t="s">
        <v>224</v>
      </c>
      <c r="F102" s="44" t="s">
        <v>260</v>
      </c>
      <c r="G102" s="44" t="s">
        <v>2461</v>
      </c>
      <c r="H102" s="19" t="s">
        <v>224</v>
      </c>
    </row>
    <row r="103" customFormat="false" ht="15" hidden="false" customHeight="false" outlineLevel="0" collapsed="false">
      <c r="A103" s="44" t="n">
        <v>2103007</v>
      </c>
      <c r="B103" s="44" t="s">
        <v>2275</v>
      </c>
      <c r="C103" s="44" t="s">
        <v>2463</v>
      </c>
      <c r="D103" s="44"/>
      <c r="E103" s="44" t="s">
        <v>224</v>
      </c>
      <c r="F103" s="44" t="s">
        <v>260</v>
      </c>
      <c r="G103" s="44" t="s">
        <v>2461</v>
      </c>
      <c r="H103" s="19" t="s">
        <v>224</v>
      </c>
    </row>
    <row r="104" customFormat="false" ht="15" hidden="false" customHeight="false" outlineLevel="0" collapsed="false">
      <c r="A104" s="44" t="n">
        <v>2103008</v>
      </c>
      <c r="B104" s="44" t="s">
        <v>2276</v>
      </c>
      <c r="C104" s="44" t="s">
        <v>2463</v>
      </c>
      <c r="D104" s="44"/>
      <c r="E104" s="44" t="s">
        <v>224</v>
      </c>
      <c r="F104" s="44" t="s">
        <v>260</v>
      </c>
      <c r="G104" s="44" t="s">
        <v>2461</v>
      </c>
      <c r="H104" s="19" t="s">
        <v>224</v>
      </c>
    </row>
    <row r="105" customFormat="false" ht="15" hidden="false" customHeight="false" outlineLevel="0" collapsed="false">
      <c r="A105" s="44" t="n">
        <v>2103009</v>
      </c>
      <c r="B105" s="44" t="s">
        <v>2277</v>
      </c>
      <c r="C105" s="44" t="s">
        <v>2463</v>
      </c>
      <c r="D105" s="44"/>
      <c r="E105" s="44" t="s">
        <v>224</v>
      </c>
      <c r="F105" s="44" t="s">
        <v>260</v>
      </c>
      <c r="G105" s="44" t="s">
        <v>2461</v>
      </c>
      <c r="H105" s="19" t="s">
        <v>224</v>
      </c>
    </row>
    <row r="106" customFormat="false" ht="15" hidden="false" customHeight="false" outlineLevel="0" collapsed="false">
      <c r="A106" s="44" t="n">
        <v>2103010</v>
      </c>
      <c r="B106" s="44" t="s">
        <v>2278</v>
      </c>
      <c r="C106" s="44" t="s">
        <v>2463</v>
      </c>
      <c r="D106" s="44"/>
      <c r="E106" s="44" t="s">
        <v>224</v>
      </c>
      <c r="F106" s="44" t="s">
        <v>260</v>
      </c>
      <c r="G106" s="44" t="s">
        <v>2461</v>
      </c>
      <c r="H106" s="19" t="s">
        <v>224</v>
      </c>
    </row>
    <row r="107" customFormat="false" ht="15" hidden="false" customHeight="false" outlineLevel="0" collapsed="false">
      <c r="A107" s="44" t="n">
        <v>2103011</v>
      </c>
      <c r="B107" s="44" t="s">
        <v>693</v>
      </c>
      <c r="C107" s="44" t="s">
        <v>2463</v>
      </c>
      <c r="D107" s="44"/>
      <c r="E107" s="44" t="s">
        <v>224</v>
      </c>
      <c r="F107" s="44" t="s">
        <v>257</v>
      </c>
      <c r="G107" s="44" t="s">
        <v>2461</v>
      </c>
      <c r="H107" s="19" t="s">
        <v>224</v>
      </c>
    </row>
    <row r="108" customFormat="false" ht="15" hidden="false" customHeight="false" outlineLevel="0" collapsed="false">
      <c r="A108" s="44" t="n">
        <v>2103012</v>
      </c>
      <c r="B108" s="44" t="s">
        <v>651</v>
      </c>
      <c r="C108" s="44" t="s">
        <v>2463</v>
      </c>
      <c r="D108" s="44"/>
      <c r="E108" s="44" t="s">
        <v>224</v>
      </c>
      <c r="F108" s="44" t="s">
        <v>260</v>
      </c>
      <c r="G108" s="44" t="s">
        <v>2461</v>
      </c>
      <c r="H108" s="19" t="s">
        <v>224</v>
      </c>
    </row>
    <row r="109" customFormat="false" ht="15" hidden="false" customHeight="false" outlineLevel="0" collapsed="false">
      <c r="A109" s="44" t="n">
        <v>3100001</v>
      </c>
      <c r="B109" s="44" t="s">
        <v>2280</v>
      </c>
      <c r="C109" s="44" t="s">
        <v>2463</v>
      </c>
      <c r="D109" s="44"/>
      <c r="E109" s="44" t="s">
        <v>230</v>
      </c>
      <c r="F109" s="44" t="s">
        <v>265</v>
      </c>
      <c r="G109" s="44" t="s">
        <v>2461</v>
      </c>
      <c r="H109" s="19" t="s">
        <v>230</v>
      </c>
    </row>
    <row r="110" customFormat="false" ht="15" hidden="false" customHeight="false" outlineLevel="0" collapsed="false">
      <c r="A110" s="44" t="n">
        <v>3100002</v>
      </c>
      <c r="B110" s="44" t="s">
        <v>2281</v>
      </c>
      <c r="C110" s="44" t="s">
        <v>2463</v>
      </c>
      <c r="D110" s="44"/>
      <c r="E110" s="44" t="s">
        <v>231</v>
      </c>
      <c r="F110" s="44" t="s">
        <v>265</v>
      </c>
      <c r="G110" s="44" t="s">
        <v>2461</v>
      </c>
      <c r="H110" s="19"/>
    </row>
    <row r="111" customFormat="false" ht="15" hidden="false" customHeight="false" outlineLevel="0" collapsed="false">
      <c r="A111" s="44" t="n">
        <v>3100003</v>
      </c>
      <c r="B111" s="44" t="s">
        <v>2282</v>
      </c>
      <c r="C111" s="44" t="s">
        <v>2463</v>
      </c>
      <c r="D111" s="44"/>
      <c r="E111" s="44" t="s">
        <v>231</v>
      </c>
      <c r="F111" s="44" t="s">
        <v>265</v>
      </c>
      <c r="G111" s="44" t="s">
        <v>2461</v>
      </c>
      <c r="H111" s="19" t="s">
        <v>2472</v>
      </c>
    </row>
    <row r="112" customFormat="false" ht="15" hidden="false" customHeight="false" outlineLevel="0" collapsed="false">
      <c r="A112" s="44" t="n">
        <v>3100004</v>
      </c>
      <c r="B112" s="44" t="s">
        <v>2283</v>
      </c>
      <c r="C112" s="44" t="s">
        <v>2463</v>
      </c>
      <c r="D112" s="44"/>
      <c r="E112" s="44" t="s">
        <v>231</v>
      </c>
      <c r="F112" s="44" t="s">
        <v>265</v>
      </c>
      <c r="G112" s="44" t="s">
        <v>2461</v>
      </c>
      <c r="H112" s="19" t="s">
        <v>2473</v>
      </c>
    </row>
    <row r="113" customFormat="false" ht="15" hidden="false" customHeight="false" outlineLevel="0" collapsed="false">
      <c r="A113" s="44" t="n">
        <v>4101001</v>
      </c>
      <c r="B113" s="44" t="s">
        <v>2285</v>
      </c>
      <c r="C113" s="44" t="s">
        <v>2462</v>
      </c>
      <c r="D113" s="44" t="s">
        <v>161</v>
      </c>
      <c r="E113" s="44"/>
      <c r="F113" s="44" t="s">
        <v>255</v>
      </c>
      <c r="G113" s="44" t="s">
        <v>2461</v>
      </c>
      <c r="H113" s="19" t="s">
        <v>161</v>
      </c>
    </row>
    <row r="114" customFormat="false" ht="15" hidden="false" customHeight="false" outlineLevel="0" collapsed="false">
      <c r="A114" s="44" t="n">
        <v>4101002</v>
      </c>
      <c r="B114" s="44" t="s">
        <v>2286</v>
      </c>
      <c r="C114" s="44" t="s">
        <v>2462</v>
      </c>
      <c r="D114" s="44" t="s">
        <v>161</v>
      </c>
      <c r="E114" s="44"/>
      <c r="F114" s="44" t="s">
        <v>255</v>
      </c>
      <c r="G114" s="44" t="s">
        <v>2461</v>
      </c>
      <c r="H114" s="19" t="s">
        <v>2474</v>
      </c>
    </row>
    <row r="115" customFormat="false" ht="15" hidden="false" customHeight="false" outlineLevel="0" collapsed="false">
      <c r="A115" s="44" t="n">
        <v>4101003</v>
      </c>
      <c r="B115" s="44" t="s">
        <v>2287</v>
      </c>
      <c r="C115" s="44" t="s">
        <v>2462</v>
      </c>
      <c r="D115" s="44" t="s">
        <v>161</v>
      </c>
      <c r="E115" s="44"/>
      <c r="F115" s="44" t="s">
        <v>255</v>
      </c>
      <c r="G115" s="44" t="s">
        <v>2461</v>
      </c>
      <c r="H115" s="19" t="s">
        <v>2475</v>
      </c>
    </row>
    <row r="116" customFormat="false" ht="15" hidden="false" customHeight="false" outlineLevel="0" collapsed="false">
      <c r="A116" s="44" t="n">
        <v>4101004</v>
      </c>
      <c r="B116" s="44" t="s">
        <v>755</v>
      </c>
      <c r="C116" s="44" t="s">
        <v>2462</v>
      </c>
      <c r="D116" s="44" t="s">
        <v>161</v>
      </c>
      <c r="E116" s="44"/>
      <c r="F116" s="44" t="s">
        <v>255</v>
      </c>
      <c r="G116" s="44" t="s">
        <v>2461</v>
      </c>
      <c r="H116" s="19" t="s">
        <v>161</v>
      </c>
    </row>
    <row r="117" customFormat="false" ht="15" hidden="false" customHeight="false" outlineLevel="0" collapsed="false">
      <c r="A117" s="44" t="n">
        <v>4101005</v>
      </c>
      <c r="B117" s="44" t="s">
        <v>2288</v>
      </c>
      <c r="C117" s="44" t="s">
        <v>2462</v>
      </c>
      <c r="D117" s="44" t="s">
        <v>161</v>
      </c>
      <c r="E117" s="44"/>
      <c r="F117" s="44" t="s">
        <v>255</v>
      </c>
      <c r="G117" s="44" t="s">
        <v>2461</v>
      </c>
      <c r="H117" s="19" t="s">
        <v>2476</v>
      </c>
    </row>
    <row r="118" customFormat="false" ht="15" hidden="false" customHeight="false" outlineLevel="0" collapsed="false">
      <c r="A118" s="44" t="n">
        <v>4101006</v>
      </c>
      <c r="B118" s="44" t="s">
        <v>626</v>
      </c>
      <c r="C118" s="44" t="s">
        <v>2462</v>
      </c>
      <c r="D118" s="44" t="s">
        <v>157</v>
      </c>
      <c r="E118" s="44"/>
      <c r="F118" s="44" t="s">
        <v>255</v>
      </c>
      <c r="G118" s="44" t="s">
        <v>2461</v>
      </c>
      <c r="H118" s="19" t="s">
        <v>157</v>
      </c>
    </row>
    <row r="119" customFormat="false" ht="15" hidden="false" customHeight="false" outlineLevel="0" collapsed="false">
      <c r="A119" s="44" t="n">
        <v>4101007</v>
      </c>
      <c r="B119" s="44" t="s">
        <v>985</v>
      </c>
      <c r="C119" s="44" t="s">
        <v>2462</v>
      </c>
      <c r="D119" s="44" t="s">
        <v>159</v>
      </c>
      <c r="E119" s="44"/>
      <c r="F119" s="44" t="s">
        <v>255</v>
      </c>
      <c r="G119" s="44" t="s">
        <v>2461</v>
      </c>
      <c r="H119" s="19" t="s">
        <v>159</v>
      </c>
    </row>
    <row r="120" customFormat="false" ht="15" hidden="false" customHeight="false" outlineLevel="0" collapsed="false">
      <c r="A120" s="44" t="n">
        <v>4101008</v>
      </c>
      <c r="B120" s="44" t="s">
        <v>2289</v>
      </c>
      <c r="C120" s="44" t="s">
        <v>2462</v>
      </c>
      <c r="D120" s="44" t="s">
        <v>157</v>
      </c>
      <c r="E120" s="44"/>
      <c r="F120" s="44" t="s">
        <v>255</v>
      </c>
      <c r="G120" s="44" t="s">
        <v>2461</v>
      </c>
      <c r="H120" s="19" t="s">
        <v>161</v>
      </c>
    </row>
    <row r="121" customFormat="false" ht="15" hidden="false" customHeight="false" outlineLevel="0" collapsed="false">
      <c r="A121" s="44" t="n">
        <v>4101009</v>
      </c>
      <c r="B121" s="44" t="s">
        <v>2290</v>
      </c>
      <c r="C121" s="44" t="s">
        <v>2462</v>
      </c>
      <c r="D121" s="44" t="s">
        <v>159</v>
      </c>
      <c r="E121" s="44"/>
      <c r="F121" s="44" t="s">
        <v>255</v>
      </c>
      <c r="G121" s="44" t="s">
        <v>2461</v>
      </c>
      <c r="H121" s="19" t="s">
        <v>2475</v>
      </c>
    </row>
    <row r="122" customFormat="false" ht="15" hidden="false" customHeight="false" outlineLevel="0" collapsed="false">
      <c r="A122" s="44" t="n">
        <v>4101010</v>
      </c>
      <c r="B122" s="44" t="s">
        <v>1284</v>
      </c>
      <c r="C122" s="44" t="s">
        <v>2462</v>
      </c>
      <c r="D122" s="44" t="s">
        <v>157</v>
      </c>
      <c r="E122" s="44"/>
      <c r="F122" s="44" t="s">
        <v>255</v>
      </c>
      <c r="G122" s="44" t="s">
        <v>2461</v>
      </c>
      <c r="H122" s="19" t="s">
        <v>157</v>
      </c>
    </row>
    <row r="123" customFormat="false" ht="15" hidden="false" customHeight="false" outlineLevel="0" collapsed="false">
      <c r="A123" s="44" t="n">
        <v>4101011</v>
      </c>
      <c r="B123" s="44" t="s">
        <v>2291</v>
      </c>
      <c r="C123" s="44" t="s">
        <v>2462</v>
      </c>
      <c r="D123" s="44" t="s">
        <v>157</v>
      </c>
      <c r="E123" s="44"/>
      <c r="F123" s="44" t="s">
        <v>255</v>
      </c>
      <c r="G123" s="44" t="s">
        <v>2461</v>
      </c>
      <c r="H123" s="19" t="s">
        <v>157</v>
      </c>
    </row>
    <row r="124" customFormat="false" ht="15" hidden="false" customHeight="false" outlineLevel="0" collapsed="false">
      <c r="A124" s="44" t="n">
        <v>4101012</v>
      </c>
      <c r="B124" s="44" t="s">
        <v>2292</v>
      </c>
      <c r="C124" s="44" t="s">
        <v>2462</v>
      </c>
      <c r="D124" s="44" t="s">
        <v>161</v>
      </c>
      <c r="E124" s="44"/>
      <c r="F124" s="44" t="s">
        <v>255</v>
      </c>
      <c r="G124" s="44" t="s">
        <v>2461</v>
      </c>
      <c r="H124" s="19" t="s">
        <v>161</v>
      </c>
    </row>
    <row r="125" customFormat="false" ht="15" hidden="false" customHeight="false" outlineLevel="0" collapsed="false">
      <c r="A125" s="44" t="n">
        <v>4101013</v>
      </c>
      <c r="B125" s="44" t="s">
        <v>1290</v>
      </c>
      <c r="C125" s="44" t="s">
        <v>2462</v>
      </c>
      <c r="D125" s="44" t="s">
        <v>157</v>
      </c>
      <c r="E125" s="44"/>
      <c r="F125" s="44" t="s">
        <v>255</v>
      </c>
      <c r="G125" s="44" t="s">
        <v>2461</v>
      </c>
      <c r="H125" s="19" t="s">
        <v>157</v>
      </c>
    </row>
    <row r="126" customFormat="false" ht="15" hidden="false" customHeight="false" outlineLevel="0" collapsed="false">
      <c r="A126" s="44" t="n">
        <v>5100001</v>
      </c>
      <c r="B126" s="44" t="s">
        <v>2294</v>
      </c>
      <c r="C126" s="44" t="s">
        <v>2462</v>
      </c>
      <c r="D126" s="44" t="s">
        <v>164</v>
      </c>
      <c r="E126" s="44"/>
      <c r="F126" s="44" t="s">
        <v>260</v>
      </c>
      <c r="G126" s="44" t="s">
        <v>2461</v>
      </c>
      <c r="H126" s="19"/>
    </row>
    <row r="127" customFormat="false" ht="15" hidden="false" customHeight="false" outlineLevel="0" collapsed="false">
      <c r="A127" s="44" t="n">
        <v>5100002</v>
      </c>
      <c r="B127" s="44" t="s">
        <v>1399</v>
      </c>
      <c r="C127" s="44" t="s">
        <v>2462</v>
      </c>
      <c r="D127" s="44" t="s">
        <v>168</v>
      </c>
      <c r="E127" s="44"/>
      <c r="F127" s="44" t="s">
        <v>258</v>
      </c>
      <c r="G127" s="44" t="s">
        <v>2461</v>
      </c>
      <c r="H127" s="19" t="s">
        <v>168</v>
      </c>
    </row>
    <row r="128" customFormat="false" ht="15" hidden="false" customHeight="false" outlineLevel="0" collapsed="false">
      <c r="A128" s="44" t="n">
        <v>5100003</v>
      </c>
      <c r="B128" s="44" t="s">
        <v>2295</v>
      </c>
      <c r="C128" s="44" t="s">
        <v>2462</v>
      </c>
      <c r="D128" s="44" t="s">
        <v>168</v>
      </c>
      <c r="E128" s="44"/>
      <c r="F128" s="44" t="s">
        <v>258</v>
      </c>
      <c r="G128" s="44" t="s">
        <v>2461</v>
      </c>
      <c r="H128" s="19" t="s">
        <v>2477</v>
      </c>
    </row>
    <row r="129" customFormat="false" ht="15" hidden="false" customHeight="false" outlineLevel="0" collapsed="false">
      <c r="A129" s="44" t="n">
        <v>5100004</v>
      </c>
      <c r="B129" s="44" t="s">
        <v>627</v>
      </c>
      <c r="C129" s="44" t="s">
        <v>2462</v>
      </c>
      <c r="D129" s="44" t="s">
        <v>164</v>
      </c>
      <c r="E129" s="44"/>
      <c r="F129" s="44" t="s">
        <v>257</v>
      </c>
      <c r="G129" s="44" t="s">
        <v>2461</v>
      </c>
      <c r="H129" s="19" t="s">
        <v>2478</v>
      </c>
    </row>
    <row r="130" customFormat="false" ht="15" hidden="false" customHeight="false" outlineLevel="0" collapsed="false">
      <c r="A130" s="44" t="n">
        <v>5100005</v>
      </c>
      <c r="B130" s="44" t="s">
        <v>986</v>
      </c>
      <c r="C130" s="44" t="s">
        <v>2462</v>
      </c>
      <c r="D130" s="44" t="s">
        <v>164</v>
      </c>
      <c r="E130" s="44"/>
      <c r="F130" s="44" t="s">
        <v>257</v>
      </c>
      <c r="G130" s="44" t="s">
        <v>2461</v>
      </c>
      <c r="H130" s="19" t="s">
        <v>2478</v>
      </c>
    </row>
    <row r="131" customFormat="false" ht="15" hidden="false" customHeight="false" outlineLevel="0" collapsed="false">
      <c r="A131" s="44" t="n">
        <v>5100006</v>
      </c>
      <c r="B131" s="44" t="s">
        <v>950</v>
      </c>
      <c r="C131" s="44" t="s">
        <v>2462</v>
      </c>
      <c r="D131" s="44" t="s">
        <v>164</v>
      </c>
      <c r="E131" s="44"/>
      <c r="F131" s="44" t="s">
        <v>258</v>
      </c>
      <c r="G131" s="44" t="s">
        <v>2461</v>
      </c>
      <c r="H131" s="19" t="s">
        <v>2478</v>
      </c>
    </row>
    <row r="132" customFormat="false" ht="15" hidden="false" customHeight="false" outlineLevel="0" collapsed="false">
      <c r="A132" s="44" t="n">
        <v>5100007</v>
      </c>
      <c r="B132" s="44" t="s">
        <v>708</v>
      </c>
      <c r="C132" s="44" t="s">
        <v>2462</v>
      </c>
      <c r="D132" s="44" t="s">
        <v>168</v>
      </c>
      <c r="E132" s="44"/>
      <c r="F132" s="44" t="s">
        <v>258</v>
      </c>
      <c r="G132" s="44" t="s">
        <v>2461</v>
      </c>
      <c r="H132" s="19" t="s">
        <v>168</v>
      </c>
    </row>
    <row r="133" customFormat="false" ht="15" hidden="false" customHeight="false" outlineLevel="0" collapsed="false">
      <c r="A133" s="44" t="n">
        <v>5100008</v>
      </c>
      <c r="B133" s="44" t="s">
        <v>713</v>
      </c>
      <c r="C133" s="44" t="s">
        <v>2462</v>
      </c>
      <c r="D133" s="44" t="s">
        <v>176</v>
      </c>
      <c r="E133" s="44"/>
      <c r="F133" s="44" t="s">
        <v>260</v>
      </c>
      <c r="G133" s="44" t="s">
        <v>2461</v>
      </c>
      <c r="H133" s="19" t="s">
        <v>176</v>
      </c>
    </row>
    <row r="134" customFormat="false" ht="15" hidden="false" customHeight="false" outlineLevel="0" collapsed="false">
      <c r="A134" s="44" t="n">
        <v>5100009</v>
      </c>
      <c r="B134" s="44" t="s">
        <v>1003</v>
      </c>
      <c r="C134" s="44" t="s">
        <v>2462</v>
      </c>
      <c r="D134" s="44" t="s">
        <v>170</v>
      </c>
      <c r="E134" s="44"/>
      <c r="F134" s="44" t="s">
        <v>258</v>
      </c>
      <c r="G134" s="44" t="s">
        <v>2461</v>
      </c>
      <c r="H134" s="19" t="s">
        <v>170</v>
      </c>
    </row>
    <row r="135" customFormat="false" ht="15" hidden="false" customHeight="false" outlineLevel="0" collapsed="false">
      <c r="A135" s="44" t="n">
        <v>5100010</v>
      </c>
      <c r="B135" s="44" t="s">
        <v>2296</v>
      </c>
      <c r="C135" s="44" t="s">
        <v>2462</v>
      </c>
      <c r="D135" s="44" t="s">
        <v>168</v>
      </c>
      <c r="E135" s="44"/>
      <c r="F135" s="44" t="s">
        <v>258</v>
      </c>
      <c r="G135" s="44" t="s">
        <v>2461</v>
      </c>
      <c r="H135" s="19" t="s">
        <v>2479</v>
      </c>
    </row>
    <row r="136" customFormat="false" ht="15" hidden="false" customHeight="false" outlineLevel="0" collapsed="false">
      <c r="A136" s="44" t="n">
        <v>5100011</v>
      </c>
      <c r="B136" s="44" t="s">
        <v>166</v>
      </c>
      <c r="C136" s="44" t="s">
        <v>2462</v>
      </c>
      <c r="D136" s="44" t="s">
        <v>166</v>
      </c>
      <c r="E136" s="44"/>
      <c r="F136" s="44" t="s">
        <v>257</v>
      </c>
      <c r="G136" s="44" t="s">
        <v>2461</v>
      </c>
      <c r="H136" s="19" t="s">
        <v>166</v>
      </c>
    </row>
    <row r="137" customFormat="false" ht="15" hidden="false" customHeight="false" outlineLevel="0" collapsed="false">
      <c r="A137" s="44" t="n">
        <v>5100012</v>
      </c>
      <c r="B137" s="44" t="s">
        <v>1446</v>
      </c>
      <c r="C137" s="44" t="s">
        <v>2462</v>
      </c>
      <c r="D137" s="44" t="s">
        <v>178</v>
      </c>
      <c r="E137" s="44"/>
      <c r="F137" s="44" t="s">
        <v>258</v>
      </c>
      <c r="G137" s="44" t="s">
        <v>2461</v>
      </c>
      <c r="H137" s="19" t="s">
        <v>178</v>
      </c>
    </row>
    <row r="138" customFormat="false" ht="15" hidden="false" customHeight="false" outlineLevel="0" collapsed="false">
      <c r="A138" s="44" t="n">
        <v>5100013</v>
      </c>
      <c r="B138" s="44" t="s">
        <v>631</v>
      </c>
      <c r="C138" s="44" t="s">
        <v>2462</v>
      </c>
      <c r="D138" s="44" t="s">
        <v>178</v>
      </c>
      <c r="E138" s="44"/>
      <c r="F138" s="44" t="s">
        <v>258</v>
      </c>
      <c r="G138" s="44" t="s">
        <v>2461</v>
      </c>
      <c r="H138" s="19" t="s">
        <v>178</v>
      </c>
    </row>
    <row r="139" customFormat="false" ht="15" hidden="false" customHeight="false" outlineLevel="0" collapsed="false">
      <c r="A139" s="44" t="n">
        <v>5100014</v>
      </c>
      <c r="B139" s="44" t="s">
        <v>1437</v>
      </c>
      <c r="C139" s="44" t="s">
        <v>2462</v>
      </c>
      <c r="D139" s="44" t="s">
        <v>178</v>
      </c>
      <c r="E139" s="44"/>
      <c r="F139" s="44" t="s">
        <v>258</v>
      </c>
      <c r="G139" s="44" t="s">
        <v>2461</v>
      </c>
      <c r="H139" s="19" t="s">
        <v>178</v>
      </c>
    </row>
    <row r="140" customFormat="false" ht="15" hidden="false" customHeight="false" outlineLevel="0" collapsed="false">
      <c r="A140" s="44" t="n">
        <v>6100001</v>
      </c>
      <c r="B140" s="44" t="s">
        <v>2299</v>
      </c>
      <c r="C140" s="44" t="s">
        <v>2462</v>
      </c>
      <c r="D140" s="44" t="s">
        <v>177</v>
      </c>
      <c r="E140" s="44"/>
      <c r="F140" s="44" t="s">
        <v>259</v>
      </c>
      <c r="G140" s="44" t="s">
        <v>2461</v>
      </c>
      <c r="H140" s="19" t="s">
        <v>2480</v>
      </c>
    </row>
    <row r="141" customFormat="false" ht="15" hidden="false" customHeight="false" outlineLevel="0" collapsed="false">
      <c r="A141" s="44" t="n">
        <v>6100002</v>
      </c>
      <c r="B141" s="44" t="s">
        <v>2300</v>
      </c>
      <c r="C141" s="44" t="s">
        <v>2462</v>
      </c>
      <c r="D141" s="44" t="s">
        <v>177</v>
      </c>
      <c r="E141" s="44"/>
      <c r="F141" s="44" t="s">
        <v>259</v>
      </c>
      <c r="G141" s="44" t="s">
        <v>2461</v>
      </c>
      <c r="H141" s="19" t="s">
        <v>2480</v>
      </c>
    </row>
    <row r="142" customFormat="false" ht="15" hidden="false" customHeight="false" outlineLevel="0" collapsed="false">
      <c r="A142" s="44" t="n">
        <v>6100003</v>
      </c>
      <c r="B142" s="44" t="s">
        <v>2301</v>
      </c>
      <c r="C142" s="44" t="s">
        <v>2462</v>
      </c>
      <c r="D142" s="44" t="s">
        <v>185</v>
      </c>
      <c r="E142" s="44"/>
      <c r="F142" s="44" t="s">
        <v>260</v>
      </c>
      <c r="G142" s="44" t="s">
        <v>2461</v>
      </c>
      <c r="H142" s="19" t="s">
        <v>2480</v>
      </c>
    </row>
    <row r="143" customFormat="false" ht="15" hidden="false" customHeight="false" outlineLevel="0" collapsed="false">
      <c r="A143" s="44" t="n">
        <v>6100004</v>
      </c>
      <c r="B143" s="44" t="s">
        <v>2302</v>
      </c>
      <c r="C143" s="44" t="s">
        <v>2462</v>
      </c>
      <c r="D143" s="44" t="s">
        <v>175</v>
      </c>
      <c r="E143" s="44"/>
      <c r="F143" s="44" t="s">
        <v>260</v>
      </c>
      <c r="G143" s="44" t="s">
        <v>2461</v>
      </c>
      <c r="H143" s="19" t="s">
        <v>175</v>
      </c>
    </row>
    <row r="144" customFormat="false" ht="15" hidden="false" customHeight="false" outlineLevel="0" collapsed="false">
      <c r="A144" s="44" t="n">
        <v>6100005</v>
      </c>
      <c r="B144" s="44" t="s">
        <v>635</v>
      </c>
      <c r="C144" s="44" t="s">
        <v>2462</v>
      </c>
      <c r="D144" s="44" t="s">
        <v>175</v>
      </c>
      <c r="E144" s="44"/>
      <c r="F144" s="44" t="s">
        <v>260</v>
      </c>
      <c r="G144" s="44" t="s">
        <v>2461</v>
      </c>
      <c r="H144" s="19" t="s">
        <v>2481</v>
      </c>
    </row>
    <row r="145" customFormat="false" ht="15" hidden="false" customHeight="false" outlineLevel="0" collapsed="false">
      <c r="A145" s="44" t="n">
        <v>6100006</v>
      </c>
      <c r="B145" s="44" t="s">
        <v>717</v>
      </c>
      <c r="C145" s="44" t="s">
        <v>2462</v>
      </c>
      <c r="D145" s="44" t="s">
        <v>174</v>
      </c>
      <c r="E145" s="44"/>
      <c r="F145" s="44" t="s">
        <v>258</v>
      </c>
      <c r="G145" s="44" t="s">
        <v>2461</v>
      </c>
      <c r="H145" s="19" t="s">
        <v>2481</v>
      </c>
    </row>
    <row r="146" customFormat="false" ht="15" hidden="false" customHeight="false" outlineLevel="0" collapsed="false">
      <c r="A146" s="44" t="n">
        <v>6100007</v>
      </c>
      <c r="B146" s="44" t="s">
        <v>2303</v>
      </c>
      <c r="C146" s="44" t="s">
        <v>2462</v>
      </c>
      <c r="D146" s="44" t="s">
        <v>179</v>
      </c>
      <c r="E146" s="44"/>
      <c r="F146" s="44" t="s">
        <v>260</v>
      </c>
      <c r="G146" s="44" t="s">
        <v>2461</v>
      </c>
      <c r="H146" s="19" t="s">
        <v>179</v>
      </c>
    </row>
    <row r="147" customFormat="false" ht="15" hidden="false" customHeight="false" outlineLevel="0" collapsed="false">
      <c r="A147" s="44" t="n">
        <v>6100008</v>
      </c>
      <c r="B147" s="44" t="s">
        <v>1372</v>
      </c>
      <c r="C147" s="44" t="s">
        <v>2462</v>
      </c>
      <c r="D147" s="44" t="s">
        <v>179</v>
      </c>
      <c r="E147" s="44"/>
      <c r="F147" s="44" t="s">
        <v>260</v>
      </c>
      <c r="G147" s="44" t="s">
        <v>2461</v>
      </c>
      <c r="H147" s="19" t="s">
        <v>179</v>
      </c>
    </row>
    <row r="148" customFormat="false" ht="15" hidden="false" customHeight="false" outlineLevel="0" collapsed="false">
      <c r="A148" s="44" t="n">
        <v>6100009</v>
      </c>
      <c r="B148" s="44" t="s">
        <v>2304</v>
      </c>
      <c r="C148" s="44" t="s">
        <v>2462</v>
      </c>
      <c r="D148" s="44" t="s">
        <v>179</v>
      </c>
      <c r="E148" s="44"/>
      <c r="F148" s="44" t="s">
        <v>260</v>
      </c>
      <c r="G148" s="44" t="s">
        <v>2461</v>
      </c>
      <c r="H148" s="19" t="s">
        <v>179</v>
      </c>
    </row>
    <row r="149" customFormat="false" ht="15" hidden="false" customHeight="false" outlineLevel="0" collapsed="false">
      <c r="A149" s="44" t="n">
        <v>6100010</v>
      </c>
      <c r="B149" s="44" t="s">
        <v>2305</v>
      </c>
      <c r="C149" s="44" t="s">
        <v>2462</v>
      </c>
      <c r="D149" s="44" t="s">
        <v>177</v>
      </c>
      <c r="E149" s="44"/>
      <c r="F149" s="44" t="s">
        <v>260</v>
      </c>
      <c r="G149" s="44" t="s">
        <v>2461</v>
      </c>
      <c r="H149" s="19" t="s">
        <v>177</v>
      </c>
    </row>
    <row r="150" customFormat="false" ht="15" hidden="false" customHeight="false" outlineLevel="0" collapsed="false">
      <c r="A150" s="44" t="n">
        <v>6200001</v>
      </c>
      <c r="B150" s="44" t="s">
        <v>2307</v>
      </c>
      <c r="C150" s="44" t="s">
        <v>2462</v>
      </c>
      <c r="D150" s="44" t="s">
        <v>177</v>
      </c>
      <c r="E150" s="44"/>
      <c r="F150" s="44" t="s">
        <v>259</v>
      </c>
      <c r="G150" s="44" t="s">
        <v>2461</v>
      </c>
      <c r="H150" s="19" t="s">
        <v>177</v>
      </c>
    </row>
    <row r="151" customFormat="false" ht="15" hidden="false" customHeight="false" outlineLevel="0" collapsed="false">
      <c r="A151" s="44" t="n">
        <v>6200002</v>
      </c>
      <c r="B151" s="44" t="s">
        <v>2308</v>
      </c>
      <c r="C151" s="44" t="s">
        <v>2462</v>
      </c>
      <c r="D151" s="44" t="s">
        <v>177</v>
      </c>
      <c r="E151" s="44"/>
      <c r="F151" s="44" t="s">
        <v>259</v>
      </c>
      <c r="G151" s="44" t="s">
        <v>2461</v>
      </c>
      <c r="H151" s="19" t="s">
        <v>177</v>
      </c>
    </row>
    <row r="152" customFormat="false" ht="15" hidden="false" customHeight="false" outlineLevel="0" collapsed="false">
      <c r="A152" s="44" t="n">
        <v>6200003</v>
      </c>
      <c r="B152" s="44" t="s">
        <v>2309</v>
      </c>
      <c r="C152" s="44" t="s">
        <v>2462</v>
      </c>
      <c r="D152" s="44" t="s">
        <v>179</v>
      </c>
      <c r="E152" s="44"/>
      <c r="F152" s="44" t="s">
        <v>260</v>
      </c>
      <c r="G152" s="44" t="s">
        <v>2461</v>
      </c>
      <c r="H152" s="19" t="s">
        <v>179</v>
      </c>
    </row>
    <row r="153" customFormat="false" ht="15" hidden="false" customHeight="false" outlineLevel="0" collapsed="false">
      <c r="A153" s="44" t="n">
        <v>6200004</v>
      </c>
      <c r="B153" s="44" t="s">
        <v>1496</v>
      </c>
      <c r="C153" s="44" t="s">
        <v>2462</v>
      </c>
      <c r="D153" s="44" t="s">
        <v>179</v>
      </c>
      <c r="E153" s="44"/>
      <c r="F153" s="44" t="s">
        <v>260</v>
      </c>
      <c r="G153" s="44" t="s">
        <v>2461</v>
      </c>
      <c r="H153" s="19" t="s">
        <v>179</v>
      </c>
    </row>
    <row r="154" customFormat="false" ht="15" hidden="false" customHeight="false" outlineLevel="0" collapsed="false">
      <c r="A154" s="44" t="n">
        <v>6200005</v>
      </c>
      <c r="B154" s="44" t="s">
        <v>732</v>
      </c>
      <c r="C154" s="44" t="s">
        <v>2462</v>
      </c>
      <c r="D154" s="44" t="s">
        <v>179</v>
      </c>
      <c r="E154" s="44"/>
      <c r="F154" s="44" t="s">
        <v>260</v>
      </c>
      <c r="G154" s="44" t="s">
        <v>2461</v>
      </c>
      <c r="H154" s="19" t="s">
        <v>179</v>
      </c>
    </row>
    <row r="155" customFormat="false" ht="15" hidden="false" customHeight="false" outlineLevel="0" collapsed="false">
      <c r="A155" s="44" t="n">
        <v>6200006</v>
      </c>
      <c r="B155" s="44" t="s">
        <v>2310</v>
      </c>
      <c r="C155" s="44" t="s">
        <v>2462</v>
      </c>
      <c r="D155" s="44" t="s">
        <v>177</v>
      </c>
      <c r="E155" s="44"/>
      <c r="F155" s="44" t="s">
        <v>260</v>
      </c>
      <c r="G155" s="44" t="s">
        <v>2461</v>
      </c>
      <c r="H155" s="19" t="s">
        <v>2482</v>
      </c>
    </row>
    <row r="156" customFormat="false" ht="15" hidden="false" customHeight="false" outlineLevel="0" collapsed="false">
      <c r="A156" s="44" t="n">
        <v>6200007</v>
      </c>
      <c r="B156" s="44" t="s">
        <v>2311</v>
      </c>
      <c r="C156" s="44" t="s">
        <v>2462</v>
      </c>
      <c r="D156" s="44" t="s">
        <v>185</v>
      </c>
      <c r="E156" s="44"/>
      <c r="F156" s="44" t="s">
        <v>260</v>
      </c>
      <c r="G156" s="44" t="s">
        <v>2461</v>
      </c>
      <c r="H156" s="19" t="s">
        <v>2483</v>
      </c>
    </row>
    <row r="157" customFormat="false" ht="15" hidden="false" customHeight="false" outlineLevel="0" collapsed="false">
      <c r="A157" s="44" t="n">
        <v>6200008</v>
      </c>
      <c r="B157" s="44" t="s">
        <v>2312</v>
      </c>
      <c r="C157" s="44" t="s">
        <v>2462</v>
      </c>
      <c r="D157" s="44" t="s">
        <v>182</v>
      </c>
      <c r="E157" s="44"/>
      <c r="F157" s="44" t="s">
        <v>260</v>
      </c>
      <c r="G157" s="44" t="s">
        <v>2461</v>
      </c>
      <c r="H157" s="19" t="s">
        <v>2482</v>
      </c>
    </row>
    <row r="158" customFormat="false" ht="15" hidden="false" customHeight="false" outlineLevel="0" collapsed="false">
      <c r="A158" s="44" t="n">
        <v>6200009</v>
      </c>
      <c r="B158" s="44" t="s">
        <v>2313</v>
      </c>
      <c r="C158" s="44" t="s">
        <v>2462</v>
      </c>
      <c r="D158" s="44" t="s">
        <v>182</v>
      </c>
      <c r="E158" s="44"/>
      <c r="F158" s="44" t="s">
        <v>260</v>
      </c>
      <c r="G158" s="44" t="s">
        <v>2461</v>
      </c>
      <c r="H158" s="19" t="s">
        <v>2484</v>
      </c>
    </row>
    <row r="159" customFormat="false" ht="15" hidden="false" customHeight="false" outlineLevel="0" collapsed="false">
      <c r="A159" s="44" t="n">
        <v>6200010</v>
      </c>
      <c r="B159" s="44" t="s">
        <v>2314</v>
      </c>
      <c r="C159" s="44" t="s">
        <v>2462</v>
      </c>
      <c r="D159" s="44" t="s">
        <v>182</v>
      </c>
      <c r="E159" s="44"/>
      <c r="F159" s="44" t="s">
        <v>260</v>
      </c>
      <c r="G159" s="44" t="s">
        <v>2461</v>
      </c>
      <c r="H159" s="19" t="s">
        <v>2484</v>
      </c>
    </row>
    <row r="160" customFormat="false" ht="15" hidden="false" customHeight="false" outlineLevel="0" collapsed="false">
      <c r="A160" s="44" t="n">
        <v>6200011</v>
      </c>
      <c r="B160" s="44" t="s">
        <v>935</v>
      </c>
      <c r="C160" s="44" t="s">
        <v>2462</v>
      </c>
      <c r="D160" s="44" t="s">
        <v>182</v>
      </c>
      <c r="E160" s="44"/>
      <c r="F160" s="44" t="s">
        <v>260</v>
      </c>
      <c r="G160" s="44" t="s">
        <v>2461</v>
      </c>
      <c r="H160" s="19" t="s">
        <v>2484</v>
      </c>
    </row>
    <row r="161" customFormat="false" ht="15" hidden="false" customHeight="false" outlineLevel="0" collapsed="false">
      <c r="A161" s="44" t="n">
        <v>6200012</v>
      </c>
      <c r="B161" s="44" t="s">
        <v>737</v>
      </c>
      <c r="C161" s="44" t="s">
        <v>2462</v>
      </c>
      <c r="D161" s="44" t="s">
        <v>182</v>
      </c>
      <c r="E161" s="44"/>
      <c r="F161" s="44" t="s">
        <v>260</v>
      </c>
      <c r="G161" s="44" t="s">
        <v>2461</v>
      </c>
      <c r="H161" s="19" t="s">
        <v>181</v>
      </c>
    </row>
    <row r="162" customFormat="false" ht="15" hidden="false" customHeight="false" outlineLevel="0" collapsed="false">
      <c r="A162" s="44" t="n">
        <v>6200013</v>
      </c>
      <c r="B162" s="44" t="s">
        <v>1299</v>
      </c>
      <c r="C162" s="44" t="s">
        <v>2462</v>
      </c>
      <c r="D162" s="44" t="s">
        <v>182</v>
      </c>
      <c r="E162" s="44"/>
      <c r="F162" s="44" t="s">
        <v>260</v>
      </c>
      <c r="G162" s="44" t="s">
        <v>2461</v>
      </c>
      <c r="H162" s="19" t="s">
        <v>180</v>
      </c>
    </row>
    <row r="163" customFormat="false" ht="15" hidden="false" customHeight="false" outlineLevel="0" collapsed="false">
      <c r="A163" s="44" t="n">
        <v>6200014</v>
      </c>
      <c r="B163" s="44" t="s">
        <v>1575</v>
      </c>
      <c r="C163" s="44" t="s">
        <v>2462</v>
      </c>
      <c r="D163" s="44" t="s">
        <v>181</v>
      </c>
      <c r="E163" s="44"/>
      <c r="F163" s="44" t="s">
        <v>260</v>
      </c>
      <c r="G163" s="44" t="s">
        <v>2461</v>
      </c>
      <c r="H163" s="19" t="s">
        <v>180</v>
      </c>
    </row>
    <row r="164" customFormat="false" ht="15" hidden="false" customHeight="false" outlineLevel="0" collapsed="false">
      <c r="A164" s="44" t="n">
        <v>6200015</v>
      </c>
      <c r="B164" s="44" t="s">
        <v>2315</v>
      </c>
      <c r="C164" s="44" t="s">
        <v>2462</v>
      </c>
      <c r="D164" s="44" t="s">
        <v>180</v>
      </c>
      <c r="E164" s="44"/>
      <c r="F164" s="44" t="s">
        <v>258</v>
      </c>
      <c r="G164" s="44" t="s">
        <v>2461</v>
      </c>
      <c r="H164" s="19" t="s">
        <v>180</v>
      </c>
    </row>
    <row r="165" customFormat="false" ht="15" hidden="false" customHeight="false" outlineLevel="0" collapsed="false">
      <c r="A165" s="44" t="n">
        <v>6200016</v>
      </c>
      <c r="B165" s="44" t="s">
        <v>2316</v>
      </c>
      <c r="C165" s="44" t="s">
        <v>2462</v>
      </c>
      <c r="D165" s="44" t="s">
        <v>180</v>
      </c>
      <c r="E165" s="44"/>
      <c r="F165" s="44" t="s">
        <v>258</v>
      </c>
      <c r="G165" s="44" t="s">
        <v>2461</v>
      </c>
      <c r="H165" s="19" t="s">
        <v>2484</v>
      </c>
    </row>
    <row r="166" customFormat="false" ht="15" hidden="false" customHeight="false" outlineLevel="0" collapsed="false">
      <c r="A166" s="44" t="n">
        <v>6200017</v>
      </c>
      <c r="B166" s="44" t="s">
        <v>2317</v>
      </c>
      <c r="C166" s="44" t="s">
        <v>2462</v>
      </c>
      <c r="D166" s="44" t="s">
        <v>180</v>
      </c>
      <c r="E166" s="44"/>
      <c r="F166" s="44" t="s">
        <v>258</v>
      </c>
      <c r="G166" s="44" t="s">
        <v>2461</v>
      </c>
      <c r="H166" s="19" t="s">
        <v>2484</v>
      </c>
    </row>
    <row r="167" customFormat="false" ht="15" hidden="false" customHeight="false" outlineLevel="0" collapsed="false">
      <c r="A167" s="44" t="n">
        <v>6200018</v>
      </c>
      <c r="B167" s="44" t="s">
        <v>2318</v>
      </c>
      <c r="C167" s="44" t="s">
        <v>2462</v>
      </c>
      <c r="D167" s="44" t="s">
        <v>182</v>
      </c>
      <c r="E167" s="44"/>
      <c r="F167" s="44" t="s">
        <v>260</v>
      </c>
      <c r="G167" s="44" t="s">
        <v>2461</v>
      </c>
      <c r="H167" s="19" t="s">
        <v>2484</v>
      </c>
    </row>
    <row r="168" customFormat="false" ht="15" hidden="false" customHeight="false" outlineLevel="0" collapsed="false">
      <c r="A168" s="44" t="n">
        <v>6200019</v>
      </c>
      <c r="B168" s="44" t="s">
        <v>2319</v>
      </c>
      <c r="C168" s="44" t="s">
        <v>2462</v>
      </c>
      <c r="D168" s="44" t="s">
        <v>185</v>
      </c>
      <c r="E168" s="44"/>
      <c r="F168" s="44" t="s">
        <v>260</v>
      </c>
      <c r="G168" s="44" t="s">
        <v>2461</v>
      </c>
      <c r="H168" s="19" t="s">
        <v>2485</v>
      </c>
    </row>
    <row r="169" customFormat="false" ht="15" hidden="false" customHeight="false" outlineLevel="0" collapsed="false">
      <c r="A169" s="44" t="n">
        <v>6200020</v>
      </c>
      <c r="B169" s="44" t="s">
        <v>2320</v>
      </c>
      <c r="C169" s="44" t="s">
        <v>2462</v>
      </c>
      <c r="D169" s="44" t="s">
        <v>185</v>
      </c>
      <c r="E169" s="44"/>
      <c r="F169" s="44" t="s">
        <v>260</v>
      </c>
      <c r="G169" s="44" t="s">
        <v>2461</v>
      </c>
      <c r="H169" s="19" t="s">
        <v>2485</v>
      </c>
    </row>
    <row r="170" customFormat="false" ht="15" hidden="false" customHeight="false" outlineLevel="0" collapsed="false">
      <c r="A170" s="44" t="n">
        <v>6200021</v>
      </c>
      <c r="B170" s="44" t="s">
        <v>2321</v>
      </c>
      <c r="C170" s="44" t="s">
        <v>2462</v>
      </c>
      <c r="D170" s="44" t="s">
        <v>182</v>
      </c>
      <c r="E170" s="44"/>
      <c r="F170" s="44" t="s">
        <v>260</v>
      </c>
      <c r="G170" s="44" t="s">
        <v>2461</v>
      </c>
      <c r="H170" s="19" t="s">
        <v>2484</v>
      </c>
    </row>
    <row r="171" customFormat="false" ht="15" hidden="false" customHeight="false" outlineLevel="0" collapsed="false">
      <c r="A171" s="44" t="n">
        <v>6200022</v>
      </c>
      <c r="B171" s="44" t="s">
        <v>2322</v>
      </c>
      <c r="C171" s="44" t="s">
        <v>2462</v>
      </c>
      <c r="D171" s="44" t="s">
        <v>185</v>
      </c>
      <c r="E171" s="44"/>
      <c r="F171" s="44" t="s">
        <v>260</v>
      </c>
      <c r="G171" s="44" t="s">
        <v>2461</v>
      </c>
      <c r="H171" s="19"/>
    </row>
    <row r="172" customFormat="false" ht="15" hidden="false" customHeight="false" outlineLevel="0" collapsed="false">
      <c r="A172" s="44" t="n">
        <v>6200023</v>
      </c>
      <c r="B172" s="44" t="s">
        <v>688</v>
      </c>
      <c r="C172" s="44" t="s">
        <v>2462</v>
      </c>
      <c r="D172" s="44" t="s">
        <v>184</v>
      </c>
      <c r="E172" s="44"/>
      <c r="F172" s="44" t="s">
        <v>260</v>
      </c>
      <c r="G172" s="44" t="s">
        <v>2461</v>
      </c>
      <c r="H172" s="19" t="s">
        <v>175</v>
      </c>
    </row>
    <row r="173" customFormat="false" ht="15" hidden="false" customHeight="false" outlineLevel="0" collapsed="false">
      <c r="A173" s="44" t="n">
        <v>6200024</v>
      </c>
      <c r="B173" s="44" t="s">
        <v>2323</v>
      </c>
      <c r="C173" s="44" t="s">
        <v>2462</v>
      </c>
      <c r="D173" s="44" t="s">
        <v>181</v>
      </c>
      <c r="E173" s="44"/>
      <c r="F173" s="44" t="s">
        <v>260</v>
      </c>
      <c r="G173" s="44" t="s">
        <v>2461</v>
      </c>
      <c r="H173" s="19"/>
    </row>
    <row r="174" customFormat="false" ht="15" hidden="false" customHeight="false" outlineLevel="0" collapsed="false">
      <c r="A174" s="44" t="n">
        <v>6200025</v>
      </c>
      <c r="B174" s="44" t="s">
        <v>2324</v>
      </c>
      <c r="C174" s="44" t="s">
        <v>2462</v>
      </c>
      <c r="D174" s="44" t="s">
        <v>175</v>
      </c>
      <c r="E174" s="44"/>
      <c r="F174" s="44" t="s">
        <v>260</v>
      </c>
      <c r="G174" s="44" t="s">
        <v>2461</v>
      </c>
      <c r="H174" s="19" t="s">
        <v>183</v>
      </c>
    </row>
    <row r="175" customFormat="false" ht="15" hidden="false" customHeight="false" outlineLevel="0" collapsed="false">
      <c r="A175" s="44" t="n">
        <v>6200026</v>
      </c>
      <c r="B175" s="44" t="s">
        <v>2325</v>
      </c>
      <c r="C175" s="44" t="s">
        <v>2462</v>
      </c>
      <c r="D175" s="44" t="s">
        <v>183</v>
      </c>
      <c r="E175" s="44"/>
      <c r="F175" s="44" t="s">
        <v>260</v>
      </c>
      <c r="G175" s="44" t="s">
        <v>2461</v>
      </c>
      <c r="H175" s="19" t="s">
        <v>183</v>
      </c>
    </row>
    <row r="176" customFormat="false" ht="15" hidden="false" customHeight="false" outlineLevel="0" collapsed="false">
      <c r="A176" s="44" t="n">
        <v>6200027</v>
      </c>
      <c r="B176" s="44" t="s">
        <v>2326</v>
      </c>
      <c r="C176" s="44" t="s">
        <v>2462</v>
      </c>
      <c r="D176" s="44" t="s">
        <v>183</v>
      </c>
      <c r="E176" s="44"/>
      <c r="F176" s="44" t="s">
        <v>260</v>
      </c>
      <c r="G176" s="44" t="s">
        <v>2461</v>
      </c>
      <c r="H176" s="19" t="s">
        <v>183</v>
      </c>
    </row>
    <row r="177" customFormat="false" ht="15" hidden="false" customHeight="false" outlineLevel="0" collapsed="false">
      <c r="A177" s="44" t="n">
        <v>6200028</v>
      </c>
      <c r="B177" s="44" t="s">
        <v>2327</v>
      </c>
      <c r="C177" s="44" t="s">
        <v>2462</v>
      </c>
      <c r="D177" s="44" t="s">
        <v>183</v>
      </c>
      <c r="E177" s="44"/>
      <c r="F177" s="44" t="s">
        <v>260</v>
      </c>
      <c r="G177" s="44" t="s">
        <v>2461</v>
      </c>
      <c r="H177" s="19" t="s">
        <v>183</v>
      </c>
    </row>
    <row r="178" customFormat="false" ht="15" hidden="false" customHeight="false" outlineLevel="0" collapsed="false">
      <c r="A178" s="44" t="n">
        <v>6200029</v>
      </c>
      <c r="B178" s="44" t="s">
        <v>2328</v>
      </c>
      <c r="C178" s="44" t="s">
        <v>2462</v>
      </c>
      <c r="D178" s="44" t="s">
        <v>183</v>
      </c>
      <c r="E178" s="44"/>
      <c r="F178" s="44" t="s">
        <v>260</v>
      </c>
      <c r="G178" s="44" t="s">
        <v>2461</v>
      </c>
      <c r="H178" s="19"/>
    </row>
    <row r="179" customFormat="false" ht="15" hidden="false" customHeight="false" outlineLevel="0" collapsed="false">
      <c r="A179" s="44" t="n">
        <v>6200030</v>
      </c>
      <c r="B179" s="44" t="s">
        <v>2329</v>
      </c>
      <c r="C179" s="44" t="s">
        <v>2462</v>
      </c>
      <c r="D179" s="44" t="s">
        <v>183</v>
      </c>
      <c r="E179" s="44"/>
      <c r="F179" s="44" t="s">
        <v>260</v>
      </c>
      <c r="G179" s="44" t="s">
        <v>2461</v>
      </c>
      <c r="H179" s="19" t="s">
        <v>183</v>
      </c>
    </row>
    <row r="180" customFormat="false" ht="15" hidden="false" customHeight="false" outlineLevel="0" collapsed="false">
      <c r="A180" s="44" t="n">
        <v>6200031</v>
      </c>
      <c r="B180" s="44" t="s">
        <v>2330</v>
      </c>
      <c r="C180" s="44" t="s">
        <v>2462</v>
      </c>
      <c r="D180" s="44" t="s">
        <v>183</v>
      </c>
      <c r="E180" s="44"/>
      <c r="F180" s="44" t="s">
        <v>260</v>
      </c>
      <c r="G180" s="44" t="s">
        <v>2461</v>
      </c>
      <c r="H180" s="19" t="s">
        <v>183</v>
      </c>
    </row>
    <row r="181" customFormat="false" ht="15" hidden="false" customHeight="false" outlineLevel="0" collapsed="false">
      <c r="A181" s="44" t="n">
        <v>6300001</v>
      </c>
      <c r="B181" s="44" t="s">
        <v>2326</v>
      </c>
      <c r="C181" s="44" t="s">
        <v>2462</v>
      </c>
      <c r="D181" s="44" t="s">
        <v>183</v>
      </c>
      <c r="E181" s="44"/>
      <c r="F181" s="44" t="s">
        <v>260</v>
      </c>
      <c r="G181" s="44" t="s">
        <v>2461</v>
      </c>
      <c r="H181" s="19" t="s">
        <v>183</v>
      </c>
    </row>
    <row r="182" customFormat="false" ht="15" hidden="false" customHeight="false" outlineLevel="0" collapsed="false">
      <c r="A182" s="44" t="n">
        <v>6300002</v>
      </c>
      <c r="B182" s="44" t="s">
        <v>2327</v>
      </c>
      <c r="C182" s="44" t="s">
        <v>2462</v>
      </c>
      <c r="D182" s="44" t="s">
        <v>183</v>
      </c>
      <c r="E182" s="44"/>
      <c r="F182" s="44" t="s">
        <v>260</v>
      </c>
      <c r="G182" s="44" t="s">
        <v>2461</v>
      </c>
      <c r="H182" s="19" t="s">
        <v>183</v>
      </c>
    </row>
    <row r="183" customFormat="false" ht="15" hidden="false" customHeight="false" outlineLevel="0" collapsed="false">
      <c r="A183" s="44" t="n">
        <v>6300003</v>
      </c>
      <c r="B183" s="44" t="s">
        <v>2328</v>
      </c>
      <c r="C183" s="44" t="s">
        <v>2462</v>
      </c>
      <c r="D183" s="44" t="s">
        <v>183</v>
      </c>
      <c r="E183" s="44"/>
      <c r="F183" s="44" t="s">
        <v>260</v>
      </c>
      <c r="G183" s="44" t="s">
        <v>2461</v>
      </c>
      <c r="H183" s="19" t="s">
        <v>2486</v>
      </c>
    </row>
    <row r="184" customFormat="false" ht="15" hidden="false" customHeight="false" outlineLevel="0" collapsed="false">
      <c r="A184" s="44" t="n">
        <v>6300004</v>
      </c>
      <c r="B184" s="44" t="s">
        <v>2329</v>
      </c>
      <c r="C184" s="44" t="s">
        <v>2462</v>
      </c>
      <c r="D184" s="44" t="s">
        <v>183</v>
      </c>
      <c r="E184" s="44"/>
      <c r="F184" s="44" t="s">
        <v>260</v>
      </c>
      <c r="G184" s="44" t="s">
        <v>2461</v>
      </c>
      <c r="H184" s="19" t="s">
        <v>189</v>
      </c>
    </row>
    <row r="185" customFormat="false" ht="15" hidden="false" customHeight="false" outlineLevel="0" collapsed="false">
      <c r="A185" s="44" t="n">
        <v>6350001</v>
      </c>
      <c r="B185" s="44" t="s">
        <v>953</v>
      </c>
      <c r="C185" s="44" t="s">
        <v>2462</v>
      </c>
      <c r="D185" s="44" t="s">
        <v>184</v>
      </c>
      <c r="E185" s="44"/>
      <c r="F185" s="44" t="s">
        <v>261</v>
      </c>
      <c r="G185" s="44" t="s">
        <v>2461</v>
      </c>
      <c r="H185" s="19" t="s">
        <v>189</v>
      </c>
    </row>
    <row r="186" customFormat="false" ht="15" hidden="false" customHeight="false" outlineLevel="0" collapsed="false">
      <c r="A186" s="44" t="n">
        <v>6400001</v>
      </c>
      <c r="B186" s="44" t="s">
        <v>2333</v>
      </c>
      <c r="C186" s="44" t="s">
        <v>2462</v>
      </c>
      <c r="D186" s="44" t="s">
        <v>192</v>
      </c>
      <c r="E186" s="44"/>
      <c r="F186" s="44" t="s">
        <v>260</v>
      </c>
      <c r="G186" s="44" t="s">
        <v>2461</v>
      </c>
      <c r="H186" s="19" t="s">
        <v>2487</v>
      </c>
    </row>
    <row r="187" customFormat="false" ht="15" hidden="false" customHeight="false" outlineLevel="0" collapsed="false">
      <c r="A187" s="44" t="n">
        <v>6400002</v>
      </c>
      <c r="B187" s="44" t="s">
        <v>2334</v>
      </c>
      <c r="C187" s="44" t="s">
        <v>2462</v>
      </c>
      <c r="D187" s="44" t="s">
        <v>192</v>
      </c>
      <c r="E187" s="44"/>
      <c r="F187" s="44" t="s">
        <v>260</v>
      </c>
      <c r="G187" s="44" t="s">
        <v>2461</v>
      </c>
      <c r="H187" s="19" t="s">
        <v>2487</v>
      </c>
    </row>
    <row r="188" customFormat="false" ht="15" hidden="false" customHeight="false" outlineLevel="0" collapsed="false">
      <c r="A188" s="44" t="n">
        <v>6400003</v>
      </c>
      <c r="B188" s="44" t="s">
        <v>2335</v>
      </c>
      <c r="C188" s="44" t="s">
        <v>2462</v>
      </c>
      <c r="D188" s="44" t="s">
        <v>192</v>
      </c>
      <c r="E188" s="44"/>
      <c r="F188" s="44" t="s">
        <v>260</v>
      </c>
      <c r="G188" s="44" t="s">
        <v>2461</v>
      </c>
      <c r="H188" s="19" t="s">
        <v>2487</v>
      </c>
    </row>
    <row r="189" customFormat="false" ht="15" hidden="false" customHeight="false" outlineLevel="0" collapsed="false">
      <c r="A189" s="44" t="n">
        <v>6400004</v>
      </c>
      <c r="B189" s="44" t="s">
        <v>2336</v>
      </c>
      <c r="C189" s="44" t="s">
        <v>2462</v>
      </c>
      <c r="D189" s="44" t="s">
        <v>192</v>
      </c>
      <c r="E189" s="44"/>
      <c r="F189" s="44" t="s">
        <v>260</v>
      </c>
      <c r="G189" s="44" t="s">
        <v>2461</v>
      </c>
      <c r="H189" s="19" t="s">
        <v>2487</v>
      </c>
    </row>
    <row r="190" customFormat="false" ht="15" hidden="false" customHeight="false" outlineLevel="0" collapsed="false">
      <c r="A190" s="44" t="n">
        <v>6400005</v>
      </c>
      <c r="B190" s="44" t="s">
        <v>2337</v>
      </c>
      <c r="C190" s="44" t="s">
        <v>2462</v>
      </c>
      <c r="D190" s="44" t="s">
        <v>192</v>
      </c>
      <c r="E190" s="44"/>
      <c r="F190" s="44" t="s">
        <v>260</v>
      </c>
      <c r="G190" s="44" t="s">
        <v>2461</v>
      </c>
      <c r="H190" s="19" t="s">
        <v>2487</v>
      </c>
    </row>
    <row r="191" customFormat="false" ht="15" hidden="false" customHeight="false" outlineLevel="0" collapsed="false">
      <c r="A191" s="44" t="n">
        <v>6400006</v>
      </c>
      <c r="B191" s="44" t="s">
        <v>2338</v>
      </c>
      <c r="C191" s="44" t="s">
        <v>2462</v>
      </c>
      <c r="D191" s="44" t="s">
        <v>192</v>
      </c>
      <c r="E191" s="44"/>
      <c r="F191" s="44" t="s">
        <v>260</v>
      </c>
      <c r="G191" s="44" t="s">
        <v>2461</v>
      </c>
      <c r="H191" s="19"/>
    </row>
    <row r="192" customFormat="false" ht="15" hidden="false" customHeight="false" outlineLevel="0" collapsed="false">
      <c r="A192" s="44" t="n">
        <v>6400007</v>
      </c>
      <c r="B192" s="44" t="s">
        <v>2339</v>
      </c>
      <c r="C192" s="44" t="s">
        <v>2462</v>
      </c>
      <c r="D192" s="44" t="s">
        <v>192</v>
      </c>
      <c r="E192" s="44"/>
      <c r="F192" s="44" t="s">
        <v>260</v>
      </c>
      <c r="G192" s="44" t="s">
        <v>2461</v>
      </c>
      <c r="H192" s="19" t="s">
        <v>189</v>
      </c>
    </row>
    <row r="193" customFormat="false" ht="15" hidden="false" customHeight="false" outlineLevel="0" collapsed="false">
      <c r="A193" s="44" t="n">
        <v>6500001</v>
      </c>
      <c r="B193" s="44" t="s">
        <v>2340</v>
      </c>
      <c r="C193" s="44" t="s">
        <v>2462</v>
      </c>
      <c r="D193" s="44" t="s">
        <v>192</v>
      </c>
      <c r="E193" s="44"/>
      <c r="F193" s="44" t="s">
        <v>260</v>
      </c>
      <c r="G193" s="44" t="s">
        <v>2461</v>
      </c>
      <c r="H193" s="19"/>
    </row>
    <row r="194" customFormat="false" ht="15" hidden="false" customHeight="false" outlineLevel="0" collapsed="false">
      <c r="A194" s="44" t="n">
        <v>7100001</v>
      </c>
      <c r="B194" s="44" t="s">
        <v>2342</v>
      </c>
      <c r="C194" s="44" t="s">
        <v>2462</v>
      </c>
      <c r="D194" s="44" t="s">
        <v>189</v>
      </c>
      <c r="E194" s="44"/>
      <c r="F194" s="44" t="s">
        <v>256</v>
      </c>
      <c r="G194" s="44" t="s">
        <v>2461</v>
      </c>
      <c r="H194" s="19" t="s">
        <v>189</v>
      </c>
    </row>
    <row r="195" customFormat="false" ht="15" hidden="false" customHeight="false" outlineLevel="0" collapsed="false">
      <c r="A195" s="44" t="n">
        <v>7100002</v>
      </c>
      <c r="B195" s="44" t="s">
        <v>2343</v>
      </c>
      <c r="C195" s="44" t="s">
        <v>2462</v>
      </c>
      <c r="D195" s="44" t="s">
        <v>189</v>
      </c>
      <c r="E195" s="44"/>
      <c r="F195" s="44" t="s">
        <v>256</v>
      </c>
      <c r="G195" s="44" t="s">
        <v>2461</v>
      </c>
      <c r="H195" s="19" t="s">
        <v>189</v>
      </c>
    </row>
    <row r="196" customFormat="false" ht="15" hidden="false" customHeight="false" outlineLevel="0" collapsed="false">
      <c r="A196" s="44" t="n">
        <v>7100003</v>
      </c>
      <c r="B196" s="44" t="s">
        <v>2344</v>
      </c>
      <c r="C196" s="44" t="s">
        <v>2462</v>
      </c>
      <c r="D196" s="44" t="s">
        <v>189</v>
      </c>
      <c r="E196" s="44"/>
      <c r="F196" s="44" t="s">
        <v>256</v>
      </c>
      <c r="G196" s="44" t="s">
        <v>2461</v>
      </c>
      <c r="H196" s="19" t="s">
        <v>189</v>
      </c>
    </row>
    <row r="197" customFormat="false" ht="15" hidden="false" customHeight="false" outlineLevel="0" collapsed="false">
      <c r="A197" s="44" t="n">
        <v>7100004</v>
      </c>
      <c r="B197" s="44" t="s">
        <v>2345</v>
      </c>
      <c r="C197" s="44" t="s">
        <v>2462</v>
      </c>
      <c r="D197" s="44" t="s">
        <v>189</v>
      </c>
      <c r="E197" s="44"/>
      <c r="F197" s="44" t="s">
        <v>256</v>
      </c>
      <c r="G197" s="44" t="s">
        <v>2461</v>
      </c>
      <c r="H197" s="19" t="s">
        <v>189</v>
      </c>
    </row>
    <row r="198" customFormat="false" ht="15" hidden="false" customHeight="false" outlineLevel="0" collapsed="false">
      <c r="A198" s="44" t="n">
        <v>7100005</v>
      </c>
      <c r="B198" s="44" t="s">
        <v>2346</v>
      </c>
      <c r="C198" s="44" t="s">
        <v>2462</v>
      </c>
      <c r="D198" s="44" t="s">
        <v>189</v>
      </c>
      <c r="E198" s="44"/>
      <c r="F198" s="44" t="s">
        <v>256</v>
      </c>
      <c r="G198" s="44" t="s">
        <v>2461</v>
      </c>
      <c r="H198" s="19" t="s">
        <v>189</v>
      </c>
    </row>
    <row r="199" customFormat="false" ht="15" hidden="false" customHeight="false" outlineLevel="0" collapsed="false">
      <c r="A199" s="44" t="n">
        <v>7100006</v>
      </c>
      <c r="B199" s="44" t="s">
        <v>1058</v>
      </c>
      <c r="C199" s="44" t="s">
        <v>2462</v>
      </c>
      <c r="D199" s="44" t="s">
        <v>189</v>
      </c>
      <c r="E199" s="44"/>
      <c r="F199" s="44" t="s">
        <v>256</v>
      </c>
      <c r="G199" s="44" t="s">
        <v>2461</v>
      </c>
      <c r="H199" s="19" t="s">
        <v>189</v>
      </c>
    </row>
    <row r="200" customFormat="false" ht="15" hidden="false" customHeight="false" outlineLevel="0" collapsed="false">
      <c r="A200" s="44" t="n">
        <v>7100008</v>
      </c>
      <c r="B200" s="44" t="s">
        <v>952</v>
      </c>
      <c r="C200" s="44" t="s">
        <v>2462</v>
      </c>
      <c r="D200" s="44" t="s">
        <v>189</v>
      </c>
      <c r="E200" s="44"/>
      <c r="F200" s="44" t="s">
        <v>256</v>
      </c>
      <c r="G200" s="44" t="s">
        <v>2461</v>
      </c>
      <c r="H200" s="19" t="s">
        <v>189</v>
      </c>
    </row>
    <row r="201" customFormat="false" ht="15" hidden="false" customHeight="false" outlineLevel="0" collapsed="false">
      <c r="A201" s="44" t="n">
        <v>7100009</v>
      </c>
      <c r="B201" s="44" t="s">
        <v>189</v>
      </c>
      <c r="C201" s="44" t="s">
        <v>2462</v>
      </c>
      <c r="D201" s="44" t="s">
        <v>189</v>
      </c>
      <c r="E201" s="44"/>
      <c r="F201" s="44" t="s">
        <v>256</v>
      </c>
      <c r="G201" s="44" t="s">
        <v>2461</v>
      </c>
      <c r="H201" s="19" t="s">
        <v>189</v>
      </c>
    </row>
    <row r="202" customFormat="false" ht="15" hidden="false" customHeight="false" outlineLevel="0" collapsed="false">
      <c r="A202" s="44" t="n">
        <v>7100010</v>
      </c>
      <c r="B202" s="44" t="s">
        <v>2347</v>
      </c>
      <c r="C202" s="44" t="s">
        <v>2462</v>
      </c>
      <c r="D202" s="44" t="s">
        <v>189</v>
      </c>
      <c r="E202" s="44"/>
      <c r="F202" s="44" t="s">
        <v>256</v>
      </c>
      <c r="G202" s="44" t="s">
        <v>2461</v>
      </c>
      <c r="H202" s="19"/>
    </row>
    <row r="203" customFormat="false" ht="15" hidden="false" customHeight="false" outlineLevel="0" collapsed="false">
      <c r="A203" s="44" t="n">
        <v>7100011</v>
      </c>
      <c r="B203" s="44" t="s">
        <v>2348</v>
      </c>
      <c r="C203" s="44" t="s">
        <v>2462</v>
      </c>
      <c r="D203" s="44" t="s">
        <v>189</v>
      </c>
      <c r="E203" s="44"/>
      <c r="F203" s="44" t="s">
        <v>256</v>
      </c>
      <c r="G203" s="44" t="s">
        <v>2461</v>
      </c>
      <c r="H203" s="19" t="s">
        <v>184</v>
      </c>
    </row>
    <row r="204" customFormat="false" ht="15" hidden="false" customHeight="false" outlineLevel="0" collapsed="false">
      <c r="A204" s="44" t="n">
        <v>7200001</v>
      </c>
      <c r="B204" s="44" t="s">
        <v>2350</v>
      </c>
      <c r="C204" s="44" t="s">
        <v>2462</v>
      </c>
      <c r="D204" s="44" t="s">
        <v>188</v>
      </c>
      <c r="E204" s="44"/>
      <c r="F204" s="44" t="s">
        <v>262</v>
      </c>
      <c r="G204" s="44" t="s">
        <v>2461</v>
      </c>
      <c r="H204" s="19"/>
    </row>
    <row r="205" customFormat="false" ht="15" hidden="false" customHeight="false" outlineLevel="0" collapsed="false">
      <c r="A205" s="44" t="n">
        <v>7200002</v>
      </c>
      <c r="B205" s="44" t="s">
        <v>2351</v>
      </c>
      <c r="C205" s="44" t="s">
        <v>2462</v>
      </c>
      <c r="D205" s="44" t="s">
        <v>188</v>
      </c>
      <c r="E205" s="44"/>
      <c r="F205" s="44" t="s">
        <v>262</v>
      </c>
      <c r="G205" s="44" t="s">
        <v>2461</v>
      </c>
      <c r="H205" s="19" t="s">
        <v>188</v>
      </c>
    </row>
    <row r="206" customFormat="false" ht="15" hidden="false" customHeight="false" outlineLevel="0" collapsed="false">
      <c r="A206" s="44" t="n">
        <v>7200003</v>
      </c>
      <c r="B206" s="44" t="s">
        <v>581</v>
      </c>
      <c r="C206" s="44" t="s">
        <v>2462</v>
      </c>
      <c r="D206" s="44" t="s">
        <v>190</v>
      </c>
      <c r="E206" s="44"/>
      <c r="F206" s="44" t="s">
        <v>262</v>
      </c>
      <c r="G206" s="44" t="s">
        <v>2461</v>
      </c>
      <c r="H206" s="19" t="s">
        <v>190</v>
      </c>
    </row>
    <row r="207" customFormat="false" ht="15" hidden="false" customHeight="false" outlineLevel="0" collapsed="false">
      <c r="A207" s="44" t="n">
        <v>7200004</v>
      </c>
      <c r="B207" s="44" t="s">
        <v>2352</v>
      </c>
      <c r="C207" s="44" t="s">
        <v>2462</v>
      </c>
      <c r="D207" s="44" t="s">
        <v>190</v>
      </c>
      <c r="E207" s="44"/>
      <c r="F207" s="44" t="s">
        <v>260</v>
      </c>
      <c r="G207" s="44" t="s">
        <v>2461</v>
      </c>
      <c r="H207" s="19" t="s">
        <v>2488</v>
      </c>
    </row>
    <row r="208" customFormat="false" ht="15" hidden="false" customHeight="false" outlineLevel="0" collapsed="false">
      <c r="A208" s="44" t="n">
        <v>7200005</v>
      </c>
      <c r="B208" s="44" t="s">
        <v>2353</v>
      </c>
      <c r="C208" s="44" t="s">
        <v>2462</v>
      </c>
      <c r="D208" s="44" t="s">
        <v>190</v>
      </c>
      <c r="E208" s="44"/>
      <c r="F208" s="44" t="s">
        <v>260</v>
      </c>
      <c r="G208" s="44" t="s">
        <v>2461</v>
      </c>
      <c r="H208" s="19" t="s">
        <v>190</v>
      </c>
    </row>
    <row r="209" customFormat="false" ht="15" hidden="false" customHeight="false" outlineLevel="0" collapsed="false">
      <c r="A209" s="44" t="n">
        <v>7200006</v>
      </c>
      <c r="B209" s="44" t="s">
        <v>2354</v>
      </c>
      <c r="C209" s="44" t="s">
        <v>2462</v>
      </c>
      <c r="D209" s="44" t="s">
        <v>190</v>
      </c>
      <c r="E209" s="44"/>
      <c r="F209" s="44" t="s">
        <v>260</v>
      </c>
      <c r="G209" s="44" t="s">
        <v>2461</v>
      </c>
      <c r="H209" s="19" t="s">
        <v>190</v>
      </c>
    </row>
    <row r="210" customFormat="false" ht="15" hidden="false" customHeight="false" outlineLevel="0" collapsed="false">
      <c r="A210" s="44" t="n">
        <v>7200007</v>
      </c>
      <c r="B210" s="44" t="s">
        <v>2355</v>
      </c>
      <c r="C210" s="44" t="s">
        <v>2462</v>
      </c>
      <c r="D210" s="44" t="s">
        <v>190</v>
      </c>
      <c r="E210" s="44"/>
      <c r="F210" s="44" t="s">
        <v>260</v>
      </c>
      <c r="G210" s="44" t="s">
        <v>2461</v>
      </c>
      <c r="H210" s="19" t="s">
        <v>190</v>
      </c>
    </row>
    <row r="211" customFormat="false" ht="15" hidden="false" customHeight="false" outlineLevel="0" collapsed="false">
      <c r="A211" s="44" t="n">
        <v>7200008</v>
      </c>
      <c r="B211" s="44" t="s">
        <v>683</v>
      </c>
      <c r="C211" s="44" t="s">
        <v>2462</v>
      </c>
      <c r="D211" s="44" t="s">
        <v>190</v>
      </c>
      <c r="E211" s="44"/>
      <c r="F211" s="44" t="s">
        <v>260</v>
      </c>
      <c r="G211" s="44" t="s">
        <v>2461</v>
      </c>
      <c r="H211" s="19" t="s">
        <v>190</v>
      </c>
    </row>
    <row r="212" customFormat="false" ht="15" hidden="false" customHeight="false" outlineLevel="0" collapsed="false">
      <c r="A212" s="44" t="n">
        <v>7200009</v>
      </c>
      <c r="B212" s="44" t="s">
        <v>2356</v>
      </c>
      <c r="C212" s="44" t="s">
        <v>2462</v>
      </c>
      <c r="D212" s="44" t="s">
        <v>188</v>
      </c>
      <c r="E212" s="44"/>
      <c r="F212" s="44" t="s">
        <v>262</v>
      </c>
      <c r="G212" s="44" t="s">
        <v>2461</v>
      </c>
      <c r="H212" s="19" t="s">
        <v>188</v>
      </c>
    </row>
    <row r="213" customFormat="false" ht="15" hidden="false" customHeight="false" outlineLevel="0" collapsed="false">
      <c r="A213" s="44" t="n">
        <v>7200010</v>
      </c>
      <c r="B213" s="44" t="s">
        <v>953</v>
      </c>
      <c r="C213" s="44" t="s">
        <v>2462</v>
      </c>
      <c r="D213" s="44" t="s">
        <v>184</v>
      </c>
      <c r="E213" s="44"/>
      <c r="F213" s="44" t="s">
        <v>261</v>
      </c>
      <c r="G213" s="44" t="s">
        <v>2461</v>
      </c>
      <c r="H213" s="19" t="s">
        <v>184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205</v>
      </c>
    </row>
    <row r="2" customFormat="false" ht="15" hidden="false" customHeight="false" outlineLevel="0" collapsed="false">
      <c r="A2" s="0" t="s">
        <v>206</v>
      </c>
    </row>
    <row r="3" customFormat="false" ht="15" hidden="false" customHeight="false" outlineLevel="0" collapsed="false">
      <c r="A3" s="0" t="s">
        <v>207</v>
      </c>
    </row>
    <row r="4" customFormat="false" ht="15" hidden="false" customHeight="false" outlineLevel="0" collapsed="false">
      <c r="A4" s="0" t="s">
        <v>208</v>
      </c>
    </row>
    <row r="5" customFormat="false" ht="15" hidden="false" customHeight="false" outlineLevel="0" collapsed="false">
      <c r="A5" s="0" t="s">
        <v>209</v>
      </c>
    </row>
    <row r="6" customFormat="false" ht="15" hidden="false" customHeight="false" outlineLevel="0" collapsed="false">
      <c r="A6" s="0" t="s">
        <v>210</v>
      </c>
    </row>
    <row r="7" customFormat="false" ht="15" hidden="false" customHeight="false" outlineLevel="0" collapsed="false">
      <c r="A7" s="0" t="s">
        <v>211</v>
      </c>
    </row>
    <row r="8" customFormat="false" ht="15" hidden="false" customHeight="false" outlineLevel="0" collapsed="false">
      <c r="A8" s="0" t="s">
        <v>212</v>
      </c>
    </row>
    <row r="9" customFormat="false" ht="15" hidden="false" customHeight="false" outlineLevel="0" collapsed="false">
      <c r="A9" s="0" t="s">
        <v>213</v>
      </c>
    </row>
    <row r="10" customFormat="false" ht="15" hidden="false" customHeight="false" outlineLevel="0" collapsed="false">
      <c r="A10" s="0" t="s">
        <v>214</v>
      </c>
    </row>
    <row r="11" customFormat="false" ht="15" hidden="false" customHeight="false" outlineLevel="0" collapsed="false">
      <c r="A11" s="0" t="s">
        <v>215</v>
      </c>
    </row>
    <row r="12" customFormat="false" ht="15" hidden="false" customHeight="false" outlineLevel="0" collapsed="false">
      <c r="A12" s="0" t="s">
        <v>216</v>
      </c>
    </row>
    <row r="13" customFormat="false" ht="15" hidden="false" customHeight="false" outlineLevel="0" collapsed="false">
      <c r="A13" s="0" t="s">
        <v>217</v>
      </c>
    </row>
    <row r="14" customFormat="false" ht="15" hidden="false" customHeight="false" outlineLevel="0" collapsed="false">
      <c r="A14" s="0" t="s">
        <v>220</v>
      </c>
    </row>
    <row r="15" customFormat="false" ht="15" hidden="false" customHeight="false" outlineLevel="0" collapsed="false">
      <c r="A15" s="0" t="s">
        <v>221</v>
      </c>
    </row>
    <row r="16" customFormat="false" ht="15" hidden="false" customHeight="false" outlineLevel="0" collapsed="false">
      <c r="A16" s="0" t="s">
        <v>222</v>
      </c>
    </row>
    <row r="17" customFormat="false" ht="15" hidden="false" customHeight="false" outlineLevel="0" collapsed="false">
      <c r="A17" s="0" t="s">
        <v>223</v>
      </c>
    </row>
    <row r="18" customFormat="false" ht="15" hidden="false" customHeight="false" outlineLevel="0" collapsed="false">
      <c r="A18" s="0" t="s">
        <v>224</v>
      </c>
    </row>
    <row r="19" customFormat="false" ht="15" hidden="false" customHeight="false" outlineLevel="0" collapsed="false">
      <c r="A19" s="0" t="s">
        <v>225</v>
      </c>
    </row>
    <row r="20" customFormat="false" ht="15" hidden="false" customHeight="false" outlineLevel="0" collapsed="false">
      <c r="A20" s="0" t="s">
        <v>226</v>
      </c>
    </row>
    <row r="21" customFormat="false" ht="15" hidden="false" customHeight="false" outlineLevel="0" collapsed="false">
      <c r="A21" s="0" t="s">
        <v>227</v>
      </c>
    </row>
    <row r="22" customFormat="false" ht="15" hidden="false" customHeight="false" outlineLevel="0" collapsed="false">
      <c r="A22" s="0" t="s">
        <v>230</v>
      </c>
    </row>
    <row r="23" customFormat="false" ht="15" hidden="false" customHeight="false" outlineLevel="0" collapsed="false">
      <c r="A23" s="0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2026-10-14T04:43:23Z</dcterms:created>
  <dc:creator>openpyxl</dc:creator>
  <dc:description/>
  <dc:language>en-US</dc:language>
  <cp:lastModifiedBy/>
  <dcterms:modified xsi:type="dcterms:W3CDTF">2026-10-14T04:43:27Z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